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53.xml" ContentType="application/vnd.openxmlformats-officedocument.spreadsheetml.worksheet+xml"/>
  <Override PartName="/xl/worksheets/sheet13.xml" ContentType="application/vnd.openxmlformats-officedocument.spreadsheetml.worksheet+xml"/>
  <Override PartName="/xl/worksheets/sheet42.xml" ContentType="application/vnd.openxmlformats-officedocument.spreadsheetml.worksheet+xml"/>
  <Override PartName="/xl/worksheets/sheet60.xml" ContentType="application/vnd.openxmlformats-officedocument.spreadsheetml.worksheet+xml"/>
  <Override PartName="/xl/externalLinks/externalLink9.xml" ContentType="application/vnd.openxmlformats-officedocument.spreadsheetml.externalLink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7.xml" ContentType="application/vnd.openxmlformats-officedocument.spreadsheetml.externalLink+xml"/>
  <Override PartName="/xl/externalLinks/externalLink18.xml" ContentType="application/vnd.openxmlformats-officedocument.spreadsheetml.externalLink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externalLinks/externalLink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25.xml" ContentType="application/vnd.openxmlformats-officedocument.spreadsheetml.externalLink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2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6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21.xml" ContentType="application/vnd.openxmlformats-officedocument.spreadsheetml.externalLink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0.xml" ContentType="application/vnd.openxmlformats-officedocument.spreadsheetml.externalLink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4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6.xml" ContentType="application/vnd.openxmlformats-officedocument.spreadsheetml.worksheet+xml"/>
  <Override PartName="/xl/worksheets/sheet6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externalLinks/externalLink8.xml" ContentType="application/vnd.openxmlformats-officedocument.spreadsheetml.externalLink+xml"/>
  <Override PartName="/xl/externalLinks/externalLink19.xml" ContentType="application/vnd.openxmlformats-officedocument.spreadsheetml.externalLink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17.xml" ContentType="application/vnd.openxmlformats-officedocument.spreadsheetml.externalLink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6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22.xml" ContentType="application/vnd.openxmlformats-officedocument.spreadsheetml.externalLink+xml"/>
  <Override PartName="/xl/worksheets/sheet59.xml" ContentType="application/vnd.openxmlformats-officedocument.spreadsheetml.worksheet+xml"/>
  <Override PartName="/xl/worksheets/sheet68.xml" ContentType="application/vnd.openxmlformats-officedocument.spreadsheetml.worksheet+xml"/>
  <Override PartName="/xl/externalLinks/externalLink11.xml" ContentType="application/vnd.openxmlformats-officedocument.spreadsheetml.externalLink+xml"/>
  <Override PartName="/xl/externalLinks/externalLink20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66.xml" ContentType="application/vnd.openxmlformats-officedocument.spreadsheetml.worksheet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xl/worksheets/sheet55.xml" ContentType="application/vnd.openxmlformats-officedocument.spreadsheetml.worksheet+xml"/>
  <Override PartName="/xl/worksheets/sheet64.xml" ContentType="application/vnd.openxmlformats-officedocument.spreadsheetml.workshee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480" yWindow="165" windowWidth="11340" windowHeight="8775" tabRatio="964" firstSheet="1" activeTab="1"/>
  </bookViews>
  <sheets>
    <sheet name="Расчет товарной выручки" sheetId="118" state="hidden" r:id="rId1"/>
    <sheet name="ФАКТ. СЕБЕСТ. СТОКИ 1 пол. 2018" sheetId="117" r:id="rId2"/>
    <sheet name="ПОЛНАЯ СЕБЕСТОИМОСТЬ СТОКИ 2018" sheetId="116" state="hidden" r:id="rId3"/>
    <sheet name="ФАКТ. СЕБЕСТ ВОДА 1 пол.2018" sheetId="115" r:id="rId4"/>
    <sheet name="ПОЛНАЯ СЕБЕСТОИМОСТЬ ВОДА 2018" sheetId="114" state="hidden" r:id="rId5"/>
    <sheet name="План по элетр. 2018" sheetId="101" state="hidden" r:id="rId6"/>
    <sheet name="Текущий ремонт" sheetId="100" state="hidden" r:id="rId7"/>
    <sheet name="Чистая прибыль" sheetId="99" state="hidden" r:id="rId8"/>
    <sheet name="Прил. 1 План ФХД табл 1" sheetId="98" state="hidden" r:id="rId9"/>
    <sheet name="Прил. 1 План ФХД стоки табл 2" sheetId="96" state="hidden" r:id="rId10"/>
    <sheet name="Прил. 1 План ФХД вода табл. 2" sheetId="95" state="hidden" r:id="rId11"/>
    <sheet name="Произв. прогр. Стоки (СВОД)" sheetId="94" state="hidden" r:id="rId12"/>
    <sheet name="Произв. прогр. Стоки" sheetId="93" state="hidden" r:id="rId13"/>
    <sheet name="Произв. прогр. Вода" sheetId="91" state="hidden" r:id="rId14"/>
    <sheet name="Произв. прогр. Вода (СВОД)" sheetId="92" state="hidden" r:id="rId15"/>
    <sheet name="Тариф тех.вода 2016-2018 ПЛАН" sheetId="86" state="hidden" r:id="rId16"/>
    <sheet name="Тариф вода 2016-2018 ПЛАН" sheetId="85" state="hidden" r:id="rId17"/>
    <sheet name="ВОДА (СВОД) 2016-2018" sheetId="89" state="hidden" r:id="rId18"/>
    <sheet name="Тариф очистка 2016-2018 ПЛАН" sheetId="88" state="hidden" r:id="rId19"/>
    <sheet name="Тариф стоки 2016-2018 ПЛАН" sheetId="87" state="hidden" r:id="rId20"/>
    <sheet name="СТОКИ (СВОД) 2016-2018" sheetId="90" state="hidden" r:id="rId21"/>
    <sheet name="А" sheetId="110" state="hidden" r:id="rId22"/>
    <sheet name="ТН" sheetId="108" state="hidden" r:id="rId23"/>
    <sheet name="объемы" sheetId="3" state="hidden" r:id="rId24"/>
    <sheet name="объемы черн" sheetId="59" state="hidden" r:id="rId25"/>
    <sheet name="вода" sheetId="7" state="hidden" r:id="rId26"/>
    <sheet name="стоки" sheetId="8" state="hidden" r:id="rId27"/>
    <sheet name="электр 2017-2018" sheetId="72" state="hidden" r:id="rId28"/>
    <sheet name="электр" sheetId="9" state="hidden" r:id="rId29"/>
    <sheet name="электр (с разбивкой)" sheetId="111" state="hidden" r:id="rId30"/>
    <sheet name="ХР" sheetId="11" state="hidden" r:id="rId31"/>
    <sheet name="Аморт" sheetId="10" state="hidden" r:id="rId32"/>
    <sheet name="ЗП" sheetId="17" state="hidden" r:id="rId33"/>
    <sheet name="ЗП с факт 3 кв. 2015" sheetId="71" state="hidden" r:id="rId34"/>
    <sheet name="ЗП среднемес" sheetId="68" state="hidden" r:id="rId35"/>
    <sheet name="цех вода" sheetId="5" state="hidden" r:id="rId36"/>
    <sheet name="цех вода (с разбивкой)" sheetId="112" state="hidden" r:id="rId37"/>
    <sheet name="цех стоки (с разбивкой)" sheetId="113" state="hidden" r:id="rId38"/>
    <sheet name="цех стоки" sheetId="6" state="hidden" r:id="rId39"/>
    <sheet name="ОХР " sheetId="19" state="hidden" r:id="rId40"/>
    <sheet name="налоги 2018" sheetId="102" state="hidden" r:id="rId41"/>
    <sheet name="Расчет налог. обяз. 2018" sheetId="107" state="hidden" r:id="rId42"/>
    <sheet name="рез к 2017" sheetId="109" state="hidden" r:id="rId43"/>
    <sheet name="вод.налог 2018" sheetId="104" state="hidden" r:id="rId44"/>
    <sheet name="имушество 2018" sheetId="103" state="hidden" r:id="rId45"/>
    <sheet name="Резерв ДЗ" sheetId="63" state="hidden" r:id="rId46"/>
    <sheet name="рез к 2018" sheetId="105" state="hidden" r:id="rId47"/>
    <sheet name="Выпадающ15-16" sheetId="36" state="hidden" r:id="rId48"/>
    <sheet name=" текРемвода 2016" sheetId="57" state="hidden" r:id="rId49"/>
    <sheet name="  текРемстоки 2016" sheetId="58" state="hidden" r:id="rId50"/>
    <sheet name="Кап Рем" sheetId="62" state="hidden" r:id="rId51"/>
    <sheet name="кап влож" sheetId="70" state="hidden" r:id="rId52"/>
    <sheet name="Ремонт вода 2016" sheetId="52" state="hidden" r:id="rId53"/>
    <sheet name="Ремонт стоки 2016" sheetId="54" state="hidden" r:id="rId54"/>
    <sheet name="транс" sheetId="69" state="hidden" r:id="rId55"/>
    <sheet name="вод.налог" sheetId="32" state="hidden" r:id="rId56"/>
    <sheet name="налог на имущ" sheetId="67" state="hidden" r:id="rId57"/>
    <sheet name="выпадающие расходы на 2018" sheetId="106" state="hidden" r:id="rId58"/>
    <sheet name="Тариф вода 2016-2018" sheetId="61" state="hidden" r:id="rId59"/>
    <sheet name="Тариф тех вода 2016-2018" sheetId="64" state="hidden" r:id="rId60"/>
    <sheet name="Тариф стоки 2016-2018" sheetId="65" state="hidden" r:id="rId61"/>
    <sheet name="Тариф очистка 2016-2018" sheetId="66" state="hidden" r:id="rId62"/>
    <sheet name="расчет тарифов " sheetId="56" state="hidden" r:id="rId63"/>
    <sheet name="Лист2" sheetId="33" state="hidden" r:id="rId64"/>
    <sheet name="Выпадающ" sheetId="60" state="hidden" r:id="rId65"/>
    <sheet name="Ремонт вода 2015" sheetId="34" state="hidden" r:id="rId66"/>
    <sheet name="Ремонт стоки 2015" sheetId="35" state="hidden" r:id="rId67"/>
    <sheet name="платежка с ИП" sheetId="21" state="hidden" r:id="rId68"/>
    <sheet name="Лист1" sheetId="73" state="hidden" r:id="rId69"/>
  </sheets>
  <externalReferences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</externalReferences>
  <definedNames>
    <definedName name="_4Excel_BuiltIn_Print_Area_59_67_1" localSheetId="33">#REF!</definedName>
    <definedName name="_4Excel_BuiltIn_Print_Area_59_67_1" localSheetId="8">#REF!</definedName>
    <definedName name="_4Excel_BuiltIn_Print_Area_59_67_1" localSheetId="20">#REF!</definedName>
    <definedName name="_4Excel_BuiltIn_Print_Area_59_67_1" localSheetId="16">#REF!</definedName>
    <definedName name="_4Excel_BuiltIn_Print_Area_59_67_1" localSheetId="61">#REF!</definedName>
    <definedName name="_4Excel_BuiltIn_Print_Area_59_67_1" localSheetId="60">#REF!</definedName>
    <definedName name="_4Excel_BuiltIn_Print_Area_59_67_1" localSheetId="59">#REF!</definedName>
    <definedName name="_4Excel_BuiltIn_Print_Area_59_67_1" localSheetId="37">#REF!</definedName>
    <definedName name="_4Excel_BuiltIn_Print_Area_59_67_1" localSheetId="29">#REF!</definedName>
    <definedName name="_4Excel_BuiltIn_Print_Area_59_67_1" localSheetId="27">#REF!</definedName>
    <definedName name="_4Excel_BuiltIn_Print_Area_59_67_1">#REF!</definedName>
    <definedName name="_8Excel_BuiltIn_Print_Area_59_74_1" localSheetId="33">#REF!</definedName>
    <definedName name="_8Excel_BuiltIn_Print_Area_59_74_1" localSheetId="8">#REF!</definedName>
    <definedName name="_8Excel_BuiltIn_Print_Area_59_74_1" localSheetId="20">#REF!</definedName>
    <definedName name="_8Excel_BuiltIn_Print_Area_59_74_1" localSheetId="16">#REF!</definedName>
    <definedName name="_8Excel_BuiltIn_Print_Area_59_74_1" localSheetId="61">#REF!</definedName>
    <definedName name="_8Excel_BuiltIn_Print_Area_59_74_1" localSheetId="60">#REF!</definedName>
    <definedName name="_8Excel_BuiltIn_Print_Area_59_74_1" localSheetId="59">#REF!</definedName>
    <definedName name="_8Excel_BuiltIn_Print_Area_59_74_1" localSheetId="37">#REF!</definedName>
    <definedName name="_8Excel_BuiltIn_Print_Area_59_74_1" localSheetId="29">#REF!</definedName>
    <definedName name="_8Excel_BuiltIn_Print_Area_59_74_1" localSheetId="27">#REF!</definedName>
    <definedName name="_8Excel_BuiltIn_Print_Area_59_74_1">#REF!</definedName>
    <definedName name="_Pi1" localSheetId="21">А!_Pi1</definedName>
    <definedName name="_Pi1" localSheetId="43">'вод.налог 2018'!_Pi1</definedName>
    <definedName name="_Pi1" localSheetId="33">'ЗП с факт 3 кв. 2015'!_Pi1</definedName>
    <definedName name="_Pi1" localSheetId="44">'имушество 2018'!_Pi1</definedName>
    <definedName name="_Pi1" localSheetId="40">'налоги 2018'!_Pi1</definedName>
    <definedName name="_Pi1" localSheetId="4">#N/A</definedName>
    <definedName name="_Pi1" localSheetId="2">#N/A</definedName>
    <definedName name="_Pi1" localSheetId="10">#N/A</definedName>
    <definedName name="_Pi1" localSheetId="9">#N/A</definedName>
    <definedName name="_Pi1" localSheetId="8">#N/A</definedName>
    <definedName name="_Pi1" localSheetId="13">#N/A</definedName>
    <definedName name="_Pi1" localSheetId="14">#N/A</definedName>
    <definedName name="_Pi1" localSheetId="12">#N/A</definedName>
    <definedName name="_Pi1" localSheetId="11">#N/A</definedName>
    <definedName name="_Pi1" localSheetId="41">'Расчет налог. обяз. 2018'!_Pi1</definedName>
    <definedName name="_Pi1" localSheetId="42">'рез к 2017'!_Pi1</definedName>
    <definedName name="_Pi1" localSheetId="46">'рез к 2018'!_Pi1</definedName>
    <definedName name="_Pi1" localSheetId="22">ТН!_Pi1</definedName>
    <definedName name="_Pi1" localSheetId="3">#N/A</definedName>
    <definedName name="_Pi1" localSheetId="1">#N/A</definedName>
    <definedName name="_Pi1">'ЗП с факт 3 кв. 2015'!_Pi1</definedName>
    <definedName name="_Pi2" localSheetId="21">А!_Pi2</definedName>
    <definedName name="_Pi2" localSheetId="43">'вод.налог 2018'!_Pi2</definedName>
    <definedName name="_Pi2" localSheetId="33">'ЗП с факт 3 кв. 2015'!_Pi2</definedName>
    <definedName name="_Pi2" localSheetId="44">'имушество 2018'!_Pi2</definedName>
    <definedName name="_Pi2" localSheetId="40">'налоги 2018'!_Pi2</definedName>
    <definedName name="_Pi2" localSheetId="4">#N/A</definedName>
    <definedName name="_Pi2" localSheetId="2">#N/A</definedName>
    <definedName name="_Pi2" localSheetId="10">#N/A</definedName>
    <definedName name="_Pi2" localSheetId="9">#N/A</definedName>
    <definedName name="_Pi2" localSheetId="8">#N/A</definedName>
    <definedName name="_Pi2" localSheetId="13">#N/A</definedName>
    <definedName name="_Pi2" localSheetId="14">#N/A</definedName>
    <definedName name="_Pi2" localSheetId="12">#N/A</definedName>
    <definedName name="_Pi2" localSheetId="11">#N/A</definedName>
    <definedName name="_Pi2" localSheetId="41">'Расчет налог. обяз. 2018'!_Pi2</definedName>
    <definedName name="_Pi2" localSheetId="42">'рез к 2017'!_Pi2</definedName>
    <definedName name="_Pi2" localSheetId="46">'рез к 2018'!_Pi2</definedName>
    <definedName name="_Pi2" localSheetId="22">ТН!_Pi2</definedName>
    <definedName name="_Pi2" localSheetId="3">#N/A</definedName>
    <definedName name="_Pi2" localSheetId="1">#N/A</definedName>
    <definedName name="_Pi2">'ЗП с факт 3 кв. 2015'!_Pi2</definedName>
    <definedName name="_Pi3" localSheetId="21">А!_Pi3</definedName>
    <definedName name="_Pi3" localSheetId="43">'вод.налог 2018'!_Pi3</definedName>
    <definedName name="_Pi3" localSheetId="33">'ЗП с факт 3 кв. 2015'!_Pi3</definedName>
    <definedName name="_Pi3" localSheetId="44">'имушество 2018'!_Pi3</definedName>
    <definedName name="_Pi3" localSheetId="40">'налоги 2018'!_Pi3</definedName>
    <definedName name="_Pi3" localSheetId="4">#N/A</definedName>
    <definedName name="_Pi3" localSheetId="2">#N/A</definedName>
    <definedName name="_Pi3" localSheetId="10">#N/A</definedName>
    <definedName name="_Pi3" localSheetId="9">#N/A</definedName>
    <definedName name="_Pi3" localSheetId="8">#N/A</definedName>
    <definedName name="_Pi3" localSheetId="13">#N/A</definedName>
    <definedName name="_Pi3" localSheetId="14">#N/A</definedName>
    <definedName name="_Pi3" localSheetId="12">#N/A</definedName>
    <definedName name="_Pi3" localSheetId="11">#N/A</definedName>
    <definedName name="_Pi3" localSheetId="41">'Расчет налог. обяз. 2018'!_Pi3</definedName>
    <definedName name="_Pi3" localSheetId="42">'рез к 2017'!_Pi3</definedName>
    <definedName name="_Pi3" localSheetId="46">'рез к 2018'!_Pi3</definedName>
    <definedName name="_Pi3" localSheetId="22">ТН!_Pi3</definedName>
    <definedName name="_Pi3" localSheetId="3">#N/A</definedName>
    <definedName name="_Pi3" localSheetId="1">#N/A</definedName>
    <definedName name="_Pi3">'ЗП с факт 3 кв. 2015'!_Pi3</definedName>
    <definedName name="_Pi4" localSheetId="21">А!_Pi4</definedName>
    <definedName name="_Pi4" localSheetId="43">'вод.налог 2018'!_Pi4</definedName>
    <definedName name="_Pi4" localSheetId="33">'ЗП с факт 3 кв. 2015'!_Pi4</definedName>
    <definedName name="_Pi4" localSheetId="44">'имушество 2018'!_Pi4</definedName>
    <definedName name="_Pi4" localSheetId="40">'налоги 2018'!_Pi4</definedName>
    <definedName name="_Pi4" localSheetId="4">#N/A</definedName>
    <definedName name="_Pi4" localSheetId="2">#N/A</definedName>
    <definedName name="_Pi4" localSheetId="10">#N/A</definedName>
    <definedName name="_Pi4" localSheetId="9">#N/A</definedName>
    <definedName name="_Pi4" localSheetId="8">#N/A</definedName>
    <definedName name="_Pi4" localSheetId="13">#N/A</definedName>
    <definedName name="_Pi4" localSheetId="14">#N/A</definedName>
    <definedName name="_Pi4" localSheetId="12">#N/A</definedName>
    <definedName name="_Pi4" localSheetId="11">#N/A</definedName>
    <definedName name="_Pi4" localSheetId="41">'Расчет налог. обяз. 2018'!_Pi4</definedName>
    <definedName name="_Pi4" localSheetId="42">'рез к 2017'!_Pi4</definedName>
    <definedName name="_Pi4" localSheetId="46">'рез к 2018'!_Pi4</definedName>
    <definedName name="_Pi4" localSheetId="22">ТН!_Pi4</definedName>
    <definedName name="_Pi4" localSheetId="3">#N/A</definedName>
    <definedName name="_Pi4" localSheetId="1">#N/A</definedName>
    <definedName name="_Pi4">'ЗП с факт 3 кв. 2015'!_Pi4</definedName>
    <definedName name="_Pi5" localSheetId="21">А!_Pi5</definedName>
    <definedName name="_Pi5" localSheetId="43">'вод.налог 2018'!_Pi5</definedName>
    <definedName name="_Pi5" localSheetId="33">'ЗП с факт 3 кв. 2015'!_Pi5</definedName>
    <definedName name="_Pi5" localSheetId="44">'имушество 2018'!_Pi5</definedName>
    <definedName name="_Pi5" localSheetId="40">'налоги 2018'!_Pi5</definedName>
    <definedName name="_Pi5" localSheetId="4">#N/A</definedName>
    <definedName name="_Pi5" localSheetId="2">#N/A</definedName>
    <definedName name="_Pi5" localSheetId="10">#N/A</definedName>
    <definedName name="_Pi5" localSheetId="9">#N/A</definedName>
    <definedName name="_Pi5" localSheetId="8">#N/A</definedName>
    <definedName name="_Pi5" localSheetId="13">#N/A</definedName>
    <definedName name="_Pi5" localSheetId="14">#N/A</definedName>
    <definedName name="_Pi5" localSheetId="12">#N/A</definedName>
    <definedName name="_Pi5" localSheetId="11">#N/A</definedName>
    <definedName name="_Pi5" localSheetId="41">'Расчет налог. обяз. 2018'!_Pi5</definedName>
    <definedName name="_Pi5" localSheetId="42">'рез к 2017'!_Pi5</definedName>
    <definedName name="_Pi5" localSheetId="46">'рез к 2018'!_Pi5</definedName>
    <definedName name="_Pi5" localSheetId="22">ТН!_Pi5</definedName>
    <definedName name="_Pi5" localSheetId="3">#N/A</definedName>
    <definedName name="_Pi5" localSheetId="1">#N/A</definedName>
    <definedName name="_Pi5">'ЗП с факт 3 кв. 2015'!_Pi5</definedName>
    <definedName name="asds" localSheetId="21">А!asds</definedName>
    <definedName name="asds" localSheetId="43">'вод.налог 2018'!asds</definedName>
    <definedName name="asds" localSheetId="33">'ЗП с факт 3 кв. 2015'!asds</definedName>
    <definedName name="asds" localSheetId="44">'имушество 2018'!asds</definedName>
    <definedName name="asds" localSheetId="40">'налоги 2018'!asds</definedName>
    <definedName name="asds" localSheetId="4">#N/A</definedName>
    <definedName name="asds" localSheetId="2">#N/A</definedName>
    <definedName name="asds" localSheetId="10">#N/A</definedName>
    <definedName name="asds" localSheetId="9">#N/A</definedName>
    <definedName name="asds" localSheetId="8">#N/A</definedName>
    <definedName name="asds" localSheetId="13">#N/A</definedName>
    <definedName name="asds" localSheetId="14">#N/A</definedName>
    <definedName name="asds" localSheetId="12">#N/A</definedName>
    <definedName name="asds" localSheetId="11">#N/A</definedName>
    <definedName name="asds" localSheetId="41">'Расчет налог. обяз. 2018'!asds</definedName>
    <definedName name="asds" localSheetId="42">'рез к 2017'!asds</definedName>
    <definedName name="asds" localSheetId="46">'рез к 2018'!asds</definedName>
    <definedName name="asds" localSheetId="22">ТН!asds</definedName>
    <definedName name="asds" localSheetId="3">#N/A</definedName>
    <definedName name="asds" localSheetId="1">#N/A</definedName>
    <definedName name="asds">'ЗП с факт 3 кв. 2015'!asds</definedName>
    <definedName name="asds_10" localSheetId="21">А!asds</definedName>
    <definedName name="asds_10" localSheetId="43">'вод.налог 2018'!asds</definedName>
    <definedName name="asds_10" localSheetId="33">'ЗП с факт 3 кв. 2015'!asds</definedName>
    <definedName name="asds_10" localSheetId="44">'имушество 2018'!asds</definedName>
    <definedName name="asds_10" localSheetId="40">'налоги 2018'!asds</definedName>
    <definedName name="asds_10" localSheetId="4">'ПОЛНАЯ СЕБЕСТОИМОСТЬ ВОДА 2018'!asds</definedName>
    <definedName name="asds_10" localSheetId="2">'ПОЛНАЯ СЕБЕСТОИМОСТЬ СТОКИ 2018'!asds</definedName>
    <definedName name="asds_10" localSheetId="10">'Прил. 1 План ФХД вода табл. 2'!asds</definedName>
    <definedName name="asds_10" localSheetId="9">'Прил. 1 План ФХД стоки табл 2'!asds</definedName>
    <definedName name="asds_10" localSheetId="8">'Прил. 1 План ФХД табл 1'!asds</definedName>
    <definedName name="asds_10" localSheetId="13">'Произв. прогр. Вода'!asds</definedName>
    <definedName name="asds_10" localSheetId="14">'Произв. прогр. Вода (СВОД)'!asds</definedName>
    <definedName name="asds_10" localSheetId="12">'Произв. прогр. Стоки'!asds</definedName>
    <definedName name="asds_10" localSheetId="11">'Произв. прогр. Стоки (СВОД)'!asds</definedName>
    <definedName name="asds_10" localSheetId="41">'Расчет налог. обяз. 2018'!asds</definedName>
    <definedName name="asds_10" localSheetId="42">'рез к 2017'!asds</definedName>
    <definedName name="asds_10" localSheetId="46">'рез к 2018'!asds</definedName>
    <definedName name="asds_10" localSheetId="22">ТН!asds</definedName>
    <definedName name="asds_10" localSheetId="3">'ФАКТ. СЕБЕСТ ВОДА 1 пол.2018'!asds</definedName>
    <definedName name="asds_10" localSheetId="1">'ФАКТ. СЕБЕСТ. СТОКИ 1 пол. 2018'!asds</definedName>
    <definedName name="asds_10">[0]!asds</definedName>
    <definedName name="asds_14" localSheetId="21">А!asds</definedName>
    <definedName name="asds_14" localSheetId="43">'вод.налог 2018'!asds</definedName>
    <definedName name="asds_14" localSheetId="33">'ЗП с факт 3 кв. 2015'!asds</definedName>
    <definedName name="asds_14" localSheetId="44">'имушество 2018'!asds</definedName>
    <definedName name="asds_14" localSheetId="40">'налоги 2018'!asds</definedName>
    <definedName name="asds_14" localSheetId="4">'ПОЛНАЯ СЕБЕСТОИМОСТЬ ВОДА 2018'!asds</definedName>
    <definedName name="asds_14" localSheetId="2">'ПОЛНАЯ СЕБЕСТОИМОСТЬ СТОКИ 2018'!asds</definedName>
    <definedName name="asds_14" localSheetId="10">'Прил. 1 План ФХД вода табл. 2'!asds</definedName>
    <definedName name="asds_14" localSheetId="9">'Прил. 1 План ФХД стоки табл 2'!asds</definedName>
    <definedName name="asds_14" localSheetId="8">'Прил. 1 План ФХД табл 1'!asds</definedName>
    <definedName name="asds_14" localSheetId="13">'Произв. прогр. Вода'!asds</definedName>
    <definedName name="asds_14" localSheetId="14">'Произв. прогр. Вода (СВОД)'!asds</definedName>
    <definedName name="asds_14" localSheetId="12">'Произв. прогр. Стоки'!asds</definedName>
    <definedName name="asds_14" localSheetId="11">'Произв. прогр. Стоки (СВОД)'!asds</definedName>
    <definedName name="asds_14" localSheetId="41">'Расчет налог. обяз. 2018'!asds</definedName>
    <definedName name="asds_14" localSheetId="42">'рез к 2017'!asds</definedName>
    <definedName name="asds_14" localSheetId="46">'рез к 2018'!asds</definedName>
    <definedName name="asds_14" localSheetId="22">ТН!asds</definedName>
    <definedName name="asds_14" localSheetId="3">'ФАКТ. СЕБЕСТ ВОДА 1 пол.2018'!asds</definedName>
    <definedName name="asds_14" localSheetId="1">'ФАКТ. СЕБЕСТ. СТОКИ 1 пол. 2018'!asds</definedName>
    <definedName name="asds_14">[0]!asds</definedName>
    <definedName name="asds_15" localSheetId="21">А!asds</definedName>
    <definedName name="asds_15" localSheetId="43">'вод.налог 2018'!asds</definedName>
    <definedName name="asds_15" localSheetId="33">'ЗП с факт 3 кв. 2015'!asds</definedName>
    <definedName name="asds_15" localSheetId="44">'имушество 2018'!asds</definedName>
    <definedName name="asds_15" localSheetId="40">'налоги 2018'!asds</definedName>
    <definedName name="asds_15" localSheetId="4">'ПОЛНАЯ СЕБЕСТОИМОСТЬ ВОДА 2018'!asds</definedName>
    <definedName name="asds_15" localSheetId="2">'ПОЛНАЯ СЕБЕСТОИМОСТЬ СТОКИ 2018'!asds</definedName>
    <definedName name="asds_15" localSheetId="10">'Прил. 1 План ФХД вода табл. 2'!asds</definedName>
    <definedName name="asds_15" localSheetId="9">'Прил. 1 План ФХД стоки табл 2'!asds</definedName>
    <definedName name="asds_15" localSheetId="8">'Прил. 1 План ФХД табл 1'!asds</definedName>
    <definedName name="asds_15" localSheetId="13">'Произв. прогр. Вода'!asds</definedName>
    <definedName name="asds_15" localSheetId="14">'Произв. прогр. Вода (СВОД)'!asds</definedName>
    <definedName name="asds_15" localSheetId="12">'Произв. прогр. Стоки'!asds</definedName>
    <definedName name="asds_15" localSheetId="11">'Произв. прогр. Стоки (СВОД)'!asds</definedName>
    <definedName name="asds_15" localSheetId="41">'Расчет налог. обяз. 2018'!asds</definedName>
    <definedName name="asds_15" localSheetId="42">'рез к 2017'!asds</definedName>
    <definedName name="asds_15" localSheetId="46">'рез к 2018'!asds</definedName>
    <definedName name="asds_15" localSheetId="22">ТН!asds</definedName>
    <definedName name="asds_15" localSheetId="3">'ФАКТ. СЕБЕСТ ВОДА 1 пол.2018'!asds</definedName>
    <definedName name="asds_15" localSheetId="1">'ФАКТ. СЕБЕСТ. СТОКИ 1 пол. 2018'!asds</definedName>
    <definedName name="asds_15">[0]!asds</definedName>
    <definedName name="asds_16" localSheetId="21">А!asds</definedName>
    <definedName name="asds_16" localSheetId="43">'вод.налог 2018'!asds</definedName>
    <definedName name="asds_16" localSheetId="33">'ЗП с факт 3 кв. 2015'!asds</definedName>
    <definedName name="asds_16" localSheetId="44">'имушество 2018'!asds</definedName>
    <definedName name="asds_16" localSheetId="40">'налоги 2018'!asds</definedName>
    <definedName name="asds_16" localSheetId="4">'ПОЛНАЯ СЕБЕСТОИМОСТЬ ВОДА 2018'!asds</definedName>
    <definedName name="asds_16" localSheetId="2">'ПОЛНАЯ СЕБЕСТОИМОСТЬ СТОКИ 2018'!asds</definedName>
    <definedName name="asds_16" localSheetId="10">'Прил. 1 План ФХД вода табл. 2'!asds</definedName>
    <definedName name="asds_16" localSheetId="9">'Прил. 1 План ФХД стоки табл 2'!asds</definedName>
    <definedName name="asds_16" localSheetId="8">'Прил. 1 План ФХД табл 1'!asds</definedName>
    <definedName name="asds_16" localSheetId="13">'Произв. прогр. Вода'!asds</definedName>
    <definedName name="asds_16" localSheetId="14">'Произв. прогр. Вода (СВОД)'!asds</definedName>
    <definedName name="asds_16" localSheetId="12">'Произв. прогр. Стоки'!asds</definedName>
    <definedName name="asds_16" localSheetId="11">'Произв. прогр. Стоки (СВОД)'!asds</definedName>
    <definedName name="asds_16" localSheetId="41">'Расчет налог. обяз. 2018'!asds</definedName>
    <definedName name="asds_16" localSheetId="42">'рез к 2017'!asds</definedName>
    <definedName name="asds_16" localSheetId="46">'рез к 2018'!asds</definedName>
    <definedName name="asds_16" localSheetId="22">ТН!asds</definedName>
    <definedName name="asds_16" localSheetId="3">'ФАКТ. СЕБЕСТ ВОДА 1 пол.2018'!asds</definedName>
    <definedName name="asds_16" localSheetId="1">'ФАКТ. СЕБЕСТ. СТОКИ 1 пол. 2018'!asds</definedName>
    <definedName name="asds_16">[0]!asds</definedName>
    <definedName name="asds_2" localSheetId="21">А!asds</definedName>
    <definedName name="asds_2" localSheetId="43">'вод.налог 2018'!asds</definedName>
    <definedName name="asds_2" localSheetId="33">'ЗП с факт 3 кв. 2015'!asds</definedName>
    <definedName name="asds_2" localSheetId="44">'имушество 2018'!asds</definedName>
    <definedName name="asds_2" localSheetId="40">'налоги 2018'!asds</definedName>
    <definedName name="asds_2" localSheetId="4">'ПОЛНАЯ СЕБЕСТОИМОСТЬ ВОДА 2018'!asds</definedName>
    <definedName name="asds_2" localSheetId="2">'ПОЛНАЯ СЕБЕСТОИМОСТЬ СТОКИ 2018'!asds</definedName>
    <definedName name="asds_2" localSheetId="10">'Прил. 1 План ФХД вода табл. 2'!asds</definedName>
    <definedName name="asds_2" localSheetId="9">'Прил. 1 План ФХД стоки табл 2'!asds</definedName>
    <definedName name="asds_2" localSheetId="8">'Прил. 1 План ФХД табл 1'!asds</definedName>
    <definedName name="asds_2" localSheetId="13">'Произв. прогр. Вода'!asds</definedName>
    <definedName name="asds_2" localSheetId="14">'Произв. прогр. Вода (СВОД)'!asds</definedName>
    <definedName name="asds_2" localSheetId="12">'Произв. прогр. Стоки'!asds</definedName>
    <definedName name="asds_2" localSheetId="11">'Произв. прогр. Стоки (СВОД)'!asds</definedName>
    <definedName name="asds_2" localSheetId="41">'Расчет налог. обяз. 2018'!asds</definedName>
    <definedName name="asds_2" localSheetId="42">'рез к 2017'!asds</definedName>
    <definedName name="asds_2" localSheetId="46">'рез к 2018'!asds</definedName>
    <definedName name="asds_2" localSheetId="22">ТН!asds</definedName>
    <definedName name="asds_2" localSheetId="3">'ФАКТ. СЕБЕСТ ВОДА 1 пол.2018'!asds</definedName>
    <definedName name="asds_2" localSheetId="1">'ФАКТ. СЕБЕСТ. СТОКИ 1 пол. 2018'!asds</definedName>
    <definedName name="asds_2">[0]!asds</definedName>
    <definedName name="CY" localSheetId="4">[1]Титул!$M$2</definedName>
    <definedName name="CY" localSheetId="2">[1]Титул!$M$2</definedName>
    <definedName name="CY" localSheetId="3">[1]Титул!$M$2</definedName>
    <definedName name="CY" localSheetId="1">[1]Титул!$M$2</definedName>
    <definedName name="CY">[1]Титул!$M$2</definedName>
    <definedName name="CY_10">[2]Титул!$M$2</definedName>
    <definedName name="CY_14">[2]Титул!$M$2</definedName>
    <definedName name="CY_15">[2]Титул!$M$2</definedName>
    <definedName name="CY_16">[2]Титул!$M$2</definedName>
    <definedName name="CY_2">[2]Титул!$M$2</definedName>
    <definedName name="CY_74" localSheetId="4">[3]Список!$J$2</definedName>
    <definedName name="CY_74" localSheetId="2">[3]Список!$J$2</definedName>
    <definedName name="CY_74" localSheetId="3">[3]Список!$J$2</definedName>
    <definedName name="CY_74" localSheetId="1">[3]Список!$J$2</definedName>
    <definedName name="CY_74">[3]Список!$J$2</definedName>
    <definedName name="CY_75" localSheetId="4">[3]Список!$J$2</definedName>
    <definedName name="CY_75" localSheetId="2">[3]Список!$J$2</definedName>
    <definedName name="CY_75" localSheetId="3">[3]Список!$J$2</definedName>
    <definedName name="CY_75" localSheetId="1">[3]Список!$J$2</definedName>
    <definedName name="CY_75">[3]Список!$J$2</definedName>
    <definedName name="dfhf" localSheetId="4">[3]Список!$J$2</definedName>
    <definedName name="dfhf" localSheetId="2">[3]Список!$J$2</definedName>
    <definedName name="dfhf" localSheetId="3">[3]Список!$J$2</definedName>
    <definedName name="dfhf" localSheetId="1">[3]Список!$J$2</definedName>
    <definedName name="dfhf">[3]Список!$J$2</definedName>
    <definedName name="end_chart" localSheetId="21">А!end_chart</definedName>
    <definedName name="end_chart" localSheetId="43">'вод.налог 2018'!end_chart</definedName>
    <definedName name="end_chart" localSheetId="33">'ЗП с факт 3 кв. 2015'!end_chart</definedName>
    <definedName name="end_chart" localSheetId="44">'имушество 2018'!end_chart</definedName>
    <definedName name="end_chart" localSheetId="40">'налоги 2018'!end_chart</definedName>
    <definedName name="end_chart" localSheetId="4">#N/A</definedName>
    <definedName name="end_chart" localSheetId="2">#N/A</definedName>
    <definedName name="end_chart" localSheetId="10">#N/A</definedName>
    <definedName name="end_chart" localSheetId="9">#N/A</definedName>
    <definedName name="end_chart" localSheetId="8">#N/A</definedName>
    <definedName name="end_chart" localSheetId="13">#N/A</definedName>
    <definedName name="end_chart" localSheetId="14">#N/A</definedName>
    <definedName name="end_chart" localSheetId="12">#N/A</definedName>
    <definedName name="end_chart" localSheetId="11">#N/A</definedName>
    <definedName name="end_chart" localSheetId="41">'Расчет налог. обяз. 2018'!end_chart</definedName>
    <definedName name="end_chart" localSheetId="42">'рез к 2017'!end_chart</definedName>
    <definedName name="end_chart" localSheetId="46">'рез к 2018'!end_chart</definedName>
    <definedName name="end_chart" localSheetId="22">ТН!end_chart</definedName>
    <definedName name="end_chart" localSheetId="3">#N/A</definedName>
    <definedName name="end_chart" localSheetId="1">#N/A</definedName>
    <definedName name="end_chart">'ЗП с факт 3 кв. 2015'!end_chart</definedName>
    <definedName name="end_chart_10" localSheetId="21">А!end_chart</definedName>
    <definedName name="end_chart_10" localSheetId="43">'вод.налог 2018'!end_chart</definedName>
    <definedName name="end_chart_10" localSheetId="33">'ЗП с факт 3 кв. 2015'!end_chart</definedName>
    <definedName name="end_chart_10" localSheetId="44">'имушество 2018'!end_chart</definedName>
    <definedName name="end_chart_10" localSheetId="40">'налоги 2018'!end_chart</definedName>
    <definedName name="end_chart_10" localSheetId="4">'ПОЛНАЯ СЕБЕСТОИМОСТЬ ВОДА 2018'!end_chart</definedName>
    <definedName name="end_chart_10" localSheetId="2">'ПОЛНАЯ СЕБЕСТОИМОСТЬ СТОКИ 2018'!end_chart</definedName>
    <definedName name="end_chart_10" localSheetId="10">'Прил. 1 План ФХД вода табл. 2'!end_chart</definedName>
    <definedName name="end_chart_10" localSheetId="9">'Прил. 1 План ФХД стоки табл 2'!end_chart</definedName>
    <definedName name="end_chart_10" localSheetId="8">'Прил. 1 План ФХД табл 1'!end_chart</definedName>
    <definedName name="end_chart_10" localSheetId="13">'Произв. прогр. Вода'!end_chart</definedName>
    <definedName name="end_chart_10" localSheetId="14">'Произв. прогр. Вода (СВОД)'!end_chart</definedName>
    <definedName name="end_chart_10" localSheetId="12">'Произв. прогр. Стоки'!end_chart</definedName>
    <definedName name="end_chart_10" localSheetId="11">'Произв. прогр. Стоки (СВОД)'!end_chart</definedName>
    <definedName name="end_chart_10" localSheetId="41">'Расчет налог. обяз. 2018'!end_chart</definedName>
    <definedName name="end_chart_10" localSheetId="42">'рез к 2017'!end_chart</definedName>
    <definedName name="end_chart_10" localSheetId="46">'рез к 2018'!end_chart</definedName>
    <definedName name="end_chart_10" localSheetId="22">ТН!end_chart</definedName>
    <definedName name="end_chart_10" localSheetId="3">'ФАКТ. СЕБЕСТ ВОДА 1 пол.2018'!end_chart</definedName>
    <definedName name="end_chart_10" localSheetId="1">'ФАКТ. СЕБЕСТ. СТОКИ 1 пол. 2018'!end_chart</definedName>
    <definedName name="end_chart_10">[0]!end_chart</definedName>
    <definedName name="end_chart_14" localSheetId="21">А!end_chart</definedName>
    <definedName name="end_chart_14" localSheetId="43">'вод.налог 2018'!end_chart</definedName>
    <definedName name="end_chart_14" localSheetId="33">'ЗП с факт 3 кв. 2015'!end_chart</definedName>
    <definedName name="end_chart_14" localSheetId="44">'имушество 2018'!end_chart</definedName>
    <definedName name="end_chart_14" localSheetId="40">'налоги 2018'!end_chart</definedName>
    <definedName name="end_chart_14" localSheetId="4">'ПОЛНАЯ СЕБЕСТОИМОСТЬ ВОДА 2018'!end_chart</definedName>
    <definedName name="end_chart_14" localSheetId="2">'ПОЛНАЯ СЕБЕСТОИМОСТЬ СТОКИ 2018'!end_chart</definedName>
    <definedName name="end_chart_14" localSheetId="10">'Прил. 1 План ФХД вода табл. 2'!end_chart</definedName>
    <definedName name="end_chart_14" localSheetId="9">'Прил. 1 План ФХД стоки табл 2'!end_chart</definedName>
    <definedName name="end_chart_14" localSheetId="8">'Прил. 1 План ФХД табл 1'!end_chart</definedName>
    <definedName name="end_chart_14" localSheetId="13">'Произв. прогр. Вода'!end_chart</definedName>
    <definedName name="end_chart_14" localSheetId="14">'Произв. прогр. Вода (СВОД)'!end_chart</definedName>
    <definedName name="end_chart_14" localSheetId="12">'Произв. прогр. Стоки'!end_chart</definedName>
    <definedName name="end_chart_14" localSheetId="11">'Произв. прогр. Стоки (СВОД)'!end_chart</definedName>
    <definedName name="end_chart_14" localSheetId="41">'Расчет налог. обяз. 2018'!end_chart</definedName>
    <definedName name="end_chart_14" localSheetId="42">'рез к 2017'!end_chart</definedName>
    <definedName name="end_chart_14" localSheetId="46">'рез к 2018'!end_chart</definedName>
    <definedName name="end_chart_14" localSheetId="22">ТН!end_chart</definedName>
    <definedName name="end_chart_14" localSheetId="3">'ФАКТ. СЕБЕСТ ВОДА 1 пол.2018'!end_chart</definedName>
    <definedName name="end_chart_14" localSheetId="1">'ФАКТ. СЕБЕСТ. СТОКИ 1 пол. 2018'!end_chart</definedName>
    <definedName name="end_chart_14">[0]!end_chart</definedName>
    <definedName name="end_chart_15" localSheetId="21">А!end_chart</definedName>
    <definedName name="end_chart_15" localSheetId="43">'вод.налог 2018'!end_chart</definedName>
    <definedName name="end_chart_15" localSheetId="33">'ЗП с факт 3 кв. 2015'!end_chart</definedName>
    <definedName name="end_chart_15" localSheetId="44">'имушество 2018'!end_chart</definedName>
    <definedName name="end_chart_15" localSheetId="40">'налоги 2018'!end_chart</definedName>
    <definedName name="end_chart_15" localSheetId="4">'ПОЛНАЯ СЕБЕСТОИМОСТЬ ВОДА 2018'!end_chart</definedName>
    <definedName name="end_chart_15" localSheetId="2">'ПОЛНАЯ СЕБЕСТОИМОСТЬ СТОКИ 2018'!end_chart</definedName>
    <definedName name="end_chart_15" localSheetId="10">'Прил. 1 План ФХД вода табл. 2'!end_chart</definedName>
    <definedName name="end_chart_15" localSheetId="9">'Прил. 1 План ФХД стоки табл 2'!end_chart</definedName>
    <definedName name="end_chart_15" localSheetId="8">'Прил. 1 План ФХД табл 1'!end_chart</definedName>
    <definedName name="end_chart_15" localSheetId="13">'Произв. прогр. Вода'!end_chart</definedName>
    <definedName name="end_chart_15" localSheetId="14">'Произв. прогр. Вода (СВОД)'!end_chart</definedName>
    <definedName name="end_chart_15" localSheetId="12">'Произв. прогр. Стоки'!end_chart</definedName>
    <definedName name="end_chart_15" localSheetId="11">'Произв. прогр. Стоки (СВОД)'!end_chart</definedName>
    <definedName name="end_chart_15" localSheetId="41">'Расчет налог. обяз. 2018'!end_chart</definedName>
    <definedName name="end_chart_15" localSheetId="42">'рез к 2017'!end_chart</definedName>
    <definedName name="end_chart_15" localSheetId="46">'рез к 2018'!end_chart</definedName>
    <definedName name="end_chart_15" localSheetId="22">ТН!end_chart</definedName>
    <definedName name="end_chart_15" localSheetId="3">'ФАКТ. СЕБЕСТ ВОДА 1 пол.2018'!end_chart</definedName>
    <definedName name="end_chart_15" localSheetId="1">'ФАКТ. СЕБЕСТ. СТОКИ 1 пол. 2018'!end_chart</definedName>
    <definedName name="end_chart_15">[0]!end_chart</definedName>
    <definedName name="end_chart_16" localSheetId="21">А!end_chart</definedName>
    <definedName name="end_chart_16" localSheetId="43">'вод.налог 2018'!end_chart</definedName>
    <definedName name="end_chart_16" localSheetId="33">'ЗП с факт 3 кв. 2015'!end_chart</definedName>
    <definedName name="end_chart_16" localSheetId="44">'имушество 2018'!end_chart</definedName>
    <definedName name="end_chart_16" localSheetId="40">'налоги 2018'!end_chart</definedName>
    <definedName name="end_chart_16" localSheetId="4">'ПОЛНАЯ СЕБЕСТОИМОСТЬ ВОДА 2018'!end_chart</definedName>
    <definedName name="end_chart_16" localSheetId="2">'ПОЛНАЯ СЕБЕСТОИМОСТЬ СТОКИ 2018'!end_chart</definedName>
    <definedName name="end_chart_16" localSheetId="10">'Прил. 1 План ФХД вода табл. 2'!end_chart</definedName>
    <definedName name="end_chart_16" localSheetId="9">'Прил. 1 План ФХД стоки табл 2'!end_chart</definedName>
    <definedName name="end_chart_16" localSheetId="8">'Прил. 1 План ФХД табл 1'!end_chart</definedName>
    <definedName name="end_chart_16" localSheetId="13">'Произв. прогр. Вода'!end_chart</definedName>
    <definedName name="end_chart_16" localSheetId="14">'Произв. прогр. Вода (СВОД)'!end_chart</definedName>
    <definedName name="end_chart_16" localSheetId="12">'Произв. прогр. Стоки'!end_chart</definedName>
    <definedName name="end_chart_16" localSheetId="11">'Произв. прогр. Стоки (СВОД)'!end_chart</definedName>
    <definedName name="end_chart_16" localSheetId="41">'Расчет налог. обяз. 2018'!end_chart</definedName>
    <definedName name="end_chart_16" localSheetId="42">'рез к 2017'!end_chart</definedName>
    <definedName name="end_chart_16" localSheetId="46">'рез к 2018'!end_chart</definedName>
    <definedName name="end_chart_16" localSheetId="22">ТН!end_chart</definedName>
    <definedName name="end_chart_16" localSheetId="3">'ФАКТ. СЕБЕСТ ВОДА 1 пол.2018'!end_chart</definedName>
    <definedName name="end_chart_16" localSheetId="1">'ФАКТ. СЕБЕСТ. СТОКИ 1 пол. 2018'!end_chart</definedName>
    <definedName name="end_chart_16">[0]!end_chart</definedName>
    <definedName name="end_chart_2" localSheetId="21">А!end_chart</definedName>
    <definedName name="end_chart_2" localSheetId="43">'вод.налог 2018'!end_chart</definedName>
    <definedName name="end_chart_2" localSheetId="33">'ЗП с факт 3 кв. 2015'!end_chart</definedName>
    <definedName name="end_chart_2" localSheetId="44">'имушество 2018'!end_chart</definedName>
    <definedName name="end_chart_2" localSheetId="40">'налоги 2018'!end_chart</definedName>
    <definedName name="end_chart_2" localSheetId="4">'ПОЛНАЯ СЕБЕСТОИМОСТЬ ВОДА 2018'!end_chart</definedName>
    <definedName name="end_chart_2" localSheetId="2">'ПОЛНАЯ СЕБЕСТОИМОСТЬ СТОКИ 2018'!end_chart</definedName>
    <definedName name="end_chart_2" localSheetId="10">'Прил. 1 План ФХД вода табл. 2'!end_chart</definedName>
    <definedName name="end_chart_2" localSheetId="9">'Прил. 1 План ФХД стоки табл 2'!end_chart</definedName>
    <definedName name="end_chart_2" localSheetId="8">'Прил. 1 План ФХД табл 1'!end_chart</definedName>
    <definedName name="end_chart_2" localSheetId="13">'Произв. прогр. Вода'!end_chart</definedName>
    <definedName name="end_chart_2" localSheetId="14">'Произв. прогр. Вода (СВОД)'!end_chart</definedName>
    <definedName name="end_chart_2" localSheetId="12">'Произв. прогр. Стоки'!end_chart</definedName>
    <definedName name="end_chart_2" localSheetId="11">'Произв. прогр. Стоки (СВОД)'!end_chart</definedName>
    <definedName name="end_chart_2" localSheetId="41">'Расчет налог. обяз. 2018'!end_chart</definedName>
    <definedName name="end_chart_2" localSheetId="42">'рез к 2017'!end_chart</definedName>
    <definedName name="end_chart_2" localSheetId="46">'рез к 2018'!end_chart</definedName>
    <definedName name="end_chart_2" localSheetId="22">ТН!end_chart</definedName>
    <definedName name="end_chart_2" localSheetId="3">'ФАКТ. СЕБЕСТ ВОДА 1 пол.2018'!end_chart</definedName>
    <definedName name="end_chart_2" localSheetId="1">'ФАКТ. СЕБЕСТ. СТОКИ 1 пол. 2018'!end_chart</definedName>
    <definedName name="end_chart_2">[0]!end_chart</definedName>
    <definedName name="end_tabl" localSheetId="21">А!end_tabl</definedName>
    <definedName name="end_tabl" localSheetId="43">'вод.налог 2018'!end_tabl</definedName>
    <definedName name="end_tabl" localSheetId="33">'ЗП с факт 3 кв. 2015'!end_tabl</definedName>
    <definedName name="end_tabl" localSheetId="44">'имушество 2018'!end_tabl</definedName>
    <definedName name="end_tabl" localSheetId="40">'налоги 2018'!end_tabl</definedName>
    <definedName name="end_tabl" localSheetId="4">#N/A</definedName>
    <definedName name="end_tabl" localSheetId="2">#N/A</definedName>
    <definedName name="end_tabl" localSheetId="10">#N/A</definedName>
    <definedName name="end_tabl" localSheetId="9">#N/A</definedName>
    <definedName name="end_tabl" localSheetId="8">#N/A</definedName>
    <definedName name="end_tabl" localSheetId="13">#N/A</definedName>
    <definedName name="end_tabl" localSheetId="14">#N/A</definedName>
    <definedName name="end_tabl" localSheetId="12">#N/A</definedName>
    <definedName name="end_tabl" localSheetId="11">#N/A</definedName>
    <definedName name="end_tabl" localSheetId="41">'Расчет налог. обяз. 2018'!end_tabl</definedName>
    <definedName name="end_tabl" localSheetId="42">'рез к 2017'!end_tabl</definedName>
    <definedName name="end_tabl" localSheetId="46">'рез к 2018'!end_tabl</definedName>
    <definedName name="end_tabl" localSheetId="22">ТН!end_tabl</definedName>
    <definedName name="end_tabl" localSheetId="3">#N/A</definedName>
    <definedName name="end_tabl" localSheetId="1">#N/A</definedName>
    <definedName name="end_tabl">'ЗП с факт 3 кв. 2015'!end_tabl</definedName>
    <definedName name="end_tabl_10" localSheetId="21">А!end_tabl</definedName>
    <definedName name="end_tabl_10" localSheetId="43">'вод.налог 2018'!end_tabl</definedName>
    <definedName name="end_tabl_10" localSheetId="33">'ЗП с факт 3 кв. 2015'!end_tabl</definedName>
    <definedName name="end_tabl_10" localSheetId="44">'имушество 2018'!end_tabl</definedName>
    <definedName name="end_tabl_10" localSheetId="40">'налоги 2018'!end_tabl</definedName>
    <definedName name="end_tabl_10" localSheetId="4">'ПОЛНАЯ СЕБЕСТОИМОСТЬ ВОДА 2018'!end_tabl</definedName>
    <definedName name="end_tabl_10" localSheetId="2">'ПОЛНАЯ СЕБЕСТОИМОСТЬ СТОКИ 2018'!end_tabl</definedName>
    <definedName name="end_tabl_10" localSheetId="10">'Прил. 1 План ФХД вода табл. 2'!end_tabl</definedName>
    <definedName name="end_tabl_10" localSheetId="9">'Прил. 1 План ФХД стоки табл 2'!end_tabl</definedName>
    <definedName name="end_tabl_10" localSheetId="8">'Прил. 1 План ФХД табл 1'!end_tabl</definedName>
    <definedName name="end_tabl_10" localSheetId="13">'Произв. прогр. Вода'!end_tabl</definedName>
    <definedName name="end_tabl_10" localSheetId="14">'Произв. прогр. Вода (СВОД)'!end_tabl</definedName>
    <definedName name="end_tabl_10" localSheetId="12">'Произв. прогр. Стоки'!end_tabl</definedName>
    <definedName name="end_tabl_10" localSheetId="11">'Произв. прогр. Стоки (СВОД)'!end_tabl</definedName>
    <definedName name="end_tabl_10" localSheetId="41">'Расчет налог. обяз. 2018'!end_tabl</definedName>
    <definedName name="end_tabl_10" localSheetId="42">'рез к 2017'!end_tabl</definedName>
    <definedName name="end_tabl_10" localSheetId="46">'рез к 2018'!end_tabl</definedName>
    <definedName name="end_tabl_10" localSheetId="22">ТН!end_tabl</definedName>
    <definedName name="end_tabl_10" localSheetId="3">'ФАКТ. СЕБЕСТ ВОДА 1 пол.2018'!end_tabl</definedName>
    <definedName name="end_tabl_10" localSheetId="1">'ФАКТ. СЕБЕСТ. СТОКИ 1 пол. 2018'!end_tabl</definedName>
    <definedName name="end_tabl_10">[0]!end_tabl</definedName>
    <definedName name="end_tabl_14" localSheetId="21">А!end_tabl</definedName>
    <definedName name="end_tabl_14" localSheetId="43">'вод.налог 2018'!end_tabl</definedName>
    <definedName name="end_tabl_14" localSheetId="33">'ЗП с факт 3 кв. 2015'!end_tabl</definedName>
    <definedName name="end_tabl_14" localSheetId="44">'имушество 2018'!end_tabl</definedName>
    <definedName name="end_tabl_14" localSheetId="40">'налоги 2018'!end_tabl</definedName>
    <definedName name="end_tabl_14" localSheetId="4">'ПОЛНАЯ СЕБЕСТОИМОСТЬ ВОДА 2018'!end_tabl</definedName>
    <definedName name="end_tabl_14" localSheetId="2">'ПОЛНАЯ СЕБЕСТОИМОСТЬ СТОКИ 2018'!end_tabl</definedName>
    <definedName name="end_tabl_14" localSheetId="10">'Прил. 1 План ФХД вода табл. 2'!end_tabl</definedName>
    <definedName name="end_tabl_14" localSheetId="9">'Прил. 1 План ФХД стоки табл 2'!end_tabl</definedName>
    <definedName name="end_tabl_14" localSheetId="8">'Прил. 1 План ФХД табл 1'!end_tabl</definedName>
    <definedName name="end_tabl_14" localSheetId="13">'Произв. прогр. Вода'!end_tabl</definedName>
    <definedName name="end_tabl_14" localSheetId="14">'Произв. прогр. Вода (СВОД)'!end_tabl</definedName>
    <definedName name="end_tabl_14" localSheetId="12">'Произв. прогр. Стоки'!end_tabl</definedName>
    <definedName name="end_tabl_14" localSheetId="11">'Произв. прогр. Стоки (СВОД)'!end_tabl</definedName>
    <definedName name="end_tabl_14" localSheetId="41">'Расчет налог. обяз. 2018'!end_tabl</definedName>
    <definedName name="end_tabl_14" localSheetId="42">'рез к 2017'!end_tabl</definedName>
    <definedName name="end_tabl_14" localSheetId="46">'рез к 2018'!end_tabl</definedName>
    <definedName name="end_tabl_14" localSheetId="22">ТН!end_tabl</definedName>
    <definedName name="end_tabl_14" localSheetId="3">'ФАКТ. СЕБЕСТ ВОДА 1 пол.2018'!end_tabl</definedName>
    <definedName name="end_tabl_14" localSheetId="1">'ФАКТ. СЕБЕСТ. СТОКИ 1 пол. 2018'!end_tabl</definedName>
    <definedName name="end_tabl_14">[0]!end_tabl</definedName>
    <definedName name="end_tabl_15" localSheetId="21">А!end_tabl</definedName>
    <definedName name="end_tabl_15" localSheetId="43">'вод.налог 2018'!end_tabl</definedName>
    <definedName name="end_tabl_15" localSheetId="33">'ЗП с факт 3 кв. 2015'!end_tabl</definedName>
    <definedName name="end_tabl_15" localSheetId="44">'имушество 2018'!end_tabl</definedName>
    <definedName name="end_tabl_15" localSheetId="40">'налоги 2018'!end_tabl</definedName>
    <definedName name="end_tabl_15" localSheetId="4">'ПОЛНАЯ СЕБЕСТОИМОСТЬ ВОДА 2018'!end_tabl</definedName>
    <definedName name="end_tabl_15" localSheetId="2">'ПОЛНАЯ СЕБЕСТОИМОСТЬ СТОКИ 2018'!end_tabl</definedName>
    <definedName name="end_tabl_15" localSheetId="10">'Прил. 1 План ФХД вода табл. 2'!end_tabl</definedName>
    <definedName name="end_tabl_15" localSheetId="9">'Прил. 1 План ФХД стоки табл 2'!end_tabl</definedName>
    <definedName name="end_tabl_15" localSheetId="8">'Прил. 1 План ФХД табл 1'!end_tabl</definedName>
    <definedName name="end_tabl_15" localSheetId="13">'Произв. прогр. Вода'!end_tabl</definedName>
    <definedName name="end_tabl_15" localSheetId="14">'Произв. прогр. Вода (СВОД)'!end_tabl</definedName>
    <definedName name="end_tabl_15" localSheetId="12">'Произв. прогр. Стоки'!end_tabl</definedName>
    <definedName name="end_tabl_15" localSheetId="11">'Произв. прогр. Стоки (СВОД)'!end_tabl</definedName>
    <definedName name="end_tabl_15" localSheetId="41">'Расчет налог. обяз. 2018'!end_tabl</definedName>
    <definedName name="end_tabl_15" localSheetId="42">'рез к 2017'!end_tabl</definedName>
    <definedName name="end_tabl_15" localSheetId="46">'рез к 2018'!end_tabl</definedName>
    <definedName name="end_tabl_15" localSheetId="22">ТН!end_tabl</definedName>
    <definedName name="end_tabl_15" localSheetId="3">'ФАКТ. СЕБЕСТ ВОДА 1 пол.2018'!end_tabl</definedName>
    <definedName name="end_tabl_15" localSheetId="1">'ФАКТ. СЕБЕСТ. СТОКИ 1 пол. 2018'!end_tabl</definedName>
    <definedName name="end_tabl_15">[0]!end_tabl</definedName>
    <definedName name="end_tabl_16" localSheetId="21">А!end_tabl</definedName>
    <definedName name="end_tabl_16" localSheetId="43">'вод.налог 2018'!end_tabl</definedName>
    <definedName name="end_tabl_16" localSheetId="33">'ЗП с факт 3 кв. 2015'!end_tabl</definedName>
    <definedName name="end_tabl_16" localSheetId="44">'имушество 2018'!end_tabl</definedName>
    <definedName name="end_tabl_16" localSheetId="40">'налоги 2018'!end_tabl</definedName>
    <definedName name="end_tabl_16" localSheetId="4">'ПОЛНАЯ СЕБЕСТОИМОСТЬ ВОДА 2018'!end_tabl</definedName>
    <definedName name="end_tabl_16" localSheetId="2">'ПОЛНАЯ СЕБЕСТОИМОСТЬ СТОКИ 2018'!end_tabl</definedName>
    <definedName name="end_tabl_16" localSheetId="10">'Прил. 1 План ФХД вода табл. 2'!end_tabl</definedName>
    <definedName name="end_tabl_16" localSheetId="9">'Прил. 1 План ФХД стоки табл 2'!end_tabl</definedName>
    <definedName name="end_tabl_16" localSheetId="8">'Прил. 1 План ФХД табл 1'!end_tabl</definedName>
    <definedName name="end_tabl_16" localSheetId="13">'Произв. прогр. Вода'!end_tabl</definedName>
    <definedName name="end_tabl_16" localSheetId="14">'Произв. прогр. Вода (СВОД)'!end_tabl</definedName>
    <definedName name="end_tabl_16" localSheetId="12">'Произв. прогр. Стоки'!end_tabl</definedName>
    <definedName name="end_tabl_16" localSheetId="11">'Произв. прогр. Стоки (СВОД)'!end_tabl</definedName>
    <definedName name="end_tabl_16" localSheetId="41">'Расчет налог. обяз. 2018'!end_tabl</definedName>
    <definedName name="end_tabl_16" localSheetId="42">'рез к 2017'!end_tabl</definedName>
    <definedName name="end_tabl_16" localSheetId="46">'рез к 2018'!end_tabl</definedName>
    <definedName name="end_tabl_16" localSheetId="22">ТН!end_tabl</definedName>
    <definedName name="end_tabl_16" localSheetId="3">'ФАКТ. СЕБЕСТ ВОДА 1 пол.2018'!end_tabl</definedName>
    <definedName name="end_tabl_16" localSheetId="1">'ФАКТ. СЕБЕСТ. СТОКИ 1 пол. 2018'!end_tabl</definedName>
    <definedName name="end_tabl_16">[0]!end_tabl</definedName>
    <definedName name="end_tabl_2" localSheetId="21">А!end_tabl</definedName>
    <definedName name="end_tabl_2" localSheetId="43">'вод.налог 2018'!end_tabl</definedName>
    <definedName name="end_tabl_2" localSheetId="33">'ЗП с факт 3 кв. 2015'!end_tabl</definedName>
    <definedName name="end_tabl_2" localSheetId="44">'имушество 2018'!end_tabl</definedName>
    <definedName name="end_tabl_2" localSheetId="40">'налоги 2018'!end_tabl</definedName>
    <definedName name="end_tabl_2" localSheetId="4">'ПОЛНАЯ СЕБЕСТОИМОСТЬ ВОДА 2018'!end_tabl</definedName>
    <definedName name="end_tabl_2" localSheetId="2">'ПОЛНАЯ СЕБЕСТОИМОСТЬ СТОКИ 2018'!end_tabl</definedName>
    <definedName name="end_tabl_2" localSheetId="10">'Прил. 1 План ФХД вода табл. 2'!end_tabl</definedName>
    <definedName name="end_tabl_2" localSheetId="9">'Прил. 1 План ФХД стоки табл 2'!end_tabl</definedName>
    <definedName name="end_tabl_2" localSheetId="8">'Прил. 1 План ФХД табл 1'!end_tabl</definedName>
    <definedName name="end_tabl_2" localSheetId="13">'Произв. прогр. Вода'!end_tabl</definedName>
    <definedName name="end_tabl_2" localSheetId="14">'Произв. прогр. Вода (СВОД)'!end_tabl</definedName>
    <definedName name="end_tabl_2" localSheetId="12">'Произв. прогр. Стоки'!end_tabl</definedName>
    <definedName name="end_tabl_2" localSheetId="11">'Произв. прогр. Стоки (СВОД)'!end_tabl</definedName>
    <definedName name="end_tabl_2" localSheetId="41">'Расчет налог. обяз. 2018'!end_tabl</definedName>
    <definedName name="end_tabl_2" localSheetId="42">'рез к 2017'!end_tabl</definedName>
    <definedName name="end_tabl_2" localSheetId="46">'рез к 2018'!end_tabl</definedName>
    <definedName name="end_tabl_2" localSheetId="22">ТН!end_tabl</definedName>
    <definedName name="end_tabl_2" localSheetId="3">'ФАКТ. СЕБЕСТ ВОДА 1 пол.2018'!end_tabl</definedName>
    <definedName name="end_tabl_2" localSheetId="1">'ФАКТ. СЕБЕСТ. СТОКИ 1 пол. 2018'!end_tabl</definedName>
    <definedName name="end_tabl_2">[0]!end_tabl</definedName>
    <definedName name="Excel_BuiltIn__FilterDatabase" localSheetId="33">#REF!</definedName>
    <definedName name="Excel_BuiltIn__FilterDatabase" localSheetId="8">#REF!</definedName>
    <definedName name="Excel_BuiltIn__FilterDatabase" localSheetId="20">#REF!</definedName>
    <definedName name="Excel_BuiltIn__FilterDatabase" localSheetId="16">#REF!</definedName>
    <definedName name="Excel_BuiltIn__FilterDatabase" localSheetId="61">#REF!</definedName>
    <definedName name="Excel_BuiltIn__FilterDatabase" localSheetId="60">#REF!</definedName>
    <definedName name="Excel_BuiltIn__FilterDatabase" localSheetId="59">#REF!</definedName>
    <definedName name="Excel_BuiltIn__FilterDatabase" localSheetId="37">#REF!</definedName>
    <definedName name="Excel_BuiltIn__FilterDatabase" localSheetId="29">#REF!</definedName>
    <definedName name="Excel_BuiltIn__FilterDatabase" localSheetId="27">#REF!</definedName>
    <definedName name="Excel_BuiltIn__FilterDatabase">#REF!</definedName>
    <definedName name="Excel_BuiltIn_Print_Area_15" localSheetId="33">'[4]распределение январь по бухг.'!#REF!</definedName>
    <definedName name="Excel_BuiltIn_Print_Area_15" localSheetId="4">'[4]распределение январь по бухг.'!#REF!</definedName>
    <definedName name="Excel_BuiltIn_Print_Area_15" localSheetId="2">'[4]распределение январь по бухг.'!#REF!</definedName>
    <definedName name="Excel_BuiltIn_Print_Area_15" localSheetId="8">'[4]распределение январь по бухг.'!#REF!</definedName>
    <definedName name="Excel_BuiltIn_Print_Area_15" localSheetId="20">'[4]распределение январь по бухг.'!#REF!</definedName>
    <definedName name="Excel_BuiltIn_Print_Area_15" localSheetId="16">'[4]распределение январь по бухг.'!#REF!</definedName>
    <definedName name="Excel_BuiltIn_Print_Area_15" localSheetId="61">'[4]распределение январь по бухг.'!#REF!</definedName>
    <definedName name="Excel_BuiltIn_Print_Area_15" localSheetId="60">'[4]распределение январь по бухг.'!#REF!</definedName>
    <definedName name="Excel_BuiltIn_Print_Area_15" localSheetId="59">'[4]распределение январь по бухг.'!#REF!</definedName>
    <definedName name="Excel_BuiltIn_Print_Area_15" localSheetId="3">'[4]распределение январь по бухг.'!#REF!</definedName>
    <definedName name="Excel_BuiltIn_Print_Area_15" localSheetId="1">'[4]распределение январь по бухг.'!#REF!</definedName>
    <definedName name="Excel_BuiltIn_Print_Area_15" localSheetId="37">'[4]распределение январь по бухг.'!#REF!</definedName>
    <definedName name="Excel_BuiltIn_Print_Area_15" localSheetId="29">'[4]распределение январь по бухг.'!#REF!</definedName>
    <definedName name="Excel_BuiltIn_Print_Area_15" localSheetId="27">'[4]распределение январь по бухг.'!#REF!</definedName>
    <definedName name="Excel_BuiltIn_Print_Area_15">'[4]распределение январь по бухг.'!#REF!</definedName>
    <definedName name="Excel_BuiltIn_Print_Area_21" localSheetId="33">[4]расшифровка!#REF!</definedName>
    <definedName name="Excel_BuiltIn_Print_Area_21" localSheetId="4">[4]расшифровка!#REF!</definedName>
    <definedName name="Excel_BuiltIn_Print_Area_21" localSheetId="2">[4]расшифровка!#REF!</definedName>
    <definedName name="Excel_BuiltIn_Print_Area_21" localSheetId="8">[4]расшифровка!#REF!</definedName>
    <definedName name="Excel_BuiltIn_Print_Area_21" localSheetId="20">[4]расшифровка!#REF!</definedName>
    <definedName name="Excel_BuiltIn_Print_Area_21" localSheetId="16">[4]расшифровка!#REF!</definedName>
    <definedName name="Excel_BuiltIn_Print_Area_21" localSheetId="61">[4]расшифровка!#REF!</definedName>
    <definedName name="Excel_BuiltIn_Print_Area_21" localSheetId="60">[4]расшифровка!#REF!</definedName>
    <definedName name="Excel_BuiltIn_Print_Area_21" localSheetId="59">[4]расшифровка!#REF!</definedName>
    <definedName name="Excel_BuiltIn_Print_Area_21" localSheetId="3">[4]расшифровка!#REF!</definedName>
    <definedName name="Excel_BuiltIn_Print_Area_21" localSheetId="1">[4]расшифровка!#REF!</definedName>
    <definedName name="Excel_BuiltIn_Print_Area_21" localSheetId="37">[4]расшифровка!#REF!</definedName>
    <definedName name="Excel_BuiltIn_Print_Area_21" localSheetId="29">[4]расшифровка!#REF!</definedName>
    <definedName name="Excel_BuiltIn_Print_Area_21" localSheetId="27">[4]расшифровка!#REF!</definedName>
    <definedName name="Excel_BuiltIn_Print_Area_21">[4]расшифровка!#REF!</definedName>
    <definedName name="Excel_BuiltIn_Print_Area_22" localSheetId="33">'[4]ЗП и резервы'!#REF!</definedName>
    <definedName name="Excel_BuiltIn_Print_Area_22" localSheetId="4">'[4]ЗП и резервы'!#REF!</definedName>
    <definedName name="Excel_BuiltIn_Print_Area_22" localSheetId="2">'[4]ЗП и резервы'!#REF!</definedName>
    <definedName name="Excel_BuiltIn_Print_Area_22" localSheetId="8">'[4]ЗП и резервы'!#REF!</definedName>
    <definedName name="Excel_BuiltIn_Print_Area_22" localSheetId="20">'[4]ЗП и резервы'!#REF!</definedName>
    <definedName name="Excel_BuiltIn_Print_Area_22" localSheetId="16">'[4]ЗП и резервы'!#REF!</definedName>
    <definedName name="Excel_BuiltIn_Print_Area_22" localSheetId="61">'[4]ЗП и резервы'!#REF!</definedName>
    <definedName name="Excel_BuiltIn_Print_Area_22" localSheetId="60">'[4]ЗП и резервы'!#REF!</definedName>
    <definedName name="Excel_BuiltIn_Print_Area_22" localSheetId="59">'[4]ЗП и резервы'!#REF!</definedName>
    <definedName name="Excel_BuiltIn_Print_Area_22" localSheetId="3">'[4]ЗП и резервы'!#REF!</definedName>
    <definedName name="Excel_BuiltIn_Print_Area_22" localSheetId="1">'[4]ЗП и резервы'!#REF!</definedName>
    <definedName name="Excel_BuiltIn_Print_Area_22" localSheetId="37">'[4]ЗП и резервы'!#REF!</definedName>
    <definedName name="Excel_BuiltIn_Print_Area_22" localSheetId="29">'[4]ЗП и резервы'!#REF!</definedName>
    <definedName name="Excel_BuiltIn_Print_Area_22" localSheetId="27">'[4]ЗП и резервы'!#REF!</definedName>
    <definedName name="Excel_BuiltIn_Print_Area_22">'[4]ЗП и резервы'!#REF!</definedName>
    <definedName name="Excel_BuiltIn_Print_Area_4" localSheetId="33">[5]Прибыль1!#REF!</definedName>
    <definedName name="Excel_BuiltIn_Print_Area_4" localSheetId="4">[5]Прибыль1!#REF!</definedName>
    <definedName name="Excel_BuiltIn_Print_Area_4" localSheetId="2">[5]Прибыль1!#REF!</definedName>
    <definedName name="Excel_BuiltIn_Print_Area_4" localSheetId="8">[5]Прибыль1!#REF!</definedName>
    <definedName name="Excel_BuiltIn_Print_Area_4" localSheetId="20">[5]Прибыль1!#REF!</definedName>
    <definedName name="Excel_BuiltIn_Print_Area_4" localSheetId="16">[5]Прибыль1!#REF!</definedName>
    <definedName name="Excel_BuiltIn_Print_Area_4" localSheetId="61">[5]Прибыль1!#REF!</definedName>
    <definedName name="Excel_BuiltIn_Print_Area_4" localSheetId="60">[5]Прибыль1!#REF!</definedName>
    <definedName name="Excel_BuiltIn_Print_Area_4" localSheetId="59">[5]Прибыль1!#REF!</definedName>
    <definedName name="Excel_BuiltIn_Print_Area_4" localSheetId="3">[5]Прибыль1!#REF!</definedName>
    <definedName name="Excel_BuiltIn_Print_Area_4" localSheetId="1">[5]Прибыль1!#REF!</definedName>
    <definedName name="Excel_BuiltIn_Print_Area_4" localSheetId="37">[5]Прибыль1!#REF!</definedName>
    <definedName name="Excel_BuiltIn_Print_Area_4" localSheetId="29">[5]Прибыль1!#REF!</definedName>
    <definedName name="Excel_BuiltIn_Print_Area_4" localSheetId="27">[5]Прибыль1!#REF!</definedName>
    <definedName name="Excel_BuiltIn_Print_Area_4">[5]Прибыль1!#REF!</definedName>
    <definedName name="Excel_BuiltIn_Print_Area_5" localSheetId="33">#REF!</definedName>
    <definedName name="Excel_BuiltIn_Print_Area_5" localSheetId="8">#REF!</definedName>
    <definedName name="Excel_BuiltIn_Print_Area_5" localSheetId="20">#REF!</definedName>
    <definedName name="Excel_BuiltIn_Print_Area_5" localSheetId="16">#REF!</definedName>
    <definedName name="Excel_BuiltIn_Print_Area_5" localSheetId="61">#REF!</definedName>
    <definedName name="Excel_BuiltIn_Print_Area_5" localSheetId="60">#REF!</definedName>
    <definedName name="Excel_BuiltIn_Print_Area_5" localSheetId="59">#REF!</definedName>
    <definedName name="Excel_BuiltIn_Print_Area_5" localSheetId="37">#REF!</definedName>
    <definedName name="Excel_BuiltIn_Print_Area_5" localSheetId="29">#REF!</definedName>
    <definedName name="Excel_BuiltIn_Print_Area_5" localSheetId="27">#REF!</definedName>
    <definedName name="Excel_BuiltIn_Print_Area_5">#REF!</definedName>
    <definedName name="Excel_BuiltIn_Print_Area_59" localSheetId="33">#REF!</definedName>
    <definedName name="Excel_BuiltIn_Print_Area_59" localSheetId="8">#REF!</definedName>
    <definedName name="Excel_BuiltIn_Print_Area_59" localSheetId="20">#REF!</definedName>
    <definedName name="Excel_BuiltIn_Print_Area_59" localSheetId="16">#REF!</definedName>
    <definedName name="Excel_BuiltIn_Print_Area_59" localSheetId="61">#REF!</definedName>
    <definedName name="Excel_BuiltIn_Print_Area_59" localSheetId="60">#REF!</definedName>
    <definedName name="Excel_BuiltIn_Print_Area_59" localSheetId="59">#REF!</definedName>
    <definedName name="Excel_BuiltIn_Print_Area_59" localSheetId="37">#REF!</definedName>
    <definedName name="Excel_BuiltIn_Print_Area_59" localSheetId="29">#REF!</definedName>
    <definedName name="Excel_BuiltIn_Print_Area_59" localSheetId="27">#REF!</definedName>
    <definedName name="Excel_BuiltIn_Print_Area_59">#REF!</definedName>
    <definedName name="Excel_BuiltIn_Print_Area_59_1" localSheetId="33">#REF!</definedName>
    <definedName name="Excel_BuiltIn_Print_Area_59_1" localSheetId="8">#REF!</definedName>
    <definedName name="Excel_BuiltIn_Print_Area_59_1" localSheetId="20">#REF!</definedName>
    <definedName name="Excel_BuiltIn_Print_Area_59_1" localSheetId="16">#REF!</definedName>
    <definedName name="Excel_BuiltIn_Print_Area_59_1" localSheetId="61">#REF!</definedName>
    <definedName name="Excel_BuiltIn_Print_Area_59_1" localSheetId="60">#REF!</definedName>
    <definedName name="Excel_BuiltIn_Print_Area_59_1" localSheetId="59">#REF!</definedName>
    <definedName name="Excel_BuiltIn_Print_Area_59_1" localSheetId="37">#REF!</definedName>
    <definedName name="Excel_BuiltIn_Print_Area_59_1" localSheetId="29">#REF!</definedName>
    <definedName name="Excel_BuiltIn_Print_Area_59_1" localSheetId="27">#REF!</definedName>
    <definedName name="Excel_BuiltIn_Print_Area_59_1">#REF!</definedName>
    <definedName name="Excel_BuiltIn_Print_Area_59_10" localSheetId="8">#REF!</definedName>
    <definedName name="Excel_BuiltIn_Print_Area_59_10" localSheetId="20">#REF!</definedName>
    <definedName name="Excel_BuiltIn_Print_Area_59_10" localSheetId="16">#REF!</definedName>
    <definedName name="Excel_BuiltIn_Print_Area_59_10" localSheetId="61">#REF!</definedName>
    <definedName name="Excel_BuiltIn_Print_Area_59_10" localSheetId="60">#REF!</definedName>
    <definedName name="Excel_BuiltIn_Print_Area_59_10" localSheetId="59">#REF!</definedName>
    <definedName name="Excel_BuiltIn_Print_Area_59_10" localSheetId="37">#REF!</definedName>
    <definedName name="Excel_BuiltIn_Print_Area_59_10" localSheetId="29">#REF!</definedName>
    <definedName name="Excel_BuiltIn_Print_Area_59_10" localSheetId="27">#REF!</definedName>
    <definedName name="Excel_BuiltIn_Print_Area_59_10">#REF!</definedName>
    <definedName name="Excel_BuiltIn_Print_Area_59_11" localSheetId="8">#REF!</definedName>
    <definedName name="Excel_BuiltIn_Print_Area_59_11" localSheetId="20">#REF!</definedName>
    <definedName name="Excel_BuiltIn_Print_Area_59_11" localSheetId="16">#REF!</definedName>
    <definedName name="Excel_BuiltIn_Print_Area_59_11" localSheetId="61">#REF!</definedName>
    <definedName name="Excel_BuiltIn_Print_Area_59_11" localSheetId="60">#REF!</definedName>
    <definedName name="Excel_BuiltIn_Print_Area_59_11" localSheetId="59">#REF!</definedName>
    <definedName name="Excel_BuiltIn_Print_Area_59_11" localSheetId="37">#REF!</definedName>
    <definedName name="Excel_BuiltIn_Print_Area_59_11" localSheetId="29">#REF!</definedName>
    <definedName name="Excel_BuiltIn_Print_Area_59_11" localSheetId="27">#REF!</definedName>
    <definedName name="Excel_BuiltIn_Print_Area_59_11">#REF!</definedName>
    <definedName name="Excel_BuiltIn_Print_Area_59_13" localSheetId="8">#REF!</definedName>
    <definedName name="Excel_BuiltIn_Print_Area_59_13" localSheetId="20">#REF!</definedName>
    <definedName name="Excel_BuiltIn_Print_Area_59_13" localSheetId="16">#REF!</definedName>
    <definedName name="Excel_BuiltIn_Print_Area_59_13" localSheetId="61">#REF!</definedName>
    <definedName name="Excel_BuiltIn_Print_Area_59_13" localSheetId="60">#REF!</definedName>
    <definedName name="Excel_BuiltIn_Print_Area_59_13" localSheetId="59">#REF!</definedName>
    <definedName name="Excel_BuiltIn_Print_Area_59_13" localSheetId="37">#REF!</definedName>
    <definedName name="Excel_BuiltIn_Print_Area_59_13" localSheetId="29">#REF!</definedName>
    <definedName name="Excel_BuiltIn_Print_Area_59_13" localSheetId="27">#REF!</definedName>
    <definedName name="Excel_BuiltIn_Print_Area_59_13">#REF!</definedName>
    <definedName name="Excel_BuiltIn_Print_Area_59_14" localSheetId="8">#REF!</definedName>
    <definedName name="Excel_BuiltIn_Print_Area_59_14" localSheetId="20">#REF!</definedName>
    <definedName name="Excel_BuiltIn_Print_Area_59_14" localSheetId="16">#REF!</definedName>
    <definedName name="Excel_BuiltIn_Print_Area_59_14" localSheetId="61">#REF!</definedName>
    <definedName name="Excel_BuiltIn_Print_Area_59_14" localSheetId="60">#REF!</definedName>
    <definedName name="Excel_BuiltIn_Print_Area_59_14" localSheetId="59">#REF!</definedName>
    <definedName name="Excel_BuiltIn_Print_Area_59_14" localSheetId="37">#REF!</definedName>
    <definedName name="Excel_BuiltIn_Print_Area_59_14" localSheetId="29">#REF!</definedName>
    <definedName name="Excel_BuiltIn_Print_Area_59_14" localSheetId="27">#REF!</definedName>
    <definedName name="Excel_BuiltIn_Print_Area_59_14">#REF!</definedName>
    <definedName name="Excel_BuiltIn_Print_Area_59_15" localSheetId="8">#REF!</definedName>
    <definedName name="Excel_BuiltIn_Print_Area_59_15" localSheetId="20">#REF!</definedName>
    <definedName name="Excel_BuiltIn_Print_Area_59_15" localSheetId="16">#REF!</definedName>
    <definedName name="Excel_BuiltIn_Print_Area_59_15" localSheetId="61">#REF!</definedName>
    <definedName name="Excel_BuiltIn_Print_Area_59_15" localSheetId="60">#REF!</definedName>
    <definedName name="Excel_BuiltIn_Print_Area_59_15" localSheetId="59">#REF!</definedName>
    <definedName name="Excel_BuiltIn_Print_Area_59_15" localSheetId="37">#REF!</definedName>
    <definedName name="Excel_BuiltIn_Print_Area_59_15" localSheetId="29">#REF!</definedName>
    <definedName name="Excel_BuiltIn_Print_Area_59_15" localSheetId="27">#REF!</definedName>
    <definedName name="Excel_BuiltIn_Print_Area_59_15">#REF!</definedName>
    <definedName name="Excel_BuiltIn_Print_Area_59_16" localSheetId="8">#REF!</definedName>
    <definedName name="Excel_BuiltIn_Print_Area_59_16" localSheetId="20">#REF!</definedName>
    <definedName name="Excel_BuiltIn_Print_Area_59_16" localSheetId="16">#REF!</definedName>
    <definedName name="Excel_BuiltIn_Print_Area_59_16" localSheetId="61">#REF!</definedName>
    <definedName name="Excel_BuiltIn_Print_Area_59_16" localSheetId="60">#REF!</definedName>
    <definedName name="Excel_BuiltIn_Print_Area_59_16" localSheetId="59">#REF!</definedName>
    <definedName name="Excel_BuiltIn_Print_Area_59_16" localSheetId="37">#REF!</definedName>
    <definedName name="Excel_BuiltIn_Print_Area_59_16" localSheetId="29">#REF!</definedName>
    <definedName name="Excel_BuiltIn_Print_Area_59_16" localSheetId="27">#REF!</definedName>
    <definedName name="Excel_BuiltIn_Print_Area_59_16">#REF!</definedName>
    <definedName name="Excel_BuiltIn_Print_Area_59_2" localSheetId="8">#REF!</definedName>
    <definedName name="Excel_BuiltIn_Print_Area_59_2" localSheetId="20">#REF!</definedName>
    <definedName name="Excel_BuiltIn_Print_Area_59_2" localSheetId="16">#REF!</definedName>
    <definedName name="Excel_BuiltIn_Print_Area_59_2" localSheetId="61">#REF!</definedName>
    <definedName name="Excel_BuiltIn_Print_Area_59_2" localSheetId="60">#REF!</definedName>
    <definedName name="Excel_BuiltIn_Print_Area_59_2" localSheetId="59">#REF!</definedName>
    <definedName name="Excel_BuiltIn_Print_Area_59_2" localSheetId="37">#REF!</definedName>
    <definedName name="Excel_BuiltIn_Print_Area_59_2" localSheetId="29">#REF!</definedName>
    <definedName name="Excel_BuiltIn_Print_Area_59_2" localSheetId="27">#REF!</definedName>
    <definedName name="Excel_BuiltIn_Print_Area_59_2">#REF!</definedName>
    <definedName name="Excel_BuiltIn_Print_Area_59_22" localSheetId="8">#REF!</definedName>
    <definedName name="Excel_BuiltIn_Print_Area_59_22" localSheetId="20">#REF!</definedName>
    <definedName name="Excel_BuiltIn_Print_Area_59_22" localSheetId="16">#REF!</definedName>
    <definedName name="Excel_BuiltIn_Print_Area_59_22" localSheetId="61">#REF!</definedName>
    <definedName name="Excel_BuiltIn_Print_Area_59_22" localSheetId="60">#REF!</definedName>
    <definedName name="Excel_BuiltIn_Print_Area_59_22" localSheetId="59">#REF!</definedName>
    <definedName name="Excel_BuiltIn_Print_Area_59_22" localSheetId="37">#REF!</definedName>
    <definedName name="Excel_BuiltIn_Print_Area_59_22" localSheetId="29">#REF!</definedName>
    <definedName name="Excel_BuiltIn_Print_Area_59_22" localSheetId="27">#REF!</definedName>
    <definedName name="Excel_BuiltIn_Print_Area_59_22">#REF!</definedName>
    <definedName name="Excel_BuiltIn_Print_Area_59_25" localSheetId="8">#REF!</definedName>
    <definedName name="Excel_BuiltIn_Print_Area_59_25" localSheetId="20">#REF!</definedName>
    <definedName name="Excel_BuiltIn_Print_Area_59_25" localSheetId="16">#REF!</definedName>
    <definedName name="Excel_BuiltIn_Print_Area_59_25" localSheetId="61">#REF!</definedName>
    <definedName name="Excel_BuiltIn_Print_Area_59_25" localSheetId="60">#REF!</definedName>
    <definedName name="Excel_BuiltIn_Print_Area_59_25" localSheetId="59">#REF!</definedName>
    <definedName name="Excel_BuiltIn_Print_Area_59_25" localSheetId="37">#REF!</definedName>
    <definedName name="Excel_BuiltIn_Print_Area_59_25" localSheetId="29">#REF!</definedName>
    <definedName name="Excel_BuiltIn_Print_Area_59_25" localSheetId="27">#REF!</definedName>
    <definedName name="Excel_BuiltIn_Print_Area_59_25">#REF!</definedName>
    <definedName name="Excel_BuiltIn_Print_Area_59_3" localSheetId="8">#REF!</definedName>
    <definedName name="Excel_BuiltIn_Print_Area_59_3" localSheetId="20">#REF!</definedName>
    <definedName name="Excel_BuiltIn_Print_Area_59_3" localSheetId="16">#REF!</definedName>
    <definedName name="Excel_BuiltIn_Print_Area_59_3" localSheetId="61">#REF!</definedName>
    <definedName name="Excel_BuiltIn_Print_Area_59_3" localSheetId="60">#REF!</definedName>
    <definedName name="Excel_BuiltIn_Print_Area_59_3" localSheetId="59">#REF!</definedName>
    <definedName name="Excel_BuiltIn_Print_Area_59_3" localSheetId="37">#REF!</definedName>
    <definedName name="Excel_BuiltIn_Print_Area_59_3" localSheetId="29">#REF!</definedName>
    <definedName name="Excel_BuiltIn_Print_Area_59_3" localSheetId="27">#REF!</definedName>
    <definedName name="Excel_BuiltIn_Print_Area_59_3">#REF!</definedName>
    <definedName name="Excel_BuiltIn_Print_Area_59_4" localSheetId="8">#REF!</definedName>
    <definedName name="Excel_BuiltIn_Print_Area_59_4" localSheetId="20">#REF!</definedName>
    <definedName name="Excel_BuiltIn_Print_Area_59_4" localSheetId="16">#REF!</definedName>
    <definedName name="Excel_BuiltIn_Print_Area_59_4" localSheetId="61">#REF!</definedName>
    <definedName name="Excel_BuiltIn_Print_Area_59_4" localSheetId="60">#REF!</definedName>
    <definedName name="Excel_BuiltIn_Print_Area_59_4" localSheetId="59">#REF!</definedName>
    <definedName name="Excel_BuiltIn_Print_Area_59_4" localSheetId="37">#REF!</definedName>
    <definedName name="Excel_BuiltIn_Print_Area_59_4" localSheetId="29">#REF!</definedName>
    <definedName name="Excel_BuiltIn_Print_Area_59_4" localSheetId="27">#REF!</definedName>
    <definedName name="Excel_BuiltIn_Print_Area_59_4">#REF!</definedName>
    <definedName name="Excel_BuiltIn_Print_Area_59_56" localSheetId="8">#REF!</definedName>
    <definedName name="Excel_BuiltIn_Print_Area_59_56" localSheetId="20">#REF!</definedName>
    <definedName name="Excel_BuiltIn_Print_Area_59_56" localSheetId="16">#REF!</definedName>
    <definedName name="Excel_BuiltIn_Print_Area_59_56" localSheetId="61">#REF!</definedName>
    <definedName name="Excel_BuiltIn_Print_Area_59_56" localSheetId="60">#REF!</definedName>
    <definedName name="Excel_BuiltIn_Print_Area_59_56" localSheetId="59">#REF!</definedName>
    <definedName name="Excel_BuiltIn_Print_Area_59_56" localSheetId="37">#REF!</definedName>
    <definedName name="Excel_BuiltIn_Print_Area_59_56" localSheetId="29">#REF!</definedName>
    <definedName name="Excel_BuiltIn_Print_Area_59_56" localSheetId="27">#REF!</definedName>
    <definedName name="Excel_BuiltIn_Print_Area_59_56">#REF!</definedName>
    <definedName name="Excel_BuiltIn_Print_Area_59_6" localSheetId="8">#REF!</definedName>
    <definedName name="Excel_BuiltIn_Print_Area_59_6" localSheetId="20">#REF!</definedName>
    <definedName name="Excel_BuiltIn_Print_Area_59_6" localSheetId="16">#REF!</definedName>
    <definedName name="Excel_BuiltIn_Print_Area_59_6" localSheetId="61">#REF!</definedName>
    <definedName name="Excel_BuiltIn_Print_Area_59_6" localSheetId="60">#REF!</definedName>
    <definedName name="Excel_BuiltIn_Print_Area_59_6" localSheetId="59">#REF!</definedName>
    <definedName name="Excel_BuiltIn_Print_Area_59_6" localSheetId="37">#REF!</definedName>
    <definedName name="Excel_BuiltIn_Print_Area_59_6" localSheetId="29">#REF!</definedName>
    <definedName name="Excel_BuiltIn_Print_Area_59_6" localSheetId="27">#REF!</definedName>
    <definedName name="Excel_BuiltIn_Print_Area_59_6">#REF!</definedName>
    <definedName name="Excel_BuiltIn_Print_Area_59_66" localSheetId="8">#REF!</definedName>
    <definedName name="Excel_BuiltIn_Print_Area_59_66" localSheetId="20">#REF!</definedName>
    <definedName name="Excel_BuiltIn_Print_Area_59_66" localSheetId="16">#REF!</definedName>
    <definedName name="Excel_BuiltIn_Print_Area_59_66" localSheetId="61">#REF!</definedName>
    <definedName name="Excel_BuiltIn_Print_Area_59_66" localSheetId="60">#REF!</definedName>
    <definedName name="Excel_BuiltIn_Print_Area_59_66" localSheetId="59">#REF!</definedName>
    <definedName name="Excel_BuiltIn_Print_Area_59_66" localSheetId="37">#REF!</definedName>
    <definedName name="Excel_BuiltIn_Print_Area_59_66" localSheetId="29">#REF!</definedName>
    <definedName name="Excel_BuiltIn_Print_Area_59_66" localSheetId="27">#REF!</definedName>
    <definedName name="Excel_BuiltIn_Print_Area_59_66">#REF!</definedName>
    <definedName name="Excel_BuiltIn_Print_Area_59_67" localSheetId="8">#REF!</definedName>
    <definedName name="Excel_BuiltIn_Print_Area_59_67" localSheetId="20">#REF!</definedName>
    <definedName name="Excel_BuiltIn_Print_Area_59_67" localSheetId="16">#REF!</definedName>
    <definedName name="Excel_BuiltIn_Print_Area_59_67" localSheetId="61">#REF!</definedName>
    <definedName name="Excel_BuiltIn_Print_Area_59_67" localSheetId="60">#REF!</definedName>
    <definedName name="Excel_BuiltIn_Print_Area_59_67" localSheetId="59">#REF!</definedName>
    <definedName name="Excel_BuiltIn_Print_Area_59_67" localSheetId="37">#REF!</definedName>
    <definedName name="Excel_BuiltIn_Print_Area_59_67" localSheetId="29">#REF!</definedName>
    <definedName name="Excel_BuiltIn_Print_Area_59_67" localSheetId="27">#REF!</definedName>
    <definedName name="Excel_BuiltIn_Print_Area_59_67">#REF!</definedName>
    <definedName name="Excel_BuiltIn_Print_Area_59_67_1" localSheetId="8">#REF!</definedName>
    <definedName name="Excel_BuiltIn_Print_Area_59_67_1" localSheetId="20">#REF!</definedName>
    <definedName name="Excel_BuiltIn_Print_Area_59_67_1" localSheetId="16">#REF!</definedName>
    <definedName name="Excel_BuiltIn_Print_Area_59_67_1" localSheetId="61">#REF!</definedName>
    <definedName name="Excel_BuiltIn_Print_Area_59_67_1" localSheetId="60">#REF!</definedName>
    <definedName name="Excel_BuiltIn_Print_Area_59_67_1" localSheetId="59">#REF!</definedName>
    <definedName name="Excel_BuiltIn_Print_Area_59_67_1" localSheetId="37">#REF!</definedName>
    <definedName name="Excel_BuiltIn_Print_Area_59_67_1" localSheetId="29">#REF!</definedName>
    <definedName name="Excel_BuiltIn_Print_Area_59_67_1" localSheetId="27">#REF!</definedName>
    <definedName name="Excel_BuiltIn_Print_Area_59_67_1">#REF!</definedName>
    <definedName name="Excel_BuiltIn_Print_Area_59_67_10" localSheetId="8">#REF!</definedName>
    <definedName name="Excel_BuiltIn_Print_Area_59_67_10" localSheetId="20">#REF!</definedName>
    <definedName name="Excel_BuiltIn_Print_Area_59_67_10" localSheetId="16">#REF!</definedName>
    <definedName name="Excel_BuiltIn_Print_Area_59_67_10" localSheetId="61">#REF!</definedName>
    <definedName name="Excel_BuiltIn_Print_Area_59_67_10" localSheetId="60">#REF!</definedName>
    <definedName name="Excel_BuiltIn_Print_Area_59_67_10" localSheetId="59">#REF!</definedName>
    <definedName name="Excel_BuiltIn_Print_Area_59_67_10" localSheetId="37">#REF!</definedName>
    <definedName name="Excel_BuiltIn_Print_Area_59_67_10" localSheetId="29">#REF!</definedName>
    <definedName name="Excel_BuiltIn_Print_Area_59_67_10" localSheetId="27">#REF!</definedName>
    <definedName name="Excel_BuiltIn_Print_Area_59_67_10">#REF!</definedName>
    <definedName name="Excel_BuiltIn_Print_Area_59_67_11" localSheetId="8">#REF!</definedName>
    <definedName name="Excel_BuiltIn_Print_Area_59_67_11" localSheetId="20">#REF!</definedName>
    <definedName name="Excel_BuiltIn_Print_Area_59_67_11" localSheetId="16">#REF!</definedName>
    <definedName name="Excel_BuiltIn_Print_Area_59_67_11" localSheetId="61">#REF!</definedName>
    <definedName name="Excel_BuiltIn_Print_Area_59_67_11" localSheetId="60">#REF!</definedName>
    <definedName name="Excel_BuiltIn_Print_Area_59_67_11" localSheetId="59">#REF!</definedName>
    <definedName name="Excel_BuiltIn_Print_Area_59_67_11" localSheetId="37">#REF!</definedName>
    <definedName name="Excel_BuiltIn_Print_Area_59_67_11" localSheetId="29">#REF!</definedName>
    <definedName name="Excel_BuiltIn_Print_Area_59_67_11" localSheetId="27">#REF!</definedName>
    <definedName name="Excel_BuiltIn_Print_Area_59_67_11">#REF!</definedName>
    <definedName name="Excel_BuiltIn_Print_Area_59_67_13" localSheetId="8">#REF!</definedName>
    <definedName name="Excel_BuiltIn_Print_Area_59_67_13" localSheetId="20">#REF!</definedName>
    <definedName name="Excel_BuiltIn_Print_Area_59_67_13" localSheetId="16">#REF!</definedName>
    <definedName name="Excel_BuiltIn_Print_Area_59_67_13" localSheetId="61">#REF!</definedName>
    <definedName name="Excel_BuiltIn_Print_Area_59_67_13" localSheetId="60">#REF!</definedName>
    <definedName name="Excel_BuiltIn_Print_Area_59_67_13" localSheetId="59">#REF!</definedName>
    <definedName name="Excel_BuiltIn_Print_Area_59_67_13" localSheetId="37">#REF!</definedName>
    <definedName name="Excel_BuiltIn_Print_Area_59_67_13" localSheetId="29">#REF!</definedName>
    <definedName name="Excel_BuiltIn_Print_Area_59_67_13" localSheetId="27">#REF!</definedName>
    <definedName name="Excel_BuiltIn_Print_Area_59_67_13">#REF!</definedName>
    <definedName name="Excel_BuiltIn_Print_Area_59_67_14" localSheetId="8">#REF!</definedName>
    <definedName name="Excel_BuiltIn_Print_Area_59_67_14" localSheetId="20">#REF!</definedName>
    <definedName name="Excel_BuiltIn_Print_Area_59_67_14" localSheetId="16">#REF!</definedName>
    <definedName name="Excel_BuiltIn_Print_Area_59_67_14" localSheetId="61">#REF!</definedName>
    <definedName name="Excel_BuiltIn_Print_Area_59_67_14" localSheetId="60">#REF!</definedName>
    <definedName name="Excel_BuiltIn_Print_Area_59_67_14" localSheetId="59">#REF!</definedName>
    <definedName name="Excel_BuiltIn_Print_Area_59_67_14" localSheetId="37">#REF!</definedName>
    <definedName name="Excel_BuiltIn_Print_Area_59_67_14" localSheetId="29">#REF!</definedName>
    <definedName name="Excel_BuiltIn_Print_Area_59_67_14" localSheetId="27">#REF!</definedName>
    <definedName name="Excel_BuiltIn_Print_Area_59_67_14">#REF!</definedName>
    <definedName name="Excel_BuiltIn_Print_Area_59_67_15" localSheetId="8">#REF!</definedName>
    <definedName name="Excel_BuiltIn_Print_Area_59_67_15" localSheetId="20">#REF!</definedName>
    <definedName name="Excel_BuiltIn_Print_Area_59_67_15" localSheetId="16">#REF!</definedName>
    <definedName name="Excel_BuiltIn_Print_Area_59_67_15" localSheetId="61">#REF!</definedName>
    <definedName name="Excel_BuiltIn_Print_Area_59_67_15" localSheetId="60">#REF!</definedName>
    <definedName name="Excel_BuiltIn_Print_Area_59_67_15" localSheetId="59">#REF!</definedName>
    <definedName name="Excel_BuiltIn_Print_Area_59_67_15" localSheetId="37">#REF!</definedName>
    <definedName name="Excel_BuiltIn_Print_Area_59_67_15" localSheetId="29">#REF!</definedName>
    <definedName name="Excel_BuiltIn_Print_Area_59_67_15" localSheetId="27">#REF!</definedName>
    <definedName name="Excel_BuiltIn_Print_Area_59_67_15">#REF!</definedName>
    <definedName name="Excel_BuiltIn_Print_Area_59_67_16" localSheetId="8">#REF!</definedName>
    <definedName name="Excel_BuiltIn_Print_Area_59_67_16" localSheetId="20">#REF!</definedName>
    <definedName name="Excel_BuiltIn_Print_Area_59_67_16" localSheetId="16">#REF!</definedName>
    <definedName name="Excel_BuiltIn_Print_Area_59_67_16" localSheetId="61">#REF!</definedName>
    <definedName name="Excel_BuiltIn_Print_Area_59_67_16" localSheetId="60">#REF!</definedName>
    <definedName name="Excel_BuiltIn_Print_Area_59_67_16" localSheetId="59">#REF!</definedName>
    <definedName name="Excel_BuiltIn_Print_Area_59_67_16" localSheetId="37">#REF!</definedName>
    <definedName name="Excel_BuiltIn_Print_Area_59_67_16" localSheetId="29">#REF!</definedName>
    <definedName name="Excel_BuiltIn_Print_Area_59_67_16" localSheetId="27">#REF!</definedName>
    <definedName name="Excel_BuiltIn_Print_Area_59_67_16">#REF!</definedName>
    <definedName name="Excel_BuiltIn_Print_Area_59_67_2" localSheetId="8">#REF!</definedName>
    <definedName name="Excel_BuiltIn_Print_Area_59_67_2" localSheetId="20">#REF!</definedName>
    <definedName name="Excel_BuiltIn_Print_Area_59_67_2" localSheetId="16">#REF!</definedName>
    <definedName name="Excel_BuiltIn_Print_Area_59_67_2" localSheetId="61">#REF!</definedName>
    <definedName name="Excel_BuiltIn_Print_Area_59_67_2" localSheetId="60">#REF!</definedName>
    <definedName name="Excel_BuiltIn_Print_Area_59_67_2" localSheetId="59">#REF!</definedName>
    <definedName name="Excel_BuiltIn_Print_Area_59_67_2" localSheetId="37">#REF!</definedName>
    <definedName name="Excel_BuiltIn_Print_Area_59_67_2" localSheetId="29">#REF!</definedName>
    <definedName name="Excel_BuiltIn_Print_Area_59_67_2" localSheetId="27">#REF!</definedName>
    <definedName name="Excel_BuiltIn_Print_Area_59_67_2">#REF!</definedName>
    <definedName name="Excel_BuiltIn_Print_Area_59_67_22" localSheetId="8">#REF!</definedName>
    <definedName name="Excel_BuiltIn_Print_Area_59_67_22" localSheetId="20">#REF!</definedName>
    <definedName name="Excel_BuiltIn_Print_Area_59_67_22" localSheetId="16">#REF!</definedName>
    <definedName name="Excel_BuiltIn_Print_Area_59_67_22" localSheetId="61">#REF!</definedName>
    <definedName name="Excel_BuiltIn_Print_Area_59_67_22" localSheetId="60">#REF!</definedName>
    <definedName name="Excel_BuiltIn_Print_Area_59_67_22" localSheetId="59">#REF!</definedName>
    <definedName name="Excel_BuiltIn_Print_Area_59_67_22" localSheetId="37">#REF!</definedName>
    <definedName name="Excel_BuiltIn_Print_Area_59_67_22" localSheetId="29">#REF!</definedName>
    <definedName name="Excel_BuiltIn_Print_Area_59_67_22" localSheetId="27">#REF!</definedName>
    <definedName name="Excel_BuiltIn_Print_Area_59_67_22">#REF!</definedName>
    <definedName name="Excel_BuiltIn_Print_Area_59_67_25" localSheetId="8">#REF!</definedName>
    <definedName name="Excel_BuiltIn_Print_Area_59_67_25" localSheetId="20">#REF!</definedName>
    <definedName name="Excel_BuiltIn_Print_Area_59_67_25" localSheetId="16">#REF!</definedName>
    <definedName name="Excel_BuiltIn_Print_Area_59_67_25" localSheetId="61">#REF!</definedName>
    <definedName name="Excel_BuiltIn_Print_Area_59_67_25" localSheetId="60">#REF!</definedName>
    <definedName name="Excel_BuiltIn_Print_Area_59_67_25" localSheetId="59">#REF!</definedName>
    <definedName name="Excel_BuiltIn_Print_Area_59_67_25" localSheetId="37">#REF!</definedName>
    <definedName name="Excel_BuiltIn_Print_Area_59_67_25" localSheetId="29">#REF!</definedName>
    <definedName name="Excel_BuiltIn_Print_Area_59_67_25" localSheetId="27">#REF!</definedName>
    <definedName name="Excel_BuiltIn_Print_Area_59_67_25">#REF!</definedName>
    <definedName name="Excel_BuiltIn_Print_Area_59_67_3" localSheetId="8">#REF!</definedName>
    <definedName name="Excel_BuiltIn_Print_Area_59_67_3" localSheetId="20">#REF!</definedName>
    <definedName name="Excel_BuiltIn_Print_Area_59_67_3" localSheetId="16">#REF!</definedName>
    <definedName name="Excel_BuiltIn_Print_Area_59_67_3" localSheetId="61">#REF!</definedName>
    <definedName name="Excel_BuiltIn_Print_Area_59_67_3" localSheetId="60">#REF!</definedName>
    <definedName name="Excel_BuiltIn_Print_Area_59_67_3" localSheetId="59">#REF!</definedName>
    <definedName name="Excel_BuiltIn_Print_Area_59_67_3" localSheetId="37">#REF!</definedName>
    <definedName name="Excel_BuiltIn_Print_Area_59_67_3" localSheetId="29">#REF!</definedName>
    <definedName name="Excel_BuiltIn_Print_Area_59_67_3" localSheetId="27">#REF!</definedName>
    <definedName name="Excel_BuiltIn_Print_Area_59_67_3">#REF!</definedName>
    <definedName name="Excel_BuiltIn_Print_Area_59_67_4" localSheetId="8">#REF!</definedName>
    <definedName name="Excel_BuiltIn_Print_Area_59_67_4" localSheetId="20">#REF!</definedName>
    <definedName name="Excel_BuiltIn_Print_Area_59_67_4" localSheetId="16">#REF!</definedName>
    <definedName name="Excel_BuiltIn_Print_Area_59_67_4" localSheetId="61">#REF!</definedName>
    <definedName name="Excel_BuiltIn_Print_Area_59_67_4" localSheetId="60">#REF!</definedName>
    <definedName name="Excel_BuiltIn_Print_Area_59_67_4" localSheetId="59">#REF!</definedName>
    <definedName name="Excel_BuiltIn_Print_Area_59_67_4" localSheetId="37">#REF!</definedName>
    <definedName name="Excel_BuiltIn_Print_Area_59_67_4" localSheetId="29">#REF!</definedName>
    <definedName name="Excel_BuiltIn_Print_Area_59_67_4" localSheetId="27">#REF!</definedName>
    <definedName name="Excel_BuiltIn_Print_Area_59_67_4">#REF!</definedName>
    <definedName name="Excel_BuiltIn_Print_Area_59_67_56" localSheetId="8">#REF!</definedName>
    <definedName name="Excel_BuiltIn_Print_Area_59_67_56" localSheetId="20">#REF!</definedName>
    <definedName name="Excel_BuiltIn_Print_Area_59_67_56" localSheetId="16">#REF!</definedName>
    <definedName name="Excel_BuiltIn_Print_Area_59_67_56" localSheetId="61">#REF!</definedName>
    <definedName name="Excel_BuiltIn_Print_Area_59_67_56" localSheetId="60">#REF!</definedName>
    <definedName name="Excel_BuiltIn_Print_Area_59_67_56" localSheetId="59">#REF!</definedName>
    <definedName name="Excel_BuiltIn_Print_Area_59_67_56" localSheetId="37">#REF!</definedName>
    <definedName name="Excel_BuiltIn_Print_Area_59_67_56" localSheetId="29">#REF!</definedName>
    <definedName name="Excel_BuiltIn_Print_Area_59_67_56" localSheetId="27">#REF!</definedName>
    <definedName name="Excel_BuiltIn_Print_Area_59_67_56">#REF!</definedName>
    <definedName name="Excel_BuiltIn_Print_Area_59_67_6" localSheetId="8">#REF!</definedName>
    <definedName name="Excel_BuiltIn_Print_Area_59_67_6" localSheetId="20">#REF!</definedName>
    <definedName name="Excel_BuiltIn_Print_Area_59_67_6" localSheetId="16">#REF!</definedName>
    <definedName name="Excel_BuiltIn_Print_Area_59_67_6" localSheetId="61">#REF!</definedName>
    <definedName name="Excel_BuiltIn_Print_Area_59_67_6" localSheetId="60">#REF!</definedName>
    <definedName name="Excel_BuiltIn_Print_Area_59_67_6" localSheetId="59">#REF!</definedName>
    <definedName name="Excel_BuiltIn_Print_Area_59_67_6" localSheetId="37">#REF!</definedName>
    <definedName name="Excel_BuiltIn_Print_Area_59_67_6" localSheetId="29">#REF!</definedName>
    <definedName name="Excel_BuiltIn_Print_Area_59_67_6" localSheetId="27">#REF!</definedName>
    <definedName name="Excel_BuiltIn_Print_Area_59_67_6">#REF!</definedName>
    <definedName name="Excel_BuiltIn_Print_Area_59_67_66" localSheetId="8">#REF!</definedName>
    <definedName name="Excel_BuiltIn_Print_Area_59_67_66" localSheetId="20">#REF!</definedName>
    <definedName name="Excel_BuiltIn_Print_Area_59_67_66" localSheetId="16">#REF!</definedName>
    <definedName name="Excel_BuiltIn_Print_Area_59_67_66" localSheetId="61">#REF!</definedName>
    <definedName name="Excel_BuiltIn_Print_Area_59_67_66" localSheetId="60">#REF!</definedName>
    <definedName name="Excel_BuiltIn_Print_Area_59_67_66" localSheetId="59">#REF!</definedName>
    <definedName name="Excel_BuiltIn_Print_Area_59_67_66" localSheetId="37">#REF!</definedName>
    <definedName name="Excel_BuiltIn_Print_Area_59_67_66" localSheetId="29">#REF!</definedName>
    <definedName name="Excel_BuiltIn_Print_Area_59_67_66" localSheetId="27">#REF!</definedName>
    <definedName name="Excel_BuiltIn_Print_Area_59_67_66">#REF!</definedName>
    <definedName name="Excel_BuiltIn_Print_Area_59_67_67" localSheetId="8">#REF!</definedName>
    <definedName name="Excel_BuiltIn_Print_Area_59_67_67" localSheetId="20">#REF!</definedName>
    <definedName name="Excel_BuiltIn_Print_Area_59_67_67" localSheetId="16">#REF!</definedName>
    <definedName name="Excel_BuiltIn_Print_Area_59_67_67" localSheetId="61">#REF!</definedName>
    <definedName name="Excel_BuiltIn_Print_Area_59_67_67" localSheetId="60">#REF!</definedName>
    <definedName name="Excel_BuiltIn_Print_Area_59_67_67" localSheetId="59">#REF!</definedName>
    <definedName name="Excel_BuiltIn_Print_Area_59_67_67" localSheetId="37">#REF!</definedName>
    <definedName name="Excel_BuiltIn_Print_Area_59_67_67" localSheetId="29">#REF!</definedName>
    <definedName name="Excel_BuiltIn_Print_Area_59_67_67" localSheetId="27">#REF!</definedName>
    <definedName name="Excel_BuiltIn_Print_Area_59_67_67">#REF!</definedName>
    <definedName name="Excel_BuiltIn_Print_Area_59_67_70" localSheetId="8">#REF!</definedName>
    <definedName name="Excel_BuiltIn_Print_Area_59_67_70" localSheetId="20">#REF!</definedName>
    <definedName name="Excel_BuiltIn_Print_Area_59_67_70" localSheetId="16">#REF!</definedName>
    <definedName name="Excel_BuiltIn_Print_Area_59_67_70" localSheetId="61">#REF!</definedName>
    <definedName name="Excel_BuiltIn_Print_Area_59_67_70" localSheetId="60">#REF!</definedName>
    <definedName name="Excel_BuiltIn_Print_Area_59_67_70" localSheetId="59">#REF!</definedName>
    <definedName name="Excel_BuiltIn_Print_Area_59_67_70" localSheetId="37">#REF!</definedName>
    <definedName name="Excel_BuiltIn_Print_Area_59_67_70" localSheetId="29">#REF!</definedName>
    <definedName name="Excel_BuiltIn_Print_Area_59_67_70" localSheetId="27">#REF!</definedName>
    <definedName name="Excel_BuiltIn_Print_Area_59_67_70">#REF!</definedName>
    <definedName name="Excel_BuiltIn_Print_Area_59_67_71" localSheetId="8">#REF!</definedName>
    <definedName name="Excel_BuiltIn_Print_Area_59_67_71" localSheetId="20">#REF!</definedName>
    <definedName name="Excel_BuiltIn_Print_Area_59_67_71" localSheetId="16">#REF!</definedName>
    <definedName name="Excel_BuiltIn_Print_Area_59_67_71" localSheetId="61">#REF!</definedName>
    <definedName name="Excel_BuiltIn_Print_Area_59_67_71" localSheetId="60">#REF!</definedName>
    <definedName name="Excel_BuiltIn_Print_Area_59_67_71" localSheetId="59">#REF!</definedName>
    <definedName name="Excel_BuiltIn_Print_Area_59_67_71" localSheetId="37">#REF!</definedName>
    <definedName name="Excel_BuiltIn_Print_Area_59_67_71" localSheetId="29">#REF!</definedName>
    <definedName name="Excel_BuiltIn_Print_Area_59_67_71" localSheetId="27">#REF!</definedName>
    <definedName name="Excel_BuiltIn_Print_Area_59_67_71">#REF!</definedName>
    <definedName name="Excel_BuiltIn_Print_Area_59_67_72" localSheetId="8">#REF!</definedName>
    <definedName name="Excel_BuiltIn_Print_Area_59_67_72" localSheetId="20">#REF!</definedName>
    <definedName name="Excel_BuiltIn_Print_Area_59_67_72" localSheetId="16">#REF!</definedName>
    <definedName name="Excel_BuiltIn_Print_Area_59_67_72" localSheetId="61">#REF!</definedName>
    <definedName name="Excel_BuiltIn_Print_Area_59_67_72" localSheetId="60">#REF!</definedName>
    <definedName name="Excel_BuiltIn_Print_Area_59_67_72" localSheetId="59">#REF!</definedName>
    <definedName name="Excel_BuiltIn_Print_Area_59_67_72" localSheetId="37">#REF!</definedName>
    <definedName name="Excel_BuiltIn_Print_Area_59_67_72" localSheetId="29">#REF!</definedName>
    <definedName name="Excel_BuiltIn_Print_Area_59_67_72" localSheetId="27">#REF!</definedName>
    <definedName name="Excel_BuiltIn_Print_Area_59_67_72">#REF!</definedName>
    <definedName name="Excel_BuiltIn_Print_Area_59_67_74" localSheetId="8">#REF!</definedName>
    <definedName name="Excel_BuiltIn_Print_Area_59_67_74" localSheetId="20">#REF!</definedName>
    <definedName name="Excel_BuiltIn_Print_Area_59_67_74" localSheetId="16">#REF!</definedName>
    <definedName name="Excel_BuiltIn_Print_Area_59_67_74" localSheetId="61">#REF!</definedName>
    <definedName name="Excel_BuiltIn_Print_Area_59_67_74" localSheetId="60">#REF!</definedName>
    <definedName name="Excel_BuiltIn_Print_Area_59_67_74" localSheetId="59">#REF!</definedName>
    <definedName name="Excel_BuiltIn_Print_Area_59_67_74" localSheetId="37">#REF!</definedName>
    <definedName name="Excel_BuiltIn_Print_Area_59_67_74" localSheetId="29">#REF!</definedName>
    <definedName name="Excel_BuiltIn_Print_Area_59_67_74" localSheetId="27">#REF!</definedName>
    <definedName name="Excel_BuiltIn_Print_Area_59_67_74">#REF!</definedName>
    <definedName name="Excel_BuiltIn_Print_Area_59_67_9" localSheetId="8">#REF!</definedName>
    <definedName name="Excel_BuiltIn_Print_Area_59_67_9" localSheetId="20">#REF!</definedName>
    <definedName name="Excel_BuiltIn_Print_Area_59_67_9" localSheetId="16">#REF!</definedName>
    <definedName name="Excel_BuiltIn_Print_Area_59_67_9" localSheetId="61">#REF!</definedName>
    <definedName name="Excel_BuiltIn_Print_Area_59_67_9" localSheetId="60">#REF!</definedName>
    <definedName name="Excel_BuiltIn_Print_Area_59_67_9" localSheetId="59">#REF!</definedName>
    <definedName name="Excel_BuiltIn_Print_Area_59_67_9" localSheetId="37">#REF!</definedName>
    <definedName name="Excel_BuiltIn_Print_Area_59_67_9" localSheetId="29">#REF!</definedName>
    <definedName name="Excel_BuiltIn_Print_Area_59_67_9" localSheetId="27">#REF!</definedName>
    <definedName name="Excel_BuiltIn_Print_Area_59_67_9">#REF!</definedName>
    <definedName name="Excel_BuiltIn_Print_Area_59_70" localSheetId="8">#REF!</definedName>
    <definedName name="Excel_BuiltIn_Print_Area_59_70" localSheetId="20">#REF!</definedName>
    <definedName name="Excel_BuiltIn_Print_Area_59_70" localSheetId="16">#REF!</definedName>
    <definedName name="Excel_BuiltIn_Print_Area_59_70" localSheetId="61">#REF!</definedName>
    <definedName name="Excel_BuiltIn_Print_Area_59_70" localSheetId="60">#REF!</definedName>
    <definedName name="Excel_BuiltIn_Print_Area_59_70" localSheetId="59">#REF!</definedName>
    <definedName name="Excel_BuiltIn_Print_Area_59_70" localSheetId="37">#REF!</definedName>
    <definedName name="Excel_BuiltIn_Print_Area_59_70" localSheetId="29">#REF!</definedName>
    <definedName name="Excel_BuiltIn_Print_Area_59_70" localSheetId="27">#REF!</definedName>
    <definedName name="Excel_BuiltIn_Print_Area_59_70">#REF!</definedName>
    <definedName name="Excel_BuiltIn_Print_Area_59_71" localSheetId="8">#REF!</definedName>
    <definedName name="Excel_BuiltIn_Print_Area_59_71" localSheetId="20">#REF!</definedName>
    <definedName name="Excel_BuiltIn_Print_Area_59_71" localSheetId="16">#REF!</definedName>
    <definedName name="Excel_BuiltIn_Print_Area_59_71" localSheetId="61">#REF!</definedName>
    <definedName name="Excel_BuiltIn_Print_Area_59_71" localSheetId="60">#REF!</definedName>
    <definedName name="Excel_BuiltIn_Print_Area_59_71" localSheetId="59">#REF!</definedName>
    <definedName name="Excel_BuiltIn_Print_Area_59_71" localSheetId="37">#REF!</definedName>
    <definedName name="Excel_BuiltIn_Print_Area_59_71" localSheetId="29">#REF!</definedName>
    <definedName name="Excel_BuiltIn_Print_Area_59_71" localSheetId="27">#REF!</definedName>
    <definedName name="Excel_BuiltIn_Print_Area_59_71">#REF!</definedName>
    <definedName name="Excel_BuiltIn_Print_Area_59_72" localSheetId="8">#REF!</definedName>
    <definedName name="Excel_BuiltIn_Print_Area_59_72" localSheetId="20">#REF!</definedName>
    <definedName name="Excel_BuiltIn_Print_Area_59_72" localSheetId="16">#REF!</definedName>
    <definedName name="Excel_BuiltIn_Print_Area_59_72" localSheetId="61">#REF!</definedName>
    <definedName name="Excel_BuiltIn_Print_Area_59_72" localSheetId="60">#REF!</definedName>
    <definedName name="Excel_BuiltIn_Print_Area_59_72" localSheetId="59">#REF!</definedName>
    <definedName name="Excel_BuiltIn_Print_Area_59_72" localSheetId="37">#REF!</definedName>
    <definedName name="Excel_BuiltIn_Print_Area_59_72" localSheetId="29">#REF!</definedName>
    <definedName name="Excel_BuiltIn_Print_Area_59_72" localSheetId="27">#REF!</definedName>
    <definedName name="Excel_BuiltIn_Print_Area_59_72">#REF!</definedName>
    <definedName name="Excel_BuiltIn_Print_Area_59_74" localSheetId="8">#REF!</definedName>
    <definedName name="Excel_BuiltIn_Print_Area_59_74" localSheetId="20">#REF!</definedName>
    <definedName name="Excel_BuiltIn_Print_Area_59_74" localSheetId="16">#REF!</definedName>
    <definedName name="Excel_BuiltIn_Print_Area_59_74" localSheetId="61">#REF!</definedName>
    <definedName name="Excel_BuiltIn_Print_Area_59_74" localSheetId="60">#REF!</definedName>
    <definedName name="Excel_BuiltIn_Print_Area_59_74" localSheetId="59">#REF!</definedName>
    <definedName name="Excel_BuiltIn_Print_Area_59_74" localSheetId="37">#REF!</definedName>
    <definedName name="Excel_BuiltIn_Print_Area_59_74" localSheetId="29">#REF!</definedName>
    <definedName name="Excel_BuiltIn_Print_Area_59_74" localSheetId="27">#REF!</definedName>
    <definedName name="Excel_BuiltIn_Print_Area_59_74">#REF!</definedName>
    <definedName name="Excel_BuiltIn_Print_Area_59_74_1" localSheetId="8">#REF!</definedName>
    <definedName name="Excel_BuiltIn_Print_Area_59_74_1" localSheetId="20">#REF!</definedName>
    <definedName name="Excel_BuiltIn_Print_Area_59_74_1" localSheetId="16">#REF!</definedName>
    <definedName name="Excel_BuiltIn_Print_Area_59_74_1" localSheetId="61">#REF!</definedName>
    <definedName name="Excel_BuiltIn_Print_Area_59_74_1" localSheetId="60">#REF!</definedName>
    <definedName name="Excel_BuiltIn_Print_Area_59_74_1" localSheetId="59">#REF!</definedName>
    <definedName name="Excel_BuiltIn_Print_Area_59_74_1" localSheetId="37">#REF!</definedName>
    <definedName name="Excel_BuiltIn_Print_Area_59_74_1" localSheetId="29">#REF!</definedName>
    <definedName name="Excel_BuiltIn_Print_Area_59_74_1" localSheetId="27">#REF!</definedName>
    <definedName name="Excel_BuiltIn_Print_Area_59_74_1">#REF!</definedName>
    <definedName name="Excel_BuiltIn_Print_Area_59_74_10" localSheetId="8">#REF!</definedName>
    <definedName name="Excel_BuiltIn_Print_Area_59_74_10" localSheetId="20">#REF!</definedName>
    <definedName name="Excel_BuiltIn_Print_Area_59_74_10" localSheetId="16">#REF!</definedName>
    <definedName name="Excel_BuiltIn_Print_Area_59_74_10" localSheetId="61">#REF!</definedName>
    <definedName name="Excel_BuiltIn_Print_Area_59_74_10" localSheetId="60">#REF!</definedName>
    <definedName name="Excel_BuiltIn_Print_Area_59_74_10" localSheetId="59">#REF!</definedName>
    <definedName name="Excel_BuiltIn_Print_Area_59_74_10" localSheetId="37">#REF!</definedName>
    <definedName name="Excel_BuiltIn_Print_Area_59_74_10" localSheetId="29">#REF!</definedName>
    <definedName name="Excel_BuiltIn_Print_Area_59_74_10" localSheetId="27">#REF!</definedName>
    <definedName name="Excel_BuiltIn_Print_Area_59_74_10">#REF!</definedName>
    <definedName name="Excel_BuiltIn_Print_Area_59_74_11" localSheetId="8">#REF!</definedName>
    <definedName name="Excel_BuiltIn_Print_Area_59_74_11" localSheetId="20">#REF!</definedName>
    <definedName name="Excel_BuiltIn_Print_Area_59_74_11" localSheetId="16">#REF!</definedName>
    <definedName name="Excel_BuiltIn_Print_Area_59_74_11" localSheetId="61">#REF!</definedName>
    <definedName name="Excel_BuiltIn_Print_Area_59_74_11" localSheetId="60">#REF!</definedName>
    <definedName name="Excel_BuiltIn_Print_Area_59_74_11" localSheetId="59">#REF!</definedName>
    <definedName name="Excel_BuiltIn_Print_Area_59_74_11" localSheetId="37">#REF!</definedName>
    <definedName name="Excel_BuiltIn_Print_Area_59_74_11" localSheetId="29">#REF!</definedName>
    <definedName name="Excel_BuiltIn_Print_Area_59_74_11" localSheetId="27">#REF!</definedName>
    <definedName name="Excel_BuiltIn_Print_Area_59_74_11">#REF!</definedName>
    <definedName name="Excel_BuiltIn_Print_Area_59_74_13" localSheetId="8">#REF!</definedName>
    <definedName name="Excel_BuiltIn_Print_Area_59_74_13" localSheetId="20">#REF!</definedName>
    <definedName name="Excel_BuiltIn_Print_Area_59_74_13" localSheetId="16">#REF!</definedName>
    <definedName name="Excel_BuiltIn_Print_Area_59_74_13" localSheetId="61">#REF!</definedName>
    <definedName name="Excel_BuiltIn_Print_Area_59_74_13" localSheetId="60">#REF!</definedName>
    <definedName name="Excel_BuiltIn_Print_Area_59_74_13" localSheetId="59">#REF!</definedName>
    <definedName name="Excel_BuiltIn_Print_Area_59_74_13" localSheetId="37">#REF!</definedName>
    <definedName name="Excel_BuiltIn_Print_Area_59_74_13" localSheetId="29">#REF!</definedName>
    <definedName name="Excel_BuiltIn_Print_Area_59_74_13" localSheetId="27">#REF!</definedName>
    <definedName name="Excel_BuiltIn_Print_Area_59_74_13">#REF!</definedName>
    <definedName name="Excel_BuiltIn_Print_Area_59_74_14" localSheetId="8">#REF!</definedName>
    <definedName name="Excel_BuiltIn_Print_Area_59_74_14" localSheetId="20">#REF!</definedName>
    <definedName name="Excel_BuiltIn_Print_Area_59_74_14" localSheetId="16">#REF!</definedName>
    <definedName name="Excel_BuiltIn_Print_Area_59_74_14" localSheetId="61">#REF!</definedName>
    <definedName name="Excel_BuiltIn_Print_Area_59_74_14" localSheetId="60">#REF!</definedName>
    <definedName name="Excel_BuiltIn_Print_Area_59_74_14" localSheetId="59">#REF!</definedName>
    <definedName name="Excel_BuiltIn_Print_Area_59_74_14" localSheetId="37">#REF!</definedName>
    <definedName name="Excel_BuiltIn_Print_Area_59_74_14" localSheetId="29">#REF!</definedName>
    <definedName name="Excel_BuiltIn_Print_Area_59_74_14" localSheetId="27">#REF!</definedName>
    <definedName name="Excel_BuiltIn_Print_Area_59_74_14">#REF!</definedName>
    <definedName name="Excel_BuiltIn_Print_Area_59_74_15" localSheetId="8">#REF!</definedName>
    <definedName name="Excel_BuiltIn_Print_Area_59_74_15" localSheetId="20">#REF!</definedName>
    <definedName name="Excel_BuiltIn_Print_Area_59_74_15" localSheetId="16">#REF!</definedName>
    <definedName name="Excel_BuiltIn_Print_Area_59_74_15" localSheetId="61">#REF!</definedName>
    <definedName name="Excel_BuiltIn_Print_Area_59_74_15" localSheetId="60">#REF!</definedName>
    <definedName name="Excel_BuiltIn_Print_Area_59_74_15" localSheetId="59">#REF!</definedName>
    <definedName name="Excel_BuiltIn_Print_Area_59_74_15" localSheetId="37">#REF!</definedName>
    <definedName name="Excel_BuiltIn_Print_Area_59_74_15" localSheetId="29">#REF!</definedName>
    <definedName name="Excel_BuiltIn_Print_Area_59_74_15" localSheetId="27">#REF!</definedName>
    <definedName name="Excel_BuiltIn_Print_Area_59_74_15">#REF!</definedName>
    <definedName name="Excel_BuiltIn_Print_Area_59_74_16" localSheetId="8">#REF!</definedName>
    <definedName name="Excel_BuiltIn_Print_Area_59_74_16" localSheetId="20">#REF!</definedName>
    <definedName name="Excel_BuiltIn_Print_Area_59_74_16" localSheetId="16">#REF!</definedName>
    <definedName name="Excel_BuiltIn_Print_Area_59_74_16" localSheetId="61">#REF!</definedName>
    <definedName name="Excel_BuiltIn_Print_Area_59_74_16" localSheetId="60">#REF!</definedName>
    <definedName name="Excel_BuiltIn_Print_Area_59_74_16" localSheetId="59">#REF!</definedName>
    <definedName name="Excel_BuiltIn_Print_Area_59_74_16" localSheetId="37">#REF!</definedName>
    <definedName name="Excel_BuiltIn_Print_Area_59_74_16" localSheetId="29">#REF!</definedName>
    <definedName name="Excel_BuiltIn_Print_Area_59_74_16" localSheetId="27">#REF!</definedName>
    <definedName name="Excel_BuiltIn_Print_Area_59_74_16">#REF!</definedName>
    <definedName name="Excel_BuiltIn_Print_Area_59_74_2" localSheetId="8">#REF!</definedName>
    <definedName name="Excel_BuiltIn_Print_Area_59_74_2" localSheetId="20">#REF!</definedName>
    <definedName name="Excel_BuiltIn_Print_Area_59_74_2" localSheetId="16">#REF!</definedName>
    <definedName name="Excel_BuiltIn_Print_Area_59_74_2" localSheetId="61">#REF!</definedName>
    <definedName name="Excel_BuiltIn_Print_Area_59_74_2" localSheetId="60">#REF!</definedName>
    <definedName name="Excel_BuiltIn_Print_Area_59_74_2" localSheetId="59">#REF!</definedName>
    <definedName name="Excel_BuiltIn_Print_Area_59_74_2" localSheetId="37">#REF!</definedName>
    <definedName name="Excel_BuiltIn_Print_Area_59_74_2" localSheetId="29">#REF!</definedName>
    <definedName name="Excel_BuiltIn_Print_Area_59_74_2" localSheetId="27">#REF!</definedName>
    <definedName name="Excel_BuiltIn_Print_Area_59_74_2">#REF!</definedName>
    <definedName name="Excel_BuiltIn_Print_Area_59_74_22" localSheetId="8">#REF!</definedName>
    <definedName name="Excel_BuiltIn_Print_Area_59_74_22" localSheetId="20">#REF!</definedName>
    <definedName name="Excel_BuiltIn_Print_Area_59_74_22" localSheetId="16">#REF!</definedName>
    <definedName name="Excel_BuiltIn_Print_Area_59_74_22" localSheetId="61">#REF!</definedName>
    <definedName name="Excel_BuiltIn_Print_Area_59_74_22" localSheetId="60">#REF!</definedName>
    <definedName name="Excel_BuiltIn_Print_Area_59_74_22" localSheetId="59">#REF!</definedName>
    <definedName name="Excel_BuiltIn_Print_Area_59_74_22" localSheetId="37">#REF!</definedName>
    <definedName name="Excel_BuiltIn_Print_Area_59_74_22" localSheetId="29">#REF!</definedName>
    <definedName name="Excel_BuiltIn_Print_Area_59_74_22" localSheetId="27">#REF!</definedName>
    <definedName name="Excel_BuiltIn_Print_Area_59_74_22">#REF!</definedName>
    <definedName name="Excel_BuiltIn_Print_Area_59_74_25" localSheetId="8">#REF!</definedName>
    <definedName name="Excel_BuiltIn_Print_Area_59_74_25" localSheetId="20">#REF!</definedName>
    <definedName name="Excel_BuiltIn_Print_Area_59_74_25" localSheetId="16">#REF!</definedName>
    <definedName name="Excel_BuiltIn_Print_Area_59_74_25" localSheetId="61">#REF!</definedName>
    <definedName name="Excel_BuiltIn_Print_Area_59_74_25" localSheetId="60">#REF!</definedName>
    <definedName name="Excel_BuiltIn_Print_Area_59_74_25" localSheetId="59">#REF!</definedName>
    <definedName name="Excel_BuiltIn_Print_Area_59_74_25" localSheetId="37">#REF!</definedName>
    <definedName name="Excel_BuiltIn_Print_Area_59_74_25" localSheetId="29">#REF!</definedName>
    <definedName name="Excel_BuiltIn_Print_Area_59_74_25" localSheetId="27">#REF!</definedName>
    <definedName name="Excel_BuiltIn_Print_Area_59_74_25">#REF!</definedName>
    <definedName name="Excel_BuiltIn_Print_Area_59_74_3" localSheetId="8">#REF!</definedName>
    <definedName name="Excel_BuiltIn_Print_Area_59_74_3" localSheetId="20">#REF!</definedName>
    <definedName name="Excel_BuiltIn_Print_Area_59_74_3" localSheetId="16">#REF!</definedName>
    <definedName name="Excel_BuiltIn_Print_Area_59_74_3" localSheetId="61">#REF!</definedName>
    <definedName name="Excel_BuiltIn_Print_Area_59_74_3" localSheetId="60">#REF!</definedName>
    <definedName name="Excel_BuiltIn_Print_Area_59_74_3" localSheetId="59">#REF!</definedName>
    <definedName name="Excel_BuiltIn_Print_Area_59_74_3" localSheetId="37">#REF!</definedName>
    <definedName name="Excel_BuiltIn_Print_Area_59_74_3" localSheetId="29">#REF!</definedName>
    <definedName name="Excel_BuiltIn_Print_Area_59_74_3" localSheetId="27">#REF!</definedName>
    <definedName name="Excel_BuiltIn_Print_Area_59_74_3">#REF!</definedName>
    <definedName name="Excel_BuiltIn_Print_Area_59_74_4" localSheetId="8">#REF!</definedName>
    <definedName name="Excel_BuiltIn_Print_Area_59_74_4" localSheetId="20">#REF!</definedName>
    <definedName name="Excel_BuiltIn_Print_Area_59_74_4" localSheetId="16">#REF!</definedName>
    <definedName name="Excel_BuiltIn_Print_Area_59_74_4" localSheetId="61">#REF!</definedName>
    <definedName name="Excel_BuiltIn_Print_Area_59_74_4" localSheetId="60">#REF!</definedName>
    <definedName name="Excel_BuiltIn_Print_Area_59_74_4" localSheetId="59">#REF!</definedName>
    <definedName name="Excel_BuiltIn_Print_Area_59_74_4" localSheetId="37">#REF!</definedName>
    <definedName name="Excel_BuiltIn_Print_Area_59_74_4" localSheetId="29">#REF!</definedName>
    <definedName name="Excel_BuiltIn_Print_Area_59_74_4" localSheetId="27">#REF!</definedName>
    <definedName name="Excel_BuiltIn_Print_Area_59_74_4">#REF!</definedName>
    <definedName name="Excel_BuiltIn_Print_Area_59_74_56" localSheetId="8">#REF!</definedName>
    <definedName name="Excel_BuiltIn_Print_Area_59_74_56" localSheetId="20">#REF!</definedName>
    <definedName name="Excel_BuiltIn_Print_Area_59_74_56" localSheetId="16">#REF!</definedName>
    <definedName name="Excel_BuiltIn_Print_Area_59_74_56" localSheetId="61">#REF!</definedName>
    <definedName name="Excel_BuiltIn_Print_Area_59_74_56" localSheetId="60">#REF!</definedName>
    <definedName name="Excel_BuiltIn_Print_Area_59_74_56" localSheetId="59">#REF!</definedName>
    <definedName name="Excel_BuiltIn_Print_Area_59_74_56" localSheetId="37">#REF!</definedName>
    <definedName name="Excel_BuiltIn_Print_Area_59_74_56" localSheetId="29">#REF!</definedName>
    <definedName name="Excel_BuiltIn_Print_Area_59_74_56" localSheetId="27">#REF!</definedName>
    <definedName name="Excel_BuiltIn_Print_Area_59_74_56">#REF!</definedName>
    <definedName name="Excel_BuiltIn_Print_Area_59_74_6" localSheetId="8">#REF!</definedName>
    <definedName name="Excel_BuiltIn_Print_Area_59_74_6" localSheetId="20">#REF!</definedName>
    <definedName name="Excel_BuiltIn_Print_Area_59_74_6" localSheetId="16">#REF!</definedName>
    <definedName name="Excel_BuiltIn_Print_Area_59_74_6" localSheetId="61">#REF!</definedName>
    <definedName name="Excel_BuiltIn_Print_Area_59_74_6" localSheetId="60">#REF!</definedName>
    <definedName name="Excel_BuiltIn_Print_Area_59_74_6" localSheetId="59">#REF!</definedName>
    <definedName name="Excel_BuiltIn_Print_Area_59_74_6" localSheetId="37">#REF!</definedName>
    <definedName name="Excel_BuiltIn_Print_Area_59_74_6" localSheetId="29">#REF!</definedName>
    <definedName name="Excel_BuiltIn_Print_Area_59_74_6" localSheetId="27">#REF!</definedName>
    <definedName name="Excel_BuiltIn_Print_Area_59_74_6">#REF!</definedName>
    <definedName name="Excel_BuiltIn_Print_Area_59_74_66" localSheetId="8">#REF!</definedName>
    <definedName name="Excel_BuiltIn_Print_Area_59_74_66" localSheetId="20">#REF!</definedName>
    <definedName name="Excel_BuiltIn_Print_Area_59_74_66" localSheetId="16">#REF!</definedName>
    <definedName name="Excel_BuiltIn_Print_Area_59_74_66" localSheetId="61">#REF!</definedName>
    <definedName name="Excel_BuiltIn_Print_Area_59_74_66" localSheetId="60">#REF!</definedName>
    <definedName name="Excel_BuiltIn_Print_Area_59_74_66" localSheetId="59">#REF!</definedName>
    <definedName name="Excel_BuiltIn_Print_Area_59_74_66" localSheetId="37">#REF!</definedName>
    <definedName name="Excel_BuiltIn_Print_Area_59_74_66" localSheetId="29">#REF!</definedName>
    <definedName name="Excel_BuiltIn_Print_Area_59_74_66" localSheetId="27">#REF!</definedName>
    <definedName name="Excel_BuiltIn_Print_Area_59_74_66">#REF!</definedName>
    <definedName name="Excel_BuiltIn_Print_Area_59_74_67" localSheetId="8">#REF!</definedName>
    <definedName name="Excel_BuiltIn_Print_Area_59_74_67" localSheetId="20">#REF!</definedName>
    <definedName name="Excel_BuiltIn_Print_Area_59_74_67" localSheetId="16">#REF!</definedName>
    <definedName name="Excel_BuiltIn_Print_Area_59_74_67" localSheetId="61">#REF!</definedName>
    <definedName name="Excel_BuiltIn_Print_Area_59_74_67" localSheetId="60">#REF!</definedName>
    <definedName name="Excel_BuiltIn_Print_Area_59_74_67" localSheetId="59">#REF!</definedName>
    <definedName name="Excel_BuiltIn_Print_Area_59_74_67" localSheetId="37">#REF!</definedName>
    <definedName name="Excel_BuiltIn_Print_Area_59_74_67" localSheetId="29">#REF!</definedName>
    <definedName name="Excel_BuiltIn_Print_Area_59_74_67" localSheetId="27">#REF!</definedName>
    <definedName name="Excel_BuiltIn_Print_Area_59_74_67">#REF!</definedName>
    <definedName name="Excel_BuiltIn_Print_Area_59_74_70" localSheetId="8">#REF!</definedName>
    <definedName name="Excel_BuiltIn_Print_Area_59_74_70" localSheetId="20">#REF!</definedName>
    <definedName name="Excel_BuiltIn_Print_Area_59_74_70" localSheetId="16">#REF!</definedName>
    <definedName name="Excel_BuiltIn_Print_Area_59_74_70" localSheetId="61">#REF!</definedName>
    <definedName name="Excel_BuiltIn_Print_Area_59_74_70" localSheetId="60">#REF!</definedName>
    <definedName name="Excel_BuiltIn_Print_Area_59_74_70" localSheetId="59">#REF!</definedName>
    <definedName name="Excel_BuiltIn_Print_Area_59_74_70" localSheetId="37">#REF!</definedName>
    <definedName name="Excel_BuiltIn_Print_Area_59_74_70" localSheetId="29">#REF!</definedName>
    <definedName name="Excel_BuiltIn_Print_Area_59_74_70" localSheetId="27">#REF!</definedName>
    <definedName name="Excel_BuiltIn_Print_Area_59_74_70">#REF!</definedName>
    <definedName name="Excel_BuiltIn_Print_Area_59_74_71" localSheetId="8">#REF!</definedName>
    <definedName name="Excel_BuiltIn_Print_Area_59_74_71" localSheetId="20">#REF!</definedName>
    <definedName name="Excel_BuiltIn_Print_Area_59_74_71" localSheetId="16">#REF!</definedName>
    <definedName name="Excel_BuiltIn_Print_Area_59_74_71" localSheetId="61">#REF!</definedName>
    <definedName name="Excel_BuiltIn_Print_Area_59_74_71" localSheetId="60">#REF!</definedName>
    <definedName name="Excel_BuiltIn_Print_Area_59_74_71" localSheetId="59">#REF!</definedName>
    <definedName name="Excel_BuiltIn_Print_Area_59_74_71" localSheetId="37">#REF!</definedName>
    <definedName name="Excel_BuiltIn_Print_Area_59_74_71" localSheetId="29">#REF!</definedName>
    <definedName name="Excel_BuiltIn_Print_Area_59_74_71" localSheetId="27">#REF!</definedName>
    <definedName name="Excel_BuiltIn_Print_Area_59_74_71">#REF!</definedName>
    <definedName name="Excel_BuiltIn_Print_Area_59_74_72" localSheetId="8">#REF!</definedName>
    <definedName name="Excel_BuiltIn_Print_Area_59_74_72" localSheetId="20">#REF!</definedName>
    <definedName name="Excel_BuiltIn_Print_Area_59_74_72" localSheetId="16">#REF!</definedName>
    <definedName name="Excel_BuiltIn_Print_Area_59_74_72" localSheetId="61">#REF!</definedName>
    <definedName name="Excel_BuiltIn_Print_Area_59_74_72" localSheetId="60">#REF!</definedName>
    <definedName name="Excel_BuiltIn_Print_Area_59_74_72" localSheetId="59">#REF!</definedName>
    <definedName name="Excel_BuiltIn_Print_Area_59_74_72" localSheetId="37">#REF!</definedName>
    <definedName name="Excel_BuiltIn_Print_Area_59_74_72" localSheetId="29">#REF!</definedName>
    <definedName name="Excel_BuiltIn_Print_Area_59_74_72" localSheetId="27">#REF!</definedName>
    <definedName name="Excel_BuiltIn_Print_Area_59_74_72">#REF!</definedName>
    <definedName name="Excel_BuiltIn_Print_Area_59_74_74" localSheetId="8">#REF!</definedName>
    <definedName name="Excel_BuiltIn_Print_Area_59_74_74" localSheetId="20">#REF!</definedName>
    <definedName name="Excel_BuiltIn_Print_Area_59_74_74" localSheetId="16">#REF!</definedName>
    <definedName name="Excel_BuiltIn_Print_Area_59_74_74" localSheetId="61">#REF!</definedName>
    <definedName name="Excel_BuiltIn_Print_Area_59_74_74" localSheetId="60">#REF!</definedName>
    <definedName name="Excel_BuiltIn_Print_Area_59_74_74" localSheetId="59">#REF!</definedName>
    <definedName name="Excel_BuiltIn_Print_Area_59_74_74" localSheetId="37">#REF!</definedName>
    <definedName name="Excel_BuiltIn_Print_Area_59_74_74" localSheetId="29">#REF!</definedName>
    <definedName name="Excel_BuiltIn_Print_Area_59_74_74" localSheetId="27">#REF!</definedName>
    <definedName name="Excel_BuiltIn_Print_Area_59_74_74">#REF!</definedName>
    <definedName name="Excel_BuiltIn_Print_Area_59_74_9" localSheetId="8">#REF!</definedName>
    <definedName name="Excel_BuiltIn_Print_Area_59_74_9" localSheetId="20">#REF!</definedName>
    <definedName name="Excel_BuiltIn_Print_Area_59_74_9" localSheetId="16">#REF!</definedName>
    <definedName name="Excel_BuiltIn_Print_Area_59_74_9" localSheetId="61">#REF!</definedName>
    <definedName name="Excel_BuiltIn_Print_Area_59_74_9" localSheetId="60">#REF!</definedName>
    <definedName name="Excel_BuiltIn_Print_Area_59_74_9" localSheetId="59">#REF!</definedName>
    <definedName name="Excel_BuiltIn_Print_Area_59_74_9" localSheetId="37">#REF!</definedName>
    <definedName name="Excel_BuiltIn_Print_Area_59_74_9" localSheetId="29">#REF!</definedName>
    <definedName name="Excel_BuiltIn_Print_Area_59_74_9" localSheetId="27">#REF!</definedName>
    <definedName name="Excel_BuiltIn_Print_Area_59_74_9">#REF!</definedName>
    <definedName name="Excel_BuiltIn_Print_Area_59_9" localSheetId="8">#REF!</definedName>
    <definedName name="Excel_BuiltIn_Print_Area_59_9" localSheetId="20">#REF!</definedName>
    <definedName name="Excel_BuiltIn_Print_Area_59_9" localSheetId="16">#REF!</definedName>
    <definedName name="Excel_BuiltIn_Print_Area_59_9" localSheetId="61">#REF!</definedName>
    <definedName name="Excel_BuiltIn_Print_Area_59_9" localSheetId="60">#REF!</definedName>
    <definedName name="Excel_BuiltIn_Print_Area_59_9" localSheetId="59">#REF!</definedName>
    <definedName name="Excel_BuiltIn_Print_Area_59_9" localSheetId="37">#REF!</definedName>
    <definedName name="Excel_BuiltIn_Print_Area_59_9" localSheetId="29">#REF!</definedName>
    <definedName name="Excel_BuiltIn_Print_Area_59_9" localSheetId="27">#REF!</definedName>
    <definedName name="Excel_BuiltIn_Print_Area_59_9">#REF!</definedName>
    <definedName name="ff" localSheetId="21">А!ff</definedName>
    <definedName name="ff" localSheetId="43">'вод.налог 2018'!ff</definedName>
    <definedName name="ff" localSheetId="33">'ЗП с факт 3 кв. 2015'!ff</definedName>
    <definedName name="ff" localSheetId="44">'имушество 2018'!ff</definedName>
    <definedName name="ff" localSheetId="40">'налоги 2018'!ff</definedName>
    <definedName name="ff" localSheetId="4">#N/A</definedName>
    <definedName name="ff" localSheetId="2">#N/A</definedName>
    <definedName name="ff" localSheetId="10">#N/A</definedName>
    <definedName name="ff" localSheetId="9">#N/A</definedName>
    <definedName name="ff" localSheetId="8">#N/A</definedName>
    <definedName name="ff" localSheetId="13">#N/A</definedName>
    <definedName name="ff" localSheetId="14">#N/A</definedName>
    <definedName name="ff" localSheetId="12">#N/A</definedName>
    <definedName name="ff" localSheetId="11">#N/A</definedName>
    <definedName name="ff" localSheetId="41">'Расчет налог. обяз. 2018'!ff</definedName>
    <definedName name="ff" localSheetId="42">'рез к 2017'!ff</definedName>
    <definedName name="ff" localSheetId="46">'рез к 2018'!ff</definedName>
    <definedName name="ff" localSheetId="22">ТН!ff</definedName>
    <definedName name="ff" localSheetId="3">#N/A</definedName>
    <definedName name="ff" localSheetId="1">#N/A</definedName>
    <definedName name="ff">'ЗП с факт 3 кв. 2015'!ff</definedName>
    <definedName name="ff_10" localSheetId="21">А!ff</definedName>
    <definedName name="ff_10" localSheetId="43">'вод.налог 2018'!ff</definedName>
    <definedName name="ff_10" localSheetId="33">'ЗП с факт 3 кв. 2015'!ff</definedName>
    <definedName name="ff_10" localSheetId="44">'имушество 2018'!ff</definedName>
    <definedName name="ff_10" localSheetId="40">'налоги 2018'!ff</definedName>
    <definedName name="ff_10" localSheetId="4">'ПОЛНАЯ СЕБЕСТОИМОСТЬ ВОДА 2018'!ff</definedName>
    <definedName name="ff_10" localSheetId="2">'ПОЛНАЯ СЕБЕСТОИМОСТЬ СТОКИ 2018'!ff</definedName>
    <definedName name="ff_10" localSheetId="10">'Прил. 1 План ФХД вода табл. 2'!ff</definedName>
    <definedName name="ff_10" localSheetId="9">'Прил. 1 План ФХД стоки табл 2'!ff</definedName>
    <definedName name="ff_10" localSheetId="8">'Прил. 1 План ФХД табл 1'!ff</definedName>
    <definedName name="ff_10" localSheetId="13">'Произв. прогр. Вода'!ff</definedName>
    <definedName name="ff_10" localSheetId="14">'Произв. прогр. Вода (СВОД)'!ff</definedName>
    <definedName name="ff_10" localSheetId="12">'Произв. прогр. Стоки'!ff</definedName>
    <definedName name="ff_10" localSheetId="11">'Произв. прогр. Стоки (СВОД)'!ff</definedName>
    <definedName name="ff_10" localSheetId="41">'Расчет налог. обяз. 2018'!ff</definedName>
    <definedName name="ff_10" localSheetId="42">'рез к 2017'!ff</definedName>
    <definedName name="ff_10" localSheetId="46">'рез к 2018'!ff</definedName>
    <definedName name="ff_10" localSheetId="22">ТН!ff</definedName>
    <definedName name="ff_10" localSheetId="3">'ФАКТ. СЕБЕСТ ВОДА 1 пол.2018'!ff</definedName>
    <definedName name="ff_10" localSheetId="1">'ФАКТ. СЕБЕСТ. СТОКИ 1 пол. 2018'!ff</definedName>
    <definedName name="ff_10">[0]!ff</definedName>
    <definedName name="ff_14" localSheetId="21">А!ff</definedName>
    <definedName name="ff_14" localSheetId="43">'вод.налог 2018'!ff</definedName>
    <definedName name="ff_14" localSheetId="33">'ЗП с факт 3 кв. 2015'!ff</definedName>
    <definedName name="ff_14" localSheetId="44">'имушество 2018'!ff</definedName>
    <definedName name="ff_14" localSheetId="40">'налоги 2018'!ff</definedName>
    <definedName name="ff_14" localSheetId="4">'ПОЛНАЯ СЕБЕСТОИМОСТЬ ВОДА 2018'!ff</definedName>
    <definedName name="ff_14" localSheetId="2">'ПОЛНАЯ СЕБЕСТОИМОСТЬ СТОКИ 2018'!ff</definedName>
    <definedName name="ff_14" localSheetId="10">'Прил. 1 План ФХД вода табл. 2'!ff</definedName>
    <definedName name="ff_14" localSheetId="9">'Прил. 1 План ФХД стоки табл 2'!ff</definedName>
    <definedName name="ff_14" localSheetId="8">'Прил. 1 План ФХД табл 1'!ff</definedName>
    <definedName name="ff_14" localSheetId="13">'Произв. прогр. Вода'!ff</definedName>
    <definedName name="ff_14" localSheetId="14">'Произв. прогр. Вода (СВОД)'!ff</definedName>
    <definedName name="ff_14" localSheetId="12">'Произв. прогр. Стоки'!ff</definedName>
    <definedName name="ff_14" localSheetId="11">'Произв. прогр. Стоки (СВОД)'!ff</definedName>
    <definedName name="ff_14" localSheetId="41">'Расчет налог. обяз. 2018'!ff</definedName>
    <definedName name="ff_14" localSheetId="42">'рез к 2017'!ff</definedName>
    <definedName name="ff_14" localSheetId="46">'рез к 2018'!ff</definedName>
    <definedName name="ff_14" localSheetId="22">ТН!ff</definedName>
    <definedName name="ff_14" localSheetId="3">'ФАКТ. СЕБЕСТ ВОДА 1 пол.2018'!ff</definedName>
    <definedName name="ff_14" localSheetId="1">'ФАКТ. СЕБЕСТ. СТОКИ 1 пол. 2018'!ff</definedName>
    <definedName name="ff_14">[0]!ff</definedName>
    <definedName name="ff_15" localSheetId="21">А!ff</definedName>
    <definedName name="ff_15" localSheetId="43">'вод.налог 2018'!ff</definedName>
    <definedName name="ff_15" localSheetId="33">'ЗП с факт 3 кв. 2015'!ff</definedName>
    <definedName name="ff_15" localSheetId="44">'имушество 2018'!ff</definedName>
    <definedName name="ff_15" localSheetId="40">'налоги 2018'!ff</definedName>
    <definedName name="ff_15" localSheetId="4">'ПОЛНАЯ СЕБЕСТОИМОСТЬ ВОДА 2018'!ff</definedName>
    <definedName name="ff_15" localSheetId="2">'ПОЛНАЯ СЕБЕСТОИМОСТЬ СТОКИ 2018'!ff</definedName>
    <definedName name="ff_15" localSheetId="10">'Прил. 1 План ФХД вода табл. 2'!ff</definedName>
    <definedName name="ff_15" localSheetId="9">'Прил. 1 План ФХД стоки табл 2'!ff</definedName>
    <definedName name="ff_15" localSheetId="8">'Прил. 1 План ФХД табл 1'!ff</definedName>
    <definedName name="ff_15" localSheetId="13">'Произв. прогр. Вода'!ff</definedName>
    <definedName name="ff_15" localSheetId="14">'Произв. прогр. Вода (СВОД)'!ff</definedName>
    <definedName name="ff_15" localSheetId="12">'Произв. прогр. Стоки'!ff</definedName>
    <definedName name="ff_15" localSheetId="11">'Произв. прогр. Стоки (СВОД)'!ff</definedName>
    <definedName name="ff_15" localSheetId="41">'Расчет налог. обяз. 2018'!ff</definedName>
    <definedName name="ff_15" localSheetId="42">'рез к 2017'!ff</definedName>
    <definedName name="ff_15" localSheetId="46">'рез к 2018'!ff</definedName>
    <definedName name="ff_15" localSheetId="22">ТН!ff</definedName>
    <definedName name="ff_15" localSheetId="3">'ФАКТ. СЕБЕСТ ВОДА 1 пол.2018'!ff</definedName>
    <definedName name="ff_15" localSheetId="1">'ФАКТ. СЕБЕСТ. СТОКИ 1 пол. 2018'!ff</definedName>
    <definedName name="ff_15">[0]!ff</definedName>
    <definedName name="ff_16" localSheetId="21">А!ff</definedName>
    <definedName name="ff_16" localSheetId="43">'вод.налог 2018'!ff</definedName>
    <definedName name="ff_16" localSheetId="33">'ЗП с факт 3 кв. 2015'!ff</definedName>
    <definedName name="ff_16" localSheetId="44">'имушество 2018'!ff</definedName>
    <definedName name="ff_16" localSheetId="40">'налоги 2018'!ff</definedName>
    <definedName name="ff_16" localSheetId="4">'ПОЛНАЯ СЕБЕСТОИМОСТЬ ВОДА 2018'!ff</definedName>
    <definedName name="ff_16" localSheetId="2">'ПОЛНАЯ СЕБЕСТОИМОСТЬ СТОКИ 2018'!ff</definedName>
    <definedName name="ff_16" localSheetId="10">'Прил. 1 План ФХД вода табл. 2'!ff</definedName>
    <definedName name="ff_16" localSheetId="9">'Прил. 1 План ФХД стоки табл 2'!ff</definedName>
    <definedName name="ff_16" localSheetId="8">'Прил. 1 План ФХД табл 1'!ff</definedName>
    <definedName name="ff_16" localSheetId="13">'Произв. прогр. Вода'!ff</definedName>
    <definedName name="ff_16" localSheetId="14">'Произв. прогр. Вода (СВОД)'!ff</definedName>
    <definedName name="ff_16" localSheetId="12">'Произв. прогр. Стоки'!ff</definedName>
    <definedName name="ff_16" localSheetId="11">'Произв. прогр. Стоки (СВОД)'!ff</definedName>
    <definedName name="ff_16" localSheetId="41">'Расчет налог. обяз. 2018'!ff</definedName>
    <definedName name="ff_16" localSheetId="42">'рез к 2017'!ff</definedName>
    <definedName name="ff_16" localSheetId="46">'рез к 2018'!ff</definedName>
    <definedName name="ff_16" localSheetId="22">ТН!ff</definedName>
    <definedName name="ff_16" localSheetId="3">'ФАКТ. СЕБЕСТ ВОДА 1 пол.2018'!ff</definedName>
    <definedName name="ff_16" localSheetId="1">'ФАКТ. СЕБЕСТ. СТОКИ 1 пол. 2018'!ff</definedName>
    <definedName name="ff_16">[0]!ff</definedName>
    <definedName name="ff_2" localSheetId="21">А!ff</definedName>
    <definedName name="ff_2" localSheetId="43">'вод.налог 2018'!ff</definedName>
    <definedName name="ff_2" localSheetId="33">'ЗП с факт 3 кв. 2015'!ff</definedName>
    <definedName name="ff_2" localSheetId="44">'имушество 2018'!ff</definedName>
    <definedName name="ff_2" localSheetId="40">'налоги 2018'!ff</definedName>
    <definedName name="ff_2" localSheetId="4">'ПОЛНАЯ СЕБЕСТОИМОСТЬ ВОДА 2018'!ff</definedName>
    <definedName name="ff_2" localSheetId="2">'ПОЛНАЯ СЕБЕСТОИМОСТЬ СТОКИ 2018'!ff</definedName>
    <definedName name="ff_2" localSheetId="10">'Прил. 1 План ФХД вода табл. 2'!ff</definedName>
    <definedName name="ff_2" localSheetId="9">'Прил. 1 План ФХД стоки табл 2'!ff</definedName>
    <definedName name="ff_2" localSheetId="8">'Прил. 1 План ФХД табл 1'!ff</definedName>
    <definedName name="ff_2" localSheetId="13">'Произв. прогр. Вода'!ff</definedName>
    <definedName name="ff_2" localSheetId="14">'Произв. прогр. Вода (СВОД)'!ff</definedName>
    <definedName name="ff_2" localSheetId="12">'Произв. прогр. Стоки'!ff</definedName>
    <definedName name="ff_2" localSheetId="11">'Произв. прогр. Стоки (СВОД)'!ff</definedName>
    <definedName name="ff_2" localSheetId="41">'Расчет налог. обяз. 2018'!ff</definedName>
    <definedName name="ff_2" localSheetId="42">'рез к 2017'!ff</definedName>
    <definedName name="ff_2" localSheetId="46">'рез к 2018'!ff</definedName>
    <definedName name="ff_2" localSheetId="22">ТН!ff</definedName>
    <definedName name="ff_2" localSheetId="3">'ФАКТ. СЕБЕСТ ВОДА 1 пол.2018'!ff</definedName>
    <definedName name="ff_2" localSheetId="1">'ФАКТ. СЕБЕСТ. СТОКИ 1 пол. 2018'!ff</definedName>
    <definedName name="ff_2">[0]!ff</definedName>
    <definedName name="fsF" localSheetId="4">[3]Список!$J$2</definedName>
    <definedName name="fsF" localSheetId="2">[3]Список!$J$2</definedName>
    <definedName name="fsF" localSheetId="3">[3]Список!$J$2</definedName>
    <definedName name="fsF" localSheetId="1">[3]Список!$J$2</definedName>
    <definedName name="fsF">[3]Список!$J$2</definedName>
    <definedName name="ggg" localSheetId="21">А!ggg</definedName>
    <definedName name="ggg" localSheetId="43">'вод.налог 2018'!ggg</definedName>
    <definedName name="ggg" localSheetId="33">'ЗП с факт 3 кв. 2015'!ggg</definedName>
    <definedName name="ggg" localSheetId="44">'имушество 2018'!ggg</definedName>
    <definedName name="ggg" localSheetId="40">'налоги 2018'!ggg</definedName>
    <definedName name="ggg" localSheetId="4">#N/A</definedName>
    <definedName name="ggg" localSheetId="2">#N/A</definedName>
    <definedName name="ggg" localSheetId="10">#N/A</definedName>
    <definedName name="ggg" localSheetId="9">#N/A</definedName>
    <definedName name="ggg" localSheetId="8">#N/A</definedName>
    <definedName name="ggg" localSheetId="13">#N/A</definedName>
    <definedName name="ggg" localSheetId="14">#N/A</definedName>
    <definedName name="ggg" localSheetId="12">#N/A</definedName>
    <definedName name="ggg" localSheetId="11">#N/A</definedName>
    <definedName name="ggg" localSheetId="41">'Расчет налог. обяз. 2018'!ggg</definedName>
    <definedName name="ggg" localSheetId="42">'рез к 2017'!ggg</definedName>
    <definedName name="ggg" localSheetId="46">'рез к 2018'!ggg</definedName>
    <definedName name="ggg" localSheetId="22">ТН!ggg</definedName>
    <definedName name="ggg" localSheetId="3">#N/A</definedName>
    <definedName name="ggg" localSheetId="1">#N/A</definedName>
    <definedName name="ggg">'ЗП с факт 3 кв. 2015'!ggg</definedName>
    <definedName name="ggg_10" localSheetId="21">А!ggg</definedName>
    <definedName name="ggg_10" localSheetId="43">'вод.налог 2018'!ggg</definedName>
    <definedName name="ggg_10" localSheetId="33">'ЗП с факт 3 кв. 2015'!ggg</definedName>
    <definedName name="ggg_10" localSheetId="44">'имушество 2018'!ggg</definedName>
    <definedName name="ggg_10" localSheetId="40">'налоги 2018'!ggg</definedName>
    <definedName name="ggg_10" localSheetId="4">'ПОЛНАЯ СЕБЕСТОИМОСТЬ ВОДА 2018'!ggg</definedName>
    <definedName name="ggg_10" localSheetId="2">'ПОЛНАЯ СЕБЕСТОИМОСТЬ СТОКИ 2018'!ggg</definedName>
    <definedName name="ggg_10" localSheetId="10">'Прил. 1 План ФХД вода табл. 2'!ggg</definedName>
    <definedName name="ggg_10" localSheetId="9">'Прил. 1 План ФХД стоки табл 2'!ggg</definedName>
    <definedName name="ggg_10" localSheetId="8">'Прил. 1 План ФХД табл 1'!ggg</definedName>
    <definedName name="ggg_10" localSheetId="13">'Произв. прогр. Вода'!ggg</definedName>
    <definedName name="ggg_10" localSheetId="14">'Произв. прогр. Вода (СВОД)'!ggg</definedName>
    <definedName name="ggg_10" localSheetId="12">'Произв. прогр. Стоки'!ggg</definedName>
    <definedName name="ggg_10" localSheetId="11">'Произв. прогр. Стоки (СВОД)'!ggg</definedName>
    <definedName name="ggg_10" localSheetId="41">'Расчет налог. обяз. 2018'!ggg</definedName>
    <definedName name="ggg_10" localSheetId="42">'рез к 2017'!ggg</definedName>
    <definedName name="ggg_10" localSheetId="46">'рез к 2018'!ggg</definedName>
    <definedName name="ggg_10" localSheetId="22">ТН!ggg</definedName>
    <definedName name="ggg_10" localSheetId="3">'ФАКТ. СЕБЕСТ ВОДА 1 пол.2018'!ggg</definedName>
    <definedName name="ggg_10" localSheetId="1">'ФАКТ. СЕБЕСТ. СТОКИ 1 пол. 2018'!ggg</definedName>
    <definedName name="ggg_10">[0]!ggg</definedName>
    <definedName name="ggg_14" localSheetId="21">А!ggg</definedName>
    <definedName name="ggg_14" localSheetId="43">'вод.налог 2018'!ggg</definedName>
    <definedName name="ggg_14" localSheetId="33">'ЗП с факт 3 кв. 2015'!ggg</definedName>
    <definedName name="ggg_14" localSheetId="44">'имушество 2018'!ggg</definedName>
    <definedName name="ggg_14" localSheetId="40">'налоги 2018'!ggg</definedName>
    <definedName name="ggg_14" localSheetId="4">'ПОЛНАЯ СЕБЕСТОИМОСТЬ ВОДА 2018'!ggg</definedName>
    <definedName name="ggg_14" localSheetId="2">'ПОЛНАЯ СЕБЕСТОИМОСТЬ СТОКИ 2018'!ggg</definedName>
    <definedName name="ggg_14" localSheetId="10">'Прил. 1 План ФХД вода табл. 2'!ggg</definedName>
    <definedName name="ggg_14" localSheetId="9">'Прил. 1 План ФХД стоки табл 2'!ggg</definedName>
    <definedName name="ggg_14" localSheetId="8">'Прил. 1 План ФХД табл 1'!ggg</definedName>
    <definedName name="ggg_14" localSheetId="13">'Произв. прогр. Вода'!ggg</definedName>
    <definedName name="ggg_14" localSheetId="14">'Произв. прогр. Вода (СВОД)'!ggg</definedName>
    <definedName name="ggg_14" localSheetId="12">'Произв. прогр. Стоки'!ggg</definedName>
    <definedName name="ggg_14" localSheetId="11">'Произв. прогр. Стоки (СВОД)'!ggg</definedName>
    <definedName name="ggg_14" localSheetId="41">'Расчет налог. обяз. 2018'!ggg</definedName>
    <definedName name="ggg_14" localSheetId="42">'рез к 2017'!ggg</definedName>
    <definedName name="ggg_14" localSheetId="46">'рез к 2018'!ggg</definedName>
    <definedName name="ggg_14" localSheetId="22">ТН!ggg</definedName>
    <definedName name="ggg_14" localSheetId="3">'ФАКТ. СЕБЕСТ ВОДА 1 пол.2018'!ggg</definedName>
    <definedName name="ggg_14" localSheetId="1">'ФАКТ. СЕБЕСТ. СТОКИ 1 пол. 2018'!ggg</definedName>
    <definedName name="ggg_14">[0]!ggg</definedName>
    <definedName name="ggg_15" localSheetId="21">А!ggg</definedName>
    <definedName name="ggg_15" localSheetId="43">'вод.налог 2018'!ggg</definedName>
    <definedName name="ggg_15" localSheetId="33">'ЗП с факт 3 кв. 2015'!ggg</definedName>
    <definedName name="ggg_15" localSheetId="44">'имушество 2018'!ggg</definedName>
    <definedName name="ggg_15" localSheetId="40">'налоги 2018'!ggg</definedName>
    <definedName name="ggg_15" localSheetId="4">'ПОЛНАЯ СЕБЕСТОИМОСТЬ ВОДА 2018'!ggg</definedName>
    <definedName name="ggg_15" localSheetId="2">'ПОЛНАЯ СЕБЕСТОИМОСТЬ СТОКИ 2018'!ggg</definedName>
    <definedName name="ggg_15" localSheetId="10">'Прил. 1 План ФХД вода табл. 2'!ggg</definedName>
    <definedName name="ggg_15" localSheetId="9">'Прил. 1 План ФХД стоки табл 2'!ggg</definedName>
    <definedName name="ggg_15" localSheetId="8">'Прил. 1 План ФХД табл 1'!ggg</definedName>
    <definedName name="ggg_15" localSheetId="13">'Произв. прогр. Вода'!ggg</definedName>
    <definedName name="ggg_15" localSheetId="14">'Произв. прогр. Вода (СВОД)'!ggg</definedName>
    <definedName name="ggg_15" localSheetId="12">'Произв. прогр. Стоки'!ggg</definedName>
    <definedName name="ggg_15" localSheetId="11">'Произв. прогр. Стоки (СВОД)'!ggg</definedName>
    <definedName name="ggg_15" localSheetId="41">'Расчет налог. обяз. 2018'!ggg</definedName>
    <definedName name="ggg_15" localSheetId="42">'рез к 2017'!ggg</definedName>
    <definedName name="ggg_15" localSheetId="46">'рез к 2018'!ggg</definedName>
    <definedName name="ggg_15" localSheetId="22">ТН!ggg</definedName>
    <definedName name="ggg_15" localSheetId="3">'ФАКТ. СЕБЕСТ ВОДА 1 пол.2018'!ggg</definedName>
    <definedName name="ggg_15" localSheetId="1">'ФАКТ. СЕБЕСТ. СТОКИ 1 пол. 2018'!ggg</definedName>
    <definedName name="ggg_15">[0]!ggg</definedName>
    <definedName name="ggg_16" localSheetId="21">А!ggg</definedName>
    <definedName name="ggg_16" localSheetId="43">'вод.налог 2018'!ggg</definedName>
    <definedName name="ggg_16" localSheetId="33">'ЗП с факт 3 кв. 2015'!ggg</definedName>
    <definedName name="ggg_16" localSheetId="44">'имушество 2018'!ggg</definedName>
    <definedName name="ggg_16" localSheetId="40">'налоги 2018'!ggg</definedName>
    <definedName name="ggg_16" localSheetId="4">'ПОЛНАЯ СЕБЕСТОИМОСТЬ ВОДА 2018'!ggg</definedName>
    <definedName name="ggg_16" localSheetId="2">'ПОЛНАЯ СЕБЕСТОИМОСТЬ СТОКИ 2018'!ggg</definedName>
    <definedName name="ggg_16" localSheetId="10">'Прил. 1 План ФХД вода табл. 2'!ggg</definedName>
    <definedName name="ggg_16" localSheetId="9">'Прил. 1 План ФХД стоки табл 2'!ggg</definedName>
    <definedName name="ggg_16" localSheetId="8">'Прил. 1 План ФХД табл 1'!ggg</definedName>
    <definedName name="ggg_16" localSheetId="13">'Произв. прогр. Вода'!ggg</definedName>
    <definedName name="ggg_16" localSheetId="14">'Произв. прогр. Вода (СВОД)'!ggg</definedName>
    <definedName name="ggg_16" localSheetId="12">'Произв. прогр. Стоки'!ggg</definedName>
    <definedName name="ggg_16" localSheetId="11">'Произв. прогр. Стоки (СВОД)'!ggg</definedName>
    <definedName name="ggg_16" localSheetId="41">'Расчет налог. обяз. 2018'!ggg</definedName>
    <definedName name="ggg_16" localSheetId="42">'рез к 2017'!ggg</definedName>
    <definedName name="ggg_16" localSheetId="46">'рез к 2018'!ggg</definedName>
    <definedName name="ggg_16" localSheetId="22">ТН!ggg</definedName>
    <definedName name="ggg_16" localSheetId="3">'ФАКТ. СЕБЕСТ ВОДА 1 пол.2018'!ggg</definedName>
    <definedName name="ggg_16" localSheetId="1">'ФАКТ. СЕБЕСТ. СТОКИ 1 пол. 2018'!ggg</definedName>
    <definedName name="ggg_16">[0]!ggg</definedName>
    <definedName name="ggg_2" localSheetId="21">А!ggg</definedName>
    <definedName name="ggg_2" localSheetId="43">'вод.налог 2018'!ggg</definedName>
    <definedName name="ggg_2" localSheetId="33">'ЗП с факт 3 кв. 2015'!ggg</definedName>
    <definedName name="ggg_2" localSheetId="44">'имушество 2018'!ggg</definedName>
    <definedName name="ggg_2" localSheetId="40">'налоги 2018'!ggg</definedName>
    <definedName name="ggg_2" localSheetId="4">'ПОЛНАЯ СЕБЕСТОИМОСТЬ ВОДА 2018'!ggg</definedName>
    <definedName name="ggg_2" localSheetId="2">'ПОЛНАЯ СЕБЕСТОИМОСТЬ СТОКИ 2018'!ggg</definedName>
    <definedName name="ggg_2" localSheetId="10">'Прил. 1 План ФХД вода табл. 2'!ggg</definedName>
    <definedName name="ggg_2" localSheetId="9">'Прил. 1 План ФХД стоки табл 2'!ggg</definedName>
    <definedName name="ggg_2" localSheetId="8">'Прил. 1 План ФХД табл 1'!ggg</definedName>
    <definedName name="ggg_2" localSheetId="13">'Произв. прогр. Вода'!ggg</definedName>
    <definedName name="ggg_2" localSheetId="14">'Произв. прогр. Вода (СВОД)'!ggg</definedName>
    <definedName name="ggg_2" localSheetId="12">'Произв. прогр. Стоки'!ggg</definedName>
    <definedName name="ggg_2" localSheetId="11">'Произв. прогр. Стоки (СВОД)'!ggg</definedName>
    <definedName name="ggg_2" localSheetId="41">'Расчет налог. обяз. 2018'!ggg</definedName>
    <definedName name="ggg_2" localSheetId="42">'рез к 2017'!ggg</definedName>
    <definedName name="ggg_2" localSheetId="46">'рез к 2018'!ggg</definedName>
    <definedName name="ggg_2" localSheetId="22">ТН!ggg</definedName>
    <definedName name="ggg_2" localSheetId="3">'ФАКТ. СЕБЕСТ ВОДА 1 пол.2018'!ggg</definedName>
    <definedName name="ggg_2" localSheetId="1">'ФАКТ. СЕБЕСТ. СТОКИ 1 пол. 2018'!ggg</definedName>
    <definedName name="ggg_2">[0]!ggg</definedName>
    <definedName name="kind_of_activity">[6]TEHSHEET!$B$19:$B$23</definedName>
    <definedName name="Pi1_1" localSheetId="21">А!_Pi1</definedName>
    <definedName name="Pi1_1" localSheetId="43">'вод.налог 2018'!_Pi1</definedName>
    <definedName name="Pi1_1" localSheetId="33">'ЗП с факт 3 кв. 2015'!_Pi1</definedName>
    <definedName name="Pi1_1" localSheetId="44">'имушество 2018'!_Pi1</definedName>
    <definedName name="Pi1_1" localSheetId="40">'налоги 2018'!_Pi1</definedName>
    <definedName name="Pi1_1" localSheetId="4">'ПОЛНАЯ СЕБЕСТОИМОСТЬ ВОДА 2018'!_Pi1</definedName>
    <definedName name="Pi1_1" localSheetId="2">'ПОЛНАЯ СЕБЕСТОИМОСТЬ СТОКИ 2018'!_Pi1</definedName>
    <definedName name="Pi1_1" localSheetId="10">'Прил. 1 План ФХД вода табл. 2'!_Pi1</definedName>
    <definedName name="Pi1_1" localSheetId="9">'Прил. 1 План ФХД стоки табл 2'!_Pi1</definedName>
    <definedName name="Pi1_1" localSheetId="8">'Прил. 1 План ФХД табл 1'!_Pi1</definedName>
    <definedName name="Pi1_1" localSheetId="13">'Произв. прогр. Вода'!_Pi1</definedName>
    <definedName name="Pi1_1" localSheetId="14">'Произв. прогр. Вода (СВОД)'!_Pi1</definedName>
    <definedName name="Pi1_1" localSheetId="12">'Произв. прогр. Стоки'!_Pi1</definedName>
    <definedName name="Pi1_1" localSheetId="11">'Произв. прогр. Стоки (СВОД)'!_Pi1</definedName>
    <definedName name="Pi1_1" localSheetId="41">'Расчет налог. обяз. 2018'!_Pi1</definedName>
    <definedName name="Pi1_1" localSheetId="42">'рез к 2017'!_Pi1</definedName>
    <definedName name="Pi1_1" localSheetId="46">'рез к 2018'!_Pi1</definedName>
    <definedName name="Pi1_1" localSheetId="22">ТН!_Pi1</definedName>
    <definedName name="Pi1_1" localSheetId="3">'ФАКТ. СЕБЕСТ ВОДА 1 пол.2018'!_Pi1</definedName>
    <definedName name="Pi1_1" localSheetId="1">'ФАКТ. СЕБЕСТ. СТОКИ 1 пол. 2018'!_Pi1</definedName>
    <definedName name="Pi1_1">[0]!_Pi1</definedName>
    <definedName name="Pi1_10" localSheetId="21">А!_Pi1</definedName>
    <definedName name="Pi1_10" localSheetId="43">'вод.налог 2018'!_Pi1</definedName>
    <definedName name="Pi1_10" localSheetId="33">'ЗП с факт 3 кв. 2015'!_Pi1</definedName>
    <definedName name="Pi1_10" localSheetId="44">'имушество 2018'!_Pi1</definedName>
    <definedName name="Pi1_10" localSheetId="40">'налоги 2018'!_Pi1</definedName>
    <definedName name="Pi1_10" localSheetId="4">'ПОЛНАЯ СЕБЕСТОИМОСТЬ ВОДА 2018'!_Pi1</definedName>
    <definedName name="Pi1_10" localSheetId="2">'ПОЛНАЯ СЕБЕСТОИМОСТЬ СТОКИ 2018'!_Pi1</definedName>
    <definedName name="Pi1_10" localSheetId="10">'Прил. 1 План ФХД вода табл. 2'!_Pi1</definedName>
    <definedName name="Pi1_10" localSheetId="9">'Прил. 1 План ФХД стоки табл 2'!_Pi1</definedName>
    <definedName name="Pi1_10" localSheetId="8">'Прил. 1 План ФХД табл 1'!_Pi1</definedName>
    <definedName name="Pi1_10" localSheetId="13">'Произв. прогр. Вода'!_Pi1</definedName>
    <definedName name="Pi1_10" localSheetId="14">'Произв. прогр. Вода (СВОД)'!_Pi1</definedName>
    <definedName name="Pi1_10" localSheetId="12">'Произв. прогр. Стоки'!_Pi1</definedName>
    <definedName name="Pi1_10" localSheetId="11">'Произв. прогр. Стоки (СВОД)'!_Pi1</definedName>
    <definedName name="Pi1_10" localSheetId="41">'Расчет налог. обяз. 2018'!_Pi1</definedName>
    <definedName name="Pi1_10" localSheetId="42">'рез к 2017'!_Pi1</definedName>
    <definedName name="Pi1_10" localSheetId="46">'рез к 2018'!_Pi1</definedName>
    <definedName name="Pi1_10" localSheetId="22">ТН!_Pi1</definedName>
    <definedName name="Pi1_10" localSheetId="3">'ФАКТ. СЕБЕСТ ВОДА 1 пол.2018'!_Pi1</definedName>
    <definedName name="Pi1_10" localSheetId="1">'ФАКТ. СЕБЕСТ. СТОКИ 1 пол. 2018'!_Pi1</definedName>
    <definedName name="Pi1_10">[0]!_Pi1</definedName>
    <definedName name="Pi1_11" localSheetId="21">А!_Pi1</definedName>
    <definedName name="Pi1_11" localSheetId="43">'вод.налог 2018'!_Pi1</definedName>
    <definedName name="Pi1_11" localSheetId="33">'ЗП с факт 3 кв. 2015'!_Pi1</definedName>
    <definedName name="Pi1_11" localSheetId="44">'имушество 2018'!_Pi1</definedName>
    <definedName name="Pi1_11" localSheetId="40">'налоги 2018'!_Pi1</definedName>
    <definedName name="Pi1_11" localSheetId="4">'ПОЛНАЯ СЕБЕСТОИМОСТЬ ВОДА 2018'!_Pi1</definedName>
    <definedName name="Pi1_11" localSheetId="2">'ПОЛНАЯ СЕБЕСТОИМОСТЬ СТОКИ 2018'!_Pi1</definedName>
    <definedName name="Pi1_11" localSheetId="10">'Прил. 1 План ФХД вода табл. 2'!_Pi1</definedName>
    <definedName name="Pi1_11" localSheetId="9">'Прил. 1 План ФХД стоки табл 2'!_Pi1</definedName>
    <definedName name="Pi1_11" localSheetId="8">'Прил. 1 План ФХД табл 1'!_Pi1</definedName>
    <definedName name="Pi1_11" localSheetId="13">'Произв. прогр. Вода'!_Pi1</definedName>
    <definedName name="Pi1_11" localSheetId="14">'Произв. прогр. Вода (СВОД)'!_Pi1</definedName>
    <definedName name="Pi1_11" localSheetId="12">'Произв. прогр. Стоки'!_Pi1</definedName>
    <definedName name="Pi1_11" localSheetId="11">'Произв. прогр. Стоки (СВОД)'!_Pi1</definedName>
    <definedName name="Pi1_11" localSheetId="41">'Расчет налог. обяз. 2018'!_Pi1</definedName>
    <definedName name="Pi1_11" localSheetId="42">'рез к 2017'!_Pi1</definedName>
    <definedName name="Pi1_11" localSheetId="46">'рез к 2018'!_Pi1</definedName>
    <definedName name="Pi1_11" localSheetId="22">ТН!_Pi1</definedName>
    <definedName name="Pi1_11" localSheetId="3">'ФАКТ. СЕБЕСТ ВОДА 1 пол.2018'!_Pi1</definedName>
    <definedName name="Pi1_11" localSheetId="1">'ФАКТ. СЕБЕСТ. СТОКИ 1 пол. 2018'!_Pi1</definedName>
    <definedName name="Pi1_11">[0]!_Pi1</definedName>
    <definedName name="Pi1_13" localSheetId="21">А!_Pi1</definedName>
    <definedName name="Pi1_13" localSheetId="43">'вод.налог 2018'!_Pi1</definedName>
    <definedName name="Pi1_13" localSheetId="33">'ЗП с факт 3 кв. 2015'!_Pi1</definedName>
    <definedName name="Pi1_13" localSheetId="44">'имушество 2018'!_Pi1</definedName>
    <definedName name="Pi1_13" localSheetId="40">'налоги 2018'!_Pi1</definedName>
    <definedName name="Pi1_13" localSheetId="4">'ПОЛНАЯ СЕБЕСТОИМОСТЬ ВОДА 2018'!_Pi1</definedName>
    <definedName name="Pi1_13" localSheetId="2">'ПОЛНАЯ СЕБЕСТОИМОСТЬ СТОКИ 2018'!_Pi1</definedName>
    <definedName name="Pi1_13" localSheetId="10">'Прил. 1 План ФХД вода табл. 2'!_Pi1</definedName>
    <definedName name="Pi1_13" localSheetId="9">'Прил. 1 План ФХД стоки табл 2'!_Pi1</definedName>
    <definedName name="Pi1_13" localSheetId="8">'Прил. 1 План ФХД табл 1'!_Pi1</definedName>
    <definedName name="Pi1_13" localSheetId="13">'Произв. прогр. Вода'!_Pi1</definedName>
    <definedName name="Pi1_13" localSheetId="14">'Произв. прогр. Вода (СВОД)'!_Pi1</definedName>
    <definedName name="Pi1_13" localSheetId="12">'Произв. прогр. Стоки'!_Pi1</definedName>
    <definedName name="Pi1_13" localSheetId="11">'Произв. прогр. Стоки (СВОД)'!_Pi1</definedName>
    <definedName name="Pi1_13" localSheetId="41">'Расчет налог. обяз. 2018'!_Pi1</definedName>
    <definedName name="Pi1_13" localSheetId="42">'рез к 2017'!_Pi1</definedName>
    <definedName name="Pi1_13" localSheetId="46">'рез к 2018'!_Pi1</definedName>
    <definedName name="Pi1_13" localSheetId="22">ТН!_Pi1</definedName>
    <definedName name="Pi1_13" localSheetId="3">'ФАКТ. СЕБЕСТ ВОДА 1 пол.2018'!_Pi1</definedName>
    <definedName name="Pi1_13" localSheetId="1">'ФАКТ. СЕБЕСТ. СТОКИ 1 пол. 2018'!_Pi1</definedName>
    <definedName name="Pi1_13">[0]!_Pi1</definedName>
    <definedName name="Pi1_14" localSheetId="21">А!_Pi1</definedName>
    <definedName name="Pi1_14" localSheetId="43">'вод.налог 2018'!_Pi1</definedName>
    <definedName name="Pi1_14" localSheetId="33">'ЗП с факт 3 кв. 2015'!_Pi1</definedName>
    <definedName name="Pi1_14" localSheetId="44">'имушество 2018'!_Pi1</definedName>
    <definedName name="Pi1_14" localSheetId="40">'налоги 2018'!_Pi1</definedName>
    <definedName name="Pi1_14" localSheetId="4">'ПОЛНАЯ СЕБЕСТОИМОСТЬ ВОДА 2018'!_Pi1</definedName>
    <definedName name="Pi1_14" localSheetId="2">'ПОЛНАЯ СЕБЕСТОИМОСТЬ СТОКИ 2018'!_Pi1</definedName>
    <definedName name="Pi1_14" localSheetId="10">'Прил. 1 План ФХД вода табл. 2'!_Pi1</definedName>
    <definedName name="Pi1_14" localSheetId="9">'Прил. 1 План ФХД стоки табл 2'!_Pi1</definedName>
    <definedName name="Pi1_14" localSheetId="8">'Прил. 1 План ФХД табл 1'!_Pi1</definedName>
    <definedName name="Pi1_14" localSheetId="13">'Произв. прогр. Вода'!_Pi1</definedName>
    <definedName name="Pi1_14" localSheetId="14">'Произв. прогр. Вода (СВОД)'!_Pi1</definedName>
    <definedName name="Pi1_14" localSheetId="12">'Произв. прогр. Стоки'!_Pi1</definedName>
    <definedName name="Pi1_14" localSheetId="11">'Произв. прогр. Стоки (СВОД)'!_Pi1</definedName>
    <definedName name="Pi1_14" localSheetId="41">'Расчет налог. обяз. 2018'!_Pi1</definedName>
    <definedName name="Pi1_14" localSheetId="42">'рез к 2017'!_Pi1</definedName>
    <definedName name="Pi1_14" localSheetId="46">'рез к 2018'!_Pi1</definedName>
    <definedName name="Pi1_14" localSheetId="22">ТН!_Pi1</definedName>
    <definedName name="Pi1_14" localSheetId="3">'ФАКТ. СЕБЕСТ ВОДА 1 пол.2018'!_Pi1</definedName>
    <definedName name="Pi1_14" localSheetId="1">'ФАКТ. СЕБЕСТ. СТОКИ 1 пол. 2018'!_Pi1</definedName>
    <definedName name="Pi1_14">[0]!_Pi1</definedName>
    <definedName name="Pi1_15" localSheetId="21">А!_Pi1</definedName>
    <definedName name="Pi1_15" localSheetId="43">'вод.налог 2018'!_Pi1</definedName>
    <definedName name="Pi1_15" localSheetId="33">'ЗП с факт 3 кв. 2015'!_Pi1</definedName>
    <definedName name="Pi1_15" localSheetId="44">'имушество 2018'!_Pi1</definedName>
    <definedName name="Pi1_15" localSheetId="40">'налоги 2018'!_Pi1</definedName>
    <definedName name="Pi1_15" localSheetId="4">'ПОЛНАЯ СЕБЕСТОИМОСТЬ ВОДА 2018'!_Pi1</definedName>
    <definedName name="Pi1_15" localSheetId="2">'ПОЛНАЯ СЕБЕСТОИМОСТЬ СТОКИ 2018'!_Pi1</definedName>
    <definedName name="Pi1_15" localSheetId="10">'Прил. 1 План ФХД вода табл. 2'!_Pi1</definedName>
    <definedName name="Pi1_15" localSheetId="9">'Прил. 1 План ФХД стоки табл 2'!_Pi1</definedName>
    <definedName name="Pi1_15" localSheetId="8">'Прил. 1 План ФХД табл 1'!_Pi1</definedName>
    <definedName name="Pi1_15" localSheetId="13">'Произв. прогр. Вода'!_Pi1</definedName>
    <definedName name="Pi1_15" localSheetId="14">'Произв. прогр. Вода (СВОД)'!_Pi1</definedName>
    <definedName name="Pi1_15" localSheetId="12">'Произв. прогр. Стоки'!_Pi1</definedName>
    <definedName name="Pi1_15" localSheetId="11">'Произв. прогр. Стоки (СВОД)'!_Pi1</definedName>
    <definedName name="Pi1_15" localSheetId="41">'Расчет налог. обяз. 2018'!_Pi1</definedName>
    <definedName name="Pi1_15" localSheetId="42">'рез к 2017'!_Pi1</definedName>
    <definedName name="Pi1_15" localSheetId="46">'рез к 2018'!_Pi1</definedName>
    <definedName name="Pi1_15" localSheetId="22">ТН!_Pi1</definedName>
    <definedName name="Pi1_15" localSheetId="3">'ФАКТ. СЕБЕСТ ВОДА 1 пол.2018'!_Pi1</definedName>
    <definedName name="Pi1_15" localSheetId="1">'ФАКТ. СЕБЕСТ. СТОКИ 1 пол. 2018'!_Pi1</definedName>
    <definedName name="Pi1_15">_Pi1</definedName>
    <definedName name="Pi1_16" localSheetId="21">А!_Pi1</definedName>
    <definedName name="Pi1_16" localSheetId="43">'вод.налог 2018'!_Pi1</definedName>
    <definedName name="Pi1_16" localSheetId="33">'ЗП с факт 3 кв. 2015'!_Pi1</definedName>
    <definedName name="Pi1_16" localSheetId="44">'имушество 2018'!_Pi1</definedName>
    <definedName name="Pi1_16" localSheetId="40">'налоги 2018'!_Pi1</definedName>
    <definedName name="Pi1_16" localSheetId="4">'ПОЛНАЯ СЕБЕСТОИМОСТЬ ВОДА 2018'!_Pi1</definedName>
    <definedName name="Pi1_16" localSheetId="2">'ПОЛНАЯ СЕБЕСТОИМОСТЬ СТОКИ 2018'!_Pi1</definedName>
    <definedName name="Pi1_16" localSheetId="10">'Прил. 1 План ФХД вода табл. 2'!_Pi1</definedName>
    <definedName name="Pi1_16" localSheetId="9">'Прил. 1 План ФХД стоки табл 2'!_Pi1</definedName>
    <definedName name="Pi1_16" localSheetId="8">'Прил. 1 План ФХД табл 1'!_Pi1</definedName>
    <definedName name="Pi1_16" localSheetId="13">'Произв. прогр. Вода'!_Pi1</definedName>
    <definedName name="Pi1_16" localSheetId="14">'Произв. прогр. Вода (СВОД)'!_Pi1</definedName>
    <definedName name="Pi1_16" localSheetId="12">'Произв. прогр. Стоки'!_Pi1</definedName>
    <definedName name="Pi1_16" localSheetId="11">'Произв. прогр. Стоки (СВОД)'!_Pi1</definedName>
    <definedName name="Pi1_16" localSheetId="41">'Расчет налог. обяз. 2018'!_Pi1</definedName>
    <definedName name="Pi1_16" localSheetId="42">'рез к 2017'!_Pi1</definedName>
    <definedName name="Pi1_16" localSheetId="46">'рез к 2018'!_Pi1</definedName>
    <definedName name="Pi1_16" localSheetId="22">ТН!_Pi1</definedName>
    <definedName name="Pi1_16" localSheetId="3">'ФАКТ. СЕБЕСТ ВОДА 1 пол.2018'!_Pi1</definedName>
    <definedName name="Pi1_16" localSheetId="1">'ФАКТ. СЕБЕСТ. СТОКИ 1 пол. 2018'!_Pi1</definedName>
    <definedName name="Pi1_16">[0]!_Pi1</definedName>
    <definedName name="Pi1_2" localSheetId="21">А!_Pi1</definedName>
    <definedName name="Pi1_2" localSheetId="43">'вод.налог 2018'!_Pi1</definedName>
    <definedName name="Pi1_2" localSheetId="33">'ЗП с факт 3 кв. 2015'!_Pi1</definedName>
    <definedName name="Pi1_2" localSheetId="44">'имушество 2018'!_Pi1</definedName>
    <definedName name="Pi1_2" localSheetId="40">'налоги 2018'!_Pi1</definedName>
    <definedName name="Pi1_2" localSheetId="4">'ПОЛНАЯ СЕБЕСТОИМОСТЬ ВОДА 2018'!_Pi1</definedName>
    <definedName name="Pi1_2" localSheetId="2">'ПОЛНАЯ СЕБЕСТОИМОСТЬ СТОКИ 2018'!_Pi1</definedName>
    <definedName name="Pi1_2" localSheetId="10">'Прил. 1 План ФХД вода табл. 2'!_Pi1</definedName>
    <definedName name="Pi1_2" localSheetId="9">'Прил. 1 План ФХД стоки табл 2'!_Pi1</definedName>
    <definedName name="Pi1_2" localSheetId="8">'Прил. 1 План ФХД табл 1'!_Pi1</definedName>
    <definedName name="Pi1_2" localSheetId="13">'Произв. прогр. Вода'!_Pi1</definedName>
    <definedName name="Pi1_2" localSheetId="14">'Произв. прогр. Вода (СВОД)'!_Pi1</definedName>
    <definedName name="Pi1_2" localSheetId="12">'Произв. прогр. Стоки'!_Pi1</definedName>
    <definedName name="Pi1_2" localSheetId="11">'Произв. прогр. Стоки (СВОД)'!_Pi1</definedName>
    <definedName name="Pi1_2" localSheetId="41">'Расчет налог. обяз. 2018'!_Pi1</definedName>
    <definedName name="Pi1_2" localSheetId="42">'рез к 2017'!_Pi1</definedName>
    <definedName name="Pi1_2" localSheetId="46">'рез к 2018'!_Pi1</definedName>
    <definedName name="Pi1_2" localSheetId="22">ТН!_Pi1</definedName>
    <definedName name="Pi1_2" localSheetId="3">'ФАКТ. СЕБЕСТ ВОДА 1 пол.2018'!_Pi1</definedName>
    <definedName name="Pi1_2" localSheetId="1">'ФАКТ. СЕБЕСТ. СТОКИ 1 пол. 2018'!_Pi1</definedName>
    <definedName name="Pi1_2">[0]!_Pi1</definedName>
    <definedName name="Pi1_22" localSheetId="21">А!_Pi1</definedName>
    <definedName name="Pi1_22" localSheetId="43">'вод.налог 2018'!_Pi1</definedName>
    <definedName name="Pi1_22" localSheetId="33">'ЗП с факт 3 кв. 2015'!_Pi1</definedName>
    <definedName name="Pi1_22" localSheetId="44">'имушество 2018'!_Pi1</definedName>
    <definedName name="Pi1_22" localSheetId="40">'налоги 2018'!_Pi1</definedName>
    <definedName name="Pi1_22" localSheetId="4">'ПОЛНАЯ СЕБЕСТОИМОСТЬ ВОДА 2018'!_Pi1</definedName>
    <definedName name="Pi1_22" localSheetId="2">'ПОЛНАЯ СЕБЕСТОИМОСТЬ СТОКИ 2018'!_Pi1</definedName>
    <definedName name="Pi1_22" localSheetId="10">'Прил. 1 План ФХД вода табл. 2'!_Pi1</definedName>
    <definedName name="Pi1_22" localSheetId="9">'Прил. 1 План ФХД стоки табл 2'!_Pi1</definedName>
    <definedName name="Pi1_22" localSheetId="8">'Прил. 1 План ФХД табл 1'!_Pi1</definedName>
    <definedName name="Pi1_22" localSheetId="13">'Произв. прогр. Вода'!_Pi1</definedName>
    <definedName name="Pi1_22" localSheetId="14">'Произв. прогр. Вода (СВОД)'!_Pi1</definedName>
    <definedName name="Pi1_22" localSheetId="12">'Произв. прогр. Стоки'!_Pi1</definedName>
    <definedName name="Pi1_22" localSheetId="11">'Произв. прогр. Стоки (СВОД)'!_Pi1</definedName>
    <definedName name="Pi1_22" localSheetId="41">'Расчет налог. обяз. 2018'!_Pi1</definedName>
    <definedName name="Pi1_22" localSheetId="42">'рез к 2017'!_Pi1</definedName>
    <definedName name="Pi1_22" localSheetId="46">'рез к 2018'!_Pi1</definedName>
    <definedName name="Pi1_22" localSheetId="22">ТН!_Pi1</definedName>
    <definedName name="Pi1_22" localSheetId="3">'ФАКТ. СЕБЕСТ ВОДА 1 пол.2018'!_Pi1</definedName>
    <definedName name="Pi1_22" localSheetId="1">'ФАКТ. СЕБЕСТ. СТОКИ 1 пол. 2018'!_Pi1</definedName>
    <definedName name="Pi1_22">_Pi1</definedName>
    <definedName name="Pi1_3" localSheetId="21">А!_Pi1</definedName>
    <definedName name="Pi1_3" localSheetId="43">'вод.налог 2018'!_Pi1</definedName>
    <definedName name="Pi1_3" localSheetId="33">'ЗП с факт 3 кв. 2015'!_Pi1</definedName>
    <definedName name="Pi1_3" localSheetId="44">'имушество 2018'!_Pi1</definedName>
    <definedName name="Pi1_3" localSheetId="40">'налоги 2018'!_Pi1</definedName>
    <definedName name="Pi1_3" localSheetId="4">'ПОЛНАЯ СЕБЕСТОИМОСТЬ ВОДА 2018'!_Pi1</definedName>
    <definedName name="Pi1_3" localSheetId="2">'ПОЛНАЯ СЕБЕСТОИМОСТЬ СТОКИ 2018'!_Pi1</definedName>
    <definedName name="Pi1_3" localSheetId="10">'Прил. 1 План ФХД вода табл. 2'!_Pi1</definedName>
    <definedName name="Pi1_3" localSheetId="9">'Прил. 1 План ФХД стоки табл 2'!_Pi1</definedName>
    <definedName name="Pi1_3" localSheetId="8">'Прил. 1 План ФХД табл 1'!_Pi1</definedName>
    <definedName name="Pi1_3" localSheetId="13">'Произв. прогр. Вода'!_Pi1</definedName>
    <definedName name="Pi1_3" localSheetId="14">'Произв. прогр. Вода (СВОД)'!_Pi1</definedName>
    <definedName name="Pi1_3" localSheetId="12">'Произв. прогр. Стоки'!_Pi1</definedName>
    <definedName name="Pi1_3" localSheetId="11">'Произв. прогр. Стоки (СВОД)'!_Pi1</definedName>
    <definedName name="Pi1_3" localSheetId="41">'Расчет налог. обяз. 2018'!_Pi1</definedName>
    <definedName name="Pi1_3" localSheetId="42">'рез к 2017'!_Pi1</definedName>
    <definedName name="Pi1_3" localSheetId="46">'рез к 2018'!_Pi1</definedName>
    <definedName name="Pi1_3" localSheetId="22">ТН!_Pi1</definedName>
    <definedName name="Pi1_3" localSheetId="3">'ФАКТ. СЕБЕСТ ВОДА 1 пол.2018'!_Pi1</definedName>
    <definedName name="Pi1_3" localSheetId="1">'ФАКТ. СЕБЕСТ. СТОКИ 1 пол. 2018'!_Pi1</definedName>
    <definedName name="Pi1_3">[0]!_Pi1</definedName>
    <definedName name="Pi1_4" localSheetId="21">А!_Pi1</definedName>
    <definedName name="Pi1_4" localSheetId="43">'вод.налог 2018'!_Pi1</definedName>
    <definedName name="Pi1_4" localSheetId="33">'ЗП с факт 3 кв. 2015'!_Pi1</definedName>
    <definedName name="Pi1_4" localSheetId="44">'имушество 2018'!_Pi1</definedName>
    <definedName name="Pi1_4" localSheetId="40">'налоги 2018'!_Pi1</definedName>
    <definedName name="Pi1_4" localSheetId="4">'ПОЛНАЯ СЕБЕСТОИМОСТЬ ВОДА 2018'!_Pi1</definedName>
    <definedName name="Pi1_4" localSheetId="2">'ПОЛНАЯ СЕБЕСТОИМОСТЬ СТОКИ 2018'!_Pi1</definedName>
    <definedName name="Pi1_4" localSheetId="10">'Прил. 1 План ФХД вода табл. 2'!_Pi1</definedName>
    <definedName name="Pi1_4" localSheetId="9">'Прил. 1 План ФХД стоки табл 2'!_Pi1</definedName>
    <definedName name="Pi1_4" localSheetId="8">'Прил. 1 План ФХД табл 1'!_Pi1</definedName>
    <definedName name="Pi1_4" localSheetId="13">'Произв. прогр. Вода'!_Pi1</definedName>
    <definedName name="Pi1_4" localSheetId="14">'Произв. прогр. Вода (СВОД)'!_Pi1</definedName>
    <definedName name="Pi1_4" localSheetId="12">'Произв. прогр. Стоки'!_Pi1</definedName>
    <definedName name="Pi1_4" localSheetId="11">'Произв. прогр. Стоки (СВОД)'!_Pi1</definedName>
    <definedName name="Pi1_4" localSheetId="41">'Расчет налог. обяз. 2018'!_Pi1</definedName>
    <definedName name="Pi1_4" localSheetId="42">'рез к 2017'!_Pi1</definedName>
    <definedName name="Pi1_4" localSheetId="46">'рез к 2018'!_Pi1</definedName>
    <definedName name="Pi1_4" localSheetId="22">ТН!_Pi1</definedName>
    <definedName name="Pi1_4" localSheetId="3">'ФАКТ. СЕБЕСТ ВОДА 1 пол.2018'!_Pi1</definedName>
    <definedName name="Pi1_4" localSheetId="1">'ФАКТ. СЕБЕСТ. СТОКИ 1 пол. 2018'!_Pi1</definedName>
    <definedName name="Pi1_4">_Pi1</definedName>
    <definedName name="Pi1_67" localSheetId="21">А!_Pi1</definedName>
    <definedName name="Pi1_67" localSheetId="43">'вод.налог 2018'!_Pi1</definedName>
    <definedName name="Pi1_67" localSheetId="33">'ЗП с факт 3 кв. 2015'!_Pi1</definedName>
    <definedName name="Pi1_67" localSheetId="44">'имушество 2018'!_Pi1</definedName>
    <definedName name="Pi1_67" localSheetId="40">'налоги 2018'!_Pi1</definedName>
    <definedName name="Pi1_67" localSheetId="4">'ПОЛНАЯ СЕБЕСТОИМОСТЬ ВОДА 2018'!_Pi1</definedName>
    <definedName name="Pi1_67" localSheetId="2">'ПОЛНАЯ СЕБЕСТОИМОСТЬ СТОКИ 2018'!_Pi1</definedName>
    <definedName name="Pi1_67" localSheetId="10">'Прил. 1 План ФХД вода табл. 2'!_Pi1</definedName>
    <definedName name="Pi1_67" localSheetId="9">'Прил. 1 План ФХД стоки табл 2'!_Pi1</definedName>
    <definedName name="Pi1_67" localSheetId="8">'Прил. 1 План ФХД табл 1'!_Pi1</definedName>
    <definedName name="Pi1_67" localSheetId="13">'Произв. прогр. Вода'!_Pi1</definedName>
    <definedName name="Pi1_67" localSheetId="14">'Произв. прогр. Вода (СВОД)'!_Pi1</definedName>
    <definedName name="Pi1_67" localSheetId="12">'Произв. прогр. Стоки'!_Pi1</definedName>
    <definedName name="Pi1_67" localSheetId="11">'Произв. прогр. Стоки (СВОД)'!_Pi1</definedName>
    <definedName name="Pi1_67" localSheetId="41">'Расчет налог. обяз. 2018'!_Pi1</definedName>
    <definedName name="Pi1_67" localSheetId="42">'рез к 2017'!_Pi1</definedName>
    <definedName name="Pi1_67" localSheetId="46">'рез к 2018'!_Pi1</definedName>
    <definedName name="Pi1_67" localSheetId="22">ТН!_Pi1</definedName>
    <definedName name="Pi1_67" localSheetId="3">'ФАКТ. СЕБЕСТ ВОДА 1 пол.2018'!_Pi1</definedName>
    <definedName name="Pi1_67" localSheetId="1">'ФАКТ. СЕБЕСТ. СТОКИ 1 пол. 2018'!_Pi1</definedName>
    <definedName name="Pi1_67">_Pi1</definedName>
    <definedName name="Pi1_70" localSheetId="21">А!_Pi1</definedName>
    <definedName name="Pi1_70" localSheetId="43">'вод.налог 2018'!_Pi1</definedName>
    <definedName name="Pi1_70" localSheetId="33">'ЗП с факт 3 кв. 2015'!_Pi1</definedName>
    <definedName name="Pi1_70" localSheetId="44">'имушество 2018'!_Pi1</definedName>
    <definedName name="Pi1_70" localSheetId="40">'налоги 2018'!_Pi1</definedName>
    <definedName name="Pi1_70" localSheetId="4">'ПОЛНАЯ СЕБЕСТОИМОСТЬ ВОДА 2018'!_Pi1</definedName>
    <definedName name="Pi1_70" localSheetId="2">'ПОЛНАЯ СЕБЕСТОИМОСТЬ СТОКИ 2018'!_Pi1</definedName>
    <definedName name="Pi1_70" localSheetId="10">'Прил. 1 План ФХД вода табл. 2'!_Pi1</definedName>
    <definedName name="Pi1_70" localSheetId="9">'Прил. 1 План ФХД стоки табл 2'!_Pi1</definedName>
    <definedName name="Pi1_70" localSheetId="8">'Прил. 1 План ФХД табл 1'!_Pi1</definedName>
    <definedName name="Pi1_70" localSheetId="13">'Произв. прогр. Вода'!_Pi1</definedName>
    <definedName name="Pi1_70" localSheetId="14">'Произв. прогр. Вода (СВОД)'!_Pi1</definedName>
    <definedName name="Pi1_70" localSheetId="12">'Произв. прогр. Стоки'!_Pi1</definedName>
    <definedName name="Pi1_70" localSheetId="11">'Произв. прогр. Стоки (СВОД)'!_Pi1</definedName>
    <definedName name="Pi1_70" localSheetId="41">'Расчет налог. обяз. 2018'!_Pi1</definedName>
    <definedName name="Pi1_70" localSheetId="42">'рез к 2017'!_Pi1</definedName>
    <definedName name="Pi1_70" localSheetId="46">'рез к 2018'!_Pi1</definedName>
    <definedName name="Pi1_70" localSheetId="22">ТН!_Pi1</definedName>
    <definedName name="Pi1_70" localSheetId="3">'ФАКТ. СЕБЕСТ ВОДА 1 пол.2018'!_Pi1</definedName>
    <definedName name="Pi1_70" localSheetId="1">'ФАКТ. СЕБЕСТ. СТОКИ 1 пол. 2018'!_Pi1</definedName>
    <definedName name="Pi1_70">_Pi1</definedName>
    <definedName name="Pi1_71" localSheetId="21">А!_Pi1</definedName>
    <definedName name="Pi1_71" localSheetId="43">'вод.налог 2018'!_Pi1</definedName>
    <definedName name="Pi1_71" localSheetId="33">'ЗП с факт 3 кв. 2015'!_Pi1</definedName>
    <definedName name="Pi1_71" localSheetId="44">'имушество 2018'!_Pi1</definedName>
    <definedName name="Pi1_71" localSheetId="40">'налоги 2018'!_Pi1</definedName>
    <definedName name="Pi1_71" localSheetId="4">'ПОЛНАЯ СЕБЕСТОИМОСТЬ ВОДА 2018'!_Pi1</definedName>
    <definedName name="Pi1_71" localSheetId="2">'ПОЛНАЯ СЕБЕСТОИМОСТЬ СТОКИ 2018'!_Pi1</definedName>
    <definedName name="Pi1_71" localSheetId="10">'Прил. 1 План ФХД вода табл. 2'!_Pi1</definedName>
    <definedName name="Pi1_71" localSheetId="9">'Прил. 1 План ФХД стоки табл 2'!_Pi1</definedName>
    <definedName name="Pi1_71" localSheetId="8">'Прил. 1 План ФХД табл 1'!_Pi1</definedName>
    <definedName name="Pi1_71" localSheetId="13">'Произв. прогр. Вода'!_Pi1</definedName>
    <definedName name="Pi1_71" localSheetId="14">'Произв. прогр. Вода (СВОД)'!_Pi1</definedName>
    <definedName name="Pi1_71" localSheetId="12">'Произв. прогр. Стоки'!_Pi1</definedName>
    <definedName name="Pi1_71" localSheetId="11">'Произв. прогр. Стоки (СВОД)'!_Pi1</definedName>
    <definedName name="Pi1_71" localSheetId="41">'Расчет налог. обяз. 2018'!_Pi1</definedName>
    <definedName name="Pi1_71" localSheetId="42">'рез к 2017'!_Pi1</definedName>
    <definedName name="Pi1_71" localSheetId="46">'рез к 2018'!_Pi1</definedName>
    <definedName name="Pi1_71" localSheetId="22">ТН!_Pi1</definedName>
    <definedName name="Pi1_71" localSheetId="3">'ФАКТ. СЕБЕСТ ВОДА 1 пол.2018'!_Pi1</definedName>
    <definedName name="Pi1_71" localSheetId="1">'ФАКТ. СЕБЕСТ. СТОКИ 1 пол. 2018'!_Pi1</definedName>
    <definedName name="Pi1_71">_Pi1</definedName>
    <definedName name="Pi1_72" localSheetId="21">А!_Pi1</definedName>
    <definedName name="Pi1_72" localSheetId="43">'вод.налог 2018'!_Pi1</definedName>
    <definedName name="Pi1_72" localSheetId="33">'ЗП с факт 3 кв. 2015'!_Pi1</definedName>
    <definedName name="Pi1_72" localSheetId="44">'имушество 2018'!_Pi1</definedName>
    <definedName name="Pi1_72" localSheetId="40">'налоги 2018'!_Pi1</definedName>
    <definedName name="Pi1_72" localSheetId="4">'ПОЛНАЯ СЕБЕСТОИМОСТЬ ВОДА 2018'!_Pi1</definedName>
    <definedName name="Pi1_72" localSheetId="2">'ПОЛНАЯ СЕБЕСТОИМОСТЬ СТОКИ 2018'!_Pi1</definedName>
    <definedName name="Pi1_72" localSheetId="10">'Прил. 1 План ФХД вода табл. 2'!_Pi1</definedName>
    <definedName name="Pi1_72" localSheetId="9">'Прил. 1 План ФХД стоки табл 2'!_Pi1</definedName>
    <definedName name="Pi1_72" localSheetId="8">'Прил. 1 План ФХД табл 1'!_Pi1</definedName>
    <definedName name="Pi1_72" localSheetId="13">'Произв. прогр. Вода'!_Pi1</definedName>
    <definedName name="Pi1_72" localSheetId="14">'Произв. прогр. Вода (СВОД)'!_Pi1</definedName>
    <definedName name="Pi1_72" localSheetId="12">'Произв. прогр. Стоки'!_Pi1</definedName>
    <definedName name="Pi1_72" localSheetId="11">'Произв. прогр. Стоки (СВОД)'!_Pi1</definedName>
    <definedName name="Pi1_72" localSheetId="41">'Расчет налог. обяз. 2018'!_Pi1</definedName>
    <definedName name="Pi1_72" localSheetId="42">'рез к 2017'!_Pi1</definedName>
    <definedName name="Pi1_72" localSheetId="46">'рез к 2018'!_Pi1</definedName>
    <definedName name="Pi1_72" localSheetId="22">ТН!_Pi1</definedName>
    <definedName name="Pi1_72" localSheetId="3">'ФАКТ. СЕБЕСТ ВОДА 1 пол.2018'!_Pi1</definedName>
    <definedName name="Pi1_72" localSheetId="1">'ФАКТ. СЕБЕСТ. СТОКИ 1 пол. 2018'!_Pi1</definedName>
    <definedName name="Pi1_72">_Pi1</definedName>
    <definedName name="Pi1_74" localSheetId="21">А!_Pi1</definedName>
    <definedName name="Pi1_74" localSheetId="43">'вод.налог 2018'!_Pi1</definedName>
    <definedName name="Pi1_74" localSheetId="33">'ЗП с факт 3 кв. 2015'!_Pi1</definedName>
    <definedName name="Pi1_74" localSheetId="44">'имушество 2018'!_Pi1</definedName>
    <definedName name="Pi1_74" localSheetId="40">'налоги 2018'!_Pi1</definedName>
    <definedName name="Pi1_74" localSheetId="4">'ПОЛНАЯ СЕБЕСТОИМОСТЬ ВОДА 2018'!_Pi1</definedName>
    <definedName name="Pi1_74" localSheetId="2">'ПОЛНАЯ СЕБЕСТОИМОСТЬ СТОКИ 2018'!_Pi1</definedName>
    <definedName name="Pi1_74" localSheetId="10">'Прил. 1 План ФХД вода табл. 2'!_Pi1</definedName>
    <definedName name="Pi1_74" localSheetId="9">'Прил. 1 План ФХД стоки табл 2'!_Pi1</definedName>
    <definedName name="Pi1_74" localSheetId="8">'Прил. 1 План ФХД табл 1'!_Pi1</definedName>
    <definedName name="Pi1_74" localSheetId="13">'Произв. прогр. Вода'!_Pi1</definedName>
    <definedName name="Pi1_74" localSheetId="14">'Произв. прогр. Вода (СВОД)'!_Pi1</definedName>
    <definedName name="Pi1_74" localSheetId="12">'Произв. прогр. Стоки'!_Pi1</definedName>
    <definedName name="Pi1_74" localSheetId="11">'Произв. прогр. Стоки (СВОД)'!_Pi1</definedName>
    <definedName name="Pi1_74" localSheetId="41">'Расчет налог. обяз. 2018'!_Pi1</definedName>
    <definedName name="Pi1_74" localSheetId="42">'рез к 2017'!_Pi1</definedName>
    <definedName name="Pi1_74" localSheetId="46">'рез к 2018'!_Pi1</definedName>
    <definedName name="Pi1_74" localSheetId="22">ТН!_Pi1</definedName>
    <definedName name="Pi1_74" localSheetId="3">'ФАКТ. СЕБЕСТ ВОДА 1 пол.2018'!_Pi1</definedName>
    <definedName name="Pi1_74" localSheetId="1">'ФАКТ. СЕБЕСТ. СТОКИ 1 пол. 2018'!_Pi1</definedName>
    <definedName name="Pi1_74">_Pi1</definedName>
    <definedName name="Pi1_9" localSheetId="21">А!_Pi1</definedName>
    <definedName name="Pi1_9" localSheetId="43">'вод.налог 2018'!_Pi1</definedName>
    <definedName name="Pi1_9" localSheetId="33">'ЗП с факт 3 кв. 2015'!_Pi1</definedName>
    <definedName name="Pi1_9" localSheetId="44">'имушество 2018'!_Pi1</definedName>
    <definedName name="Pi1_9" localSheetId="40">'налоги 2018'!_Pi1</definedName>
    <definedName name="Pi1_9" localSheetId="4">'ПОЛНАЯ СЕБЕСТОИМОСТЬ ВОДА 2018'!_Pi1</definedName>
    <definedName name="Pi1_9" localSheetId="2">'ПОЛНАЯ СЕБЕСТОИМОСТЬ СТОКИ 2018'!_Pi1</definedName>
    <definedName name="Pi1_9" localSheetId="10">'Прил. 1 План ФХД вода табл. 2'!_Pi1</definedName>
    <definedName name="Pi1_9" localSheetId="9">'Прил. 1 План ФХД стоки табл 2'!_Pi1</definedName>
    <definedName name="Pi1_9" localSheetId="8">'Прил. 1 План ФХД табл 1'!_Pi1</definedName>
    <definedName name="Pi1_9" localSheetId="13">'Произв. прогр. Вода'!_Pi1</definedName>
    <definedName name="Pi1_9" localSheetId="14">'Произв. прогр. Вода (СВОД)'!_Pi1</definedName>
    <definedName name="Pi1_9" localSheetId="12">'Произв. прогр. Стоки'!_Pi1</definedName>
    <definedName name="Pi1_9" localSheetId="11">'Произв. прогр. Стоки (СВОД)'!_Pi1</definedName>
    <definedName name="Pi1_9" localSheetId="41">'Расчет налог. обяз. 2018'!_Pi1</definedName>
    <definedName name="Pi1_9" localSheetId="42">'рез к 2017'!_Pi1</definedName>
    <definedName name="Pi1_9" localSheetId="46">'рез к 2018'!_Pi1</definedName>
    <definedName name="Pi1_9" localSheetId="22">ТН!_Pi1</definedName>
    <definedName name="Pi1_9" localSheetId="3">'ФАКТ. СЕБЕСТ ВОДА 1 пол.2018'!_Pi1</definedName>
    <definedName name="Pi1_9" localSheetId="1">'ФАКТ. СЕБЕСТ. СТОКИ 1 пол. 2018'!_Pi1</definedName>
    <definedName name="Pi1_9">_Pi1</definedName>
    <definedName name="Pi2_1" localSheetId="21">А!_Pi2</definedName>
    <definedName name="Pi2_1" localSheetId="43">'вод.налог 2018'!_Pi2</definedName>
    <definedName name="Pi2_1" localSheetId="33">'ЗП с факт 3 кв. 2015'!_Pi2</definedName>
    <definedName name="Pi2_1" localSheetId="44">'имушество 2018'!_Pi2</definedName>
    <definedName name="Pi2_1" localSheetId="40">'налоги 2018'!_Pi2</definedName>
    <definedName name="Pi2_1" localSheetId="4">'ПОЛНАЯ СЕБЕСТОИМОСТЬ ВОДА 2018'!_Pi2</definedName>
    <definedName name="Pi2_1" localSheetId="2">'ПОЛНАЯ СЕБЕСТОИМОСТЬ СТОКИ 2018'!_Pi2</definedName>
    <definedName name="Pi2_1" localSheetId="10">'Прил. 1 План ФХД вода табл. 2'!_Pi2</definedName>
    <definedName name="Pi2_1" localSheetId="9">'Прил. 1 План ФХД стоки табл 2'!_Pi2</definedName>
    <definedName name="Pi2_1" localSheetId="8">'Прил. 1 План ФХД табл 1'!_Pi2</definedName>
    <definedName name="Pi2_1" localSheetId="13">'Произв. прогр. Вода'!_Pi2</definedName>
    <definedName name="Pi2_1" localSheetId="14">'Произв. прогр. Вода (СВОД)'!_Pi2</definedName>
    <definedName name="Pi2_1" localSheetId="12">'Произв. прогр. Стоки'!_Pi2</definedName>
    <definedName name="Pi2_1" localSheetId="11">'Произв. прогр. Стоки (СВОД)'!_Pi2</definedName>
    <definedName name="Pi2_1" localSheetId="41">'Расчет налог. обяз. 2018'!_Pi2</definedName>
    <definedName name="Pi2_1" localSheetId="42">'рез к 2017'!_Pi2</definedName>
    <definedName name="Pi2_1" localSheetId="46">'рез к 2018'!_Pi2</definedName>
    <definedName name="Pi2_1" localSheetId="22">ТН!_Pi2</definedName>
    <definedName name="Pi2_1" localSheetId="3">'ФАКТ. СЕБЕСТ ВОДА 1 пол.2018'!_Pi2</definedName>
    <definedName name="Pi2_1" localSheetId="1">'ФАКТ. СЕБЕСТ. СТОКИ 1 пол. 2018'!_Pi2</definedName>
    <definedName name="Pi2_1">[0]!_Pi2</definedName>
    <definedName name="Pi2_10" localSheetId="21">А!_Pi2</definedName>
    <definedName name="Pi2_10" localSheetId="43">'вод.налог 2018'!_Pi2</definedName>
    <definedName name="Pi2_10" localSheetId="33">'ЗП с факт 3 кв. 2015'!_Pi2</definedName>
    <definedName name="Pi2_10" localSheetId="44">'имушество 2018'!_Pi2</definedName>
    <definedName name="Pi2_10" localSheetId="40">'налоги 2018'!_Pi2</definedName>
    <definedName name="Pi2_10" localSheetId="4">'ПОЛНАЯ СЕБЕСТОИМОСТЬ ВОДА 2018'!_Pi2</definedName>
    <definedName name="Pi2_10" localSheetId="2">'ПОЛНАЯ СЕБЕСТОИМОСТЬ СТОКИ 2018'!_Pi2</definedName>
    <definedName name="Pi2_10" localSheetId="10">'Прил. 1 План ФХД вода табл. 2'!_Pi2</definedName>
    <definedName name="Pi2_10" localSheetId="9">'Прил. 1 План ФХД стоки табл 2'!_Pi2</definedName>
    <definedName name="Pi2_10" localSheetId="8">'Прил. 1 План ФХД табл 1'!_Pi2</definedName>
    <definedName name="Pi2_10" localSheetId="13">'Произв. прогр. Вода'!_Pi2</definedName>
    <definedName name="Pi2_10" localSheetId="14">'Произв. прогр. Вода (СВОД)'!_Pi2</definedName>
    <definedName name="Pi2_10" localSheetId="12">'Произв. прогр. Стоки'!_Pi2</definedName>
    <definedName name="Pi2_10" localSheetId="11">'Произв. прогр. Стоки (СВОД)'!_Pi2</definedName>
    <definedName name="Pi2_10" localSheetId="41">'Расчет налог. обяз. 2018'!_Pi2</definedName>
    <definedName name="Pi2_10" localSheetId="42">'рез к 2017'!_Pi2</definedName>
    <definedName name="Pi2_10" localSheetId="46">'рез к 2018'!_Pi2</definedName>
    <definedName name="Pi2_10" localSheetId="22">ТН!_Pi2</definedName>
    <definedName name="Pi2_10" localSheetId="3">'ФАКТ. СЕБЕСТ ВОДА 1 пол.2018'!_Pi2</definedName>
    <definedName name="Pi2_10" localSheetId="1">'ФАКТ. СЕБЕСТ. СТОКИ 1 пол. 2018'!_Pi2</definedName>
    <definedName name="Pi2_10">[0]!_Pi2</definedName>
    <definedName name="Pi2_11" localSheetId="21">А!_Pi2</definedName>
    <definedName name="Pi2_11" localSheetId="43">'вод.налог 2018'!_Pi2</definedName>
    <definedName name="Pi2_11" localSheetId="33">'ЗП с факт 3 кв. 2015'!_Pi2</definedName>
    <definedName name="Pi2_11" localSheetId="44">'имушество 2018'!_Pi2</definedName>
    <definedName name="Pi2_11" localSheetId="40">'налоги 2018'!_Pi2</definedName>
    <definedName name="Pi2_11" localSheetId="4">'ПОЛНАЯ СЕБЕСТОИМОСТЬ ВОДА 2018'!_Pi2</definedName>
    <definedName name="Pi2_11" localSheetId="2">'ПОЛНАЯ СЕБЕСТОИМОСТЬ СТОКИ 2018'!_Pi2</definedName>
    <definedName name="Pi2_11" localSheetId="10">'Прил. 1 План ФХД вода табл. 2'!_Pi2</definedName>
    <definedName name="Pi2_11" localSheetId="9">'Прил. 1 План ФХД стоки табл 2'!_Pi2</definedName>
    <definedName name="Pi2_11" localSheetId="8">'Прил. 1 План ФХД табл 1'!_Pi2</definedName>
    <definedName name="Pi2_11" localSheetId="13">'Произв. прогр. Вода'!_Pi2</definedName>
    <definedName name="Pi2_11" localSheetId="14">'Произв. прогр. Вода (СВОД)'!_Pi2</definedName>
    <definedName name="Pi2_11" localSheetId="12">'Произв. прогр. Стоки'!_Pi2</definedName>
    <definedName name="Pi2_11" localSheetId="11">'Произв. прогр. Стоки (СВОД)'!_Pi2</definedName>
    <definedName name="Pi2_11" localSheetId="41">'Расчет налог. обяз. 2018'!_Pi2</definedName>
    <definedName name="Pi2_11" localSheetId="42">'рез к 2017'!_Pi2</definedName>
    <definedName name="Pi2_11" localSheetId="46">'рез к 2018'!_Pi2</definedName>
    <definedName name="Pi2_11" localSheetId="22">ТН!_Pi2</definedName>
    <definedName name="Pi2_11" localSheetId="3">'ФАКТ. СЕБЕСТ ВОДА 1 пол.2018'!_Pi2</definedName>
    <definedName name="Pi2_11" localSheetId="1">'ФАКТ. СЕБЕСТ. СТОКИ 1 пол. 2018'!_Pi2</definedName>
    <definedName name="Pi2_11">[0]!_Pi2</definedName>
    <definedName name="Pi2_13" localSheetId="21">А!_Pi2</definedName>
    <definedName name="Pi2_13" localSheetId="43">'вод.налог 2018'!_Pi2</definedName>
    <definedName name="Pi2_13" localSheetId="33">'ЗП с факт 3 кв. 2015'!_Pi2</definedName>
    <definedName name="Pi2_13" localSheetId="44">'имушество 2018'!_Pi2</definedName>
    <definedName name="Pi2_13" localSheetId="40">'налоги 2018'!_Pi2</definedName>
    <definedName name="Pi2_13" localSheetId="4">'ПОЛНАЯ СЕБЕСТОИМОСТЬ ВОДА 2018'!_Pi2</definedName>
    <definedName name="Pi2_13" localSheetId="2">'ПОЛНАЯ СЕБЕСТОИМОСТЬ СТОКИ 2018'!_Pi2</definedName>
    <definedName name="Pi2_13" localSheetId="10">'Прил. 1 План ФХД вода табл. 2'!_Pi2</definedName>
    <definedName name="Pi2_13" localSheetId="9">'Прил. 1 План ФХД стоки табл 2'!_Pi2</definedName>
    <definedName name="Pi2_13" localSheetId="8">'Прил. 1 План ФХД табл 1'!_Pi2</definedName>
    <definedName name="Pi2_13" localSheetId="13">'Произв. прогр. Вода'!_Pi2</definedName>
    <definedName name="Pi2_13" localSheetId="14">'Произв. прогр. Вода (СВОД)'!_Pi2</definedName>
    <definedName name="Pi2_13" localSheetId="12">'Произв. прогр. Стоки'!_Pi2</definedName>
    <definedName name="Pi2_13" localSheetId="11">'Произв. прогр. Стоки (СВОД)'!_Pi2</definedName>
    <definedName name="Pi2_13" localSheetId="41">'Расчет налог. обяз. 2018'!_Pi2</definedName>
    <definedName name="Pi2_13" localSheetId="42">'рез к 2017'!_Pi2</definedName>
    <definedName name="Pi2_13" localSheetId="46">'рез к 2018'!_Pi2</definedName>
    <definedName name="Pi2_13" localSheetId="22">ТН!_Pi2</definedName>
    <definedName name="Pi2_13" localSheetId="3">'ФАКТ. СЕБЕСТ ВОДА 1 пол.2018'!_Pi2</definedName>
    <definedName name="Pi2_13" localSheetId="1">'ФАКТ. СЕБЕСТ. СТОКИ 1 пол. 2018'!_Pi2</definedName>
    <definedName name="Pi2_13">[0]!_Pi2</definedName>
    <definedName name="Pi2_14" localSheetId="21">А!_Pi2</definedName>
    <definedName name="Pi2_14" localSheetId="43">'вод.налог 2018'!_Pi2</definedName>
    <definedName name="Pi2_14" localSheetId="33">'ЗП с факт 3 кв. 2015'!_Pi2</definedName>
    <definedName name="Pi2_14" localSheetId="44">'имушество 2018'!_Pi2</definedName>
    <definedName name="Pi2_14" localSheetId="40">'налоги 2018'!_Pi2</definedName>
    <definedName name="Pi2_14" localSheetId="4">'ПОЛНАЯ СЕБЕСТОИМОСТЬ ВОДА 2018'!_Pi2</definedName>
    <definedName name="Pi2_14" localSheetId="2">'ПОЛНАЯ СЕБЕСТОИМОСТЬ СТОКИ 2018'!_Pi2</definedName>
    <definedName name="Pi2_14" localSheetId="10">'Прил. 1 План ФХД вода табл. 2'!_Pi2</definedName>
    <definedName name="Pi2_14" localSheetId="9">'Прил. 1 План ФХД стоки табл 2'!_Pi2</definedName>
    <definedName name="Pi2_14" localSheetId="8">'Прил. 1 План ФХД табл 1'!_Pi2</definedName>
    <definedName name="Pi2_14" localSheetId="13">'Произв. прогр. Вода'!_Pi2</definedName>
    <definedName name="Pi2_14" localSheetId="14">'Произв. прогр. Вода (СВОД)'!_Pi2</definedName>
    <definedName name="Pi2_14" localSheetId="12">'Произв. прогр. Стоки'!_Pi2</definedName>
    <definedName name="Pi2_14" localSheetId="11">'Произв. прогр. Стоки (СВОД)'!_Pi2</definedName>
    <definedName name="Pi2_14" localSheetId="41">'Расчет налог. обяз. 2018'!_Pi2</definedName>
    <definedName name="Pi2_14" localSheetId="42">'рез к 2017'!_Pi2</definedName>
    <definedName name="Pi2_14" localSheetId="46">'рез к 2018'!_Pi2</definedName>
    <definedName name="Pi2_14" localSheetId="22">ТН!_Pi2</definedName>
    <definedName name="Pi2_14" localSheetId="3">'ФАКТ. СЕБЕСТ ВОДА 1 пол.2018'!_Pi2</definedName>
    <definedName name="Pi2_14" localSheetId="1">'ФАКТ. СЕБЕСТ. СТОКИ 1 пол. 2018'!_Pi2</definedName>
    <definedName name="Pi2_14">[0]!_Pi2</definedName>
    <definedName name="Pi2_15" localSheetId="21">А!_Pi2</definedName>
    <definedName name="Pi2_15" localSheetId="43">'вод.налог 2018'!_Pi2</definedName>
    <definedName name="Pi2_15" localSheetId="33">'ЗП с факт 3 кв. 2015'!_Pi2</definedName>
    <definedName name="Pi2_15" localSheetId="44">'имушество 2018'!_Pi2</definedName>
    <definedName name="Pi2_15" localSheetId="40">'налоги 2018'!_Pi2</definedName>
    <definedName name="Pi2_15" localSheetId="4">'ПОЛНАЯ СЕБЕСТОИМОСТЬ ВОДА 2018'!_Pi2</definedName>
    <definedName name="Pi2_15" localSheetId="2">'ПОЛНАЯ СЕБЕСТОИМОСТЬ СТОКИ 2018'!_Pi2</definedName>
    <definedName name="Pi2_15" localSheetId="10">'Прил. 1 План ФХД вода табл. 2'!_Pi2</definedName>
    <definedName name="Pi2_15" localSheetId="9">'Прил. 1 План ФХД стоки табл 2'!_Pi2</definedName>
    <definedName name="Pi2_15" localSheetId="8">'Прил. 1 План ФХД табл 1'!_Pi2</definedName>
    <definedName name="Pi2_15" localSheetId="13">'Произв. прогр. Вода'!_Pi2</definedName>
    <definedName name="Pi2_15" localSheetId="14">'Произв. прогр. Вода (СВОД)'!_Pi2</definedName>
    <definedName name="Pi2_15" localSheetId="12">'Произв. прогр. Стоки'!_Pi2</definedName>
    <definedName name="Pi2_15" localSheetId="11">'Произв. прогр. Стоки (СВОД)'!_Pi2</definedName>
    <definedName name="Pi2_15" localSheetId="41">'Расчет налог. обяз. 2018'!_Pi2</definedName>
    <definedName name="Pi2_15" localSheetId="42">'рез к 2017'!_Pi2</definedName>
    <definedName name="Pi2_15" localSheetId="46">'рез к 2018'!_Pi2</definedName>
    <definedName name="Pi2_15" localSheetId="22">ТН!_Pi2</definedName>
    <definedName name="Pi2_15" localSheetId="3">'ФАКТ. СЕБЕСТ ВОДА 1 пол.2018'!_Pi2</definedName>
    <definedName name="Pi2_15" localSheetId="1">'ФАКТ. СЕБЕСТ. СТОКИ 1 пол. 2018'!_Pi2</definedName>
    <definedName name="Pi2_15">_Pi2</definedName>
    <definedName name="Pi2_16" localSheetId="21">А!_Pi2</definedName>
    <definedName name="Pi2_16" localSheetId="43">'вод.налог 2018'!_Pi2</definedName>
    <definedName name="Pi2_16" localSheetId="33">'ЗП с факт 3 кв. 2015'!_Pi2</definedName>
    <definedName name="Pi2_16" localSheetId="44">'имушество 2018'!_Pi2</definedName>
    <definedName name="Pi2_16" localSheetId="40">'налоги 2018'!_Pi2</definedName>
    <definedName name="Pi2_16" localSheetId="4">'ПОЛНАЯ СЕБЕСТОИМОСТЬ ВОДА 2018'!_Pi2</definedName>
    <definedName name="Pi2_16" localSheetId="2">'ПОЛНАЯ СЕБЕСТОИМОСТЬ СТОКИ 2018'!_Pi2</definedName>
    <definedName name="Pi2_16" localSheetId="10">'Прил. 1 План ФХД вода табл. 2'!_Pi2</definedName>
    <definedName name="Pi2_16" localSheetId="9">'Прил. 1 План ФХД стоки табл 2'!_Pi2</definedName>
    <definedName name="Pi2_16" localSheetId="8">'Прил. 1 План ФХД табл 1'!_Pi2</definedName>
    <definedName name="Pi2_16" localSheetId="13">'Произв. прогр. Вода'!_Pi2</definedName>
    <definedName name="Pi2_16" localSheetId="14">'Произв. прогр. Вода (СВОД)'!_Pi2</definedName>
    <definedName name="Pi2_16" localSheetId="12">'Произв. прогр. Стоки'!_Pi2</definedName>
    <definedName name="Pi2_16" localSheetId="11">'Произв. прогр. Стоки (СВОД)'!_Pi2</definedName>
    <definedName name="Pi2_16" localSheetId="41">'Расчет налог. обяз. 2018'!_Pi2</definedName>
    <definedName name="Pi2_16" localSheetId="42">'рез к 2017'!_Pi2</definedName>
    <definedName name="Pi2_16" localSheetId="46">'рез к 2018'!_Pi2</definedName>
    <definedName name="Pi2_16" localSheetId="22">ТН!_Pi2</definedName>
    <definedName name="Pi2_16" localSheetId="3">'ФАКТ. СЕБЕСТ ВОДА 1 пол.2018'!_Pi2</definedName>
    <definedName name="Pi2_16" localSheetId="1">'ФАКТ. СЕБЕСТ. СТОКИ 1 пол. 2018'!_Pi2</definedName>
    <definedName name="Pi2_16">[0]!_Pi2</definedName>
    <definedName name="Pi2_2" localSheetId="21">А!_Pi2</definedName>
    <definedName name="Pi2_2" localSheetId="43">'вод.налог 2018'!_Pi2</definedName>
    <definedName name="Pi2_2" localSheetId="33">'ЗП с факт 3 кв. 2015'!_Pi2</definedName>
    <definedName name="Pi2_2" localSheetId="44">'имушество 2018'!_Pi2</definedName>
    <definedName name="Pi2_2" localSheetId="40">'налоги 2018'!_Pi2</definedName>
    <definedName name="Pi2_2" localSheetId="4">'ПОЛНАЯ СЕБЕСТОИМОСТЬ ВОДА 2018'!_Pi2</definedName>
    <definedName name="Pi2_2" localSheetId="2">'ПОЛНАЯ СЕБЕСТОИМОСТЬ СТОКИ 2018'!_Pi2</definedName>
    <definedName name="Pi2_2" localSheetId="10">'Прил. 1 План ФХД вода табл. 2'!_Pi2</definedName>
    <definedName name="Pi2_2" localSheetId="9">'Прил. 1 План ФХД стоки табл 2'!_Pi2</definedName>
    <definedName name="Pi2_2" localSheetId="8">'Прил. 1 План ФХД табл 1'!_Pi2</definedName>
    <definedName name="Pi2_2" localSheetId="13">'Произв. прогр. Вода'!_Pi2</definedName>
    <definedName name="Pi2_2" localSheetId="14">'Произв. прогр. Вода (СВОД)'!_Pi2</definedName>
    <definedName name="Pi2_2" localSheetId="12">'Произв. прогр. Стоки'!_Pi2</definedName>
    <definedName name="Pi2_2" localSheetId="11">'Произв. прогр. Стоки (СВОД)'!_Pi2</definedName>
    <definedName name="Pi2_2" localSheetId="41">'Расчет налог. обяз. 2018'!_Pi2</definedName>
    <definedName name="Pi2_2" localSheetId="42">'рез к 2017'!_Pi2</definedName>
    <definedName name="Pi2_2" localSheetId="46">'рез к 2018'!_Pi2</definedName>
    <definedName name="Pi2_2" localSheetId="22">ТН!_Pi2</definedName>
    <definedName name="Pi2_2" localSheetId="3">'ФАКТ. СЕБЕСТ ВОДА 1 пол.2018'!_Pi2</definedName>
    <definedName name="Pi2_2" localSheetId="1">'ФАКТ. СЕБЕСТ. СТОКИ 1 пол. 2018'!_Pi2</definedName>
    <definedName name="Pi2_2">[0]!_Pi2</definedName>
    <definedName name="Pi2_22" localSheetId="21">А!_Pi2</definedName>
    <definedName name="Pi2_22" localSheetId="43">'вод.налог 2018'!_Pi2</definedName>
    <definedName name="Pi2_22" localSheetId="33">'ЗП с факт 3 кв. 2015'!_Pi2</definedName>
    <definedName name="Pi2_22" localSheetId="44">'имушество 2018'!_Pi2</definedName>
    <definedName name="Pi2_22" localSheetId="40">'налоги 2018'!_Pi2</definedName>
    <definedName name="Pi2_22" localSheetId="4">'ПОЛНАЯ СЕБЕСТОИМОСТЬ ВОДА 2018'!_Pi2</definedName>
    <definedName name="Pi2_22" localSheetId="2">'ПОЛНАЯ СЕБЕСТОИМОСТЬ СТОКИ 2018'!_Pi2</definedName>
    <definedName name="Pi2_22" localSheetId="10">'Прил. 1 План ФХД вода табл. 2'!_Pi2</definedName>
    <definedName name="Pi2_22" localSheetId="9">'Прил. 1 План ФХД стоки табл 2'!_Pi2</definedName>
    <definedName name="Pi2_22" localSheetId="8">'Прил. 1 План ФХД табл 1'!_Pi2</definedName>
    <definedName name="Pi2_22" localSheetId="13">'Произв. прогр. Вода'!_Pi2</definedName>
    <definedName name="Pi2_22" localSheetId="14">'Произв. прогр. Вода (СВОД)'!_Pi2</definedName>
    <definedName name="Pi2_22" localSheetId="12">'Произв. прогр. Стоки'!_Pi2</definedName>
    <definedName name="Pi2_22" localSheetId="11">'Произв. прогр. Стоки (СВОД)'!_Pi2</definedName>
    <definedName name="Pi2_22" localSheetId="41">'Расчет налог. обяз. 2018'!_Pi2</definedName>
    <definedName name="Pi2_22" localSheetId="42">'рез к 2017'!_Pi2</definedName>
    <definedName name="Pi2_22" localSheetId="46">'рез к 2018'!_Pi2</definedName>
    <definedName name="Pi2_22" localSheetId="22">ТН!_Pi2</definedName>
    <definedName name="Pi2_22" localSheetId="3">'ФАКТ. СЕБЕСТ ВОДА 1 пол.2018'!_Pi2</definedName>
    <definedName name="Pi2_22" localSheetId="1">'ФАКТ. СЕБЕСТ. СТОКИ 1 пол. 2018'!_Pi2</definedName>
    <definedName name="Pi2_22">_Pi2</definedName>
    <definedName name="Pi2_3" localSheetId="21">А!_Pi2</definedName>
    <definedName name="Pi2_3" localSheetId="43">'вод.налог 2018'!_Pi2</definedName>
    <definedName name="Pi2_3" localSheetId="33">'ЗП с факт 3 кв. 2015'!_Pi2</definedName>
    <definedName name="Pi2_3" localSheetId="44">'имушество 2018'!_Pi2</definedName>
    <definedName name="Pi2_3" localSheetId="40">'налоги 2018'!_Pi2</definedName>
    <definedName name="Pi2_3" localSheetId="4">'ПОЛНАЯ СЕБЕСТОИМОСТЬ ВОДА 2018'!_Pi2</definedName>
    <definedName name="Pi2_3" localSheetId="2">'ПОЛНАЯ СЕБЕСТОИМОСТЬ СТОКИ 2018'!_Pi2</definedName>
    <definedName name="Pi2_3" localSheetId="10">'Прил. 1 План ФХД вода табл. 2'!_Pi2</definedName>
    <definedName name="Pi2_3" localSheetId="9">'Прил. 1 План ФХД стоки табл 2'!_Pi2</definedName>
    <definedName name="Pi2_3" localSheetId="8">'Прил. 1 План ФХД табл 1'!_Pi2</definedName>
    <definedName name="Pi2_3" localSheetId="13">'Произв. прогр. Вода'!_Pi2</definedName>
    <definedName name="Pi2_3" localSheetId="14">'Произв. прогр. Вода (СВОД)'!_Pi2</definedName>
    <definedName name="Pi2_3" localSheetId="12">'Произв. прогр. Стоки'!_Pi2</definedName>
    <definedName name="Pi2_3" localSheetId="11">'Произв. прогр. Стоки (СВОД)'!_Pi2</definedName>
    <definedName name="Pi2_3" localSheetId="41">'Расчет налог. обяз. 2018'!_Pi2</definedName>
    <definedName name="Pi2_3" localSheetId="42">'рез к 2017'!_Pi2</definedName>
    <definedName name="Pi2_3" localSheetId="46">'рез к 2018'!_Pi2</definedName>
    <definedName name="Pi2_3" localSheetId="22">ТН!_Pi2</definedName>
    <definedName name="Pi2_3" localSheetId="3">'ФАКТ. СЕБЕСТ ВОДА 1 пол.2018'!_Pi2</definedName>
    <definedName name="Pi2_3" localSheetId="1">'ФАКТ. СЕБЕСТ. СТОКИ 1 пол. 2018'!_Pi2</definedName>
    <definedName name="Pi2_3">[0]!_Pi2</definedName>
    <definedName name="Pi2_4" localSheetId="21">А!_Pi2</definedName>
    <definedName name="Pi2_4" localSheetId="43">'вод.налог 2018'!_Pi2</definedName>
    <definedName name="Pi2_4" localSheetId="33">'ЗП с факт 3 кв. 2015'!_Pi2</definedName>
    <definedName name="Pi2_4" localSheetId="44">'имушество 2018'!_Pi2</definedName>
    <definedName name="Pi2_4" localSheetId="40">'налоги 2018'!_Pi2</definedName>
    <definedName name="Pi2_4" localSheetId="4">'ПОЛНАЯ СЕБЕСТОИМОСТЬ ВОДА 2018'!_Pi2</definedName>
    <definedName name="Pi2_4" localSheetId="2">'ПОЛНАЯ СЕБЕСТОИМОСТЬ СТОКИ 2018'!_Pi2</definedName>
    <definedName name="Pi2_4" localSheetId="10">'Прил. 1 План ФХД вода табл. 2'!_Pi2</definedName>
    <definedName name="Pi2_4" localSheetId="9">'Прил. 1 План ФХД стоки табл 2'!_Pi2</definedName>
    <definedName name="Pi2_4" localSheetId="8">'Прил. 1 План ФХД табл 1'!_Pi2</definedName>
    <definedName name="Pi2_4" localSheetId="13">'Произв. прогр. Вода'!_Pi2</definedName>
    <definedName name="Pi2_4" localSheetId="14">'Произв. прогр. Вода (СВОД)'!_Pi2</definedName>
    <definedName name="Pi2_4" localSheetId="12">'Произв. прогр. Стоки'!_Pi2</definedName>
    <definedName name="Pi2_4" localSheetId="11">'Произв. прогр. Стоки (СВОД)'!_Pi2</definedName>
    <definedName name="Pi2_4" localSheetId="41">'Расчет налог. обяз. 2018'!_Pi2</definedName>
    <definedName name="Pi2_4" localSheetId="42">'рез к 2017'!_Pi2</definedName>
    <definedName name="Pi2_4" localSheetId="46">'рез к 2018'!_Pi2</definedName>
    <definedName name="Pi2_4" localSheetId="22">ТН!_Pi2</definedName>
    <definedName name="Pi2_4" localSheetId="3">'ФАКТ. СЕБЕСТ ВОДА 1 пол.2018'!_Pi2</definedName>
    <definedName name="Pi2_4" localSheetId="1">'ФАКТ. СЕБЕСТ. СТОКИ 1 пол. 2018'!_Pi2</definedName>
    <definedName name="Pi2_4">_Pi2</definedName>
    <definedName name="Pi2_67" localSheetId="21">А!_Pi2</definedName>
    <definedName name="Pi2_67" localSheetId="43">'вод.налог 2018'!_Pi2</definedName>
    <definedName name="Pi2_67" localSheetId="33">'ЗП с факт 3 кв. 2015'!_Pi2</definedName>
    <definedName name="Pi2_67" localSheetId="44">'имушество 2018'!_Pi2</definedName>
    <definedName name="Pi2_67" localSheetId="40">'налоги 2018'!_Pi2</definedName>
    <definedName name="Pi2_67" localSheetId="4">'ПОЛНАЯ СЕБЕСТОИМОСТЬ ВОДА 2018'!_Pi2</definedName>
    <definedName name="Pi2_67" localSheetId="2">'ПОЛНАЯ СЕБЕСТОИМОСТЬ СТОКИ 2018'!_Pi2</definedName>
    <definedName name="Pi2_67" localSheetId="10">'Прил. 1 План ФХД вода табл. 2'!_Pi2</definedName>
    <definedName name="Pi2_67" localSheetId="9">'Прил. 1 План ФХД стоки табл 2'!_Pi2</definedName>
    <definedName name="Pi2_67" localSheetId="8">'Прил. 1 План ФХД табл 1'!_Pi2</definedName>
    <definedName name="Pi2_67" localSheetId="13">'Произв. прогр. Вода'!_Pi2</definedName>
    <definedName name="Pi2_67" localSheetId="14">'Произв. прогр. Вода (СВОД)'!_Pi2</definedName>
    <definedName name="Pi2_67" localSheetId="12">'Произв. прогр. Стоки'!_Pi2</definedName>
    <definedName name="Pi2_67" localSheetId="11">'Произв. прогр. Стоки (СВОД)'!_Pi2</definedName>
    <definedName name="Pi2_67" localSheetId="41">'Расчет налог. обяз. 2018'!_Pi2</definedName>
    <definedName name="Pi2_67" localSheetId="42">'рез к 2017'!_Pi2</definedName>
    <definedName name="Pi2_67" localSheetId="46">'рез к 2018'!_Pi2</definedName>
    <definedName name="Pi2_67" localSheetId="22">ТН!_Pi2</definedName>
    <definedName name="Pi2_67" localSheetId="3">'ФАКТ. СЕБЕСТ ВОДА 1 пол.2018'!_Pi2</definedName>
    <definedName name="Pi2_67" localSheetId="1">'ФАКТ. СЕБЕСТ. СТОКИ 1 пол. 2018'!_Pi2</definedName>
    <definedName name="Pi2_67">_Pi2</definedName>
    <definedName name="Pi2_70" localSheetId="21">А!_Pi2</definedName>
    <definedName name="Pi2_70" localSheetId="43">'вод.налог 2018'!_Pi2</definedName>
    <definedName name="Pi2_70" localSheetId="33">'ЗП с факт 3 кв. 2015'!_Pi2</definedName>
    <definedName name="Pi2_70" localSheetId="44">'имушество 2018'!_Pi2</definedName>
    <definedName name="Pi2_70" localSheetId="40">'налоги 2018'!_Pi2</definedName>
    <definedName name="Pi2_70" localSheetId="4">'ПОЛНАЯ СЕБЕСТОИМОСТЬ ВОДА 2018'!_Pi2</definedName>
    <definedName name="Pi2_70" localSheetId="2">'ПОЛНАЯ СЕБЕСТОИМОСТЬ СТОКИ 2018'!_Pi2</definedName>
    <definedName name="Pi2_70" localSheetId="10">'Прил. 1 План ФХД вода табл. 2'!_Pi2</definedName>
    <definedName name="Pi2_70" localSheetId="9">'Прил. 1 План ФХД стоки табл 2'!_Pi2</definedName>
    <definedName name="Pi2_70" localSheetId="8">'Прил. 1 План ФХД табл 1'!_Pi2</definedName>
    <definedName name="Pi2_70" localSheetId="13">'Произв. прогр. Вода'!_Pi2</definedName>
    <definedName name="Pi2_70" localSheetId="14">'Произв. прогр. Вода (СВОД)'!_Pi2</definedName>
    <definedName name="Pi2_70" localSheetId="12">'Произв. прогр. Стоки'!_Pi2</definedName>
    <definedName name="Pi2_70" localSheetId="11">'Произв. прогр. Стоки (СВОД)'!_Pi2</definedName>
    <definedName name="Pi2_70" localSheetId="41">'Расчет налог. обяз. 2018'!_Pi2</definedName>
    <definedName name="Pi2_70" localSheetId="42">'рез к 2017'!_Pi2</definedName>
    <definedName name="Pi2_70" localSheetId="46">'рез к 2018'!_Pi2</definedName>
    <definedName name="Pi2_70" localSheetId="22">ТН!_Pi2</definedName>
    <definedName name="Pi2_70" localSheetId="3">'ФАКТ. СЕБЕСТ ВОДА 1 пол.2018'!_Pi2</definedName>
    <definedName name="Pi2_70" localSheetId="1">'ФАКТ. СЕБЕСТ. СТОКИ 1 пол. 2018'!_Pi2</definedName>
    <definedName name="Pi2_70">_Pi2</definedName>
    <definedName name="Pi2_71" localSheetId="21">А!_Pi2</definedName>
    <definedName name="Pi2_71" localSheetId="43">'вод.налог 2018'!_Pi2</definedName>
    <definedName name="Pi2_71" localSheetId="33">'ЗП с факт 3 кв. 2015'!_Pi2</definedName>
    <definedName name="Pi2_71" localSheetId="44">'имушество 2018'!_Pi2</definedName>
    <definedName name="Pi2_71" localSheetId="40">'налоги 2018'!_Pi2</definedName>
    <definedName name="Pi2_71" localSheetId="4">'ПОЛНАЯ СЕБЕСТОИМОСТЬ ВОДА 2018'!_Pi2</definedName>
    <definedName name="Pi2_71" localSheetId="2">'ПОЛНАЯ СЕБЕСТОИМОСТЬ СТОКИ 2018'!_Pi2</definedName>
    <definedName name="Pi2_71" localSheetId="10">'Прил. 1 План ФХД вода табл. 2'!_Pi2</definedName>
    <definedName name="Pi2_71" localSheetId="9">'Прил. 1 План ФХД стоки табл 2'!_Pi2</definedName>
    <definedName name="Pi2_71" localSheetId="8">'Прил. 1 План ФХД табл 1'!_Pi2</definedName>
    <definedName name="Pi2_71" localSheetId="13">'Произв. прогр. Вода'!_Pi2</definedName>
    <definedName name="Pi2_71" localSheetId="14">'Произв. прогр. Вода (СВОД)'!_Pi2</definedName>
    <definedName name="Pi2_71" localSheetId="12">'Произв. прогр. Стоки'!_Pi2</definedName>
    <definedName name="Pi2_71" localSheetId="11">'Произв. прогр. Стоки (СВОД)'!_Pi2</definedName>
    <definedName name="Pi2_71" localSheetId="41">'Расчет налог. обяз. 2018'!_Pi2</definedName>
    <definedName name="Pi2_71" localSheetId="42">'рез к 2017'!_Pi2</definedName>
    <definedName name="Pi2_71" localSheetId="46">'рез к 2018'!_Pi2</definedName>
    <definedName name="Pi2_71" localSheetId="22">ТН!_Pi2</definedName>
    <definedName name="Pi2_71" localSheetId="3">'ФАКТ. СЕБЕСТ ВОДА 1 пол.2018'!_Pi2</definedName>
    <definedName name="Pi2_71" localSheetId="1">'ФАКТ. СЕБЕСТ. СТОКИ 1 пол. 2018'!_Pi2</definedName>
    <definedName name="Pi2_71">_Pi2</definedName>
    <definedName name="Pi2_72" localSheetId="21">А!_Pi2</definedName>
    <definedName name="Pi2_72" localSheetId="43">'вод.налог 2018'!_Pi2</definedName>
    <definedName name="Pi2_72" localSheetId="33">'ЗП с факт 3 кв. 2015'!_Pi2</definedName>
    <definedName name="Pi2_72" localSheetId="44">'имушество 2018'!_Pi2</definedName>
    <definedName name="Pi2_72" localSheetId="40">'налоги 2018'!_Pi2</definedName>
    <definedName name="Pi2_72" localSheetId="4">'ПОЛНАЯ СЕБЕСТОИМОСТЬ ВОДА 2018'!_Pi2</definedName>
    <definedName name="Pi2_72" localSheetId="2">'ПОЛНАЯ СЕБЕСТОИМОСТЬ СТОКИ 2018'!_Pi2</definedName>
    <definedName name="Pi2_72" localSheetId="10">'Прил. 1 План ФХД вода табл. 2'!_Pi2</definedName>
    <definedName name="Pi2_72" localSheetId="9">'Прил. 1 План ФХД стоки табл 2'!_Pi2</definedName>
    <definedName name="Pi2_72" localSheetId="8">'Прил. 1 План ФХД табл 1'!_Pi2</definedName>
    <definedName name="Pi2_72" localSheetId="13">'Произв. прогр. Вода'!_Pi2</definedName>
    <definedName name="Pi2_72" localSheetId="14">'Произв. прогр. Вода (СВОД)'!_Pi2</definedName>
    <definedName name="Pi2_72" localSheetId="12">'Произв. прогр. Стоки'!_Pi2</definedName>
    <definedName name="Pi2_72" localSheetId="11">'Произв. прогр. Стоки (СВОД)'!_Pi2</definedName>
    <definedName name="Pi2_72" localSheetId="41">'Расчет налог. обяз. 2018'!_Pi2</definedName>
    <definedName name="Pi2_72" localSheetId="42">'рез к 2017'!_Pi2</definedName>
    <definedName name="Pi2_72" localSheetId="46">'рез к 2018'!_Pi2</definedName>
    <definedName name="Pi2_72" localSheetId="22">ТН!_Pi2</definedName>
    <definedName name="Pi2_72" localSheetId="3">'ФАКТ. СЕБЕСТ ВОДА 1 пол.2018'!_Pi2</definedName>
    <definedName name="Pi2_72" localSheetId="1">'ФАКТ. СЕБЕСТ. СТОКИ 1 пол. 2018'!_Pi2</definedName>
    <definedName name="Pi2_72">_Pi2</definedName>
    <definedName name="Pi2_74" localSheetId="21">А!_Pi2</definedName>
    <definedName name="Pi2_74" localSheetId="43">'вод.налог 2018'!_Pi2</definedName>
    <definedName name="Pi2_74" localSheetId="33">'ЗП с факт 3 кв. 2015'!_Pi2</definedName>
    <definedName name="Pi2_74" localSheetId="44">'имушество 2018'!_Pi2</definedName>
    <definedName name="Pi2_74" localSheetId="40">'налоги 2018'!_Pi2</definedName>
    <definedName name="Pi2_74" localSheetId="4">'ПОЛНАЯ СЕБЕСТОИМОСТЬ ВОДА 2018'!_Pi2</definedName>
    <definedName name="Pi2_74" localSheetId="2">'ПОЛНАЯ СЕБЕСТОИМОСТЬ СТОКИ 2018'!_Pi2</definedName>
    <definedName name="Pi2_74" localSheetId="10">'Прил. 1 План ФХД вода табл. 2'!_Pi2</definedName>
    <definedName name="Pi2_74" localSheetId="9">'Прил. 1 План ФХД стоки табл 2'!_Pi2</definedName>
    <definedName name="Pi2_74" localSheetId="8">'Прил. 1 План ФХД табл 1'!_Pi2</definedName>
    <definedName name="Pi2_74" localSheetId="13">'Произв. прогр. Вода'!_Pi2</definedName>
    <definedName name="Pi2_74" localSheetId="14">'Произв. прогр. Вода (СВОД)'!_Pi2</definedName>
    <definedName name="Pi2_74" localSheetId="12">'Произв. прогр. Стоки'!_Pi2</definedName>
    <definedName name="Pi2_74" localSheetId="11">'Произв. прогр. Стоки (СВОД)'!_Pi2</definedName>
    <definedName name="Pi2_74" localSheetId="41">'Расчет налог. обяз. 2018'!_Pi2</definedName>
    <definedName name="Pi2_74" localSheetId="42">'рез к 2017'!_Pi2</definedName>
    <definedName name="Pi2_74" localSheetId="46">'рез к 2018'!_Pi2</definedName>
    <definedName name="Pi2_74" localSheetId="22">ТН!_Pi2</definedName>
    <definedName name="Pi2_74" localSheetId="3">'ФАКТ. СЕБЕСТ ВОДА 1 пол.2018'!_Pi2</definedName>
    <definedName name="Pi2_74" localSheetId="1">'ФАКТ. СЕБЕСТ. СТОКИ 1 пол. 2018'!_Pi2</definedName>
    <definedName name="Pi2_74">_Pi2</definedName>
    <definedName name="Pi2_9" localSheetId="21">А!_Pi2</definedName>
    <definedName name="Pi2_9" localSheetId="43">'вод.налог 2018'!_Pi2</definedName>
    <definedName name="Pi2_9" localSheetId="33">'ЗП с факт 3 кв. 2015'!_Pi2</definedName>
    <definedName name="Pi2_9" localSheetId="44">'имушество 2018'!_Pi2</definedName>
    <definedName name="Pi2_9" localSheetId="40">'налоги 2018'!_Pi2</definedName>
    <definedName name="Pi2_9" localSheetId="4">'ПОЛНАЯ СЕБЕСТОИМОСТЬ ВОДА 2018'!_Pi2</definedName>
    <definedName name="Pi2_9" localSheetId="2">'ПОЛНАЯ СЕБЕСТОИМОСТЬ СТОКИ 2018'!_Pi2</definedName>
    <definedName name="Pi2_9" localSheetId="10">'Прил. 1 План ФХД вода табл. 2'!_Pi2</definedName>
    <definedName name="Pi2_9" localSheetId="9">'Прил. 1 План ФХД стоки табл 2'!_Pi2</definedName>
    <definedName name="Pi2_9" localSheetId="8">'Прил. 1 План ФХД табл 1'!_Pi2</definedName>
    <definedName name="Pi2_9" localSheetId="13">'Произв. прогр. Вода'!_Pi2</definedName>
    <definedName name="Pi2_9" localSheetId="14">'Произв. прогр. Вода (СВОД)'!_Pi2</definedName>
    <definedName name="Pi2_9" localSheetId="12">'Произв. прогр. Стоки'!_Pi2</definedName>
    <definedName name="Pi2_9" localSheetId="11">'Произв. прогр. Стоки (СВОД)'!_Pi2</definedName>
    <definedName name="Pi2_9" localSheetId="41">'Расчет налог. обяз. 2018'!_Pi2</definedName>
    <definedName name="Pi2_9" localSheetId="42">'рез к 2017'!_Pi2</definedName>
    <definedName name="Pi2_9" localSheetId="46">'рез к 2018'!_Pi2</definedName>
    <definedName name="Pi2_9" localSheetId="22">ТН!_Pi2</definedName>
    <definedName name="Pi2_9" localSheetId="3">'ФАКТ. СЕБЕСТ ВОДА 1 пол.2018'!_Pi2</definedName>
    <definedName name="Pi2_9" localSheetId="1">'ФАКТ. СЕБЕСТ. СТОКИ 1 пол. 2018'!_Pi2</definedName>
    <definedName name="Pi2_9">_Pi2</definedName>
    <definedName name="Pi3_1" localSheetId="21">А!_Pi3</definedName>
    <definedName name="Pi3_1" localSheetId="43">'вод.налог 2018'!_Pi3</definedName>
    <definedName name="Pi3_1" localSheetId="33">'ЗП с факт 3 кв. 2015'!_Pi3</definedName>
    <definedName name="Pi3_1" localSheetId="44">'имушество 2018'!_Pi3</definedName>
    <definedName name="Pi3_1" localSheetId="40">'налоги 2018'!_Pi3</definedName>
    <definedName name="Pi3_1" localSheetId="4">'ПОЛНАЯ СЕБЕСТОИМОСТЬ ВОДА 2018'!_Pi3</definedName>
    <definedName name="Pi3_1" localSheetId="2">'ПОЛНАЯ СЕБЕСТОИМОСТЬ СТОКИ 2018'!_Pi3</definedName>
    <definedName name="Pi3_1" localSheetId="10">'Прил. 1 План ФХД вода табл. 2'!_Pi3</definedName>
    <definedName name="Pi3_1" localSheetId="9">'Прил. 1 План ФХД стоки табл 2'!_Pi3</definedName>
    <definedName name="Pi3_1" localSheetId="8">'Прил. 1 План ФХД табл 1'!_Pi3</definedName>
    <definedName name="Pi3_1" localSheetId="13">'Произв. прогр. Вода'!_Pi3</definedName>
    <definedName name="Pi3_1" localSheetId="14">'Произв. прогр. Вода (СВОД)'!_Pi3</definedName>
    <definedName name="Pi3_1" localSheetId="12">'Произв. прогр. Стоки'!_Pi3</definedName>
    <definedName name="Pi3_1" localSheetId="11">'Произв. прогр. Стоки (СВОД)'!_Pi3</definedName>
    <definedName name="Pi3_1" localSheetId="41">'Расчет налог. обяз. 2018'!_Pi3</definedName>
    <definedName name="Pi3_1" localSheetId="42">'рез к 2017'!_Pi3</definedName>
    <definedName name="Pi3_1" localSheetId="46">'рез к 2018'!_Pi3</definedName>
    <definedName name="Pi3_1" localSheetId="22">ТН!_Pi3</definedName>
    <definedName name="Pi3_1" localSheetId="3">'ФАКТ. СЕБЕСТ ВОДА 1 пол.2018'!_Pi3</definedName>
    <definedName name="Pi3_1" localSheetId="1">'ФАКТ. СЕБЕСТ. СТОКИ 1 пол. 2018'!_Pi3</definedName>
    <definedName name="Pi3_1">[0]!_Pi3</definedName>
    <definedName name="Pi3_10" localSheetId="21">А!_Pi3</definedName>
    <definedName name="Pi3_10" localSheetId="43">'вод.налог 2018'!_Pi3</definedName>
    <definedName name="Pi3_10" localSheetId="33">'ЗП с факт 3 кв. 2015'!_Pi3</definedName>
    <definedName name="Pi3_10" localSheetId="44">'имушество 2018'!_Pi3</definedName>
    <definedName name="Pi3_10" localSheetId="40">'налоги 2018'!_Pi3</definedName>
    <definedName name="Pi3_10" localSheetId="4">'ПОЛНАЯ СЕБЕСТОИМОСТЬ ВОДА 2018'!_Pi3</definedName>
    <definedName name="Pi3_10" localSheetId="2">'ПОЛНАЯ СЕБЕСТОИМОСТЬ СТОКИ 2018'!_Pi3</definedName>
    <definedName name="Pi3_10" localSheetId="10">'Прил. 1 План ФХД вода табл. 2'!_Pi3</definedName>
    <definedName name="Pi3_10" localSheetId="9">'Прил. 1 План ФХД стоки табл 2'!_Pi3</definedName>
    <definedName name="Pi3_10" localSheetId="8">'Прил. 1 План ФХД табл 1'!_Pi3</definedName>
    <definedName name="Pi3_10" localSheetId="13">'Произв. прогр. Вода'!_Pi3</definedName>
    <definedName name="Pi3_10" localSheetId="14">'Произв. прогр. Вода (СВОД)'!_Pi3</definedName>
    <definedName name="Pi3_10" localSheetId="12">'Произв. прогр. Стоки'!_Pi3</definedName>
    <definedName name="Pi3_10" localSheetId="11">'Произв. прогр. Стоки (СВОД)'!_Pi3</definedName>
    <definedName name="Pi3_10" localSheetId="41">'Расчет налог. обяз. 2018'!_Pi3</definedName>
    <definedName name="Pi3_10" localSheetId="42">'рез к 2017'!_Pi3</definedName>
    <definedName name="Pi3_10" localSheetId="46">'рез к 2018'!_Pi3</definedName>
    <definedName name="Pi3_10" localSheetId="22">ТН!_Pi3</definedName>
    <definedName name="Pi3_10" localSheetId="3">'ФАКТ. СЕБЕСТ ВОДА 1 пол.2018'!_Pi3</definedName>
    <definedName name="Pi3_10" localSheetId="1">'ФАКТ. СЕБЕСТ. СТОКИ 1 пол. 2018'!_Pi3</definedName>
    <definedName name="Pi3_10">[0]!_Pi3</definedName>
    <definedName name="Pi3_11" localSheetId="21">А!_Pi3</definedName>
    <definedName name="Pi3_11" localSheetId="43">'вод.налог 2018'!_Pi3</definedName>
    <definedName name="Pi3_11" localSheetId="33">'ЗП с факт 3 кв. 2015'!_Pi3</definedName>
    <definedName name="Pi3_11" localSheetId="44">'имушество 2018'!_Pi3</definedName>
    <definedName name="Pi3_11" localSheetId="40">'налоги 2018'!_Pi3</definedName>
    <definedName name="Pi3_11" localSheetId="4">'ПОЛНАЯ СЕБЕСТОИМОСТЬ ВОДА 2018'!_Pi3</definedName>
    <definedName name="Pi3_11" localSheetId="2">'ПОЛНАЯ СЕБЕСТОИМОСТЬ СТОКИ 2018'!_Pi3</definedName>
    <definedName name="Pi3_11" localSheetId="10">'Прил. 1 План ФХД вода табл. 2'!_Pi3</definedName>
    <definedName name="Pi3_11" localSheetId="9">'Прил. 1 План ФХД стоки табл 2'!_Pi3</definedName>
    <definedName name="Pi3_11" localSheetId="8">'Прил. 1 План ФХД табл 1'!_Pi3</definedName>
    <definedName name="Pi3_11" localSheetId="13">'Произв. прогр. Вода'!_Pi3</definedName>
    <definedName name="Pi3_11" localSheetId="14">'Произв. прогр. Вода (СВОД)'!_Pi3</definedName>
    <definedName name="Pi3_11" localSheetId="12">'Произв. прогр. Стоки'!_Pi3</definedName>
    <definedName name="Pi3_11" localSheetId="11">'Произв. прогр. Стоки (СВОД)'!_Pi3</definedName>
    <definedName name="Pi3_11" localSheetId="41">'Расчет налог. обяз. 2018'!_Pi3</definedName>
    <definedName name="Pi3_11" localSheetId="42">'рез к 2017'!_Pi3</definedName>
    <definedName name="Pi3_11" localSheetId="46">'рез к 2018'!_Pi3</definedName>
    <definedName name="Pi3_11" localSheetId="22">ТН!_Pi3</definedName>
    <definedName name="Pi3_11" localSheetId="3">'ФАКТ. СЕБЕСТ ВОДА 1 пол.2018'!_Pi3</definedName>
    <definedName name="Pi3_11" localSheetId="1">'ФАКТ. СЕБЕСТ. СТОКИ 1 пол. 2018'!_Pi3</definedName>
    <definedName name="Pi3_11">[0]!_Pi3</definedName>
    <definedName name="Pi3_13" localSheetId="21">А!_Pi3</definedName>
    <definedName name="Pi3_13" localSheetId="43">'вод.налог 2018'!_Pi3</definedName>
    <definedName name="Pi3_13" localSheetId="33">'ЗП с факт 3 кв. 2015'!_Pi3</definedName>
    <definedName name="Pi3_13" localSheetId="44">'имушество 2018'!_Pi3</definedName>
    <definedName name="Pi3_13" localSheetId="40">'налоги 2018'!_Pi3</definedName>
    <definedName name="Pi3_13" localSheetId="4">'ПОЛНАЯ СЕБЕСТОИМОСТЬ ВОДА 2018'!_Pi3</definedName>
    <definedName name="Pi3_13" localSheetId="2">'ПОЛНАЯ СЕБЕСТОИМОСТЬ СТОКИ 2018'!_Pi3</definedName>
    <definedName name="Pi3_13" localSheetId="10">'Прил. 1 План ФХД вода табл. 2'!_Pi3</definedName>
    <definedName name="Pi3_13" localSheetId="9">'Прил. 1 План ФХД стоки табл 2'!_Pi3</definedName>
    <definedName name="Pi3_13" localSheetId="8">'Прил. 1 План ФХД табл 1'!_Pi3</definedName>
    <definedName name="Pi3_13" localSheetId="13">'Произв. прогр. Вода'!_Pi3</definedName>
    <definedName name="Pi3_13" localSheetId="14">'Произв. прогр. Вода (СВОД)'!_Pi3</definedName>
    <definedName name="Pi3_13" localSheetId="12">'Произв. прогр. Стоки'!_Pi3</definedName>
    <definedName name="Pi3_13" localSheetId="11">'Произв. прогр. Стоки (СВОД)'!_Pi3</definedName>
    <definedName name="Pi3_13" localSheetId="41">'Расчет налог. обяз. 2018'!_Pi3</definedName>
    <definedName name="Pi3_13" localSheetId="42">'рез к 2017'!_Pi3</definedName>
    <definedName name="Pi3_13" localSheetId="46">'рез к 2018'!_Pi3</definedName>
    <definedName name="Pi3_13" localSheetId="22">ТН!_Pi3</definedName>
    <definedName name="Pi3_13" localSheetId="3">'ФАКТ. СЕБЕСТ ВОДА 1 пол.2018'!_Pi3</definedName>
    <definedName name="Pi3_13" localSheetId="1">'ФАКТ. СЕБЕСТ. СТОКИ 1 пол. 2018'!_Pi3</definedName>
    <definedName name="Pi3_13">[0]!_Pi3</definedName>
    <definedName name="Pi3_14" localSheetId="21">А!_Pi3</definedName>
    <definedName name="Pi3_14" localSheetId="43">'вод.налог 2018'!_Pi3</definedName>
    <definedName name="Pi3_14" localSheetId="33">'ЗП с факт 3 кв. 2015'!_Pi3</definedName>
    <definedName name="Pi3_14" localSheetId="44">'имушество 2018'!_Pi3</definedName>
    <definedName name="Pi3_14" localSheetId="40">'налоги 2018'!_Pi3</definedName>
    <definedName name="Pi3_14" localSheetId="4">'ПОЛНАЯ СЕБЕСТОИМОСТЬ ВОДА 2018'!_Pi3</definedName>
    <definedName name="Pi3_14" localSheetId="2">'ПОЛНАЯ СЕБЕСТОИМОСТЬ СТОКИ 2018'!_Pi3</definedName>
    <definedName name="Pi3_14" localSheetId="10">'Прил. 1 План ФХД вода табл. 2'!_Pi3</definedName>
    <definedName name="Pi3_14" localSheetId="9">'Прил. 1 План ФХД стоки табл 2'!_Pi3</definedName>
    <definedName name="Pi3_14" localSheetId="8">'Прил. 1 План ФХД табл 1'!_Pi3</definedName>
    <definedName name="Pi3_14" localSheetId="13">'Произв. прогр. Вода'!_Pi3</definedName>
    <definedName name="Pi3_14" localSheetId="14">'Произв. прогр. Вода (СВОД)'!_Pi3</definedName>
    <definedName name="Pi3_14" localSheetId="12">'Произв. прогр. Стоки'!_Pi3</definedName>
    <definedName name="Pi3_14" localSheetId="11">'Произв. прогр. Стоки (СВОД)'!_Pi3</definedName>
    <definedName name="Pi3_14" localSheetId="41">'Расчет налог. обяз. 2018'!_Pi3</definedName>
    <definedName name="Pi3_14" localSheetId="42">'рез к 2017'!_Pi3</definedName>
    <definedName name="Pi3_14" localSheetId="46">'рез к 2018'!_Pi3</definedName>
    <definedName name="Pi3_14" localSheetId="22">ТН!_Pi3</definedName>
    <definedName name="Pi3_14" localSheetId="3">'ФАКТ. СЕБЕСТ ВОДА 1 пол.2018'!_Pi3</definedName>
    <definedName name="Pi3_14" localSheetId="1">'ФАКТ. СЕБЕСТ. СТОКИ 1 пол. 2018'!_Pi3</definedName>
    <definedName name="Pi3_14">[0]!_Pi3</definedName>
    <definedName name="Pi3_15" localSheetId="21">А!_Pi3</definedName>
    <definedName name="Pi3_15" localSheetId="43">'вод.налог 2018'!_Pi3</definedName>
    <definedName name="Pi3_15" localSheetId="33">'ЗП с факт 3 кв. 2015'!_Pi3</definedName>
    <definedName name="Pi3_15" localSheetId="44">'имушество 2018'!_Pi3</definedName>
    <definedName name="Pi3_15" localSheetId="40">'налоги 2018'!_Pi3</definedName>
    <definedName name="Pi3_15" localSheetId="4">'ПОЛНАЯ СЕБЕСТОИМОСТЬ ВОДА 2018'!_Pi3</definedName>
    <definedName name="Pi3_15" localSheetId="2">'ПОЛНАЯ СЕБЕСТОИМОСТЬ СТОКИ 2018'!_Pi3</definedName>
    <definedName name="Pi3_15" localSheetId="10">'Прил. 1 План ФХД вода табл. 2'!_Pi3</definedName>
    <definedName name="Pi3_15" localSheetId="9">'Прил. 1 План ФХД стоки табл 2'!_Pi3</definedName>
    <definedName name="Pi3_15" localSheetId="8">'Прил. 1 План ФХД табл 1'!_Pi3</definedName>
    <definedName name="Pi3_15" localSheetId="13">'Произв. прогр. Вода'!_Pi3</definedName>
    <definedName name="Pi3_15" localSheetId="14">'Произв. прогр. Вода (СВОД)'!_Pi3</definedName>
    <definedName name="Pi3_15" localSheetId="12">'Произв. прогр. Стоки'!_Pi3</definedName>
    <definedName name="Pi3_15" localSheetId="11">'Произв. прогр. Стоки (СВОД)'!_Pi3</definedName>
    <definedName name="Pi3_15" localSheetId="41">'Расчет налог. обяз. 2018'!_Pi3</definedName>
    <definedName name="Pi3_15" localSheetId="42">'рез к 2017'!_Pi3</definedName>
    <definedName name="Pi3_15" localSheetId="46">'рез к 2018'!_Pi3</definedName>
    <definedName name="Pi3_15" localSheetId="22">ТН!_Pi3</definedName>
    <definedName name="Pi3_15" localSheetId="3">'ФАКТ. СЕБЕСТ ВОДА 1 пол.2018'!_Pi3</definedName>
    <definedName name="Pi3_15" localSheetId="1">'ФАКТ. СЕБЕСТ. СТОКИ 1 пол. 2018'!_Pi3</definedName>
    <definedName name="Pi3_15">_Pi3</definedName>
    <definedName name="Pi3_16" localSheetId="21">А!_Pi3</definedName>
    <definedName name="Pi3_16" localSheetId="43">'вод.налог 2018'!_Pi3</definedName>
    <definedName name="Pi3_16" localSheetId="33">'ЗП с факт 3 кв. 2015'!_Pi3</definedName>
    <definedName name="Pi3_16" localSheetId="44">'имушество 2018'!_Pi3</definedName>
    <definedName name="Pi3_16" localSheetId="40">'налоги 2018'!_Pi3</definedName>
    <definedName name="Pi3_16" localSheetId="4">'ПОЛНАЯ СЕБЕСТОИМОСТЬ ВОДА 2018'!_Pi3</definedName>
    <definedName name="Pi3_16" localSheetId="2">'ПОЛНАЯ СЕБЕСТОИМОСТЬ СТОКИ 2018'!_Pi3</definedName>
    <definedName name="Pi3_16" localSheetId="10">'Прил. 1 План ФХД вода табл. 2'!_Pi3</definedName>
    <definedName name="Pi3_16" localSheetId="9">'Прил. 1 План ФХД стоки табл 2'!_Pi3</definedName>
    <definedName name="Pi3_16" localSheetId="8">'Прил. 1 План ФХД табл 1'!_Pi3</definedName>
    <definedName name="Pi3_16" localSheetId="13">'Произв. прогр. Вода'!_Pi3</definedName>
    <definedName name="Pi3_16" localSheetId="14">'Произв. прогр. Вода (СВОД)'!_Pi3</definedName>
    <definedName name="Pi3_16" localSheetId="12">'Произв. прогр. Стоки'!_Pi3</definedName>
    <definedName name="Pi3_16" localSheetId="11">'Произв. прогр. Стоки (СВОД)'!_Pi3</definedName>
    <definedName name="Pi3_16" localSheetId="41">'Расчет налог. обяз. 2018'!_Pi3</definedName>
    <definedName name="Pi3_16" localSheetId="42">'рез к 2017'!_Pi3</definedName>
    <definedName name="Pi3_16" localSheetId="46">'рез к 2018'!_Pi3</definedName>
    <definedName name="Pi3_16" localSheetId="22">ТН!_Pi3</definedName>
    <definedName name="Pi3_16" localSheetId="3">'ФАКТ. СЕБЕСТ ВОДА 1 пол.2018'!_Pi3</definedName>
    <definedName name="Pi3_16" localSheetId="1">'ФАКТ. СЕБЕСТ. СТОКИ 1 пол. 2018'!_Pi3</definedName>
    <definedName name="Pi3_16">[0]!_Pi3</definedName>
    <definedName name="Pi3_2" localSheetId="21">А!_Pi3</definedName>
    <definedName name="Pi3_2" localSheetId="43">'вод.налог 2018'!_Pi3</definedName>
    <definedName name="Pi3_2" localSheetId="33">'ЗП с факт 3 кв. 2015'!_Pi3</definedName>
    <definedName name="Pi3_2" localSheetId="44">'имушество 2018'!_Pi3</definedName>
    <definedName name="Pi3_2" localSheetId="40">'налоги 2018'!_Pi3</definedName>
    <definedName name="Pi3_2" localSheetId="4">'ПОЛНАЯ СЕБЕСТОИМОСТЬ ВОДА 2018'!_Pi3</definedName>
    <definedName name="Pi3_2" localSheetId="2">'ПОЛНАЯ СЕБЕСТОИМОСТЬ СТОКИ 2018'!_Pi3</definedName>
    <definedName name="Pi3_2" localSheetId="10">'Прил. 1 План ФХД вода табл. 2'!_Pi3</definedName>
    <definedName name="Pi3_2" localSheetId="9">'Прил. 1 План ФХД стоки табл 2'!_Pi3</definedName>
    <definedName name="Pi3_2" localSheetId="8">'Прил. 1 План ФХД табл 1'!_Pi3</definedName>
    <definedName name="Pi3_2" localSheetId="13">'Произв. прогр. Вода'!_Pi3</definedName>
    <definedName name="Pi3_2" localSheetId="14">'Произв. прогр. Вода (СВОД)'!_Pi3</definedName>
    <definedName name="Pi3_2" localSheetId="12">'Произв. прогр. Стоки'!_Pi3</definedName>
    <definedName name="Pi3_2" localSheetId="11">'Произв. прогр. Стоки (СВОД)'!_Pi3</definedName>
    <definedName name="Pi3_2" localSheetId="41">'Расчет налог. обяз. 2018'!_Pi3</definedName>
    <definedName name="Pi3_2" localSheetId="42">'рез к 2017'!_Pi3</definedName>
    <definedName name="Pi3_2" localSheetId="46">'рез к 2018'!_Pi3</definedName>
    <definedName name="Pi3_2" localSheetId="22">ТН!_Pi3</definedName>
    <definedName name="Pi3_2" localSheetId="3">'ФАКТ. СЕБЕСТ ВОДА 1 пол.2018'!_Pi3</definedName>
    <definedName name="Pi3_2" localSheetId="1">'ФАКТ. СЕБЕСТ. СТОКИ 1 пол. 2018'!_Pi3</definedName>
    <definedName name="Pi3_2">[0]!_Pi3</definedName>
    <definedName name="Pi3_22" localSheetId="21">А!_Pi3</definedName>
    <definedName name="Pi3_22" localSheetId="43">'вод.налог 2018'!_Pi3</definedName>
    <definedName name="Pi3_22" localSheetId="33">'ЗП с факт 3 кв. 2015'!_Pi3</definedName>
    <definedName name="Pi3_22" localSheetId="44">'имушество 2018'!_Pi3</definedName>
    <definedName name="Pi3_22" localSheetId="40">'налоги 2018'!_Pi3</definedName>
    <definedName name="Pi3_22" localSheetId="4">'ПОЛНАЯ СЕБЕСТОИМОСТЬ ВОДА 2018'!_Pi3</definedName>
    <definedName name="Pi3_22" localSheetId="2">'ПОЛНАЯ СЕБЕСТОИМОСТЬ СТОКИ 2018'!_Pi3</definedName>
    <definedName name="Pi3_22" localSheetId="10">'Прил. 1 План ФХД вода табл. 2'!_Pi3</definedName>
    <definedName name="Pi3_22" localSheetId="9">'Прил. 1 План ФХД стоки табл 2'!_Pi3</definedName>
    <definedName name="Pi3_22" localSheetId="8">'Прил. 1 План ФХД табл 1'!_Pi3</definedName>
    <definedName name="Pi3_22" localSheetId="13">'Произв. прогр. Вода'!_Pi3</definedName>
    <definedName name="Pi3_22" localSheetId="14">'Произв. прогр. Вода (СВОД)'!_Pi3</definedName>
    <definedName name="Pi3_22" localSheetId="12">'Произв. прогр. Стоки'!_Pi3</definedName>
    <definedName name="Pi3_22" localSheetId="11">'Произв. прогр. Стоки (СВОД)'!_Pi3</definedName>
    <definedName name="Pi3_22" localSheetId="41">'Расчет налог. обяз. 2018'!_Pi3</definedName>
    <definedName name="Pi3_22" localSheetId="42">'рез к 2017'!_Pi3</definedName>
    <definedName name="Pi3_22" localSheetId="46">'рез к 2018'!_Pi3</definedName>
    <definedName name="Pi3_22" localSheetId="22">ТН!_Pi3</definedName>
    <definedName name="Pi3_22" localSheetId="3">'ФАКТ. СЕБЕСТ ВОДА 1 пол.2018'!_Pi3</definedName>
    <definedName name="Pi3_22" localSheetId="1">'ФАКТ. СЕБЕСТ. СТОКИ 1 пол. 2018'!_Pi3</definedName>
    <definedName name="Pi3_22">_Pi3</definedName>
    <definedName name="Pi3_3" localSheetId="21">А!_Pi3</definedName>
    <definedName name="Pi3_3" localSheetId="43">'вод.налог 2018'!_Pi3</definedName>
    <definedName name="Pi3_3" localSheetId="33">'ЗП с факт 3 кв. 2015'!_Pi3</definedName>
    <definedName name="Pi3_3" localSheetId="44">'имушество 2018'!_Pi3</definedName>
    <definedName name="Pi3_3" localSheetId="40">'налоги 2018'!_Pi3</definedName>
    <definedName name="Pi3_3" localSheetId="4">'ПОЛНАЯ СЕБЕСТОИМОСТЬ ВОДА 2018'!_Pi3</definedName>
    <definedName name="Pi3_3" localSheetId="2">'ПОЛНАЯ СЕБЕСТОИМОСТЬ СТОКИ 2018'!_Pi3</definedName>
    <definedName name="Pi3_3" localSheetId="10">'Прил. 1 План ФХД вода табл. 2'!_Pi3</definedName>
    <definedName name="Pi3_3" localSheetId="9">'Прил. 1 План ФХД стоки табл 2'!_Pi3</definedName>
    <definedName name="Pi3_3" localSheetId="8">'Прил. 1 План ФХД табл 1'!_Pi3</definedName>
    <definedName name="Pi3_3" localSheetId="13">'Произв. прогр. Вода'!_Pi3</definedName>
    <definedName name="Pi3_3" localSheetId="14">'Произв. прогр. Вода (СВОД)'!_Pi3</definedName>
    <definedName name="Pi3_3" localSheetId="12">'Произв. прогр. Стоки'!_Pi3</definedName>
    <definedName name="Pi3_3" localSheetId="11">'Произв. прогр. Стоки (СВОД)'!_Pi3</definedName>
    <definedName name="Pi3_3" localSheetId="41">'Расчет налог. обяз. 2018'!_Pi3</definedName>
    <definedName name="Pi3_3" localSheetId="42">'рез к 2017'!_Pi3</definedName>
    <definedName name="Pi3_3" localSheetId="46">'рез к 2018'!_Pi3</definedName>
    <definedName name="Pi3_3" localSheetId="22">ТН!_Pi3</definedName>
    <definedName name="Pi3_3" localSheetId="3">'ФАКТ. СЕБЕСТ ВОДА 1 пол.2018'!_Pi3</definedName>
    <definedName name="Pi3_3" localSheetId="1">'ФАКТ. СЕБЕСТ. СТОКИ 1 пол. 2018'!_Pi3</definedName>
    <definedName name="Pi3_3">[0]!_Pi3</definedName>
    <definedName name="Pi3_4" localSheetId="21">А!_Pi3</definedName>
    <definedName name="Pi3_4" localSheetId="43">'вод.налог 2018'!_Pi3</definedName>
    <definedName name="Pi3_4" localSheetId="33">'ЗП с факт 3 кв. 2015'!_Pi3</definedName>
    <definedName name="Pi3_4" localSheetId="44">'имушество 2018'!_Pi3</definedName>
    <definedName name="Pi3_4" localSheetId="40">'налоги 2018'!_Pi3</definedName>
    <definedName name="Pi3_4" localSheetId="4">'ПОЛНАЯ СЕБЕСТОИМОСТЬ ВОДА 2018'!_Pi3</definedName>
    <definedName name="Pi3_4" localSheetId="2">'ПОЛНАЯ СЕБЕСТОИМОСТЬ СТОКИ 2018'!_Pi3</definedName>
    <definedName name="Pi3_4" localSheetId="10">'Прил. 1 План ФХД вода табл. 2'!_Pi3</definedName>
    <definedName name="Pi3_4" localSheetId="9">'Прил. 1 План ФХД стоки табл 2'!_Pi3</definedName>
    <definedName name="Pi3_4" localSheetId="8">'Прил. 1 План ФХД табл 1'!_Pi3</definedName>
    <definedName name="Pi3_4" localSheetId="13">'Произв. прогр. Вода'!_Pi3</definedName>
    <definedName name="Pi3_4" localSheetId="14">'Произв. прогр. Вода (СВОД)'!_Pi3</definedName>
    <definedName name="Pi3_4" localSheetId="12">'Произв. прогр. Стоки'!_Pi3</definedName>
    <definedName name="Pi3_4" localSheetId="11">'Произв. прогр. Стоки (СВОД)'!_Pi3</definedName>
    <definedName name="Pi3_4" localSheetId="41">'Расчет налог. обяз. 2018'!_Pi3</definedName>
    <definedName name="Pi3_4" localSheetId="42">'рез к 2017'!_Pi3</definedName>
    <definedName name="Pi3_4" localSheetId="46">'рез к 2018'!_Pi3</definedName>
    <definedName name="Pi3_4" localSheetId="22">ТН!_Pi3</definedName>
    <definedName name="Pi3_4" localSheetId="3">'ФАКТ. СЕБЕСТ ВОДА 1 пол.2018'!_Pi3</definedName>
    <definedName name="Pi3_4" localSheetId="1">'ФАКТ. СЕБЕСТ. СТОКИ 1 пол. 2018'!_Pi3</definedName>
    <definedName name="Pi3_4">_Pi3</definedName>
    <definedName name="Pi3_67" localSheetId="21">А!_Pi3</definedName>
    <definedName name="Pi3_67" localSheetId="43">'вод.налог 2018'!_Pi3</definedName>
    <definedName name="Pi3_67" localSheetId="33">'ЗП с факт 3 кв. 2015'!_Pi3</definedName>
    <definedName name="Pi3_67" localSheetId="44">'имушество 2018'!_Pi3</definedName>
    <definedName name="Pi3_67" localSheetId="40">'налоги 2018'!_Pi3</definedName>
    <definedName name="Pi3_67" localSheetId="4">'ПОЛНАЯ СЕБЕСТОИМОСТЬ ВОДА 2018'!_Pi3</definedName>
    <definedName name="Pi3_67" localSheetId="2">'ПОЛНАЯ СЕБЕСТОИМОСТЬ СТОКИ 2018'!_Pi3</definedName>
    <definedName name="Pi3_67" localSheetId="10">'Прил. 1 План ФХД вода табл. 2'!_Pi3</definedName>
    <definedName name="Pi3_67" localSheetId="9">'Прил. 1 План ФХД стоки табл 2'!_Pi3</definedName>
    <definedName name="Pi3_67" localSheetId="8">'Прил. 1 План ФХД табл 1'!_Pi3</definedName>
    <definedName name="Pi3_67" localSheetId="13">'Произв. прогр. Вода'!_Pi3</definedName>
    <definedName name="Pi3_67" localSheetId="14">'Произв. прогр. Вода (СВОД)'!_Pi3</definedName>
    <definedName name="Pi3_67" localSheetId="12">'Произв. прогр. Стоки'!_Pi3</definedName>
    <definedName name="Pi3_67" localSheetId="11">'Произв. прогр. Стоки (СВОД)'!_Pi3</definedName>
    <definedName name="Pi3_67" localSheetId="41">'Расчет налог. обяз. 2018'!_Pi3</definedName>
    <definedName name="Pi3_67" localSheetId="42">'рез к 2017'!_Pi3</definedName>
    <definedName name="Pi3_67" localSheetId="46">'рез к 2018'!_Pi3</definedName>
    <definedName name="Pi3_67" localSheetId="22">ТН!_Pi3</definedName>
    <definedName name="Pi3_67" localSheetId="3">'ФАКТ. СЕБЕСТ ВОДА 1 пол.2018'!_Pi3</definedName>
    <definedName name="Pi3_67" localSheetId="1">'ФАКТ. СЕБЕСТ. СТОКИ 1 пол. 2018'!_Pi3</definedName>
    <definedName name="Pi3_67">_Pi3</definedName>
    <definedName name="Pi3_70" localSheetId="21">А!_Pi3</definedName>
    <definedName name="Pi3_70" localSheetId="43">'вод.налог 2018'!_Pi3</definedName>
    <definedName name="Pi3_70" localSheetId="33">'ЗП с факт 3 кв. 2015'!_Pi3</definedName>
    <definedName name="Pi3_70" localSheetId="44">'имушество 2018'!_Pi3</definedName>
    <definedName name="Pi3_70" localSheetId="40">'налоги 2018'!_Pi3</definedName>
    <definedName name="Pi3_70" localSheetId="4">'ПОЛНАЯ СЕБЕСТОИМОСТЬ ВОДА 2018'!_Pi3</definedName>
    <definedName name="Pi3_70" localSheetId="2">'ПОЛНАЯ СЕБЕСТОИМОСТЬ СТОКИ 2018'!_Pi3</definedName>
    <definedName name="Pi3_70" localSheetId="10">'Прил. 1 План ФХД вода табл. 2'!_Pi3</definedName>
    <definedName name="Pi3_70" localSheetId="9">'Прил. 1 План ФХД стоки табл 2'!_Pi3</definedName>
    <definedName name="Pi3_70" localSheetId="8">'Прил. 1 План ФХД табл 1'!_Pi3</definedName>
    <definedName name="Pi3_70" localSheetId="13">'Произв. прогр. Вода'!_Pi3</definedName>
    <definedName name="Pi3_70" localSheetId="14">'Произв. прогр. Вода (СВОД)'!_Pi3</definedName>
    <definedName name="Pi3_70" localSheetId="12">'Произв. прогр. Стоки'!_Pi3</definedName>
    <definedName name="Pi3_70" localSheetId="11">'Произв. прогр. Стоки (СВОД)'!_Pi3</definedName>
    <definedName name="Pi3_70" localSheetId="41">'Расчет налог. обяз. 2018'!_Pi3</definedName>
    <definedName name="Pi3_70" localSheetId="42">'рез к 2017'!_Pi3</definedName>
    <definedName name="Pi3_70" localSheetId="46">'рез к 2018'!_Pi3</definedName>
    <definedName name="Pi3_70" localSheetId="22">ТН!_Pi3</definedName>
    <definedName name="Pi3_70" localSheetId="3">'ФАКТ. СЕБЕСТ ВОДА 1 пол.2018'!_Pi3</definedName>
    <definedName name="Pi3_70" localSheetId="1">'ФАКТ. СЕБЕСТ. СТОКИ 1 пол. 2018'!_Pi3</definedName>
    <definedName name="Pi3_70">_Pi3</definedName>
    <definedName name="Pi3_71" localSheetId="21">А!_Pi3</definedName>
    <definedName name="Pi3_71" localSheetId="43">'вод.налог 2018'!_Pi3</definedName>
    <definedName name="Pi3_71" localSheetId="33">'ЗП с факт 3 кв. 2015'!_Pi3</definedName>
    <definedName name="Pi3_71" localSheetId="44">'имушество 2018'!_Pi3</definedName>
    <definedName name="Pi3_71" localSheetId="40">'налоги 2018'!_Pi3</definedName>
    <definedName name="Pi3_71" localSheetId="4">'ПОЛНАЯ СЕБЕСТОИМОСТЬ ВОДА 2018'!_Pi3</definedName>
    <definedName name="Pi3_71" localSheetId="2">'ПОЛНАЯ СЕБЕСТОИМОСТЬ СТОКИ 2018'!_Pi3</definedName>
    <definedName name="Pi3_71" localSheetId="10">'Прил. 1 План ФХД вода табл. 2'!_Pi3</definedName>
    <definedName name="Pi3_71" localSheetId="9">'Прил. 1 План ФХД стоки табл 2'!_Pi3</definedName>
    <definedName name="Pi3_71" localSheetId="8">'Прил. 1 План ФХД табл 1'!_Pi3</definedName>
    <definedName name="Pi3_71" localSheetId="13">'Произв. прогр. Вода'!_Pi3</definedName>
    <definedName name="Pi3_71" localSheetId="14">'Произв. прогр. Вода (СВОД)'!_Pi3</definedName>
    <definedName name="Pi3_71" localSheetId="12">'Произв. прогр. Стоки'!_Pi3</definedName>
    <definedName name="Pi3_71" localSheetId="11">'Произв. прогр. Стоки (СВОД)'!_Pi3</definedName>
    <definedName name="Pi3_71" localSheetId="41">'Расчет налог. обяз. 2018'!_Pi3</definedName>
    <definedName name="Pi3_71" localSheetId="42">'рез к 2017'!_Pi3</definedName>
    <definedName name="Pi3_71" localSheetId="46">'рез к 2018'!_Pi3</definedName>
    <definedName name="Pi3_71" localSheetId="22">ТН!_Pi3</definedName>
    <definedName name="Pi3_71" localSheetId="3">'ФАКТ. СЕБЕСТ ВОДА 1 пол.2018'!_Pi3</definedName>
    <definedName name="Pi3_71" localSheetId="1">'ФАКТ. СЕБЕСТ. СТОКИ 1 пол. 2018'!_Pi3</definedName>
    <definedName name="Pi3_71">_Pi3</definedName>
    <definedName name="Pi3_72" localSheetId="21">А!_Pi3</definedName>
    <definedName name="Pi3_72" localSheetId="43">'вод.налог 2018'!_Pi3</definedName>
    <definedName name="Pi3_72" localSheetId="33">'ЗП с факт 3 кв. 2015'!_Pi3</definedName>
    <definedName name="Pi3_72" localSheetId="44">'имушество 2018'!_Pi3</definedName>
    <definedName name="Pi3_72" localSheetId="40">'налоги 2018'!_Pi3</definedName>
    <definedName name="Pi3_72" localSheetId="4">'ПОЛНАЯ СЕБЕСТОИМОСТЬ ВОДА 2018'!_Pi3</definedName>
    <definedName name="Pi3_72" localSheetId="2">'ПОЛНАЯ СЕБЕСТОИМОСТЬ СТОКИ 2018'!_Pi3</definedName>
    <definedName name="Pi3_72" localSheetId="10">'Прил. 1 План ФХД вода табл. 2'!_Pi3</definedName>
    <definedName name="Pi3_72" localSheetId="9">'Прил. 1 План ФХД стоки табл 2'!_Pi3</definedName>
    <definedName name="Pi3_72" localSheetId="8">'Прил. 1 План ФХД табл 1'!_Pi3</definedName>
    <definedName name="Pi3_72" localSheetId="13">'Произв. прогр. Вода'!_Pi3</definedName>
    <definedName name="Pi3_72" localSheetId="14">'Произв. прогр. Вода (СВОД)'!_Pi3</definedName>
    <definedName name="Pi3_72" localSheetId="12">'Произв. прогр. Стоки'!_Pi3</definedName>
    <definedName name="Pi3_72" localSheetId="11">'Произв. прогр. Стоки (СВОД)'!_Pi3</definedName>
    <definedName name="Pi3_72" localSheetId="41">'Расчет налог. обяз. 2018'!_Pi3</definedName>
    <definedName name="Pi3_72" localSheetId="42">'рез к 2017'!_Pi3</definedName>
    <definedName name="Pi3_72" localSheetId="46">'рез к 2018'!_Pi3</definedName>
    <definedName name="Pi3_72" localSheetId="22">ТН!_Pi3</definedName>
    <definedName name="Pi3_72" localSheetId="3">'ФАКТ. СЕБЕСТ ВОДА 1 пол.2018'!_Pi3</definedName>
    <definedName name="Pi3_72" localSheetId="1">'ФАКТ. СЕБЕСТ. СТОКИ 1 пол. 2018'!_Pi3</definedName>
    <definedName name="Pi3_72">_Pi3</definedName>
    <definedName name="Pi3_74" localSheetId="21">А!_Pi3</definedName>
    <definedName name="Pi3_74" localSheetId="43">'вод.налог 2018'!_Pi3</definedName>
    <definedName name="Pi3_74" localSheetId="33">'ЗП с факт 3 кв. 2015'!_Pi3</definedName>
    <definedName name="Pi3_74" localSheetId="44">'имушество 2018'!_Pi3</definedName>
    <definedName name="Pi3_74" localSheetId="40">'налоги 2018'!_Pi3</definedName>
    <definedName name="Pi3_74" localSheetId="4">'ПОЛНАЯ СЕБЕСТОИМОСТЬ ВОДА 2018'!_Pi3</definedName>
    <definedName name="Pi3_74" localSheetId="2">'ПОЛНАЯ СЕБЕСТОИМОСТЬ СТОКИ 2018'!_Pi3</definedName>
    <definedName name="Pi3_74" localSheetId="10">'Прил. 1 План ФХД вода табл. 2'!_Pi3</definedName>
    <definedName name="Pi3_74" localSheetId="9">'Прил. 1 План ФХД стоки табл 2'!_Pi3</definedName>
    <definedName name="Pi3_74" localSheetId="8">'Прил. 1 План ФХД табл 1'!_Pi3</definedName>
    <definedName name="Pi3_74" localSheetId="13">'Произв. прогр. Вода'!_Pi3</definedName>
    <definedName name="Pi3_74" localSheetId="14">'Произв. прогр. Вода (СВОД)'!_Pi3</definedName>
    <definedName name="Pi3_74" localSheetId="12">'Произв. прогр. Стоки'!_Pi3</definedName>
    <definedName name="Pi3_74" localSheetId="11">'Произв. прогр. Стоки (СВОД)'!_Pi3</definedName>
    <definedName name="Pi3_74" localSheetId="41">'Расчет налог. обяз. 2018'!_Pi3</definedName>
    <definedName name="Pi3_74" localSheetId="42">'рез к 2017'!_Pi3</definedName>
    <definedName name="Pi3_74" localSheetId="46">'рез к 2018'!_Pi3</definedName>
    <definedName name="Pi3_74" localSheetId="22">ТН!_Pi3</definedName>
    <definedName name="Pi3_74" localSheetId="3">'ФАКТ. СЕБЕСТ ВОДА 1 пол.2018'!_Pi3</definedName>
    <definedName name="Pi3_74" localSheetId="1">'ФАКТ. СЕБЕСТ. СТОКИ 1 пол. 2018'!_Pi3</definedName>
    <definedName name="Pi3_74">_Pi3</definedName>
    <definedName name="Pi3_9" localSheetId="21">А!_Pi3</definedName>
    <definedName name="Pi3_9" localSheetId="43">'вод.налог 2018'!_Pi3</definedName>
    <definedName name="Pi3_9" localSheetId="33">'ЗП с факт 3 кв. 2015'!_Pi3</definedName>
    <definedName name="Pi3_9" localSheetId="44">'имушество 2018'!_Pi3</definedName>
    <definedName name="Pi3_9" localSheetId="40">'налоги 2018'!_Pi3</definedName>
    <definedName name="Pi3_9" localSheetId="4">'ПОЛНАЯ СЕБЕСТОИМОСТЬ ВОДА 2018'!_Pi3</definedName>
    <definedName name="Pi3_9" localSheetId="2">'ПОЛНАЯ СЕБЕСТОИМОСТЬ СТОКИ 2018'!_Pi3</definedName>
    <definedName name="Pi3_9" localSheetId="10">'Прил. 1 План ФХД вода табл. 2'!_Pi3</definedName>
    <definedName name="Pi3_9" localSheetId="9">'Прил. 1 План ФХД стоки табл 2'!_Pi3</definedName>
    <definedName name="Pi3_9" localSheetId="8">'Прил. 1 План ФХД табл 1'!_Pi3</definedName>
    <definedName name="Pi3_9" localSheetId="13">'Произв. прогр. Вода'!_Pi3</definedName>
    <definedName name="Pi3_9" localSheetId="14">'Произв. прогр. Вода (СВОД)'!_Pi3</definedName>
    <definedName name="Pi3_9" localSheetId="12">'Произв. прогр. Стоки'!_Pi3</definedName>
    <definedName name="Pi3_9" localSheetId="11">'Произв. прогр. Стоки (СВОД)'!_Pi3</definedName>
    <definedName name="Pi3_9" localSheetId="41">'Расчет налог. обяз. 2018'!_Pi3</definedName>
    <definedName name="Pi3_9" localSheetId="42">'рез к 2017'!_Pi3</definedName>
    <definedName name="Pi3_9" localSheetId="46">'рез к 2018'!_Pi3</definedName>
    <definedName name="Pi3_9" localSheetId="22">ТН!_Pi3</definedName>
    <definedName name="Pi3_9" localSheetId="3">'ФАКТ. СЕБЕСТ ВОДА 1 пол.2018'!_Pi3</definedName>
    <definedName name="Pi3_9" localSheetId="1">'ФАКТ. СЕБЕСТ. СТОКИ 1 пол. 2018'!_Pi3</definedName>
    <definedName name="Pi3_9">_Pi3</definedName>
    <definedName name="Pi4_1" localSheetId="21">А!_Pi4</definedName>
    <definedName name="Pi4_1" localSheetId="43">'вод.налог 2018'!_Pi4</definedName>
    <definedName name="Pi4_1" localSheetId="33">'ЗП с факт 3 кв. 2015'!_Pi4</definedName>
    <definedName name="Pi4_1" localSheetId="44">'имушество 2018'!_Pi4</definedName>
    <definedName name="Pi4_1" localSheetId="40">'налоги 2018'!_Pi4</definedName>
    <definedName name="Pi4_1" localSheetId="4">'ПОЛНАЯ СЕБЕСТОИМОСТЬ ВОДА 2018'!_Pi4</definedName>
    <definedName name="Pi4_1" localSheetId="2">'ПОЛНАЯ СЕБЕСТОИМОСТЬ СТОКИ 2018'!_Pi4</definedName>
    <definedName name="Pi4_1" localSheetId="10">'Прил. 1 План ФХД вода табл. 2'!_Pi4</definedName>
    <definedName name="Pi4_1" localSheetId="9">'Прил. 1 План ФХД стоки табл 2'!_Pi4</definedName>
    <definedName name="Pi4_1" localSheetId="8">'Прил. 1 План ФХД табл 1'!_Pi4</definedName>
    <definedName name="Pi4_1" localSheetId="13">'Произв. прогр. Вода'!_Pi4</definedName>
    <definedName name="Pi4_1" localSheetId="14">'Произв. прогр. Вода (СВОД)'!_Pi4</definedName>
    <definedName name="Pi4_1" localSheetId="12">'Произв. прогр. Стоки'!_Pi4</definedName>
    <definedName name="Pi4_1" localSheetId="11">'Произв. прогр. Стоки (СВОД)'!_Pi4</definedName>
    <definedName name="Pi4_1" localSheetId="41">'Расчет налог. обяз. 2018'!_Pi4</definedName>
    <definedName name="Pi4_1" localSheetId="42">'рез к 2017'!_Pi4</definedName>
    <definedName name="Pi4_1" localSheetId="46">'рез к 2018'!_Pi4</definedName>
    <definedName name="Pi4_1" localSheetId="22">ТН!_Pi4</definedName>
    <definedName name="Pi4_1" localSheetId="3">'ФАКТ. СЕБЕСТ ВОДА 1 пол.2018'!_Pi4</definedName>
    <definedName name="Pi4_1" localSheetId="1">'ФАКТ. СЕБЕСТ. СТОКИ 1 пол. 2018'!_Pi4</definedName>
    <definedName name="Pi4_1">[0]!_Pi4</definedName>
    <definedName name="Pi4_10" localSheetId="21">А!_Pi4</definedName>
    <definedName name="Pi4_10" localSheetId="43">'вод.налог 2018'!_Pi4</definedName>
    <definedName name="Pi4_10" localSheetId="33">'ЗП с факт 3 кв. 2015'!_Pi4</definedName>
    <definedName name="Pi4_10" localSheetId="44">'имушество 2018'!_Pi4</definedName>
    <definedName name="Pi4_10" localSheetId="40">'налоги 2018'!_Pi4</definedName>
    <definedName name="Pi4_10" localSheetId="4">'ПОЛНАЯ СЕБЕСТОИМОСТЬ ВОДА 2018'!_Pi4</definedName>
    <definedName name="Pi4_10" localSheetId="2">'ПОЛНАЯ СЕБЕСТОИМОСТЬ СТОКИ 2018'!_Pi4</definedName>
    <definedName name="Pi4_10" localSheetId="10">'Прил. 1 План ФХД вода табл. 2'!_Pi4</definedName>
    <definedName name="Pi4_10" localSheetId="9">'Прил. 1 План ФХД стоки табл 2'!_Pi4</definedName>
    <definedName name="Pi4_10" localSheetId="8">'Прил. 1 План ФХД табл 1'!_Pi4</definedName>
    <definedName name="Pi4_10" localSheetId="13">'Произв. прогр. Вода'!_Pi4</definedName>
    <definedName name="Pi4_10" localSheetId="14">'Произв. прогр. Вода (СВОД)'!_Pi4</definedName>
    <definedName name="Pi4_10" localSheetId="12">'Произв. прогр. Стоки'!_Pi4</definedName>
    <definedName name="Pi4_10" localSheetId="11">'Произв. прогр. Стоки (СВОД)'!_Pi4</definedName>
    <definedName name="Pi4_10" localSheetId="41">'Расчет налог. обяз. 2018'!_Pi4</definedName>
    <definedName name="Pi4_10" localSheetId="42">'рез к 2017'!_Pi4</definedName>
    <definedName name="Pi4_10" localSheetId="46">'рез к 2018'!_Pi4</definedName>
    <definedName name="Pi4_10" localSheetId="22">ТН!_Pi4</definedName>
    <definedName name="Pi4_10" localSheetId="3">'ФАКТ. СЕБЕСТ ВОДА 1 пол.2018'!_Pi4</definedName>
    <definedName name="Pi4_10" localSheetId="1">'ФАКТ. СЕБЕСТ. СТОКИ 1 пол. 2018'!_Pi4</definedName>
    <definedName name="Pi4_10">[0]!_Pi4</definedName>
    <definedName name="Pi4_11" localSheetId="21">А!_Pi4</definedName>
    <definedName name="Pi4_11" localSheetId="43">'вод.налог 2018'!_Pi4</definedName>
    <definedName name="Pi4_11" localSheetId="33">'ЗП с факт 3 кв. 2015'!_Pi4</definedName>
    <definedName name="Pi4_11" localSheetId="44">'имушество 2018'!_Pi4</definedName>
    <definedName name="Pi4_11" localSheetId="40">'налоги 2018'!_Pi4</definedName>
    <definedName name="Pi4_11" localSheetId="4">'ПОЛНАЯ СЕБЕСТОИМОСТЬ ВОДА 2018'!_Pi4</definedName>
    <definedName name="Pi4_11" localSheetId="2">'ПОЛНАЯ СЕБЕСТОИМОСТЬ СТОКИ 2018'!_Pi4</definedName>
    <definedName name="Pi4_11" localSheetId="10">'Прил. 1 План ФХД вода табл. 2'!_Pi4</definedName>
    <definedName name="Pi4_11" localSheetId="9">'Прил. 1 План ФХД стоки табл 2'!_Pi4</definedName>
    <definedName name="Pi4_11" localSheetId="8">'Прил. 1 План ФХД табл 1'!_Pi4</definedName>
    <definedName name="Pi4_11" localSheetId="13">'Произв. прогр. Вода'!_Pi4</definedName>
    <definedName name="Pi4_11" localSheetId="14">'Произв. прогр. Вода (СВОД)'!_Pi4</definedName>
    <definedName name="Pi4_11" localSheetId="12">'Произв. прогр. Стоки'!_Pi4</definedName>
    <definedName name="Pi4_11" localSheetId="11">'Произв. прогр. Стоки (СВОД)'!_Pi4</definedName>
    <definedName name="Pi4_11" localSheetId="41">'Расчет налог. обяз. 2018'!_Pi4</definedName>
    <definedName name="Pi4_11" localSheetId="42">'рез к 2017'!_Pi4</definedName>
    <definedName name="Pi4_11" localSheetId="46">'рез к 2018'!_Pi4</definedName>
    <definedName name="Pi4_11" localSheetId="22">ТН!_Pi4</definedName>
    <definedName name="Pi4_11" localSheetId="3">'ФАКТ. СЕБЕСТ ВОДА 1 пол.2018'!_Pi4</definedName>
    <definedName name="Pi4_11" localSheetId="1">'ФАКТ. СЕБЕСТ. СТОКИ 1 пол. 2018'!_Pi4</definedName>
    <definedName name="Pi4_11">[0]!_Pi4</definedName>
    <definedName name="Pi4_13" localSheetId="21">А!_Pi4</definedName>
    <definedName name="Pi4_13" localSheetId="43">'вод.налог 2018'!_Pi4</definedName>
    <definedName name="Pi4_13" localSheetId="33">'ЗП с факт 3 кв. 2015'!_Pi4</definedName>
    <definedName name="Pi4_13" localSheetId="44">'имушество 2018'!_Pi4</definedName>
    <definedName name="Pi4_13" localSheetId="40">'налоги 2018'!_Pi4</definedName>
    <definedName name="Pi4_13" localSheetId="4">'ПОЛНАЯ СЕБЕСТОИМОСТЬ ВОДА 2018'!_Pi4</definedName>
    <definedName name="Pi4_13" localSheetId="2">'ПОЛНАЯ СЕБЕСТОИМОСТЬ СТОКИ 2018'!_Pi4</definedName>
    <definedName name="Pi4_13" localSheetId="10">'Прил. 1 План ФХД вода табл. 2'!_Pi4</definedName>
    <definedName name="Pi4_13" localSheetId="9">'Прил. 1 План ФХД стоки табл 2'!_Pi4</definedName>
    <definedName name="Pi4_13" localSheetId="8">'Прил. 1 План ФХД табл 1'!_Pi4</definedName>
    <definedName name="Pi4_13" localSheetId="13">'Произв. прогр. Вода'!_Pi4</definedName>
    <definedName name="Pi4_13" localSheetId="14">'Произв. прогр. Вода (СВОД)'!_Pi4</definedName>
    <definedName name="Pi4_13" localSheetId="12">'Произв. прогр. Стоки'!_Pi4</definedName>
    <definedName name="Pi4_13" localSheetId="11">'Произв. прогр. Стоки (СВОД)'!_Pi4</definedName>
    <definedName name="Pi4_13" localSheetId="41">'Расчет налог. обяз. 2018'!_Pi4</definedName>
    <definedName name="Pi4_13" localSheetId="42">'рез к 2017'!_Pi4</definedName>
    <definedName name="Pi4_13" localSheetId="46">'рез к 2018'!_Pi4</definedName>
    <definedName name="Pi4_13" localSheetId="22">ТН!_Pi4</definedName>
    <definedName name="Pi4_13" localSheetId="3">'ФАКТ. СЕБЕСТ ВОДА 1 пол.2018'!_Pi4</definedName>
    <definedName name="Pi4_13" localSheetId="1">'ФАКТ. СЕБЕСТ. СТОКИ 1 пол. 2018'!_Pi4</definedName>
    <definedName name="Pi4_13">[0]!_Pi4</definedName>
    <definedName name="Pi4_14" localSheetId="21">А!_Pi4</definedName>
    <definedName name="Pi4_14" localSheetId="43">'вод.налог 2018'!_Pi4</definedName>
    <definedName name="Pi4_14" localSheetId="33">'ЗП с факт 3 кв. 2015'!_Pi4</definedName>
    <definedName name="Pi4_14" localSheetId="44">'имушество 2018'!_Pi4</definedName>
    <definedName name="Pi4_14" localSheetId="40">'налоги 2018'!_Pi4</definedName>
    <definedName name="Pi4_14" localSheetId="4">'ПОЛНАЯ СЕБЕСТОИМОСТЬ ВОДА 2018'!_Pi4</definedName>
    <definedName name="Pi4_14" localSheetId="2">'ПОЛНАЯ СЕБЕСТОИМОСТЬ СТОКИ 2018'!_Pi4</definedName>
    <definedName name="Pi4_14" localSheetId="10">'Прил. 1 План ФХД вода табл. 2'!_Pi4</definedName>
    <definedName name="Pi4_14" localSheetId="9">'Прил. 1 План ФХД стоки табл 2'!_Pi4</definedName>
    <definedName name="Pi4_14" localSheetId="8">'Прил. 1 План ФХД табл 1'!_Pi4</definedName>
    <definedName name="Pi4_14" localSheetId="13">'Произв. прогр. Вода'!_Pi4</definedName>
    <definedName name="Pi4_14" localSheetId="14">'Произв. прогр. Вода (СВОД)'!_Pi4</definedName>
    <definedName name="Pi4_14" localSheetId="12">'Произв. прогр. Стоки'!_Pi4</definedName>
    <definedName name="Pi4_14" localSheetId="11">'Произв. прогр. Стоки (СВОД)'!_Pi4</definedName>
    <definedName name="Pi4_14" localSheetId="41">'Расчет налог. обяз. 2018'!_Pi4</definedName>
    <definedName name="Pi4_14" localSheetId="42">'рез к 2017'!_Pi4</definedName>
    <definedName name="Pi4_14" localSheetId="46">'рез к 2018'!_Pi4</definedName>
    <definedName name="Pi4_14" localSheetId="22">ТН!_Pi4</definedName>
    <definedName name="Pi4_14" localSheetId="3">'ФАКТ. СЕБЕСТ ВОДА 1 пол.2018'!_Pi4</definedName>
    <definedName name="Pi4_14" localSheetId="1">'ФАКТ. СЕБЕСТ. СТОКИ 1 пол. 2018'!_Pi4</definedName>
    <definedName name="Pi4_14">[0]!_Pi4</definedName>
    <definedName name="Pi4_15" localSheetId="21">А!_Pi4</definedName>
    <definedName name="Pi4_15" localSheetId="43">'вод.налог 2018'!_Pi4</definedName>
    <definedName name="Pi4_15" localSheetId="33">'ЗП с факт 3 кв. 2015'!_Pi4</definedName>
    <definedName name="Pi4_15" localSheetId="44">'имушество 2018'!_Pi4</definedName>
    <definedName name="Pi4_15" localSheetId="40">'налоги 2018'!_Pi4</definedName>
    <definedName name="Pi4_15" localSheetId="4">'ПОЛНАЯ СЕБЕСТОИМОСТЬ ВОДА 2018'!_Pi4</definedName>
    <definedName name="Pi4_15" localSheetId="2">'ПОЛНАЯ СЕБЕСТОИМОСТЬ СТОКИ 2018'!_Pi4</definedName>
    <definedName name="Pi4_15" localSheetId="10">'Прил. 1 План ФХД вода табл. 2'!_Pi4</definedName>
    <definedName name="Pi4_15" localSheetId="9">'Прил. 1 План ФХД стоки табл 2'!_Pi4</definedName>
    <definedName name="Pi4_15" localSheetId="8">'Прил. 1 План ФХД табл 1'!_Pi4</definedName>
    <definedName name="Pi4_15" localSheetId="13">'Произв. прогр. Вода'!_Pi4</definedName>
    <definedName name="Pi4_15" localSheetId="14">'Произв. прогр. Вода (СВОД)'!_Pi4</definedName>
    <definedName name="Pi4_15" localSheetId="12">'Произв. прогр. Стоки'!_Pi4</definedName>
    <definedName name="Pi4_15" localSheetId="11">'Произв. прогр. Стоки (СВОД)'!_Pi4</definedName>
    <definedName name="Pi4_15" localSheetId="41">'Расчет налог. обяз. 2018'!_Pi4</definedName>
    <definedName name="Pi4_15" localSheetId="42">'рез к 2017'!_Pi4</definedName>
    <definedName name="Pi4_15" localSheetId="46">'рез к 2018'!_Pi4</definedName>
    <definedName name="Pi4_15" localSheetId="22">ТН!_Pi4</definedName>
    <definedName name="Pi4_15" localSheetId="3">'ФАКТ. СЕБЕСТ ВОДА 1 пол.2018'!_Pi4</definedName>
    <definedName name="Pi4_15" localSheetId="1">'ФАКТ. СЕБЕСТ. СТОКИ 1 пол. 2018'!_Pi4</definedName>
    <definedName name="Pi4_15">_Pi4</definedName>
    <definedName name="Pi4_16" localSheetId="21">А!_Pi4</definedName>
    <definedName name="Pi4_16" localSheetId="43">'вод.налог 2018'!_Pi4</definedName>
    <definedName name="Pi4_16" localSheetId="33">'ЗП с факт 3 кв. 2015'!_Pi4</definedName>
    <definedName name="Pi4_16" localSheetId="44">'имушество 2018'!_Pi4</definedName>
    <definedName name="Pi4_16" localSheetId="40">'налоги 2018'!_Pi4</definedName>
    <definedName name="Pi4_16" localSheetId="4">'ПОЛНАЯ СЕБЕСТОИМОСТЬ ВОДА 2018'!_Pi4</definedName>
    <definedName name="Pi4_16" localSheetId="2">'ПОЛНАЯ СЕБЕСТОИМОСТЬ СТОКИ 2018'!_Pi4</definedName>
    <definedName name="Pi4_16" localSheetId="10">'Прил. 1 План ФХД вода табл. 2'!_Pi4</definedName>
    <definedName name="Pi4_16" localSheetId="9">'Прил. 1 План ФХД стоки табл 2'!_Pi4</definedName>
    <definedName name="Pi4_16" localSheetId="8">'Прил. 1 План ФХД табл 1'!_Pi4</definedName>
    <definedName name="Pi4_16" localSheetId="13">'Произв. прогр. Вода'!_Pi4</definedName>
    <definedName name="Pi4_16" localSheetId="14">'Произв. прогр. Вода (СВОД)'!_Pi4</definedName>
    <definedName name="Pi4_16" localSheetId="12">'Произв. прогр. Стоки'!_Pi4</definedName>
    <definedName name="Pi4_16" localSheetId="11">'Произв. прогр. Стоки (СВОД)'!_Pi4</definedName>
    <definedName name="Pi4_16" localSheetId="41">'Расчет налог. обяз. 2018'!_Pi4</definedName>
    <definedName name="Pi4_16" localSheetId="42">'рез к 2017'!_Pi4</definedName>
    <definedName name="Pi4_16" localSheetId="46">'рез к 2018'!_Pi4</definedName>
    <definedName name="Pi4_16" localSheetId="22">ТН!_Pi4</definedName>
    <definedName name="Pi4_16" localSheetId="3">'ФАКТ. СЕБЕСТ ВОДА 1 пол.2018'!_Pi4</definedName>
    <definedName name="Pi4_16" localSheetId="1">'ФАКТ. СЕБЕСТ. СТОКИ 1 пол. 2018'!_Pi4</definedName>
    <definedName name="Pi4_16">[0]!_Pi4</definedName>
    <definedName name="Pi4_2" localSheetId="21">А!_Pi4</definedName>
    <definedName name="Pi4_2" localSheetId="43">'вод.налог 2018'!_Pi4</definedName>
    <definedName name="Pi4_2" localSheetId="33">'ЗП с факт 3 кв. 2015'!_Pi4</definedName>
    <definedName name="Pi4_2" localSheetId="44">'имушество 2018'!_Pi4</definedName>
    <definedName name="Pi4_2" localSheetId="40">'налоги 2018'!_Pi4</definedName>
    <definedName name="Pi4_2" localSheetId="4">'ПОЛНАЯ СЕБЕСТОИМОСТЬ ВОДА 2018'!_Pi4</definedName>
    <definedName name="Pi4_2" localSheetId="2">'ПОЛНАЯ СЕБЕСТОИМОСТЬ СТОКИ 2018'!_Pi4</definedName>
    <definedName name="Pi4_2" localSheetId="10">'Прил. 1 План ФХД вода табл. 2'!_Pi4</definedName>
    <definedName name="Pi4_2" localSheetId="9">'Прил. 1 План ФХД стоки табл 2'!_Pi4</definedName>
    <definedName name="Pi4_2" localSheetId="8">'Прил. 1 План ФХД табл 1'!_Pi4</definedName>
    <definedName name="Pi4_2" localSheetId="13">'Произв. прогр. Вода'!_Pi4</definedName>
    <definedName name="Pi4_2" localSheetId="14">'Произв. прогр. Вода (СВОД)'!_Pi4</definedName>
    <definedName name="Pi4_2" localSheetId="12">'Произв. прогр. Стоки'!_Pi4</definedName>
    <definedName name="Pi4_2" localSheetId="11">'Произв. прогр. Стоки (СВОД)'!_Pi4</definedName>
    <definedName name="Pi4_2" localSheetId="41">'Расчет налог. обяз. 2018'!_Pi4</definedName>
    <definedName name="Pi4_2" localSheetId="42">'рез к 2017'!_Pi4</definedName>
    <definedName name="Pi4_2" localSheetId="46">'рез к 2018'!_Pi4</definedName>
    <definedName name="Pi4_2" localSheetId="22">ТН!_Pi4</definedName>
    <definedName name="Pi4_2" localSheetId="3">'ФАКТ. СЕБЕСТ ВОДА 1 пол.2018'!_Pi4</definedName>
    <definedName name="Pi4_2" localSheetId="1">'ФАКТ. СЕБЕСТ. СТОКИ 1 пол. 2018'!_Pi4</definedName>
    <definedName name="Pi4_2">[0]!_Pi4</definedName>
    <definedName name="Pi4_22" localSheetId="21">А!_Pi4</definedName>
    <definedName name="Pi4_22" localSheetId="43">'вод.налог 2018'!_Pi4</definedName>
    <definedName name="Pi4_22" localSheetId="33">'ЗП с факт 3 кв. 2015'!_Pi4</definedName>
    <definedName name="Pi4_22" localSheetId="44">'имушество 2018'!_Pi4</definedName>
    <definedName name="Pi4_22" localSheetId="40">'налоги 2018'!_Pi4</definedName>
    <definedName name="Pi4_22" localSheetId="4">'ПОЛНАЯ СЕБЕСТОИМОСТЬ ВОДА 2018'!_Pi4</definedName>
    <definedName name="Pi4_22" localSheetId="2">'ПОЛНАЯ СЕБЕСТОИМОСТЬ СТОКИ 2018'!_Pi4</definedName>
    <definedName name="Pi4_22" localSheetId="10">'Прил. 1 План ФХД вода табл. 2'!_Pi4</definedName>
    <definedName name="Pi4_22" localSheetId="9">'Прил. 1 План ФХД стоки табл 2'!_Pi4</definedName>
    <definedName name="Pi4_22" localSheetId="8">'Прил. 1 План ФХД табл 1'!_Pi4</definedName>
    <definedName name="Pi4_22" localSheetId="13">'Произв. прогр. Вода'!_Pi4</definedName>
    <definedName name="Pi4_22" localSheetId="14">'Произв. прогр. Вода (СВОД)'!_Pi4</definedName>
    <definedName name="Pi4_22" localSheetId="12">'Произв. прогр. Стоки'!_Pi4</definedName>
    <definedName name="Pi4_22" localSheetId="11">'Произв. прогр. Стоки (СВОД)'!_Pi4</definedName>
    <definedName name="Pi4_22" localSheetId="41">'Расчет налог. обяз. 2018'!_Pi4</definedName>
    <definedName name="Pi4_22" localSheetId="42">'рез к 2017'!_Pi4</definedName>
    <definedName name="Pi4_22" localSheetId="46">'рез к 2018'!_Pi4</definedName>
    <definedName name="Pi4_22" localSheetId="22">ТН!_Pi4</definedName>
    <definedName name="Pi4_22" localSheetId="3">'ФАКТ. СЕБЕСТ ВОДА 1 пол.2018'!_Pi4</definedName>
    <definedName name="Pi4_22" localSheetId="1">'ФАКТ. СЕБЕСТ. СТОКИ 1 пол. 2018'!_Pi4</definedName>
    <definedName name="Pi4_22">_Pi4</definedName>
    <definedName name="Pi4_3" localSheetId="21">А!_Pi4</definedName>
    <definedName name="Pi4_3" localSheetId="43">'вод.налог 2018'!_Pi4</definedName>
    <definedName name="Pi4_3" localSheetId="33">'ЗП с факт 3 кв. 2015'!_Pi4</definedName>
    <definedName name="Pi4_3" localSheetId="44">'имушество 2018'!_Pi4</definedName>
    <definedName name="Pi4_3" localSheetId="40">'налоги 2018'!_Pi4</definedName>
    <definedName name="Pi4_3" localSheetId="4">'ПОЛНАЯ СЕБЕСТОИМОСТЬ ВОДА 2018'!_Pi4</definedName>
    <definedName name="Pi4_3" localSheetId="2">'ПОЛНАЯ СЕБЕСТОИМОСТЬ СТОКИ 2018'!_Pi4</definedName>
    <definedName name="Pi4_3" localSheetId="10">'Прил. 1 План ФХД вода табл. 2'!_Pi4</definedName>
    <definedName name="Pi4_3" localSheetId="9">'Прил. 1 План ФХД стоки табл 2'!_Pi4</definedName>
    <definedName name="Pi4_3" localSheetId="8">'Прил. 1 План ФХД табл 1'!_Pi4</definedName>
    <definedName name="Pi4_3" localSheetId="13">'Произв. прогр. Вода'!_Pi4</definedName>
    <definedName name="Pi4_3" localSheetId="14">'Произв. прогр. Вода (СВОД)'!_Pi4</definedName>
    <definedName name="Pi4_3" localSheetId="12">'Произв. прогр. Стоки'!_Pi4</definedName>
    <definedName name="Pi4_3" localSheetId="11">'Произв. прогр. Стоки (СВОД)'!_Pi4</definedName>
    <definedName name="Pi4_3" localSheetId="41">'Расчет налог. обяз. 2018'!_Pi4</definedName>
    <definedName name="Pi4_3" localSheetId="42">'рез к 2017'!_Pi4</definedName>
    <definedName name="Pi4_3" localSheetId="46">'рез к 2018'!_Pi4</definedName>
    <definedName name="Pi4_3" localSheetId="22">ТН!_Pi4</definedName>
    <definedName name="Pi4_3" localSheetId="3">'ФАКТ. СЕБЕСТ ВОДА 1 пол.2018'!_Pi4</definedName>
    <definedName name="Pi4_3" localSheetId="1">'ФАКТ. СЕБЕСТ. СТОКИ 1 пол. 2018'!_Pi4</definedName>
    <definedName name="Pi4_3">[0]!_Pi4</definedName>
    <definedName name="Pi4_4" localSheetId="21">А!_Pi4</definedName>
    <definedName name="Pi4_4" localSheetId="43">'вод.налог 2018'!_Pi4</definedName>
    <definedName name="Pi4_4" localSheetId="33">'ЗП с факт 3 кв. 2015'!_Pi4</definedName>
    <definedName name="Pi4_4" localSheetId="44">'имушество 2018'!_Pi4</definedName>
    <definedName name="Pi4_4" localSheetId="40">'налоги 2018'!_Pi4</definedName>
    <definedName name="Pi4_4" localSheetId="4">'ПОЛНАЯ СЕБЕСТОИМОСТЬ ВОДА 2018'!_Pi4</definedName>
    <definedName name="Pi4_4" localSheetId="2">'ПОЛНАЯ СЕБЕСТОИМОСТЬ СТОКИ 2018'!_Pi4</definedName>
    <definedName name="Pi4_4" localSheetId="10">'Прил. 1 План ФХД вода табл. 2'!_Pi4</definedName>
    <definedName name="Pi4_4" localSheetId="9">'Прил. 1 План ФХД стоки табл 2'!_Pi4</definedName>
    <definedName name="Pi4_4" localSheetId="8">'Прил. 1 План ФХД табл 1'!_Pi4</definedName>
    <definedName name="Pi4_4" localSheetId="13">'Произв. прогр. Вода'!_Pi4</definedName>
    <definedName name="Pi4_4" localSheetId="14">'Произв. прогр. Вода (СВОД)'!_Pi4</definedName>
    <definedName name="Pi4_4" localSheetId="12">'Произв. прогр. Стоки'!_Pi4</definedName>
    <definedName name="Pi4_4" localSheetId="11">'Произв. прогр. Стоки (СВОД)'!_Pi4</definedName>
    <definedName name="Pi4_4" localSheetId="41">'Расчет налог. обяз. 2018'!_Pi4</definedName>
    <definedName name="Pi4_4" localSheetId="42">'рез к 2017'!_Pi4</definedName>
    <definedName name="Pi4_4" localSheetId="46">'рез к 2018'!_Pi4</definedName>
    <definedName name="Pi4_4" localSheetId="22">ТН!_Pi4</definedName>
    <definedName name="Pi4_4" localSheetId="3">'ФАКТ. СЕБЕСТ ВОДА 1 пол.2018'!_Pi4</definedName>
    <definedName name="Pi4_4" localSheetId="1">'ФАКТ. СЕБЕСТ. СТОКИ 1 пол. 2018'!_Pi4</definedName>
    <definedName name="Pi4_4">_Pi4</definedName>
    <definedName name="Pi4_67" localSheetId="21">А!_Pi4</definedName>
    <definedName name="Pi4_67" localSheetId="43">'вод.налог 2018'!_Pi4</definedName>
    <definedName name="Pi4_67" localSheetId="33">'ЗП с факт 3 кв. 2015'!_Pi4</definedName>
    <definedName name="Pi4_67" localSheetId="44">'имушество 2018'!_Pi4</definedName>
    <definedName name="Pi4_67" localSheetId="40">'налоги 2018'!_Pi4</definedName>
    <definedName name="Pi4_67" localSheetId="4">'ПОЛНАЯ СЕБЕСТОИМОСТЬ ВОДА 2018'!_Pi4</definedName>
    <definedName name="Pi4_67" localSheetId="2">'ПОЛНАЯ СЕБЕСТОИМОСТЬ СТОКИ 2018'!_Pi4</definedName>
    <definedName name="Pi4_67" localSheetId="10">'Прил. 1 План ФХД вода табл. 2'!_Pi4</definedName>
    <definedName name="Pi4_67" localSheetId="9">'Прил. 1 План ФХД стоки табл 2'!_Pi4</definedName>
    <definedName name="Pi4_67" localSheetId="8">'Прил. 1 План ФХД табл 1'!_Pi4</definedName>
    <definedName name="Pi4_67" localSheetId="13">'Произв. прогр. Вода'!_Pi4</definedName>
    <definedName name="Pi4_67" localSheetId="14">'Произв. прогр. Вода (СВОД)'!_Pi4</definedName>
    <definedName name="Pi4_67" localSheetId="12">'Произв. прогр. Стоки'!_Pi4</definedName>
    <definedName name="Pi4_67" localSheetId="11">'Произв. прогр. Стоки (СВОД)'!_Pi4</definedName>
    <definedName name="Pi4_67" localSheetId="41">'Расчет налог. обяз. 2018'!_Pi4</definedName>
    <definedName name="Pi4_67" localSheetId="42">'рез к 2017'!_Pi4</definedName>
    <definedName name="Pi4_67" localSheetId="46">'рез к 2018'!_Pi4</definedName>
    <definedName name="Pi4_67" localSheetId="22">ТН!_Pi4</definedName>
    <definedName name="Pi4_67" localSheetId="3">'ФАКТ. СЕБЕСТ ВОДА 1 пол.2018'!_Pi4</definedName>
    <definedName name="Pi4_67" localSheetId="1">'ФАКТ. СЕБЕСТ. СТОКИ 1 пол. 2018'!_Pi4</definedName>
    <definedName name="Pi4_67">_Pi4</definedName>
    <definedName name="Pi4_70" localSheetId="21">А!_Pi4</definedName>
    <definedName name="Pi4_70" localSheetId="43">'вод.налог 2018'!_Pi4</definedName>
    <definedName name="Pi4_70" localSheetId="33">'ЗП с факт 3 кв. 2015'!_Pi4</definedName>
    <definedName name="Pi4_70" localSheetId="44">'имушество 2018'!_Pi4</definedName>
    <definedName name="Pi4_70" localSheetId="40">'налоги 2018'!_Pi4</definedName>
    <definedName name="Pi4_70" localSheetId="4">'ПОЛНАЯ СЕБЕСТОИМОСТЬ ВОДА 2018'!_Pi4</definedName>
    <definedName name="Pi4_70" localSheetId="2">'ПОЛНАЯ СЕБЕСТОИМОСТЬ СТОКИ 2018'!_Pi4</definedName>
    <definedName name="Pi4_70" localSheetId="10">'Прил. 1 План ФХД вода табл. 2'!_Pi4</definedName>
    <definedName name="Pi4_70" localSheetId="9">'Прил. 1 План ФХД стоки табл 2'!_Pi4</definedName>
    <definedName name="Pi4_70" localSheetId="8">'Прил. 1 План ФХД табл 1'!_Pi4</definedName>
    <definedName name="Pi4_70" localSheetId="13">'Произв. прогр. Вода'!_Pi4</definedName>
    <definedName name="Pi4_70" localSheetId="14">'Произв. прогр. Вода (СВОД)'!_Pi4</definedName>
    <definedName name="Pi4_70" localSheetId="12">'Произв. прогр. Стоки'!_Pi4</definedName>
    <definedName name="Pi4_70" localSheetId="11">'Произв. прогр. Стоки (СВОД)'!_Pi4</definedName>
    <definedName name="Pi4_70" localSheetId="41">'Расчет налог. обяз. 2018'!_Pi4</definedName>
    <definedName name="Pi4_70" localSheetId="42">'рез к 2017'!_Pi4</definedName>
    <definedName name="Pi4_70" localSheetId="46">'рез к 2018'!_Pi4</definedName>
    <definedName name="Pi4_70" localSheetId="22">ТН!_Pi4</definedName>
    <definedName name="Pi4_70" localSheetId="3">'ФАКТ. СЕБЕСТ ВОДА 1 пол.2018'!_Pi4</definedName>
    <definedName name="Pi4_70" localSheetId="1">'ФАКТ. СЕБЕСТ. СТОКИ 1 пол. 2018'!_Pi4</definedName>
    <definedName name="Pi4_70">_Pi4</definedName>
    <definedName name="Pi4_71" localSheetId="21">А!_Pi4</definedName>
    <definedName name="Pi4_71" localSheetId="43">'вод.налог 2018'!_Pi4</definedName>
    <definedName name="Pi4_71" localSheetId="33">'ЗП с факт 3 кв. 2015'!_Pi4</definedName>
    <definedName name="Pi4_71" localSheetId="44">'имушество 2018'!_Pi4</definedName>
    <definedName name="Pi4_71" localSheetId="40">'налоги 2018'!_Pi4</definedName>
    <definedName name="Pi4_71" localSheetId="4">'ПОЛНАЯ СЕБЕСТОИМОСТЬ ВОДА 2018'!_Pi4</definedName>
    <definedName name="Pi4_71" localSheetId="2">'ПОЛНАЯ СЕБЕСТОИМОСТЬ СТОКИ 2018'!_Pi4</definedName>
    <definedName name="Pi4_71" localSheetId="10">'Прил. 1 План ФХД вода табл. 2'!_Pi4</definedName>
    <definedName name="Pi4_71" localSheetId="9">'Прил. 1 План ФХД стоки табл 2'!_Pi4</definedName>
    <definedName name="Pi4_71" localSheetId="8">'Прил. 1 План ФХД табл 1'!_Pi4</definedName>
    <definedName name="Pi4_71" localSheetId="13">'Произв. прогр. Вода'!_Pi4</definedName>
    <definedName name="Pi4_71" localSheetId="14">'Произв. прогр. Вода (СВОД)'!_Pi4</definedName>
    <definedName name="Pi4_71" localSheetId="12">'Произв. прогр. Стоки'!_Pi4</definedName>
    <definedName name="Pi4_71" localSheetId="11">'Произв. прогр. Стоки (СВОД)'!_Pi4</definedName>
    <definedName name="Pi4_71" localSheetId="41">'Расчет налог. обяз. 2018'!_Pi4</definedName>
    <definedName name="Pi4_71" localSheetId="42">'рез к 2017'!_Pi4</definedName>
    <definedName name="Pi4_71" localSheetId="46">'рез к 2018'!_Pi4</definedName>
    <definedName name="Pi4_71" localSheetId="22">ТН!_Pi4</definedName>
    <definedName name="Pi4_71" localSheetId="3">'ФАКТ. СЕБЕСТ ВОДА 1 пол.2018'!_Pi4</definedName>
    <definedName name="Pi4_71" localSheetId="1">'ФАКТ. СЕБЕСТ. СТОКИ 1 пол. 2018'!_Pi4</definedName>
    <definedName name="Pi4_71">_Pi4</definedName>
    <definedName name="Pi4_72" localSheetId="21">А!_Pi4</definedName>
    <definedName name="Pi4_72" localSheetId="43">'вод.налог 2018'!_Pi4</definedName>
    <definedName name="Pi4_72" localSheetId="33">'ЗП с факт 3 кв. 2015'!_Pi4</definedName>
    <definedName name="Pi4_72" localSheetId="44">'имушество 2018'!_Pi4</definedName>
    <definedName name="Pi4_72" localSheetId="40">'налоги 2018'!_Pi4</definedName>
    <definedName name="Pi4_72" localSheetId="4">'ПОЛНАЯ СЕБЕСТОИМОСТЬ ВОДА 2018'!_Pi4</definedName>
    <definedName name="Pi4_72" localSheetId="2">'ПОЛНАЯ СЕБЕСТОИМОСТЬ СТОКИ 2018'!_Pi4</definedName>
    <definedName name="Pi4_72" localSheetId="10">'Прил. 1 План ФХД вода табл. 2'!_Pi4</definedName>
    <definedName name="Pi4_72" localSheetId="9">'Прил. 1 План ФХД стоки табл 2'!_Pi4</definedName>
    <definedName name="Pi4_72" localSheetId="8">'Прил. 1 План ФХД табл 1'!_Pi4</definedName>
    <definedName name="Pi4_72" localSheetId="13">'Произв. прогр. Вода'!_Pi4</definedName>
    <definedName name="Pi4_72" localSheetId="14">'Произв. прогр. Вода (СВОД)'!_Pi4</definedName>
    <definedName name="Pi4_72" localSheetId="12">'Произв. прогр. Стоки'!_Pi4</definedName>
    <definedName name="Pi4_72" localSheetId="11">'Произв. прогр. Стоки (СВОД)'!_Pi4</definedName>
    <definedName name="Pi4_72" localSheetId="41">'Расчет налог. обяз. 2018'!_Pi4</definedName>
    <definedName name="Pi4_72" localSheetId="42">'рез к 2017'!_Pi4</definedName>
    <definedName name="Pi4_72" localSheetId="46">'рез к 2018'!_Pi4</definedName>
    <definedName name="Pi4_72" localSheetId="22">ТН!_Pi4</definedName>
    <definedName name="Pi4_72" localSheetId="3">'ФАКТ. СЕБЕСТ ВОДА 1 пол.2018'!_Pi4</definedName>
    <definedName name="Pi4_72" localSheetId="1">'ФАКТ. СЕБЕСТ. СТОКИ 1 пол. 2018'!_Pi4</definedName>
    <definedName name="Pi4_72">_Pi4</definedName>
    <definedName name="Pi4_74" localSheetId="21">А!_Pi4</definedName>
    <definedName name="Pi4_74" localSheetId="43">'вод.налог 2018'!_Pi4</definedName>
    <definedName name="Pi4_74" localSheetId="33">'ЗП с факт 3 кв. 2015'!_Pi4</definedName>
    <definedName name="Pi4_74" localSheetId="44">'имушество 2018'!_Pi4</definedName>
    <definedName name="Pi4_74" localSheetId="40">'налоги 2018'!_Pi4</definedName>
    <definedName name="Pi4_74" localSheetId="4">'ПОЛНАЯ СЕБЕСТОИМОСТЬ ВОДА 2018'!_Pi4</definedName>
    <definedName name="Pi4_74" localSheetId="2">'ПОЛНАЯ СЕБЕСТОИМОСТЬ СТОКИ 2018'!_Pi4</definedName>
    <definedName name="Pi4_74" localSheetId="10">'Прил. 1 План ФХД вода табл. 2'!_Pi4</definedName>
    <definedName name="Pi4_74" localSheetId="9">'Прил. 1 План ФХД стоки табл 2'!_Pi4</definedName>
    <definedName name="Pi4_74" localSheetId="8">'Прил. 1 План ФХД табл 1'!_Pi4</definedName>
    <definedName name="Pi4_74" localSheetId="13">'Произв. прогр. Вода'!_Pi4</definedName>
    <definedName name="Pi4_74" localSheetId="14">'Произв. прогр. Вода (СВОД)'!_Pi4</definedName>
    <definedName name="Pi4_74" localSheetId="12">'Произв. прогр. Стоки'!_Pi4</definedName>
    <definedName name="Pi4_74" localSheetId="11">'Произв. прогр. Стоки (СВОД)'!_Pi4</definedName>
    <definedName name="Pi4_74" localSheetId="41">'Расчет налог. обяз. 2018'!_Pi4</definedName>
    <definedName name="Pi4_74" localSheetId="42">'рез к 2017'!_Pi4</definedName>
    <definedName name="Pi4_74" localSheetId="46">'рез к 2018'!_Pi4</definedName>
    <definedName name="Pi4_74" localSheetId="22">ТН!_Pi4</definedName>
    <definedName name="Pi4_74" localSheetId="3">'ФАКТ. СЕБЕСТ ВОДА 1 пол.2018'!_Pi4</definedName>
    <definedName name="Pi4_74" localSheetId="1">'ФАКТ. СЕБЕСТ. СТОКИ 1 пол. 2018'!_Pi4</definedName>
    <definedName name="Pi4_74">_Pi4</definedName>
    <definedName name="Pi4_9" localSheetId="21">А!_Pi4</definedName>
    <definedName name="Pi4_9" localSheetId="43">'вод.налог 2018'!_Pi4</definedName>
    <definedName name="Pi4_9" localSheetId="33">'ЗП с факт 3 кв. 2015'!_Pi4</definedName>
    <definedName name="Pi4_9" localSheetId="44">'имушество 2018'!_Pi4</definedName>
    <definedName name="Pi4_9" localSheetId="40">'налоги 2018'!_Pi4</definedName>
    <definedName name="Pi4_9" localSheetId="4">'ПОЛНАЯ СЕБЕСТОИМОСТЬ ВОДА 2018'!_Pi4</definedName>
    <definedName name="Pi4_9" localSheetId="2">'ПОЛНАЯ СЕБЕСТОИМОСТЬ СТОКИ 2018'!_Pi4</definedName>
    <definedName name="Pi4_9" localSheetId="10">'Прил. 1 План ФХД вода табл. 2'!_Pi4</definedName>
    <definedName name="Pi4_9" localSheetId="9">'Прил. 1 План ФХД стоки табл 2'!_Pi4</definedName>
    <definedName name="Pi4_9" localSheetId="8">'Прил. 1 План ФХД табл 1'!_Pi4</definedName>
    <definedName name="Pi4_9" localSheetId="13">'Произв. прогр. Вода'!_Pi4</definedName>
    <definedName name="Pi4_9" localSheetId="14">'Произв. прогр. Вода (СВОД)'!_Pi4</definedName>
    <definedName name="Pi4_9" localSheetId="12">'Произв. прогр. Стоки'!_Pi4</definedName>
    <definedName name="Pi4_9" localSheetId="11">'Произв. прогр. Стоки (СВОД)'!_Pi4</definedName>
    <definedName name="Pi4_9" localSheetId="41">'Расчет налог. обяз. 2018'!_Pi4</definedName>
    <definedName name="Pi4_9" localSheetId="42">'рез к 2017'!_Pi4</definedName>
    <definedName name="Pi4_9" localSheetId="46">'рез к 2018'!_Pi4</definedName>
    <definedName name="Pi4_9" localSheetId="22">ТН!_Pi4</definedName>
    <definedName name="Pi4_9" localSheetId="3">'ФАКТ. СЕБЕСТ ВОДА 1 пол.2018'!_Pi4</definedName>
    <definedName name="Pi4_9" localSheetId="1">'ФАКТ. СЕБЕСТ. СТОКИ 1 пол. 2018'!_Pi4</definedName>
    <definedName name="Pi4_9">_Pi4</definedName>
    <definedName name="Pi5_1" localSheetId="21">А!_Pi5</definedName>
    <definedName name="Pi5_1" localSheetId="43">'вод.налог 2018'!_Pi5</definedName>
    <definedName name="Pi5_1" localSheetId="33">'ЗП с факт 3 кв. 2015'!_Pi5</definedName>
    <definedName name="Pi5_1" localSheetId="44">'имушество 2018'!_Pi5</definedName>
    <definedName name="Pi5_1" localSheetId="40">'налоги 2018'!_Pi5</definedName>
    <definedName name="Pi5_1" localSheetId="4">'ПОЛНАЯ СЕБЕСТОИМОСТЬ ВОДА 2018'!_Pi5</definedName>
    <definedName name="Pi5_1" localSheetId="2">'ПОЛНАЯ СЕБЕСТОИМОСТЬ СТОКИ 2018'!_Pi5</definedName>
    <definedName name="Pi5_1" localSheetId="10">'Прил. 1 План ФХД вода табл. 2'!_Pi5</definedName>
    <definedName name="Pi5_1" localSheetId="9">'Прил. 1 План ФХД стоки табл 2'!_Pi5</definedName>
    <definedName name="Pi5_1" localSheetId="8">'Прил. 1 План ФХД табл 1'!_Pi5</definedName>
    <definedName name="Pi5_1" localSheetId="13">'Произв. прогр. Вода'!_Pi5</definedName>
    <definedName name="Pi5_1" localSheetId="14">'Произв. прогр. Вода (СВОД)'!_Pi5</definedName>
    <definedName name="Pi5_1" localSheetId="12">'Произв. прогр. Стоки'!_Pi5</definedName>
    <definedName name="Pi5_1" localSheetId="11">'Произв. прогр. Стоки (СВОД)'!_Pi5</definedName>
    <definedName name="Pi5_1" localSheetId="41">'Расчет налог. обяз. 2018'!_Pi5</definedName>
    <definedName name="Pi5_1" localSheetId="42">'рез к 2017'!_Pi5</definedName>
    <definedName name="Pi5_1" localSheetId="46">'рез к 2018'!_Pi5</definedName>
    <definedName name="Pi5_1" localSheetId="22">ТН!_Pi5</definedName>
    <definedName name="Pi5_1" localSheetId="3">'ФАКТ. СЕБЕСТ ВОДА 1 пол.2018'!_Pi5</definedName>
    <definedName name="Pi5_1" localSheetId="1">'ФАКТ. СЕБЕСТ. СТОКИ 1 пол. 2018'!_Pi5</definedName>
    <definedName name="Pi5_1">[0]!_Pi5</definedName>
    <definedName name="Pi5_10" localSheetId="21">А!_Pi5</definedName>
    <definedName name="Pi5_10" localSheetId="43">'вод.налог 2018'!_Pi5</definedName>
    <definedName name="Pi5_10" localSheetId="33">'ЗП с факт 3 кв. 2015'!_Pi5</definedName>
    <definedName name="Pi5_10" localSheetId="44">'имушество 2018'!_Pi5</definedName>
    <definedName name="Pi5_10" localSheetId="40">'налоги 2018'!_Pi5</definedName>
    <definedName name="Pi5_10" localSheetId="4">'ПОЛНАЯ СЕБЕСТОИМОСТЬ ВОДА 2018'!_Pi5</definedName>
    <definedName name="Pi5_10" localSheetId="2">'ПОЛНАЯ СЕБЕСТОИМОСТЬ СТОКИ 2018'!_Pi5</definedName>
    <definedName name="Pi5_10" localSheetId="10">'Прил. 1 План ФХД вода табл. 2'!_Pi5</definedName>
    <definedName name="Pi5_10" localSheetId="9">'Прил. 1 План ФХД стоки табл 2'!_Pi5</definedName>
    <definedName name="Pi5_10" localSheetId="8">'Прил. 1 План ФХД табл 1'!_Pi5</definedName>
    <definedName name="Pi5_10" localSheetId="13">'Произв. прогр. Вода'!_Pi5</definedName>
    <definedName name="Pi5_10" localSheetId="14">'Произв. прогр. Вода (СВОД)'!_Pi5</definedName>
    <definedName name="Pi5_10" localSheetId="12">'Произв. прогр. Стоки'!_Pi5</definedName>
    <definedName name="Pi5_10" localSheetId="11">'Произв. прогр. Стоки (СВОД)'!_Pi5</definedName>
    <definedName name="Pi5_10" localSheetId="41">'Расчет налог. обяз. 2018'!_Pi5</definedName>
    <definedName name="Pi5_10" localSheetId="42">'рез к 2017'!_Pi5</definedName>
    <definedName name="Pi5_10" localSheetId="46">'рез к 2018'!_Pi5</definedName>
    <definedName name="Pi5_10" localSheetId="22">ТН!_Pi5</definedName>
    <definedName name="Pi5_10" localSheetId="3">'ФАКТ. СЕБЕСТ ВОДА 1 пол.2018'!_Pi5</definedName>
    <definedName name="Pi5_10" localSheetId="1">'ФАКТ. СЕБЕСТ. СТОКИ 1 пол. 2018'!_Pi5</definedName>
    <definedName name="Pi5_10">[0]!_Pi5</definedName>
    <definedName name="Pi5_11" localSheetId="21">А!_Pi5</definedName>
    <definedName name="Pi5_11" localSheetId="43">'вод.налог 2018'!_Pi5</definedName>
    <definedName name="Pi5_11" localSheetId="33">'ЗП с факт 3 кв. 2015'!_Pi5</definedName>
    <definedName name="Pi5_11" localSheetId="44">'имушество 2018'!_Pi5</definedName>
    <definedName name="Pi5_11" localSheetId="40">'налоги 2018'!_Pi5</definedName>
    <definedName name="Pi5_11" localSheetId="4">'ПОЛНАЯ СЕБЕСТОИМОСТЬ ВОДА 2018'!_Pi5</definedName>
    <definedName name="Pi5_11" localSheetId="2">'ПОЛНАЯ СЕБЕСТОИМОСТЬ СТОКИ 2018'!_Pi5</definedName>
    <definedName name="Pi5_11" localSheetId="10">'Прил. 1 План ФХД вода табл. 2'!_Pi5</definedName>
    <definedName name="Pi5_11" localSheetId="9">'Прил. 1 План ФХД стоки табл 2'!_Pi5</definedName>
    <definedName name="Pi5_11" localSheetId="8">'Прил. 1 План ФХД табл 1'!_Pi5</definedName>
    <definedName name="Pi5_11" localSheetId="13">'Произв. прогр. Вода'!_Pi5</definedName>
    <definedName name="Pi5_11" localSheetId="14">'Произв. прогр. Вода (СВОД)'!_Pi5</definedName>
    <definedName name="Pi5_11" localSheetId="12">'Произв. прогр. Стоки'!_Pi5</definedName>
    <definedName name="Pi5_11" localSheetId="11">'Произв. прогр. Стоки (СВОД)'!_Pi5</definedName>
    <definedName name="Pi5_11" localSheetId="41">'Расчет налог. обяз. 2018'!_Pi5</definedName>
    <definedName name="Pi5_11" localSheetId="42">'рез к 2017'!_Pi5</definedName>
    <definedName name="Pi5_11" localSheetId="46">'рез к 2018'!_Pi5</definedName>
    <definedName name="Pi5_11" localSheetId="22">ТН!_Pi5</definedName>
    <definedName name="Pi5_11" localSheetId="3">'ФАКТ. СЕБЕСТ ВОДА 1 пол.2018'!_Pi5</definedName>
    <definedName name="Pi5_11" localSheetId="1">'ФАКТ. СЕБЕСТ. СТОКИ 1 пол. 2018'!_Pi5</definedName>
    <definedName name="Pi5_11">[0]!_Pi5</definedName>
    <definedName name="Pi5_13" localSheetId="21">А!_Pi5</definedName>
    <definedName name="Pi5_13" localSheetId="43">'вод.налог 2018'!_Pi5</definedName>
    <definedName name="Pi5_13" localSheetId="33">'ЗП с факт 3 кв. 2015'!_Pi5</definedName>
    <definedName name="Pi5_13" localSheetId="44">'имушество 2018'!_Pi5</definedName>
    <definedName name="Pi5_13" localSheetId="40">'налоги 2018'!_Pi5</definedName>
    <definedName name="Pi5_13" localSheetId="4">'ПОЛНАЯ СЕБЕСТОИМОСТЬ ВОДА 2018'!_Pi5</definedName>
    <definedName name="Pi5_13" localSheetId="2">'ПОЛНАЯ СЕБЕСТОИМОСТЬ СТОКИ 2018'!_Pi5</definedName>
    <definedName name="Pi5_13" localSheetId="10">'Прил. 1 План ФХД вода табл. 2'!_Pi5</definedName>
    <definedName name="Pi5_13" localSheetId="9">'Прил. 1 План ФХД стоки табл 2'!_Pi5</definedName>
    <definedName name="Pi5_13" localSheetId="8">'Прил. 1 План ФХД табл 1'!_Pi5</definedName>
    <definedName name="Pi5_13" localSheetId="13">'Произв. прогр. Вода'!_Pi5</definedName>
    <definedName name="Pi5_13" localSheetId="14">'Произв. прогр. Вода (СВОД)'!_Pi5</definedName>
    <definedName name="Pi5_13" localSheetId="12">'Произв. прогр. Стоки'!_Pi5</definedName>
    <definedName name="Pi5_13" localSheetId="11">'Произв. прогр. Стоки (СВОД)'!_Pi5</definedName>
    <definedName name="Pi5_13" localSheetId="41">'Расчет налог. обяз. 2018'!_Pi5</definedName>
    <definedName name="Pi5_13" localSheetId="42">'рез к 2017'!_Pi5</definedName>
    <definedName name="Pi5_13" localSheetId="46">'рез к 2018'!_Pi5</definedName>
    <definedName name="Pi5_13" localSheetId="22">ТН!_Pi5</definedName>
    <definedName name="Pi5_13" localSheetId="3">'ФАКТ. СЕБЕСТ ВОДА 1 пол.2018'!_Pi5</definedName>
    <definedName name="Pi5_13" localSheetId="1">'ФАКТ. СЕБЕСТ. СТОКИ 1 пол. 2018'!_Pi5</definedName>
    <definedName name="Pi5_13">[0]!_Pi5</definedName>
    <definedName name="Pi5_14" localSheetId="21">А!_Pi5</definedName>
    <definedName name="Pi5_14" localSheetId="43">'вод.налог 2018'!_Pi5</definedName>
    <definedName name="Pi5_14" localSheetId="33">'ЗП с факт 3 кв. 2015'!_Pi5</definedName>
    <definedName name="Pi5_14" localSheetId="44">'имушество 2018'!_Pi5</definedName>
    <definedName name="Pi5_14" localSheetId="40">'налоги 2018'!_Pi5</definedName>
    <definedName name="Pi5_14" localSheetId="4">'ПОЛНАЯ СЕБЕСТОИМОСТЬ ВОДА 2018'!_Pi5</definedName>
    <definedName name="Pi5_14" localSheetId="2">'ПОЛНАЯ СЕБЕСТОИМОСТЬ СТОКИ 2018'!_Pi5</definedName>
    <definedName name="Pi5_14" localSheetId="10">'Прил. 1 План ФХД вода табл. 2'!_Pi5</definedName>
    <definedName name="Pi5_14" localSheetId="9">'Прил. 1 План ФХД стоки табл 2'!_Pi5</definedName>
    <definedName name="Pi5_14" localSheetId="8">'Прил. 1 План ФХД табл 1'!_Pi5</definedName>
    <definedName name="Pi5_14" localSheetId="13">'Произв. прогр. Вода'!_Pi5</definedName>
    <definedName name="Pi5_14" localSheetId="14">'Произв. прогр. Вода (СВОД)'!_Pi5</definedName>
    <definedName name="Pi5_14" localSheetId="12">'Произв. прогр. Стоки'!_Pi5</definedName>
    <definedName name="Pi5_14" localSheetId="11">'Произв. прогр. Стоки (СВОД)'!_Pi5</definedName>
    <definedName name="Pi5_14" localSheetId="41">'Расчет налог. обяз. 2018'!_Pi5</definedName>
    <definedName name="Pi5_14" localSheetId="42">'рез к 2017'!_Pi5</definedName>
    <definedName name="Pi5_14" localSheetId="46">'рез к 2018'!_Pi5</definedName>
    <definedName name="Pi5_14" localSheetId="22">ТН!_Pi5</definedName>
    <definedName name="Pi5_14" localSheetId="3">'ФАКТ. СЕБЕСТ ВОДА 1 пол.2018'!_Pi5</definedName>
    <definedName name="Pi5_14" localSheetId="1">'ФАКТ. СЕБЕСТ. СТОКИ 1 пол. 2018'!_Pi5</definedName>
    <definedName name="Pi5_14">[0]!_Pi5</definedName>
    <definedName name="Pi5_15" localSheetId="21">А!_Pi5</definedName>
    <definedName name="Pi5_15" localSheetId="43">'вод.налог 2018'!_Pi5</definedName>
    <definedName name="Pi5_15" localSheetId="33">'ЗП с факт 3 кв. 2015'!_Pi5</definedName>
    <definedName name="Pi5_15" localSheetId="44">'имушество 2018'!_Pi5</definedName>
    <definedName name="Pi5_15" localSheetId="40">'налоги 2018'!_Pi5</definedName>
    <definedName name="Pi5_15" localSheetId="4">'ПОЛНАЯ СЕБЕСТОИМОСТЬ ВОДА 2018'!_Pi5</definedName>
    <definedName name="Pi5_15" localSheetId="2">'ПОЛНАЯ СЕБЕСТОИМОСТЬ СТОКИ 2018'!_Pi5</definedName>
    <definedName name="Pi5_15" localSheetId="10">'Прил. 1 План ФХД вода табл. 2'!_Pi5</definedName>
    <definedName name="Pi5_15" localSheetId="9">'Прил. 1 План ФХД стоки табл 2'!_Pi5</definedName>
    <definedName name="Pi5_15" localSheetId="8">'Прил. 1 План ФХД табл 1'!_Pi5</definedName>
    <definedName name="Pi5_15" localSheetId="13">'Произв. прогр. Вода'!_Pi5</definedName>
    <definedName name="Pi5_15" localSheetId="14">'Произв. прогр. Вода (СВОД)'!_Pi5</definedName>
    <definedName name="Pi5_15" localSheetId="12">'Произв. прогр. Стоки'!_Pi5</definedName>
    <definedName name="Pi5_15" localSheetId="11">'Произв. прогр. Стоки (СВОД)'!_Pi5</definedName>
    <definedName name="Pi5_15" localSheetId="41">'Расчет налог. обяз. 2018'!_Pi5</definedName>
    <definedName name="Pi5_15" localSheetId="42">'рез к 2017'!_Pi5</definedName>
    <definedName name="Pi5_15" localSheetId="46">'рез к 2018'!_Pi5</definedName>
    <definedName name="Pi5_15" localSheetId="22">ТН!_Pi5</definedName>
    <definedName name="Pi5_15" localSheetId="3">'ФАКТ. СЕБЕСТ ВОДА 1 пол.2018'!_Pi5</definedName>
    <definedName name="Pi5_15" localSheetId="1">'ФАКТ. СЕБЕСТ. СТОКИ 1 пол. 2018'!_Pi5</definedName>
    <definedName name="Pi5_15">_Pi5</definedName>
    <definedName name="Pi5_16" localSheetId="21">А!_Pi5</definedName>
    <definedName name="Pi5_16" localSheetId="43">'вод.налог 2018'!_Pi5</definedName>
    <definedName name="Pi5_16" localSheetId="33">'ЗП с факт 3 кв. 2015'!_Pi5</definedName>
    <definedName name="Pi5_16" localSheetId="44">'имушество 2018'!_Pi5</definedName>
    <definedName name="Pi5_16" localSheetId="40">'налоги 2018'!_Pi5</definedName>
    <definedName name="Pi5_16" localSheetId="4">'ПОЛНАЯ СЕБЕСТОИМОСТЬ ВОДА 2018'!_Pi5</definedName>
    <definedName name="Pi5_16" localSheetId="2">'ПОЛНАЯ СЕБЕСТОИМОСТЬ СТОКИ 2018'!_Pi5</definedName>
    <definedName name="Pi5_16" localSheetId="10">'Прил. 1 План ФХД вода табл. 2'!_Pi5</definedName>
    <definedName name="Pi5_16" localSheetId="9">'Прил. 1 План ФХД стоки табл 2'!_Pi5</definedName>
    <definedName name="Pi5_16" localSheetId="8">'Прил. 1 План ФХД табл 1'!_Pi5</definedName>
    <definedName name="Pi5_16" localSheetId="13">'Произв. прогр. Вода'!_Pi5</definedName>
    <definedName name="Pi5_16" localSheetId="14">'Произв. прогр. Вода (СВОД)'!_Pi5</definedName>
    <definedName name="Pi5_16" localSheetId="12">'Произв. прогр. Стоки'!_Pi5</definedName>
    <definedName name="Pi5_16" localSheetId="11">'Произв. прогр. Стоки (СВОД)'!_Pi5</definedName>
    <definedName name="Pi5_16" localSheetId="41">'Расчет налог. обяз. 2018'!_Pi5</definedName>
    <definedName name="Pi5_16" localSheetId="42">'рез к 2017'!_Pi5</definedName>
    <definedName name="Pi5_16" localSheetId="46">'рез к 2018'!_Pi5</definedName>
    <definedName name="Pi5_16" localSheetId="22">ТН!_Pi5</definedName>
    <definedName name="Pi5_16" localSheetId="3">'ФАКТ. СЕБЕСТ ВОДА 1 пол.2018'!_Pi5</definedName>
    <definedName name="Pi5_16" localSheetId="1">'ФАКТ. СЕБЕСТ. СТОКИ 1 пол. 2018'!_Pi5</definedName>
    <definedName name="Pi5_16">[0]!_Pi5</definedName>
    <definedName name="Pi5_2" localSheetId="21">А!_Pi5</definedName>
    <definedName name="Pi5_2" localSheetId="43">'вод.налог 2018'!_Pi5</definedName>
    <definedName name="Pi5_2" localSheetId="33">'ЗП с факт 3 кв. 2015'!_Pi5</definedName>
    <definedName name="Pi5_2" localSheetId="44">'имушество 2018'!_Pi5</definedName>
    <definedName name="Pi5_2" localSheetId="40">'налоги 2018'!_Pi5</definedName>
    <definedName name="Pi5_2" localSheetId="4">'ПОЛНАЯ СЕБЕСТОИМОСТЬ ВОДА 2018'!_Pi5</definedName>
    <definedName name="Pi5_2" localSheetId="2">'ПОЛНАЯ СЕБЕСТОИМОСТЬ СТОКИ 2018'!_Pi5</definedName>
    <definedName name="Pi5_2" localSheetId="10">'Прил. 1 План ФХД вода табл. 2'!_Pi5</definedName>
    <definedName name="Pi5_2" localSheetId="9">'Прил. 1 План ФХД стоки табл 2'!_Pi5</definedName>
    <definedName name="Pi5_2" localSheetId="8">'Прил. 1 План ФХД табл 1'!_Pi5</definedName>
    <definedName name="Pi5_2" localSheetId="13">'Произв. прогр. Вода'!_Pi5</definedName>
    <definedName name="Pi5_2" localSheetId="14">'Произв. прогр. Вода (СВОД)'!_Pi5</definedName>
    <definedName name="Pi5_2" localSheetId="12">'Произв. прогр. Стоки'!_Pi5</definedName>
    <definedName name="Pi5_2" localSheetId="11">'Произв. прогр. Стоки (СВОД)'!_Pi5</definedName>
    <definedName name="Pi5_2" localSheetId="41">'Расчет налог. обяз. 2018'!_Pi5</definedName>
    <definedName name="Pi5_2" localSheetId="42">'рез к 2017'!_Pi5</definedName>
    <definedName name="Pi5_2" localSheetId="46">'рез к 2018'!_Pi5</definedName>
    <definedName name="Pi5_2" localSheetId="22">ТН!_Pi5</definedName>
    <definedName name="Pi5_2" localSheetId="3">'ФАКТ. СЕБЕСТ ВОДА 1 пол.2018'!_Pi5</definedName>
    <definedName name="Pi5_2" localSheetId="1">'ФАКТ. СЕБЕСТ. СТОКИ 1 пол. 2018'!_Pi5</definedName>
    <definedName name="Pi5_2">[0]!_Pi5</definedName>
    <definedName name="Pi5_22" localSheetId="21">А!_Pi5</definedName>
    <definedName name="Pi5_22" localSheetId="43">'вод.налог 2018'!_Pi5</definedName>
    <definedName name="Pi5_22" localSheetId="33">'ЗП с факт 3 кв. 2015'!_Pi5</definedName>
    <definedName name="Pi5_22" localSheetId="44">'имушество 2018'!_Pi5</definedName>
    <definedName name="Pi5_22" localSheetId="40">'налоги 2018'!_Pi5</definedName>
    <definedName name="Pi5_22" localSheetId="4">'ПОЛНАЯ СЕБЕСТОИМОСТЬ ВОДА 2018'!_Pi5</definedName>
    <definedName name="Pi5_22" localSheetId="2">'ПОЛНАЯ СЕБЕСТОИМОСТЬ СТОКИ 2018'!_Pi5</definedName>
    <definedName name="Pi5_22" localSheetId="10">'Прил. 1 План ФХД вода табл. 2'!_Pi5</definedName>
    <definedName name="Pi5_22" localSheetId="9">'Прил. 1 План ФХД стоки табл 2'!_Pi5</definedName>
    <definedName name="Pi5_22" localSheetId="8">'Прил. 1 План ФХД табл 1'!_Pi5</definedName>
    <definedName name="Pi5_22" localSheetId="13">'Произв. прогр. Вода'!_Pi5</definedName>
    <definedName name="Pi5_22" localSheetId="14">'Произв. прогр. Вода (СВОД)'!_Pi5</definedName>
    <definedName name="Pi5_22" localSheetId="12">'Произв. прогр. Стоки'!_Pi5</definedName>
    <definedName name="Pi5_22" localSheetId="11">'Произв. прогр. Стоки (СВОД)'!_Pi5</definedName>
    <definedName name="Pi5_22" localSheetId="41">'Расчет налог. обяз. 2018'!_Pi5</definedName>
    <definedName name="Pi5_22" localSheetId="42">'рез к 2017'!_Pi5</definedName>
    <definedName name="Pi5_22" localSheetId="46">'рез к 2018'!_Pi5</definedName>
    <definedName name="Pi5_22" localSheetId="22">ТН!_Pi5</definedName>
    <definedName name="Pi5_22" localSheetId="3">'ФАКТ. СЕБЕСТ ВОДА 1 пол.2018'!_Pi5</definedName>
    <definedName name="Pi5_22" localSheetId="1">'ФАКТ. СЕБЕСТ. СТОКИ 1 пол. 2018'!_Pi5</definedName>
    <definedName name="Pi5_22">_Pi5</definedName>
    <definedName name="Pi5_3" localSheetId="21">А!_Pi5</definedName>
    <definedName name="Pi5_3" localSheetId="43">'вод.налог 2018'!_Pi5</definedName>
    <definedName name="Pi5_3" localSheetId="33">'ЗП с факт 3 кв. 2015'!_Pi5</definedName>
    <definedName name="Pi5_3" localSheetId="44">'имушество 2018'!_Pi5</definedName>
    <definedName name="Pi5_3" localSheetId="40">'налоги 2018'!_Pi5</definedName>
    <definedName name="Pi5_3" localSheetId="4">'ПОЛНАЯ СЕБЕСТОИМОСТЬ ВОДА 2018'!_Pi5</definedName>
    <definedName name="Pi5_3" localSheetId="2">'ПОЛНАЯ СЕБЕСТОИМОСТЬ СТОКИ 2018'!_Pi5</definedName>
    <definedName name="Pi5_3" localSheetId="10">'Прил. 1 План ФХД вода табл. 2'!_Pi5</definedName>
    <definedName name="Pi5_3" localSheetId="9">'Прил. 1 План ФХД стоки табл 2'!_Pi5</definedName>
    <definedName name="Pi5_3" localSheetId="8">'Прил. 1 План ФХД табл 1'!_Pi5</definedName>
    <definedName name="Pi5_3" localSheetId="13">'Произв. прогр. Вода'!_Pi5</definedName>
    <definedName name="Pi5_3" localSheetId="14">'Произв. прогр. Вода (СВОД)'!_Pi5</definedName>
    <definedName name="Pi5_3" localSheetId="12">'Произв. прогр. Стоки'!_Pi5</definedName>
    <definedName name="Pi5_3" localSheetId="11">'Произв. прогр. Стоки (СВОД)'!_Pi5</definedName>
    <definedName name="Pi5_3" localSheetId="41">'Расчет налог. обяз. 2018'!_Pi5</definedName>
    <definedName name="Pi5_3" localSheetId="42">'рез к 2017'!_Pi5</definedName>
    <definedName name="Pi5_3" localSheetId="46">'рез к 2018'!_Pi5</definedName>
    <definedName name="Pi5_3" localSheetId="22">ТН!_Pi5</definedName>
    <definedName name="Pi5_3" localSheetId="3">'ФАКТ. СЕБЕСТ ВОДА 1 пол.2018'!_Pi5</definedName>
    <definedName name="Pi5_3" localSheetId="1">'ФАКТ. СЕБЕСТ. СТОКИ 1 пол. 2018'!_Pi5</definedName>
    <definedName name="Pi5_3">[0]!_Pi5</definedName>
    <definedName name="Pi5_4" localSheetId="21">А!_Pi5</definedName>
    <definedName name="Pi5_4" localSheetId="43">'вод.налог 2018'!_Pi5</definedName>
    <definedName name="Pi5_4" localSheetId="33">'ЗП с факт 3 кв. 2015'!_Pi5</definedName>
    <definedName name="Pi5_4" localSheetId="44">'имушество 2018'!_Pi5</definedName>
    <definedName name="Pi5_4" localSheetId="40">'налоги 2018'!_Pi5</definedName>
    <definedName name="Pi5_4" localSheetId="4">'ПОЛНАЯ СЕБЕСТОИМОСТЬ ВОДА 2018'!_Pi5</definedName>
    <definedName name="Pi5_4" localSheetId="2">'ПОЛНАЯ СЕБЕСТОИМОСТЬ СТОКИ 2018'!_Pi5</definedName>
    <definedName name="Pi5_4" localSheetId="10">'Прил. 1 План ФХД вода табл. 2'!_Pi5</definedName>
    <definedName name="Pi5_4" localSheetId="9">'Прил. 1 План ФХД стоки табл 2'!_Pi5</definedName>
    <definedName name="Pi5_4" localSheetId="8">'Прил. 1 План ФХД табл 1'!_Pi5</definedName>
    <definedName name="Pi5_4" localSheetId="13">'Произв. прогр. Вода'!_Pi5</definedName>
    <definedName name="Pi5_4" localSheetId="14">'Произв. прогр. Вода (СВОД)'!_Pi5</definedName>
    <definedName name="Pi5_4" localSheetId="12">'Произв. прогр. Стоки'!_Pi5</definedName>
    <definedName name="Pi5_4" localSheetId="11">'Произв. прогр. Стоки (СВОД)'!_Pi5</definedName>
    <definedName name="Pi5_4" localSheetId="41">'Расчет налог. обяз. 2018'!_Pi5</definedName>
    <definedName name="Pi5_4" localSheetId="42">'рез к 2017'!_Pi5</definedName>
    <definedName name="Pi5_4" localSheetId="46">'рез к 2018'!_Pi5</definedName>
    <definedName name="Pi5_4" localSheetId="22">ТН!_Pi5</definedName>
    <definedName name="Pi5_4" localSheetId="3">'ФАКТ. СЕБЕСТ ВОДА 1 пол.2018'!_Pi5</definedName>
    <definedName name="Pi5_4" localSheetId="1">'ФАКТ. СЕБЕСТ. СТОКИ 1 пол. 2018'!_Pi5</definedName>
    <definedName name="Pi5_4">_Pi5</definedName>
    <definedName name="Pi5_67" localSheetId="21">А!_Pi5</definedName>
    <definedName name="Pi5_67" localSheetId="43">'вод.налог 2018'!_Pi5</definedName>
    <definedName name="Pi5_67" localSheetId="33">'ЗП с факт 3 кв. 2015'!_Pi5</definedName>
    <definedName name="Pi5_67" localSheetId="44">'имушество 2018'!_Pi5</definedName>
    <definedName name="Pi5_67" localSheetId="40">'налоги 2018'!_Pi5</definedName>
    <definedName name="Pi5_67" localSheetId="4">'ПОЛНАЯ СЕБЕСТОИМОСТЬ ВОДА 2018'!_Pi5</definedName>
    <definedName name="Pi5_67" localSheetId="2">'ПОЛНАЯ СЕБЕСТОИМОСТЬ СТОКИ 2018'!_Pi5</definedName>
    <definedName name="Pi5_67" localSheetId="10">'Прил. 1 План ФХД вода табл. 2'!_Pi5</definedName>
    <definedName name="Pi5_67" localSheetId="9">'Прил. 1 План ФХД стоки табл 2'!_Pi5</definedName>
    <definedName name="Pi5_67" localSheetId="8">'Прил. 1 План ФХД табл 1'!_Pi5</definedName>
    <definedName name="Pi5_67" localSheetId="13">'Произв. прогр. Вода'!_Pi5</definedName>
    <definedName name="Pi5_67" localSheetId="14">'Произв. прогр. Вода (СВОД)'!_Pi5</definedName>
    <definedName name="Pi5_67" localSheetId="12">'Произв. прогр. Стоки'!_Pi5</definedName>
    <definedName name="Pi5_67" localSheetId="11">'Произв. прогр. Стоки (СВОД)'!_Pi5</definedName>
    <definedName name="Pi5_67" localSheetId="41">'Расчет налог. обяз. 2018'!_Pi5</definedName>
    <definedName name="Pi5_67" localSheetId="42">'рез к 2017'!_Pi5</definedName>
    <definedName name="Pi5_67" localSheetId="46">'рез к 2018'!_Pi5</definedName>
    <definedName name="Pi5_67" localSheetId="22">ТН!_Pi5</definedName>
    <definedName name="Pi5_67" localSheetId="3">'ФАКТ. СЕБЕСТ ВОДА 1 пол.2018'!_Pi5</definedName>
    <definedName name="Pi5_67" localSheetId="1">'ФАКТ. СЕБЕСТ. СТОКИ 1 пол. 2018'!_Pi5</definedName>
    <definedName name="Pi5_67">_Pi5</definedName>
    <definedName name="Pi5_70" localSheetId="21">А!_Pi5</definedName>
    <definedName name="Pi5_70" localSheetId="43">'вод.налог 2018'!_Pi5</definedName>
    <definedName name="Pi5_70" localSheetId="33">'ЗП с факт 3 кв. 2015'!_Pi5</definedName>
    <definedName name="Pi5_70" localSheetId="44">'имушество 2018'!_Pi5</definedName>
    <definedName name="Pi5_70" localSheetId="40">'налоги 2018'!_Pi5</definedName>
    <definedName name="Pi5_70" localSheetId="4">'ПОЛНАЯ СЕБЕСТОИМОСТЬ ВОДА 2018'!_Pi5</definedName>
    <definedName name="Pi5_70" localSheetId="2">'ПОЛНАЯ СЕБЕСТОИМОСТЬ СТОКИ 2018'!_Pi5</definedName>
    <definedName name="Pi5_70" localSheetId="10">'Прил. 1 План ФХД вода табл. 2'!_Pi5</definedName>
    <definedName name="Pi5_70" localSheetId="9">'Прил. 1 План ФХД стоки табл 2'!_Pi5</definedName>
    <definedName name="Pi5_70" localSheetId="8">'Прил. 1 План ФХД табл 1'!_Pi5</definedName>
    <definedName name="Pi5_70" localSheetId="13">'Произв. прогр. Вода'!_Pi5</definedName>
    <definedName name="Pi5_70" localSheetId="14">'Произв. прогр. Вода (СВОД)'!_Pi5</definedName>
    <definedName name="Pi5_70" localSheetId="12">'Произв. прогр. Стоки'!_Pi5</definedName>
    <definedName name="Pi5_70" localSheetId="11">'Произв. прогр. Стоки (СВОД)'!_Pi5</definedName>
    <definedName name="Pi5_70" localSheetId="41">'Расчет налог. обяз. 2018'!_Pi5</definedName>
    <definedName name="Pi5_70" localSheetId="42">'рез к 2017'!_Pi5</definedName>
    <definedName name="Pi5_70" localSheetId="46">'рез к 2018'!_Pi5</definedName>
    <definedName name="Pi5_70" localSheetId="22">ТН!_Pi5</definedName>
    <definedName name="Pi5_70" localSheetId="3">'ФАКТ. СЕБЕСТ ВОДА 1 пол.2018'!_Pi5</definedName>
    <definedName name="Pi5_70" localSheetId="1">'ФАКТ. СЕБЕСТ. СТОКИ 1 пол. 2018'!_Pi5</definedName>
    <definedName name="Pi5_70">_Pi5</definedName>
    <definedName name="Pi5_71" localSheetId="21">А!_Pi5</definedName>
    <definedName name="Pi5_71" localSheetId="43">'вод.налог 2018'!_Pi5</definedName>
    <definedName name="Pi5_71" localSheetId="33">'ЗП с факт 3 кв. 2015'!_Pi5</definedName>
    <definedName name="Pi5_71" localSheetId="44">'имушество 2018'!_Pi5</definedName>
    <definedName name="Pi5_71" localSheetId="40">'налоги 2018'!_Pi5</definedName>
    <definedName name="Pi5_71" localSheetId="4">'ПОЛНАЯ СЕБЕСТОИМОСТЬ ВОДА 2018'!_Pi5</definedName>
    <definedName name="Pi5_71" localSheetId="2">'ПОЛНАЯ СЕБЕСТОИМОСТЬ СТОКИ 2018'!_Pi5</definedName>
    <definedName name="Pi5_71" localSheetId="10">'Прил. 1 План ФХД вода табл. 2'!_Pi5</definedName>
    <definedName name="Pi5_71" localSheetId="9">'Прил. 1 План ФХД стоки табл 2'!_Pi5</definedName>
    <definedName name="Pi5_71" localSheetId="8">'Прил. 1 План ФХД табл 1'!_Pi5</definedName>
    <definedName name="Pi5_71" localSheetId="13">'Произв. прогр. Вода'!_Pi5</definedName>
    <definedName name="Pi5_71" localSheetId="14">'Произв. прогр. Вода (СВОД)'!_Pi5</definedName>
    <definedName name="Pi5_71" localSheetId="12">'Произв. прогр. Стоки'!_Pi5</definedName>
    <definedName name="Pi5_71" localSheetId="11">'Произв. прогр. Стоки (СВОД)'!_Pi5</definedName>
    <definedName name="Pi5_71" localSheetId="41">'Расчет налог. обяз. 2018'!_Pi5</definedName>
    <definedName name="Pi5_71" localSheetId="42">'рез к 2017'!_Pi5</definedName>
    <definedName name="Pi5_71" localSheetId="46">'рез к 2018'!_Pi5</definedName>
    <definedName name="Pi5_71" localSheetId="22">ТН!_Pi5</definedName>
    <definedName name="Pi5_71" localSheetId="3">'ФАКТ. СЕБЕСТ ВОДА 1 пол.2018'!_Pi5</definedName>
    <definedName name="Pi5_71" localSheetId="1">'ФАКТ. СЕБЕСТ. СТОКИ 1 пол. 2018'!_Pi5</definedName>
    <definedName name="Pi5_71">_Pi5</definedName>
    <definedName name="Pi5_72" localSheetId="21">А!_Pi5</definedName>
    <definedName name="Pi5_72" localSheetId="43">'вод.налог 2018'!_Pi5</definedName>
    <definedName name="Pi5_72" localSheetId="33">'ЗП с факт 3 кв. 2015'!_Pi5</definedName>
    <definedName name="Pi5_72" localSheetId="44">'имушество 2018'!_Pi5</definedName>
    <definedName name="Pi5_72" localSheetId="40">'налоги 2018'!_Pi5</definedName>
    <definedName name="Pi5_72" localSheetId="4">'ПОЛНАЯ СЕБЕСТОИМОСТЬ ВОДА 2018'!_Pi5</definedName>
    <definedName name="Pi5_72" localSheetId="2">'ПОЛНАЯ СЕБЕСТОИМОСТЬ СТОКИ 2018'!_Pi5</definedName>
    <definedName name="Pi5_72" localSheetId="10">'Прил. 1 План ФХД вода табл. 2'!_Pi5</definedName>
    <definedName name="Pi5_72" localSheetId="9">'Прил. 1 План ФХД стоки табл 2'!_Pi5</definedName>
    <definedName name="Pi5_72" localSheetId="8">'Прил. 1 План ФХД табл 1'!_Pi5</definedName>
    <definedName name="Pi5_72" localSheetId="13">'Произв. прогр. Вода'!_Pi5</definedName>
    <definedName name="Pi5_72" localSheetId="14">'Произв. прогр. Вода (СВОД)'!_Pi5</definedName>
    <definedName name="Pi5_72" localSheetId="12">'Произв. прогр. Стоки'!_Pi5</definedName>
    <definedName name="Pi5_72" localSheetId="11">'Произв. прогр. Стоки (СВОД)'!_Pi5</definedName>
    <definedName name="Pi5_72" localSheetId="41">'Расчет налог. обяз. 2018'!_Pi5</definedName>
    <definedName name="Pi5_72" localSheetId="42">'рез к 2017'!_Pi5</definedName>
    <definedName name="Pi5_72" localSheetId="46">'рез к 2018'!_Pi5</definedName>
    <definedName name="Pi5_72" localSheetId="22">ТН!_Pi5</definedName>
    <definedName name="Pi5_72" localSheetId="3">'ФАКТ. СЕБЕСТ ВОДА 1 пол.2018'!_Pi5</definedName>
    <definedName name="Pi5_72" localSheetId="1">'ФАКТ. СЕБЕСТ. СТОКИ 1 пол. 2018'!_Pi5</definedName>
    <definedName name="Pi5_72">_Pi5</definedName>
    <definedName name="Pi5_74" localSheetId="21">А!_Pi5</definedName>
    <definedName name="Pi5_74" localSheetId="43">'вод.налог 2018'!_Pi5</definedName>
    <definedName name="Pi5_74" localSheetId="33">'ЗП с факт 3 кв. 2015'!_Pi5</definedName>
    <definedName name="Pi5_74" localSheetId="44">'имушество 2018'!_Pi5</definedName>
    <definedName name="Pi5_74" localSheetId="40">'налоги 2018'!_Pi5</definedName>
    <definedName name="Pi5_74" localSheetId="4">'ПОЛНАЯ СЕБЕСТОИМОСТЬ ВОДА 2018'!_Pi5</definedName>
    <definedName name="Pi5_74" localSheetId="2">'ПОЛНАЯ СЕБЕСТОИМОСТЬ СТОКИ 2018'!_Pi5</definedName>
    <definedName name="Pi5_74" localSheetId="10">'Прил. 1 План ФХД вода табл. 2'!_Pi5</definedName>
    <definedName name="Pi5_74" localSheetId="9">'Прил. 1 План ФХД стоки табл 2'!_Pi5</definedName>
    <definedName name="Pi5_74" localSheetId="8">'Прил. 1 План ФХД табл 1'!_Pi5</definedName>
    <definedName name="Pi5_74" localSheetId="13">'Произв. прогр. Вода'!_Pi5</definedName>
    <definedName name="Pi5_74" localSheetId="14">'Произв. прогр. Вода (СВОД)'!_Pi5</definedName>
    <definedName name="Pi5_74" localSheetId="12">'Произв. прогр. Стоки'!_Pi5</definedName>
    <definedName name="Pi5_74" localSheetId="11">'Произв. прогр. Стоки (СВОД)'!_Pi5</definedName>
    <definedName name="Pi5_74" localSheetId="41">'Расчет налог. обяз. 2018'!_Pi5</definedName>
    <definedName name="Pi5_74" localSheetId="42">'рез к 2017'!_Pi5</definedName>
    <definedName name="Pi5_74" localSheetId="46">'рез к 2018'!_Pi5</definedName>
    <definedName name="Pi5_74" localSheetId="22">ТН!_Pi5</definedName>
    <definedName name="Pi5_74" localSheetId="3">'ФАКТ. СЕБЕСТ ВОДА 1 пол.2018'!_Pi5</definedName>
    <definedName name="Pi5_74" localSheetId="1">'ФАКТ. СЕБЕСТ. СТОКИ 1 пол. 2018'!_Pi5</definedName>
    <definedName name="Pi5_74">_Pi5</definedName>
    <definedName name="Pi5_9" localSheetId="21">А!_Pi5</definedName>
    <definedName name="Pi5_9" localSheetId="43">'вод.налог 2018'!_Pi5</definedName>
    <definedName name="Pi5_9" localSheetId="33">'ЗП с факт 3 кв. 2015'!_Pi5</definedName>
    <definedName name="Pi5_9" localSheetId="44">'имушество 2018'!_Pi5</definedName>
    <definedName name="Pi5_9" localSheetId="40">'налоги 2018'!_Pi5</definedName>
    <definedName name="Pi5_9" localSheetId="4">'ПОЛНАЯ СЕБЕСТОИМОСТЬ ВОДА 2018'!_Pi5</definedName>
    <definedName name="Pi5_9" localSheetId="2">'ПОЛНАЯ СЕБЕСТОИМОСТЬ СТОКИ 2018'!_Pi5</definedName>
    <definedName name="Pi5_9" localSheetId="10">'Прил. 1 План ФХД вода табл. 2'!_Pi5</definedName>
    <definedName name="Pi5_9" localSheetId="9">'Прил. 1 План ФХД стоки табл 2'!_Pi5</definedName>
    <definedName name="Pi5_9" localSheetId="8">'Прил. 1 План ФХД табл 1'!_Pi5</definedName>
    <definedName name="Pi5_9" localSheetId="13">'Произв. прогр. Вода'!_Pi5</definedName>
    <definedName name="Pi5_9" localSheetId="14">'Произв. прогр. Вода (СВОД)'!_Pi5</definedName>
    <definedName name="Pi5_9" localSheetId="12">'Произв. прогр. Стоки'!_Pi5</definedName>
    <definedName name="Pi5_9" localSheetId="11">'Произв. прогр. Стоки (СВОД)'!_Pi5</definedName>
    <definedName name="Pi5_9" localSheetId="41">'Расчет налог. обяз. 2018'!_Pi5</definedName>
    <definedName name="Pi5_9" localSheetId="42">'рез к 2017'!_Pi5</definedName>
    <definedName name="Pi5_9" localSheetId="46">'рез к 2018'!_Pi5</definedName>
    <definedName name="Pi5_9" localSheetId="22">ТН!_Pi5</definedName>
    <definedName name="Pi5_9" localSheetId="3">'ФАКТ. СЕБЕСТ ВОДА 1 пол.2018'!_Pi5</definedName>
    <definedName name="Pi5_9" localSheetId="1">'ФАКТ. СЕБЕСТ. СТОКИ 1 пол. 2018'!_Pi5</definedName>
    <definedName name="Pi5_9">_Pi5</definedName>
    <definedName name="TEMPLATE_SPHERE">[7]TECHSHEET!$G$2</definedName>
    <definedName name="TEMPLATE_SPHERE_CODE">[7]TECHSHEET!$G$37</definedName>
    <definedName name="аа" localSheetId="21">А!аа</definedName>
    <definedName name="аа" localSheetId="43">'вод.налог 2018'!аа</definedName>
    <definedName name="аа" localSheetId="33">'ЗП с факт 3 кв. 2015'!аа</definedName>
    <definedName name="аа" localSheetId="44">'имушество 2018'!аа</definedName>
    <definedName name="аа" localSheetId="40">'налоги 2018'!аа</definedName>
    <definedName name="аа" localSheetId="4">#N/A</definedName>
    <definedName name="аа" localSheetId="2">#N/A</definedName>
    <definedName name="аа" localSheetId="10">#N/A</definedName>
    <definedName name="аа" localSheetId="9">#N/A</definedName>
    <definedName name="аа" localSheetId="8">#N/A</definedName>
    <definedName name="аа" localSheetId="13">#N/A</definedName>
    <definedName name="аа" localSheetId="14">#N/A</definedName>
    <definedName name="аа" localSheetId="12">#N/A</definedName>
    <definedName name="аа" localSheetId="11">#N/A</definedName>
    <definedName name="аа" localSheetId="41">'Расчет налог. обяз. 2018'!аа</definedName>
    <definedName name="аа" localSheetId="42">'рез к 2017'!аа</definedName>
    <definedName name="аа" localSheetId="46">'рез к 2018'!аа</definedName>
    <definedName name="аа" localSheetId="22">ТН!аа</definedName>
    <definedName name="аа" localSheetId="3">#N/A</definedName>
    <definedName name="аа" localSheetId="1">#N/A</definedName>
    <definedName name="аа">'ЗП с факт 3 кв. 2015'!аа</definedName>
    <definedName name="аа_10" localSheetId="21">А!аа</definedName>
    <definedName name="аа_10" localSheetId="43">'вод.налог 2018'!аа</definedName>
    <definedName name="аа_10" localSheetId="33">'ЗП с факт 3 кв. 2015'!аа</definedName>
    <definedName name="аа_10" localSheetId="44">'имушество 2018'!аа</definedName>
    <definedName name="аа_10" localSheetId="40">'налоги 2018'!аа</definedName>
    <definedName name="аа_10" localSheetId="4">'ПОЛНАЯ СЕБЕСТОИМОСТЬ ВОДА 2018'!аа</definedName>
    <definedName name="аа_10" localSheetId="2">'ПОЛНАЯ СЕБЕСТОИМОСТЬ СТОКИ 2018'!аа</definedName>
    <definedName name="аа_10" localSheetId="10">'Прил. 1 План ФХД вода табл. 2'!аа</definedName>
    <definedName name="аа_10" localSheetId="9">'Прил. 1 План ФХД стоки табл 2'!аа</definedName>
    <definedName name="аа_10" localSheetId="8">'Прил. 1 План ФХД табл 1'!аа</definedName>
    <definedName name="аа_10" localSheetId="13">'Произв. прогр. Вода'!аа</definedName>
    <definedName name="аа_10" localSheetId="14">'Произв. прогр. Вода (СВОД)'!аа</definedName>
    <definedName name="аа_10" localSheetId="12">'Произв. прогр. Стоки'!аа</definedName>
    <definedName name="аа_10" localSheetId="11">'Произв. прогр. Стоки (СВОД)'!аа</definedName>
    <definedName name="аа_10" localSheetId="41">'Расчет налог. обяз. 2018'!аа</definedName>
    <definedName name="аа_10" localSheetId="42">'рез к 2017'!аа</definedName>
    <definedName name="аа_10" localSheetId="46">'рез к 2018'!аа</definedName>
    <definedName name="аа_10" localSheetId="22">ТН!аа</definedName>
    <definedName name="аа_10" localSheetId="3">'ФАКТ. СЕБЕСТ ВОДА 1 пол.2018'!аа</definedName>
    <definedName name="аа_10" localSheetId="1">'ФАКТ. СЕБЕСТ. СТОКИ 1 пол. 2018'!аа</definedName>
    <definedName name="аа_10">[0]!аа</definedName>
    <definedName name="аа_14" localSheetId="21">А!аа</definedName>
    <definedName name="аа_14" localSheetId="43">'вод.налог 2018'!аа</definedName>
    <definedName name="аа_14" localSheetId="33">'ЗП с факт 3 кв. 2015'!аа</definedName>
    <definedName name="аа_14" localSheetId="44">'имушество 2018'!аа</definedName>
    <definedName name="аа_14" localSheetId="40">'налоги 2018'!аа</definedName>
    <definedName name="аа_14" localSheetId="4">'ПОЛНАЯ СЕБЕСТОИМОСТЬ ВОДА 2018'!аа</definedName>
    <definedName name="аа_14" localSheetId="2">'ПОЛНАЯ СЕБЕСТОИМОСТЬ СТОКИ 2018'!аа</definedName>
    <definedName name="аа_14" localSheetId="10">'Прил. 1 План ФХД вода табл. 2'!аа</definedName>
    <definedName name="аа_14" localSheetId="9">'Прил. 1 План ФХД стоки табл 2'!аа</definedName>
    <definedName name="аа_14" localSheetId="8">'Прил. 1 План ФХД табл 1'!аа</definedName>
    <definedName name="аа_14" localSheetId="13">'Произв. прогр. Вода'!аа</definedName>
    <definedName name="аа_14" localSheetId="14">'Произв. прогр. Вода (СВОД)'!аа</definedName>
    <definedName name="аа_14" localSheetId="12">'Произв. прогр. Стоки'!аа</definedName>
    <definedName name="аа_14" localSheetId="11">'Произв. прогр. Стоки (СВОД)'!аа</definedName>
    <definedName name="аа_14" localSheetId="41">'Расчет налог. обяз. 2018'!аа</definedName>
    <definedName name="аа_14" localSheetId="42">'рез к 2017'!аа</definedName>
    <definedName name="аа_14" localSheetId="46">'рез к 2018'!аа</definedName>
    <definedName name="аа_14" localSheetId="22">ТН!аа</definedName>
    <definedName name="аа_14" localSheetId="3">'ФАКТ. СЕБЕСТ ВОДА 1 пол.2018'!аа</definedName>
    <definedName name="аа_14" localSheetId="1">'ФАКТ. СЕБЕСТ. СТОКИ 1 пол. 2018'!аа</definedName>
    <definedName name="аа_14">[0]!аа</definedName>
    <definedName name="аа_15" localSheetId="21">А!аа</definedName>
    <definedName name="аа_15" localSheetId="43">'вод.налог 2018'!аа</definedName>
    <definedName name="аа_15" localSheetId="33">'ЗП с факт 3 кв. 2015'!аа</definedName>
    <definedName name="аа_15" localSheetId="44">'имушество 2018'!аа</definedName>
    <definedName name="аа_15" localSheetId="40">'налоги 2018'!аа</definedName>
    <definedName name="аа_15" localSheetId="4">'ПОЛНАЯ СЕБЕСТОИМОСТЬ ВОДА 2018'!аа</definedName>
    <definedName name="аа_15" localSheetId="2">'ПОЛНАЯ СЕБЕСТОИМОСТЬ СТОКИ 2018'!аа</definedName>
    <definedName name="аа_15" localSheetId="10">'Прил. 1 План ФХД вода табл. 2'!аа</definedName>
    <definedName name="аа_15" localSheetId="9">'Прил. 1 План ФХД стоки табл 2'!аа</definedName>
    <definedName name="аа_15" localSheetId="8">'Прил. 1 План ФХД табл 1'!аа</definedName>
    <definedName name="аа_15" localSheetId="13">'Произв. прогр. Вода'!аа</definedName>
    <definedName name="аа_15" localSheetId="14">'Произв. прогр. Вода (СВОД)'!аа</definedName>
    <definedName name="аа_15" localSheetId="12">'Произв. прогр. Стоки'!аа</definedName>
    <definedName name="аа_15" localSheetId="11">'Произв. прогр. Стоки (СВОД)'!аа</definedName>
    <definedName name="аа_15" localSheetId="41">'Расчет налог. обяз. 2018'!аа</definedName>
    <definedName name="аа_15" localSheetId="42">'рез к 2017'!аа</definedName>
    <definedName name="аа_15" localSheetId="46">'рез к 2018'!аа</definedName>
    <definedName name="аа_15" localSheetId="22">ТН!аа</definedName>
    <definedName name="аа_15" localSheetId="3">'ФАКТ. СЕБЕСТ ВОДА 1 пол.2018'!аа</definedName>
    <definedName name="аа_15" localSheetId="1">'ФАКТ. СЕБЕСТ. СТОКИ 1 пол. 2018'!аа</definedName>
    <definedName name="аа_15">[0]!аа</definedName>
    <definedName name="аа_16" localSheetId="21">А!аа</definedName>
    <definedName name="аа_16" localSheetId="43">'вод.налог 2018'!аа</definedName>
    <definedName name="аа_16" localSheetId="33">'ЗП с факт 3 кв. 2015'!аа</definedName>
    <definedName name="аа_16" localSheetId="44">'имушество 2018'!аа</definedName>
    <definedName name="аа_16" localSheetId="40">'налоги 2018'!аа</definedName>
    <definedName name="аа_16" localSheetId="4">'ПОЛНАЯ СЕБЕСТОИМОСТЬ ВОДА 2018'!аа</definedName>
    <definedName name="аа_16" localSheetId="2">'ПОЛНАЯ СЕБЕСТОИМОСТЬ СТОКИ 2018'!аа</definedName>
    <definedName name="аа_16" localSheetId="10">'Прил. 1 План ФХД вода табл. 2'!аа</definedName>
    <definedName name="аа_16" localSheetId="9">'Прил. 1 План ФХД стоки табл 2'!аа</definedName>
    <definedName name="аа_16" localSheetId="8">'Прил. 1 План ФХД табл 1'!аа</definedName>
    <definedName name="аа_16" localSheetId="13">'Произв. прогр. Вода'!аа</definedName>
    <definedName name="аа_16" localSheetId="14">'Произв. прогр. Вода (СВОД)'!аа</definedName>
    <definedName name="аа_16" localSheetId="12">'Произв. прогр. Стоки'!аа</definedName>
    <definedName name="аа_16" localSheetId="11">'Произв. прогр. Стоки (СВОД)'!аа</definedName>
    <definedName name="аа_16" localSheetId="41">'Расчет налог. обяз. 2018'!аа</definedName>
    <definedName name="аа_16" localSheetId="42">'рез к 2017'!аа</definedName>
    <definedName name="аа_16" localSheetId="46">'рез к 2018'!аа</definedName>
    <definedName name="аа_16" localSheetId="22">ТН!аа</definedName>
    <definedName name="аа_16" localSheetId="3">'ФАКТ. СЕБЕСТ ВОДА 1 пол.2018'!аа</definedName>
    <definedName name="аа_16" localSheetId="1">'ФАКТ. СЕБЕСТ. СТОКИ 1 пол. 2018'!аа</definedName>
    <definedName name="аа_16">[0]!аа</definedName>
    <definedName name="аа_2" localSheetId="21">А!аа</definedName>
    <definedName name="аа_2" localSheetId="43">'вод.налог 2018'!аа</definedName>
    <definedName name="аа_2" localSheetId="33">'ЗП с факт 3 кв. 2015'!аа</definedName>
    <definedName name="аа_2" localSheetId="44">'имушество 2018'!аа</definedName>
    <definedName name="аа_2" localSheetId="40">'налоги 2018'!аа</definedName>
    <definedName name="аа_2" localSheetId="4">'ПОЛНАЯ СЕБЕСТОИМОСТЬ ВОДА 2018'!аа</definedName>
    <definedName name="аа_2" localSheetId="2">'ПОЛНАЯ СЕБЕСТОИМОСТЬ СТОКИ 2018'!аа</definedName>
    <definedName name="аа_2" localSheetId="10">'Прил. 1 План ФХД вода табл. 2'!аа</definedName>
    <definedName name="аа_2" localSheetId="9">'Прил. 1 План ФХД стоки табл 2'!аа</definedName>
    <definedName name="аа_2" localSheetId="8">'Прил. 1 План ФХД табл 1'!аа</definedName>
    <definedName name="аа_2" localSheetId="13">'Произв. прогр. Вода'!аа</definedName>
    <definedName name="аа_2" localSheetId="14">'Произв. прогр. Вода (СВОД)'!аа</definedName>
    <definedName name="аа_2" localSheetId="12">'Произв. прогр. Стоки'!аа</definedName>
    <definedName name="аа_2" localSheetId="11">'Произв. прогр. Стоки (СВОД)'!аа</definedName>
    <definedName name="аа_2" localSheetId="41">'Расчет налог. обяз. 2018'!аа</definedName>
    <definedName name="аа_2" localSheetId="42">'рез к 2017'!аа</definedName>
    <definedName name="аа_2" localSheetId="46">'рез к 2018'!аа</definedName>
    <definedName name="аа_2" localSheetId="22">ТН!аа</definedName>
    <definedName name="аа_2" localSheetId="3">'ФАКТ. СЕБЕСТ ВОДА 1 пол.2018'!аа</definedName>
    <definedName name="аа_2" localSheetId="1">'ФАКТ. СЕБЕСТ. СТОКИ 1 пол. 2018'!аа</definedName>
    <definedName name="аа_2">[0]!аа</definedName>
    <definedName name="апапа" localSheetId="21">А!_Pi4</definedName>
    <definedName name="апапа" localSheetId="43">'вод.налог 2018'!_Pi4</definedName>
    <definedName name="апапа" localSheetId="33">'ЗП с факт 3 кв. 2015'!_Pi4</definedName>
    <definedName name="апапа" localSheetId="44">'имушество 2018'!_Pi4</definedName>
    <definedName name="апапа" localSheetId="40">'налоги 2018'!_Pi4</definedName>
    <definedName name="апапа" localSheetId="4">'ПОЛНАЯ СЕБЕСТОИМОСТЬ ВОДА 2018'!_Pi4</definedName>
    <definedName name="апапа" localSheetId="2">'ПОЛНАЯ СЕБЕСТОИМОСТЬ СТОКИ 2018'!_Pi4</definedName>
    <definedName name="апапа" localSheetId="10">'Прил. 1 План ФХД вода табл. 2'!_Pi4</definedName>
    <definedName name="апапа" localSheetId="9">'Прил. 1 План ФХД стоки табл 2'!_Pi4</definedName>
    <definedName name="апапа" localSheetId="8">'Прил. 1 План ФХД табл 1'!_Pi4</definedName>
    <definedName name="апапа" localSheetId="13">'Произв. прогр. Вода'!_Pi4</definedName>
    <definedName name="апапа" localSheetId="14">'Произв. прогр. Вода (СВОД)'!_Pi4</definedName>
    <definedName name="апапа" localSheetId="12">'Произв. прогр. Стоки'!_Pi4</definedName>
    <definedName name="апапа" localSheetId="11">'Произв. прогр. Стоки (СВОД)'!_Pi4</definedName>
    <definedName name="апапа" localSheetId="41">'Расчет налог. обяз. 2018'!_Pi4</definedName>
    <definedName name="апапа" localSheetId="42">'рез к 2017'!_Pi4</definedName>
    <definedName name="апапа" localSheetId="46">'рез к 2018'!_Pi4</definedName>
    <definedName name="апапа" localSheetId="22">ТН!_Pi4</definedName>
    <definedName name="апапа" localSheetId="3">'ФАКТ. СЕБЕСТ ВОДА 1 пол.2018'!_Pi4</definedName>
    <definedName name="апапа" localSheetId="1">'ФАКТ. СЕБЕСТ. СТОКИ 1 пол. 2018'!_Pi4</definedName>
    <definedName name="апапа">[0]!_Pi4</definedName>
    <definedName name="апапа_1" localSheetId="21">А!_Pi4</definedName>
    <definedName name="апапа_1" localSheetId="43">'вод.налог 2018'!_Pi4</definedName>
    <definedName name="апапа_1" localSheetId="33">'ЗП с факт 3 кв. 2015'!_Pi4</definedName>
    <definedName name="апапа_1" localSheetId="44">'имушество 2018'!_Pi4</definedName>
    <definedName name="апапа_1" localSheetId="40">'налоги 2018'!_Pi4</definedName>
    <definedName name="апапа_1" localSheetId="4">'ПОЛНАЯ СЕБЕСТОИМОСТЬ ВОДА 2018'!_Pi4</definedName>
    <definedName name="апапа_1" localSheetId="2">'ПОЛНАЯ СЕБЕСТОИМОСТЬ СТОКИ 2018'!_Pi4</definedName>
    <definedName name="апапа_1" localSheetId="10">'Прил. 1 План ФХД вода табл. 2'!_Pi4</definedName>
    <definedName name="апапа_1" localSheetId="9">'Прил. 1 План ФХД стоки табл 2'!_Pi4</definedName>
    <definedName name="апапа_1" localSheetId="8">'Прил. 1 План ФХД табл 1'!_Pi4</definedName>
    <definedName name="апапа_1" localSheetId="13">'Произв. прогр. Вода'!_Pi4</definedName>
    <definedName name="апапа_1" localSheetId="14">'Произв. прогр. Вода (СВОД)'!_Pi4</definedName>
    <definedName name="апапа_1" localSheetId="12">'Произв. прогр. Стоки'!_Pi4</definedName>
    <definedName name="апапа_1" localSheetId="11">'Произв. прогр. Стоки (СВОД)'!_Pi4</definedName>
    <definedName name="апапа_1" localSheetId="41">'Расчет налог. обяз. 2018'!_Pi4</definedName>
    <definedName name="апапа_1" localSheetId="42">'рез к 2017'!_Pi4</definedName>
    <definedName name="апапа_1" localSheetId="46">'рез к 2018'!_Pi4</definedName>
    <definedName name="апапа_1" localSheetId="22">ТН!_Pi4</definedName>
    <definedName name="апапа_1" localSheetId="3">'ФАКТ. СЕБЕСТ ВОДА 1 пол.2018'!_Pi4</definedName>
    <definedName name="апапа_1" localSheetId="1">'ФАКТ. СЕБЕСТ. СТОКИ 1 пол. 2018'!_Pi4</definedName>
    <definedName name="апапа_1">[0]!_Pi4</definedName>
    <definedName name="апапа_13" localSheetId="21">А!_Pi4</definedName>
    <definedName name="апапа_13" localSheetId="43">'вод.налог 2018'!_Pi4</definedName>
    <definedName name="апапа_13" localSheetId="33">'ЗП с факт 3 кв. 2015'!_Pi4</definedName>
    <definedName name="апапа_13" localSheetId="44">'имушество 2018'!_Pi4</definedName>
    <definedName name="апапа_13" localSheetId="40">'налоги 2018'!_Pi4</definedName>
    <definedName name="апапа_13" localSheetId="4">'ПОЛНАЯ СЕБЕСТОИМОСТЬ ВОДА 2018'!_Pi4</definedName>
    <definedName name="апапа_13" localSheetId="2">'ПОЛНАЯ СЕБЕСТОИМОСТЬ СТОКИ 2018'!_Pi4</definedName>
    <definedName name="апапа_13" localSheetId="10">'Прил. 1 План ФХД вода табл. 2'!_Pi4</definedName>
    <definedName name="апапа_13" localSheetId="9">'Прил. 1 План ФХД стоки табл 2'!_Pi4</definedName>
    <definedName name="апапа_13" localSheetId="8">'Прил. 1 План ФХД табл 1'!_Pi4</definedName>
    <definedName name="апапа_13" localSheetId="13">'Произв. прогр. Вода'!_Pi4</definedName>
    <definedName name="апапа_13" localSheetId="14">'Произв. прогр. Вода (СВОД)'!_Pi4</definedName>
    <definedName name="апапа_13" localSheetId="12">'Произв. прогр. Стоки'!_Pi4</definedName>
    <definedName name="апапа_13" localSheetId="11">'Произв. прогр. Стоки (СВОД)'!_Pi4</definedName>
    <definedName name="апапа_13" localSheetId="41">'Расчет налог. обяз. 2018'!_Pi4</definedName>
    <definedName name="апапа_13" localSheetId="42">'рез к 2017'!_Pi4</definedName>
    <definedName name="апапа_13" localSheetId="46">'рез к 2018'!_Pi4</definedName>
    <definedName name="апапа_13" localSheetId="22">ТН!_Pi4</definedName>
    <definedName name="апапа_13" localSheetId="3">'ФАКТ. СЕБЕСТ ВОДА 1 пол.2018'!_Pi4</definedName>
    <definedName name="апапа_13" localSheetId="1">'ФАКТ. СЕБЕСТ. СТОКИ 1 пол. 2018'!_Pi4</definedName>
    <definedName name="апапа_13">[0]!_Pi4</definedName>
    <definedName name="апапа_2" localSheetId="21">А!_Pi4</definedName>
    <definedName name="апапа_2" localSheetId="43">'вод.налог 2018'!_Pi4</definedName>
    <definedName name="апапа_2" localSheetId="33">'ЗП с факт 3 кв. 2015'!_Pi4</definedName>
    <definedName name="апапа_2" localSheetId="44">'имушество 2018'!_Pi4</definedName>
    <definedName name="апапа_2" localSheetId="40">'налоги 2018'!_Pi4</definedName>
    <definedName name="апапа_2" localSheetId="4">'ПОЛНАЯ СЕБЕСТОИМОСТЬ ВОДА 2018'!_Pi4</definedName>
    <definedName name="апапа_2" localSheetId="2">'ПОЛНАЯ СЕБЕСТОИМОСТЬ СТОКИ 2018'!_Pi4</definedName>
    <definedName name="апапа_2" localSheetId="10">'Прил. 1 План ФХД вода табл. 2'!_Pi4</definedName>
    <definedName name="апапа_2" localSheetId="9">'Прил. 1 План ФХД стоки табл 2'!_Pi4</definedName>
    <definedName name="апапа_2" localSheetId="8">'Прил. 1 План ФХД табл 1'!_Pi4</definedName>
    <definedName name="апапа_2" localSheetId="13">'Произв. прогр. Вода'!_Pi4</definedName>
    <definedName name="апапа_2" localSheetId="14">'Произв. прогр. Вода (СВОД)'!_Pi4</definedName>
    <definedName name="апапа_2" localSheetId="12">'Произв. прогр. Стоки'!_Pi4</definedName>
    <definedName name="апапа_2" localSheetId="11">'Произв. прогр. Стоки (СВОД)'!_Pi4</definedName>
    <definedName name="апапа_2" localSheetId="41">'Расчет налог. обяз. 2018'!_Pi4</definedName>
    <definedName name="апапа_2" localSheetId="42">'рез к 2017'!_Pi4</definedName>
    <definedName name="апапа_2" localSheetId="46">'рез к 2018'!_Pi4</definedName>
    <definedName name="апапа_2" localSheetId="22">ТН!_Pi4</definedName>
    <definedName name="апапа_2" localSheetId="3">'ФАКТ. СЕБЕСТ ВОДА 1 пол.2018'!_Pi4</definedName>
    <definedName name="апапа_2" localSheetId="1">'ФАКТ. СЕБЕСТ. СТОКИ 1 пол. 2018'!_Pi4</definedName>
    <definedName name="апапа_2">[0]!_Pi4</definedName>
    <definedName name="апквуцыыыыы">#N/A</definedName>
    <definedName name="б" localSheetId="21">А!б</definedName>
    <definedName name="б" localSheetId="43">'вод.налог 2018'!б</definedName>
    <definedName name="б" localSheetId="33">'ЗП с факт 3 кв. 2015'!б</definedName>
    <definedName name="б" localSheetId="44">'имушество 2018'!б</definedName>
    <definedName name="б" localSheetId="40">'налоги 2018'!б</definedName>
    <definedName name="б" localSheetId="4">#N/A</definedName>
    <definedName name="б" localSheetId="2">#N/A</definedName>
    <definedName name="б" localSheetId="10">#N/A</definedName>
    <definedName name="б" localSheetId="9">#N/A</definedName>
    <definedName name="б" localSheetId="8">#N/A</definedName>
    <definedName name="б" localSheetId="13">#N/A</definedName>
    <definedName name="б" localSheetId="14">#N/A</definedName>
    <definedName name="б" localSheetId="12">#N/A</definedName>
    <definedName name="б" localSheetId="11">#N/A</definedName>
    <definedName name="б" localSheetId="41">'Расчет налог. обяз. 2018'!б</definedName>
    <definedName name="б" localSheetId="42">'рез к 2017'!б</definedName>
    <definedName name="б" localSheetId="46">'рез к 2018'!б</definedName>
    <definedName name="б" localSheetId="22">ТН!б</definedName>
    <definedName name="б" localSheetId="3">#N/A</definedName>
    <definedName name="б" localSheetId="1">#N/A</definedName>
    <definedName name="б">'ЗП с факт 3 кв. 2015'!б</definedName>
    <definedName name="б_10" localSheetId="21">А!б</definedName>
    <definedName name="б_10" localSheetId="43">'вод.налог 2018'!б</definedName>
    <definedName name="б_10" localSheetId="33">'ЗП с факт 3 кв. 2015'!б</definedName>
    <definedName name="б_10" localSheetId="44">'имушество 2018'!б</definedName>
    <definedName name="б_10" localSheetId="40">'налоги 2018'!б</definedName>
    <definedName name="б_10" localSheetId="4">'ПОЛНАЯ СЕБЕСТОИМОСТЬ ВОДА 2018'!б</definedName>
    <definedName name="б_10" localSheetId="2">'ПОЛНАЯ СЕБЕСТОИМОСТЬ СТОКИ 2018'!б</definedName>
    <definedName name="б_10" localSheetId="10">'Прил. 1 План ФХД вода табл. 2'!б</definedName>
    <definedName name="б_10" localSheetId="9">'Прил. 1 План ФХД стоки табл 2'!б</definedName>
    <definedName name="б_10" localSheetId="8">'Прил. 1 План ФХД табл 1'!б</definedName>
    <definedName name="б_10" localSheetId="13">'Произв. прогр. Вода'!б</definedName>
    <definedName name="б_10" localSheetId="14">'Произв. прогр. Вода (СВОД)'!б</definedName>
    <definedName name="б_10" localSheetId="12">'Произв. прогр. Стоки'!б</definedName>
    <definedName name="б_10" localSheetId="11">'Произв. прогр. Стоки (СВОД)'!б</definedName>
    <definedName name="б_10" localSheetId="41">'Расчет налог. обяз. 2018'!б</definedName>
    <definedName name="б_10" localSheetId="42">'рез к 2017'!б</definedName>
    <definedName name="б_10" localSheetId="46">'рез к 2018'!б</definedName>
    <definedName name="б_10" localSheetId="22">ТН!б</definedName>
    <definedName name="б_10" localSheetId="3">'ФАКТ. СЕБЕСТ ВОДА 1 пол.2018'!б</definedName>
    <definedName name="б_10" localSheetId="1">'ФАКТ. СЕБЕСТ. СТОКИ 1 пол. 2018'!б</definedName>
    <definedName name="б_10">[0]!б</definedName>
    <definedName name="б_14" localSheetId="21">А!б</definedName>
    <definedName name="б_14" localSheetId="43">'вод.налог 2018'!б</definedName>
    <definedName name="б_14" localSheetId="33">'ЗП с факт 3 кв. 2015'!б</definedName>
    <definedName name="б_14" localSheetId="44">'имушество 2018'!б</definedName>
    <definedName name="б_14" localSheetId="40">'налоги 2018'!б</definedName>
    <definedName name="б_14" localSheetId="4">'ПОЛНАЯ СЕБЕСТОИМОСТЬ ВОДА 2018'!б</definedName>
    <definedName name="б_14" localSheetId="2">'ПОЛНАЯ СЕБЕСТОИМОСТЬ СТОКИ 2018'!б</definedName>
    <definedName name="б_14" localSheetId="10">'Прил. 1 План ФХД вода табл. 2'!б</definedName>
    <definedName name="б_14" localSheetId="9">'Прил. 1 План ФХД стоки табл 2'!б</definedName>
    <definedName name="б_14" localSheetId="8">'Прил. 1 План ФХД табл 1'!б</definedName>
    <definedName name="б_14" localSheetId="13">'Произв. прогр. Вода'!б</definedName>
    <definedName name="б_14" localSheetId="14">'Произв. прогр. Вода (СВОД)'!б</definedName>
    <definedName name="б_14" localSheetId="12">'Произв. прогр. Стоки'!б</definedName>
    <definedName name="б_14" localSheetId="11">'Произв. прогр. Стоки (СВОД)'!б</definedName>
    <definedName name="б_14" localSheetId="41">'Расчет налог. обяз. 2018'!б</definedName>
    <definedName name="б_14" localSheetId="42">'рез к 2017'!б</definedName>
    <definedName name="б_14" localSheetId="46">'рез к 2018'!б</definedName>
    <definedName name="б_14" localSheetId="22">ТН!б</definedName>
    <definedName name="б_14" localSheetId="3">'ФАКТ. СЕБЕСТ ВОДА 1 пол.2018'!б</definedName>
    <definedName name="б_14" localSheetId="1">'ФАКТ. СЕБЕСТ. СТОКИ 1 пол. 2018'!б</definedName>
    <definedName name="б_14">[0]!б</definedName>
    <definedName name="б_15" localSheetId="21">А!б</definedName>
    <definedName name="б_15" localSheetId="43">'вод.налог 2018'!б</definedName>
    <definedName name="б_15" localSheetId="33">'ЗП с факт 3 кв. 2015'!б</definedName>
    <definedName name="б_15" localSheetId="44">'имушество 2018'!б</definedName>
    <definedName name="б_15" localSheetId="40">'налоги 2018'!б</definedName>
    <definedName name="б_15" localSheetId="4">'ПОЛНАЯ СЕБЕСТОИМОСТЬ ВОДА 2018'!б</definedName>
    <definedName name="б_15" localSheetId="2">'ПОЛНАЯ СЕБЕСТОИМОСТЬ СТОКИ 2018'!б</definedName>
    <definedName name="б_15" localSheetId="10">'Прил. 1 План ФХД вода табл. 2'!б</definedName>
    <definedName name="б_15" localSheetId="9">'Прил. 1 План ФХД стоки табл 2'!б</definedName>
    <definedName name="б_15" localSheetId="8">'Прил. 1 План ФХД табл 1'!б</definedName>
    <definedName name="б_15" localSheetId="13">'Произв. прогр. Вода'!б</definedName>
    <definedName name="б_15" localSheetId="14">'Произв. прогр. Вода (СВОД)'!б</definedName>
    <definedName name="б_15" localSheetId="12">'Произв. прогр. Стоки'!б</definedName>
    <definedName name="б_15" localSheetId="11">'Произв. прогр. Стоки (СВОД)'!б</definedName>
    <definedName name="б_15" localSheetId="41">'Расчет налог. обяз. 2018'!б</definedName>
    <definedName name="б_15" localSheetId="42">'рез к 2017'!б</definedName>
    <definedName name="б_15" localSheetId="46">'рез к 2018'!б</definedName>
    <definedName name="б_15" localSheetId="22">ТН!б</definedName>
    <definedName name="б_15" localSheetId="3">'ФАКТ. СЕБЕСТ ВОДА 1 пол.2018'!б</definedName>
    <definedName name="б_15" localSheetId="1">'ФАКТ. СЕБЕСТ. СТОКИ 1 пол. 2018'!б</definedName>
    <definedName name="б_15">[0]!б</definedName>
    <definedName name="б_16" localSheetId="21">А!б</definedName>
    <definedName name="б_16" localSheetId="43">'вод.налог 2018'!б</definedName>
    <definedName name="б_16" localSheetId="33">'ЗП с факт 3 кв. 2015'!б</definedName>
    <definedName name="б_16" localSheetId="44">'имушество 2018'!б</definedName>
    <definedName name="б_16" localSheetId="40">'налоги 2018'!б</definedName>
    <definedName name="б_16" localSheetId="4">'ПОЛНАЯ СЕБЕСТОИМОСТЬ ВОДА 2018'!б</definedName>
    <definedName name="б_16" localSheetId="2">'ПОЛНАЯ СЕБЕСТОИМОСТЬ СТОКИ 2018'!б</definedName>
    <definedName name="б_16" localSheetId="10">'Прил. 1 План ФХД вода табл. 2'!б</definedName>
    <definedName name="б_16" localSheetId="9">'Прил. 1 План ФХД стоки табл 2'!б</definedName>
    <definedName name="б_16" localSheetId="8">'Прил. 1 План ФХД табл 1'!б</definedName>
    <definedName name="б_16" localSheetId="13">'Произв. прогр. Вода'!б</definedName>
    <definedName name="б_16" localSheetId="14">'Произв. прогр. Вода (СВОД)'!б</definedName>
    <definedName name="б_16" localSheetId="12">'Произв. прогр. Стоки'!б</definedName>
    <definedName name="б_16" localSheetId="11">'Произв. прогр. Стоки (СВОД)'!б</definedName>
    <definedName name="б_16" localSheetId="41">'Расчет налог. обяз. 2018'!б</definedName>
    <definedName name="б_16" localSheetId="42">'рез к 2017'!б</definedName>
    <definedName name="б_16" localSheetId="46">'рез к 2018'!б</definedName>
    <definedName name="б_16" localSheetId="22">ТН!б</definedName>
    <definedName name="б_16" localSheetId="3">'ФАКТ. СЕБЕСТ ВОДА 1 пол.2018'!б</definedName>
    <definedName name="б_16" localSheetId="1">'ФАКТ. СЕБЕСТ. СТОКИ 1 пол. 2018'!б</definedName>
    <definedName name="б_16">[0]!б</definedName>
    <definedName name="б_2" localSheetId="21">А!б</definedName>
    <definedName name="б_2" localSheetId="43">'вод.налог 2018'!б</definedName>
    <definedName name="б_2" localSheetId="33">'ЗП с факт 3 кв. 2015'!б</definedName>
    <definedName name="б_2" localSheetId="44">'имушество 2018'!б</definedName>
    <definedName name="б_2" localSheetId="40">'налоги 2018'!б</definedName>
    <definedName name="б_2" localSheetId="4">'ПОЛНАЯ СЕБЕСТОИМОСТЬ ВОДА 2018'!б</definedName>
    <definedName name="б_2" localSheetId="2">'ПОЛНАЯ СЕБЕСТОИМОСТЬ СТОКИ 2018'!б</definedName>
    <definedName name="б_2" localSheetId="10">'Прил. 1 План ФХД вода табл. 2'!б</definedName>
    <definedName name="б_2" localSheetId="9">'Прил. 1 План ФХД стоки табл 2'!б</definedName>
    <definedName name="б_2" localSheetId="8">'Прил. 1 План ФХД табл 1'!б</definedName>
    <definedName name="б_2" localSheetId="13">'Произв. прогр. Вода'!б</definedName>
    <definedName name="б_2" localSheetId="14">'Произв. прогр. Вода (СВОД)'!б</definedName>
    <definedName name="б_2" localSheetId="12">'Произв. прогр. Стоки'!б</definedName>
    <definedName name="б_2" localSheetId="11">'Произв. прогр. Стоки (СВОД)'!б</definedName>
    <definedName name="б_2" localSheetId="41">'Расчет налог. обяз. 2018'!б</definedName>
    <definedName name="б_2" localSheetId="42">'рез к 2017'!б</definedName>
    <definedName name="б_2" localSheetId="46">'рез к 2018'!б</definedName>
    <definedName name="б_2" localSheetId="22">ТН!б</definedName>
    <definedName name="б_2" localSheetId="3">'ФАКТ. СЕБЕСТ ВОДА 1 пол.2018'!б</definedName>
    <definedName name="б_2" localSheetId="1">'ФАКТ. СЕБЕСТ. СТОКИ 1 пол. 2018'!б</definedName>
    <definedName name="б_2">[0]!б</definedName>
    <definedName name="бдлшщззж">#N/A</definedName>
    <definedName name="бмипнеггоотббббббббб">#N/A</definedName>
    <definedName name="бсмчакуее">#N/A</definedName>
    <definedName name="в" localSheetId="21">А!в</definedName>
    <definedName name="в" localSheetId="43">'вод.налог 2018'!в</definedName>
    <definedName name="в" localSheetId="33">'ЗП с факт 3 кв. 2015'!в</definedName>
    <definedName name="в" localSheetId="44">'имушество 2018'!в</definedName>
    <definedName name="в" localSheetId="40">'налоги 2018'!в</definedName>
    <definedName name="в" localSheetId="4">#N/A</definedName>
    <definedName name="в" localSheetId="2">#N/A</definedName>
    <definedName name="в" localSheetId="10">#N/A</definedName>
    <definedName name="в" localSheetId="9">#N/A</definedName>
    <definedName name="в" localSheetId="8">#N/A</definedName>
    <definedName name="в" localSheetId="13">#N/A</definedName>
    <definedName name="в" localSheetId="14">#N/A</definedName>
    <definedName name="в" localSheetId="12">#N/A</definedName>
    <definedName name="в" localSheetId="11">#N/A</definedName>
    <definedName name="в" localSheetId="41">'Расчет налог. обяз. 2018'!в</definedName>
    <definedName name="в" localSheetId="42">'рез к 2017'!в</definedName>
    <definedName name="в" localSheetId="46">'рез к 2018'!в</definedName>
    <definedName name="в" localSheetId="22">ТН!в</definedName>
    <definedName name="в" localSheetId="3">#N/A</definedName>
    <definedName name="в" localSheetId="1">#N/A</definedName>
    <definedName name="в">'ЗП с факт 3 кв. 2015'!в</definedName>
    <definedName name="в_10" localSheetId="21">А!в</definedName>
    <definedName name="в_10" localSheetId="43">'вод.налог 2018'!в</definedName>
    <definedName name="в_10" localSheetId="33">'ЗП с факт 3 кв. 2015'!в</definedName>
    <definedName name="в_10" localSheetId="44">'имушество 2018'!в</definedName>
    <definedName name="в_10" localSheetId="40">'налоги 2018'!в</definedName>
    <definedName name="в_10" localSheetId="4">'ПОЛНАЯ СЕБЕСТОИМОСТЬ ВОДА 2018'!в</definedName>
    <definedName name="в_10" localSheetId="2">'ПОЛНАЯ СЕБЕСТОИМОСТЬ СТОКИ 2018'!в</definedName>
    <definedName name="в_10" localSheetId="10">'Прил. 1 План ФХД вода табл. 2'!в</definedName>
    <definedName name="в_10" localSheetId="9">'Прил. 1 План ФХД стоки табл 2'!в</definedName>
    <definedName name="в_10" localSheetId="8">'Прил. 1 План ФХД табл 1'!в</definedName>
    <definedName name="в_10" localSheetId="13">'Произв. прогр. Вода'!в</definedName>
    <definedName name="в_10" localSheetId="14">'Произв. прогр. Вода (СВОД)'!в</definedName>
    <definedName name="в_10" localSheetId="12">'Произв. прогр. Стоки'!в</definedName>
    <definedName name="в_10" localSheetId="11">'Произв. прогр. Стоки (СВОД)'!в</definedName>
    <definedName name="в_10" localSheetId="41">'Расчет налог. обяз. 2018'!в</definedName>
    <definedName name="в_10" localSheetId="42">'рез к 2017'!в</definedName>
    <definedName name="в_10" localSheetId="46">'рез к 2018'!в</definedName>
    <definedName name="в_10" localSheetId="22">ТН!в</definedName>
    <definedName name="в_10" localSheetId="3">'ФАКТ. СЕБЕСТ ВОДА 1 пол.2018'!в</definedName>
    <definedName name="в_10" localSheetId="1">'ФАКТ. СЕБЕСТ. СТОКИ 1 пол. 2018'!в</definedName>
    <definedName name="в_10">[0]!в</definedName>
    <definedName name="в_14" localSheetId="21">А!в</definedName>
    <definedName name="в_14" localSheetId="43">'вод.налог 2018'!в</definedName>
    <definedName name="в_14" localSheetId="33">'ЗП с факт 3 кв. 2015'!в</definedName>
    <definedName name="в_14" localSheetId="44">'имушество 2018'!в</definedName>
    <definedName name="в_14" localSheetId="40">'налоги 2018'!в</definedName>
    <definedName name="в_14" localSheetId="4">'ПОЛНАЯ СЕБЕСТОИМОСТЬ ВОДА 2018'!в</definedName>
    <definedName name="в_14" localSheetId="2">'ПОЛНАЯ СЕБЕСТОИМОСТЬ СТОКИ 2018'!в</definedName>
    <definedName name="в_14" localSheetId="10">'Прил. 1 План ФХД вода табл. 2'!в</definedName>
    <definedName name="в_14" localSheetId="9">'Прил. 1 План ФХД стоки табл 2'!в</definedName>
    <definedName name="в_14" localSheetId="8">'Прил. 1 План ФХД табл 1'!в</definedName>
    <definedName name="в_14" localSheetId="13">'Произв. прогр. Вода'!в</definedName>
    <definedName name="в_14" localSheetId="14">'Произв. прогр. Вода (СВОД)'!в</definedName>
    <definedName name="в_14" localSheetId="12">'Произв. прогр. Стоки'!в</definedName>
    <definedName name="в_14" localSheetId="11">'Произв. прогр. Стоки (СВОД)'!в</definedName>
    <definedName name="в_14" localSheetId="41">'Расчет налог. обяз. 2018'!в</definedName>
    <definedName name="в_14" localSheetId="42">'рез к 2017'!в</definedName>
    <definedName name="в_14" localSheetId="46">'рез к 2018'!в</definedName>
    <definedName name="в_14" localSheetId="22">ТН!в</definedName>
    <definedName name="в_14" localSheetId="3">'ФАКТ. СЕБЕСТ ВОДА 1 пол.2018'!в</definedName>
    <definedName name="в_14" localSheetId="1">'ФАКТ. СЕБЕСТ. СТОКИ 1 пол. 2018'!в</definedName>
    <definedName name="в_14">[0]!в</definedName>
    <definedName name="в_15" localSheetId="21">А!в</definedName>
    <definedName name="в_15" localSheetId="43">'вод.налог 2018'!в</definedName>
    <definedName name="в_15" localSheetId="33">'ЗП с факт 3 кв. 2015'!в</definedName>
    <definedName name="в_15" localSheetId="44">'имушество 2018'!в</definedName>
    <definedName name="в_15" localSheetId="40">'налоги 2018'!в</definedName>
    <definedName name="в_15" localSheetId="4">'ПОЛНАЯ СЕБЕСТОИМОСТЬ ВОДА 2018'!в</definedName>
    <definedName name="в_15" localSheetId="2">'ПОЛНАЯ СЕБЕСТОИМОСТЬ СТОКИ 2018'!в</definedName>
    <definedName name="в_15" localSheetId="10">'Прил. 1 План ФХД вода табл. 2'!в</definedName>
    <definedName name="в_15" localSheetId="9">'Прил. 1 План ФХД стоки табл 2'!в</definedName>
    <definedName name="в_15" localSheetId="8">'Прил. 1 План ФХД табл 1'!в</definedName>
    <definedName name="в_15" localSheetId="13">'Произв. прогр. Вода'!в</definedName>
    <definedName name="в_15" localSheetId="14">'Произв. прогр. Вода (СВОД)'!в</definedName>
    <definedName name="в_15" localSheetId="12">'Произв. прогр. Стоки'!в</definedName>
    <definedName name="в_15" localSheetId="11">'Произв. прогр. Стоки (СВОД)'!в</definedName>
    <definedName name="в_15" localSheetId="41">'Расчет налог. обяз. 2018'!в</definedName>
    <definedName name="в_15" localSheetId="42">'рез к 2017'!в</definedName>
    <definedName name="в_15" localSheetId="46">'рез к 2018'!в</definedName>
    <definedName name="в_15" localSheetId="22">ТН!в</definedName>
    <definedName name="в_15" localSheetId="3">'ФАКТ. СЕБЕСТ ВОДА 1 пол.2018'!в</definedName>
    <definedName name="в_15" localSheetId="1">'ФАКТ. СЕБЕСТ. СТОКИ 1 пол. 2018'!в</definedName>
    <definedName name="в_15">[0]!в</definedName>
    <definedName name="в_16" localSheetId="21">А!в</definedName>
    <definedName name="в_16" localSheetId="43">'вод.налог 2018'!в</definedName>
    <definedName name="в_16" localSheetId="33">'ЗП с факт 3 кв. 2015'!в</definedName>
    <definedName name="в_16" localSheetId="44">'имушество 2018'!в</definedName>
    <definedName name="в_16" localSheetId="40">'налоги 2018'!в</definedName>
    <definedName name="в_16" localSheetId="4">'ПОЛНАЯ СЕБЕСТОИМОСТЬ ВОДА 2018'!в</definedName>
    <definedName name="в_16" localSheetId="2">'ПОЛНАЯ СЕБЕСТОИМОСТЬ СТОКИ 2018'!в</definedName>
    <definedName name="в_16" localSheetId="10">'Прил. 1 План ФХД вода табл. 2'!в</definedName>
    <definedName name="в_16" localSheetId="9">'Прил. 1 План ФХД стоки табл 2'!в</definedName>
    <definedName name="в_16" localSheetId="8">'Прил. 1 План ФХД табл 1'!в</definedName>
    <definedName name="в_16" localSheetId="13">'Произв. прогр. Вода'!в</definedName>
    <definedName name="в_16" localSheetId="14">'Произв. прогр. Вода (СВОД)'!в</definedName>
    <definedName name="в_16" localSheetId="12">'Произв. прогр. Стоки'!в</definedName>
    <definedName name="в_16" localSheetId="11">'Произв. прогр. Стоки (СВОД)'!в</definedName>
    <definedName name="в_16" localSheetId="41">'Расчет налог. обяз. 2018'!в</definedName>
    <definedName name="в_16" localSheetId="42">'рез к 2017'!в</definedName>
    <definedName name="в_16" localSheetId="46">'рез к 2018'!в</definedName>
    <definedName name="в_16" localSheetId="22">ТН!в</definedName>
    <definedName name="в_16" localSheetId="3">'ФАКТ. СЕБЕСТ ВОДА 1 пол.2018'!в</definedName>
    <definedName name="в_16" localSheetId="1">'ФАКТ. СЕБЕСТ. СТОКИ 1 пол. 2018'!в</definedName>
    <definedName name="в_16">[0]!в</definedName>
    <definedName name="в_2" localSheetId="21">А!в</definedName>
    <definedName name="в_2" localSheetId="43">'вод.налог 2018'!в</definedName>
    <definedName name="в_2" localSheetId="33">'ЗП с факт 3 кв. 2015'!в</definedName>
    <definedName name="в_2" localSheetId="44">'имушество 2018'!в</definedName>
    <definedName name="в_2" localSheetId="40">'налоги 2018'!в</definedName>
    <definedName name="в_2" localSheetId="4">'ПОЛНАЯ СЕБЕСТОИМОСТЬ ВОДА 2018'!в</definedName>
    <definedName name="в_2" localSheetId="2">'ПОЛНАЯ СЕБЕСТОИМОСТЬ СТОКИ 2018'!в</definedName>
    <definedName name="в_2" localSheetId="10">'Прил. 1 План ФХД вода табл. 2'!в</definedName>
    <definedName name="в_2" localSheetId="9">'Прил. 1 План ФХД стоки табл 2'!в</definedName>
    <definedName name="в_2" localSheetId="8">'Прил. 1 План ФХД табл 1'!в</definedName>
    <definedName name="в_2" localSheetId="13">'Произв. прогр. Вода'!в</definedName>
    <definedName name="в_2" localSheetId="14">'Произв. прогр. Вода (СВОД)'!в</definedName>
    <definedName name="в_2" localSheetId="12">'Произв. прогр. Стоки'!в</definedName>
    <definedName name="в_2" localSheetId="11">'Произв. прогр. Стоки (СВОД)'!в</definedName>
    <definedName name="в_2" localSheetId="41">'Расчет налог. обяз. 2018'!в</definedName>
    <definedName name="в_2" localSheetId="42">'рез к 2017'!в</definedName>
    <definedName name="в_2" localSheetId="46">'рез к 2018'!в</definedName>
    <definedName name="в_2" localSheetId="22">ТН!в</definedName>
    <definedName name="в_2" localSheetId="3">'ФАКТ. СЕБЕСТ ВОДА 1 пол.2018'!в</definedName>
    <definedName name="в_2" localSheetId="1">'ФАКТ. СЕБЕСТ. СТОКИ 1 пол. 2018'!в</definedName>
    <definedName name="в_2">[0]!в</definedName>
    <definedName name="вааитььбблдшщщ">#N/A</definedName>
    <definedName name="вапроолдджюююююю">#N/A</definedName>
    <definedName name="выкапфвап">#REF!</definedName>
    <definedName name="гггггг" localSheetId="33">'[4]распределение январь по бухг.'!#REF!</definedName>
    <definedName name="гггггг" localSheetId="4">'[4]распределение январь по бухг.'!#REF!</definedName>
    <definedName name="гггггг" localSheetId="2">'[4]распределение январь по бухг.'!#REF!</definedName>
    <definedName name="гггггг" localSheetId="8">'[4]распределение январь по бухг.'!#REF!</definedName>
    <definedName name="гггггг" localSheetId="20">'[4]распределение январь по бухг.'!#REF!</definedName>
    <definedName name="гггггг" localSheetId="16">'[4]распределение январь по бухг.'!#REF!</definedName>
    <definedName name="гггггг" localSheetId="61">'[4]распределение январь по бухг.'!#REF!</definedName>
    <definedName name="гггггг" localSheetId="60">'[4]распределение январь по бухг.'!#REF!</definedName>
    <definedName name="гггггг" localSheetId="59">'[4]распределение январь по бухг.'!#REF!</definedName>
    <definedName name="гггггг" localSheetId="3">'[4]распределение январь по бухг.'!#REF!</definedName>
    <definedName name="гггггг" localSheetId="1">'[4]распределение январь по бухг.'!#REF!</definedName>
    <definedName name="гггггг" localSheetId="37">'[4]распределение январь по бухг.'!#REF!</definedName>
    <definedName name="гггггг" localSheetId="29">'[4]распределение январь по бухг.'!#REF!</definedName>
    <definedName name="гггггг" localSheetId="27">'[4]распределение январь по бухг.'!#REF!</definedName>
    <definedName name="гггггг">'[4]распределение январь по бухг.'!#REF!</definedName>
    <definedName name="гггггггггггггггггг" localSheetId="33">[4]расшифровка!#REF!</definedName>
    <definedName name="гггггггггггггггггг" localSheetId="4">[4]расшифровка!#REF!</definedName>
    <definedName name="гггггггггггггггггг" localSheetId="2">[4]расшифровка!#REF!</definedName>
    <definedName name="гггггггггггггггггг" localSheetId="8">[4]расшифровка!#REF!</definedName>
    <definedName name="гггггггггггггггггг" localSheetId="20">[4]расшифровка!#REF!</definedName>
    <definedName name="гггггггггггггггггг" localSheetId="16">[4]расшифровка!#REF!</definedName>
    <definedName name="гггггггггггггггггг" localSheetId="61">[4]расшифровка!#REF!</definedName>
    <definedName name="гггггггггггггггггг" localSheetId="60">[4]расшифровка!#REF!</definedName>
    <definedName name="гггггггггггггггггг" localSheetId="59">[4]расшифровка!#REF!</definedName>
    <definedName name="гггггггггггггггггг" localSheetId="3">[4]расшифровка!#REF!</definedName>
    <definedName name="гггггггггггггггггг" localSheetId="1">[4]расшифровка!#REF!</definedName>
    <definedName name="гггггггггггггггггг" localSheetId="37">[4]расшифровка!#REF!</definedName>
    <definedName name="гггггггггггггггггг" localSheetId="29">[4]расшифровка!#REF!</definedName>
    <definedName name="гггггггггггггггггг" localSheetId="27">[4]расшифровка!#REF!</definedName>
    <definedName name="гггггггггггггггггг">[4]расшифровка!#REF!</definedName>
    <definedName name="дапвеункее">#N/A</definedName>
    <definedName name="дголь" localSheetId="21">А!_Pi3</definedName>
    <definedName name="дголь" localSheetId="43">'вод.налог 2018'!_Pi3</definedName>
    <definedName name="дголь" localSheetId="33">'ЗП с факт 3 кв. 2015'!_Pi3</definedName>
    <definedName name="дголь" localSheetId="44">'имушество 2018'!_Pi3</definedName>
    <definedName name="дголь" localSheetId="40">'налоги 2018'!_Pi3</definedName>
    <definedName name="дголь" localSheetId="4">'ПОЛНАЯ СЕБЕСТОИМОСТЬ ВОДА 2018'!_Pi3</definedName>
    <definedName name="дголь" localSheetId="2">'ПОЛНАЯ СЕБЕСТОИМОСТЬ СТОКИ 2018'!_Pi3</definedName>
    <definedName name="дголь" localSheetId="10">'Прил. 1 План ФХД вода табл. 2'!_Pi3</definedName>
    <definedName name="дголь" localSheetId="9">'Прил. 1 План ФХД стоки табл 2'!_Pi3</definedName>
    <definedName name="дголь" localSheetId="8">'Прил. 1 План ФХД табл 1'!_Pi3</definedName>
    <definedName name="дголь" localSheetId="13">'Произв. прогр. Вода'!_Pi3</definedName>
    <definedName name="дголь" localSheetId="14">'Произв. прогр. Вода (СВОД)'!_Pi3</definedName>
    <definedName name="дголь" localSheetId="12">'Произв. прогр. Стоки'!_Pi3</definedName>
    <definedName name="дголь" localSheetId="11">'Произв. прогр. Стоки (СВОД)'!_Pi3</definedName>
    <definedName name="дголь" localSheetId="41">'Расчет налог. обяз. 2018'!_Pi3</definedName>
    <definedName name="дголь" localSheetId="42">'рез к 2017'!_Pi3</definedName>
    <definedName name="дголь" localSheetId="46">'рез к 2018'!_Pi3</definedName>
    <definedName name="дголь" localSheetId="22">ТН!_Pi3</definedName>
    <definedName name="дголь" localSheetId="3">'ФАКТ. СЕБЕСТ ВОДА 1 пол.2018'!_Pi3</definedName>
    <definedName name="дголь" localSheetId="1">'ФАКТ. СЕБЕСТ. СТОКИ 1 пол. 2018'!_Pi3</definedName>
    <definedName name="дголь">[0]!_Pi3</definedName>
    <definedName name="дголь_13" localSheetId="21">А!_Pi3</definedName>
    <definedName name="дголь_13" localSheetId="43">'вод.налог 2018'!_Pi3</definedName>
    <definedName name="дголь_13" localSheetId="33">'ЗП с факт 3 кв. 2015'!_Pi3</definedName>
    <definedName name="дголь_13" localSheetId="44">'имушество 2018'!_Pi3</definedName>
    <definedName name="дголь_13" localSheetId="40">'налоги 2018'!_Pi3</definedName>
    <definedName name="дголь_13" localSheetId="4">'ПОЛНАЯ СЕБЕСТОИМОСТЬ ВОДА 2018'!_Pi3</definedName>
    <definedName name="дголь_13" localSheetId="2">'ПОЛНАЯ СЕБЕСТОИМОСТЬ СТОКИ 2018'!_Pi3</definedName>
    <definedName name="дголь_13" localSheetId="10">'Прил. 1 План ФХД вода табл. 2'!_Pi3</definedName>
    <definedName name="дголь_13" localSheetId="9">'Прил. 1 План ФХД стоки табл 2'!_Pi3</definedName>
    <definedName name="дголь_13" localSheetId="8">'Прил. 1 План ФХД табл 1'!_Pi3</definedName>
    <definedName name="дголь_13" localSheetId="13">'Произв. прогр. Вода'!_Pi3</definedName>
    <definedName name="дголь_13" localSheetId="14">'Произв. прогр. Вода (СВОД)'!_Pi3</definedName>
    <definedName name="дголь_13" localSheetId="12">'Произв. прогр. Стоки'!_Pi3</definedName>
    <definedName name="дголь_13" localSheetId="11">'Произв. прогр. Стоки (СВОД)'!_Pi3</definedName>
    <definedName name="дголь_13" localSheetId="41">'Расчет налог. обяз. 2018'!_Pi3</definedName>
    <definedName name="дголь_13" localSheetId="42">'рез к 2017'!_Pi3</definedName>
    <definedName name="дголь_13" localSheetId="46">'рез к 2018'!_Pi3</definedName>
    <definedName name="дголь_13" localSheetId="22">ТН!_Pi3</definedName>
    <definedName name="дголь_13" localSheetId="3">'ФАКТ. СЕБЕСТ ВОДА 1 пол.2018'!_Pi3</definedName>
    <definedName name="дголь_13" localSheetId="1">'ФАКТ. СЕБЕСТ. СТОКИ 1 пол. 2018'!_Pi3</definedName>
    <definedName name="дголь_13">[0]!_Pi3</definedName>
    <definedName name="ддллоогггггггггггг">#N/A</definedName>
    <definedName name="длгоор" localSheetId="21">А!_Pi5</definedName>
    <definedName name="длгоор" localSheetId="43">'вод.налог 2018'!_Pi5</definedName>
    <definedName name="длгоор" localSheetId="33">'ЗП с факт 3 кв. 2015'!_Pi5</definedName>
    <definedName name="длгоор" localSheetId="44">'имушество 2018'!_Pi5</definedName>
    <definedName name="длгоор" localSheetId="40">'налоги 2018'!_Pi5</definedName>
    <definedName name="длгоор" localSheetId="4">'ПОЛНАЯ СЕБЕСТОИМОСТЬ ВОДА 2018'!_Pi5</definedName>
    <definedName name="длгоор" localSheetId="2">'ПОЛНАЯ СЕБЕСТОИМОСТЬ СТОКИ 2018'!_Pi5</definedName>
    <definedName name="длгоор" localSheetId="10">'Прил. 1 План ФХД вода табл. 2'!_Pi5</definedName>
    <definedName name="длгоор" localSheetId="9">'Прил. 1 План ФХД стоки табл 2'!_Pi5</definedName>
    <definedName name="длгоор" localSheetId="8">'Прил. 1 План ФХД табл 1'!_Pi5</definedName>
    <definedName name="длгоор" localSheetId="13">'Произв. прогр. Вода'!_Pi5</definedName>
    <definedName name="длгоор" localSheetId="14">'Произв. прогр. Вода (СВОД)'!_Pi5</definedName>
    <definedName name="длгоор" localSheetId="12">'Произв. прогр. Стоки'!_Pi5</definedName>
    <definedName name="длгоор" localSheetId="11">'Произв. прогр. Стоки (СВОД)'!_Pi5</definedName>
    <definedName name="длгоор" localSheetId="41">'Расчет налог. обяз. 2018'!_Pi5</definedName>
    <definedName name="длгоор" localSheetId="42">'рез к 2017'!_Pi5</definedName>
    <definedName name="длгоор" localSheetId="46">'рез к 2018'!_Pi5</definedName>
    <definedName name="длгоор" localSheetId="22">ТН!_Pi5</definedName>
    <definedName name="длгоор" localSheetId="3">'ФАКТ. СЕБЕСТ ВОДА 1 пол.2018'!_Pi5</definedName>
    <definedName name="длгоор" localSheetId="1">'ФАКТ. СЕБЕСТ. СТОКИ 1 пол. 2018'!_Pi5</definedName>
    <definedName name="длгоор">[0]!_Pi5</definedName>
    <definedName name="длгоор_13" localSheetId="21">А!_Pi5</definedName>
    <definedName name="длгоор_13" localSheetId="43">'вод.налог 2018'!_Pi5</definedName>
    <definedName name="длгоор_13" localSheetId="33">'ЗП с факт 3 кв. 2015'!_Pi5</definedName>
    <definedName name="длгоор_13" localSheetId="44">'имушество 2018'!_Pi5</definedName>
    <definedName name="длгоор_13" localSheetId="40">'налоги 2018'!_Pi5</definedName>
    <definedName name="длгоор_13" localSheetId="4">'ПОЛНАЯ СЕБЕСТОИМОСТЬ ВОДА 2018'!_Pi5</definedName>
    <definedName name="длгоор_13" localSheetId="2">'ПОЛНАЯ СЕБЕСТОИМОСТЬ СТОКИ 2018'!_Pi5</definedName>
    <definedName name="длгоор_13" localSheetId="10">'Прил. 1 План ФХД вода табл. 2'!_Pi5</definedName>
    <definedName name="длгоор_13" localSheetId="9">'Прил. 1 План ФХД стоки табл 2'!_Pi5</definedName>
    <definedName name="длгоор_13" localSheetId="8">'Прил. 1 План ФХД табл 1'!_Pi5</definedName>
    <definedName name="длгоор_13" localSheetId="13">'Произв. прогр. Вода'!_Pi5</definedName>
    <definedName name="длгоор_13" localSheetId="14">'Произв. прогр. Вода (СВОД)'!_Pi5</definedName>
    <definedName name="длгоор_13" localSheetId="12">'Произв. прогр. Стоки'!_Pi5</definedName>
    <definedName name="длгоор_13" localSheetId="11">'Произв. прогр. Стоки (СВОД)'!_Pi5</definedName>
    <definedName name="длгоор_13" localSheetId="41">'Расчет налог. обяз. 2018'!_Pi5</definedName>
    <definedName name="длгоор_13" localSheetId="42">'рез к 2017'!_Pi5</definedName>
    <definedName name="длгоор_13" localSheetId="46">'рез к 2018'!_Pi5</definedName>
    <definedName name="длгоор_13" localSheetId="22">ТН!_Pi5</definedName>
    <definedName name="длгоор_13" localSheetId="3">'ФАКТ. СЕБЕСТ ВОДА 1 пол.2018'!_Pi5</definedName>
    <definedName name="длгоор_13" localSheetId="1">'ФАКТ. СЕБЕСТ. СТОКИ 1 пол. 2018'!_Pi5</definedName>
    <definedName name="длгоор_13">[0]!_Pi5</definedName>
    <definedName name="длгоор_2" localSheetId="21">А!_Pi5</definedName>
    <definedName name="длгоор_2" localSheetId="43">'вод.налог 2018'!_Pi5</definedName>
    <definedName name="длгоор_2" localSheetId="33">'ЗП с факт 3 кв. 2015'!_Pi5</definedName>
    <definedName name="длгоор_2" localSheetId="44">'имушество 2018'!_Pi5</definedName>
    <definedName name="длгоор_2" localSheetId="40">'налоги 2018'!_Pi5</definedName>
    <definedName name="длгоор_2" localSheetId="4">'ПОЛНАЯ СЕБЕСТОИМОСТЬ ВОДА 2018'!_Pi5</definedName>
    <definedName name="длгоор_2" localSheetId="2">'ПОЛНАЯ СЕБЕСТОИМОСТЬ СТОКИ 2018'!_Pi5</definedName>
    <definedName name="длгоор_2" localSheetId="10">'Прил. 1 План ФХД вода табл. 2'!_Pi5</definedName>
    <definedName name="длгоор_2" localSheetId="9">'Прил. 1 План ФХД стоки табл 2'!_Pi5</definedName>
    <definedName name="длгоор_2" localSheetId="8">'Прил. 1 План ФХД табл 1'!_Pi5</definedName>
    <definedName name="длгоор_2" localSheetId="13">'Произв. прогр. Вода'!_Pi5</definedName>
    <definedName name="длгоор_2" localSheetId="14">'Произв. прогр. Вода (СВОД)'!_Pi5</definedName>
    <definedName name="длгоор_2" localSheetId="12">'Произв. прогр. Стоки'!_Pi5</definedName>
    <definedName name="длгоор_2" localSheetId="11">'Произв. прогр. Стоки (СВОД)'!_Pi5</definedName>
    <definedName name="длгоор_2" localSheetId="41">'Расчет налог. обяз. 2018'!_Pi5</definedName>
    <definedName name="длгоор_2" localSheetId="42">'рез к 2017'!_Pi5</definedName>
    <definedName name="длгоор_2" localSheetId="46">'рез к 2018'!_Pi5</definedName>
    <definedName name="длгоор_2" localSheetId="22">ТН!_Pi5</definedName>
    <definedName name="длгоор_2" localSheetId="3">'ФАКТ. СЕБЕСТ ВОДА 1 пол.2018'!_Pi5</definedName>
    <definedName name="длгоор_2" localSheetId="1">'ФАКТ. СЕБЕСТ. СТОКИ 1 пол. 2018'!_Pi5</definedName>
    <definedName name="длгоор_2">[0]!_Pi5</definedName>
    <definedName name="дллллл" localSheetId="21">А!_Pi3</definedName>
    <definedName name="дллллл" localSheetId="43">'вод.налог 2018'!_Pi3</definedName>
    <definedName name="дллллл" localSheetId="33">'ЗП с факт 3 кв. 2015'!_Pi3</definedName>
    <definedName name="дллллл" localSheetId="44">'имушество 2018'!_Pi3</definedName>
    <definedName name="дллллл" localSheetId="40">'налоги 2018'!_Pi3</definedName>
    <definedName name="дллллл" localSheetId="4">'ПОЛНАЯ СЕБЕСТОИМОСТЬ ВОДА 2018'!_Pi3</definedName>
    <definedName name="дллллл" localSheetId="2">'ПОЛНАЯ СЕБЕСТОИМОСТЬ СТОКИ 2018'!_Pi3</definedName>
    <definedName name="дллллл" localSheetId="10">'Прил. 1 План ФХД вода табл. 2'!_Pi3</definedName>
    <definedName name="дллллл" localSheetId="9">'Прил. 1 План ФХД стоки табл 2'!_Pi3</definedName>
    <definedName name="дллллл" localSheetId="8">'Прил. 1 План ФХД табл 1'!_Pi3</definedName>
    <definedName name="дллллл" localSheetId="13">'Произв. прогр. Вода'!_Pi3</definedName>
    <definedName name="дллллл" localSheetId="14">'Произв. прогр. Вода (СВОД)'!_Pi3</definedName>
    <definedName name="дллллл" localSheetId="12">'Произв. прогр. Стоки'!_Pi3</definedName>
    <definedName name="дллллл" localSheetId="11">'Произв. прогр. Стоки (СВОД)'!_Pi3</definedName>
    <definedName name="дллллл" localSheetId="41">'Расчет налог. обяз. 2018'!_Pi3</definedName>
    <definedName name="дллллл" localSheetId="42">'рез к 2017'!_Pi3</definedName>
    <definedName name="дллллл" localSheetId="46">'рез к 2018'!_Pi3</definedName>
    <definedName name="дллллл" localSheetId="22">ТН!_Pi3</definedName>
    <definedName name="дллллл" localSheetId="3">'ФАКТ. СЕБЕСТ ВОДА 1 пол.2018'!_Pi3</definedName>
    <definedName name="дллллл" localSheetId="1">'ФАКТ. СЕБЕСТ. СТОКИ 1 пол. 2018'!_Pi3</definedName>
    <definedName name="дллллл">[0]!_Pi3</definedName>
    <definedName name="дллллл_13" localSheetId="21">А!_Pi3</definedName>
    <definedName name="дллллл_13" localSheetId="43">'вод.налог 2018'!_Pi3</definedName>
    <definedName name="дллллл_13" localSheetId="33">'ЗП с факт 3 кв. 2015'!_Pi3</definedName>
    <definedName name="дллллл_13" localSheetId="44">'имушество 2018'!_Pi3</definedName>
    <definedName name="дллллл_13" localSheetId="40">'налоги 2018'!_Pi3</definedName>
    <definedName name="дллллл_13" localSheetId="4">'ПОЛНАЯ СЕБЕСТОИМОСТЬ ВОДА 2018'!_Pi3</definedName>
    <definedName name="дллллл_13" localSheetId="2">'ПОЛНАЯ СЕБЕСТОИМОСТЬ СТОКИ 2018'!_Pi3</definedName>
    <definedName name="дллллл_13" localSheetId="10">'Прил. 1 План ФХД вода табл. 2'!_Pi3</definedName>
    <definedName name="дллллл_13" localSheetId="9">'Прил. 1 План ФХД стоки табл 2'!_Pi3</definedName>
    <definedName name="дллллл_13" localSheetId="8">'Прил. 1 План ФХД табл 1'!_Pi3</definedName>
    <definedName name="дллллл_13" localSheetId="13">'Произв. прогр. Вода'!_Pi3</definedName>
    <definedName name="дллллл_13" localSheetId="14">'Произв. прогр. Вода (СВОД)'!_Pi3</definedName>
    <definedName name="дллллл_13" localSheetId="12">'Произв. прогр. Стоки'!_Pi3</definedName>
    <definedName name="дллллл_13" localSheetId="11">'Произв. прогр. Стоки (СВОД)'!_Pi3</definedName>
    <definedName name="дллллл_13" localSheetId="41">'Расчет налог. обяз. 2018'!_Pi3</definedName>
    <definedName name="дллллл_13" localSheetId="42">'рез к 2017'!_Pi3</definedName>
    <definedName name="дллллл_13" localSheetId="46">'рез к 2018'!_Pi3</definedName>
    <definedName name="дллллл_13" localSheetId="22">ТН!_Pi3</definedName>
    <definedName name="дллллл_13" localSheetId="3">'ФАКТ. СЕБЕСТ ВОДА 1 пол.2018'!_Pi3</definedName>
    <definedName name="дллллл_13" localSheetId="1">'ФАКТ. СЕБЕСТ. СТОКИ 1 пол. 2018'!_Pi3</definedName>
    <definedName name="дллллл_13">[0]!_Pi3</definedName>
    <definedName name="дллллл_2" localSheetId="21">А!_Pi3</definedName>
    <definedName name="дллллл_2" localSheetId="43">'вод.налог 2018'!_Pi3</definedName>
    <definedName name="дллллл_2" localSheetId="33">'ЗП с факт 3 кв. 2015'!_Pi3</definedName>
    <definedName name="дллллл_2" localSheetId="44">'имушество 2018'!_Pi3</definedName>
    <definedName name="дллллл_2" localSheetId="40">'налоги 2018'!_Pi3</definedName>
    <definedName name="дллллл_2" localSheetId="4">'ПОЛНАЯ СЕБЕСТОИМОСТЬ ВОДА 2018'!_Pi3</definedName>
    <definedName name="дллллл_2" localSheetId="2">'ПОЛНАЯ СЕБЕСТОИМОСТЬ СТОКИ 2018'!_Pi3</definedName>
    <definedName name="дллллл_2" localSheetId="10">'Прил. 1 План ФХД вода табл. 2'!_Pi3</definedName>
    <definedName name="дллллл_2" localSheetId="9">'Прил. 1 План ФХД стоки табл 2'!_Pi3</definedName>
    <definedName name="дллллл_2" localSheetId="8">'Прил. 1 План ФХД табл 1'!_Pi3</definedName>
    <definedName name="дллллл_2" localSheetId="13">'Произв. прогр. Вода'!_Pi3</definedName>
    <definedName name="дллллл_2" localSheetId="14">'Произв. прогр. Вода (СВОД)'!_Pi3</definedName>
    <definedName name="дллллл_2" localSheetId="12">'Произв. прогр. Стоки'!_Pi3</definedName>
    <definedName name="дллллл_2" localSheetId="11">'Произв. прогр. Стоки (СВОД)'!_Pi3</definedName>
    <definedName name="дллллл_2" localSheetId="41">'Расчет налог. обяз. 2018'!_Pi3</definedName>
    <definedName name="дллллл_2" localSheetId="42">'рез к 2017'!_Pi3</definedName>
    <definedName name="дллллл_2" localSheetId="46">'рез к 2018'!_Pi3</definedName>
    <definedName name="дллллл_2" localSheetId="22">ТН!_Pi3</definedName>
    <definedName name="дллллл_2" localSheetId="3">'ФАКТ. СЕБЕСТ ВОДА 1 пол.2018'!_Pi3</definedName>
    <definedName name="дллллл_2" localSheetId="1">'ФАКТ. СЕБЕСТ. СТОКИ 1 пол. 2018'!_Pi3</definedName>
    <definedName name="дллллл_2">[0]!_Pi3</definedName>
    <definedName name="длллоо" localSheetId="33">#REF!</definedName>
    <definedName name="длллоо" localSheetId="8">#REF!</definedName>
    <definedName name="длллоо" localSheetId="20">#REF!</definedName>
    <definedName name="длллоо" localSheetId="16">#REF!</definedName>
    <definedName name="длллоо" localSheetId="61">#REF!</definedName>
    <definedName name="длллоо" localSheetId="60">#REF!</definedName>
    <definedName name="длллоо" localSheetId="59">#REF!</definedName>
    <definedName name="длллоо" localSheetId="37">#REF!</definedName>
    <definedName name="длллоо" localSheetId="29">#REF!</definedName>
    <definedName name="длллоо" localSheetId="27">#REF!</definedName>
    <definedName name="длллоо">#REF!</definedName>
    <definedName name="длллоо_13" localSheetId="33">#REF!</definedName>
    <definedName name="длллоо_13" localSheetId="8">#REF!</definedName>
    <definedName name="длллоо_13" localSheetId="20">#REF!</definedName>
    <definedName name="длллоо_13" localSheetId="16">#REF!</definedName>
    <definedName name="длллоо_13" localSheetId="61">#REF!</definedName>
    <definedName name="длллоо_13" localSheetId="60">#REF!</definedName>
    <definedName name="длллоо_13" localSheetId="59">#REF!</definedName>
    <definedName name="длллоо_13" localSheetId="37">#REF!</definedName>
    <definedName name="длллоо_13" localSheetId="29">#REF!</definedName>
    <definedName name="длллоо_13" localSheetId="27">#REF!</definedName>
    <definedName name="длллоо_13">#REF!</definedName>
    <definedName name="_xlnm.Print_Titles" localSheetId="13">'Произв. прогр. Вода'!$9:$10</definedName>
    <definedName name="_xlnm.Print_Titles" localSheetId="12">'Произв. прогр. Стоки'!$10:$11</definedName>
    <definedName name="имя" localSheetId="21">А!_Pi2</definedName>
    <definedName name="имя" localSheetId="43">'вод.налог 2018'!_Pi2</definedName>
    <definedName name="имя" localSheetId="33">'ЗП с факт 3 кв. 2015'!_Pi2</definedName>
    <definedName name="имя" localSheetId="44">'имушество 2018'!_Pi2</definedName>
    <definedName name="имя" localSheetId="40">'налоги 2018'!_Pi2</definedName>
    <definedName name="имя" localSheetId="4">'ПОЛНАЯ СЕБЕСТОИМОСТЬ ВОДА 2018'!_Pi2</definedName>
    <definedName name="имя" localSheetId="2">'ПОЛНАЯ СЕБЕСТОИМОСТЬ СТОКИ 2018'!_Pi2</definedName>
    <definedName name="имя" localSheetId="10">'Прил. 1 План ФХД вода табл. 2'!_Pi2</definedName>
    <definedName name="имя" localSheetId="9">'Прил. 1 План ФХД стоки табл 2'!_Pi2</definedName>
    <definedName name="имя" localSheetId="8">'Прил. 1 План ФХД табл 1'!_Pi2</definedName>
    <definedName name="имя" localSheetId="13">'Произв. прогр. Вода'!_Pi2</definedName>
    <definedName name="имя" localSheetId="14">'Произв. прогр. Вода (СВОД)'!_Pi2</definedName>
    <definedName name="имя" localSheetId="12">'Произв. прогр. Стоки'!_Pi2</definedName>
    <definedName name="имя" localSheetId="11">'Произв. прогр. Стоки (СВОД)'!_Pi2</definedName>
    <definedName name="имя" localSheetId="41">'Расчет налог. обяз. 2018'!_Pi2</definedName>
    <definedName name="имя" localSheetId="42">'рез к 2017'!_Pi2</definedName>
    <definedName name="имя" localSheetId="46">'рез к 2018'!_Pi2</definedName>
    <definedName name="имя" localSheetId="22">ТН!_Pi2</definedName>
    <definedName name="имя" localSheetId="3">'ФАКТ. СЕБЕСТ ВОДА 1 пол.2018'!_Pi2</definedName>
    <definedName name="имя" localSheetId="1">'ФАКТ. СЕБЕСТ. СТОКИ 1 пол. 2018'!_Pi2</definedName>
    <definedName name="имя">[0]!_Pi2</definedName>
    <definedName name="имя1" localSheetId="21">А!_Pi2</definedName>
    <definedName name="имя1" localSheetId="43">'вод.налог 2018'!_Pi2</definedName>
    <definedName name="имя1" localSheetId="33">'ЗП с факт 3 кв. 2015'!_Pi2</definedName>
    <definedName name="имя1" localSheetId="44">'имушество 2018'!_Pi2</definedName>
    <definedName name="имя1" localSheetId="40">'налоги 2018'!_Pi2</definedName>
    <definedName name="имя1" localSheetId="4">'ПОЛНАЯ СЕБЕСТОИМОСТЬ ВОДА 2018'!_Pi2</definedName>
    <definedName name="имя1" localSheetId="2">'ПОЛНАЯ СЕБЕСТОИМОСТЬ СТОКИ 2018'!_Pi2</definedName>
    <definedName name="имя1" localSheetId="10">'Прил. 1 План ФХД вода табл. 2'!_Pi2</definedName>
    <definedName name="имя1" localSheetId="9">'Прил. 1 План ФХД стоки табл 2'!_Pi2</definedName>
    <definedName name="имя1" localSheetId="8">'Прил. 1 План ФХД табл 1'!_Pi2</definedName>
    <definedName name="имя1" localSheetId="13">'Произв. прогр. Вода'!_Pi2</definedName>
    <definedName name="имя1" localSheetId="14">'Произв. прогр. Вода (СВОД)'!_Pi2</definedName>
    <definedName name="имя1" localSheetId="12">'Произв. прогр. Стоки'!_Pi2</definedName>
    <definedName name="имя1" localSheetId="11">'Произв. прогр. Стоки (СВОД)'!_Pi2</definedName>
    <definedName name="имя1" localSheetId="41">'Расчет налог. обяз. 2018'!_Pi2</definedName>
    <definedName name="имя1" localSheetId="42">'рез к 2017'!_Pi2</definedName>
    <definedName name="имя1" localSheetId="46">'рез к 2018'!_Pi2</definedName>
    <definedName name="имя1" localSheetId="22">ТН!_Pi2</definedName>
    <definedName name="имя1" localSheetId="3">'ФАКТ. СЕБЕСТ ВОДА 1 пол.2018'!_Pi2</definedName>
    <definedName name="имя1" localSheetId="1">'ФАКТ. СЕБЕСТ. СТОКИ 1 пол. 2018'!_Pi2</definedName>
    <definedName name="имя1">_Pi2</definedName>
    <definedName name="ипрнотьлгггг">#N/A</definedName>
    <definedName name="испаекроггш">#N/A</definedName>
    <definedName name="итроннгггг">[8]Нормат!$J$23</definedName>
    <definedName name="итрооогнгггг" localSheetId="33">#REF!</definedName>
    <definedName name="итрооогнгггг" localSheetId="8">#REF!</definedName>
    <definedName name="итрооогнгггг" localSheetId="20">#REF!</definedName>
    <definedName name="итрооогнгггг" localSheetId="16">#REF!</definedName>
    <definedName name="итрооогнгггг" localSheetId="61">#REF!</definedName>
    <definedName name="итрооогнгггг" localSheetId="60">#REF!</definedName>
    <definedName name="итрооогнгггг" localSheetId="59">#REF!</definedName>
    <definedName name="итрооогнгггг" localSheetId="37">#REF!</definedName>
    <definedName name="итрооогнгггг" localSheetId="29">#REF!</definedName>
    <definedName name="итрооогнгггг" localSheetId="27">#REF!</definedName>
    <definedName name="итрооогнгггг">#REF!</definedName>
    <definedName name="итрроггнроооооооо">#N/A</definedName>
    <definedName name="итррогнприиии">#N/A</definedName>
    <definedName name="итрроннгшлдбб">#N/A</definedName>
    <definedName name="итррр">[8]Нормат!$J$12</definedName>
    <definedName name="йцуукен">#N/A</definedName>
    <definedName name="коррект" localSheetId="21">А!коррект</definedName>
    <definedName name="коррект" localSheetId="43">'вод.налог 2018'!коррект</definedName>
    <definedName name="коррект" localSheetId="33">'ЗП с факт 3 кв. 2015'!коррект</definedName>
    <definedName name="коррект" localSheetId="44">'имушество 2018'!коррект</definedName>
    <definedName name="коррект" localSheetId="40">'налоги 2018'!коррект</definedName>
    <definedName name="коррект" localSheetId="4">#N/A</definedName>
    <definedName name="коррект" localSheetId="2">#N/A</definedName>
    <definedName name="коррект" localSheetId="10">#N/A</definedName>
    <definedName name="коррект" localSheetId="9">#N/A</definedName>
    <definedName name="коррект" localSheetId="8">#N/A</definedName>
    <definedName name="коррект" localSheetId="13">#N/A</definedName>
    <definedName name="коррект" localSheetId="14">#N/A</definedName>
    <definedName name="коррект" localSheetId="12">#N/A</definedName>
    <definedName name="коррект" localSheetId="11">#N/A</definedName>
    <definedName name="коррект" localSheetId="41">'Расчет налог. обяз. 2018'!коррект</definedName>
    <definedName name="коррект" localSheetId="42">'рез к 2017'!коррект</definedName>
    <definedName name="коррект" localSheetId="46">'рез к 2018'!коррект</definedName>
    <definedName name="коррект" localSheetId="22">ТН!коррект</definedName>
    <definedName name="коррект" localSheetId="3">#N/A</definedName>
    <definedName name="коррект" localSheetId="1">#N/A</definedName>
    <definedName name="коррект">'ЗП с факт 3 кв. 2015'!коррект</definedName>
    <definedName name="коррект_10" localSheetId="21">А!коррект</definedName>
    <definedName name="коррект_10" localSheetId="43">'вод.налог 2018'!коррект</definedName>
    <definedName name="коррект_10" localSheetId="33">'ЗП с факт 3 кв. 2015'!коррект</definedName>
    <definedName name="коррект_10" localSheetId="44">'имушество 2018'!коррект</definedName>
    <definedName name="коррект_10" localSheetId="40">'налоги 2018'!коррект</definedName>
    <definedName name="коррект_10" localSheetId="4">'ПОЛНАЯ СЕБЕСТОИМОСТЬ ВОДА 2018'!коррект</definedName>
    <definedName name="коррект_10" localSheetId="2">'ПОЛНАЯ СЕБЕСТОИМОСТЬ СТОКИ 2018'!коррект</definedName>
    <definedName name="коррект_10" localSheetId="10">'Прил. 1 План ФХД вода табл. 2'!коррект</definedName>
    <definedName name="коррект_10" localSheetId="9">'Прил. 1 План ФХД стоки табл 2'!коррект</definedName>
    <definedName name="коррект_10" localSheetId="8">'Прил. 1 План ФХД табл 1'!коррект</definedName>
    <definedName name="коррект_10" localSheetId="13">'Произв. прогр. Вода'!коррект</definedName>
    <definedName name="коррект_10" localSheetId="14">'Произв. прогр. Вода (СВОД)'!коррект</definedName>
    <definedName name="коррект_10" localSheetId="12">'Произв. прогр. Стоки'!коррект</definedName>
    <definedName name="коррект_10" localSheetId="11">'Произв. прогр. Стоки (СВОД)'!коррект</definedName>
    <definedName name="коррект_10" localSheetId="41">'Расчет налог. обяз. 2018'!коррект</definedName>
    <definedName name="коррект_10" localSheetId="42">'рез к 2017'!коррект</definedName>
    <definedName name="коррект_10" localSheetId="46">'рез к 2018'!коррект</definedName>
    <definedName name="коррект_10" localSheetId="22">ТН!коррект</definedName>
    <definedName name="коррект_10" localSheetId="3">'ФАКТ. СЕБЕСТ ВОДА 1 пол.2018'!коррект</definedName>
    <definedName name="коррект_10" localSheetId="1">'ФАКТ. СЕБЕСТ. СТОКИ 1 пол. 2018'!коррект</definedName>
    <definedName name="коррект_10">[0]!коррект</definedName>
    <definedName name="коррект_14" localSheetId="21">А!коррект</definedName>
    <definedName name="коррект_14" localSheetId="43">'вод.налог 2018'!коррект</definedName>
    <definedName name="коррект_14" localSheetId="33">'ЗП с факт 3 кв. 2015'!коррект</definedName>
    <definedName name="коррект_14" localSheetId="44">'имушество 2018'!коррект</definedName>
    <definedName name="коррект_14" localSheetId="40">'налоги 2018'!коррект</definedName>
    <definedName name="коррект_14" localSheetId="4">'ПОЛНАЯ СЕБЕСТОИМОСТЬ ВОДА 2018'!коррект</definedName>
    <definedName name="коррект_14" localSheetId="2">'ПОЛНАЯ СЕБЕСТОИМОСТЬ СТОКИ 2018'!коррект</definedName>
    <definedName name="коррект_14" localSheetId="10">'Прил. 1 План ФХД вода табл. 2'!коррект</definedName>
    <definedName name="коррект_14" localSheetId="9">'Прил. 1 План ФХД стоки табл 2'!коррект</definedName>
    <definedName name="коррект_14" localSheetId="8">'Прил. 1 План ФХД табл 1'!коррект</definedName>
    <definedName name="коррект_14" localSheetId="13">'Произв. прогр. Вода'!коррект</definedName>
    <definedName name="коррект_14" localSheetId="14">'Произв. прогр. Вода (СВОД)'!коррект</definedName>
    <definedName name="коррект_14" localSheetId="12">'Произв. прогр. Стоки'!коррект</definedName>
    <definedName name="коррект_14" localSheetId="11">'Произв. прогр. Стоки (СВОД)'!коррект</definedName>
    <definedName name="коррект_14" localSheetId="41">'Расчет налог. обяз. 2018'!коррект</definedName>
    <definedName name="коррект_14" localSheetId="42">'рез к 2017'!коррект</definedName>
    <definedName name="коррект_14" localSheetId="46">'рез к 2018'!коррект</definedName>
    <definedName name="коррект_14" localSheetId="22">ТН!коррект</definedName>
    <definedName name="коррект_14" localSheetId="3">'ФАКТ. СЕБЕСТ ВОДА 1 пол.2018'!коррект</definedName>
    <definedName name="коррект_14" localSheetId="1">'ФАКТ. СЕБЕСТ. СТОКИ 1 пол. 2018'!коррект</definedName>
    <definedName name="коррект_14">[0]!коррект</definedName>
    <definedName name="коррект_15" localSheetId="21">А!коррект</definedName>
    <definedName name="коррект_15" localSheetId="43">'вод.налог 2018'!коррект</definedName>
    <definedName name="коррект_15" localSheetId="33">'ЗП с факт 3 кв. 2015'!коррект</definedName>
    <definedName name="коррект_15" localSheetId="44">'имушество 2018'!коррект</definedName>
    <definedName name="коррект_15" localSheetId="40">'налоги 2018'!коррект</definedName>
    <definedName name="коррект_15" localSheetId="4">'ПОЛНАЯ СЕБЕСТОИМОСТЬ ВОДА 2018'!коррект</definedName>
    <definedName name="коррект_15" localSheetId="2">'ПОЛНАЯ СЕБЕСТОИМОСТЬ СТОКИ 2018'!коррект</definedName>
    <definedName name="коррект_15" localSheetId="10">'Прил. 1 План ФХД вода табл. 2'!коррект</definedName>
    <definedName name="коррект_15" localSheetId="9">'Прил. 1 План ФХД стоки табл 2'!коррект</definedName>
    <definedName name="коррект_15" localSheetId="8">'Прил. 1 План ФХД табл 1'!коррект</definedName>
    <definedName name="коррект_15" localSheetId="13">'Произв. прогр. Вода'!коррект</definedName>
    <definedName name="коррект_15" localSheetId="14">'Произв. прогр. Вода (СВОД)'!коррект</definedName>
    <definedName name="коррект_15" localSheetId="12">'Произв. прогр. Стоки'!коррект</definedName>
    <definedName name="коррект_15" localSheetId="11">'Произв. прогр. Стоки (СВОД)'!коррект</definedName>
    <definedName name="коррект_15" localSheetId="41">'Расчет налог. обяз. 2018'!коррект</definedName>
    <definedName name="коррект_15" localSheetId="42">'рез к 2017'!коррект</definedName>
    <definedName name="коррект_15" localSheetId="46">'рез к 2018'!коррект</definedName>
    <definedName name="коррект_15" localSheetId="22">ТН!коррект</definedName>
    <definedName name="коррект_15" localSheetId="3">'ФАКТ. СЕБЕСТ ВОДА 1 пол.2018'!коррект</definedName>
    <definedName name="коррект_15" localSheetId="1">'ФАКТ. СЕБЕСТ. СТОКИ 1 пол. 2018'!коррект</definedName>
    <definedName name="коррект_15">[0]!коррект</definedName>
    <definedName name="коррект_16" localSheetId="21">А!коррект</definedName>
    <definedName name="коррект_16" localSheetId="43">'вод.налог 2018'!коррект</definedName>
    <definedName name="коррект_16" localSheetId="33">'ЗП с факт 3 кв. 2015'!коррект</definedName>
    <definedName name="коррект_16" localSheetId="44">'имушество 2018'!коррект</definedName>
    <definedName name="коррект_16" localSheetId="40">'налоги 2018'!коррект</definedName>
    <definedName name="коррект_16" localSheetId="4">'ПОЛНАЯ СЕБЕСТОИМОСТЬ ВОДА 2018'!коррект</definedName>
    <definedName name="коррект_16" localSheetId="2">'ПОЛНАЯ СЕБЕСТОИМОСТЬ СТОКИ 2018'!коррект</definedName>
    <definedName name="коррект_16" localSheetId="10">'Прил. 1 План ФХД вода табл. 2'!коррект</definedName>
    <definedName name="коррект_16" localSheetId="9">'Прил. 1 План ФХД стоки табл 2'!коррект</definedName>
    <definedName name="коррект_16" localSheetId="8">'Прил. 1 План ФХД табл 1'!коррект</definedName>
    <definedName name="коррект_16" localSheetId="13">'Произв. прогр. Вода'!коррект</definedName>
    <definedName name="коррект_16" localSheetId="14">'Произв. прогр. Вода (СВОД)'!коррект</definedName>
    <definedName name="коррект_16" localSheetId="12">'Произв. прогр. Стоки'!коррект</definedName>
    <definedName name="коррект_16" localSheetId="11">'Произв. прогр. Стоки (СВОД)'!коррект</definedName>
    <definedName name="коррект_16" localSheetId="41">'Расчет налог. обяз. 2018'!коррект</definedName>
    <definedName name="коррект_16" localSheetId="42">'рез к 2017'!коррект</definedName>
    <definedName name="коррект_16" localSheetId="46">'рез к 2018'!коррект</definedName>
    <definedName name="коррект_16" localSheetId="22">ТН!коррект</definedName>
    <definedName name="коррект_16" localSheetId="3">'ФАКТ. СЕБЕСТ ВОДА 1 пол.2018'!коррект</definedName>
    <definedName name="коррект_16" localSheetId="1">'ФАКТ. СЕБЕСТ. СТОКИ 1 пол. 2018'!коррект</definedName>
    <definedName name="коррект_16">[0]!коррект</definedName>
    <definedName name="коррект_2" localSheetId="21">А!коррект</definedName>
    <definedName name="коррект_2" localSheetId="43">'вод.налог 2018'!коррект</definedName>
    <definedName name="коррект_2" localSheetId="33">'ЗП с факт 3 кв. 2015'!коррект</definedName>
    <definedName name="коррект_2" localSheetId="44">'имушество 2018'!коррект</definedName>
    <definedName name="коррект_2" localSheetId="40">'налоги 2018'!коррект</definedName>
    <definedName name="коррект_2" localSheetId="4">'ПОЛНАЯ СЕБЕСТОИМОСТЬ ВОДА 2018'!коррект</definedName>
    <definedName name="коррект_2" localSheetId="2">'ПОЛНАЯ СЕБЕСТОИМОСТЬ СТОКИ 2018'!коррект</definedName>
    <definedName name="коррект_2" localSheetId="10">'Прил. 1 План ФХД вода табл. 2'!коррект</definedName>
    <definedName name="коррект_2" localSheetId="9">'Прил. 1 План ФХД стоки табл 2'!коррект</definedName>
    <definedName name="коррект_2" localSheetId="8">'Прил. 1 План ФХД табл 1'!коррект</definedName>
    <definedName name="коррект_2" localSheetId="13">'Произв. прогр. Вода'!коррект</definedName>
    <definedName name="коррект_2" localSheetId="14">'Произв. прогр. Вода (СВОД)'!коррект</definedName>
    <definedName name="коррект_2" localSheetId="12">'Произв. прогр. Стоки'!коррект</definedName>
    <definedName name="коррект_2" localSheetId="11">'Произв. прогр. Стоки (СВОД)'!коррект</definedName>
    <definedName name="коррект_2" localSheetId="41">'Расчет налог. обяз. 2018'!коррект</definedName>
    <definedName name="коррект_2" localSheetId="42">'рез к 2017'!коррект</definedName>
    <definedName name="коррект_2" localSheetId="46">'рез к 2018'!коррект</definedName>
    <definedName name="коррект_2" localSheetId="22">ТН!коррект</definedName>
    <definedName name="коррект_2" localSheetId="3">'ФАКТ. СЕБЕСТ ВОДА 1 пол.2018'!коррект</definedName>
    <definedName name="коррект_2" localSheetId="1">'ФАКТ. СЕБЕСТ. СТОКИ 1 пол. 2018'!коррект</definedName>
    <definedName name="коррект_2">[0]!коррект</definedName>
    <definedName name="кууееерототтт">#N/A</definedName>
    <definedName name="лист" localSheetId="21">А!лист</definedName>
    <definedName name="лист" localSheetId="43">'вод.налог 2018'!лист</definedName>
    <definedName name="лист" localSheetId="33">'ЗП с факт 3 кв. 2015'!лист</definedName>
    <definedName name="лист" localSheetId="44">'имушество 2018'!лист</definedName>
    <definedName name="лист" localSheetId="40">'налоги 2018'!лист</definedName>
    <definedName name="лист" localSheetId="4">#N/A</definedName>
    <definedName name="лист" localSheetId="2">#N/A</definedName>
    <definedName name="лист" localSheetId="10">#N/A</definedName>
    <definedName name="лист" localSheetId="9">#N/A</definedName>
    <definedName name="лист" localSheetId="8">#N/A</definedName>
    <definedName name="лист" localSheetId="13">#N/A</definedName>
    <definedName name="лист" localSheetId="14">#N/A</definedName>
    <definedName name="лист" localSheetId="12">#N/A</definedName>
    <definedName name="лист" localSheetId="11">#N/A</definedName>
    <definedName name="лист" localSheetId="41">'Расчет налог. обяз. 2018'!лист</definedName>
    <definedName name="лист" localSheetId="42">'рез к 2017'!лист</definedName>
    <definedName name="лист" localSheetId="46">'рез к 2018'!лист</definedName>
    <definedName name="лист" localSheetId="22">ТН!лист</definedName>
    <definedName name="лист" localSheetId="3">#N/A</definedName>
    <definedName name="лист" localSheetId="1">#N/A</definedName>
    <definedName name="лист">'ЗП с факт 3 кв. 2015'!лист</definedName>
    <definedName name="лист_10" localSheetId="21">А!лист</definedName>
    <definedName name="лист_10" localSheetId="43">'вод.налог 2018'!лист</definedName>
    <definedName name="лист_10" localSheetId="33">'ЗП с факт 3 кв. 2015'!лист</definedName>
    <definedName name="лист_10" localSheetId="44">'имушество 2018'!лист</definedName>
    <definedName name="лист_10" localSheetId="40">'налоги 2018'!лист</definedName>
    <definedName name="лист_10" localSheetId="4">'ПОЛНАЯ СЕБЕСТОИМОСТЬ ВОДА 2018'!лист</definedName>
    <definedName name="лист_10" localSheetId="2">'ПОЛНАЯ СЕБЕСТОИМОСТЬ СТОКИ 2018'!лист</definedName>
    <definedName name="лист_10" localSheetId="10">'Прил. 1 План ФХД вода табл. 2'!лист</definedName>
    <definedName name="лист_10" localSheetId="9">'Прил. 1 План ФХД стоки табл 2'!лист</definedName>
    <definedName name="лист_10" localSheetId="8">'Прил. 1 План ФХД табл 1'!лист</definedName>
    <definedName name="лист_10" localSheetId="13">'Произв. прогр. Вода'!лист</definedName>
    <definedName name="лист_10" localSheetId="14">'Произв. прогр. Вода (СВОД)'!лист</definedName>
    <definedName name="лист_10" localSheetId="12">'Произв. прогр. Стоки'!лист</definedName>
    <definedName name="лист_10" localSheetId="11">'Произв. прогр. Стоки (СВОД)'!лист</definedName>
    <definedName name="лист_10" localSheetId="41">'Расчет налог. обяз. 2018'!лист</definedName>
    <definedName name="лист_10" localSheetId="42">'рез к 2017'!лист</definedName>
    <definedName name="лист_10" localSheetId="46">'рез к 2018'!лист</definedName>
    <definedName name="лист_10" localSheetId="22">ТН!лист</definedName>
    <definedName name="лист_10" localSheetId="3">'ФАКТ. СЕБЕСТ ВОДА 1 пол.2018'!лист</definedName>
    <definedName name="лист_10" localSheetId="1">'ФАКТ. СЕБЕСТ. СТОКИ 1 пол. 2018'!лист</definedName>
    <definedName name="лист_10">[0]!лист</definedName>
    <definedName name="лист_14" localSheetId="21">А!лист</definedName>
    <definedName name="лист_14" localSheetId="43">'вод.налог 2018'!лист</definedName>
    <definedName name="лист_14" localSheetId="33">'ЗП с факт 3 кв. 2015'!лист</definedName>
    <definedName name="лист_14" localSheetId="44">'имушество 2018'!лист</definedName>
    <definedName name="лист_14" localSheetId="40">'налоги 2018'!лист</definedName>
    <definedName name="лист_14" localSheetId="4">'ПОЛНАЯ СЕБЕСТОИМОСТЬ ВОДА 2018'!лист</definedName>
    <definedName name="лист_14" localSheetId="2">'ПОЛНАЯ СЕБЕСТОИМОСТЬ СТОКИ 2018'!лист</definedName>
    <definedName name="лист_14" localSheetId="10">'Прил. 1 План ФХД вода табл. 2'!лист</definedName>
    <definedName name="лист_14" localSheetId="9">'Прил. 1 План ФХД стоки табл 2'!лист</definedName>
    <definedName name="лист_14" localSheetId="8">'Прил. 1 План ФХД табл 1'!лист</definedName>
    <definedName name="лист_14" localSheetId="13">'Произв. прогр. Вода'!лист</definedName>
    <definedName name="лист_14" localSheetId="14">'Произв. прогр. Вода (СВОД)'!лист</definedName>
    <definedName name="лист_14" localSheetId="12">'Произв. прогр. Стоки'!лист</definedName>
    <definedName name="лист_14" localSheetId="11">'Произв. прогр. Стоки (СВОД)'!лист</definedName>
    <definedName name="лист_14" localSheetId="41">'Расчет налог. обяз. 2018'!лист</definedName>
    <definedName name="лист_14" localSheetId="42">'рез к 2017'!лист</definedName>
    <definedName name="лист_14" localSheetId="46">'рез к 2018'!лист</definedName>
    <definedName name="лист_14" localSheetId="22">ТН!лист</definedName>
    <definedName name="лист_14" localSheetId="3">'ФАКТ. СЕБЕСТ ВОДА 1 пол.2018'!лист</definedName>
    <definedName name="лист_14" localSheetId="1">'ФАКТ. СЕБЕСТ. СТОКИ 1 пол. 2018'!лист</definedName>
    <definedName name="лист_14">[0]!лист</definedName>
    <definedName name="лист_15" localSheetId="21">А!лист</definedName>
    <definedName name="лист_15" localSheetId="43">'вод.налог 2018'!лист</definedName>
    <definedName name="лист_15" localSheetId="33">'ЗП с факт 3 кв. 2015'!лист</definedName>
    <definedName name="лист_15" localSheetId="44">'имушество 2018'!лист</definedName>
    <definedName name="лист_15" localSheetId="40">'налоги 2018'!лист</definedName>
    <definedName name="лист_15" localSheetId="4">'ПОЛНАЯ СЕБЕСТОИМОСТЬ ВОДА 2018'!лист</definedName>
    <definedName name="лист_15" localSheetId="2">'ПОЛНАЯ СЕБЕСТОИМОСТЬ СТОКИ 2018'!лист</definedName>
    <definedName name="лист_15" localSheetId="10">'Прил. 1 План ФХД вода табл. 2'!лист</definedName>
    <definedName name="лист_15" localSheetId="9">'Прил. 1 План ФХД стоки табл 2'!лист</definedName>
    <definedName name="лист_15" localSheetId="8">'Прил. 1 План ФХД табл 1'!лист</definedName>
    <definedName name="лист_15" localSheetId="13">'Произв. прогр. Вода'!лист</definedName>
    <definedName name="лист_15" localSheetId="14">'Произв. прогр. Вода (СВОД)'!лист</definedName>
    <definedName name="лист_15" localSheetId="12">'Произв. прогр. Стоки'!лист</definedName>
    <definedName name="лист_15" localSheetId="11">'Произв. прогр. Стоки (СВОД)'!лист</definedName>
    <definedName name="лист_15" localSheetId="41">'Расчет налог. обяз. 2018'!лист</definedName>
    <definedName name="лист_15" localSheetId="42">'рез к 2017'!лист</definedName>
    <definedName name="лист_15" localSheetId="46">'рез к 2018'!лист</definedName>
    <definedName name="лист_15" localSheetId="22">ТН!лист</definedName>
    <definedName name="лист_15" localSheetId="3">'ФАКТ. СЕБЕСТ ВОДА 1 пол.2018'!лист</definedName>
    <definedName name="лист_15" localSheetId="1">'ФАКТ. СЕБЕСТ. СТОКИ 1 пол. 2018'!лист</definedName>
    <definedName name="лист_15">[0]!лист</definedName>
    <definedName name="лист_16" localSheetId="21">А!лист</definedName>
    <definedName name="лист_16" localSheetId="43">'вод.налог 2018'!лист</definedName>
    <definedName name="лист_16" localSheetId="33">'ЗП с факт 3 кв. 2015'!лист</definedName>
    <definedName name="лист_16" localSheetId="44">'имушество 2018'!лист</definedName>
    <definedName name="лист_16" localSheetId="40">'налоги 2018'!лист</definedName>
    <definedName name="лист_16" localSheetId="4">'ПОЛНАЯ СЕБЕСТОИМОСТЬ ВОДА 2018'!лист</definedName>
    <definedName name="лист_16" localSheetId="2">'ПОЛНАЯ СЕБЕСТОИМОСТЬ СТОКИ 2018'!лист</definedName>
    <definedName name="лист_16" localSheetId="10">'Прил. 1 План ФХД вода табл. 2'!лист</definedName>
    <definedName name="лист_16" localSheetId="9">'Прил. 1 План ФХД стоки табл 2'!лист</definedName>
    <definedName name="лист_16" localSheetId="8">'Прил. 1 План ФХД табл 1'!лист</definedName>
    <definedName name="лист_16" localSheetId="13">'Произв. прогр. Вода'!лист</definedName>
    <definedName name="лист_16" localSheetId="14">'Произв. прогр. Вода (СВОД)'!лист</definedName>
    <definedName name="лист_16" localSheetId="12">'Произв. прогр. Стоки'!лист</definedName>
    <definedName name="лист_16" localSheetId="11">'Произв. прогр. Стоки (СВОД)'!лист</definedName>
    <definedName name="лист_16" localSheetId="41">'Расчет налог. обяз. 2018'!лист</definedName>
    <definedName name="лист_16" localSheetId="42">'рез к 2017'!лист</definedName>
    <definedName name="лист_16" localSheetId="46">'рез к 2018'!лист</definedName>
    <definedName name="лист_16" localSheetId="22">ТН!лист</definedName>
    <definedName name="лист_16" localSheetId="3">'ФАКТ. СЕБЕСТ ВОДА 1 пол.2018'!лист</definedName>
    <definedName name="лист_16" localSheetId="1">'ФАКТ. СЕБЕСТ. СТОКИ 1 пол. 2018'!лист</definedName>
    <definedName name="лист_16">[0]!лист</definedName>
    <definedName name="лист_2" localSheetId="21">А!лист</definedName>
    <definedName name="лист_2" localSheetId="43">'вод.налог 2018'!лист</definedName>
    <definedName name="лист_2" localSheetId="33">'ЗП с факт 3 кв. 2015'!лист</definedName>
    <definedName name="лист_2" localSheetId="44">'имушество 2018'!лист</definedName>
    <definedName name="лист_2" localSheetId="40">'налоги 2018'!лист</definedName>
    <definedName name="лист_2" localSheetId="4">'ПОЛНАЯ СЕБЕСТОИМОСТЬ ВОДА 2018'!лист</definedName>
    <definedName name="лист_2" localSheetId="2">'ПОЛНАЯ СЕБЕСТОИМОСТЬ СТОКИ 2018'!лист</definedName>
    <definedName name="лист_2" localSheetId="10">'Прил. 1 План ФХД вода табл. 2'!лист</definedName>
    <definedName name="лист_2" localSheetId="9">'Прил. 1 План ФХД стоки табл 2'!лист</definedName>
    <definedName name="лист_2" localSheetId="8">'Прил. 1 План ФХД табл 1'!лист</definedName>
    <definedName name="лист_2" localSheetId="13">'Произв. прогр. Вода'!лист</definedName>
    <definedName name="лист_2" localSheetId="14">'Произв. прогр. Вода (СВОД)'!лист</definedName>
    <definedName name="лист_2" localSheetId="12">'Произв. прогр. Стоки'!лист</definedName>
    <definedName name="лист_2" localSheetId="11">'Произв. прогр. Стоки (СВОД)'!лист</definedName>
    <definedName name="лист_2" localSheetId="41">'Расчет налог. обяз. 2018'!лист</definedName>
    <definedName name="лист_2" localSheetId="42">'рез к 2017'!лист</definedName>
    <definedName name="лист_2" localSheetId="46">'рез к 2018'!лист</definedName>
    <definedName name="лист_2" localSheetId="22">ТН!лист</definedName>
    <definedName name="лист_2" localSheetId="3">'ФАКТ. СЕБЕСТ ВОДА 1 пол.2018'!лист</definedName>
    <definedName name="лист_2" localSheetId="1">'ФАКТ. СЕБЕСТ. СТОКИ 1 пол. 2018'!лист</definedName>
    <definedName name="лист_2">[0]!лист</definedName>
    <definedName name="лоекнукеущшбь">[9]Нормат!$J$23</definedName>
    <definedName name="лпоапкпвввввв">[10]Нормат!$J$23</definedName>
    <definedName name="мааппенннннннннннн">#N/A</definedName>
    <definedName name="маиттььббллл">#N/A</definedName>
    <definedName name="мапеенроооо" localSheetId="33">#REF!</definedName>
    <definedName name="мапеенроооо" localSheetId="8">#REF!</definedName>
    <definedName name="мапеенроооо" localSheetId="20">#REF!</definedName>
    <definedName name="мапеенроооо" localSheetId="16">#REF!</definedName>
    <definedName name="мапеенроооо" localSheetId="61">#REF!</definedName>
    <definedName name="мапеенроооо" localSheetId="60">#REF!</definedName>
    <definedName name="мапеенроооо" localSheetId="59">#REF!</definedName>
    <definedName name="мапеенроооо" localSheetId="37">#REF!</definedName>
    <definedName name="мапеенроооо" localSheetId="29">#REF!</definedName>
    <definedName name="мапеенроооо" localSheetId="27">#REF!</definedName>
    <definedName name="мапеенроооо">#REF!</definedName>
    <definedName name="мапппппппппп" localSheetId="33">#REF!</definedName>
    <definedName name="мапппппппппп" localSheetId="8">#REF!</definedName>
    <definedName name="мапппппппппп" localSheetId="20">#REF!</definedName>
    <definedName name="мапппппппппп" localSheetId="16">#REF!</definedName>
    <definedName name="мапппппппппп" localSheetId="61">#REF!</definedName>
    <definedName name="мапппппппппп" localSheetId="60">#REF!</definedName>
    <definedName name="мапппппппппп" localSheetId="59">#REF!</definedName>
    <definedName name="мапппппппппп" localSheetId="37">#REF!</definedName>
    <definedName name="мапппппппппп" localSheetId="29">#REF!</definedName>
    <definedName name="мапппппппппп" localSheetId="27">#REF!</definedName>
    <definedName name="мапппппппппп">#REF!</definedName>
    <definedName name="мипакенроггггг">#N/A</definedName>
    <definedName name="НАЛ" localSheetId="21">А!НАЛ</definedName>
    <definedName name="НАЛ" localSheetId="43">'вод.налог 2018'!НАЛ</definedName>
    <definedName name="НАЛ" localSheetId="33">'ЗП с факт 3 кв. 2015'!НАЛ</definedName>
    <definedName name="НАЛ" localSheetId="44">'имушество 2018'!НАЛ</definedName>
    <definedName name="НАЛ" localSheetId="40">'налоги 2018'!НАЛ</definedName>
    <definedName name="НАЛ" localSheetId="4">#N/A</definedName>
    <definedName name="НАЛ" localSheetId="2">#N/A</definedName>
    <definedName name="НАЛ" localSheetId="10">#N/A</definedName>
    <definedName name="НАЛ" localSheetId="9">#N/A</definedName>
    <definedName name="НАЛ" localSheetId="8">#N/A</definedName>
    <definedName name="НАЛ" localSheetId="13">#N/A</definedName>
    <definedName name="НАЛ" localSheetId="14">#N/A</definedName>
    <definedName name="НАЛ" localSheetId="12">#N/A</definedName>
    <definedName name="НАЛ" localSheetId="11">#N/A</definedName>
    <definedName name="НАЛ" localSheetId="41">'Расчет налог. обяз. 2018'!НАЛ</definedName>
    <definedName name="НАЛ" localSheetId="42">'рез к 2017'!НАЛ</definedName>
    <definedName name="НАЛ" localSheetId="46">'рез к 2018'!НАЛ</definedName>
    <definedName name="НАЛ" localSheetId="22">ТН!НАЛ</definedName>
    <definedName name="НАЛ" localSheetId="3">#N/A</definedName>
    <definedName name="НАЛ" localSheetId="1">#N/A</definedName>
    <definedName name="НАЛ">'ЗП с факт 3 кв. 2015'!НАЛ</definedName>
    <definedName name="НАЛ_10" localSheetId="21">А!НАЛ</definedName>
    <definedName name="НАЛ_10" localSheetId="43">'вод.налог 2018'!НАЛ</definedName>
    <definedName name="НАЛ_10" localSheetId="33">'ЗП с факт 3 кв. 2015'!НАЛ</definedName>
    <definedName name="НАЛ_10" localSheetId="44">'имушество 2018'!НАЛ</definedName>
    <definedName name="НАЛ_10" localSheetId="40">'налоги 2018'!НАЛ</definedName>
    <definedName name="НАЛ_10" localSheetId="4">'ПОЛНАЯ СЕБЕСТОИМОСТЬ ВОДА 2018'!НАЛ</definedName>
    <definedName name="НАЛ_10" localSheetId="2">'ПОЛНАЯ СЕБЕСТОИМОСТЬ СТОКИ 2018'!НАЛ</definedName>
    <definedName name="НАЛ_10" localSheetId="10">'Прил. 1 План ФХД вода табл. 2'!НАЛ</definedName>
    <definedName name="НАЛ_10" localSheetId="9">'Прил. 1 План ФХД стоки табл 2'!НАЛ</definedName>
    <definedName name="НАЛ_10" localSheetId="8">'Прил. 1 План ФХД табл 1'!НАЛ</definedName>
    <definedName name="НАЛ_10" localSheetId="13">'Произв. прогр. Вода'!НАЛ</definedName>
    <definedName name="НАЛ_10" localSheetId="14">'Произв. прогр. Вода (СВОД)'!НАЛ</definedName>
    <definedName name="НАЛ_10" localSheetId="12">'Произв. прогр. Стоки'!НАЛ</definedName>
    <definedName name="НАЛ_10" localSheetId="11">'Произв. прогр. Стоки (СВОД)'!НАЛ</definedName>
    <definedName name="НАЛ_10" localSheetId="41">'Расчет налог. обяз. 2018'!НАЛ</definedName>
    <definedName name="НАЛ_10" localSheetId="42">'рез к 2017'!НАЛ</definedName>
    <definedName name="НАЛ_10" localSheetId="46">'рез к 2018'!НАЛ</definedName>
    <definedName name="НАЛ_10" localSheetId="22">ТН!НАЛ</definedName>
    <definedName name="НАЛ_10" localSheetId="3">'ФАКТ. СЕБЕСТ ВОДА 1 пол.2018'!НАЛ</definedName>
    <definedName name="НАЛ_10" localSheetId="1">'ФАКТ. СЕБЕСТ. СТОКИ 1 пол. 2018'!НАЛ</definedName>
    <definedName name="НАЛ_10">[0]!НАЛ</definedName>
    <definedName name="НАЛ_14" localSheetId="21">А!НАЛ</definedName>
    <definedName name="НАЛ_14" localSheetId="43">'вод.налог 2018'!НАЛ</definedName>
    <definedName name="НАЛ_14" localSheetId="33">'ЗП с факт 3 кв. 2015'!НАЛ</definedName>
    <definedName name="НАЛ_14" localSheetId="44">'имушество 2018'!НАЛ</definedName>
    <definedName name="НАЛ_14" localSheetId="40">'налоги 2018'!НАЛ</definedName>
    <definedName name="НАЛ_14" localSheetId="4">'ПОЛНАЯ СЕБЕСТОИМОСТЬ ВОДА 2018'!НАЛ</definedName>
    <definedName name="НАЛ_14" localSheetId="2">'ПОЛНАЯ СЕБЕСТОИМОСТЬ СТОКИ 2018'!НАЛ</definedName>
    <definedName name="НАЛ_14" localSheetId="10">'Прил. 1 План ФХД вода табл. 2'!НАЛ</definedName>
    <definedName name="НАЛ_14" localSheetId="9">'Прил. 1 План ФХД стоки табл 2'!НАЛ</definedName>
    <definedName name="НАЛ_14" localSheetId="8">'Прил. 1 План ФХД табл 1'!НАЛ</definedName>
    <definedName name="НАЛ_14" localSheetId="13">'Произв. прогр. Вода'!НАЛ</definedName>
    <definedName name="НАЛ_14" localSheetId="14">'Произв. прогр. Вода (СВОД)'!НАЛ</definedName>
    <definedName name="НАЛ_14" localSheetId="12">'Произв. прогр. Стоки'!НАЛ</definedName>
    <definedName name="НАЛ_14" localSheetId="11">'Произв. прогр. Стоки (СВОД)'!НАЛ</definedName>
    <definedName name="НАЛ_14" localSheetId="41">'Расчет налог. обяз. 2018'!НАЛ</definedName>
    <definedName name="НАЛ_14" localSheetId="42">'рез к 2017'!НАЛ</definedName>
    <definedName name="НАЛ_14" localSheetId="46">'рез к 2018'!НАЛ</definedName>
    <definedName name="НАЛ_14" localSheetId="22">ТН!НАЛ</definedName>
    <definedName name="НАЛ_14" localSheetId="3">'ФАКТ. СЕБЕСТ ВОДА 1 пол.2018'!НАЛ</definedName>
    <definedName name="НАЛ_14" localSheetId="1">'ФАКТ. СЕБЕСТ. СТОКИ 1 пол. 2018'!НАЛ</definedName>
    <definedName name="НАЛ_14">[0]!НАЛ</definedName>
    <definedName name="НАЛ_15" localSheetId="21">А!НАЛ</definedName>
    <definedName name="НАЛ_15" localSheetId="43">'вод.налог 2018'!НАЛ</definedName>
    <definedName name="НАЛ_15" localSheetId="33">'ЗП с факт 3 кв. 2015'!НАЛ</definedName>
    <definedName name="НАЛ_15" localSheetId="44">'имушество 2018'!НАЛ</definedName>
    <definedName name="НАЛ_15" localSheetId="40">'налоги 2018'!НАЛ</definedName>
    <definedName name="НАЛ_15" localSheetId="4">'ПОЛНАЯ СЕБЕСТОИМОСТЬ ВОДА 2018'!НАЛ</definedName>
    <definedName name="НАЛ_15" localSheetId="2">'ПОЛНАЯ СЕБЕСТОИМОСТЬ СТОКИ 2018'!НАЛ</definedName>
    <definedName name="НАЛ_15" localSheetId="10">'Прил. 1 План ФХД вода табл. 2'!НАЛ</definedName>
    <definedName name="НАЛ_15" localSheetId="9">'Прил. 1 План ФХД стоки табл 2'!НАЛ</definedName>
    <definedName name="НАЛ_15" localSheetId="8">'Прил. 1 План ФХД табл 1'!НАЛ</definedName>
    <definedName name="НАЛ_15" localSheetId="13">'Произв. прогр. Вода'!НАЛ</definedName>
    <definedName name="НАЛ_15" localSheetId="14">'Произв. прогр. Вода (СВОД)'!НАЛ</definedName>
    <definedName name="НАЛ_15" localSheetId="12">'Произв. прогр. Стоки'!НАЛ</definedName>
    <definedName name="НАЛ_15" localSheetId="11">'Произв. прогр. Стоки (СВОД)'!НАЛ</definedName>
    <definedName name="НАЛ_15" localSheetId="41">'Расчет налог. обяз. 2018'!НАЛ</definedName>
    <definedName name="НАЛ_15" localSheetId="42">'рез к 2017'!НАЛ</definedName>
    <definedName name="НАЛ_15" localSheetId="46">'рез к 2018'!НАЛ</definedName>
    <definedName name="НАЛ_15" localSheetId="22">ТН!НАЛ</definedName>
    <definedName name="НАЛ_15" localSheetId="3">'ФАКТ. СЕБЕСТ ВОДА 1 пол.2018'!НАЛ</definedName>
    <definedName name="НАЛ_15" localSheetId="1">'ФАКТ. СЕБЕСТ. СТОКИ 1 пол. 2018'!НАЛ</definedName>
    <definedName name="НАЛ_15">[0]!НАЛ</definedName>
    <definedName name="НАЛ_16" localSheetId="21">А!НАЛ</definedName>
    <definedName name="НАЛ_16" localSheetId="43">'вод.налог 2018'!НАЛ</definedName>
    <definedName name="НАЛ_16" localSheetId="33">'ЗП с факт 3 кв. 2015'!НАЛ</definedName>
    <definedName name="НАЛ_16" localSheetId="44">'имушество 2018'!НАЛ</definedName>
    <definedName name="НАЛ_16" localSheetId="40">'налоги 2018'!НАЛ</definedName>
    <definedName name="НАЛ_16" localSheetId="4">'ПОЛНАЯ СЕБЕСТОИМОСТЬ ВОДА 2018'!НАЛ</definedName>
    <definedName name="НАЛ_16" localSheetId="2">'ПОЛНАЯ СЕБЕСТОИМОСТЬ СТОКИ 2018'!НАЛ</definedName>
    <definedName name="НАЛ_16" localSheetId="10">'Прил. 1 План ФХД вода табл. 2'!НАЛ</definedName>
    <definedName name="НАЛ_16" localSheetId="9">'Прил. 1 План ФХД стоки табл 2'!НАЛ</definedName>
    <definedName name="НАЛ_16" localSheetId="8">'Прил. 1 План ФХД табл 1'!НАЛ</definedName>
    <definedName name="НАЛ_16" localSheetId="13">'Произв. прогр. Вода'!НАЛ</definedName>
    <definedName name="НАЛ_16" localSheetId="14">'Произв. прогр. Вода (СВОД)'!НАЛ</definedName>
    <definedName name="НАЛ_16" localSheetId="12">'Произв. прогр. Стоки'!НАЛ</definedName>
    <definedName name="НАЛ_16" localSheetId="11">'Произв. прогр. Стоки (СВОД)'!НАЛ</definedName>
    <definedName name="НАЛ_16" localSheetId="41">'Расчет налог. обяз. 2018'!НАЛ</definedName>
    <definedName name="НАЛ_16" localSheetId="42">'рез к 2017'!НАЛ</definedName>
    <definedName name="НАЛ_16" localSheetId="46">'рез к 2018'!НАЛ</definedName>
    <definedName name="НАЛ_16" localSheetId="22">ТН!НАЛ</definedName>
    <definedName name="НАЛ_16" localSheetId="3">'ФАКТ. СЕБЕСТ ВОДА 1 пол.2018'!НАЛ</definedName>
    <definedName name="НАЛ_16" localSheetId="1">'ФАКТ. СЕБЕСТ. СТОКИ 1 пол. 2018'!НАЛ</definedName>
    <definedName name="НАЛ_16">[0]!НАЛ</definedName>
    <definedName name="НАЛ_2" localSheetId="21">А!НАЛ</definedName>
    <definedName name="НАЛ_2" localSheetId="43">'вод.налог 2018'!НАЛ</definedName>
    <definedName name="НАЛ_2" localSheetId="33">'ЗП с факт 3 кв. 2015'!НАЛ</definedName>
    <definedName name="НАЛ_2" localSheetId="44">'имушество 2018'!НАЛ</definedName>
    <definedName name="НАЛ_2" localSheetId="40">'налоги 2018'!НАЛ</definedName>
    <definedName name="НАЛ_2" localSheetId="4">'ПОЛНАЯ СЕБЕСТОИМОСТЬ ВОДА 2018'!НАЛ</definedName>
    <definedName name="НАЛ_2" localSheetId="2">'ПОЛНАЯ СЕБЕСТОИМОСТЬ СТОКИ 2018'!НАЛ</definedName>
    <definedName name="НАЛ_2" localSheetId="10">'Прил. 1 План ФХД вода табл. 2'!НАЛ</definedName>
    <definedName name="НАЛ_2" localSheetId="9">'Прил. 1 План ФХД стоки табл 2'!НАЛ</definedName>
    <definedName name="НАЛ_2" localSheetId="8">'Прил. 1 План ФХД табл 1'!НАЛ</definedName>
    <definedName name="НАЛ_2" localSheetId="13">'Произв. прогр. Вода'!НАЛ</definedName>
    <definedName name="НАЛ_2" localSheetId="14">'Произв. прогр. Вода (СВОД)'!НАЛ</definedName>
    <definedName name="НАЛ_2" localSheetId="12">'Произв. прогр. Стоки'!НАЛ</definedName>
    <definedName name="НАЛ_2" localSheetId="11">'Произв. прогр. Стоки (СВОД)'!НАЛ</definedName>
    <definedName name="НАЛ_2" localSheetId="41">'Расчет налог. обяз. 2018'!НАЛ</definedName>
    <definedName name="НАЛ_2" localSheetId="42">'рез к 2017'!НАЛ</definedName>
    <definedName name="НАЛ_2" localSheetId="46">'рез к 2018'!НАЛ</definedName>
    <definedName name="НАЛ_2" localSheetId="22">ТН!НАЛ</definedName>
    <definedName name="НАЛ_2" localSheetId="3">'ФАКТ. СЕБЕСТ ВОДА 1 пол.2018'!НАЛ</definedName>
    <definedName name="НАЛ_2" localSheetId="1">'ФАКТ. СЕБЕСТ. СТОКИ 1 пол. 2018'!НАЛ</definedName>
    <definedName name="НАЛ_2">[0]!НАЛ</definedName>
    <definedName name="НАЛИЧКА" localSheetId="21">А!НАЛИЧКА</definedName>
    <definedName name="НАЛИЧКА" localSheetId="43">'вод.налог 2018'!НАЛИЧКА</definedName>
    <definedName name="НАЛИЧКА" localSheetId="33">'ЗП с факт 3 кв. 2015'!НАЛИЧКА</definedName>
    <definedName name="НАЛИЧКА" localSheetId="44">'имушество 2018'!НАЛИЧКА</definedName>
    <definedName name="НАЛИЧКА" localSheetId="40">'налоги 2018'!НАЛИЧКА</definedName>
    <definedName name="НАЛИЧКА" localSheetId="4">#N/A</definedName>
    <definedName name="НАЛИЧКА" localSheetId="2">#N/A</definedName>
    <definedName name="НАЛИЧКА" localSheetId="10">#N/A</definedName>
    <definedName name="НАЛИЧКА" localSheetId="9">#N/A</definedName>
    <definedName name="НАЛИЧКА" localSheetId="8">#N/A</definedName>
    <definedName name="НАЛИЧКА" localSheetId="13">#N/A</definedName>
    <definedName name="НАЛИЧКА" localSheetId="14">#N/A</definedName>
    <definedName name="НАЛИЧКА" localSheetId="12">#N/A</definedName>
    <definedName name="НАЛИЧКА" localSheetId="11">#N/A</definedName>
    <definedName name="НАЛИЧКА" localSheetId="41">'Расчет налог. обяз. 2018'!НАЛИЧКА</definedName>
    <definedName name="НАЛИЧКА" localSheetId="42">'рез к 2017'!НАЛИЧКА</definedName>
    <definedName name="НАЛИЧКА" localSheetId="46">'рез к 2018'!НАЛИЧКА</definedName>
    <definedName name="НАЛИЧКА" localSheetId="22">ТН!НАЛИЧКА</definedName>
    <definedName name="НАЛИЧКА" localSheetId="3">#N/A</definedName>
    <definedName name="НАЛИЧКА" localSheetId="1">#N/A</definedName>
    <definedName name="НАЛИЧКА">'ЗП с факт 3 кв. 2015'!НАЛИЧКА</definedName>
    <definedName name="НАЛИЧКА_10" localSheetId="21">А!НАЛИЧКА</definedName>
    <definedName name="НАЛИЧКА_10" localSheetId="43">'вод.налог 2018'!НАЛИЧКА</definedName>
    <definedName name="НАЛИЧКА_10" localSheetId="33">'ЗП с факт 3 кв. 2015'!НАЛИЧКА</definedName>
    <definedName name="НАЛИЧКА_10" localSheetId="44">'имушество 2018'!НАЛИЧКА</definedName>
    <definedName name="НАЛИЧКА_10" localSheetId="40">'налоги 2018'!НАЛИЧКА</definedName>
    <definedName name="НАЛИЧКА_10" localSheetId="4">'ПОЛНАЯ СЕБЕСТОИМОСТЬ ВОДА 2018'!НАЛИЧКА</definedName>
    <definedName name="НАЛИЧКА_10" localSheetId="2">'ПОЛНАЯ СЕБЕСТОИМОСТЬ СТОКИ 2018'!НАЛИЧКА</definedName>
    <definedName name="НАЛИЧКА_10" localSheetId="10">'Прил. 1 План ФХД вода табл. 2'!НАЛИЧКА</definedName>
    <definedName name="НАЛИЧКА_10" localSheetId="9">'Прил. 1 План ФХД стоки табл 2'!НАЛИЧКА</definedName>
    <definedName name="НАЛИЧКА_10" localSheetId="8">'Прил. 1 План ФХД табл 1'!НАЛИЧКА</definedName>
    <definedName name="НАЛИЧКА_10" localSheetId="13">'Произв. прогр. Вода'!НАЛИЧКА</definedName>
    <definedName name="НАЛИЧКА_10" localSheetId="14">'Произв. прогр. Вода (СВОД)'!НАЛИЧКА</definedName>
    <definedName name="НАЛИЧКА_10" localSheetId="12">'Произв. прогр. Стоки'!НАЛИЧКА</definedName>
    <definedName name="НАЛИЧКА_10" localSheetId="11">'Произв. прогр. Стоки (СВОД)'!НАЛИЧКА</definedName>
    <definedName name="НАЛИЧКА_10" localSheetId="41">'Расчет налог. обяз. 2018'!НАЛИЧКА</definedName>
    <definedName name="НАЛИЧКА_10" localSheetId="42">'рез к 2017'!НАЛИЧКА</definedName>
    <definedName name="НАЛИЧКА_10" localSheetId="46">'рез к 2018'!НАЛИЧКА</definedName>
    <definedName name="НАЛИЧКА_10" localSheetId="22">ТН!НАЛИЧКА</definedName>
    <definedName name="НАЛИЧКА_10" localSheetId="3">'ФАКТ. СЕБЕСТ ВОДА 1 пол.2018'!НАЛИЧКА</definedName>
    <definedName name="НАЛИЧКА_10" localSheetId="1">'ФАКТ. СЕБЕСТ. СТОКИ 1 пол. 2018'!НАЛИЧКА</definedName>
    <definedName name="НАЛИЧКА_10">[0]!НАЛИЧКА</definedName>
    <definedName name="НАЛИЧКА_14" localSheetId="21">А!НАЛИЧКА</definedName>
    <definedName name="НАЛИЧКА_14" localSheetId="43">'вод.налог 2018'!НАЛИЧКА</definedName>
    <definedName name="НАЛИЧКА_14" localSheetId="33">'ЗП с факт 3 кв. 2015'!НАЛИЧКА</definedName>
    <definedName name="НАЛИЧКА_14" localSheetId="44">'имушество 2018'!НАЛИЧКА</definedName>
    <definedName name="НАЛИЧКА_14" localSheetId="40">'налоги 2018'!НАЛИЧКА</definedName>
    <definedName name="НАЛИЧКА_14" localSheetId="4">'ПОЛНАЯ СЕБЕСТОИМОСТЬ ВОДА 2018'!НАЛИЧКА</definedName>
    <definedName name="НАЛИЧКА_14" localSheetId="2">'ПОЛНАЯ СЕБЕСТОИМОСТЬ СТОКИ 2018'!НАЛИЧКА</definedName>
    <definedName name="НАЛИЧКА_14" localSheetId="10">'Прил. 1 План ФХД вода табл. 2'!НАЛИЧКА</definedName>
    <definedName name="НАЛИЧКА_14" localSheetId="9">'Прил. 1 План ФХД стоки табл 2'!НАЛИЧКА</definedName>
    <definedName name="НАЛИЧКА_14" localSheetId="8">'Прил. 1 План ФХД табл 1'!НАЛИЧКА</definedName>
    <definedName name="НАЛИЧКА_14" localSheetId="13">'Произв. прогр. Вода'!НАЛИЧКА</definedName>
    <definedName name="НАЛИЧКА_14" localSheetId="14">'Произв. прогр. Вода (СВОД)'!НАЛИЧКА</definedName>
    <definedName name="НАЛИЧКА_14" localSheetId="12">'Произв. прогр. Стоки'!НАЛИЧКА</definedName>
    <definedName name="НАЛИЧКА_14" localSheetId="11">'Произв. прогр. Стоки (СВОД)'!НАЛИЧКА</definedName>
    <definedName name="НАЛИЧКА_14" localSheetId="41">'Расчет налог. обяз. 2018'!НАЛИЧКА</definedName>
    <definedName name="НАЛИЧКА_14" localSheetId="42">'рез к 2017'!НАЛИЧКА</definedName>
    <definedName name="НАЛИЧКА_14" localSheetId="46">'рез к 2018'!НАЛИЧКА</definedName>
    <definedName name="НАЛИЧКА_14" localSheetId="22">ТН!НАЛИЧКА</definedName>
    <definedName name="НАЛИЧКА_14" localSheetId="3">'ФАКТ. СЕБЕСТ ВОДА 1 пол.2018'!НАЛИЧКА</definedName>
    <definedName name="НАЛИЧКА_14" localSheetId="1">'ФАКТ. СЕБЕСТ. СТОКИ 1 пол. 2018'!НАЛИЧКА</definedName>
    <definedName name="НАЛИЧКА_14">[0]!НАЛИЧКА</definedName>
    <definedName name="НАЛИЧКА_15" localSheetId="21">А!НАЛИЧКА</definedName>
    <definedName name="НАЛИЧКА_15" localSheetId="43">'вод.налог 2018'!НАЛИЧКА</definedName>
    <definedName name="НАЛИЧКА_15" localSheetId="33">'ЗП с факт 3 кв. 2015'!НАЛИЧКА</definedName>
    <definedName name="НАЛИЧКА_15" localSheetId="44">'имушество 2018'!НАЛИЧКА</definedName>
    <definedName name="НАЛИЧКА_15" localSheetId="40">'налоги 2018'!НАЛИЧКА</definedName>
    <definedName name="НАЛИЧКА_15" localSheetId="4">'ПОЛНАЯ СЕБЕСТОИМОСТЬ ВОДА 2018'!НАЛИЧКА</definedName>
    <definedName name="НАЛИЧКА_15" localSheetId="2">'ПОЛНАЯ СЕБЕСТОИМОСТЬ СТОКИ 2018'!НАЛИЧКА</definedName>
    <definedName name="НАЛИЧКА_15" localSheetId="10">'Прил. 1 План ФХД вода табл. 2'!НАЛИЧКА</definedName>
    <definedName name="НАЛИЧКА_15" localSheetId="9">'Прил. 1 План ФХД стоки табл 2'!НАЛИЧКА</definedName>
    <definedName name="НАЛИЧКА_15" localSheetId="8">'Прил. 1 План ФХД табл 1'!НАЛИЧКА</definedName>
    <definedName name="НАЛИЧКА_15" localSheetId="13">'Произв. прогр. Вода'!НАЛИЧКА</definedName>
    <definedName name="НАЛИЧКА_15" localSheetId="14">'Произв. прогр. Вода (СВОД)'!НАЛИЧКА</definedName>
    <definedName name="НАЛИЧКА_15" localSheetId="12">'Произв. прогр. Стоки'!НАЛИЧКА</definedName>
    <definedName name="НАЛИЧКА_15" localSheetId="11">'Произв. прогр. Стоки (СВОД)'!НАЛИЧКА</definedName>
    <definedName name="НАЛИЧКА_15" localSheetId="41">'Расчет налог. обяз. 2018'!НАЛИЧКА</definedName>
    <definedName name="НАЛИЧКА_15" localSheetId="42">'рез к 2017'!НАЛИЧКА</definedName>
    <definedName name="НАЛИЧКА_15" localSheetId="46">'рез к 2018'!НАЛИЧКА</definedName>
    <definedName name="НАЛИЧКА_15" localSheetId="22">ТН!НАЛИЧКА</definedName>
    <definedName name="НАЛИЧКА_15" localSheetId="3">'ФАКТ. СЕБЕСТ ВОДА 1 пол.2018'!НАЛИЧКА</definedName>
    <definedName name="НАЛИЧКА_15" localSheetId="1">'ФАКТ. СЕБЕСТ. СТОКИ 1 пол. 2018'!НАЛИЧКА</definedName>
    <definedName name="НАЛИЧКА_15">[0]!НАЛИЧКА</definedName>
    <definedName name="НАЛИЧКА_16" localSheetId="21">А!НАЛИЧКА</definedName>
    <definedName name="НАЛИЧКА_16" localSheetId="43">'вод.налог 2018'!НАЛИЧКА</definedName>
    <definedName name="НАЛИЧКА_16" localSheetId="33">'ЗП с факт 3 кв. 2015'!НАЛИЧКА</definedName>
    <definedName name="НАЛИЧКА_16" localSheetId="44">'имушество 2018'!НАЛИЧКА</definedName>
    <definedName name="НАЛИЧКА_16" localSheetId="40">'налоги 2018'!НАЛИЧКА</definedName>
    <definedName name="НАЛИЧКА_16" localSheetId="4">'ПОЛНАЯ СЕБЕСТОИМОСТЬ ВОДА 2018'!НАЛИЧКА</definedName>
    <definedName name="НАЛИЧКА_16" localSheetId="2">'ПОЛНАЯ СЕБЕСТОИМОСТЬ СТОКИ 2018'!НАЛИЧКА</definedName>
    <definedName name="НАЛИЧКА_16" localSheetId="10">'Прил. 1 План ФХД вода табл. 2'!НАЛИЧКА</definedName>
    <definedName name="НАЛИЧКА_16" localSheetId="9">'Прил. 1 План ФХД стоки табл 2'!НАЛИЧКА</definedName>
    <definedName name="НАЛИЧКА_16" localSheetId="8">'Прил. 1 План ФХД табл 1'!НАЛИЧКА</definedName>
    <definedName name="НАЛИЧКА_16" localSheetId="13">'Произв. прогр. Вода'!НАЛИЧКА</definedName>
    <definedName name="НАЛИЧКА_16" localSheetId="14">'Произв. прогр. Вода (СВОД)'!НАЛИЧКА</definedName>
    <definedName name="НАЛИЧКА_16" localSheetId="12">'Произв. прогр. Стоки'!НАЛИЧКА</definedName>
    <definedName name="НАЛИЧКА_16" localSheetId="11">'Произв. прогр. Стоки (СВОД)'!НАЛИЧКА</definedName>
    <definedName name="НАЛИЧКА_16" localSheetId="41">'Расчет налог. обяз. 2018'!НАЛИЧКА</definedName>
    <definedName name="НАЛИЧКА_16" localSheetId="42">'рез к 2017'!НАЛИЧКА</definedName>
    <definedName name="НАЛИЧКА_16" localSheetId="46">'рез к 2018'!НАЛИЧКА</definedName>
    <definedName name="НАЛИЧКА_16" localSheetId="22">ТН!НАЛИЧКА</definedName>
    <definedName name="НАЛИЧКА_16" localSheetId="3">'ФАКТ. СЕБЕСТ ВОДА 1 пол.2018'!НАЛИЧКА</definedName>
    <definedName name="НАЛИЧКА_16" localSheetId="1">'ФАКТ. СЕБЕСТ. СТОКИ 1 пол. 2018'!НАЛИЧКА</definedName>
    <definedName name="НАЛИЧКА_16">[0]!НАЛИЧКА</definedName>
    <definedName name="НАЛИЧКА_2" localSheetId="21">А!НАЛИЧКА</definedName>
    <definedName name="НАЛИЧКА_2" localSheetId="43">'вод.налог 2018'!НАЛИЧКА</definedName>
    <definedName name="НАЛИЧКА_2" localSheetId="33">'ЗП с факт 3 кв. 2015'!НАЛИЧКА</definedName>
    <definedName name="НАЛИЧКА_2" localSheetId="44">'имушество 2018'!НАЛИЧКА</definedName>
    <definedName name="НАЛИЧКА_2" localSheetId="40">'налоги 2018'!НАЛИЧКА</definedName>
    <definedName name="НАЛИЧКА_2" localSheetId="4">'ПОЛНАЯ СЕБЕСТОИМОСТЬ ВОДА 2018'!НАЛИЧКА</definedName>
    <definedName name="НАЛИЧКА_2" localSheetId="2">'ПОЛНАЯ СЕБЕСТОИМОСТЬ СТОКИ 2018'!НАЛИЧКА</definedName>
    <definedName name="НАЛИЧКА_2" localSheetId="10">'Прил. 1 План ФХД вода табл. 2'!НАЛИЧКА</definedName>
    <definedName name="НАЛИЧКА_2" localSheetId="9">'Прил. 1 План ФХД стоки табл 2'!НАЛИЧКА</definedName>
    <definedName name="НАЛИЧКА_2" localSheetId="8">'Прил. 1 План ФХД табл 1'!НАЛИЧКА</definedName>
    <definedName name="НАЛИЧКА_2" localSheetId="13">'Произв. прогр. Вода'!НАЛИЧКА</definedName>
    <definedName name="НАЛИЧКА_2" localSheetId="14">'Произв. прогр. Вода (СВОД)'!НАЛИЧКА</definedName>
    <definedName name="НАЛИЧКА_2" localSheetId="12">'Произв. прогр. Стоки'!НАЛИЧКА</definedName>
    <definedName name="НАЛИЧКА_2" localSheetId="11">'Произв. прогр. Стоки (СВОД)'!НАЛИЧКА</definedName>
    <definedName name="НАЛИЧКА_2" localSheetId="41">'Расчет налог. обяз. 2018'!НАЛИЧКА</definedName>
    <definedName name="НАЛИЧКА_2" localSheetId="42">'рез к 2017'!НАЛИЧКА</definedName>
    <definedName name="НАЛИЧКА_2" localSheetId="46">'рез к 2018'!НАЛИЧКА</definedName>
    <definedName name="НАЛИЧКА_2" localSheetId="22">ТН!НАЛИЧКА</definedName>
    <definedName name="НАЛИЧКА_2" localSheetId="3">'ФАКТ. СЕБЕСТ ВОДА 1 пол.2018'!НАЛИЧКА</definedName>
    <definedName name="НАЛИЧКА_2" localSheetId="1">'ФАКТ. СЕБЕСТ. СТОКИ 1 пол. 2018'!НАЛИЧКА</definedName>
    <definedName name="НАЛИЧКА_2">[0]!НАЛИЧКА</definedName>
    <definedName name="_xlnm.Print_Area" localSheetId="49">'  текРемстоки 2016'!$A$1:$K$92</definedName>
    <definedName name="_xlnm.Print_Area" localSheetId="48">' текРемвода 2016'!$A$1:$L$197</definedName>
    <definedName name="_xlnm.Print_Area" localSheetId="31">Аморт!$A$2:$AL$31</definedName>
    <definedName name="_xlnm.Print_Area" localSheetId="55">вод.налог!$A$1:$J$36</definedName>
    <definedName name="_xlnm.Print_Area" localSheetId="43">'вод.налог 2018'!$A$2:$J$50</definedName>
    <definedName name="_xlnm.Print_Area" localSheetId="25">вода!$A$2:$CT$63</definedName>
    <definedName name="_xlnm.Print_Area" localSheetId="17">'ВОДА (СВОД) 2016-2018'!$A$2:$R$59</definedName>
    <definedName name="_xlnm.Print_Area" localSheetId="47">'Выпадающ15-16'!$A$1:$M$25</definedName>
    <definedName name="_xlnm.Print_Area" localSheetId="57">'выпадающие расходы на 2018'!$A$1:$F$22</definedName>
    <definedName name="_xlnm.Print_Area" localSheetId="32">ЗП!$A$2:$DJ$37</definedName>
    <definedName name="_xlnm.Print_Area" localSheetId="33">'ЗП с факт 3 кв. 2015'!$A$1:$BX$36</definedName>
    <definedName name="_xlnm.Print_Area" localSheetId="34">'ЗП среднемес'!$A$1:$T$35</definedName>
    <definedName name="_xlnm.Print_Area" localSheetId="44">'имушество 2018'!$A$2:$F$37</definedName>
    <definedName name="_xlnm.Print_Area" localSheetId="56">'налог на имущ'!$G$2:$M$10</definedName>
    <definedName name="_xlnm.Print_Area" localSheetId="40">'налоги 2018'!$A$41:$E$77</definedName>
    <definedName name="_xlnm.Print_Area" localSheetId="23">объемы!$A$1:$AJ$61</definedName>
    <definedName name="_xlnm.Print_Area" localSheetId="24">'объемы черн'!$A$33:$AG$62</definedName>
    <definedName name="_xlnm.Print_Area" localSheetId="39">'ОХР '!$A$2:$CL$51</definedName>
    <definedName name="_xlnm.Print_Area" localSheetId="5">'План по элетр. 2018'!$A$1:$F$69</definedName>
    <definedName name="_xlnm.Print_Area" localSheetId="67">'платежка с ИП'!$A$1:$P$32</definedName>
    <definedName name="_xlnm.Print_Area" localSheetId="4">'ПОЛНАЯ СЕБЕСТОИМОСТЬ ВОДА 2018'!$A$1:$N$152</definedName>
    <definedName name="_xlnm.Print_Area" localSheetId="2">'ПОЛНАЯ СЕБЕСТОИМОСТЬ СТОКИ 2018'!$A$1:$N$128</definedName>
    <definedName name="_xlnm.Print_Area" localSheetId="10">'Прил. 1 План ФХД вода табл. 2'!$A$1:$R$70</definedName>
    <definedName name="_xlnm.Print_Area" localSheetId="9">'Прил. 1 План ФХД стоки табл 2'!$A$1:$S$61</definedName>
    <definedName name="_xlnm.Print_Area" localSheetId="8">'Прил. 1 План ФХД табл 1'!$A$1:$I$50</definedName>
    <definedName name="_xlnm.Print_Area" localSheetId="13">'Произв. прогр. Вода'!$A$1:$V$225</definedName>
    <definedName name="_xlnm.Print_Area" localSheetId="14">'Произв. прогр. Вода (СВОД)'!$A$1:$V$133</definedName>
    <definedName name="_xlnm.Print_Area" localSheetId="12">'Произв. прогр. Стоки'!$A$1:$V$198</definedName>
    <definedName name="_xlnm.Print_Area" localSheetId="11">'Произв. прогр. Стоки (СВОД)'!$A$1:$V$121</definedName>
    <definedName name="_xlnm.Print_Area" localSheetId="62">'расчет тарифов '!$A$42:$X$61</definedName>
    <definedName name="_xlnm.Print_Area" localSheetId="42">'рез к 2017'!$A$1:$F$49</definedName>
    <definedName name="_xlnm.Print_Area" localSheetId="46">'рез к 2018'!$A$2:$F$39</definedName>
    <definedName name="_xlnm.Print_Area" localSheetId="45">'Резерв ДЗ'!$A$1:$F$39</definedName>
    <definedName name="_xlnm.Print_Area" localSheetId="52">'Ремонт вода 2016'!$A$163:$L$191</definedName>
    <definedName name="_xlnm.Print_Area" localSheetId="66">'Ремонт стоки 2015'!$A$2:$N$19</definedName>
    <definedName name="_xlnm.Print_Area" localSheetId="53">'Ремонт стоки 2016'!$A$62:$K$88</definedName>
    <definedName name="_xlnm.Print_Area" localSheetId="26">стоки!$A$2:$CO$67</definedName>
    <definedName name="_xlnm.Print_Area" localSheetId="20">'СТОКИ (СВОД) 2016-2018'!$A$2:$R$65</definedName>
    <definedName name="_xlnm.Print_Area" localSheetId="58">'Тариф вода 2016-2018'!$A$1:$G$41</definedName>
    <definedName name="_xlnm.Print_Area" localSheetId="16">'Тариф вода 2016-2018 ПЛАН'!$A$2:$R$46</definedName>
    <definedName name="_xlnm.Print_Area" localSheetId="61">'Тариф очистка 2016-2018'!$A$1:$G$41</definedName>
    <definedName name="_xlnm.Print_Area" localSheetId="18">'Тариф очистка 2016-2018 ПЛАН'!$A$2:$R$46</definedName>
    <definedName name="_xlnm.Print_Area" localSheetId="60">'Тариф стоки 2016-2018'!$A$1:$G$41</definedName>
    <definedName name="_xlnm.Print_Area" localSheetId="19">'Тариф стоки 2016-2018 ПЛАН'!$A$2:$R$47</definedName>
    <definedName name="_xlnm.Print_Area" localSheetId="59">'Тариф тех вода 2016-2018'!$A$1:$G$41</definedName>
    <definedName name="_xlnm.Print_Area" localSheetId="15">'Тариф тех.вода 2016-2018 ПЛАН'!$A$2:$R$46</definedName>
    <definedName name="_xlnm.Print_Area" localSheetId="6">'Текущий ремонт'!$A$1:$E$25</definedName>
    <definedName name="_xlnm.Print_Area" localSheetId="54">транс!$A$292:$E$339</definedName>
    <definedName name="_xlnm.Print_Area" localSheetId="3">'ФАКТ. СЕБЕСТ ВОДА 1 пол.2018'!$A$1:$O$89</definedName>
    <definedName name="_xlnm.Print_Area" localSheetId="1">'ФАКТ. СЕБЕСТ. СТОКИ 1 пол. 2018'!$A$1:$O$80</definedName>
    <definedName name="_xlnm.Print_Area" localSheetId="30">ХР!$A$2:$DK$46</definedName>
    <definedName name="_xlnm.Print_Area" localSheetId="35">'цех вода'!$A$2:$BA$54</definedName>
    <definedName name="_xlnm.Print_Area" localSheetId="38">'цех стоки'!$A$193:$AW$258</definedName>
    <definedName name="_xlnm.Print_Area" localSheetId="37">'цех стоки (с разбивкой)'!$A$1:$W$66</definedName>
    <definedName name="_xlnm.Print_Area" localSheetId="7">'Чистая прибыль'!$A$1:$T$30</definedName>
    <definedName name="_xlnm.Print_Area" localSheetId="28">электр!$A$40:$CC$62</definedName>
    <definedName name="_xlnm.Print_Area" localSheetId="29">'электр (с разбивкой)'!$A$3:$T$47</definedName>
    <definedName name="_xlnm.Print_Area" localSheetId="27">'электр 2017-2018'!$A$41:$CZ$62</definedName>
    <definedName name="Объемы2" localSheetId="33">#REF!</definedName>
    <definedName name="Объемы2" localSheetId="8">#REF!</definedName>
    <definedName name="Объемы2" localSheetId="20">#REF!</definedName>
    <definedName name="Объемы2" localSheetId="16">#REF!</definedName>
    <definedName name="Объемы2" localSheetId="61">#REF!</definedName>
    <definedName name="Объемы2" localSheetId="60">#REF!</definedName>
    <definedName name="Объемы2" localSheetId="59">#REF!</definedName>
    <definedName name="Объемы2" localSheetId="37">#REF!</definedName>
    <definedName name="Объемы2" localSheetId="29">#REF!</definedName>
    <definedName name="Объемы2" localSheetId="27">#REF!</definedName>
    <definedName name="Объемы2">#REF!</definedName>
    <definedName name="Объемы2_13" localSheetId="33">#REF!</definedName>
    <definedName name="Объемы2_13" localSheetId="8">#REF!</definedName>
    <definedName name="Объемы2_13" localSheetId="20">#REF!</definedName>
    <definedName name="Объемы2_13" localSheetId="16">#REF!</definedName>
    <definedName name="Объемы2_13" localSheetId="61">#REF!</definedName>
    <definedName name="Объемы2_13" localSheetId="60">#REF!</definedName>
    <definedName name="Объемы2_13" localSheetId="59">#REF!</definedName>
    <definedName name="Объемы2_13" localSheetId="37">#REF!</definedName>
    <definedName name="Объемы2_13" localSheetId="29">#REF!</definedName>
    <definedName name="Объемы2_13" localSheetId="27">#REF!</definedName>
    <definedName name="Объемы2_13">#REF!</definedName>
    <definedName name="Объемы2_2" localSheetId="33">#REF!</definedName>
    <definedName name="Объемы2_2" localSheetId="8">#REF!</definedName>
    <definedName name="Объемы2_2" localSheetId="20">#REF!</definedName>
    <definedName name="Объемы2_2" localSheetId="16">#REF!</definedName>
    <definedName name="Объемы2_2" localSheetId="61">#REF!</definedName>
    <definedName name="Объемы2_2" localSheetId="60">#REF!</definedName>
    <definedName name="Объемы2_2" localSheetId="59">#REF!</definedName>
    <definedName name="Объемы2_2" localSheetId="37">#REF!</definedName>
    <definedName name="Объемы2_2" localSheetId="29">#REF!</definedName>
    <definedName name="Объемы2_2" localSheetId="27">#REF!</definedName>
    <definedName name="Объемы2_2">#REF!</definedName>
    <definedName name="олггшщзжжхх">#N/A</definedName>
    <definedName name="пае" localSheetId="21">А!пае</definedName>
    <definedName name="пае" localSheetId="43">'вод.налог 2018'!пае</definedName>
    <definedName name="пае" localSheetId="33">'ЗП с факт 3 кв. 2015'!пае</definedName>
    <definedName name="пае" localSheetId="44">'имушество 2018'!пае</definedName>
    <definedName name="пае" localSheetId="40">'налоги 2018'!пае</definedName>
    <definedName name="пае" localSheetId="4">#N/A</definedName>
    <definedName name="пае" localSheetId="2">#N/A</definedName>
    <definedName name="пае" localSheetId="10">#N/A</definedName>
    <definedName name="пае" localSheetId="9">#N/A</definedName>
    <definedName name="пае" localSheetId="8">#N/A</definedName>
    <definedName name="пае" localSheetId="13">#N/A</definedName>
    <definedName name="пае" localSheetId="14">#N/A</definedName>
    <definedName name="пае" localSheetId="12">#N/A</definedName>
    <definedName name="пае" localSheetId="11">#N/A</definedName>
    <definedName name="пае" localSheetId="41">'Расчет налог. обяз. 2018'!пае</definedName>
    <definedName name="пае" localSheetId="42">'рез к 2017'!пае</definedName>
    <definedName name="пае" localSheetId="46">'рез к 2018'!пае</definedName>
    <definedName name="пае" localSheetId="22">ТН!пае</definedName>
    <definedName name="пае" localSheetId="3">#N/A</definedName>
    <definedName name="пае" localSheetId="1">#N/A</definedName>
    <definedName name="пае">'ЗП с факт 3 кв. 2015'!пае</definedName>
    <definedName name="пае_10" localSheetId="21">А!пае</definedName>
    <definedName name="пае_10" localSheetId="43">'вод.налог 2018'!пае</definedName>
    <definedName name="пае_10" localSheetId="33">'ЗП с факт 3 кв. 2015'!пае</definedName>
    <definedName name="пае_10" localSheetId="44">'имушество 2018'!пае</definedName>
    <definedName name="пае_10" localSheetId="40">'налоги 2018'!пае</definedName>
    <definedName name="пае_10" localSheetId="4">'ПОЛНАЯ СЕБЕСТОИМОСТЬ ВОДА 2018'!пае</definedName>
    <definedName name="пае_10" localSheetId="2">'ПОЛНАЯ СЕБЕСТОИМОСТЬ СТОКИ 2018'!пае</definedName>
    <definedName name="пае_10" localSheetId="10">'Прил. 1 План ФХД вода табл. 2'!пае</definedName>
    <definedName name="пае_10" localSheetId="9">'Прил. 1 План ФХД стоки табл 2'!пае</definedName>
    <definedName name="пае_10" localSheetId="8">'Прил. 1 План ФХД табл 1'!пае</definedName>
    <definedName name="пае_10" localSheetId="13">'Произв. прогр. Вода'!пае</definedName>
    <definedName name="пае_10" localSheetId="14">'Произв. прогр. Вода (СВОД)'!пае</definedName>
    <definedName name="пае_10" localSheetId="12">'Произв. прогр. Стоки'!пае</definedName>
    <definedName name="пае_10" localSheetId="11">'Произв. прогр. Стоки (СВОД)'!пае</definedName>
    <definedName name="пае_10" localSheetId="41">'Расчет налог. обяз. 2018'!пае</definedName>
    <definedName name="пае_10" localSheetId="42">'рез к 2017'!пае</definedName>
    <definedName name="пае_10" localSheetId="46">'рез к 2018'!пае</definedName>
    <definedName name="пае_10" localSheetId="22">ТН!пае</definedName>
    <definedName name="пае_10" localSheetId="3">'ФАКТ. СЕБЕСТ ВОДА 1 пол.2018'!пае</definedName>
    <definedName name="пае_10" localSheetId="1">'ФАКТ. СЕБЕСТ. СТОКИ 1 пол. 2018'!пае</definedName>
    <definedName name="пае_10">[0]!пае</definedName>
    <definedName name="пае_14" localSheetId="21">А!пае</definedName>
    <definedName name="пае_14" localSheetId="43">'вод.налог 2018'!пае</definedName>
    <definedName name="пае_14" localSheetId="33">'ЗП с факт 3 кв. 2015'!пае</definedName>
    <definedName name="пае_14" localSheetId="44">'имушество 2018'!пае</definedName>
    <definedName name="пае_14" localSheetId="40">'налоги 2018'!пае</definedName>
    <definedName name="пае_14" localSheetId="4">'ПОЛНАЯ СЕБЕСТОИМОСТЬ ВОДА 2018'!пае</definedName>
    <definedName name="пае_14" localSheetId="2">'ПОЛНАЯ СЕБЕСТОИМОСТЬ СТОКИ 2018'!пае</definedName>
    <definedName name="пае_14" localSheetId="10">'Прил. 1 План ФХД вода табл. 2'!пае</definedName>
    <definedName name="пае_14" localSheetId="9">'Прил. 1 План ФХД стоки табл 2'!пае</definedName>
    <definedName name="пае_14" localSheetId="8">'Прил. 1 План ФХД табл 1'!пае</definedName>
    <definedName name="пае_14" localSheetId="13">'Произв. прогр. Вода'!пае</definedName>
    <definedName name="пае_14" localSheetId="14">'Произв. прогр. Вода (СВОД)'!пае</definedName>
    <definedName name="пае_14" localSheetId="12">'Произв. прогр. Стоки'!пае</definedName>
    <definedName name="пае_14" localSheetId="11">'Произв. прогр. Стоки (СВОД)'!пае</definedName>
    <definedName name="пае_14" localSheetId="41">'Расчет налог. обяз. 2018'!пае</definedName>
    <definedName name="пае_14" localSheetId="42">'рез к 2017'!пае</definedName>
    <definedName name="пае_14" localSheetId="46">'рез к 2018'!пае</definedName>
    <definedName name="пае_14" localSheetId="22">ТН!пае</definedName>
    <definedName name="пае_14" localSheetId="3">'ФАКТ. СЕБЕСТ ВОДА 1 пол.2018'!пае</definedName>
    <definedName name="пае_14" localSheetId="1">'ФАКТ. СЕБЕСТ. СТОКИ 1 пол. 2018'!пае</definedName>
    <definedName name="пае_14">[0]!пае</definedName>
    <definedName name="пае_15" localSheetId="21">А!пае</definedName>
    <definedName name="пае_15" localSheetId="43">'вод.налог 2018'!пае</definedName>
    <definedName name="пае_15" localSheetId="33">'ЗП с факт 3 кв. 2015'!пае</definedName>
    <definedName name="пае_15" localSheetId="44">'имушество 2018'!пае</definedName>
    <definedName name="пае_15" localSheetId="40">'налоги 2018'!пае</definedName>
    <definedName name="пае_15" localSheetId="4">'ПОЛНАЯ СЕБЕСТОИМОСТЬ ВОДА 2018'!пае</definedName>
    <definedName name="пае_15" localSheetId="2">'ПОЛНАЯ СЕБЕСТОИМОСТЬ СТОКИ 2018'!пае</definedName>
    <definedName name="пае_15" localSheetId="10">'Прил. 1 План ФХД вода табл. 2'!пае</definedName>
    <definedName name="пае_15" localSheetId="9">'Прил. 1 План ФХД стоки табл 2'!пае</definedName>
    <definedName name="пае_15" localSheetId="8">'Прил. 1 План ФХД табл 1'!пае</definedName>
    <definedName name="пае_15" localSheetId="13">'Произв. прогр. Вода'!пае</definedName>
    <definedName name="пае_15" localSheetId="14">'Произв. прогр. Вода (СВОД)'!пае</definedName>
    <definedName name="пае_15" localSheetId="12">'Произв. прогр. Стоки'!пае</definedName>
    <definedName name="пае_15" localSheetId="11">'Произв. прогр. Стоки (СВОД)'!пае</definedName>
    <definedName name="пае_15" localSheetId="41">'Расчет налог. обяз. 2018'!пае</definedName>
    <definedName name="пае_15" localSheetId="42">'рез к 2017'!пае</definedName>
    <definedName name="пае_15" localSheetId="46">'рез к 2018'!пае</definedName>
    <definedName name="пае_15" localSheetId="22">ТН!пае</definedName>
    <definedName name="пае_15" localSheetId="3">'ФАКТ. СЕБЕСТ ВОДА 1 пол.2018'!пае</definedName>
    <definedName name="пае_15" localSheetId="1">'ФАКТ. СЕБЕСТ. СТОКИ 1 пол. 2018'!пае</definedName>
    <definedName name="пае_15">[0]!пае</definedName>
    <definedName name="пае_16" localSheetId="21">А!пае</definedName>
    <definedName name="пае_16" localSheetId="43">'вод.налог 2018'!пае</definedName>
    <definedName name="пае_16" localSheetId="33">'ЗП с факт 3 кв. 2015'!пае</definedName>
    <definedName name="пае_16" localSheetId="44">'имушество 2018'!пае</definedName>
    <definedName name="пае_16" localSheetId="40">'налоги 2018'!пае</definedName>
    <definedName name="пае_16" localSheetId="4">'ПОЛНАЯ СЕБЕСТОИМОСТЬ ВОДА 2018'!пае</definedName>
    <definedName name="пае_16" localSheetId="2">'ПОЛНАЯ СЕБЕСТОИМОСТЬ СТОКИ 2018'!пае</definedName>
    <definedName name="пае_16" localSheetId="10">'Прил. 1 План ФХД вода табл. 2'!пае</definedName>
    <definedName name="пае_16" localSheetId="9">'Прил. 1 План ФХД стоки табл 2'!пае</definedName>
    <definedName name="пае_16" localSheetId="8">'Прил. 1 План ФХД табл 1'!пае</definedName>
    <definedName name="пае_16" localSheetId="13">'Произв. прогр. Вода'!пае</definedName>
    <definedName name="пае_16" localSheetId="14">'Произв. прогр. Вода (СВОД)'!пае</definedName>
    <definedName name="пае_16" localSheetId="12">'Произв. прогр. Стоки'!пае</definedName>
    <definedName name="пае_16" localSheetId="11">'Произв. прогр. Стоки (СВОД)'!пае</definedName>
    <definedName name="пае_16" localSheetId="41">'Расчет налог. обяз. 2018'!пае</definedName>
    <definedName name="пае_16" localSheetId="42">'рез к 2017'!пае</definedName>
    <definedName name="пае_16" localSheetId="46">'рез к 2018'!пае</definedName>
    <definedName name="пае_16" localSheetId="22">ТН!пае</definedName>
    <definedName name="пае_16" localSheetId="3">'ФАКТ. СЕБЕСТ ВОДА 1 пол.2018'!пае</definedName>
    <definedName name="пае_16" localSheetId="1">'ФАКТ. СЕБЕСТ. СТОКИ 1 пол. 2018'!пае</definedName>
    <definedName name="пае_16">[0]!пае</definedName>
    <definedName name="пае_2" localSheetId="21">А!пае</definedName>
    <definedName name="пае_2" localSheetId="43">'вод.налог 2018'!пае</definedName>
    <definedName name="пае_2" localSheetId="33">'ЗП с факт 3 кв. 2015'!пае</definedName>
    <definedName name="пае_2" localSheetId="44">'имушество 2018'!пае</definedName>
    <definedName name="пае_2" localSheetId="40">'налоги 2018'!пае</definedName>
    <definedName name="пае_2" localSheetId="4">'ПОЛНАЯ СЕБЕСТОИМОСТЬ ВОДА 2018'!пае</definedName>
    <definedName name="пае_2" localSheetId="2">'ПОЛНАЯ СЕБЕСТОИМОСТЬ СТОКИ 2018'!пае</definedName>
    <definedName name="пае_2" localSheetId="10">'Прил. 1 План ФХД вода табл. 2'!пае</definedName>
    <definedName name="пае_2" localSheetId="9">'Прил. 1 План ФХД стоки табл 2'!пае</definedName>
    <definedName name="пае_2" localSheetId="8">'Прил. 1 План ФХД табл 1'!пае</definedName>
    <definedName name="пае_2" localSheetId="13">'Произв. прогр. Вода'!пае</definedName>
    <definedName name="пае_2" localSheetId="14">'Произв. прогр. Вода (СВОД)'!пае</definedName>
    <definedName name="пае_2" localSheetId="12">'Произв. прогр. Стоки'!пае</definedName>
    <definedName name="пае_2" localSheetId="11">'Произв. прогр. Стоки (СВОД)'!пае</definedName>
    <definedName name="пае_2" localSheetId="41">'Расчет налог. обяз. 2018'!пае</definedName>
    <definedName name="пае_2" localSheetId="42">'рез к 2017'!пае</definedName>
    <definedName name="пае_2" localSheetId="46">'рез к 2018'!пае</definedName>
    <definedName name="пае_2" localSheetId="22">ТН!пае</definedName>
    <definedName name="пае_2" localSheetId="3">'ФАКТ. СЕБЕСТ ВОДА 1 пол.2018'!пае</definedName>
    <definedName name="пае_2" localSheetId="1">'ФАКТ. СЕБЕСТ. СТОКИ 1 пол. 2018'!пае</definedName>
    <definedName name="пае_2">[0]!пае</definedName>
    <definedName name="пимрн" localSheetId="21">А!_Pi2</definedName>
    <definedName name="пимрн" localSheetId="43">'вод.налог 2018'!_Pi2</definedName>
    <definedName name="пимрн" localSheetId="33">'ЗП с факт 3 кв. 2015'!_Pi2</definedName>
    <definedName name="пимрн" localSheetId="44">'имушество 2018'!_Pi2</definedName>
    <definedName name="пимрн" localSheetId="40">'налоги 2018'!_Pi2</definedName>
    <definedName name="пимрн" localSheetId="4">'ПОЛНАЯ СЕБЕСТОИМОСТЬ ВОДА 2018'!_Pi2</definedName>
    <definedName name="пимрн" localSheetId="2">'ПОЛНАЯ СЕБЕСТОИМОСТЬ СТОКИ 2018'!_Pi2</definedName>
    <definedName name="пимрн" localSheetId="10">'Прил. 1 План ФХД вода табл. 2'!_Pi2</definedName>
    <definedName name="пимрн" localSheetId="9">'Прил. 1 План ФХД стоки табл 2'!_Pi2</definedName>
    <definedName name="пимрн" localSheetId="8">'Прил. 1 План ФХД табл 1'!_Pi2</definedName>
    <definedName name="пимрн" localSheetId="13">'Произв. прогр. Вода'!_Pi2</definedName>
    <definedName name="пимрн" localSheetId="14">'Произв. прогр. Вода (СВОД)'!_Pi2</definedName>
    <definedName name="пимрн" localSheetId="12">'Произв. прогр. Стоки'!_Pi2</definedName>
    <definedName name="пимрн" localSheetId="11">'Произв. прогр. Стоки (СВОД)'!_Pi2</definedName>
    <definedName name="пимрн" localSheetId="41">'Расчет налог. обяз. 2018'!_Pi2</definedName>
    <definedName name="пимрн" localSheetId="42">'рез к 2017'!_Pi2</definedName>
    <definedName name="пимрн" localSheetId="46">'рез к 2018'!_Pi2</definedName>
    <definedName name="пимрн" localSheetId="22">ТН!_Pi2</definedName>
    <definedName name="пимрн" localSheetId="3">'ФАКТ. СЕБЕСТ ВОДА 1 пол.2018'!_Pi2</definedName>
    <definedName name="пимрн" localSheetId="1">'ФАКТ. СЕБЕСТ. СТОКИ 1 пол. 2018'!_Pi2</definedName>
    <definedName name="пимрн">[0]!_Pi2</definedName>
    <definedName name="пимрн_1" localSheetId="21">А!_Pi2</definedName>
    <definedName name="пимрн_1" localSheetId="43">'вод.налог 2018'!_Pi2</definedName>
    <definedName name="пимрн_1" localSheetId="33">'ЗП с факт 3 кв. 2015'!_Pi2</definedName>
    <definedName name="пимрн_1" localSheetId="44">'имушество 2018'!_Pi2</definedName>
    <definedName name="пимрн_1" localSheetId="40">'налоги 2018'!_Pi2</definedName>
    <definedName name="пимрн_1" localSheetId="4">'ПОЛНАЯ СЕБЕСТОИМОСТЬ ВОДА 2018'!_Pi2</definedName>
    <definedName name="пимрн_1" localSheetId="2">'ПОЛНАЯ СЕБЕСТОИМОСТЬ СТОКИ 2018'!_Pi2</definedName>
    <definedName name="пимрн_1" localSheetId="10">'Прил. 1 План ФХД вода табл. 2'!_Pi2</definedName>
    <definedName name="пимрн_1" localSheetId="9">'Прил. 1 План ФХД стоки табл 2'!_Pi2</definedName>
    <definedName name="пимрн_1" localSheetId="8">'Прил. 1 План ФХД табл 1'!_Pi2</definedName>
    <definedName name="пимрн_1" localSheetId="13">'Произв. прогр. Вода'!_Pi2</definedName>
    <definedName name="пимрн_1" localSheetId="14">'Произв. прогр. Вода (СВОД)'!_Pi2</definedName>
    <definedName name="пимрн_1" localSheetId="12">'Произв. прогр. Стоки'!_Pi2</definedName>
    <definedName name="пимрн_1" localSheetId="11">'Произв. прогр. Стоки (СВОД)'!_Pi2</definedName>
    <definedName name="пимрн_1" localSheetId="41">'Расчет налог. обяз. 2018'!_Pi2</definedName>
    <definedName name="пимрн_1" localSheetId="42">'рез к 2017'!_Pi2</definedName>
    <definedName name="пимрн_1" localSheetId="46">'рез к 2018'!_Pi2</definedName>
    <definedName name="пимрн_1" localSheetId="22">ТН!_Pi2</definedName>
    <definedName name="пимрн_1" localSheetId="3">'ФАКТ. СЕБЕСТ ВОДА 1 пол.2018'!_Pi2</definedName>
    <definedName name="пимрн_1" localSheetId="1">'ФАКТ. СЕБЕСТ. СТОКИ 1 пол. 2018'!_Pi2</definedName>
    <definedName name="пимрн_1">[0]!_Pi2</definedName>
    <definedName name="пимрн_13" localSheetId="21">А!_Pi2</definedName>
    <definedName name="пимрн_13" localSheetId="43">'вод.налог 2018'!_Pi2</definedName>
    <definedName name="пимрн_13" localSheetId="33">'ЗП с факт 3 кв. 2015'!_Pi2</definedName>
    <definedName name="пимрн_13" localSheetId="44">'имушество 2018'!_Pi2</definedName>
    <definedName name="пимрн_13" localSheetId="40">'налоги 2018'!_Pi2</definedName>
    <definedName name="пимрн_13" localSheetId="4">'ПОЛНАЯ СЕБЕСТОИМОСТЬ ВОДА 2018'!_Pi2</definedName>
    <definedName name="пимрн_13" localSheetId="2">'ПОЛНАЯ СЕБЕСТОИМОСТЬ СТОКИ 2018'!_Pi2</definedName>
    <definedName name="пимрн_13" localSheetId="10">'Прил. 1 План ФХД вода табл. 2'!_Pi2</definedName>
    <definedName name="пимрн_13" localSheetId="9">'Прил. 1 План ФХД стоки табл 2'!_Pi2</definedName>
    <definedName name="пимрн_13" localSheetId="8">'Прил. 1 План ФХД табл 1'!_Pi2</definedName>
    <definedName name="пимрн_13" localSheetId="13">'Произв. прогр. Вода'!_Pi2</definedName>
    <definedName name="пимрн_13" localSheetId="14">'Произв. прогр. Вода (СВОД)'!_Pi2</definedName>
    <definedName name="пимрн_13" localSheetId="12">'Произв. прогр. Стоки'!_Pi2</definedName>
    <definedName name="пимрн_13" localSheetId="11">'Произв. прогр. Стоки (СВОД)'!_Pi2</definedName>
    <definedName name="пимрн_13" localSheetId="41">'Расчет налог. обяз. 2018'!_Pi2</definedName>
    <definedName name="пимрн_13" localSheetId="42">'рез к 2017'!_Pi2</definedName>
    <definedName name="пимрн_13" localSheetId="46">'рез к 2018'!_Pi2</definedName>
    <definedName name="пимрн_13" localSheetId="22">ТН!_Pi2</definedName>
    <definedName name="пимрн_13" localSheetId="3">'ФАКТ. СЕБЕСТ ВОДА 1 пол.2018'!_Pi2</definedName>
    <definedName name="пимрн_13" localSheetId="1">'ФАКТ. СЕБЕСТ. СТОКИ 1 пол. 2018'!_Pi2</definedName>
    <definedName name="пимрн_13">[0]!_Pi2</definedName>
    <definedName name="пимрн_2" localSheetId="21">А!_Pi2</definedName>
    <definedName name="пимрн_2" localSheetId="43">'вод.налог 2018'!_Pi2</definedName>
    <definedName name="пимрн_2" localSheetId="33">'ЗП с факт 3 кв. 2015'!_Pi2</definedName>
    <definedName name="пимрн_2" localSheetId="44">'имушество 2018'!_Pi2</definedName>
    <definedName name="пимрн_2" localSheetId="40">'налоги 2018'!_Pi2</definedName>
    <definedName name="пимрн_2" localSheetId="4">'ПОЛНАЯ СЕБЕСТОИМОСТЬ ВОДА 2018'!_Pi2</definedName>
    <definedName name="пимрн_2" localSheetId="2">'ПОЛНАЯ СЕБЕСТОИМОСТЬ СТОКИ 2018'!_Pi2</definedName>
    <definedName name="пимрн_2" localSheetId="10">'Прил. 1 План ФХД вода табл. 2'!_Pi2</definedName>
    <definedName name="пимрн_2" localSheetId="9">'Прил. 1 План ФХД стоки табл 2'!_Pi2</definedName>
    <definedName name="пимрн_2" localSheetId="8">'Прил. 1 План ФХД табл 1'!_Pi2</definedName>
    <definedName name="пимрн_2" localSheetId="13">'Произв. прогр. Вода'!_Pi2</definedName>
    <definedName name="пимрн_2" localSheetId="14">'Произв. прогр. Вода (СВОД)'!_Pi2</definedName>
    <definedName name="пимрн_2" localSheetId="12">'Произв. прогр. Стоки'!_Pi2</definedName>
    <definedName name="пимрн_2" localSheetId="11">'Произв. прогр. Стоки (СВОД)'!_Pi2</definedName>
    <definedName name="пимрн_2" localSheetId="41">'Расчет налог. обяз. 2018'!_Pi2</definedName>
    <definedName name="пимрн_2" localSheetId="42">'рез к 2017'!_Pi2</definedName>
    <definedName name="пимрн_2" localSheetId="46">'рез к 2018'!_Pi2</definedName>
    <definedName name="пимрн_2" localSheetId="22">ТН!_Pi2</definedName>
    <definedName name="пимрн_2" localSheetId="3">'ФАКТ. СЕБЕСТ ВОДА 1 пол.2018'!_Pi2</definedName>
    <definedName name="пимрн_2" localSheetId="1">'ФАКТ. СЕБЕСТ. СТОКИ 1 пол. 2018'!_Pi2</definedName>
    <definedName name="пимрн_2">[0]!_Pi2</definedName>
    <definedName name="про" localSheetId="21">А!про</definedName>
    <definedName name="про" localSheetId="43">'вод.налог 2018'!про</definedName>
    <definedName name="про" localSheetId="33">'ЗП с факт 3 кв. 2015'!про</definedName>
    <definedName name="про" localSheetId="44">'имушество 2018'!про</definedName>
    <definedName name="про" localSheetId="40">'налоги 2018'!про</definedName>
    <definedName name="про" localSheetId="4">#N/A</definedName>
    <definedName name="про" localSheetId="2">#N/A</definedName>
    <definedName name="про" localSheetId="10">#N/A</definedName>
    <definedName name="про" localSheetId="9">#N/A</definedName>
    <definedName name="про" localSheetId="8">#N/A</definedName>
    <definedName name="про" localSheetId="13">#N/A</definedName>
    <definedName name="про" localSheetId="14">#N/A</definedName>
    <definedName name="про" localSheetId="12">#N/A</definedName>
    <definedName name="про" localSheetId="11">#N/A</definedName>
    <definedName name="про" localSheetId="41">'Расчет налог. обяз. 2018'!про</definedName>
    <definedName name="про" localSheetId="42">'рез к 2017'!про</definedName>
    <definedName name="про" localSheetId="46">'рез к 2018'!про</definedName>
    <definedName name="про" localSheetId="22">ТН!про</definedName>
    <definedName name="про" localSheetId="3">#N/A</definedName>
    <definedName name="про" localSheetId="1">#N/A</definedName>
    <definedName name="про">'ЗП с факт 3 кв. 2015'!про</definedName>
    <definedName name="про_10" localSheetId="21">А!про</definedName>
    <definedName name="про_10" localSheetId="43">'вод.налог 2018'!про</definedName>
    <definedName name="про_10" localSheetId="33">'ЗП с факт 3 кв. 2015'!про</definedName>
    <definedName name="про_10" localSheetId="44">'имушество 2018'!про</definedName>
    <definedName name="про_10" localSheetId="40">'налоги 2018'!про</definedName>
    <definedName name="про_10" localSheetId="4">'ПОЛНАЯ СЕБЕСТОИМОСТЬ ВОДА 2018'!про</definedName>
    <definedName name="про_10" localSheetId="2">'ПОЛНАЯ СЕБЕСТОИМОСТЬ СТОКИ 2018'!про</definedName>
    <definedName name="про_10" localSheetId="10">'Прил. 1 План ФХД вода табл. 2'!про</definedName>
    <definedName name="про_10" localSheetId="9">'Прил. 1 План ФХД стоки табл 2'!про</definedName>
    <definedName name="про_10" localSheetId="8">'Прил. 1 План ФХД табл 1'!про</definedName>
    <definedName name="про_10" localSheetId="13">'Произв. прогр. Вода'!про</definedName>
    <definedName name="про_10" localSheetId="14">'Произв. прогр. Вода (СВОД)'!про</definedName>
    <definedName name="про_10" localSheetId="12">'Произв. прогр. Стоки'!про</definedName>
    <definedName name="про_10" localSheetId="11">'Произв. прогр. Стоки (СВОД)'!про</definedName>
    <definedName name="про_10" localSheetId="41">'Расчет налог. обяз. 2018'!про</definedName>
    <definedName name="про_10" localSheetId="42">'рез к 2017'!про</definedName>
    <definedName name="про_10" localSheetId="46">'рез к 2018'!про</definedName>
    <definedName name="про_10" localSheetId="22">ТН!про</definedName>
    <definedName name="про_10" localSheetId="3">'ФАКТ. СЕБЕСТ ВОДА 1 пол.2018'!про</definedName>
    <definedName name="про_10" localSheetId="1">'ФАКТ. СЕБЕСТ. СТОКИ 1 пол. 2018'!про</definedName>
    <definedName name="про_10">[0]!про</definedName>
    <definedName name="про_14" localSheetId="21">А!про</definedName>
    <definedName name="про_14" localSheetId="43">'вод.налог 2018'!про</definedName>
    <definedName name="про_14" localSheetId="33">'ЗП с факт 3 кв. 2015'!про</definedName>
    <definedName name="про_14" localSheetId="44">'имушество 2018'!про</definedName>
    <definedName name="про_14" localSheetId="40">'налоги 2018'!про</definedName>
    <definedName name="про_14" localSheetId="4">'ПОЛНАЯ СЕБЕСТОИМОСТЬ ВОДА 2018'!про</definedName>
    <definedName name="про_14" localSheetId="2">'ПОЛНАЯ СЕБЕСТОИМОСТЬ СТОКИ 2018'!про</definedName>
    <definedName name="про_14" localSheetId="10">'Прил. 1 План ФХД вода табл. 2'!про</definedName>
    <definedName name="про_14" localSheetId="9">'Прил. 1 План ФХД стоки табл 2'!про</definedName>
    <definedName name="про_14" localSheetId="8">'Прил. 1 План ФХД табл 1'!про</definedName>
    <definedName name="про_14" localSheetId="13">'Произв. прогр. Вода'!про</definedName>
    <definedName name="про_14" localSheetId="14">'Произв. прогр. Вода (СВОД)'!про</definedName>
    <definedName name="про_14" localSheetId="12">'Произв. прогр. Стоки'!про</definedName>
    <definedName name="про_14" localSheetId="11">'Произв. прогр. Стоки (СВОД)'!про</definedName>
    <definedName name="про_14" localSheetId="41">'Расчет налог. обяз. 2018'!про</definedName>
    <definedName name="про_14" localSheetId="42">'рез к 2017'!про</definedName>
    <definedName name="про_14" localSheetId="46">'рез к 2018'!про</definedName>
    <definedName name="про_14" localSheetId="22">ТН!про</definedName>
    <definedName name="про_14" localSheetId="3">'ФАКТ. СЕБЕСТ ВОДА 1 пол.2018'!про</definedName>
    <definedName name="про_14" localSheetId="1">'ФАКТ. СЕБЕСТ. СТОКИ 1 пол. 2018'!про</definedName>
    <definedName name="про_14">[0]!про</definedName>
    <definedName name="про_15" localSheetId="21">А!про</definedName>
    <definedName name="про_15" localSheetId="43">'вод.налог 2018'!про</definedName>
    <definedName name="про_15" localSheetId="33">'ЗП с факт 3 кв. 2015'!про</definedName>
    <definedName name="про_15" localSheetId="44">'имушество 2018'!про</definedName>
    <definedName name="про_15" localSheetId="40">'налоги 2018'!про</definedName>
    <definedName name="про_15" localSheetId="4">'ПОЛНАЯ СЕБЕСТОИМОСТЬ ВОДА 2018'!про</definedName>
    <definedName name="про_15" localSheetId="2">'ПОЛНАЯ СЕБЕСТОИМОСТЬ СТОКИ 2018'!про</definedName>
    <definedName name="про_15" localSheetId="10">'Прил. 1 План ФХД вода табл. 2'!про</definedName>
    <definedName name="про_15" localSheetId="9">'Прил. 1 План ФХД стоки табл 2'!про</definedName>
    <definedName name="про_15" localSheetId="8">'Прил. 1 План ФХД табл 1'!про</definedName>
    <definedName name="про_15" localSheetId="13">'Произв. прогр. Вода'!про</definedName>
    <definedName name="про_15" localSheetId="14">'Произв. прогр. Вода (СВОД)'!про</definedName>
    <definedName name="про_15" localSheetId="12">'Произв. прогр. Стоки'!про</definedName>
    <definedName name="про_15" localSheetId="11">'Произв. прогр. Стоки (СВОД)'!про</definedName>
    <definedName name="про_15" localSheetId="41">'Расчет налог. обяз. 2018'!про</definedName>
    <definedName name="про_15" localSheetId="42">'рез к 2017'!про</definedName>
    <definedName name="про_15" localSheetId="46">'рез к 2018'!про</definedName>
    <definedName name="про_15" localSheetId="22">ТН!про</definedName>
    <definedName name="про_15" localSheetId="3">'ФАКТ. СЕБЕСТ ВОДА 1 пол.2018'!про</definedName>
    <definedName name="про_15" localSheetId="1">'ФАКТ. СЕБЕСТ. СТОКИ 1 пол. 2018'!про</definedName>
    <definedName name="про_15">[0]!про</definedName>
    <definedName name="про_16" localSheetId="21">А!про</definedName>
    <definedName name="про_16" localSheetId="43">'вод.налог 2018'!про</definedName>
    <definedName name="про_16" localSheetId="33">'ЗП с факт 3 кв. 2015'!про</definedName>
    <definedName name="про_16" localSheetId="44">'имушество 2018'!про</definedName>
    <definedName name="про_16" localSheetId="40">'налоги 2018'!про</definedName>
    <definedName name="про_16" localSheetId="4">'ПОЛНАЯ СЕБЕСТОИМОСТЬ ВОДА 2018'!про</definedName>
    <definedName name="про_16" localSheetId="2">'ПОЛНАЯ СЕБЕСТОИМОСТЬ СТОКИ 2018'!про</definedName>
    <definedName name="про_16" localSheetId="10">'Прил. 1 План ФХД вода табл. 2'!про</definedName>
    <definedName name="про_16" localSheetId="9">'Прил. 1 План ФХД стоки табл 2'!про</definedName>
    <definedName name="про_16" localSheetId="8">'Прил. 1 План ФХД табл 1'!про</definedName>
    <definedName name="про_16" localSheetId="13">'Произв. прогр. Вода'!про</definedName>
    <definedName name="про_16" localSheetId="14">'Произв. прогр. Вода (СВОД)'!про</definedName>
    <definedName name="про_16" localSheetId="12">'Произв. прогр. Стоки'!про</definedName>
    <definedName name="про_16" localSheetId="11">'Произв. прогр. Стоки (СВОД)'!про</definedName>
    <definedName name="про_16" localSheetId="41">'Расчет налог. обяз. 2018'!про</definedName>
    <definedName name="про_16" localSheetId="42">'рез к 2017'!про</definedName>
    <definedName name="про_16" localSheetId="46">'рез к 2018'!про</definedName>
    <definedName name="про_16" localSheetId="22">ТН!про</definedName>
    <definedName name="про_16" localSheetId="3">'ФАКТ. СЕБЕСТ ВОДА 1 пол.2018'!про</definedName>
    <definedName name="про_16" localSheetId="1">'ФАКТ. СЕБЕСТ. СТОКИ 1 пол. 2018'!про</definedName>
    <definedName name="про_16">[0]!про</definedName>
    <definedName name="про_2" localSheetId="21">А!про</definedName>
    <definedName name="про_2" localSheetId="43">'вод.налог 2018'!про</definedName>
    <definedName name="про_2" localSheetId="33">'ЗП с факт 3 кв. 2015'!про</definedName>
    <definedName name="про_2" localSheetId="44">'имушество 2018'!про</definedName>
    <definedName name="про_2" localSheetId="40">'налоги 2018'!про</definedName>
    <definedName name="про_2" localSheetId="4">'ПОЛНАЯ СЕБЕСТОИМОСТЬ ВОДА 2018'!про</definedName>
    <definedName name="про_2" localSheetId="2">'ПОЛНАЯ СЕБЕСТОИМОСТЬ СТОКИ 2018'!про</definedName>
    <definedName name="про_2" localSheetId="10">'Прил. 1 План ФХД вода табл. 2'!про</definedName>
    <definedName name="про_2" localSheetId="9">'Прил. 1 План ФХД стоки табл 2'!про</definedName>
    <definedName name="про_2" localSheetId="8">'Прил. 1 План ФХД табл 1'!про</definedName>
    <definedName name="про_2" localSheetId="13">'Произв. прогр. Вода'!про</definedName>
    <definedName name="про_2" localSheetId="14">'Произв. прогр. Вода (СВОД)'!про</definedName>
    <definedName name="про_2" localSheetId="12">'Произв. прогр. Стоки'!про</definedName>
    <definedName name="про_2" localSheetId="11">'Произв. прогр. Стоки (СВОД)'!про</definedName>
    <definedName name="про_2" localSheetId="41">'Расчет налог. обяз. 2018'!про</definedName>
    <definedName name="про_2" localSheetId="42">'рез к 2017'!про</definedName>
    <definedName name="про_2" localSheetId="46">'рез к 2018'!про</definedName>
    <definedName name="про_2" localSheetId="22">ТН!про</definedName>
    <definedName name="про_2" localSheetId="3">'ФАКТ. СЕБЕСТ ВОДА 1 пол.2018'!про</definedName>
    <definedName name="про_2" localSheetId="1">'ФАКТ. СЕБЕСТ. СТОКИ 1 пол. 2018'!про</definedName>
    <definedName name="про_2">[0]!про</definedName>
    <definedName name="р7" localSheetId="21">А!р7</definedName>
    <definedName name="р7" localSheetId="43">'вод.налог 2018'!р7</definedName>
    <definedName name="р7" localSheetId="33">'ЗП с факт 3 кв. 2015'!р7</definedName>
    <definedName name="р7" localSheetId="44">'имушество 2018'!р7</definedName>
    <definedName name="р7" localSheetId="40">'налоги 2018'!р7</definedName>
    <definedName name="р7" localSheetId="4">#N/A</definedName>
    <definedName name="р7" localSheetId="2">#N/A</definedName>
    <definedName name="р7" localSheetId="10">#N/A</definedName>
    <definedName name="р7" localSheetId="9">#N/A</definedName>
    <definedName name="р7" localSheetId="8">#N/A</definedName>
    <definedName name="р7" localSheetId="13">#N/A</definedName>
    <definedName name="р7" localSheetId="14">#N/A</definedName>
    <definedName name="р7" localSheetId="12">#N/A</definedName>
    <definedName name="р7" localSheetId="11">#N/A</definedName>
    <definedName name="р7" localSheetId="41">'Расчет налог. обяз. 2018'!р7</definedName>
    <definedName name="р7" localSheetId="42">'рез к 2017'!р7</definedName>
    <definedName name="р7" localSheetId="46">'рез к 2018'!р7</definedName>
    <definedName name="р7" localSheetId="22">ТН!р7</definedName>
    <definedName name="р7" localSheetId="3">#N/A</definedName>
    <definedName name="р7" localSheetId="1">#N/A</definedName>
    <definedName name="р7">'ЗП с факт 3 кв. 2015'!р7</definedName>
    <definedName name="р7_10" localSheetId="21">А!р7</definedName>
    <definedName name="р7_10" localSheetId="43">'вод.налог 2018'!р7</definedName>
    <definedName name="р7_10" localSheetId="33">'ЗП с факт 3 кв. 2015'!р7</definedName>
    <definedName name="р7_10" localSheetId="44">'имушество 2018'!р7</definedName>
    <definedName name="р7_10" localSheetId="40">'налоги 2018'!р7</definedName>
    <definedName name="р7_10" localSheetId="4">'ПОЛНАЯ СЕБЕСТОИМОСТЬ ВОДА 2018'!р7</definedName>
    <definedName name="р7_10" localSheetId="2">'ПОЛНАЯ СЕБЕСТОИМОСТЬ СТОКИ 2018'!р7</definedName>
    <definedName name="р7_10" localSheetId="10">'Прил. 1 План ФХД вода табл. 2'!р7</definedName>
    <definedName name="р7_10" localSheetId="9">'Прил. 1 План ФХД стоки табл 2'!р7</definedName>
    <definedName name="р7_10" localSheetId="8">'Прил. 1 План ФХД табл 1'!р7</definedName>
    <definedName name="р7_10" localSheetId="13">'Произв. прогр. Вода'!р7</definedName>
    <definedName name="р7_10" localSheetId="14">'Произв. прогр. Вода (СВОД)'!р7</definedName>
    <definedName name="р7_10" localSheetId="12">'Произв. прогр. Стоки'!р7</definedName>
    <definedName name="р7_10" localSheetId="11">'Произв. прогр. Стоки (СВОД)'!р7</definedName>
    <definedName name="р7_10" localSheetId="41">'Расчет налог. обяз. 2018'!р7</definedName>
    <definedName name="р7_10" localSheetId="42">'рез к 2017'!р7</definedName>
    <definedName name="р7_10" localSheetId="46">'рез к 2018'!р7</definedName>
    <definedName name="р7_10" localSheetId="22">ТН!р7</definedName>
    <definedName name="р7_10" localSheetId="3">'ФАКТ. СЕБЕСТ ВОДА 1 пол.2018'!р7</definedName>
    <definedName name="р7_10" localSheetId="1">'ФАКТ. СЕБЕСТ. СТОКИ 1 пол. 2018'!р7</definedName>
    <definedName name="р7_10">[0]!р7</definedName>
    <definedName name="р7_14" localSheetId="21">А!р7</definedName>
    <definedName name="р7_14" localSheetId="43">'вод.налог 2018'!р7</definedName>
    <definedName name="р7_14" localSheetId="33">'ЗП с факт 3 кв. 2015'!р7</definedName>
    <definedName name="р7_14" localSheetId="44">'имушество 2018'!р7</definedName>
    <definedName name="р7_14" localSheetId="40">'налоги 2018'!р7</definedName>
    <definedName name="р7_14" localSheetId="4">'ПОЛНАЯ СЕБЕСТОИМОСТЬ ВОДА 2018'!р7</definedName>
    <definedName name="р7_14" localSheetId="2">'ПОЛНАЯ СЕБЕСТОИМОСТЬ СТОКИ 2018'!р7</definedName>
    <definedName name="р7_14" localSheetId="10">'Прил. 1 План ФХД вода табл. 2'!р7</definedName>
    <definedName name="р7_14" localSheetId="9">'Прил. 1 План ФХД стоки табл 2'!р7</definedName>
    <definedName name="р7_14" localSheetId="8">'Прил. 1 План ФХД табл 1'!р7</definedName>
    <definedName name="р7_14" localSheetId="13">'Произв. прогр. Вода'!р7</definedName>
    <definedName name="р7_14" localSheetId="14">'Произв. прогр. Вода (СВОД)'!р7</definedName>
    <definedName name="р7_14" localSheetId="12">'Произв. прогр. Стоки'!р7</definedName>
    <definedName name="р7_14" localSheetId="11">'Произв. прогр. Стоки (СВОД)'!р7</definedName>
    <definedName name="р7_14" localSheetId="41">'Расчет налог. обяз. 2018'!р7</definedName>
    <definedName name="р7_14" localSheetId="42">'рез к 2017'!р7</definedName>
    <definedName name="р7_14" localSheetId="46">'рез к 2018'!р7</definedName>
    <definedName name="р7_14" localSheetId="22">ТН!р7</definedName>
    <definedName name="р7_14" localSheetId="3">'ФАКТ. СЕБЕСТ ВОДА 1 пол.2018'!р7</definedName>
    <definedName name="р7_14" localSheetId="1">'ФАКТ. СЕБЕСТ. СТОКИ 1 пол. 2018'!р7</definedName>
    <definedName name="р7_14">[0]!р7</definedName>
    <definedName name="р7_15" localSheetId="21">А!р7</definedName>
    <definedName name="р7_15" localSheetId="43">'вод.налог 2018'!р7</definedName>
    <definedName name="р7_15" localSheetId="33">'ЗП с факт 3 кв. 2015'!р7</definedName>
    <definedName name="р7_15" localSheetId="44">'имушество 2018'!р7</definedName>
    <definedName name="р7_15" localSheetId="40">'налоги 2018'!р7</definedName>
    <definedName name="р7_15" localSheetId="4">'ПОЛНАЯ СЕБЕСТОИМОСТЬ ВОДА 2018'!р7</definedName>
    <definedName name="р7_15" localSheetId="2">'ПОЛНАЯ СЕБЕСТОИМОСТЬ СТОКИ 2018'!р7</definedName>
    <definedName name="р7_15" localSheetId="10">'Прил. 1 План ФХД вода табл. 2'!р7</definedName>
    <definedName name="р7_15" localSheetId="9">'Прил. 1 План ФХД стоки табл 2'!р7</definedName>
    <definedName name="р7_15" localSheetId="8">'Прил. 1 План ФХД табл 1'!р7</definedName>
    <definedName name="р7_15" localSheetId="13">'Произв. прогр. Вода'!р7</definedName>
    <definedName name="р7_15" localSheetId="14">'Произв. прогр. Вода (СВОД)'!р7</definedName>
    <definedName name="р7_15" localSheetId="12">'Произв. прогр. Стоки'!р7</definedName>
    <definedName name="р7_15" localSheetId="11">'Произв. прогр. Стоки (СВОД)'!р7</definedName>
    <definedName name="р7_15" localSheetId="41">'Расчет налог. обяз. 2018'!р7</definedName>
    <definedName name="р7_15" localSheetId="42">'рез к 2017'!р7</definedName>
    <definedName name="р7_15" localSheetId="46">'рез к 2018'!р7</definedName>
    <definedName name="р7_15" localSheetId="22">ТН!р7</definedName>
    <definedName name="р7_15" localSheetId="3">'ФАКТ. СЕБЕСТ ВОДА 1 пол.2018'!р7</definedName>
    <definedName name="р7_15" localSheetId="1">'ФАКТ. СЕБЕСТ. СТОКИ 1 пол. 2018'!р7</definedName>
    <definedName name="р7_15">[0]!р7</definedName>
    <definedName name="р7_16" localSheetId="21">А!р7</definedName>
    <definedName name="р7_16" localSheetId="43">'вод.налог 2018'!р7</definedName>
    <definedName name="р7_16" localSheetId="33">'ЗП с факт 3 кв. 2015'!р7</definedName>
    <definedName name="р7_16" localSheetId="44">'имушество 2018'!р7</definedName>
    <definedName name="р7_16" localSheetId="40">'налоги 2018'!р7</definedName>
    <definedName name="р7_16" localSheetId="4">'ПОЛНАЯ СЕБЕСТОИМОСТЬ ВОДА 2018'!р7</definedName>
    <definedName name="р7_16" localSheetId="2">'ПОЛНАЯ СЕБЕСТОИМОСТЬ СТОКИ 2018'!р7</definedName>
    <definedName name="р7_16" localSheetId="10">'Прил. 1 План ФХД вода табл. 2'!р7</definedName>
    <definedName name="р7_16" localSheetId="9">'Прил. 1 План ФХД стоки табл 2'!р7</definedName>
    <definedName name="р7_16" localSheetId="8">'Прил. 1 План ФХД табл 1'!р7</definedName>
    <definedName name="р7_16" localSheetId="13">'Произв. прогр. Вода'!р7</definedName>
    <definedName name="р7_16" localSheetId="14">'Произв. прогр. Вода (СВОД)'!р7</definedName>
    <definedName name="р7_16" localSheetId="12">'Произв. прогр. Стоки'!р7</definedName>
    <definedName name="р7_16" localSheetId="11">'Произв. прогр. Стоки (СВОД)'!р7</definedName>
    <definedName name="р7_16" localSheetId="41">'Расчет налог. обяз. 2018'!р7</definedName>
    <definedName name="р7_16" localSheetId="42">'рез к 2017'!р7</definedName>
    <definedName name="р7_16" localSheetId="46">'рез к 2018'!р7</definedName>
    <definedName name="р7_16" localSheetId="22">ТН!р7</definedName>
    <definedName name="р7_16" localSheetId="3">'ФАКТ. СЕБЕСТ ВОДА 1 пол.2018'!р7</definedName>
    <definedName name="р7_16" localSheetId="1">'ФАКТ. СЕБЕСТ. СТОКИ 1 пол. 2018'!р7</definedName>
    <definedName name="р7_16">[0]!р7</definedName>
    <definedName name="р7_2" localSheetId="21">А!р7</definedName>
    <definedName name="р7_2" localSheetId="43">'вод.налог 2018'!р7</definedName>
    <definedName name="р7_2" localSheetId="33">'ЗП с факт 3 кв. 2015'!р7</definedName>
    <definedName name="р7_2" localSheetId="44">'имушество 2018'!р7</definedName>
    <definedName name="р7_2" localSheetId="40">'налоги 2018'!р7</definedName>
    <definedName name="р7_2" localSheetId="4">'ПОЛНАЯ СЕБЕСТОИМОСТЬ ВОДА 2018'!р7</definedName>
    <definedName name="р7_2" localSheetId="2">'ПОЛНАЯ СЕБЕСТОИМОСТЬ СТОКИ 2018'!р7</definedName>
    <definedName name="р7_2" localSheetId="10">'Прил. 1 План ФХД вода табл. 2'!р7</definedName>
    <definedName name="р7_2" localSheetId="9">'Прил. 1 План ФХД стоки табл 2'!р7</definedName>
    <definedName name="р7_2" localSheetId="8">'Прил. 1 План ФХД табл 1'!р7</definedName>
    <definedName name="р7_2" localSheetId="13">'Произв. прогр. Вода'!р7</definedName>
    <definedName name="р7_2" localSheetId="14">'Произв. прогр. Вода (СВОД)'!р7</definedName>
    <definedName name="р7_2" localSheetId="12">'Произв. прогр. Стоки'!р7</definedName>
    <definedName name="р7_2" localSheetId="11">'Произв. прогр. Стоки (СВОД)'!р7</definedName>
    <definedName name="р7_2" localSheetId="41">'Расчет налог. обяз. 2018'!р7</definedName>
    <definedName name="р7_2" localSheetId="42">'рез к 2017'!р7</definedName>
    <definedName name="р7_2" localSheetId="46">'рез к 2018'!р7</definedName>
    <definedName name="р7_2" localSheetId="22">ТН!р7</definedName>
    <definedName name="р7_2" localSheetId="3">'ФАКТ. СЕБЕСТ ВОДА 1 пол.2018'!р7</definedName>
    <definedName name="р7_2" localSheetId="1">'ФАКТ. СЕБЕСТ. СТОКИ 1 пол. 2018'!р7</definedName>
    <definedName name="р7_2">[0]!р7</definedName>
    <definedName name="р71" localSheetId="21">А!р71</definedName>
    <definedName name="р71" localSheetId="43">'вод.налог 2018'!р71</definedName>
    <definedName name="р71" localSheetId="33">'ЗП с факт 3 кв. 2015'!р71</definedName>
    <definedName name="р71" localSheetId="44">'имушество 2018'!р71</definedName>
    <definedName name="р71" localSheetId="40">'налоги 2018'!р71</definedName>
    <definedName name="р71" localSheetId="4">#N/A</definedName>
    <definedName name="р71" localSheetId="2">#N/A</definedName>
    <definedName name="р71" localSheetId="10">#N/A</definedName>
    <definedName name="р71" localSheetId="9">#N/A</definedName>
    <definedName name="р71" localSheetId="8">#N/A</definedName>
    <definedName name="р71" localSheetId="13">#N/A</definedName>
    <definedName name="р71" localSheetId="14">#N/A</definedName>
    <definedName name="р71" localSheetId="12">#N/A</definedName>
    <definedName name="р71" localSheetId="11">#N/A</definedName>
    <definedName name="р71" localSheetId="41">'Расчет налог. обяз. 2018'!р71</definedName>
    <definedName name="р71" localSheetId="42">'рез к 2017'!р71</definedName>
    <definedName name="р71" localSheetId="46">'рез к 2018'!р71</definedName>
    <definedName name="р71" localSheetId="22">ТН!р71</definedName>
    <definedName name="р71" localSheetId="3">#N/A</definedName>
    <definedName name="р71" localSheetId="1">#N/A</definedName>
    <definedName name="р71">'ЗП с факт 3 кв. 2015'!р71</definedName>
    <definedName name="р71_10" localSheetId="21">А!р71</definedName>
    <definedName name="р71_10" localSheetId="43">'вод.налог 2018'!р71</definedName>
    <definedName name="р71_10" localSheetId="33">'ЗП с факт 3 кв. 2015'!р71</definedName>
    <definedName name="р71_10" localSheetId="44">'имушество 2018'!р71</definedName>
    <definedName name="р71_10" localSheetId="40">'налоги 2018'!р71</definedName>
    <definedName name="р71_10" localSheetId="4">'ПОЛНАЯ СЕБЕСТОИМОСТЬ ВОДА 2018'!р71</definedName>
    <definedName name="р71_10" localSheetId="2">'ПОЛНАЯ СЕБЕСТОИМОСТЬ СТОКИ 2018'!р71</definedName>
    <definedName name="р71_10" localSheetId="10">'Прил. 1 План ФХД вода табл. 2'!р71</definedName>
    <definedName name="р71_10" localSheetId="9">'Прил. 1 План ФХД стоки табл 2'!р71</definedName>
    <definedName name="р71_10" localSheetId="8">'Прил. 1 План ФХД табл 1'!р71</definedName>
    <definedName name="р71_10" localSheetId="13">'Произв. прогр. Вода'!р71</definedName>
    <definedName name="р71_10" localSheetId="14">'Произв. прогр. Вода (СВОД)'!р71</definedName>
    <definedName name="р71_10" localSheetId="12">'Произв. прогр. Стоки'!р71</definedName>
    <definedName name="р71_10" localSheetId="11">'Произв. прогр. Стоки (СВОД)'!р71</definedName>
    <definedName name="р71_10" localSheetId="41">'Расчет налог. обяз. 2018'!р71</definedName>
    <definedName name="р71_10" localSheetId="42">'рез к 2017'!р71</definedName>
    <definedName name="р71_10" localSheetId="46">'рез к 2018'!р71</definedName>
    <definedName name="р71_10" localSheetId="22">ТН!р71</definedName>
    <definedName name="р71_10" localSheetId="3">'ФАКТ. СЕБЕСТ ВОДА 1 пол.2018'!р71</definedName>
    <definedName name="р71_10" localSheetId="1">'ФАКТ. СЕБЕСТ. СТОКИ 1 пол. 2018'!р71</definedName>
    <definedName name="р71_10">[0]!р71</definedName>
    <definedName name="р71_14" localSheetId="21">А!р71</definedName>
    <definedName name="р71_14" localSheetId="43">'вод.налог 2018'!р71</definedName>
    <definedName name="р71_14" localSheetId="33">'ЗП с факт 3 кв. 2015'!р71</definedName>
    <definedName name="р71_14" localSheetId="44">'имушество 2018'!р71</definedName>
    <definedName name="р71_14" localSheetId="40">'налоги 2018'!р71</definedName>
    <definedName name="р71_14" localSheetId="4">'ПОЛНАЯ СЕБЕСТОИМОСТЬ ВОДА 2018'!р71</definedName>
    <definedName name="р71_14" localSheetId="2">'ПОЛНАЯ СЕБЕСТОИМОСТЬ СТОКИ 2018'!р71</definedName>
    <definedName name="р71_14" localSheetId="10">'Прил. 1 План ФХД вода табл. 2'!р71</definedName>
    <definedName name="р71_14" localSheetId="9">'Прил. 1 План ФХД стоки табл 2'!р71</definedName>
    <definedName name="р71_14" localSheetId="8">'Прил. 1 План ФХД табл 1'!р71</definedName>
    <definedName name="р71_14" localSheetId="13">'Произв. прогр. Вода'!р71</definedName>
    <definedName name="р71_14" localSheetId="14">'Произв. прогр. Вода (СВОД)'!р71</definedName>
    <definedName name="р71_14" localSheetId="12">'Произв. прогр. Стоки'!р71</definedName>
    <definedName name="р71_14" localSheetId="11">'Произв. прогр. Стоки (СВОД)'!р71</definedName>
    <definedName name="р71_14" localSheetId="41">'Расчет налог. обяз. 2018'!р71</definedName>
    <definedName name="р71_14" localSheetId="42">'рез к 2017'!р71</definedName>
    <definedName name="р71_14" localSheetId="46">'рез к 2018'!р71</definedName>
    <definedName name="р71_14" localSheetId="22">ТН!р71</definedName>
    <definedName name="р71_14" localSheetId="3">'ФАКТ. СЕБЕСТ ВОДА 1 пол.2018'!р71</definedName>
    <definedName name="р71_14" localSheetId="1">'ФАКТ. СЕБЕСТ. СТОКИ 1 пол. 2018'!р71</definedName>
    <definedName name="р71_14">[0]!р71</definedName>
    <definedName name="р71_15" localSheetId="21">А!р71</definedName>
    <definedName name="р71_15" localSheetId="43">'вод.налог 2018'!р71</definedName>
    <definedName name="р71_15" localSheetId="33">'ЗП с факт 3 кв. 2015'!р71</definedName>
    <definedName name="р71_15" localSheetId="44">'имушество 2018'!р71</definedName>
    <definedName name="р71_15" localSheetId="40">'налоги 2018'!р71</definedName>
    <definedName name="р71_15" localSheetId="4">'ПОЛНАЯ СЕБЕСТОИМОСТЬ ВОДА 2018'!р71</definedName>
    <definedName name="р71_15" localSheetId="2">'ПОЛНАЯ СЕБЕСТОИМОСТЬ СТОКИ 2018'!р71</definedName>
    <definedName name="р71_15" localSheetId="10">'Прил. 1 План ФХД вода табл. 2'!р71</definedName>
    <definedName name="р71_15" localSheetId="9">'Прил. 1 План ФХД стоки табл 2'!р71</definedName>
    <definedName name="р71_15" localSheetId="8">'Прил. 1 План ФХД табл 1'!р71</definedName>
    <definedName name="р71_15" localSheetId="13">'Произв. прогр. Вода'!р71</definedName>
    <definedName name="р71_15" localSheetId="14">'Произв. прогр. Вода (СВОД)'!р71</definedName>
    <definedName name="р71_15" localSheetId="12">'Произв. прогр. Стоки'!р71</definedName>
    <definedName name="р71_15" localSheetId="11">'Произв. прогр. Стоки (СВОД)'!р71</definedName>
    <definedName name="р71_15" localSheetId="41">'Расчет налог. обяз. 2018'!р71</definedName>
    <definedName name="р71_15" localSheetId="42">'рез к 2017'!р71</definedName>
    <definedName name="р71_15" localSheetId="46">'рез к 2018'!р71</definedName>
    <definedName name="р71_15" localSheetId="22">ТН!р71</definedName>
    <definedName name="р71_15" localSheetId="3">'ФАКТ. СЕБЕСТ ВОДА 1 пол.2018'!р71</definedName>
    <definedName name="р71_15" localSheetId="1">'ФАКТ. СЕБЕСТ. СТОКИ 1 пол. 2018'!р71</definedName>
    <definedName name="р71_15">[0]!р71</definedName>
    <definedName name="р71_16" localSheetId="21">А!р71</definedName>
    <definedName name="р71_16" localSheetId="43">'вод.налог 2018'!р71</definedName>
    <definedName name="р71_16" localSheetId="33">'ЗП с факт 3 кв. 2015'!р71</definedName>
    <definedName name="р71_16" localSheetId="44">'имушество 2018'!р71</definedName>
    <definedName name="р71_16" localSheetId="40">'налоги 2018'!р71</definedName>
    <definedName name="р71_16" localSheetId="4">'ПОЛНАЯ СЕБЕСТОИМОСТЬ ВОДА 2018'!р71</definedName>
    <definedName name="р71_16" localSheetId="2">'ПОЛНАЯ СЕБЕСТОИМОСТЬ СТОКИ 2018'!р71</definedName>
    <definedName name="р71_16" localSheetId="10">'Прил. 1 План ФХД вода табл. 2'!р71</definedName>
    <definedName name="р71_16" localSheetId="9">'Прил. 1 План ФХД стоки табл 2'!р71</definedName>
    <definedName name="р71_16" localSheetId="8">'Прил. 1 План ФХД табл 1'!р71</definedName>
    <definedName name="р71_16" localSheetId="13">'Произв. прогр. Вода'!р71</definedName>
    <definedName name="р71_16" localSheetId="14">'Произв. прогр. Вода (СВОД)'!р71</definedName>
    <definedName name="р71_16" localSheetId="12">'Произв. прогр. Стоки'!р71</definedName>
    <definedName name="р71_16" localSheetId="11">'Произв. прогр. Стоки (СВОД)'!р71</definedName>
    <definedName name="р71_16" localSheetId="41">'Расчет налог. обяз. 2018'!р71</definedName>
    <definedName name="р71_16" localSheetId="42">'рез к 2017'!р71</definedName>
    <definedName name="р71_16" localSheetId="46">'рез к 2018'!р71</definedName>
    <definedName name="р71_16" localSheetId="22">ТН!р71</definedName>
    <definedName name="р71_16" localSheetId="3">'ФАКТ. СЕБЕСТ ВОДА 1 пол.2018'!р71</definedName>
    <definedName name="р71_16" localSheetId="1">'ФАКТ. СЕБЕСТ. СТОКИ 1 пол. 2018'!р71</definedName>
    <definedName name="р71_16">[0]!р71</definedName>
    <definedName name="р71_2" localSheetId="21">А!р71</definedName>
    <definedName name="р71_2" localSheetId="43">'вод.налог 2018'!р71</definedName>
    <definedName name="р71_2" localSheetId="33">'ЗП с факт 3 кв. 2015'!р71</definedName>
    <definedName name="р71_2" localSheetId="44">'имушество 2018'!р71</definedName>
    <definedName name="р71_2" localSheetId="40">'налоги 2018'!р71</definedName>
    <definedName name="р71_2" localSheetId="4">'ПОЛНАЯ СЕБЕСТОИМОСТЬ ВОДА 2018'!р71</definedName>
    <definedName name="р71_2" localSheetId="2">'ПОЛНАЯ СЕБЕСТОИМОСТЬ СТОКИ 2018'!р71</definedName>
    <definedName name="р71_2" localSheetId="10">'Прил. 1 План ФХД вода табл. 2'!р71</definedName>
    <definedName name="р71_2" localSheetId="9">'Прил. 1 План ФХД стоки табл 2'!р71</definedName>
    <definedName name="р71_2" localSheetId="8">'Прил. 1 План ФХД табл 1'!р71</definedName>
    <definedName name="р71_2" localSheetId="13">'Произв. прогр. Вода'!р71</definedName>
    <definedName name="р71_2" localSheetId="14">'Произв. прогр. Вода (СВОД)'!р71</definedName>
    <definedName name="р71_2" localSheetId="12">'Произв. прогр. Стоки'!р71</definedName>
    <definedName name="р71_2" localSheetId="11">'Произв. прогр. Стоки (СВОД)'!р71</definedName>
    <definedName name="р71_2" localSheetId="41">'Расчет налог. обяз. 2018'!р71</definedName>
    <definedName name="р71_2" localSheetId="42">'рез к 2017'!р71</definedName>
    <definedName name="р71_2" localSheetId="46">'рез к 2018'!р71</definedName>
    <definedName name="р71_2" localSheetId="22">ТН!р71</definedName>
    <definedName name="р71_2" localSheetId="3">'ФАКТ. СЕБЕСТ ВОДА 1 пол.2018'!р71</definedName>
    <definedName name="р71_2" localSheetId="1">'ФАКТ. СЕБЕСТ. СТОКИ 1 пол. 2018'!р71</definedName>
    <definedName name="р71_2">[0]!р71</definedName>
    <definedName name="ра71" localSheetId="21">А!ра71</definedName>
    <definedName name="ра71" localSheetId="43">'вод.налог 2018'!ра71</definedName>
    <definedName name="ра71" localSheetId="33">'ЗП с факт 3 кв. 2015'!ра71</definedName>
    <definedName name="ра71" localSheetId="44">'имушество 2018'!ра71</definedName>
    <definedName name="ра71" localSheetId="40">'налоги 2018'!ра71</definedName>
    <definedName name="ра71" localSheetId="4">#N/A</definedName>
    <definedName name="ра71" localSheetId="2">#N/A</definedName>
    <definedName name="ра71" localSheetId="10">#N/A</definedName>
    <definedName name="ра71" localSheetId="9">#N/A</definedName>
    <definedName name="ра71" localSheetId="8">#N/A</definedName>
    <definedName name="ра71" localSheetId="13">#N/A</definedName>
    <definedName name="ра71" localSheetId="14">#N/A</definedName>
    <definedName name="ра71" localSheetId="12">#N/A</definedName>
    <definedName name="ра71" localSheetId="11">#N/A</definedName>
    <definedName name="ра71" localSheetId="41">'Расчет налог. обяз. 2018'!ра71</definedName>
    <definedName name="ра71" localSheetId="42">'рез к 2017'!ра71</definedName>
    <definedName name="ра71" localSheetId="46">'рез к 2018'!ра71</definedName>
    <definedName name="ра71" localSheetId="22">ТН!ра71</definedName>
    <definedName name="ра71" localSheetId="3">#N/A</definedName>
    <definedName name="ра71" localSheetId="1">#N/A</definedName>
    <definedName name="ра71">'ЗП с факт 3 кв. 2015'!ра71</definedName>
    <definedName name="ра71_10" localSheetId="21">А!ра71</definedName>
    <definedName name="ра71_10" localSheetId="43">'вод.налог 2018'!ра71</definedName>
    <definedName name="ра71_10" localSheetId="33">'ЗП с факт 3 кв. 2015'!ра71</definedName>
    <definedName name="ра71_10" localSheetId="44">'имушество 2018'!ра71</definedName>
    <definedName name="ра71_10" localSheetId="40">'налоги 2018'!ра71</definedName>
    <definedName name="ра71_10" localSheetId="4">'ПОЛНАЯ СЕБЕСТОИМОСТЬ ВОДА 2018'!ра71</definedName>
    <definedName name="ра71_10" localSheetId="2">'ПОЛНАЯ СЕБЕСТОИМОСТЬ СТОКИ 2018'!ра71</definedName>
    <definedName name="ра71_10" localSheetId="10">'Прил. 1 План ФХД вода табл. 2'!ра71</definedName>
    <definedName name="ра71_10" localSheetId="9">'Прил. 1 План ФХД стоки табл 2'!ра71</definedName>
    <definedName name="ра71_10" localSheetId="8">'Прил. 1 План ФХД табл 1'!ра71</definedName>
    <definedName name="ра71_10" localSheetId="13">'Произв. прогр. Вода'!ра71</definedName>
    <definedName name="ра71_10" localSheetId="14">'Произв. прогр. Вода (СВОД)'!ра71</definedName>
    <definedName name="ра71_10" localSheetId="12">'Произв. прогр. Стоки'!ра71</definedName>
    <definedName name="ра71_10" localSheetId="11">'Произв. прогр. Стоки (СВОД)'!ра71</definedName>
    <definedName name="ра71_10" localSheetId="41">'Расчет налог. обяз. 2018'!ра71</definedName>
    <definedName name="ра71_10" localSheetId="42">'рез к 2017'!ра71</definedName>
    <definedName name="ра71_10" localSheetId="46">'рез к 2018'!ра71</definedName>
    <definedName name="ра71_10" localSheetId="22">ТН!ра71</definedName>
    <definedName name="ра71_10" localSheetId="3">'ФАКТ. СЕБЕСТ ВОДА 1 пол.2018'!ра71</definedName>
    <definedName name="ра71_10" localSheetId="1">'ФАКТ. СЕБЕСТ. СТОКИ 1 пол. 2018'!ра71</definedName>
    <definedName name="ра71_10">[0]!ра71</definedName>
    <definedName name="ра71_14" localSheetId="21">А!ра71</definedName>
    <definedName name="ра71_14" localSheetId="43">'вод.налог 2018'!ра71</definedName>
    <definedName name="ра71_14" localSheetId="33">'ЗП с факт 3 кв. 2015'!ра71</definedName>
    <definedName name="ра71_14" localSheetId="44">'имушество 2018'!ра71</definedName>
    <definedName name="ра71_14" localSheetId="40">'налоги 2018'!ра71</definedName>
    <definedName name="ра71_14" localSheetId="4">'ПОЛНАЯ СЕБЕСТОИМОСТЬ ВОДА 2018'!ра71</definedName>
    <definedName name="ра71_14" localSheetId="2">'ПОЛНАЯ СЕБЕСТОИМОСТЬ СТОКИ 2018'!ра71</definedName>
    <definedName name="ра71_14" localSheetId="10">'Прил. 1 План ФХД вода табл. 2'!ра71</definedName>
    <definedName name="ра71_14" localSheetId="9">'Прил. 1 План ФХД стоки табл 2'!ра71</definedName>
    <definedName name="ра71_14" localSheetId="8">'Прил. 1 План ФХД табл 1'!ра71</definedName>
    <definedName name="ра71_14" localSheetId="13">'Произв. прогр. Вода'!ра71</definedName>
    <definedName name="ра71_14" localSheetId="14">'Произв. прогр. Вода (СВОД)'!ра71</definedName>
    <definedName name="ра71_14" localSheetId="12">'Произв. прогр. Стоки'!ра71</definedName>
    <definedName name="ра71_14" localSheetId="11">'Произв. прогр. Стоки (СВОД)'!ра71</definedName>
    <definedName name="ра71_14" localSheetId="41">'Расчет налог. обяз. 2018'!ра71</definedName>
    <definedName name="ра71_14" localSheetId="42">'рез к 2017'!ра71</definedName>
    <definedName name="ра71_14" localSheetId="46">'рез к 2018'!ра71</definedName>
    <definedName name="ра71_14" localSheetId="22">ТН!ра71</definedName>
    <definedName name="ра71_14" localSheetId="3">'ФАКТ. СЕБЕСТ ВОДА 1 пол.2018'!ра71</definedName>
    <definedName name="ра71_14" localSheetId="1">'ФАКТ. СЕБЕСТ. СТОКИ 1 пол. 2018'!ра71</definedName>
    <definedName name="ра71_14">[0]!ра71</definedName>
    <definedName name="ра71_15" localSheetId="21">А!ра71</definedName>
    <definedName name="ра71_15" localSheetId="43">'вод.налог 2018'!ра71</definedName>
    <definedName name="ра71_15" localSheetId="33">'ЗП с факт 3 кв. 2015'!ра71</definedName>
    <definedName name="ра71_15" localSheetId="44">'имушество 2018'!ра71</definedName>
    <definedName name="ра71_15" localSheetId="40">'налоги 2018'!ра71</definedName>
    <definedName name="ра71_15" localSheetId="4">'ПОЛНАЯ СЕБЕСТОИМОСТЬ ВОДА 2018'!ра71</definedName>
    <definedName name="ра71_15" localSheetId="2">'ПОЛНАЯ СЕБЕСТОИМОСТЬ СТОКИ 2018'!ра71</definedName>
    <definedName name="ра71_15" localSheetId="10">'Прил. 1 План ФХД вода табл. 2'!ра71</definedName>
    <definedName name="ра71_15" localSheetId="9">'Прил. 1 План ФХД стоки табл 2'!ра71</definedName>
    <definedName name="ра71_15" localSheetId="8">'Прил. 1 План ФХД табл 1'!ра71</definedName>
    <definedName name="ра71_15" localSheetId="13">'Произв. прогр. Вода'!ра71</definedName>
    <definedName name="ра71_15" localSheetId="14">'Произв. прогр. Вода (СВОД)'!ра71</definedName>
    <definedName name="ра71_15" localSheetId="12">'Произв. прогр. Стоки'!ра71</definedName>
    <definedName name="ра71_15" localSheetId="11">'Произв. прогр. Стоки (СВОД)'!ра71</definedName>
    <definedName name="ра71_15" localSheetId="41">'Расчет налог. обяз. 2018'!ра71</definedName>
    <definedName name="ра71_15" localSheetId="42">'рез к 2017'!ра71</definedName>
    <definedName name="ра71_15" localSheetId="46">'рез к 2018'!ра71</definedName>
    <definedName name="ра71_15" localSheetId="22">ТН!ра71</definedName>
    <definedName name="ра71_15" localSheetId="3">'ФАКТ. СЕБЕСТ ВОДА 1 пол.2018'!ра71</definedName>
    <definedName name="ра71_15" localSheetId="1">'ФАКТ. СЕБЕСТ. СТОКИ 1 пол. 2018'!ра71</definedName>
    <definedName name="ра71_15">[0]!ра71</definedName>
    <definedName name="ра71_16" localSheetId="21">А!ра71</definedName>
    <definedName name="ра71_16" localSheetId="43">'вод.налог 2018'!ра71</definedName>
    <definedName name="ра71_16" localSheetId="33">'ЗП с факт 3 кв. 2015'!ра71</definedName>
    <definedName name="ра71_16" localSheetId="44">'имушество 2018'!ра71</definedName>
    <definedName name="ра71_16" localSheetId="40">'налоги 2018'!ра71</definedName>
    <definedName name="ра71_16" localSheetId="4">'ПОЛНАЯ СЕБЕСТОИМОСТЬ ВОДА 2018'!ра71</definedName>
    <definedName name="ра71_16" localSheetId="2">'ПОЛНАЯ СЕБЕСТОИМОСТЬ СТОКИ 2018'!ра71</definedName>
    <definedName name="ра71_16" localSheetId="10">'Прил. 1 План ФХД вода табл. 2'!ра71</definedName>
    <definedName name="ра71_16" localSheetId="9">'Прил. 1 План ФХД стоки табл 2'!ра71</definedName>
    <definedName name="ра71_16" localSheetId="8">'Прил. 1 План ФХД табл 1'!ра71</definedName>
    <definedName name="ра71_16" localSheetId="13">'Произв. прогр. Вода'!ра71</definedName>
    <definedName name="ра71_16" localSheetId="14">'Произв. прогр. Вода (СВОД)'!ра71</definedName>
    <definedName name="ра71_16" localSheetId="12">'Произв. прогр. Стоки'!ра71</definedName>
    <definedName name="ра71_16" localSheetId="11">'Произв. прогр. Стоки (СВОД)'!ра71</definedName>
    <definedName name="ра71_16" localSheetId="41">'Расчет налог. обяз. 2018'!ра71</definedName>
    <definedName name="ра71_16" localSheetId="42">'рез к 2017'!ра71</definedName>
    <definedName name="ра71_16" localSheetId="46">'рез к 2018'!ра71</definedName>
    <definedName name="ра71_16" localSheetId="22">ТН!ра71</definedName>
    <definedName name="ра71_16" localSheetId="3">'ФАКТ. СЕБЕСТ ВОДА 1 пол.2018'!ра71</definedName>
    <definedName name="ра71_16" localSheetId="1">'ФАКТ. СЕБЕСТ. СТОКИ 1 пол. 2018'!ра71</definedName>
    <definedName name="ра71_16">[0]!ра71</definedName>
    <definedName name="ра71_2" localSheetId="21">А!ра71</definedName>
    <definedName name="ра71_2" localSheetId="43">'вод.налог 2018'!ра71</definedName>
    <definedName name="ра71_2" localSheetId="33">'ЗП с факт 3 кв. 2015'!ра71</definedName>
    <definedName name="ра71_2" localSheetId="44">'имушество 2018'!ра71</definedName>
    <definedName name="ра71_2" localSheetId="40">'налоги 2018'!ра71</definedName>
    <definedName name="ра71_2" localSheetId="4">'ПОЛНАЯ СЕБЕСТОИМОСТЬ ВОДА 2018'!ра71</definedName>
    <definedName name="ра71_2" localSheetId="2">'ПОЛНАЯ СЕБЕСТОИМОСТЬ СТОКИ 2018'!ра71</definedName>
    <definedName name="ра71_2" localSheetId="10">'Прил. 1 План ФХД вода табл. 2'!ра71</definedName>
    <definedName name="ра71_2" localSheetId="9">'Прил. 1 План ФХД стоки табл 2'!ра71</definedName>
    <definedName name="ра71_2" localSheetId="8">'Прил. 1 План ФХД табл 1'!ра71</definedName>
    <definedName name="ра71_2" localSheetId="13">'Произв. прогр. Вода'!ра71</definedName>
    <definedName name="ра71_2" localSheetId="14">'Произв. прогр. Вода (СВОД)'!ра71</definedName>
    <definedName name="ра71_2" localSheetId="12">'Произв. прогр. Стоки'!ра71</definedName>
    <definedName name="ра71_2" localSheetId="11">'Произв. прогр. Стоки (СВОД)'!ра71</definedName>
    <definedName name="ра71_2" localSheetId="41">'Расчет налог. обяз. 2018'!ра71</definedName>
    <definedName name="ра71_2" localSheetId="42">'рез к 2017'!ра71</definedName>
    <definedName name="ра71_2" localSheetId="46">'рез к 2018'!ра71</definedName>
    <definedName name="ра71_2" localSheetId="22">ТН!ра71</definedName>
    <definedName name="ра71_2" localSheetId="3">'ФАКТ. СЕБЕСТ ВОДА 1 пол.2018'!ра71</definedName>
    <definedName name="ра71_2" localSheetId="1">'ФАКТ. СЕБЕСТ. СТОКИ 1 пол. 2018'!ра71</definedName>
    <definedName name="ра71_2">[0]!ра71</definedName>
    <definedName name="РТВ" localSheetId="4">[11]Нормат!$J$12</definedName>
    <definedName name="РТВ" localSheetId="2">[11]Нормат!$J$12</definedName>
    <definedName name="РТВ" localSheetId="3">[11]Нормат!$J$12</definedName>
    <definedName name="РТВ" localSheetId="1">[11]Нормат!$J$12</definedName>
    <definedName name="РТВ">[11]Нормат!$J$12</definedName>
    <definedName name="РТВ_10">[8]Нормат!$J$12</definedName>
    <definedName name="РТВ_12">[12]Нормат!$J$12</definedName>
    <definedName name="РТВ_13">[12]Нормат!$J$12</definedName>
    <definedName name="РТВ_14">[8]Нормат!$J$12</definedName>
    <definedName name="РТВ_15">[8]Нормат!$J$12</definedName>
    <definedName name="РТВ_16">[8]Нормат!$J$12</definedName>
    <definedName name="РТВ_2">[8]Нормат!$J$12</definedName>
    <definedName name="РТВ_201" localSheetId="4">[11]Нормат!$J$23</definedName>
    <definedName name="РТВ_201" localSheetId="2">[11]Нормат!$J$23</definedName>
    <definedName name="РТВ_201" localSheetId="3">[11]Нормат!$J$23</definedName>
    <definedName name="РТВ_201" localSheetId="1">[11]Нормат!$J$23</definedName>
    <definedName name="РТВ_201">[11]Нормат!$J$23</definedName>
    <definedName name="РТВ_201_10">[8]Нормат!$J$23</definedName>
    <definedName name="РТВ_201_12">[12]Нормат!$J$23</definedName>
    <definedName name="РТВ_201_13">[12]Нормат!$J$23</definedName>
    <definedName name="РТВ_201_14">[8]Нормат!$J$23</definedName>
    <definedName name="РТВ_201_15">[8]Нормат!$J$23</definedName>
    <definedName name="РТВ_201_16">[8]Нормат!$J$23</definedName>
    <definedName name="РТВ_201_2">[8]Нормат!$J$23</definedName>
    <definedName name="РТВ_201_24" localSheetId="4">[13]Нормат!$J$23</definedName>
    <definedName name="РТВ_201_24" localSheetId="2">[13]Нормат!$J$23</definedName>
    <definedName name="РТВ_201_24" localSheetId="3">[13]Нормат!$J$23</definedName>
    <definedName name="РТВ_201_24" localSheetId="1">[13]Нормат!$J$23</definedName>
    <definedName name="РТВ_201_24">[13]Нормат!$J$23</definedName>
    <definedName name="РТВ_201_25" localSheetId="4">[14]Нормат!$J$23</definedName>
    <definedName name="РТВ_201_25" localSheetId="2">[14]Нормат!$J$23</definedName>
    <definedName name="РТВ_201_25" localSheetId="3">[14]Нормат!$J$23</definedName>
    <definedName name="РТВ_201_25" localSheetId="1">[14]Нормат!$J$23</definedName>
    <definedName name="РТВ_201_25">[14]Нормат!$J$23</definedName>
    <definedName name="РТВ_201_3" localSheetId="4">[15]Нормат!$J$23</definedName>
    <definedName name="РТВ_201_3" localSheetId="2">[15]Нормат!$J$23</definedName>
    <definedName name="РТВ_201_3" localSheetId="3">[15]Нормат!$J$23</definedName>
    <definedName name="РТВ_201_3" localSheetId="1">[15]Нормат!$J$23</definedName>
    <definedName name="РТВ_201_3">[15]Нормат!$J$23</definedName>
    <definedName name="РТВ_201_4">[10]Нормат!$J$23</definedName>
    <definedName name="РТВ_201_5">[9]Нормат!$J$23</definedName>
    <definedName name="РТВ_201_59" localSheetId="4">[16]Нормат!$J$23</definedName>
    <definedName name="РТВ_201_59" localSheetId="2">[16]Нормат!$J$23</definedName>
    <definedName name="РТВ_201_59" localSheetId="3">[16]Нормат!$J$23</definedName>
    <definedName name="РТВ_201_59" localSheetId="1">[16]Нормат!$J$23</definedName>
    <definedName name="РТВ_201_59">[16]Нормат!$J$23</definedName>
    <definedName name="РТВ_201_59_10">[17]Нормат!$J$23</definedName>
    <definedName name="РТВ_201_59_14">[17]Нормат!$J$23</definedName>
    <definedName name="РТВ_201_59_15">[17]Нормат!$J$23</definedName>
    <definedName name="РТВ_201_59_16">[17]Нормат!$J$23</definedName>
    <definedName name="РТВ_201_59_2">[17]Нормат!$J$23</definedName>
    <definedName name="РТВ_201_6" localSheetId="4">[18]Нормат!$J$23</definedName>
    <definedName name="РТВ_201_6" localSheetId="2">[18]Нормат!$J$23</definedName>
    <definedName name="РТВ_201_6" localSheetId="3">[18]Нормат!$J$23</definedName>
    <definedName name="РТВ_201_6" localSheetId="1">[18]Нормат!$J$23</definedName>
    <definedName name="РТВ_201_6">[18]Нормат!$J$23</definedName>
    <definedName name="РТВ_201_60" localSheetId="4">[16]Нормат!$J$23</definedName>
    <definedName name="РТВ_201_60" localSheetId="2">[16]Нормат!$J$23</definedName>
    <definedName name="РТВ_201_60" localSheetId="3">[16]Нормат!$J$23</definedName>
    <definedName name="РТВ_201_60" localSheetId="1">[16]Нормат!$J$23</definedName>
    <definedName name="РТВ_201_60">[16]Нормат!$J$23</definedName>
    <definedName name="РТВ_201_60_10">[17]Нормат!$J$23</definedName>
    <definedName name="РТВ_201_60_14">[17]Нормат!$J$23</definedName>
    <definedName name="РТВ_201_60_15">[17]Нормат!$J$23</definedName>
    <definedName name="РТВ_201_60_16">[17]Нормат!$J$23</definedName>
    <definedName name="РТВ_201_60_2">[17]Нормат!$J$23</definedName>
    <definedName name="РТВ_201_7">[9]Нормат!$J$23</definedName>
    <definedName name="РТВ_201_72" localSheetId="4">[11]Нормат!$J$23</definedName>
    <definedName name="РТВ_201_72" localSheetId="2">[11]Нормат!$J$23</definedName>
    <definedName name="РТВ_201_72" localSheetId="3">[11]Нормат!$J$23</definedName>
    <definedName name="РТВ_201_72" localSheetId="1">[11]Нормат!$J$23</definedName>
    <definedName name="РТВ_201_72">[11]Нормат!$J$23</definedName>
    <definedName name="РТВ_201_72_10">[8]Нормат!$J$23</definedName>
    <definedName name="РТВ_201_72_14">[8]Нормат!$J$23</definedName>
    <definedName name="РТВ_201_72_15">[8]Нормат!$J$23</definedName>
    <definedName name="РТВ_201_72_16">[8]Нормат!$J$23</definedName>
    <definedName name="РТВ_201_72_2">[8]Нормат!$J$23</definedName>
    <definedName name="РТВ_201_8">[9]Нормат!$J$23</definedName>
    <definedName name="РТВ_201_9">[9]Нормат!$J$23</definedName>
    <definedName name="РТВ_24" localSheetId="4">[13]Нормат!$J$12</definedName>
    <definedName name="РТВ_24" localSheetId="2">[13]Нормат!$J$12</definedName>
    <definedName name="РТВ_24" localSheetId="3">[13]Нормат!$J$12</definedName>
    <definedName name="РТВ_24" localSheetId="1">[13]Нормат!$J$12</definedName>
    <definedName name="РТВ_24">[13]Нормат!$J$12</definedName>
    <definedName name="РТВ_25" localSheetId="4">[14]Нормат!$J$12</definedName>
    <definedName name="РТВ_25" localSheetId="2">[14]Нормат!$J$12</definedName>
    <definedName name="РТВ_25" localSheetId="3">[14]Нормат!$J$12</definedName>
    <definedName name="РТВ_25" localSheetId="1">[14]Нормат!$J$12</definedName>
    <definedName name="РТВ_25">[14]Нормат!$J$12</definedName>
    <definedName name="РТВ_3" localSheetId="4">[15]Нормат!$J$12</definedName>
    <definedName name="РТВ_3" localSheetId="2">[15]Нормат!$J$12</definedName>
    <definedName name="РТВ_3" localSheetId="3">[15]Нормат!$J$12</definedName>
    <definedName name="РТВ_3" localSheetId="1">[15]Нормат!$J$12</definedName>
    <definedName name="РТВ_3">[15]Нормат!$J$12</definedName>
    <definedName name="РТВ_4">[10]Нормат!$J$12</definedName>
    <definedName name="РТВ_5">[9]Нормат!$J$12</definedName>
    <definedName name="РТВ_59" localSheetId="4">[16]Нормат!$J$12</definedName>
    <definedName name="РТВ_59" localSheetId="2">[16]Нормат!$J$12</definedName>
    <definedName name="РТВ_59" localSheetId="3">[16]Нормат!$J$12</definedName>
    <definedName name="РТВ_59" localSheetId="1">[16]Нормат!$J$12</definedName>
    <definedName name="РТВ_59">[16]Нормат!$J$12</definedName>
    <definedName name="РТВ_59_10">[17]Нормат!$J$12</definedName>
    <definedName name="РТВ_59_14">[17]Нормат!$J$12</definedName>
    <definedName name="РТВ_59_15">[17]Нормат!$J$12</definedName>
    <definedName name="РТВ_59_16">[17]Нормат!$J$12</definedName>
    <definedName name="РТВ_59_2">[17]Нормат!$J$12</definedName>
    <definedName name="РТВ_6" localSheetId="4">[18]Нормат!$J$12</definedName>
    <definedName name="РТВ_6" localSheetId="2">[18]Нормат!$J$12</definedName>
    <definedName name="РТВ_6" localSheetId="3">[18]Нормат!$J$12</definedName>
    <definedName name="РТВ_6" localSheetId="1">[18]Нормат!$J$12</definedName>
    <definedName name="РТВ_6">[18]Нормат!$J$12</definedName>
    <definedName name="РТВ_60" localSheetId="4">[16]Нормат!$J$12</definedName>
    <definedName name="РТВ_60" localSheetId="2">[16]Нормат!$J$12</definedName>
    <definedName name="РТВ_60" localSheetId="3">[16]Нормат!$J$12</definedName>
    <definedName name="РТВ_60" localSheetId="1">[16]Нормат!$J$12</definedName>
    <definedName name="РТВ_60">[16]Нормат!$J$12</definedName>
    <definedName name="РТВ_60_10">[17]Нормат!$J$12</definedName>
    <definedName name="РТВ_60_14">[17]Нормат!$J$12</definedName>
    <definedName name="РТВ_60_15">[17]Нормат!$J$12</definedName>
    <definedName name="РТВ_60_16">[17]Нормат!$J$12</definedName>
    <definedName name="РТВ_60_2">[17]Нормат!$J$12</definedName>
    <definedName name="РТВ_7">[9]Нормат!$J$12</definedName>
    <definedName name="РТВ_72" localSheetId="4">[11]Нормат!$J$12</definedName>
    <definedName name="РТВ_72" localSheetId="2">[11]Нормат!$J$12</definedName>
    <definedName name="РТВ_72" localSheetId="3">[11]Нормат!$J$12</definedName>
    <definedName name="РТВ_72" localSheetId="1">[11]Нормат!$J$12</definedName>
    <definedName name="РТВ_72">[11]Нормат!$J$12</definedName>
    <definedName name="РТВ_72_10">[8]Нормат!$J$12</definedName>
    <definedName name="РТВ_72_14">[8]Нормат!$J$12</definedName>
    <definedName name="РТВ_72_15">[8]Нормат!$J$12</definedName>
    <definedName name="РТВ_72_16">[8]Нормат!$J$12</definedName>
    <definedName name="РТВ_72_2">[8]Нормат!$J$12</definedName>
    <definedName name="РТВ_8">[9]Нормат!$J$12</definedName>
    <definedName name="РТВ_9">[9]Нормат!$J$12</definedName>
    <definedName name="смитронгглллльббб" localSheetId="33">#REF!</definedName>
    <definedName name="смитронгглллльббб" localSheetId="8">#REF!</definedName>
    <definedName name="смитронгглллльббб" localSheetId="20">#REF!</definedName>
    <definedName name="смитронгглллльббб" localSheetId="16">#REF!</definedName>
    <definedName name="смитронгглллльббб" localSheetId="61">#REF!</definedName>
    <definedName name="смитронгглллльббб" localSheetId="60">#REF!</definedName>
    <definedName name="смитронгглллльббб" localSheetId="59">#REF!</definedName>
    <definedName name="смитронгглллльббб" localSheetId="37">#REF!</definedName>
    <definedName name="смитронгглллльббб" localSheetId="29">#REF!</definedName>
    <definedName name="смитронгглллльббб" localSheetId="27">#REF!</definedName>
    <definedName name="смитронгглллльббб">#REF!</definedName>
    <definedName name="сммаапеенннннн">#N/A</definedName>
    <definedName name="спсп" localSheetId="21">А!_Pi1</definedName>
    <definedName name="спсп" localSheetId="43">'вод.налог 2018'!_Pi1</definedName>
    <definedName name="спсп" localSheetId="33">'ЗП с факт 3 кв. 2015'!_Pi1</definedName>
    <definedName name="спсп" localSheetId="44">'имушество 2018'!_Pi1</definedName>
    <definedName name="спсп" localSheetId="40">'налоги 2018'!_Pi1</definedName>
    <definedName name="спсп" localSheetId="4">'ПОЛНАЯ СЕБЕСТОИМОСТЬ ВОДА 2018'!_Pi1</definedName>
    <definedName name="спсп" localSheetId="2">'ПОЛНАЯ СЕБЕСТОИМОСТЬ СТОКИ 2018'!_Pi1</definedName>
    <definedName name="спсп" localSheetId="10">'Прил. 1 План ФХД вода табл. 2'!_Pi1</definedName>
    <definedName name="спсп" localSheetId="9">'Прил. 1 План ФХД стоки табл 2'!_Pi1</definedName>
    <definedName name="спсп" localSheetId="8">'Прил. 1 План ФХД табл 1'!_Pi1</definedName>
    <definedName name="спсп" localSheetId="13">'Произв. прогр. Вода'!_Pi1</definedName>
    <definedName name="спсп" localSheetId="14">'Произв. прогр. Вода (СВОД)'!_Pi1</definedName>
    <definedName name="спсп" localSheetId="12">'Произв. прогр. Стоки'!_Pi1</definedName>
    <definedName name="спсп" localSheetId="11">'Произв. прогр. Стоки (СВОД)'!_Pi1</definedName>
    <definedName name="спсп" localSheetId="41">'Расчет налог. обяз. 2018'!_Pi1</definedName>
    <definedName name="спсп" localSheetId="42">'рез к 2017'!_Pi1</definedName>
    <definedName name="спсп" localSheetId="46">'рез к 2018'!_Pi1</definedName>
    <definedName name="спсп" localSheetId="22">ТН!_Pi1</definedName>
    <definedName name="спсп" localSheetId="3">'ФАКТ. СЕБЕСТ ВОДА 1 пол.2018'!_Pi1</definedName>
    <definedName name="спсп" localSheetId="1">'ФАКТ. СЕБЕСТ. СТОКИ 1 пол. 2018'!_Pi1</definedName>
    <definedName name="спсп">[0]!_Pi1</definedName>
    <definedName name="спсп_1" localSheetId="21">А!_Pi1</definedName>
    <definedName name="спсп_1" localSheetId="43">'вод.налог 2018'!_Pi1</definedName>
    <definedName name="спсп_1" localSheetId="33">'ЗП с факт 3 кв. 2015'!_Pi1</definedName>
    <definedName name="спсп_1" localSheetId="44">'имушество 2018'!_Pi1</definedName>
    <definedName name="спсп_1" localSheetId="40">'налоги 2018'!_Pi1</definedName>
    <definedName name="спсп_1" localSheetId="4">'ПОЛНАЯ СЕБЕСТОИМОСТЬ ВОДА 2018'!_Pi1</definedName>
    <definedName name="спсп_1" localSheetId="2">'ПОЛНАЯ СЕБЕСТОИМОСТЬ СТОКИ 2018'!_Pi1</definedName>
    <definedName name="спсп_1" localSheetId="10">'Прил. 1 План ФХД вода табл. 2'!_Pi1</definedName>
    <definedName name="спсп_1" localSheetId="9">'Прил. 1 План ФХД стоки табл 2'!_Pi1</definedName>
    <definedName name="спсп_1" localSheetId="8">'Прил. 1 План ФХД табл 1'!_Pi1</definedName>
    <definedName name="спсп_1" localSheetId="13">'Произв. прогр. Вода'!_Pi1</definedName>
    <definedName name="спсп_1" localSheetId="14">'Произв. прогр. Вода (СВОД)'!_Pi1</definedName>
    <definedName name="спсп_1" localSheetId="12">'Произв. прогр. Стоки'!_Pi1</definedName>
    <definedName name="спсп_1" localSheetId="11">'Произв. прогр. Стоки (СВОД)'!_Pi1</definedName>
    <definedName name="спсп_1" localSheetId="41">'Расчет налог. обяз. 2018'!_Pi1</definedName>
    <definedName name="спсп_1" localSheetId="42">'рез к 2017'!_Pi1</definedName>
    <definedName name="спсп_1" localSheetId="46">'рез к 2018'!_Pi1</definedName>
    <definedName name="спсп_1" localSheetId="22">ТН!_Pi1</definedName>
    <definedName name="спсп_1" localSheetId="3">'ФАКТ. СЕБЕСТ ВОДА 1 пол.2018'!_Pi1</definedName>
    <definedName name="спсп_1" localSheetId="1">'ФАКТ. СЕБЕСТ. СТОКИ 1 пол. 2018'!_Pi1</definedName>
    <definedName name="спсп_1">[0]!_Pi1</definedName>
    <definedName name="спсп_13" localSheetId="21">А!_Pi1</definedName>
    <definedName name="спсп_13" localSheetId="43">'вод.налог 2018'!_Pi1</definedName>
    <definedName name="спсп_13" localSheetId="33">'ЗП с факт 3 кв. 2015'!_Pi1</definedName>
    <definedName name="спсп_13" localSheetId="44">'имушество 2018'!_Pi1</definedName>
    <definedName name="спсп_13" localSheetId="40">'налоги 2018'!_Pi1</definedName>
    <definedName name="спсп_13" localSheetId="4">'ПОЛНАЯ СЕБЕСТОИМОСТЬ ВОДА 2018'!_Pi1</definedName>
    <definedName name="спсп_13" localSheetId="2">'ПОЛНАЯ СЕБЕСТОИМОСТЬ СТОКИ 2018'!_Pi1</definedName>
    <definedName name="спсп_13" localSheetId="10">'Прил. 1 План ФХД вода табл. 2'!_Pi1</definedName>
    <definedName name="спсп_13" localSheetId="9">'Прил. 1 План ФХД стоки табл 2'!_Pi1</definedName>
    <definedName name="спсп_13" localSheetId="8">'Прил. 1 План ФХД табл 1'!_Pi1</definedName>
    <definedName name="спсп_13" localSheetId="13">'Произв. прогр. Вода'!_Pi1</definedName>
    <definedName name="спсп_13" localSheetId="14">'Произв. прогр. Вода (СВОД)'!_Pi1</definedName>
    <definedName name="спсп_13" localSheetId="12">'Произв. прогр. Стоки'!_Pi1</definedName>
    <definedName name="спсп_13" localSheetId="11">'Произв. прогр. Стоки (СВОД)'!_Pi1</definedName>
    <definedName name="спсп_13" localSheetId="41">'Расчет налог. обяз. 2018'!_Pi1</definedName>
    <definedName name="спсп_13" localSheetId="42">'рез к 2017'!_Pi1</definedName>
    <definedName name="спсп_13" localSheetId="46">'рез к 2018'!_Pi1</definedName>
    <definedName name="спсп_13" localSheetId="22">ТН!_Pi1</definedName>
    <definedName name="спсп_13" localSheetId="3">'ФАКТ. СЕБЕСТ ВОДА 1 пол.2018'!_Pi1</definedName>
    <definedName name="спсп_13" localSheetId="1">'ФАКТ. СЕБЕСТ. СТОКИ 1 пол. 2018'!_Pi1</definedName>
    <definedName name="спсп_13">[0]!_Pi1</definedName>
    <definedName name="спсп_2" localSheetId="21">А!_Pi1</definedName>
    <definedName name="спсп_2" localSheetId="43">'вод.налог 2018'!_Pi1</definedName>
    <definedName name="спсп_2" localSheetId="33">'ЗП с факт 3 кв. 2015'!_Pi1</definedName>
    <definedName name="спсп_2" localSheetId="44">'имушество 2018'!_Pi1</definedName>
    <definedName name="спсп_2" localSheetId="40">'налоги 2018'!_Pi1</definedName>
    <definedName name="спсп_2" localSheetId="4">'ПОЛНАЯ СЕБЕСТОИМОСТЬ ВОДА 2018'!_Pi1</definedName>
    <definedName name="спсп_2" localSheetId="2">'ПОЛНАЯ СЕБЕСТОИМОСТЬ СТОКИ 2018'!_Pi1</definedName>
    <definedName name="спсп_2" localSheetId="10">'Прил. 1 План ФХД вода табл. 2'!_Pi1</definedName>
    <definedName name="спсп_2" localSheetId="9">'Прил. 1 План ФХД стоки табл 2'!_Pi1</definedName>
    <definedName name="спсп_2" localSheetId="8">'Прил. 1 План ФХД табл 1'!_Pi1</definedName>
    <definedName name="спсп_2" localSheetId="13">'Произв. прогр. Вода'!_Pi1</definedName>
    <definedName name="спсп_2" localSheetId="14">'Произв. прогр. Вода (СВОД)'!_Pi1</definedName>
    <definedName name="спсп_2" localSheetId="12">'Произв. прогр. Стоки'!_Pi1</definedName>
    <definedName name="спсп_2" localSheetId="11">'Произв. прогр. Стоки (СВОД)'!_Pi1</definedName>
    <definedName name="спсп_2" localSheetId="41">'Расчет налог. обяз. 2018'!_Pi1</definedName>
    <definedName name="спсп_2" localSheetId="42">'рез к 2017'!_Pi1</definedName>
    <definedName name="спсп_2" localSheetId="46">'рез к 2018'!_Pi1</definedName>
    <definedName name="спсп_2" localSheetId="22">ТН!_Pi1</definedName>
    <definedName name="спсп_2" localSheetId="3">'ФАКТ. СЕБЕСТ ВОДА 1 пол.2018'!_Pi1</definedName>
    <definedName name="спсп_2" localSheetId="1">'ФАКТ. СЕБЕСТ. СТОКИ 1 пол. 2018'!_Pi1</definedName>
    <definedName name="спсп_2">[0]!_Pi1</definedName>
    <definedName name="тарифы" localSheetId="21">А!_Pi3</definedName>
    <definedName name="тарифы" localSheetId="43">'вод.налог 2018'!_Pi3</definedName>
    <definedName name="тарифы" localSheetId="33">'ЗП с факт 3 кв. 2015'!_Pi3</definedName>
    <definedName name="тарифы" localSheetId="44">'имушество 2018'!_Pi3</definedName>
    <definedName name="тарифы" localSheetId="40">'налоги 2018'!_Pi3</definedName>
    <definedName name="тарифы" localSheetId="4">'ПОЛНАЯ СЕБЕСТОИМОСТЬ ВОДА 2018'!_Pi3</definedName>
    <definedName name="тарифы" localSheetId="2">'ПОЛНАЯ СЕБЕСТОИМОСТЬ СТОКИ 2018'!_Pi3</definedName>
    <definedName name="тарифы" localSheetId="10">'Прил. 1 План ФХД вода табл. 2'!_Pi3</definedName>
    <definedName name="тарифы" localSheetId="9">'Прил. 1 План ФХД стоки табл 2'!_Pi3</definedName>
    <definedName name="тарифы" localSheetId="8">'Прил. 1 План ФХД табл 1'!_Pi3</definedName>
    <definedName name="тарифы" localSheetId="13">'Произв. прогр. Вода'!_Pi3</definedName>
    <definedName name="тарифы" localSheetId="14">'Произв. прогр. Вода (СВОД)'!_Pi3</definedName>
    <definedName name="тарифы" localSheetId="12">'Произв. прогр. Стоки'!_Pi3</definedName>
    <definedName name="тарифы" localSheetId="11">'Произв. прогр. Стоки (СВОД)'!_Pi3</definedName>
    <definedName name="тарифы" localSheetId="41">'Расчет налог. обяз. 2018'!_Pi3</definedName>
    <definedName name="тарифы" localSheetId="42">'рез к 2017'!_Pi3</definedName>
    <definedName name="тарифы" localSheetId="46">'рез к 2018'!_Pi3</definedName>
    <definedName name="тарифы" localSheetId="22">ТН!_Pi3</definedName>
    <definedName name="тарифы" localSheetId="3">'ФАКТ. СЕБЕСТ ВОДА 1 пол.2018'!_Pi3</definedName>
    <definedName name="тарифы" localSheetId="1">'ФАКТ. СЕБЕСТ. СТОКИ 1 пол. 2018'!_Pi3</definedName>
    <definedName name="тарифы">[0]!_Pi3</definedName>
    <definedName name="тарифы_1" localSheetId="21">А!_Pi3</definedName>
    <definedName name="тарифы_1" localSheetId="43">'вод.налог 2018'!_Pi3</definedName>
    <definedName name="тарифы_1" localSheetId="33">'ЗП с факт 3 кв. 2015'!_Pi3</definedName>
    <definedName name="тарифы_1" localSheetId="44">'имушество 2018'!_Pi3</definedName>
    <definedName name="тарифы_1" localSheetId="40">'налоги 2018'!_Pi3</definedName>
    <definedName name="тарифы_1" localSheetId="4">'ПОЛНАЯ СЕБЕСТОИМОСТЬ ВОДА 2018'!_Pi3</definedName>
    <definedName name="тарифы_1" localSheetId="2">'ПОЛНАЯ СЕБЕСТОИМОСТЬ СТОКИ 2018'!_Pi3</definedName>
    <definedName name="тарифы_1" localSheetId="10">'Прил. 1 План ФХД вода табл. 2'!_Pi3</definedName>
    <definedName name="тарифы_1" localSheetId="9">'Прил. 1 План ФХД стоки табл 2'!_Pi3</definedName>
    <definedName name="тарифы_1" localSheetId="8">'Прил. 1 План ФХД табл 1'!_Pi3</definedName>
    <definedName name="тарифы_1" localSheetId="13">'Произв. прогр. Вода'!_Pi3</definedName>
    <definedName name="тарифы_1" localSheetId="14">'Произв. прогр. Вода (СВОД)'!_Pi3</definedName>
    <definedName name="тарифы_1" localSheetId="12">'Произв. прогр. Стоки'!_Pi3</definedName>
    <definedName name="тарифы_1" localSheetId="11">'Произв. прогр. Стоки (СВОД)'!_Pi3</definedName>
    <definedName name="тарифы_1" localSheetId="41">'Расчет налог. обяз. 2018'!_Pi3</definedName>
    <definedName name="тарифы_1" localSheetId="42">'рез к 2017'!_Pi3</definedName>
    <definedName name="тарифы_1" localSheetId="46">'рез к 2018'!_Pi3</definedName>
    <definedName name="тарифы_1" localSheetId="22">ТН!_Pi3</definedName>
    <definedName name="тарифы_1" localSheetId="3">'ФАКТ. СЕБЕСТ ВОДА 1 пол.2018'!_Pi3</definedName>
    <definedName name="тарифы_1" localSheetId="1">'ФАКТ. СЕБЕСТ. СТОКИ 1 пол. 2018'!_Pi3</definedName>
    <definedName name="тарифы_1">[0]!_Pi3</definedName>
    <definedName name="тарифы_13" localSheetId="21">А!_Pi3</definedName>
    <definedName name="тарифы_13" localSheetId="43">'вод.налог 2018'!_Pi3</definedName>
    <definedName name="тарифы_13" localSheetId="33">'ЗП с факт 3 кв. 2015'!_Pi3</definedName>
    <definedName name="тарифы_13" localSheetId="44">'имушество 2018'!_Pi3</definedName>
    <definedName name="тарифы_13" localSheetId="40">'налоги 2018'!_Pi3</definedName>
    <definedName name="тарифы_13" localSheetId="4">'ПОЛНАЯ СЕБЕСТОИМОСТЬ ВОДА 2018'!_Pi3</definedName>
    <definedName name="тарифы_13" localSheetId="2">'ПОЛНАЯ СЕБЕСТОИМОСТЬ СТОКИ 2018'!_Pi3</definedName>
    <definedName name="тарифы_13" localSheetId="10">'Прил. 1 План ФХД вода табл. 2'!_Pi3</definedName>
    <definedName name="тарифы_13" localSheetId="9">'Прил. 1 План ФХД стоки табл 2'!_Pi3</definedName>
    <definedName name="тарифы_13" localSheetId="8">'Прил. 1 План ФХД табл 1'!_Pi3</definedName>
    <definedName name="тарифы_13" localSheetId="13">'Произв. прогр. Вода'!_Pi3</definedName>
    <definedName name="тарифы_13" localSheetId="14">'Произв. прогр. Вода (СВОД)'!_Pi3</definedName>
    <definedName name="тарифы_13" localSheetId="12">'Произв. прогр. Стоки'!_Pi3</definedName>
    <definedName name="тарифы_13" localSheetId="11">'Произв. прогр. Стоки (СВОД)'!_Pi3</definedName>
    <definedName name="тарифы_13" localSheetId="41">'Расчет налог. обяз. 2018'!_Pi3</definedName>
    <definedName name="тарифы_13" localSheetId="42">'рез к 2017'!_Pi3</definedName>
    <definedName name="тарифы_13" localSheetId="46">'рез к 2018'!_Pi3</definedName>
    <definedName name="тарифы_13" localSheetId="22">ТН!_Pi3</definedName>
    <definedName name="тарифы_13" localSheetId="3">'ФАКТ. СЕБЕСТ ВОДА 1 пол.2018'!_Pi3</definedName>
    <definedName name="тарифы_13" localSheetId="1">'ФАКТ. СЕБЕСТ. СТОКИ 1 пол. 2018'!_Pi3</definedName>
    <definedName name="тарифы_13">[0]!_Pi3</definedName>
    <definedName name="тарифы_2" localSheetId="21">А!_Pi3</definedName>
    <definedName name="тарифы_2" localSheetId="43">'вод.налог 2018'!_Pi3</definedName>
    <definedName name="тарифы_2" localSheetId="33">'ЗП с факт 3 кв. 2015'!_Pi3</definedName>
    <definedName name="тарифы_2" localSheetId="44">'имушество 2018'!_Pi3</definedName>
    <definedName name="тарифы_2" localSheetId="40">'налоги 2018'!_Pi3</definedName>
    <definedName name="тарифы_2" localSheetId="4">'ПОЛНАЯ СЕБЕСТОИМОСТЬ ВОДА 2018'!_Pi3</definedName>
    <definedName name="тарифы_2" localSheetId="2">'ПОЛНАЯ СЕБЕСТОИМОСТЬ СТОКИ 2018'!_Pi3</definedName>
    <definedName name="тарифы_2" localSheetId="10">'Прил. 1 План ФХД вода табл. 2'!_Pi3</definedName>
    <definedName name="тарифы_2" localSheetId="9">'Прил. 1 План ФХД стоки табл 2'!_Pi3</definedName>
    <definedName name="тарифы_2" localSheetId="8">'Прил. 1 План ФХД табл 1'!_Pi3</definedName>
    <definedName name="тарифы_2" localSheetId="13">'Произв. прогр. Вода'!_Pi3</definedName>
    <definedName name="тарифы_2" localSheetId="14">'Произв. прогр. Вода (СВОД)'!_Pi3</definedName>
    <definedName name="тарифы_2" localSheetId="12">'Произв. прогр. Стоки'!_Pi3</definedName>
    <definedName name="тарифы_2" localSheetId="11">'Произв. прогр. Стоки (СВОД)'!_Pi3</definedName>
    <definedName name="тарифы_2" localSheetId="41">'Расчет налог. обяз. 2018'!_Pi3</definedName>
    <definedName name="тарифы_2" localSheetId="42">'рез к 2017'!_Pi3</definedName>
    <definedName name="тарифы_2" localSheetId="46">'рез к 2018'!_Pi3</definedName>
    <definedName name="тарифы_2" localSheetId="22">ТН!_Pi3</definedName>
    <definedName name="тарифы_2" localSheetId="3">'ФАКТ. СЕБЕСТ ВОДА 1 пол.2018'!_Pi3</definedName>
    <definedName name="тарифы_2" localSheetId="1">'ФАКТ. СЕБЕСТ. СТОКИ 1 пол. 2018'!_Pi3</definedName>
    <definedName name="тарифы_2">[0]!_Pi3</definedName>
    <definedName name="тир" localSheetId="43">'[4]распределение январь по бухг.'!#REF!</definedName>
    <definedName name="тир" localSheetId="33">'[4]распределение январь по бухг.'!#REF!</definedName>
    <definedName name="тир" localSheetId="44">'[4]распределение январь по бухг.'!#REF!</definedName>
    <definedName name="тир" localSheetId="40">'[4]распределение январь по бухг.'!#REF!</definedName>
    <definedName name="тир" localSheetId="4">'[4]распределение январь по бухг.'!#REF!</definedName>
    <definedName name="тир" localSheetId="2">'[4]распределение январь по бухг.'!#REF!</definedName>
    <definedName name="тир" localSheetId="8">'[4]распределение январь по бухг.'!#REF!</definedName>
    <definedName name="тир" localSheetId="20">'[4]распределение январь по бухг.'!#REF!</definedName>
    <definedName name="тир" localSheetId="16">'[4]распределение январь по бухг.'!#REF!</definedName>
    <definedName name="тир" localSheetId="61">'[4]распределение январь по бухг.'!#REF!</definedName>
    <definedName name="тир" localSheetId="60">'[4]распределение январь по бухг.'!#REF!</definedName>
    <definedName name="тир" localSheetId="59">'[4]распределение январь по бухг.'!#REF!</definedName>
    <definedName name="тир" localSheetId="3">'[4]распределение январь по бухг.'!#REF!</definedName>
    <definedName name="тир" localSheetId="1">'[4]распределение январь по бухг.'!#REF!</definedName>
    <definedName name="тир" localSheetId="37">'[4]распределение январь по бухг.'!#REF!</definedName>
    <definedName name="тир" localSheetId="29">'[4]распределение январь по бухг.'!#REF!</definedName>
    <definedName name="тир" localSheetId="27">'[4]распределение январь по бухг.'!#REF!</definedName>
    <definedName name="тир">'[4]распределение январь по бухг.'!#REF!</definedName>
    <definedName name="тирчсвакеппрннгг">#N/A</definedName>
    <definedName name="тиьолббддщщшшшш">#N/A</definedName>
    <definedName name="тмпаекннг">#N/A</definedName>
    <definedName name="тпоанв">[9]Нормат!$J$23</definedName>
    <definedName name="тпп" localSheetId="33">#REF!</definedName>
    <definedName name="тпп" localSheetId="8">#REF!</definedName>
    <definedName name="тпп" localSheetId="20">#REF!</definedName>
    <definedName name="тпп" localSheetId="16">#REF!</definedName>
    <definedName name="тпп" localSheetId="61">#REF!</definedName>
    <definedName name="тпп" localSheetId="60">#REF!</definedName>
    <definedName name="тпп" localSheetId="59">#REF!</definedName>
    <definedName name="тпп" localSheetId="37">#REF!</definedName>
    <definedName name="тпп" localSheetId="29">#REF!</definedName>
    <definedName name="тпп" localSheetId="27">#REF!</definedName>
    <definedName name="тпп">#REF!</definedName>
    <definedName name="тпп_1" localSheetId="33">#REF!</definedName>
    <definedName name="тпп_1" localSheetId="8">#REF!</definedName>
    <definedName name="тпп_1" localSheetId="20">#REF!</definedName>
    <definedName name="тпп_1" localSheetId="16">#REF!</definedName>
    <definedName name="тпп_1" localSheetId="61">#REF!</definedName>
    <definedName name="тпп_1" localSheetId="60">#REF!</definedName>
    <definedName name="тпп_1" localSheetId="59">#REF!</definedName>
    <definedName name="тпп_1" localSheetId="37">#REF!</definedName>
    <definedName name="тпп_1" localSheetId="29">#REF!</definedName>
    <definedName name="тпп_1" localSheetId="27">#REF!</definedName>
    <definedName name="тпп_1">#REF!</definedName>
    <definedName name="тпп_13" localSheetId="33">#REF!</definedName>
    <definedName name="тпп_13" localSheetId="8">#REF!</definedName>
    <definedName name="тпп_13" localSheetId="20">#REF!</definedName>
    <definedName name="тпп_13" localSheetId="16">#REF!</definedName>
    <definedName name="тпп_13" localSheetId="61">#REF!</definedName>
    <definedName name="тпп_13" localSheetId="60">#REF!</definedName>
    <definedName name="тпп_13" localSheetId="59">#REF!</definedName>
    <definedName name="тпп_13" localSheetId="37">#REF!</definedName>
    <definedName name="тпп_13" localSheetId="29">#REF!</definedName>
    <definedName name="тпп_13" localSheetId="27">#REF!</definedName>
    <definedName name="тпп_13">#REF!</definedName>
    <definedName name="тпп_2" localSheetId="8">#REF!</definedName>
    <definedName name="тпп_2" localSheetId="20">#REF!</definedName>
    <definedName name="тпп_2" localSheetId="16">#REF!</definedName>
    <definedName name="тпп_2" localSheetId="61">#REF!</definedName>
    <definedName name="тпп_2" localSheetId="60">#REF!</definedName>
    <definedName name="тпп_2" localSheetId="59">#REF!</definedName>
    <definedName name="тпп_2" localSheetId="37">#REF!</definedName>
    <definedName name="тпп_2" localSheetId="29">#REF!</definedName>
    <definedName name="тпп_2" localSheetId="27">#REF!</definedName>
    <definedName name="тпп_2">#REF!</definedName>
    <definedName name="тпроггнгнноллл">#N/A</definedName>
    <definedName name="тсимапкееенннннннн">#N/A</definedName>
    <definedName name="тьбюэжхзззз">#N/A</definedName>
    <definedName name="тьоогнррепеппп">#N/A</definedName>
    <definedName name="тьоррннгггоооооо">#N/A</definedName>
    <definedName name="фыцйувввв">#N/A</definedName>
    <definedName name="ц" localSheetId="21">А!ц</definedName>
    <definedName name="ц" localSheetId="43">'вод.налог 2018'!ц</definedName>
    <definedName name="ц" localSheetId="33">'ЗП с факт 3 кв. 2015'!ц</definedName>
    <definedName name="ц" localSheetId="44">'имушество 2018'!ц</definedName>
    <definedName name="ц" localSheetId="40">'налоги 2018'!ц</definedName>
    <definedName name="ц" localSheetId="4">#N/A</definedName>
    <definedName name="ц" localSheetId="2">#N/A</definedName>
    <definedName name="ц" localSheetId="10">#N/A</definedName>
    <definedName name="ц" localSheetId="9">#N/A</definedName>
    <definedName name="ц" localSheetId="8">#N/A</definedName>
    <definedName name="ц" localSheetId="13">#N/A</definedName>
    <definedName name="ц" localSheetId="14">#N/A</definedName>
    <definedName name="ц" localSheetId="12">#N/A</definedName>
    <definedName name="ц" localSheetId="11">#N/A</definedName>
    <definedName name="ц" localSheetId="41">'Расчет налог. обяз. 2018'!ц</definedName>
    <definedName name="ц" localSheetId="42">'рез к 2017'!ц</definedName>
    <definedName name="ц" localSheetId="46">'рез к 2018'!ц</definedName>
    <definedName name="ц" localSheetId="22">ТН!ц</definedName>
    <definedName name="ц" localSheetId="3">#N/A</definedName>
    <definedName name="ц" localSheetId="1">#N/A</definedName>
    <definedName name="ц">'ЗП с факт 3 кв. 2015'!ц</definedName>
    <definedName name="ц_10" localSheetId="21">А!ц</definedName>
    <definedName name="ц_10" localSheetId="43">'вод.налог 2018'!ц</definedName>
    <definedName name="ц_10" localSheetId="33">'ЗП с факт 3 кв. 2015'!ц</definedName>
    <definedName name="ц_10" localSheetId="44">'имушество 2018'!ц</definedName>
    <definedName name="ц_10" localSheetId="40">'налоги 2018'!ц</definedName>
    <definedName name="ц_10" localSheetId="4">'ПОЛНАЯ СЕБЕСТОИМОСТЬ ВОДА 2018'!ц</definedName>
    <definedName name="ц_10" localSheetId="2">'ПОЛНАЯ СЕБЕСТОИМОСТЬ СТОКИ 2018'!ц</definedName>
    <definedName name="ц_10" localSheetId="10">'Прил. 1 План ФХД вода табл. 2'!ц</definedName>
    <definedName name="ц_10" localSheetId="9">'Прил. 1 План ФХД стоки табл 2'!ц</definedName>
    <definedName name="ц_10" localSheetId="8">'Прил. 1 План ФХД табл 1'!ц</definedName>
    <definedName name="ц_10" localSheetId="13">'Произв. прогр. Вода'!ц</definedName>
    <definedName name="ц_10" localSheetId="14">'Произв. прогр. Вода (СВОД)'!ц</definedName>
    <definedName name="ц_10" localSheetId="12">'Произв. прогр. Стоки'!ц</definedName>
    <definedName name="ц_10" localSheetId="11">'Произв. прогр. Стоки (СВОД)'!ц</definedName>
    <definedName name="ц_10" localSheetId="41">'Расчет налог. обяз. 2018'!ц</definedName>
    <definedName name="ц_10" localSheetId="42">'рез к 2017'!ц</definedName>
    <definedName name="ц_10" localSheetId="46">'рез к 2018'!ц</definedName>
    <definedName name="ц_10" localSheetId="22">ТН!ц</definedName>
    <definedName name="ц_10" localSheetId="3">'ФАКТ. СЕБЕСТ ВОДА 1 пол.2018'!ц</definedName>
    <definedName name="ц_10" localSheetId="1">'ФАКТ. СЕБЕСТ. СТОКИ 1 пол. 2018'!ц</definedName>
    <definedName name="ц_10">[0]!ц</definedName>
    <definedName name="ц_14" localSheetId="21">А!ц</definedName>
    <definedName name="ц_14" localSheetId="43">'вод.налог 2018'!ц</definedName>
    <definedName name="ц_14" localSheetId="33">'ЗП с факт 3 кв. 2015'!ц</definedName>
    <definedName name="ц_14" localSheetId="44">'имушество 2018'!ц</definedName>
    <definedName name="ц_14" localSheetId="40">'налоги 2018'!ц</definedName>
    <definedName name="ц_14" localSheetId="4">'ПОЛНАЯ СЕБЕСТОИМОСТЬ ВОДА 2018'!ц</definedName>
    <definedName name="ц_14" localSheetId="2">'ПОЛНАЯ СЕБЕСТОИМОСТЬ СТОКИ 2018'!ц</definedName>
    <definedName name="ц_14" localSheetId="10">'Прил. 1 План ФХД вода табл. 2'!ц</definedName>
    <definedName name="ц_14" localSheetId="9">'Прил. 1 План ФХД стоки табл 2'!ц</definedName>
    <definedName name="ц_14" localSheetId="8">'Прил. 1 План ФХД табл 1'!ц</definedName>
    <definedName name="ц_14" localSheetId="13">'Произв. прогр. Вода'!ц</definedName>
    <definedName name="ц_14" localSheetId="14">'Произв. прогр. Вода (СВОД)'!ц</definedName>
    <definedName name="ц_14" localSheetId="12">'Произв. прогр. Стоки'!ц</definedName>
    <definedName name="ц_14" localSheetId="11">'Произв. прогр. Стоки (СВОД)'!ц</definedName>
    <definedName name="ц_14" localSheetId="41">'Расчет налог. обяз. 2018'!ц</definedName>
    <definedName name="ц_14" localSheetId="42">'рез к 2017'!ц</definedName>
    <definedName name="ц_14" localSheetId="46">'рез к 2018'!ц</definedName>
    <definedName name="ц_14" localSheetId="22">ТН!ц</definedName>
    <definedName name="ц_14" localSheetId="3">'ФАКТ. СЕБЕСТ ВОДА 1 пол.2018'!ц</definedName>
    <definedName name="ц_14" localSheetId="1">'ФАКТ. СЕБЕСТ. СТОКИ 1 пол. 2018'!ц</definedName>
    <definedName name="ц_14">[0]!ц</definedName>
    <definedName name="ц_15" localSheetId="21">А!ц</definedName>
    <definedName name="ц_15" localSheetId="43">'вод.налог 2018'!ц</definedName>
    <definedName name="ц_15" localSheetId="33">'ЗП с факт 3 кв. 2015'!ц</definedName>
    <definedName name="ц_15" localSheetId="44">'имушество 2018'!ц</definedName>
    <definedName name="ц_15" localSheetId="40">'налоги 2018'!ц</definedName>
    <definedName name="ц_15" localSheetId="4">'ПОЛНАЯ СЕБЕСТОИМОСТЬ ВОДА 2018'!ц</definedName>
    <definedName name="ц_15" localSheetId="2">'ПОЛНАЯ СЕБЕСТОИМОСТЬ СТОКИ 2018'!ц</definedName>
    <definedName name="ц_15" localSheetId="10">'Прил. 1 План ФХД вода табл. 2'!ц</definedName>
    <definedName name="ц_15" localSheetId="9">'Прил. 1 План ФХД стоки табл 2'!ц</definedName>
    <definedName name="ц_15" localSheetId="8">'Прил. 1 План ФХД табл 1'!ц</definedName>
    <definedName name="ц_15" localSheetId="13">'Произв. прогр. Вода'!ц</definedName>
    <definedName name="ц_15" localSheetId="14">'Произв. прогр. Вода (СВОД)'!ц</definedName>
    <definedName name="ц_15" localSheetId="12">'Произв. прогр. Стоки'!ц</definedName>
    <definedName name="ц_15" localSheetId="11">'Произв. прогр. Стоки (СВОД)'!ц</definedName>
    <definedName name="ц_15" localSheetId="41">'Расчет налог. обяз. 2018'!ц</definedName>
    <definedName name="ц_15" localSheetId="42">'рез к 2017'!ц</definedName>
    <definedName name="ц_15" localSheetId="46">'рез к 2018'!ц</definedName>
    <definedName name="ц_15" localSheetId="22">ТН!ц</definedName>
    <definedName name="ц_15" localSheetId="3">'ФАКТ. СЕБЕСТ ВОДА 1 пол.2018'!ц</definedName>
    <definedName name="ц_15" localSheetId="1">'ФАКТ. СЕБЕСТ. СТОКИ 1 пол. 2018'!ц</definedName>
    <definedName name="ц_15">[0]!ц</definedName>
    <definedName name="ц_16" localSheetId="21">А!ц</definedName>
    <definedName name="ц_16" localSheetId="43">'вод.налог 2018'!ц</definedName>
    <definedName name="ц_16" localSheetId="33">'ЗП с факт 3 кв. 2015'!ц</definedName>
    <definedName name="ц_16" localSheetId="44">'имушество 2018'!ц</definedName>
    <definedName name="ц_16" localSheetId="40">'налоги 2018'!ц</definedName>
    <definedName name="ц_16" localSheetId="4">'ПОЛНАЯ СЕБЕСТОИМОСТЬ ВОДА 2018'!ц</definedName>
    <definedName name="ц_16" localSheetId="2">'ПОЛНАЯ СЕБЕСТОИМОСТЬ СТОКИ 2018'!ц</definedName>
    <definedName name="ц_16" localSheetId="10">'Прил. 1 План ФХД вода табл. 2'!ц</definedName>
    <definedName name="ц_16" localSheetId="9">'Прил. 1 План ФХД стоки табл 2'!ц</definedName>
    <definedName name="ц_16" localSheetId="8">'Прил. 1 План ФХД табл 1'!ц</definedName>
    <definedName name="ц_16" localSheetId="13">'Произв. прогр. Вода'!ц</definedName>
    <definedName name="ц_16" localSheetId="14">'Произв. прогр. Вода (СВОД)'!ц</definedName>
    <definedName name="ц_16" localSheetId="12">'Произв. прогр. Стоки'!ц</definedName>
    <definedName name="ц_16" localSheetId="11">'Произв. прогр. Стоки (СВОД)'!ц</definedName>
    <definedName name="ц_16" localSheetId="41">'Расчет налог. обяз. 2018'!ц</definedName>
    <definedName name="ц_16" localSheetId="42">'рез к 2017'!ц</definedName>
    <definedName name="ц_16" localSheetId="46">'рез к 2018'!ц</definedName>
    <definedName name="ц_16" localSheetId="22">ТН!ц</definedName>
    <definedName name="ц_16" localSheetId="3">'ФАКТ. СЕБЕСТ ВОДА 1 пол.2018'!ц</definedName>
    <definedName name="ц_16" localSheetId="1">'ФАКТ. СЕБЕСТ. СТОКИ 1 пол. 2018'!ц</definedName>
    <definedName name="ц_16">[0]!ц</definedName>
    <definedName name="ц_2" localSheetId="21">А!ц</definedName>
    <definedName name="ц_2" localSheetId="43">'вод.налог 2018'!ц</definedName>
    <definedName name="ц_2" localSheetId="33">'ЗП с факт 3 кв. 2015'!ц</definedName>
    <definedName name="ц_2" localSheetId="44">'имушество 2018'!ц</definedName>
    <definedName name="ц_2" localSheetId="40">'налоги 2018'!ц</definedName>
    <definedName name="ц_2" localSheetId="4">'ПОЛНАЯ СЕБЕСТОИМОСТЬ ВОДА 2018'!ц</definedName>
    <definedName name="ц_2" localSheetId="2">'ПОЛНАЯ СЕБЕСТОИМОСТЬ СТОКИ 2018'!ц</definedName>
    <definedName name="ц_2" localSheetId="10">'Прил. 1 План ФХД вода табл. 2'!ц</definedName>
    <definedName name="ц_2" localSheetId="9">'Прил. 1 План ФХД стоки табл 2'!ц</definedName>
    <definedName name="ц_2" localSheetId="8">'Прил. 1 План ФХД табл 1'!ц</definedName>
    <definedName name="ц_2" localSheetId="13">'Произв. прогр. Вода'!ц</definedName>
    <definedName name="ц_2" localSheetId="14">'Произв. прогр. Вода (СВОД)'!ц</definedName>
    <definedName name="ц_2" localSheetId="12">'Произв. прогр. Стоки'!ц</definedName>
    <definedName name="ц_2" localSheetId="11">'Произв. прогр. Стоки (СВОД)'!ц</definedName>
    <definedName name="ц_2" localSheetId="41">'Расчет налог. обяз. 2018'!ц</definedName>
    <definedName name="ц_2" localSheetId="42">'рез к 2017'!ц</definedName>
    <definedName name="ц_2" localSheetId="46">'рез к 2018'!ц</definedName>
    <definedName name="ц_2" localSheetId="22">ТН!ц</definedName>
    <definedName name="ц_2" localSheetId="3">'ФАКТ. СЕБЕСТ ВОДА 1 пол.2018'!ц</definedName>
    <definedName name="ц_2" localSheetId="1">'ФАКТ. СЕБЕСТ. СТОКИ 1 пол. 2018'!ц</definedName>
    <definedName name="ц_2">[0]!ц</definedName>
    <definedName name="цу">#REF!</definedName>
    <definedName name="чсваакеппрроо">#N/A</definedName>
    <definedName name="чяыйфцуккееенен" localSheetId="33">[5]Прибыль1!#REF!</definedName>
    <definedName name="чяыйфцуккееенен" localSheetId="4">[5]Прибыль1!#REF!</definedName>
    <definedName name="чяыйфцуккееенен" localSheetId="2">[5]Прибыль1!#REF!</definedName>
    <definedName name="чяыйфцуккееенен" localSheetId="8">[5]Прибыль1!#REF!</definedName>
    <definedName name="чяыйфцуккееенен" localSheetId="20">[5]Прибыль1!#REF!</definedName>
    <definedName name="чяыйфцуккееенен" localSheetId="16">[5]Прибыль1!#REF!</definedName>
    <definedName name="чяыйфцуккееенен" localSheetId="61">[5]Прибыль1!#REF!</definedName>
    <definedName name="чяыйфцуккееенен" localSheetId="60">[5]Прибыль1!#REF!</definedName>
    <definedName name="чяыйфцуккееенен" localSheetId="59">[5]Прибыль1!#REF!</definedName>
    <definedName name="чяыйфцуккееенен" localSheetId="3">[5]Прибыль1!#REF!</definedName>
    <definedName name="чяыйфцуккееенен" localSheetId="1">[5]Прибыль1!#REF!</definedName>
    <definedName name="чяыйфцуккееенен" localSheetId="37">[5]Прибыль1!#REF!</definedName>
    <definedName name="чяыйфцуккееенен" localSheetId="29">[5]Прибыль1!#REF!</definedName>
    <definedName name="чяыйфцуккееенен" localSheetId="27">[5]Прибыль1!#REF!</definedName>
    <definedName name="чяыйфцуккееенен">[5]Прибыль1!#REF!</definedName>
    <definedName name="ш" localSheetId="21">А!про</definedName>
    <definedName name="ш" localSheetId="43">'вод.налог 2018'!про</definedName>
    <definedName name="ш" localSheetId="33">'ЗП с факт 3 кв. 2015'!про</definedName>
    <definedName name="ш" localSheetId="44">'имушество 2018'!про</definedName>
    <definedName name="ш" localSheetId="40">'налоги 2018'!про</definedName>
    <definedName name="ш" localSheetId="4">'ПОЛНАЯ СЕБЕСТОИМОСТЬ ВОДА 2018'!про</definedName>
    <definedName name="ш" localSheetId="2">'ПОЛНАЯ СЕБЕСТОИМОСТЬ СТОКИ 2018'!про</definedName>
    <definedName name="ш" localSheetId="10">'Прил. 1 План ФХД вода табл. 2'!про</definedName>
    <definedName name="ш" localSheetId="9">'Прил. 1 План ФХД стоки табл 2'!про</definedName>
    <definedName name="ш" localSheetId="8">'Прил. 1 План ФХД табл 1'!про</definedName>
    <definedName name="ш" localSheetId="13">'Произв. прогр. Вода'!про</definedName>
    <definedName name="ш" localSheetId="14">'Произв. прогр. Вода (СВОД)'!про</definedName>
    <definedName name="ш" localSheetId="12">'Произв. прогр. Стоки'!про</definedName>
    <definedName name="ш" localSheetId="11">'Произв. прогр. Стоки (СВОД)'!про</definedName>
    <definedName name="ш" localSheetId="41">'Расчет налог. обяз. 2018'!про</definedName>
    <definedName name="ш" localSheetId="42">'рез к 2017'!про</definedName>
    <definedName name="ш" localSheetId="46">'рез к 2018'!про</definedName>
    <definedName name="ш" localSheetId="22">ТН!про</definedName>
    <definedName name="ш" localSheetId="3">'ФАКТ. СЕБЕСТ ВОДА 1 пол.2018'!про</definedName>
    <definedName name="ш" localSheetId="1">'ФАКТ. СЕБЕСТ. СТОКИ 1 пол. 2018'!про</definedName>
    <definedName name="ш">[0]!про</definedName>
    <definedName name="ьблддююююю">#N/A</definedName>
    <definedName name="ьблогрнппппппппп">#N/A</definedName>
    <definedName name="ьорртттттттттроонн">#N/A</definedName>
    <definedName name="ьтбблдддддддддд">#N/A</definedName>
    <definedName name="ьтблдшщ">#N/A</definedName>
    <definedName name="яфыыыыыыыыт">#N/A</definedName>
  </definedNames>
  <calcPr calcId="125725" calcOnSave="0"/>
  <fileRecoveryPr autoRecover="0" repairLoad="1"/>
</workbook>
</file>

<file path=xl/calcChain.xml><?xml version="1.0" encoding="utf-8"?>
<calcChain xmlns="http://schemas.openxmlformats.org/spreadsheetml/2006/main">
  <c r="J109" i="116"/>
  <c r="J95"/>
  <c r="J88"/>
  <c r="J75"/>
  <c r="J69"/>
  <c r="J64"/>
  <c r="J59"/>
  <c r="J43"/>
  <c r="J34" s="1"/>
  <c r="J23"/>
  <c r="J15"/>
  <c r="I39"/>
  <c r="I29"/>
  <c r="I82" i="114"/>
  <c r="H85"/>
  <c r="H129"/>
  <c r="H125"/>
  <c r="I141"/>
  <c r="I140"/>
  <c r="I139"/>
  <c r="I137"/>
  <c r="I136"/>
  <c r="I31"/>
  <c r="I30"/>
  <c r="I99"/>
  <c r="I63"/>
  <c r="I97"/>
  <c r="I56"/>
  <c r="I55"/>
  <c r="I26"/>
  <c r="I27"/>
  <c r="I108"/>
  <c r="I91"/>
  <c r="I87"/>
  <c r="I90"/>
  <c r="I54"/>
  <c r="I50"/>
  <c r="I61"/>
  <c r="I77"/>
  <c r="I78"/>
  <c r="I60"/>
  <c r="I59"/>
  <c r="I118"/>
  <c r="I70"/>
  <c r="I120"/>
  <c r="I113"/>
  <c r="I115"/>
  <c r="I121"/>
  <c r="I114"/>
  <c r="D56"/>
  <c r="D55"/>
  <c r="D45" i="116"/>
  <c r="D44"/>
  <c r="D41"/>
  <c r="D40"/>
  <c r="D60" i="114"/>
  <c r="D59"/>
  <c r="D90"/>
  <c r="D114"/>
  <c r="D21" i="116"/>
  <c r="D20"/>
  <c r="D31" i="114"/>
  <c r="D30"/>
  <c r="D108"/>
  <c r="C108"/>
  <c r="D52"/>
  <c r="D97"/>
  <c r="D87"/>
  <c r="D99"/>
  <c r="D70"/>
  <c r="D78"/>
  <c r="D63"/>
  <c r="D85"/>
  <c r="D77"/>
  <c r="D81" i="116"/>
  <c r="D49"/>
  <c r="D113" i="114"/>
  <c r="D96" i="116"/>
  <c r="C113" i="114"/>
  <c r="C97" l="1"/>
  <c r="C87"/>
  <c r="C99"/>
  <c r="C70"/>
  <c r="C61"/>
  <c r="C78"/>
  <c r="C63"/>
  <c r="C85"/>
  <c r="C77"/>
  <c r="C54"/>
  <c r="C67" i="118"/>
  <c r="C66"/>
  <c r="F66" s="1"/>
  <c r="C65"/>
  <c r="C64"/>
  <c r="F64" s="1"/>
  <c r="C63"/>
  <c r="C62"/>
  <c r="F62" s="1"/>
  <c r="B67"/>
  <c r="E67" s="1"/>
  <c r="B66"/>
  <c r="E66" s="1"/>
  <c r="B65"/>
  <c r="E65" s="1"/>
  <c r="B64"/>
  <c r="E64" s="1"/>
  <c r="B63"/>
  <c r="E63" s="1"/>
  <c r="B62"/>
  <c r="E62" s="1"/>
  <c r="B61"/>
  <c r="E61" s="1"/>
  <c r="B60"/>
  <c r="E60" s="1"/>
  <c r="B59"/>
  <c r="E59" s="1"/>
  <c r="B58"/>
  <c r="E58" s="1"/>
  <c r="B57"/>
  <c r="E57" s="1"/>
  <c r="B56"/>
  <c r="E56" s="1"/>
  <c r="E68" s="1"/>
  <c r="C50"/>
  <c r="C49"/>
  <c r="F49" s="1"/>
  <c r="C48"/>
  <c r="C47"/>
  <c r="F47" s="1"/>
  <c r="C46"/>
  <c r="F46" s="1"/>
  <c r="C45"/>
  <c r="F45" s="1"/>
  <c r="F48"/>
  <c r="B50"/>
  <c r="E50" s="1"/>
  <c r="B49"/>
  <c r="E49" s="1"/>
  <c r="B48"/>
  <c r="E48" s="1"/>
  <c r="B47"/>
  <c r="E47" s="1"/>
  <c r="B46"/>
  <c r="E46" s="1"/>
  <c r="B45"/>
  <c r="E45" s="1"/>
  <c r="B44"/>
  <c r="E44" s="1"/>
  <c r="B43"/>
  <c r="E43" s="1"/>
  <c r="B42"/>
  <c r="E42" s="1"/>
  <c r="B41"/>
  <c r="E41" s="1"/>
  <c r="B40"/>
  <c r="E40" s="1"/>
  <c r="B39"/>
  <c r="E33"/>
  <c r="E31"/>
  <c r="E29"/>
  <c r="E27"/>
  <c r="E25"/>
  <c r="E23"/>
  <c r="C33"/>
  <c r="F33" s="1"/>
  <c r="G33" s="1"/>
  <c r="C32"/>
  <c r="C31"/>
  <c r="C30"/>
  <c r="C29"/>
  <c r="F29" s="1"/>
  <c r="G29" s="1"/>
  <c r="C28"/>
  <c r="F32"/>
  <c r="G32" s="1"/>
  <c r="F30"/>
  <c r="F28"/>
  <c r="B33"/>
  <c r="B32"/>
  <c r="E32" s="1"/>
  <c r="B31"/>
  <c r="B30"/>
  <c r="E30" s="1"/>
  <c r="B29"/>
  <c r="B28"/>
  <c r="E28" s="1"/>
  <c r="B27"/>
  <c r="B26"/>
  <c r="E26" s="1"/>
  <c r="B25"/>
  <c r="B24"/>
  <c r="E24" s="1"/>
  <c r="B23"/>
  <c r="B22"/>
  <c r="E22" s="1"/>
  <c r="E34" s="1"/>
  <c r="C16"/>
  <c r="C15"/>
  <c r="C14"/>
  <c r="C13"/>
  <c r="F13" s="1"/>
  <c r="C12"/>
  <c r="F12" s="1"/>
  <c r="C11"/>
  <c r="B16"/>
  <c r="E16" s="1"/>
  <c r="B11"/>
  <c r="B15"/>
  <c r="B14"/>
  <c r="E14" s="1"/>
  <c r="B13"/>
  <c r="E13"/>
  <c r="B12"/>
  <c r="B10"/>
  <c r="E10" s="1"/>
  <c r="B9"/>
  <c r="B8"/>
  <c r="E8" s="1"/>
  <c r="B7"/>
  <c r="E7" s="1"/>
  <c r="B6"/>
  <c r="E15"/>
  <c r="E12"/>
  <c r="E9"/>
  <c r="E6"/>
  <c r="B5"/>
  <c r="E5" s="1"/>
  <c r="F16"/>
  <c r="F14"/>
  <c r="F11"/>
  <c r="F67"/>
  <c r="F65"/>
  <c r="F63"/>
  <c r="F50"/>
  <c r="F31"/>
  <c r="G31" s="1"/>
  <c r="F15"/>
  <c r="G15" s="1"/>
  <c r="BI58" i="117"/>
  <c r="BI57"/>
  <c r="BI56"/>
  <c r="BI55"/>
  <c r="BI54"/>
  <c r="BI53"/>
  <c r="BI52"/>
  <c r="BI51"/>
  <c r="BI50"/>
  <c r="BI49"/>
  <c r="BI48"/>
  <c r="BI47"/>
  <c r="BI46"/>
  <c r="BI45"/>
  <c r="BI44"/>
  <c r="BI43"/>
  <c r="BI42"/>
  <c r="BI41"/>
  <c r="BI40"/>
  <c r="BI39"/>
  <c r="BI38"/>
  <c r="BI37"/>
  <c r="BI36"/>
  <c r="BI35"/>
  <c r="BI34"/>
  <c r="BI33"/>
  <c r="BI32"/>
  <c r="BF58"/>
  <c r="BF57"/>
  <c r="BF56"/>
  <c r="BF55"/>
  <c r="BF54"/>
  <c r="BF53"/>
  <c r="BF52"/>
  <c r="BF51"/>
  <c r="BF50"/>
  <c r="BF49"/>
  <c r="BF48"/>
  <c r="BF47"/>
  <c r="BF46"/>
  <c r="BF45"/>
  <c r="BF44"/>
  <c r="BF43"/>
  <c r="BF42"/>
  <c r="BF41"/>
  <c r="BF40"/>
  <c r="BF39"/>
  <c r="BF38"/>
  <c r="BF37"/>
  <c r="BF36"/>
  <c r="BF35"/>
  <c r="BF34"/>
  <c r="BF33"/>
  <c r="BF32"/>
  <c r="BC58"/>
  <c r="BC57"/>
  <c r="BC56"/>
  <c r="BC55"/>
  <c r="BC54"/>
  <c r="BC53"/>
  <c r="BC52"/>
  <c r="BC51"/>
  <c r="BC50"/>
  <c r="BC49"/>
  <c r="BC48"/>
  <c r="BC47"/>
  <c r="BC46"/>
  <c r="BC45"/>
  <c r="BC44"/>
  <c r="BC43"/>
  <c r="BC42"/>
  <c r="BC41"/>
  <c r="BC40"/>
  <c r="BC39"/>
  <c r="BC38"/>
  <c r="BC37"/>
  <c r="BC36"/>
  <c r="BC35"/>
  <c r="BC34"/>
  <c r="BC33"/>
  <c r="BC32"/>
  <c r="AP58"/>
  <c r="AP57"/>
  <c r="AP56"/>
  <c r="AP55"/>
  <c r="AP54"/>
  <c r="AP53"/>
  <c r="AP52"/>
  <c r="AP51"/>
  <c r="AP50"/>
  <c r="AP49"/>
  <c r="AP48"/>
  <c r="AP47"/>
  <c r="AP46"/>
  <c r="AP45"/>
  <c r="AP44"/>
  <c r="AP43"/>
  <c r="AP42"/>
  <c r="AP41"/>
  <c r="AP40"/>
  <c r="AP39"/>
  <c r="AP38"/>
  <c r="AP37"/>
  <c r="AP36"/>
  <c r="AP35"/>
  <c r="AP34"/>
  <c r="AP33"/>
  <c r="AP32"/>
  <c r="AM58"/>
  <c r="AM57"/>
  <c r="AM56"/>
  <c r="AM55"/>
  <c r="AM54"/>
  <c r="AM53"/>
  <c r="AM52"/>
  <c r="AM51"/>
  <c r="AM50"/>
  <c r="AM49"/>
  <c r="AM48"/>
  <c r="AM47"/>
  <c r="AM46"/>
  <c r="AM45"/>
  <c r="AM44"/>
  <c r="AM43"/>
  <c r="AM42"/>
  <c r="AM41"/>
  <c r="AM40"/>
  <c r="AM39"/>
  <c r="AM38"/>
  <c r="AM37"/>
  <c r="AM36"/>
  <c r="AM35"/>
  <c r="AM34"/>
  <c r="AM33"/>
  <c r="AM32"/>
  <c r="AJ58"/>
  <c r="AJ57"/>
  <c r="AJ56"/>
  <c r="AJ55"/>
  <c r="AJ54"/>
  <c r="AJ53"/>
  <c r="AJ52"/>
  <c r="AJ51"/>
  <c r="AJ50"/>
  <c r="AJ49"/>
  <c r="AJ48"/>
  <c r="AJ47"/>
  <c r="AJ46"/>
  <c r="AJ45"/>
  <c r="AJ44"/>
  <c r="AJ43"/>
  <c r="AJ42"/>
  <c r="AJ41"/>
  <c r="AJ40"/>
  <c r="AJ39"/>
  <c r="AJ38"/>
  <c r="AJ37"/>
  <c r="AJ36"/>
  <c r="AJ35"/>
  <c r="AJ34"/>
  <c r="AJ33"/>
  <c r="AJ32"/>
  <c r="W58"/>
  <c r="W57"/>
  <c r="W56"/>
  <c r="W54"/>
  <c r="W53"/>
  <c r="W48"/>
  <c r="W35"/>
  <c r="W34"/>
  <c r="T58"/>
  <c r="T57"/>
  <c r="T56"/>
  <c r="T54"/>
  <c r="T48"/>
  <c r="T47"/>
  <c r="T46"/>
  <c r="T45"/>
  <c r="Q58"/>
  <c r="Q57"/>
  <c r="Q56"/>
  <c r="Q54"/>
  <c r="Q48"/>
  <c r="Q47"/>
  <c r="Q46"/>
  <c r="Q45"/>
  <c r="Q35"/>
  <c r="Q34"/>
  <c r="I58"/>
  <c r="I57"/>
  <c r="I56"/>
  <c r="I54"/>
  <c r="I48"/>
  <c r="I35"/>
  <c r="I34"/>
  <c r="F58"/>
  <c r="F57"/>
  <c r="F56"/>
  <c r="F54"/>
  <c r="F48"/>
  <c r="F47"/>
  <c r="F46"/>
  <c r="F45"/>
  <c r="F35"/>
  <c r="F34"/>
  <c r="C58"/>
  <c r="C57"/>
  <c r="C56"/>
  <c r="C48"/>
  <c r="C47"/>
  <c r="C46"/>
  <c r="C45"/>
  <c r="C35"/>
  <c r="C34"/>
  <c r="G30" i="118" l="1"/>
  <c r="G28"/>
  <c r="B51"/>
  <c r="B68"/>
  <c r="G47"/>
  <c r="G49"/>
  <c r="E39"/>
  <c r="E51" s="1"/>
  <c r="G50"/>
  <c r="G46"/>
  <c r="G45"/>
  <c r="G63"/>
  <c r="G67"/>
  <c r="G48"/>
  <c r="G62"/>
  <c r="G64"/>
  <c r="G66"/>
  <c r="G65"/>
  <c r="B34"/>
  <c r="G16"/>
  <c r="G14"/>
  <c r="G13"/>
  <c r="G12"/>
  <c r="B17"/>
  <c r="E11"/>
  <c r="G11" s="1"/>
  <c r="BM52" i="117"/>
  <c r="BR52" s="1"/>
  <c r="X40"/>
  <c r="E17" i="118" l="1"/>
  <c r="BH68" i="117"/>
  <c r="BE68"/>
  <c r="BB68"/>
  <c r="AO68"/>
  <c r="AL68"/>
  <c r="AI68"/>
  <c r="V68"/>
  <c r="P68"/>
  <c r="S68"/>
  <c r="H68"/>
  <c r="E68"/>
  <c r="B68"/>
  <c r="BH64"/>
  <c r="BE64"/>
  <c r="BB64"/>
  <c r="AO64"/>
  <c r="AL64"/>
  <c r="AI64"/>
  <c r="V64"/>
  <c r="S64"/>
  <c r="P64"/>
  <c r="H64"/>
  <c r="E64"/>
  <c r="B64"/>
  <c r="BR62"/>
  <c r="BM62"/>
  <c r="BL62"/>
  <c r="BQ62" s="1"/>
  <c r="AX62"/>
  <c r="AT62"/>
  <c r="AY62" s="1"/>
  <c r="AS62"/>
  <c r="V62"/>
  <c r="AF62"/>
  <c r="AA62"/>
  <c r="Z62"/>
  <c r="AE62" s="1"/>
  <c r="M62"/>
  <c r="L62"/>
  <c r="BH62"/>
  <c r="BE62"/>
  <c r="BB62"/>
  <c r="BB63" s="1"/>
  <c r="BB65" s="1"/>
  <c r="BB69" s="1"/>
  <c r="AO62"/>
  <c r="AL62"/>
  <c r="AI62"/>
  <c r="AI63" s="1"/>
  <c r="S62"/>
  <c r="P62"/>
  <c r="P63" s="1"/>
  <c r="P65" s="1"/>
  <c r="P69" s="1"/>
  <c r="H62"/>
  <c r="E62"/>
  <c r="B62"/>
  <c r="K62" s="1"/>
  <c r="N62" s="1"/>
  <c r="O62" s="1"/>
  <c r="BE42"/>
  <c r="BE41"/>
  <c r="BE43"/>
  <c r="BE40"/>
  <c r="BH58"/>
  <c r="BH57"/>
  <c r="BH56"/>
  <c r="BH55"/>
  <c r="BE58"/>
  <c r="BE57"/>
  <c r="BE56"/>
  <c r="BE55"/>
  <c r="BB58"/>
  <c r="BB57"/>
  <c r="BB56"/>
  <c r="BB55"/>
  <c r="AO58"/>
  <c r="AO57"/>
  <c r="AO56"/>
  <c r="AO55"/>
  <c r="AL58"/>
  <c r="AL57"/>
  <c r="AL56"/>
  <c r="AL55"/>
  <c r="AI58"/>
  <c r="AI57"/>
  <c r="AI56"/>
  <c r="AI55"/>
  <c r="V58"/>
  <c r="V57"/>
  <c r="V56"/>
  <c r="V55"/>
  <c r="S58"/>
  <c r="S57"/>
  <c r="S56"/>
  <c r="S55"/>
  <c r="P58"/>
  <c r="P57"/>
  <c r="P56"/>
  <c r="P55"/>
  <c r="H58"/>
  <c r="H57"/>
  <c r="H56"/>
  <c r="H55"/>
  <c r="E58"/>
  <c r="E57"/>
  <c r="E56"/>
  <c r="E55"/>
  <c r="B58"/>
  <c r="B57"/>
  <c r="B56"/>
  <c r="B55"/>
  <c r="BH51"/>
  <c r="BH50"/>
  <c r="BH49"/>
  <c r="BH48"/>
  <c r="BH47"/>
  <c r="BH46"/>
  <c r="BH45"/>
  <c r="BE51"/>
  <c r="BE50"/>
  <c r="BE49"/>
  <c r="BE48"/>
  <c r="BE47"/>
  <c r="BE46"/>
  <c r="BE45"/>
  <c r="BB51"/>
  <c r="BB50"/>
  <c r="BB49"/>
  <c r="BB48"/>
  <c r="BB47"/>
  <c r="BB46"/>
  <c r="BB45"/>
  <c r="AO51"/>
  <c r="AO50"/>
  <c r="AO49"/>
  <c r="AO48"/>
  <c r="AO47"/>
  <c r="AO46"/>
  <c r="AO45"/>
  <c r="AL51"/>
  <c r="AL50"/>
  <c r="AL49"/>
  <c r="AL48"/>
  <c r="AL47"/>
  <c r="AL46"/>
  <c r="AL45"/>
  <c r="AI51"/>
  <c r="AI50"/>
  <c r="AI49"/>
  <c r="AI48"/>
  <c r="AI47"/>
  <c r="AI46"/>
  <c r="AI45"/>
  <c r="V51"/>
  <c r="V50"/>
  <c r="V49"/>
  <c r="V48"/>
  <c r="V47"/>
  <c r="V46"/>
  <c r="V45"/>
  <c r="S51"/>
  <c r="S50"/>
  <c r="S49"/>
  <c r="S48"/>
  <c r="S47"/>
  <c r="S46"/>
  <c r="S45"/>
  <c r="P51"/>
  <c r="P50"/>
  <c r="P49"/>
  <c r="P48"/>
  <c r="P47"/>
  <c r="P46"/>
  <c r="P45"/>
  <c r="H51"/>
  <c r="H50"/>
  <c r="H49"/>
  <c r="H48"/>
  <c r="H47"/>
  <c r="H46"/>
  <c r="H45"/>
  <c r="E51"/>
  <c r="E50"/>
  <c r="E49"/>
  <c r="E48"/>
  <c r="E47"/>
  <c r="E46"/>
  <c r="E45"/>
  <c r="B51"/>
  <c r="B50"/>
  <c r="B49"/>
  <c r="B48"/>
  <c r="B47"/>
  <c r="B46"/>
  <c r="B45"/>
  <c r="BH43"/>
  <c r="BB43"/>
  <c r="AO43"/>
  <c r="AL43"/>
  <c r="AI43"/>
  <c r="V43"/>
  <c r="S43"/>
  <c r="P43"/>
  <c r="H43"/>
  <c r="E43"/>
  <c r="B43"/>
  <c r="BH42"/>
  <c r="BH41"/>
  <c r="BH40"/>
  <c r="BH39"/>
  <c r="BH38"/>
  <c r="BH37"/>
  <c r="BH36"/>
  <c r="BH35"/>
  <c r="BH34"/>
  <c r="BH33"/>
  <c r="BH32"/>
  <c r="BE39"/>
  <c r="BE38"/>
  <c r="BE37"/>
  <c r="BE36"/>
  <c r="BE35"/>
  <c r="BE34"/>
  <c r="BE33"/>
  <c r="BE32"/>
  <c r="BB42"/>
  <c r="BB41"/>
  <c r="BB40"/>
  <c r="BB39"/>
  <c r="BB38"/>
  <c r="BB37"/>
  <c r="BB36"/>
  <c r="BB35"/>
  <c r="BB34"/>
  <c r="BB33"/>
  <c r="BB32"/>
  <c r="AO42"/>
  <c r="AO41"/>
  <c r="AO40"/>
  <c r="AO39"/>
  <c r="AO38"/>
  <c r="AO37"/>
  <c r="AO36"/>
  <c r="AO35"/>
  <c r="AO34"/>
  <c r="AO33"/>
  <c r="AO32"/>
  <c r="AL42"/>
  <c r="AL41"/>
  <c r="AL40"/>
  <c r="AL39"/>
  <c r="AL38"/>
  <c r="AL37"/>
  <c r="AL36"/>
  <c r="AL35"/>
  <c r="AL34"/>
  <c r="AL33"/>
  <c r="AL32"/>
  <c r="AI42"/>
  <c r="AI41"/>
  <c r="AI40"/>
  <c r="AI39"/>
  <c r="AI38"/>
  <c r="AI37"/>
  <c r="AI36"/>
  <c r="AI35"/>
  <c r="AI34"/>
  <c r="AI33"/>
  <c r="AI32"/>
  <c r="V42"/>
  <c r="V41"/>
  <c r="V40"/>
  <c r="V39"/>
  <c r="V38"/>
  <c r="V37"/>
  <c r="V36"/>
  <c r="V35"/>
  <c r="V34"/>
  <c r="V33"/>
  <c r="V32"/>
  <c r="S42"/>
  <c r="S41"/>
  <c r="S40"/>
  <c r="S39"/>
  <c r="S38"/>
  <c r="S37"/>
  <c r="S36"/>
  <c r="S35"/>
  <c r="S34"/>
  <c r="S33"/>
  <c r="S32"/>
  <c r="P42"/>
  <c r="P41"/>
  <c r="P40"/>
  <c r="P39"/>
  <c r="P38"/>
  <c r="P37"/>
  <c r="P36"/>
  <c r="P35"/>
  <c r="P34"/>
  <c r="P33"/>
  <c r="P32"/>
  <c r="H42"/>
  <c r="H41"/>
  <c r="H40"/>
  <c r="H39"/>
  <c r="H38"/>
  <c r="H37"/>
  <c r="H36"/>
  <c r="H35"/>
  <c r="H34"/>
  <c r="H33"/>
  <c r="H32"/>
  <c r="E42"/>
  <c r="E41"/>
  <c r="E40"/>
  <c r="E39"/>
  <c r="E38"/>
  <c r="E37"/>
  <c r="E36"/>
  <c r="E35"/>
  <c r="E34"/>
  <c r="E33"/>
  <c r="E32"/>
  <c r="B42"/>
  <c r="B41"/>
  <c r="B40"/>
  <c r="B39"/>
  <c r="B38"/>
  <c r="B37"/>
  <c r="B36"/>
  <c r="B35"/>
  <c r="B34"/>
  <c r="B33"/>
  <c r="B32"/>
  <c r="AI65" l="1"/>
  <c r="AI69" s="1"/>
  <c r="Y62"/>
  <c r="AD62" s="1"/>
  <c r="AR62"/>
  <c r="AU62"/>
  <c r="AV62" s="1"/>
  <c r="BK62"/>
  <c r="BN62" s="1"/>
  <c r="BO62" s="1"/>
  <c r="AG62"/>
  <c r="AH62" s="1"/>
  <c r="BJ27"/>
  <c r="BJ26"/>
  <c r="BJ25"/>
  <c r="BJ24"/>
  <c r="BG27"/>
  <c r="BG26"/>
  <c r="BG25"/>
  <c r="BG24"/>
  <c r="BD27"/>
  <c r="BD26"/>
  <c r="BD25"/>
  <c r="BD24"/>
  <c r="AQ27"/>
  <c r="AQ26"/>
  <c r="AQ25"/>
  <c r="AQ24"/>
  <c r="AN27"/>
  <c r="AN26"/>
  <c r="AN25"/>
  <c r="AN24"/>
  <c r="AK27"/>
  <c r="AK26"/>
  <c r="AK25"/>
  <c r="AK24"/>
  <c r="X27"/>
  <c r="X26"/>
  <c r="X25"/>
  <c r="X24"/>
  <c r="U27"/>
  <c r="U26"/>
  <c r="U25"/>
  <c r="U24"/>
  <c r="R27"/>
  <c r="R26"/>
  <c r="R25"/>
  <c r="R24"/>
  <c r="J27"/>
  <c r="J26"/>
  <c r="J25"/>
  <c r="J24"/>
  <c r="G27"/>
  <c r="G26"/>
  <c r="G25"/>
  <c r="G24"/>
  <c r="D27"/>
  <c r="D26"/>
  <c r="D25"/>
  <c r="D24"/>
  <c r="BH27"/>
  <c r="BH26"/>
  <c r="BH25"/>
  <c r="BH24"/>
  <c r="BH23"/>
  <c r="BH22"/>
  <c r="BH21"/>
  <c r="BH20"/>
  <c r="BH19"/>
  <c r="BH18"/>
  <c r="BH17"/>
  <c r="BE27"/>
  <c r="BE26"/>
  <c r="BE25"/>
  <c r="BE24"/>
  <c r="BE23"/>
  <c r="BE22"/>
  <c r="BE21"/>
  <c r="BE20"/>
  <c r="BE19"/>
  <c r="BE18"/>
  <c r="BE17"/>
  <c r="BB27"/>
  <c r="BB26"/>
  <c r="BB25"/>
  <c r="BB24"/>
  <c r="BB23"/>
  <c r="BB22"/>
  <c r="BB21"/>
  <c r="BB20"/>
  <c r="BB19"/>
  <c r="BB18"/>
  <c r="BB17"/>
  <c r="AO27"/>
  <c r="AO26"/>
  <c r="AO25"/>
  <c r="AO24"/>
  <c r="AO23"/>
  <c r="AO22"/>
  <c r="AO21"/>
  <c r="AO20"/>
  <c r="AO19"/>
  <c r="AO18"/>
  <c r="AO17"/>
  <c r="AL27"/>
  <c r="AL26"/>
  <c r="AL25"/>
  <c r="AL24"/>
  <c r="AL23"/>
  <c r="AL22"/>
  <c r="AL21"/>
  <c r="AL20"/>
  <c r="AL19"/>
  <c r="AL18"/>
  <c r="AL17"/>
  <c r="AI27"/>
  <c r="AI26"/>
  <c r="AI25"/>
  <c r="AI24"/>
  <c r="AI23"/>
  <c r="AI22"/>
  <c r="AI21"/>
  <c r="AI20"/>
  <c r="AI19"/>
  <c r="AI18"/>
  <c r="AI17"/>
  <c r="V27"/>
  <c r="V26"/>
  <c r="V25"/>
  <c r="V24"/>
  <c r="V23"/>
  <c r="V22"/>
  <c r="V21"/>
  <c r="V20"/>
  <c r="V19"/>
  <c r="V18"/>
  <c r="V17"/>
  <c r="S27"/>
  <c r="S26"/>
  <c r="S25"/>
  <c r="S24"/>
  <c r="S23"/>
  <c r="S22"/>
  <c r="S21"/>
  <c r="S20"/>
  <c r="S19"/>
  <c r="S18"/>
  <c r="S17"/>
  <c r="P27"/>
  <c r="P26"/>
  <c r="P25"/>
  <c r="P24"/>
  <c r="P23"/>
  <c r="P22"/>
  <c r="P21"/>
  <c r="P20"/>
  <c r="P19"/>
  <c r="P18"/>
  <c r="P17"/>
  <c r="H27"/>
  <c r="H26"/>
  <c r="H25"/>
  <c r="H24"/>
  <c r="H23"/>
  <c r="H22"/>
  <c r="H21"/>
  <c r="H20"/>
  <c r="H19"/>
  <c r="H18"/>
  <c r="H17"/>
  <c r="E27"/>
  <c r="E26"/>
  <c r="E25"/>
  <c r="E24"/>
  <c r="E23"/>
  <c r="E22"/>
  <c r="E21"/>
  <c r="E20"/>
  <c r="E19"/>
  <c r="E18"/>
  <c r="E17"/>
  <c r="B27"/>
  <c r="B26"/>
  <c r="B25"/>
  <c r="B24"/>
  <c r="B23"/>
  <c r="B22"/>
  <c r="B21"/>
  <c r="B20"/>
  <c r="B19"/>
  <c r="B18"/>
  <c r="B17"/>
  <c r="BI12"/>
  <c r="BI27" s="1"/>
  <c r="BI11"/>
  <c r="BI26" s="1"/>
  <c r="BI10"/>
  <c r="BI25" s="1"/>
  <c r="BI9"/>
  <c r="BI8"/>
  <c r="BF12"/>
  <c r="BF27" s="1"/>
  <c r="BF11"/>
  <c r="BF26" s="1"/>
  <c r="BF10"/>
  <c r="BF25" s="1"/>
  <c r="BF9"/>
  <c r="BF8"/>
  <c r="BC12"/>
  <c r="BC27" s="1"/>
  <c r="BC11"/>
  <c r="BC26" s="1"/>
  <c r="BC10"/>
  <c r="BC25" s="1"/>
  <c r="BC9"/>
  <c r="BC8"/>
  <c r="AP12"/>
  <c r="AP27" s="1"/>
  <c r="AP11"/>
  <c r="AP26" s="1"/>
  <c r="AP10"/>
  <c r="AP25" s="1"/>
  <c r="AP9"/>
  <c r="AP8"/>
  <c r="AM12"/>
  <c r="AM27" s="1"/>
  <c r="AM11"/>
  <c r="AM26" s="1"/>
  <c r="AM10"/>
  <c r="AM25" s="1"/>
  <c r="AM9"/>
  <c r="AM8"/>
  <c r="AJ12"/>
  <c r="AJ27" s="1"/>
  <c r="AJ11"/>
  <c r="AJ26" s="1"/>
  <c r="AJ10"/>
  <c r="AJ25" s="1"/>
  <c r="AJ9"/>
  <c r="AJ8"/>
  <c r="W12"/>
  <c r="W27" s="1"/>
  <c r="W11"/>
  <c r="W10"/>
  <c r="W25" s="1"/>
  <c r="W8"/>
  <c r="T12"/>
  <c r="T27" s="1"/>
  <c r="T11"/>
  <c r="T10"/>
  <c r="T25" s="1"/>
  <c r="T8"/>
  <c r="Q12"/>
  <c r="Q27" s="1"/>
  <c r="Q11"/>
  <c r="Q10"/>
  <c r="Q25" s="1"/>
  <c r="Q8"/>
  <c r="I12"/>
  <c r="I27" s="1"/>
  <c r="I11"/>
  <c r="I10"/>
  <c r="I25" s="1"/>
  <c r="I8"/>
  <c r="F12"/>
  <c r="F27" s="1"/>
  <c r="F11"/>
  <c r="F10"/>
  <c r="F25" s="1"/>
  <c r="F8"/>
  <c r="C12"/>
  <c r="C27" s="1"/>
  <c r="C11"/>
  <c r="C10"/>
  <c r="C25" s="1"/>
  <c r="C8"/>
  <c r="BH12"/>
  <c r="BH11"/>
  <c r="BH10"/>
  <c r="BH9"/>
  <c r="BH8"/>
  <c r="BE12"/>
  <c r="BE11"/>
  <c r="BE10"/>
  <c r="BE9"/>
  <c r="BE8"/>
  <c r="BB12"/>
  <c r="BB11"/>
  <c r="BB10"/>
  <c r="BB9"/>
  <c r="BB8"/>
  <c r="AO12"/>
  <c r="AO11"/>
  <c r="AO10"/>
  <c r="AO9"/>
  <c r="AO8"/>
  <c r="AL12"/>
  <c r="AL11"/>
  <c r="AL10"/>
  <c r="AL9"/>
  <c r="AL8"/>
  <c r="AI12"/>
  <c r="AI11"/>
  <c r="AI10"/>
  <c r="AI9"/>
  <c r="AI8"/>
  <c r="V12"/>
  <c r="V11"/>
  <c r="V10"/>
  <c r="V9"/>
  <c r="V8"/>
  <c r="S12"/>
  <c r="S11"/>
  <c r="S10"/>
  <c r="S9"/>
  <c r="S8"/>
  <c r="P12"/>
  <c r="P11"/>
  <c r="P10"/>
  <c r="P9"/>
  <c r="P8"/>
  <c r="H12"/>
  <c r="H11"/>
  <c r="H10"/>
  <c r="H9"/>
  <c r="H8"/>
  <c r="E12"/>
  <c r="E11"/>
  <c r="E10"/>
  <c r="E9"/>
  <c r="E8"/>
  <c r="B12"/>
  <c r="B11"/>
  <c r="B10"/>
  <c r="B9"/>
  <c r="B8"/>
  <c r="W116" i="116"/>
  <c r="W115"/>
  <c r="O116"/>
  <c r="O115"/>
  <c r="G116"/>
  <c r="G115"/>
  <c r="B116"/>
  <c r="B115"/>
  <c r="W111"/>
  <c r="W110"/>
  <c r="W109"/>
  <c r="W108"/>
  <c r="W107"/>
  <c r="W106"/>
  <c r="W105"/>
  <c r="W104"/>
  <c r="W103"/>
  <c r="W102"/>
  <c r="W101"/>
  <c r="W100"/>
  <c r="W99"/>
  <c r="W98"/>
  <c r="W97"/>
  <c r="W96"/>
  <c r="W95"/>
  <c r="W94"/>
  <c r="W93"/>
  <c r="W92"/>
  <c r="W91"/>
  <c r="W90"/>
  <c r="W89"/>
  <c r="W88"/>
  <c r="W87"/>
  <c r="W86"/>
  <c r="W85"/>
  <c r="W84"/>
  <c r="W83"/>
  <c r="W82"/>
  <c r="W81"/>
  <c r="W80"/>
  <c r="W79"/>
  <c r="W78"/>
  <c r="W77"/>
  <c r="W76"/>
  <c r="W75"/>
  <c r="W74"/>
  <c r="W73"/>
  <c r="W72"/>
  <c r="W71"/>
  <c r="W70"/>
  <c r="W69"/>
  <c r="W68"/>
  <c r="W67"/>
  <c r="W66"/>
  <c r="W65"/>
  <c r="W64"/>
  <c r="W63"/>
  <c r="W62"/>
  <c r="W61"/>
  <c r="W60"/>
  <c r="W59"/>
  <c r="W58"/>
  <c r="W57"/>
  <c r="W56"/>
  <c r="W55"/>
  <c r="W54"/>
  <c r="W53"/>
  <c r="W52"/>
  <c r="W51"/>
  <c r="W50"/>
  <c r="W49"/>
  <c r="W48"/>
  <c r="W47"/>
  <c r="W46"/>
  <c r="W45"/>
  <c r="W44"/>
  <c r="W43"/>
  <c r="W42"/>
  <c r="W41"/>
  <c r="W40"/>
  <c r="W39"/>
  <c r="W38"/>
  <c r="W37"/>
  <c r="W36"/>
  <c r="W35"/>
  <c r="W34"/>
  <c r="W33"/>
  <c r="W32"/>
  <c r="W31"/>
  <c r="W30"/>
  <c r="W29"/>
  <c r="W28"/>
  <c r="W27"/>
  <c r="W26"/>
  <c r="W25"/>
  <c r="W24"/>
  <c r="W23"/>
  <c r="W22"/>
  <c r="W21"/>
  <c r="W20"/>
  <c r="W19"/>
  <c r="W18"/>
  <c r="W17"/>
  <c r="W16"/>
  <c r="F117"/>
  <c r="K117"/>
  <c r="M117" s="1"/>
  <c r="S117"/>
  <c r="AA117"/>
  <c r="W15"/>
  <c r="O111"/>
  <c r="O110"/>
  <c r="O109"/>
  <c r="O108"/>
  <c r="O107"/>
  <c r="O106"/>
  <c r="O105"/>
  <c r="O104"/>
  <c r="O103"/>
  <c r="O102"/>
  <c r="O101"/>
  <c r="O100"/>
  <c r="O99"/>
  <c r="O9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G111"/>
  <c r="G110"/>
  <c r="G109"/>
  <c r="G108"/>
  <c r="G107"/>
  <c r="G106"/>
  <c r="G105"/>
  <c r="G104"/>
  <c r="G103"/>
  <c r="G102"/>
  <c r="G101"/>
  <c r="G100"/>
  <c r="G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B111"/>
  <c r="B110"/>
  <c r="B108"/>
  <c r="B107"/>
  <c r="B106"/>
  <c r="B105"/>
  <c r="B104"/>
  <c r="B103"/>
  <c r="B102"/>
  <c r="B101"/>
  <c r="B100"/>
  <c r="B99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W11"/>
  <c r="W10"/>
  <c r="W9"/>
  <c r="W8"/>
  <c r="W7"/>
  <c r="O11"/>
  <c r="O10"/>
  <c r="O9"/>
  <c r="O8"/>
  <c r="O7"/>
  <c r="G11"/>
  <c r="G10"/>
  <c r="G9"/>
  <c r="G8"/>
  <c r="G7"/>
  <c r="B11"/>
  <c r="B10"/>
  <c r="B9"/>
  <c r="B8"/>
  <c r="B7"/>
  <c r="B75" i="115"/>
  <c r="BI69"/>
  <c r="BI68"/>
  <c r="BI67"/>
  <c r="BI66"/>
  <c r="BI65"/>
  <c r="BI64"/>
  <c r="BI63"/>
  <c r="BI62"/>
  <c r="BI61"/>
  <c r="BI60"/>
  <c r="BI59"/>
  <c r="BI58"/>
  <c r="BI57"/>
  <c r="BI56"/>
  <c r="BI55"/>
  <c r="BI54"/>
  <c r="BI53"/>
  <c r="BI52"/>
  <c r="BI51"/>
  <c r="BI50"/>
  <c r="BI49"/>
  <c r="BI48"/>
  <c r="BI47"/>
  <c r="BI46"/>
  <c r="BI45"/>
  <c r="BI44"/>
  <c r="BI43"/>
  <c r="BF69"/>
  <c r="BF68"/>
  <c r="BF67"/>
  <c r="BF66"/>
  <c r="BF65"/>
  <c r="BF64"/>
  <c r="BF63"/>
  <c r="BF62"/>
  <c r="BF61"/>
  <c r="BF60"/>
  <c r="BF59"/>
  <c r="BF58"/>
  <c r="BF57"/>
  <c r="BF56"/>
  <c r="BF55"/>
  <c r="BF54"/>
  <c r="BF53"/>
  <c r="BF52"/>
  <c r="BF51"/>
  <c r="BF50"/>
  <c r="BF49"/>
  <c r="BF48"/>
  <c r="BF47"/>
  <c r="BF46"/>
  <c r="BF45"/>
  <c r="BF44"/>
  <c r="BF43"/>
  <c r="BC69"/>
  <c r="BC68"/>
  <c r="BC67"/>
  <c r="BC66"/>
  <c r="BC65"/>
  <c r="BC64"/>
  <c r="BC63"/>
  <c r="BC62"/>
  <c r="BC61"/>
  <c r="BC60"/>
  <c r="BC59"/>
  <c r="BC58"/>
  <c r="BC57"/>
  <c r="BC56"/>
  <c r="BC55"/>
  <c r="BC54"/>
  <c r="BC53"/>
  <c r="BC52"/>
  <c r="BC51"/>
  <c r="BC50"/>
  <c r="BC49"/>
  <c r="BC48"/>
  <c r="BC47"/>
  <c r="BC46"/>
  <c r="BC45"/>
  <c r="BC44"/>
  <c r="BC43"/>
  <c r="AP69"/>
  <c r="AP68"/>
  <c r="AP67"/>
  <c r="AP66"/>
  <c r="AP65"/>
  <c r="AP64"/>
  <c r="AP63"/>
  <c r="AP62"/>
  <c r="AP61"/>
  <c r="AP60"/>
  <c r="AP59"/>
  <c r="AP58"/>
  <c r="AP57"/>
  <c r="AP56"/>
  <c r="AP55"/>
  <c r="AP54"/>
  <c r="AP53"/>
  <c r="AP52"/>
  <c r="AP51"/>
  <c r="AP50"/>
  <c r="AP49"/>
  <c r="AP48"/>
  <c r="AP47"/>
  <c r="AP46"/>
  <c r="AP45"/>
  <c r="AP44"/>
  <c r="AP43"/>
  <c r="AM69"/>
  <c r="AM68"/>
  <c r="AM67"/>
  <c r="AM66"/>
  <c r="AM65"/>
  <c r="AM64"/>
  <c r="AM63"/>
  <c r="AM62"/>
  <c r="AM61"/>
  <c r="AM60"/>
  <c r="AM59"/>
  <c r="AM58"/>
  <c r="AM57"/>
  <c r="AM56"/>
  <c r="AM55"/>
  <c r="AM54"/>
  <c r="AM53"/>
  <c r="AM52"/>
  <c r="AM51"/>
  <c r="AM50"/>
  <c r="AM49"/>
  <c r="AM48"/>
  <c r="AM47"/>
  <c r="AM46"/>
  <c r="AM45"/>
  <c r="AM44"/>
  <c r="AM43"/>
  <c r="AJ69"/>
  <c r="AJ68"/>
  <c r="AJ67"/>
  <c r="AJ66"/>
  <c r="AJ65"/>
  <c r="AJ64"/>
  <c r="AJ63"/>
  <c r="AJ62"/>
  <c r="AJ61"/>
  <c r="AJ60"/>
  <c r="AJ59"/>
  <c r="AJ58"/>
  <c r="AJ57"/>
  <c r="AJ56"/>
  <c r="AJ55"/>
  <c r="AJ54"/>
  <c r="AJ53"/>
  <c r="AJ52"/>
  <c r="AJ51"/>
  <c r="AJ50"/>
  <c r="AJ49"/>
  <c r="AJ48"/>
  <c r="AJ47"/>
  <c r="AJ46"/>
  <c r="AJ45"/>
  <c r="AJ44"/>
  <c r="AJ43"/>
  <c r="W69"/>
  <c r="W68"/>
  <c r="W65"/>
  <c r="W60"/>
  <c r="W59"/>
  <c r="W45"/>
  <c r="T69"/>
  <c r="T68"/>
  <c r="T60"/>
  <c r="T59"/>
  <c r="T58"/>
  <c r="T57"/>
  <c r="T56"/>
  <c r="T45"/>
  <c r="Q69"/>
  <c r="Q68"/>
  <c r="Q60"/>
  <c r="Q59"/>
  <c r="Q58"/>
  <c r="Q57"/>
  <c r="Q56"/>
  <c r="Q45"/>
  <c r="I69"/>
  <c r="I68"/>
  <c r="I60"/>
  <c r="I59"/>
  <c r="F69"/>
  <c r="F68"/>
  <c r="F60"/>
  <c r="F59"/>
  <c r="F58"/>
  <c r="F57"/>
  <c r="F56"/>
  <c r="F45"/>
  <c r="W26" i="117" l="1"/>
  <c r="C61" i="118"/>
  <c r="F61" s="1"/>
  <c r="G61" s="1"/>
  <c r="T26" i="117"/>
  <c r="C60" i="118"/>
  <c r="F60" s="1"/>
  <c r="G60" s="1"/>
  <c r="Q26" i="117"/>
  <c r="C59" i="118"/>
  <c r="F59" s="1"/>
  <c r="G59" s="1"/>
  <c r="I26" i="117"/>
  <c r="C58" i="118"/>
  <c r="F58" s="1"/>
  <c r="G58" s="1"/>
  <c r="F26" i="117"/>
  <c r="C57" i="118"/>
  <c r="F57" s="1"/>
  <c r="G57" s="1"/>
  <c r="C26" i="117"/>
  <c r="C56" i="118"/>
  <c r="AB62" i="117"/>
  <c r="AC62" s="1"/>
  <c r="AW62"/>
  <c r="I24"/>
  <c r="W24"/>
  <c r="AP24"/>
  <c r="BI24"/>
  <c r="C24"/>
  <c r="F24"/>
  <c r="Q24"/>
  <c r="T24"/>
  <c r="AJ24"/>
  <c r="AM24"/>
  <c r="BC24"/>
  <c r="BF24"/>
  <c r="U117" i="116"/>
  <c r="C69" i="115"/>
  <c r="C68"/>
  <c r="C60"/>
  <c r="C59"/>
  <c r="C58"/>
  <c r="C57"/>
  <c r="C56"/>
  <c r="U51"/>
  <c r="B34"/>
  <c r="BH84"/>
  <c r="BE84"/>
  <c r="BB84"/>
  <c r="AO84"/>
  <c r="AL84"/>
  <c r="AI84"/>
  <c r="V84"/>
  <c r="S84"/>
  <c r="P84"/>
  <c r="H84"/>
  <c r="E84"/>
  <c r="D84"/>
  <c r="B84"/>
  <c r="D50"/>
  <c r="D51"/>
  <c r="D56"/>
  <c r="D61"/>
  <c r="C68" i="118" l="1"/>
  <c r="F56"/>
  <c r="BP62" i="117"/>
  <c r="BS62" s="1"/>
  <c r="BT62" s="1"/>
  <c r="AZ62"/>
  <c r="BA62" s="1"/>
  <c r="AC117" i="116"/>
  <c r="BH78" i="115"/>
  <c r="BE78"/>
  <c r="BB78"/>
  <c r="AO78"/>
  <c r="AL78"/>
  <c r="AI78"/>
  <c r="V78"/>
  <c r="S78"/>
  <c r="P78"/>
  <c r="H78"/>
  <c r="E78"/>
  <c r="B78"/>
  <c r="F68" i="118" l="1"/>
  <c r="D68" s="1"/>
  <c r="G56"/>
  <c r="G68" s="1"/>
  <c r="D33" i="115"/>
  <c r="BB76"/>
  <c r="AI76"/>
  <c r="P76"/>
  <c r="B76"/>
  <c r="BH75"/>
  <c r="BE75"/>
  <c r="BB75"/>
  <c r="AO75"/>
  <c r="AL75"/>
  <c r="AI75"/>
  <c r="V75"/>
  <c r="S75"/>
  <c r="P75"/>
  <c r="H75"/>
  <c r="E75"/>
  <c r="V73"/>
  <c r="S73"/>
  <c r="P73"/>
  <c r="Y73" s="1"/>
  <c r="BH73"/>
  <c r="BM73"/>
  <c r="BL73"/>
  <c r="BK73"/>
  <c r="BQ73"/>
  <c r="BR73"/>
  <c r="AY73"/>
  <c r="AX73"/>
  <c r="AT73"/>
  <c r="AS73"/>
  <c r="AU73" s="1"/>
  <c r="AV73" s="1"/>
  <c r="AR73"/>
  <c r="BE73"/>
  <c r="BB73"/>
  <c r="AO73"/>
  <c r="AL73"/>
  <c r="AI73"/>
  <c r="AF73"/>
  <c r="AE73"/>
  <c r="AA73"/>
  <c r="Z73"/>
  <c r="N73"/>
  <c r="O73" s="1"/>
  <c r="M73"/>
  <c r="L73"/>
  <c r="K73"/>
  <c r="H73"/>
  <c r="E73"/>
  <c r="BB74"/>
  <c r="AI74"/>
  <c r="B74"/>
  <c r="B73"/>
  <c r="BH69"/>
  <c r="BE69"/>
  <c r="BB69"/>
  <c r="AO69"/>
  <c r="AL69"/>
  <c r="AI69"/>
  <c r="V69"/>
  <c r="S69"/>
  <c r="P69"/>
  <c r="H69"/>
  <c r="E69"/>
  <c r="B69"/>
  <c r="BH68"/>
  <c r="BH67"/>
  <c r="BE68"/>
  <c r="BE67"/>
  <c r="BB68"/>
  <c r="BB67"/>
  <c r="AO68"/>
  <c r="AO67"/>
  <c r="AL68"/>
  <c r="AL67"/>
  <c r="AI68"/>
  <c r="AI67"/>
  <c r="V68"/>
  <c r="V67"/>
  <c r="S68"/>
  <c r="S67"/>
  <c r="P68"/>
  <c r="P67"/>
  <c r="H68"/>
  <c r="H67"/>
  <c r="E68"/>
  <c r="E67"/>
  <c r="B68"/>
  <c r="B67"/>
  <c r="BH63"/>
  <c r="BH62"/>
  <c r="BH61"/>
  <c r="BH60"/>
  <c r="BH59"/>
  <c r="BH58"/>
  <c r="BH57"/>
  <c r="BH56"/>
  <c r="BE63"/>
  <c r="BE62"/>
  <c r="BE61"/>
  <c r="BE60"/>
  <c r="BE59"/>
  <c r="BE58"/>
  <c r="BE57"/>
  <c r="BE56"/>
  <c r="BB63"/>
  <c r="BB62"/>
  <c r="BB61"/>
  <c r="BB60"/>
  <c r="BB59"/>
  <c r="BB58"/>
  <c r="BB57"/>
  <c r="BB56"/>
  <c r="AO63"/>
  <c r="AO62"/>
  <c r="AO61"/>
  <c r="AO60"/>
  <c r="AO59"/>
  <c r="AO58"/>
  <c r="AO57"/>
  <c r="AO56"/>
  <c r="AL63"/>
  <c r="AL62"/>
  <c r="AL61"/>
  <c r="AL60"/>
  <c r="AL59"/>
  <c r="AL58"/>
  <c r="AL57"/>
  <c r="AL56"/>
  <c r="AI63"/>
  <c r="AI62"/>
  <c r="AI61"/>
  <c r="AI60"/>
  <c r="AI59"/>
  <c r="AI58"/>
  <c r="AI57"/>
  <c r="AI56"/>
  <c r="V63"/>
  <c r="V62"/>
  <c r="V61"/>
  <c r="V60"/>
  <c r="V59"/>
  <c r="V58"/>
  <c r="V57"/>
  <c r="V56"/>
  <c r="S63"/>
  <c r="S62"/>
  <c r="S61"/>
  <c r="S60"/>
  <c r="S59"/>
  <c r="S58"/>
  <c r="S57"/>
  <c r="S56"/>
  <c r="P63"/>
  <c r="P62"/>
  <c r="P61"/>
  <c r="P60"/>
  <c r="P59"/>
  <c r="P58"/>
  <c r="P57"/>
  <c r="P56"/>
  <c r="H63"/>
  <c r="H62"/>
  <c r="H61"/>
  <c r="H60"/>
  <c r="H59"/>
  <c r="H58"/>
  <c r="H57"/>
  <c r="H56"/>
  <c r="E63"/>
  <c r="E62"/>
  <c r="E61"/>
  <c r="E60"/>
  <c r="E59"/>
  <c r="E58"/>
  <c r="E57"/>
  <c r="E56"/>
  <c r="B63"/>
  <c r="B62"/>
  <c r="B61"/>
  <c r="B60"/>
  <c r="B59"/>
  <c r="B58"/>
  <c r="B57"/>
  <c r="B56"/>
  <c r="BH54"/>
  <c r="BE54"/>
  <c r="BB54"/>
  <c r="AO54"/>
  <c r="AL54"/>
  <c r="AI54"/>
  <c r="V54"/>
  <c r="S54"/>
  <c r="P54"/>
  <c r="H54"/>
  <c r="E54"/>
  <c r="B54"/>
  <c r="BH53"/>
  <c r="BH52"/>
  <c r="BH51"/>
  <c r="BH50"/>
  <c r="BH49"/>
  <c r="BH48"/>
  <c r="BH47"/>
  <c r="BH46"/>
  <c r="BH45"/>
  <c r="BH44"/>
  <c r="BH43"/>
  <c r="BE53"/>
  <c r="BE52"/>
  <c r="BE51"/>
  <c r="BE50"/>
  <c r="BE49"/>
  <c r="BE48"/>
  <c r="BE47"/>
  <c r="BE46"/>
  <c r="BE45"/>
  <c r="BE44"/>
  <c r="BE43"/>
  <c r="BB53"/>
  <c r="BB52"/>
  <c r="BB51"/>
  <c r="BB50"/>
  <c r="BB49"/>
  <c r="BB48"/>
  <c r="BB47"/>
  <c r="BB46"/>
  <c r="BB45"/>
  <c r="BB44"/>
  <c r="BB43"/>
  <c r="AO53"/>
  <c r="AO52"/>
  <c r="AO51"/>
  <c r="AO50"/>
  <c r="AO49"/>
  <c r="AO48"/>
  <c r="AO47"/>
  <c r="AO46"/>
  <c r="AO45"/>
  <c r="AO44"/>
  <c r="AO43"/>
  <c r="AL53"/>
  <c r="AL52"/>
  <c r="AL51"/>
  <c r="AL50"/>
  <c r="AL49"/>
  <c r="AL48"/>
  <c r="AL47"/>
  <c r="AL46"/>
  <c r="AL45"/>
  <c r="AL44"/>
  <c r="AL43"/>
  <c r="AI53"/>
  <c r="AI52"/>
  <c r="AI51"/>
  <c r="AI50"/>
  <c r="AI49"/>
  <c r="AI48"/>
  <c r="AI47"/>
  <c r="AI46"/>
  <c r="AI45"/>
  <c r="AI44"/>
  <c r="AI43"/>
  <c r="V53"/>
  <c r="V52"/>
  <c r="V51"/>
  <c r="V50"/>
  <c r="V49"/>
  <c r="V48"/>
  <c r="V47"/>
  <c r="V46"/>
  <c r="V45"/>
  <c r="V44"/>
  <c r="V43"/>
  <c r="S53"/>
  <c r="S52"/>
  <c r="S51"/>
  <c r="S50"/>
  <c r="S49"/>
  <c r="S48"/>
  <c r="S47"/>
  <c r="S46"/>
  <c r="S45"/>
  <c r="S44"/>
  <c r="S43"/>
  <c r="S70" s="1"/>
  <c r="S74" s="1"/>
  <c r="S76" s="1"/>
  <c r="P53"/>
  <c r="P52"/>
  <c r="P51"/>
  <c r="P50"/>
  <c r="P49"/>
  <c r="P48"/>
  <c r="P47"/>
  <c r="P46"/>
  <c r="P45"/>
  <c r="P44"/>
  <c r="P43"/>
  <c r="H53"/>
  <c r="H52"/>
  <c r="H51"/>
  <c r="H50"/>
  <c r="H49"/>
  <c r="H48"/>
  <c r="H47"/>
  <c r="H46"/>
  <c r="H45"/>
  <c r="H44"/>
  <c r="H43"/>
  <c r="H70" s="1"/>
  <c r="H74" s="1"/>
  <c r="H76" s="1"/>
  <c r="E53"/>
  <c r="E52"/>
  <c r="E51"/>
  <c r="E50"/>
  <c r="E49"/>
  <c r="E48"/>
  <c r="E47"/>
  <c r="E46"/>
  <c r="E45"/>
  <c r="E44"/>
  <c r="E43"/>
  <c r="B53"/>
  <c r="B52"/>
  <c r="B51"/>
  <c r="B50"/>
  <c r="B49"/>
  <c r="B48"/>
  <c r="B47"/>
  <c r="B46"/>
  <c r="B45"/>
  <c r="B44"/>
  <c r="B43"/>
  <c r="AD73" l="1"/>
  <c r="AB73"/>
  <c r="AC73" s="1"/>
  <c r="P74"/>
  <c r="BN73"/>
  <c r="BO73" s="1"/>
  <c r="AG73"/>
  <c r="AH73" s="1"/>
  <c r="B70"/>
  <c r="E70"/>
  <c r="E74" s="1"/>
  <c r="E76" s="1"/>
  <c r="P70"/>
  <c r="BG33"/>
  <c r="AW73" l="1"/>
  <c r="G33"/>
  <c r="R33"/>
  <c r="X33"/>
  <c r="AN33"/>
  <c r="BD33"/>
  <c r="BJ33"/>
  <c r="J33"/>
  <c r="U33"/>
  <c r="AK33"/>
  <c r="AQ33"/>
  <c r="D38"/>
  <c r="D36"/>
  <c r="D35"/>
  <c r="G38"/>
  <c r="G36"/>
  <c r="G35"/>
  <c r="J38"/>
  <c r="J36"/>
  <c r="J35"/>
  <c r="R38"/>
  <c r="R36"/>
  <c r="R35"/>
  <c r="U38"/>
  <c r="U36"/>
  <c r="U35"/>
  <c r="X38"/>
  <c r="X36"/>
  <c r="X35"/>
  <c r="AK38"/>
  <c r="AK36"/>
  <c r="AK35"/>
  <c r="AN38"/>
  <c r="AN36"/>
  <c r="AN35"/>
  <c r="AQ38"/>
  <c r="AQ36"/>
  <c r="AQ35"/>
  <c r="BD38"/>
  <c r="BD36"/>
  <c r="BD35"/>
  <c r="BG38"/>
  <c r="BG36"/>
  <c r="BG35"/>
  <c r="BJ38"/>
  <c r="BJ36"/>
  <c r="BJ35"/>
  <c r="BH35"/>
  <c r="BH36"/>
  <c r="BH37"/>
  <c r="BH38"/>
  <c r="BJ29"/>
  <c r="BJ32" s="1"/>
  <c r="BG29"/>
  <c r="BG32" s="1"/>
  <c r="BD29"/>
  <c r="BD32" s="1"/>
  <c r="AQ29"/>
  <c r="AQ32" s="1"/>
  <c r="AN29"/>
  <c r="AN27"/>
  <c r="AK29"/>
  <c r="AK32" s="1"/>
  <c r="X29"/>
  <c r="X32" s="1"/>
  <c r="U29"/>
  <c r="U32" s="1"/>
  <c r="R29"/>
  <c r="R32" s="1"/>
  <c r="J29"/>
  <c r="J32" s="1"/>
  <c r="G29"/>
  <c r="G32" s="1"/>
  <c r="D29"/>
  <c r="BH34"/>
  <c r="BH33"/>
  <c r="BH32"/>
  <c r="BH31"/>
  <c r="BH30"/>
  <c r="BH29"/>
  <c r="BH28"/>
  <c r="BH27"/>
  <c r="BH26"/>
  <c r="BH25"/>
  <c r="BE38"/>
  <c r="BE37"/>
  <c r="BE36"/>
  <c r="BE35"/>
  <c r="BE34"/>
  <c r="BE33"/>
  <c r="BE32"/>
  <c r="BE31"/>
  <c r="BE30"/>
  <c r="BE29"/>
  <c r="BE28"/>
  <c r="BE27"/>
  <c r="BE26"/>
  <c r="BE25"/>
  <c r="BB38"/>
  <c r="BB37"/>
  <c r="BB36"/>
  <c r="BB35"/>
  <c r="BB34"/>
  <c r="BB33"/>
  <c r="BB32"/>
  <c r="BB31"/>
  <c r="BB30"/>
  <c r="BB29"/>
  <c r="BB28"/>
  <c r="BB27"/>
  <c r="BB26"/>
  <c r="BB25"/>
  <c r="AO38"/>
  <c r="AO37"/>
  <c r="AO36"/>
  <c r="AO35"/>
  <c r="AO34"/>
  <c r="AO33"/>
  <c r="AO32"/>
  <c r="AO31"/>
  <c r="AO30"/>
  <c r="AO29"/>
  <c r="AO28"/>
  <c r="AO27"/>
  <c r="AO26"/>
  <c r="AO25"/>
  <c r="AL38"/>
  <c r="AL37"/>
  <c r="AL36"/>
  <c r="AL35"/>
  <c r="AL34"/>
  <c r="AL33"/>
  <c r="AL32"/>
  <c r="AL31"/>
  <c r="AL30"/>
  <c r="AL29"/>
  <c r="AL28"/>
  <c r="AL27"/>
  <c r="AL26"/>
  <c r="AL25"/>
  <c r="AI38"/>
  <c r="AI37"/>
  <c r="AI36"/>
  <c r="AI35"/>
  <c r="AI34"/>
  <c r="AI33"/>
  <c r="AI32"/>
  <c r="AI31"/>
  <c r="AI30"/>
  <c r="AI29"/>
  <c r="AI28"/>
  <c r="AI27"/>
  <c r="AI26"/>
  <c r="AI25"/>
  <c r="V38"/>
  <c r="V37"/>
  <c r="V36"/>
  <c r="V35"/>
  <c r="V34"/>
  <c r="V33"/>
  <c r="V32"/>
  <c r="V31"/>
  <c r="V30"/>
  <c r="V29"/>
  <c r="V28"/>
  <c r="V27"/>
  <c r="V26"/>
  <c r="V25"/>
  <c r="S38"/>
  <c r="S37"/>
  <c r="S36"/>
  <c r="S35"/>
  <c r="S34"/>
  <c r="S33"/>
  <c r="S32"/>
  <c r="S31"/>
  <c r="S30"/>
  <c r="S29"/>
  <c r="S28"/>
  <c r="S27"/>
  <c r="S26"/>
  <c r="S25"/>
  <c r="P38"/>
  <c r="P37"/>
  <c r="P36"/>
  <c r="P35"/>
  <c r="P34"/>
  <c r="P33"/>
  <c r="P32"/>
  <c r="P31"/>
  <c r="P30"/>
  <c r="P29"/>
  <c r="P28"/>
  <c r="P27"/>
  <c r="P26"/>
  <c r="P25"/>
  <c r="H38"/>
  <c r="H37"/>
  <c r="H36"/>
  <c r="H35"/>
  <c r="H34"/>
  <c r="H33"/>
  <c r="H32"/>
  <c r="H31"/>
  <c r="H30"/>
  <c r="H29"/>
  <c r="H28"/>
  <c r="H27"/>
  <c r="H26"/>
  <c r="H25"/>
  <c r="E38"/>
  <c r="E37"/>
  <c r="E36"/>
  <c r="E35"/>
  <c r="E34"/>
  <c r="E33"/>
  <c r="E32"/>
  <c r="E31"/>
  <c r="E30"/>
  <c r="E29"/>
  <c r="E28"/>
  <c r="E27"/>
  <c r="E26"/>
  <c r="E25"/>
  <c r="B38"/>
  <c r="B37"/>
  <c r="B36"/>
  <c r="B35"/>
  <c r="B33"/>
  <c r="B32"/>
  <c r="B31"/>
  <c r="B30"/>
  <c r="B29"/>
  <c r="B28"/>
  <c r="B27"/>
  <c r="B26"/>
  <c r="B25"/>
  <c r="BP73" l="1"/>
  <c r="AZ73"/>
  <c r="BA73" s="1"/>
  <c r="AN32"/>
  <c r="D32"/>
  <c r="AP20"/>
  <c r="AP19"/>
  <c r="AP18"/>
  <c r="AP17"/>
  <c r="AP38" s="1"/>
  <c r="AP16"/>
  <c r="AP15"/>
  <c r="AP14"/>
  <c r="AP13"/>
  <c r="AP12"/>
  <c r="AP11"/>
  <c r="AP10"/>
  <c r="AP9"/>
  <c r="AP8"/>
  <c r="BH20"/>
  <c r="BH19"/>
  <c r="BH18"/>
  <c r="BH17"/>
  <c r="BH16"/>
  <c r="BH15"/>
  <c r="BH14"/>
  <c r="BH13"/>
  <c r="BH12"/>
  <c r="BH11"/>
  <c r="BH10"/>
  <c r="BH9"/>
  <c r="BH8"/>
  <c r="BE20"/>
  <c r="BE19"/>
  <c r="BE18"/>
  <c r="BE17"/>
  <c r="BE16"/>
  <c r="BE15"/>
  <c r="BE14"/>
  <c r="BE13"/>
  <c r="BE12"/>
  <c r="BE11"/>
  <c r="BE10"/>
  <c r="BE9"/>
  <c r="BE8"/>
  <c r="BB20"/>
  <c r="BB19"/>
  <c r="BB18"/>
  <c r="BB17"/>
  <c r="BB16"/>
  <c r="BB15"/>
  <c r="BB14"/>
  <c r="BB13"/>
  <c r="BB12"/>
  <c r="BB11"/>
  <c r="BB10"/>
  <c r="BB9"/>
  <c r="BB8"/>
  <c r="AO20"/>
  <c r="AO19"/>
  <c r="AO18"/>
  <c r="AO17"/>
  <c r="AO16"/>
  <c r="AO15"/>
  <c r="AO14"/>
  <c r="AO13"/>
  <c r="AO12"/>
  <c r="AO11"/>
  <c r="AO10"/>
  <c r="AO9"/>
  <c r="AO8"/>
  <c r="AL20"/>
  <c r="AL19"/>
  <c r="AL18"/>
  <c r="AL17"/>
  <c r="AL16"/>
  <c r="AL15"/>
  <c r="AL14"/>
  <c r="AL13"/>
  <c r="AL12"/>
  <c r="AL11"/>
  <c r="AL10"/>
  <c r="AL9"/>
  <c r="AL8"/>
  <c r="AI20"/>
  <c r="AI19"/>
  <c r="AI18"/>
  <c r="AI17"/>
  <c r="AI16"/>
  <c r="AI15"/>
  <c r="AI14"/>
  <c r="AI13"/>
  <c r="AI12"/>
  <c r="AI11"/>
  <c r="AI10"/>
  <c r="AI9"/>
  <c r="AI8"/>
  <c r="V20"/>
  <c r="V19"/>
  <c r="V18"/>
  <c r="V17"/>
  <c r="V16"/>
  <c r="V15"/>
  <c r="V14"/>
  <c r="V13"/>
  <c r="V12"/>
  <c r="V11"/>
  <c r="V10"/>
  <c r="V9"/>
  <c r="V8"/>
  <c r="S20"/>
  <c r="S19"/>
  <c r="S18"/>
  <c r="S17"/>
  <c r="S16"/>
  <c r="S15"/>
  <c r="S14"/>
  <c r="S71" s="1"/>
  <c r="S72" s="1"/>
  <c r="S13"/>
  <c r="S12"/>
  <c r="S11"/>
  <c r="S10"/>
  <c r="S9"/>
  <c r="S8"/>
  <c r="P20"/>
  <c r="P19"/>
  <c r="P18"/>
  <c r="P17"/>
  <c r="P16"/>
  <c r="P15"/>
  <c r="P14"/>
  <c r="P71" s="1"/>
  <c r="P72" s="1"/>
  <c r="P13"/>
  <c r="P12"/>
  <c r="P11"/>
  <c r="P10"/>
  <c r="P9"/>
  <c r="P8"/>
  <c r="H20"/>
  <c r="H19"/>
  <c r="H18"/>
  <c r="H17"/>
  <c r="H16"/>
  <c r="H15"/>
  <c r="H14"/>
  <c r="H71" s="1"/>
  <c r="H72" s="1"/>
  <c r="H13"/>
  <c r="H12"/>
  <c r="H11"/>
  <c r="H10"/>
  <c r="H9"/>
  <c r="H8"/>
  <c r="E20"/>
  <c r="E19"/>
  <c r="E18"/>
  <c r="E17"/>
  <c r="E16"/>
  <c r="E15"/>
  <c r="E14"/>
  <c r="E71" s="1"/>
  <c r="E72" s="1"/>
  <c r="E13"/>
  <c r="E12"/>
  <c r="E11"/>
  <c r="E10"/>
  <c r="E9"/>
  <c r="E8"/>
  <c r="BI20"/>
  <c r="BI19"/>
  <c r="BI18"/>
  <c r="BI17"/>
  <c r="BI38" s="1"/>
  <c r="BI16"/>
  <c r="BI15"/>
  <c r="BI14"/>
  <c r="BI13"/>
  <c r="BI12"/>
  <c r="BI11"/>
  <c r="BI10"/>
  <c r="BI9"/>
  <c r="BI8"/>
  <c r="BF20"/>
  <c r="BF19"/>
  <c r="BF18"/>
  <c r="BF17"/>
  <c r="BF38" s="1"/>
  <c r="BF16"/>
  <c r="BF15"/>
  <c r="BF14"/>
  <c r="BF13"/>
  <c r="BF12"/>
  <c r="BF11"/>
  <c r="BF10"/>
  <c r="BF9"/>
  <c r="BF8"/>
  <c r="BC20"/>
  <c r="BC19"/>
  <c r="BC18"/>
  <c r="BC17"/>
  <c r="BC38" s="1"/>
  <c r="BC16"/>
  <c r="BC15"/>
  <c r="BC14"/>
  <c r="BC13"/>
  <c r="BC12"/>
  <c r="BC11"/>
  <c r="BC10"/>
  <c r="BC9"/>
  <c r="BC8"/>
  <c r="AM20"/>
  <c r="AM19"/>
  <c r="AM18"/>
  <c r="AM17"/>
  <c r="AM38" s="1"/>
  <c r="AM16"/>
  <c r="AM15"/>
  <c r="AM14"/>
  <c r="AM13"/>
  <c r="AM12"/>
  <c r="AM11"/>
  <c r="AM10"/>
  <c r="AM9"/>
  <c r="AM8"/>
  <c r="AJ20"/>
  <c r="AJ19"/>
  <c r="AJ18"/>
  <c r="AJ17"/>
  <c r="AJ38" s="1"/>
  <c r="AJ16"/>
  <c r="AJ15"/>
  <c r="AJ14"/>
  <c r="AJ13"/>
  <c r="AJ12"/>
  <c r="AJ11"/>
  <c r="AJ10"/>
  <c r="AJ9"/>
  <c r="AJ8"/>
  <c r="W20"/>
  <c r="W19"/>
  <c r="W17"/>
  <c r="W16"/>
  <c r="W15"/>
  <c r="W9"/>
  <c r="W8"/>
  <c r="T20"/>
  <c r="T19"/>
  <c r="T17"/>
  <c r="T16"/>
  <c r="T15"/>
  <c r="T9"/>
  <c r="T8"/>
  <c r="Q20"/>
  <c r="Q19"/>
  <c r="Q17"/>
  <c r="Q16"/>
  <c r="Q15"/>
  <c r="Q9"/>
  <c r="Q8"/>
  <c r="I20"/>
  <c r="I19"/>
  <c r="I17"/>
  <c r="I16"/>
  <c r="I15"/>
  <c r="I9"/>
  <c r="I8"/>
  <c r="F20"/>
  <c r="F19"/>
  <c r="F17"/>
  <c r="F16"/>
  <c r="F15"/>
  <c r="F9"/>
  <c r="F8"/>
  <c r="C20"/>
  <c r="C19"/>
  <c r="C17"/>
  <c r="C16"/>
  <c r="C15"/>
  <c r="C9"/>
  <c r="C8"/>
  <c r="B20"/>
  <c r="B19"/>
  <c r="B18"/>
  <c r="B17"/>
  <c r="B16"/>
  <c r="B15"/>
  <c r="B14"/>
  <c r="B71" s="1"/>
  <c r="B72" s="1"/>
  <c r="B13"/>
  <c r="B12"/>
  <c r="B11"/>
  <c r="B10"/>
  <c r="B9"/>
  <c r="B8"/>
  <c r="W38" l="1"/>
  <c r="C27" i="118"/>
  <c r="F27" s="1"/>
  <c r="G27" s="1"/>
  <c r="T38" i="115"/>
  <c r="C26" i="118"/>
  <c r="F26" s="1"/>
  <c r="G26" s="1"/>
  <c r="Q38" i="115"/>
  <c r="C25" i="118"/>
  <c r="F25" s="1"/>
  <c r="G25" s="1"/>
  <c r="I38" i="115"/>
  <c r="C24" i="118"/>
  <c r="F24" s="1"/>
  <c r="G24" s="1"/>
  <c r="F38" i="115"/>
  <c r="C23" i="118"/>
  <c r="F23" s="1"/>
  <c r="G23" s="1"/>
  <c r="C38" i="115"/>
  <c r="C22" i="118"/>
  <c r="BS73" i="115"/>
  <c r="BT73" s="1"/>
  <c r="I36"/>
  <c r="I35"/>
  <c r="BI36"/>
  <c r="BI35"/>
  <c r="W36"/>
  <c r="W35"/>
  <c r="AP36"/>
  <c r="AP35"/>
  <c r="C36"/>
  <c r="C35"/>
  <c r="F36"/>
  <c r="F35"/>
  <c r="Q36"/>
  <c r="Q35"/>
  <c r="AM36"/>
  <c r="AM35"/>
  <c r="BF36"/>
  <c r="BF35"/>
  <c r="T36"/>
  <c r="T35"/>
  <c r="AJ36"/>
  <c r="AJ35"/>
  <c r="BC36"/>
  <c r="BC35"/>
  <c r="F22" i="118" l="1"/>
  <c r="C34"/>
  <c r="AB232" i="114"/>
  <c r="Z232"/>
  <c r="Y232"/>
  <c r="X232"/>
  <c r="W232"/>
  <c r="T232"/>
  <c r="R232"/>
  <c r="Q232"/>
  <c r="P232"/>
  <c r="O232"/>
  <c r="L232"/>
  <c r="J232"/>
  <c r="I232"/>
  <c r="H232"/>
  <c r="G232"/>
  <c r="E232"/>
  <c r="D232"/>
  <c r="C232"/>
  <c r="B232"/>
  <c r="AB146"/>
  <c r="AB145"/>
  <c r="AB144"/>
  <c r="AB143"/>
  <c r="W146"/>
  <c r="W145"/>
  <c r="W144"/>
  <c r="W143"/>
  <c r="T146"/>
  <c r="T145"/>
  <c r="T144"/>
  <c r="T143"/>
  <c r="O146"/>
  <c r="O145"/>
  <c r="O144"/>
  <c r="O143"/>
  <c r="L146"/>
  <c r="L145"/>
  <c r="L144"/>
  <c r="L143"/>
  <c r="G146"/>
  <c r="G145"/>
  <c r="G144"/>
  <c r="G143"/>
  <c r="B146"/>
  <c r="B145"/>
  <c r="B144"/>
  <c r="B143"/>
  <c r="AB142"/>
  <c r="AB141"/>
  <c r="W142"/>
  <c r="W141"/>
  <c r="T142"/>
  <c r="T141"/>
  <c r="O142"/>
  <c r="O141"/>
  <c r="L142"/>
  <c r="L141"/>
  <c r="G142"/>
  <c r="G141"/>
  <c r="B142"/>
  <c r="B141"/>
  <c r="AA142"/>
  <c r="S142"/>
  <c r="K142"/>
  <c r="F142"/>
  <c r="M142" s="1"/>
  <c r="U142" s="1"/>
  <c r="AC142" s="1"/>
  <c r="AB137"/>
  <c r="AB136"/>
  <c r="AB135"/>
  <c r="AB134"/>
  <c r="AB133"/>
  <c r="AB132"/>
  <c r="AB131"/>
  <c r="AB130"/>
  <c r="AB129"/>
  <c r="AB128"/>
  <c r="AB127"/>
  <c r="AB126"/>
  <c r="AB125"/>
  <c r="AB124"/>
  <c r="AB123"/>
  <c r="AB122"/>
  <c r="AB121"/>
  <c r="AB120"/>
  <c r="AB119"/>
  <c r="AB118"/>
  <c r="AB117"/>
  <c r="AB116"/>
  <c r="AB115"/>
  <c r="AB114"/>
  <c r="AB113"/>
  <c r="AB112"/>
  <c r="AB111"/>
  <c r="AB110"/>
  <c r="AB109"/>
  <c r="AB108"/>
  <c r="AB107"/>
  <c r="AB106"/>
  <c r="AB105"/>
  <c r="AB104"/>
  <c r="AB103"/>
  <c r="AB102"/>
  <c r="AB101"/>
  <c r="AB100"/>
  <c r="AB99"/>
  <c r="AB98"/>
  <c r="AB97"/>
  <c r="AB96"/>
  <c r="AB95"/>
  <c r="AB94"/>
  <c r="AB93"/>
  <c r="AB92"/>
  <c r="AB91"/>
  <c r="AB90"/>
  <c r="AB89"/>
  <c r="AB88"/>
  <c r="AB87"/>
  <c r="AB86"/>
  <c r="AB85"/>
  <c r="AB84"/>
  <c r="AB83"/>
  <c r="AB82"/>
  <c r="AB81"/>
  <c r="AB80"/>
  <c r="AB79"/>
  <c r="AB78"/>
  <c r="AB77"/>
  <c r="AB76"/>
  <c r="AB75"/>
  <c r="AB74"/>
  <c r="AB73"/>
  <c r="AB72"/>
  <c r="AB71"/>
  <c r="AB70"/>
  <c r="AB69"/>
  <c r="AB68"/>
  <c r="AB67"/>
  <c r="AB66"/>
  <c r="AB65"/>
  <c r="AB64"/>
  <c r="AB63"/>
  <c r="AB62"/>
  <c r="AB61"/>
  <c r="AB60"/>
  <c r="AB59"/>
  <c r="AB58"/>
  <c r="AB57"/>
  <c r="AB56"/>
  <c r="AB55"/>
  <c r="AB54"/>
  <c r="AB53"/>
  <c r="AB52"/>
  <c r="AB51"/>
  <c r="AB50"/>
  <c r="AB49"/>
  <c r="AB48"/>
  <c r="AB47"/>
  <c r="AB46"/>
  <c r="AB45"/>
  <c r="AB44"/>
  <c r="AB43"/>
  <c r="AB42"/>
  <c r="AB41"/>
  <c r="AB40"/>
  <c r="AB39"/>
  <c r="AB38"/>
  <c r="AB37"/>
  <c r="AB36"/>
  <c r="AB35"/>
  <c r="AB34"/>
  <c r="AB33"/>
  <c r="AB32"/>
  <c r="AB31"/>
  <c r="AB30"/>
  <c r="AB29"/>
  <c r="AB28"/>
  <c r="AB27"/>
  <c r="AB26"/>
  <c r="AB25"/>
  <c r="W137"/>
  <c r="W136"/>
  <c r="W135"/>
  <c r="W134"/>
  <c r="W133"/>
  <c r="W132"/>
  <c r="W131"/>
  <c r="W130"/>
  <c r="W129"/>
  <c r="W128"/>
  <c r="W127"/>
  <c r="W126"/>
  <c r="W125"/>
  <c r="W124"/>
  <c r="W123"/>
  <c r="W122"/>
  <c r="W121"/>
  <c r="W120"/>
  <c r="W119"/>
  <c r="W118"/>
  <c r="W117"/>
  <c r="W116"/>
  <c r="W115"/>
  <c r="W114"/>
  <c r="W113"/>
  <c r="W112"/>
  <c r="W111"/>
  <c r="W110"/>
  <c r="W109"/>
  <c r="W108"/>
  <c r="W107"/>
  <c r="W106"/>
  <c r="W105"/>
  <c r="W104"/>
  <c r="W103"/>
  <c r="W102"/>
  <c r="W101"/>
  <c r="W100"/>
  <c r="W99"/>
  <c r="W98"/>
  <c r="W97"/>
  <c r="W96"/>
  <c r="W95"/>
  <c r="W94"/>
  <c r="W93"/>
  <c r="W92"/>
  <c r="W91"/>
  <c r="W90"/>
  <c r="W89"/>
  <c r="W88"/>
  <c r="W87"/>
  <c r="W86"/>
  <c r="W85"/>
  <c r="W84"/>
  <c r="W83"/>
  <c r="W82"/>
  <c r="W81"/>
  <c r="W80"/>
  <c r="W79"/>
  <c r="W78"/>
  <c r="W77"/>
  <c r="W76"/>
  <c r="W75"/>
  <c r="W74"/>
  <c r="W73"/>
  <c r="W72"/>
  <c r="W71"/>
  <c r="W70"/>
  <c r="W69"/>
  <c r="W68"/>
  <c r="W67"/>
  <c r="W66"/>
  <c r="W65"/>
  <c r="W64"/>
  <c r="W63"/>
  <c r="W62"/>
  <c r="W61"/>
  <c r="W60"/>
  <c r="W59"/>
  <c r="W58"/>
  <c r="W57"/>
  <c r="W56"/>
  <c r="W55"/>
  <c r="W54"/>
  <c r="W53"/>
  <c r="W52"/>
  <c r="W51"/>
  <c r="W50"/>
  <c r="W49"/>
  <c r="W48"/>
  <c r="W47"/>
  <c r="W46"/>
  <c r="W45"/>
  <c r="W44"/>
  <c r="W43"/>
  <c r="W42"/>
  <c r="W41"/>
  <c r="W40"/>
  <c r="W39"/>
  <c r="W38"/>
  <c r="W37"/>
  <c r="W36"/>
  <c r="W35"/>
  <c r="W34"/>
  <c r="W33"/>
  <c r="W32"/>
  <c r="W31"/>
  <c r="W30"/>
  <c r="W29"/>
  <c r="W28"/>
  <c r="W27"/>
  <c r="W26"/>
  <c r="W25"/>
  <c r="T137"/>
  <c r="T136"/>
  <c r="T135"/>
  <c r="T134"/>
  <c r="T133"/>
  <c r="T132"/>
  <c r="T131"/>
  <c r="T130"/>
  <c r="T129"/>
  <c r="T128"/>
  <c r="T127"/>
  <c r="T126"/>
  <c r="T125"/>
  <c r="T124"/>
  <c r="T123"/>
  <c r="T122"/>
  <c r="T121"/>
  <c r="T120"/>
  <c r="T119"/>
  <c r="T118"/>
  <c r="T117"/>
  <c r="T116"/>
  <c r="T115"/>
  <c r="T114"/>
  <c r="T113"/>
  <c r="T112"/>
  <c r="T111"/>
  <c r="T110"/>
  <c r="T109"/>
  <c r="T108"/>
  <c r="T107"/>
  <c r="T106"/>
  <c r="T105"/>
  <c r="T104"/>
  <c r="T103"/>
  <c r="T102"/>
  <c r="T101"/>
  <c r="T100"/>
  <c r="T99"/>
  <c r="T98"/>
  <c r="T97"/>
  <c r="T96"/>
  <c r="T95"/>
  <c r="T94"/>
  <c r="T93"/>
  <c r="T92"/>
  <c r="T91"/>
  <c r="T90"/>
  <c r="T89"/>
  <c r="T88"/>
  <c r="T87"/>
  <c r="T86"/>
  <c r="T85"/>
  <c r="T84"/>
  <c r="T83"/>
  <c r="T82"/>
  <c r="T81"/>
  <c r="T80"/>
  <c r="T79"/>
  <c r="T78"/>
  <c r="T77"/>
  <c r="T76"/>
  <c r="T75"/>
  <c r="T74"/>
  <c r="T73"/>
  <c r="T72"/>
  <c r="T71"/>
  <c r="T70"/>
  <c r="T69"/>
  <c r="T68"/>
  <c r="T67"/>
  <c r="T66"/>
  <c r="T65"/>
  <c r="T64"/>
  <c r="T63"/>
  <c r="T62"/>
  <c r="T61"/>
  <c r="T60"/>
  <c r="T59"/>
  <c r="T58"/>
  <c r="T57"/>
  <c r="T56"/>
  <c r="T55"/>
  <c r="T54"/>
  <c r="T53"/>
  <c r="T52"/>
  <c r="T51"/>
  <c r="T50"/>
  <c r="T49"/>
  <c r="T48"/>
  <c r="T47"/>
  <c r="T46"/>
  <c r="T45"/>
  <c r="T44"/>
  <c r="T43"/>
  <c r="T42"/>
  <c r="T41"/>
  <c r="T40"/>
  <c r="T39"/>
  <c r="T38"/>
  <c r="T37"/>
  <c r="T36"/>
  <c r="T35"/>
  <c r="T34"/>
  <c r="T33"/>
  <c r="T32"/>
  <c r="T31"/>
  <c r="T30"/>
  <c r="T29"/>
  <c r="T28"/>
  <c r="T27"/>
  <c r="T26"/>
  <c r="T25"/>
  <c r="O137"/>
  <c r="O136"/>
  <c r="O135"/>
  <c r="O134"/>
  <c r="O133"/>
  <c r="O132"/>
  <c r="O131"/>
  <c r="O130"/>
  <c r="O129"/>
  <c r="O128"/>
  <c r="O127"/>
  <c r="O126"/>
  <c r="O125"/>
  <c r="O124"/>
  <c r="O123"/>
  <c r="O122"/>
  <c r="O121"/>
  <c r="O120"/>
  <c r="O119"/>
  <c r="O118"/>
  <c r="O117"/>
  <c r="O116"/>
  <c r="O115"/>
  <c r="O114"/>
  <c r="O113"/>
  <c r="O112"/>
  <c r="O111"/>
  <c r="O110"/>
  <c r="O109"/>
  <c r="O108"/>
  <c r="O107"/>
  <c r="O106"/>
  <c r="O105"/>
  <c r="O104"/>
  <c r="O103"/>
  <c r="O102"/>
  <c r="O101"/>
  <c r="O100"/>
  <c r="O99"/>
  <c r="O9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L137"/>
  <c r="L136"/>
  <c r="L135"/>
  <c r="L134"/>
  <c r="L133"/>
  <c r="L132"/>
  <c r="L131"/>
  <c r="L130"/>
  <c r="L129"/>
  <c r="L128"/>
  <c r="L127"/>
  <c r="L126"/>
  <c r="L125"/>
  <c r="L124"/>
  <c r="L123"/>
  <c r="L122"/>
  <c r="L121"/>
  <c r="L120"/>
  <c r="L119"/>
  <c r="L118"/>
  <c r="L117"/>
  <c r="L116"/>
  <c r="L115"/>
  <c r="L114"/>
  <c r="L113"/>
  <c r="L112"/>
  <c r="L111"/>
  <c r="L110"/>
  <c r="L109"/>
  <c r="L108"/>
  <c r="L107"/>
  <c r="L106"/>
  <c r="L105"/>
  <c r="L104"/>
  <c r="L103"/>
  <c r="L102"/>
  <c r="L101"/>
  <c r="L100"/>
  <c r="L99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G137"/>
  <c r="G136"/>
  <c r="G135"/>
  <c r="G134"/>
  <c r="G133"/>
  <c r="G132"/>
  <c r="G131"/>
  <c r="G130"/>
  <c r="G129"/>
  <c r="G128"/>
  <c r="G127"/>
  <c r="G126"/>
  <c r="G125"/>
  <c r="G124"/>
  <c r="G123"/>
  <c r="G122"/>
  <c r="G121"/>
  <c r="G120"/>
  <c r="G119"/>
  <c r="G118"/>
  <c r="G117"/>
  <c r="G116"/>
  <c r="G115"/>
  <c r="G114"/>
  <c r="G113"/>
  <c r="G112"/>
  <c r="G111"/>
  <c r="G110"/>
  <c r="G109"/>
  <c r="G108"/>
  <c r="G107"/>
  <c r="G106"/>
  <c r="G105"/>
  <c r="G104"/>
  <c r="G103"/>
  <c r="G102"/>
  <c r="G101"/>
  <c r="G100"/>
  <c r="G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B137"/>
  <c r="B136"/>
  <c r="B135"/>
  <c r="B134"/>
  <c r="B133"/>
  <c r="B132"/>
  <c r="B131"/>
  <c r="B130"/>
  <c r="B129"/>
  <c r="B128"/>
  <c r="B127"/>
  <c r="B126"/>
  <c r="B125"/>
  <c r="B124"/>
  <c r="B123"/>
  <c r="B122"/>
  <c r="B121"/>
  <c r="B120"/>
  <c r="B119"/>
  <c r="B118"/>
  <c r="B117"/>
  <c r="B116"/>
  <c r="B115"/>
  <c r="B114"/>
  <c r="B113"/>
  <c r="B112"/>
  <c r="B111"/>
  <c r="B110"/>
  <c r="B109"/>
  <c r="B108"/>
  <c r="B107"/>
  <c r="B106"/>
  <c r="B105"/>
  <c r="B104"/>
  <c r="B103"/>
  <c r="B102"/>
  <c r="B101"/>
  <c r="B100"/>
  <c r="B99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AB20"/>
  <c r="AB19"/>
  <c r="AB18"/>
  <c r="AB17"/>
  <c r="AB16"/>
  <c r="AB15"/>
  <c r="AB14"/>
  <c r="AB13"/>
  <c r="AB12"/>
  <c r="AB11"/>
  <c r="AB10"/>
  <c r="AB9"/>
  <c r="AB8"/>
  <c r="W20"/>
  <c r="W19"/>
  <c r="W18"/>
  <c r="W17"/>
  <c r="W16"/>
  <c r="W15"/>
  <c r="W14"/>
  <c r="W13"/>
  <c r="W12"/>
  <c r="W11"/>
  <c r="W10"/>
  <c r="W9"/>
  <c r="W8"/>
  <c r="T20"/>
  <c r="T19"/>
  <c r="T18"/>
  <c r="T17"/>
  <c r="T16"/>
  <c r="T15"/>
  <c r="T14"/>
  <c r="T13"/>
  <c r="T12"/>
  <c r="T11"/>
  <c r="T10"/>
  <c r="T9"/>
  <c r="T8"/>
  <c r="O20"/>
  <c r="O19"/>
  <c r="O18"/>
  <c r="O17"/>
  <c r="O16"/>
  <c r="O15"/>
  <c r="O14"/>
  <c r="O13"/>
  <c r="O12"/>
  <c r="O11"/>
  <c r="O10"/>
  <c r="O9"/>
  <c r="O8"/>
  <c r="L20"/>
  <c r="L19"/>
  <c r="L18"/>
  <c r="L17"/>
  <c r="L16"/>
  <c r="L15"/>
  <c r="L14"/>
  <c r="L13"/>
  <c r="L12"/>
  <c r="L11"/>
  <c r="L10"/>
  <c r="L9"/>
  <c r="L8"/>
  <c r="G20"/>
  <c r="G19"/>
  <c r="G18"/>
  <c r="G17"/>
  <c r="G16"/>
  <c r="G15"/>
  <c r="G14"/>
  <c r="G13"/>
  <c r="G12"/>
  <c r="G11"/>
  <c r="G10"/>
  <c r="G9"/>
  <c r="G8"/>
  <c r="B20"/>
  <c r="B19"/>
  <c r="B18"/>
  <c r="B17"/>
  <c r="B16"/>
  <c r="B15"/>
  <c r="B14"/>
  <c r="B13"/>
  <c r="B12"/>
  <c r="B11"/>
  <c r="B10"/>
  <c r="B9"/>
  <c r="B8"/>
  <c r="B30" i="112"/>
  <c r="B86" i="91"/>
  <c r="E30" i="112"/>
  <c r="T30" s="1"/>
  <c r="T86" i="91" s="1"/>
  <c r="C30" i="112"/>
  <c r="C86" i="91" s="1"/>
  <c r="BM73" i="117"/>
  <c r="BL73"/>
  <c r="BK73"/>
  <c r="AT73"/>
  <c r="AS73"/>
  <c r="AU73" s="1"/>
  <c r="AR73"/>
  <c r="AA73"/>
  <c r="Z73"/>
  <c r="Y73"/>
  <c r="M73"/>
  <c r="L73"/>
  <c r="AE73" s="1"/>
  <c r="K73"/>
  <c r="BM72"/>
  <c r="BL72"/>
  <c r="BK72"/>
  <c r="AT72"/>
  <c r="AS72"/>
  <c r="AU72" s="1"/>
  <c r="AR72"/>
  <c r="AA72"/>
  <c r="Z72"/>
  <c r="Y72"/>
  <c r="M72"/>
  <c r="L72"/>
  <c r="AE72" s="1"/>
  <c r="K72"/>
  <c r="BL71"/>
  <c r="BJ71"/>
  <c r="BH71"/>
  <c r="BG71"/>
  <c r="BE71"/>
  <c r="BD71"/>
  <c r="BM71" s="1"/>
  <c r="BB71"/>
  <c r="BK71" s="1"/>
  <c r="AS71"/>
  <c r="AQ71"/>
  <c r="AO71"/>
  <c r="AN71"/>
  <c r="AL71"/>
  <c r="AK71"/>
  <c r="AT71" s="1"/>
  <c r="AI71"/>
  <c r="AR71" s="1"/>
  <c r="Z71"/>
  <c r="X71"/>
  <c r="V71"/>
  <c r="U71"/>
  <c r="S71"/>
  <c r="R71"/>
  <c r="AA71" s="1"/>
  <c r="P71"/>
  <c r="Y71" s="1"/>
  <c r="L71"/>
  <c r="J71"/>
  <c r="H71"/>
  <c r="G71"/>
  <c r="E71"/>
  <c r="D71"/>
  <c r="M71" s="1"/>
  <c r="B71"/>
  <c r="K71" s="1"/>
  <c r="BM68"/>
  <c r="BL68"/>
  <c r="BK68"/>
  <c r="AT68"/>
  <c r="AS68"/>
  <c r="AA68"/>
  <c r="Z68"/>
  <c r="AE68" s="1"/>
  <c r="M68"/>
  <c r="AF68" s="1"/>
  <c r="AY68" s="1"/>
  <c r="BR68" s="1"/>
  <c r="L68"/>
  <c r="BS66"/>
  <c r="BT66" s="1"/>
  <c r="BL66"/>
  <c r="BN66" s="1"/>
  <c r="BO66" s="1"/>
  <c r="BH66"/>
  <c r="BE66"/>
  <c r="BB66"/>
  <c r="AZ66"/>
  <c r="BA66" s="1"/>
  <c r="AS66"/>
  <c r="AU66" s="1"/>
  <c r="AV66" s="1"/>
  <c r="AO66"/>
  <c r="AL66"/>
  <c r="AI66"/>
  <c r="AG66"/>
  <c r="AH66" s="1"/>
  <c r="V66"/>
  <c r="S66"/>
  <c r="P66"/>
  <c r="L66"/>
  <c r="N66" s="1"/>
  <c r="O66" s="1"/>
  <c r="H66"/>
  <c r="E66"/>
  <c r="B66"/>
  <c r="BM58"/>
  <c r="BK58"/>
  <c r="AT58"/>
  <c r="AR58"/>
  <c r="AA58"/>
  <c r="Y58"/>
  <c r="M58"/>
  <c r="K58"/>
  <c r="BM57"/>
  <c r="BK57"/>
  <c r="AT57"/>
  <c r="AR57"/>
  <c r="AA57"/>
  <c r="Y57"/>
  <c r="M57"/>
  <c r="K57"/>
  <c r="BM56"/>
  <c r="BK56"/>
  <c r="AT56"/>
  <c r="AR56"/>
  <c r="AA56"/>
  <c r="Y56"/>
  <c r="M56"/>
  <c r="K56"/>
  <c r="BM55"/>
  <c r="BK55"/>
  <c r="AT55"/>
  <c r="AS55"/>
  <c r="AR55"/>
  <c r="AA55"/>
  <c r="Y55"/>
  <c r="M55"/>
  <c r="K55"/>
  <c r="AT54"/>
  <c r="AA54"/>
  <c r="M54"/>
  <c r="AT53"/>
  <c r="AA53"/>
  <c r="M53"/>
  <c r="AT52"/>
  <c r="AA52"/>
  <c r="M52"/>
  <c r="BM51"/>
  <c r="BL51"/>
  <c r="BK51"/>
  <c r="AT51"/>
  <c r="AR51"/>
  <c r="AA51"/>
  <c r="Y51"/>
  <c r="M51"/>
  <c r="K51"/>
  <c r="BM50"/>
  <c r="BL50"/>
  <c r="BK50"/>
  <c r="AT50"/>
  <c r="AR50"/>
  <c r="AA50"/>
  <c r="Y50"/>
  <c r="M50"/>
  <c r="K50"/>
  <c r="BJ49"/>
  <c r="BG49"/>
  <c r="BD49"/>
  <c r="AQ49"/>
  <c r="AN49"/>
  <c r="AK49"/>
  <c r="X49"/>
  <c r="U49"/>
  <c r="R49"/>
  <c r="AA49" s="1"/>
  <c r="Y49"/>
  <c r="J49"/>
  <c r="G49"/>
  <c r="D49"/>
  <c r="BM48"/>
  <c r="BK48"/>
  <c r="AT48"/>
  <c r="AS48"/>
  <c r="AR48"/>
  <c r="AA48"/>
  <c r="Y48"/>
  <c r="M48"/>
  <c r="L48"/>
  <c r="K48"/>
  <c r="BM47"/>
  <c r="BK47"/>
  <c r="AT47"/>
  <c r="AS47"/>
  <c r="AR47"/>
  <c r="AA47"/>
  <c r="Y47"/>
  <c r="M47"/>
  <c r="K47"/>
  <c r="BM46"/>
  <c r="BK46"/>
  <c r="AT46"/>
  <c r="AS46"/>
  <c r="AR46"/>
  <c r="AA46"/>
  <c r="Y46"/>
  <c r="M46"/>
  <c r="K46"/>
  <c r="BJ45"/>
  <c r="BG45"/>
  <c r="BD45"/>
  <c r="AQ45"/>
  <c r="AN45"/>
  <c r="AK45"/>
  <c r="X45"/>
  <c r="U45"/>
  <c r="R45"/>
  <c r="J45"/>
  <c r="G45"/>
  <c r="D45"/>
  <c r="BM44"/>
  <c r="AT44"/>
  <c r="AA44"/>
  <c r="M44"/>
  <c r="AF44" s="1"/>
  <c r="AY44" s="1"/>
  <c r="BM43"/>
  <c r="BK43"/>
  <c r="AT43"/>
  <c r="AR43"/>
  <c r="AA43"/>
  <c r="Y43"/>
  <c r="M43"/>
  <c r="K43"/>
  <c r="BM42"/>
  <c r="BK42"/>
  <c r="AT42"/>
  <c r="AS42"/>
  <c r="AR42"/>
  <c r="AA42"/>
  <c r="Y42"/>
  <c r="M42"/>
  <c r="BM41"/>
  <c r="BL41"/>
  <c r="BK41"/>
  <c r="AT41"/>
  <c r="AR41"/>
  <c r="AA41"/>
  <c r="Y41"/>
  <c r="M41"/>
  <c r="K41"/>
  <c r="BJ40"/>
  <c r="BH44"/>
  <c r="BG40"/>
  <c r="BD40"/>
  <c r="BB44"/>
  <c r="AQ40"/>
  <c r="AQ59" s="1"/>
  <c r="AQ63" s="1"/>
  <c r="AO44"/>
  <c r="AN40"/>
  <c r="AK40"/>
  <c r="AI44"/>
  <c r="U40"/>
  <c r="S44"/>
  <c r="R40"/>
  <c r="R59" s="1"/>
  <c r="R63" s="1"/>
  <c r="J40"/>
  <c r="J59" s="1"/>
  <c r="J63" s="1"/>
  <c r="G40"/>
  <c r="G59" s="1"/>
  <c r="G63" s="1"/>
  <c r="E44"/>
  <c r="D40"/>
  <c r="D59" s="1"/>
  <c r="D63" s="1"/>
  <c r="BJ39"/>
  <c r="BG39"/>
  <c r="BD39"/>
  <c r="AQ39"/>
  <c r="AN39"/>
  <c r="AK39"/>
  <c r="X39"/>
  <c r="U39"/>
  <c r="R39"/>
  <c r="J39"/>
  <c r="G39"/>
  <c r="D39"/>
  <c r="BM38"/>
  <c r="BK38"/>
  <c r="AT38"/>
  <c r="AR38"/>
  <c r="AA38"/>
  <c r="Y38"/>
  <c r="M38"/>
  <c r="K38"/>
  <c r="BM37"/>
  <c r="BK37"/>
  <c r="AT37"/>
  <c r="AR37"/>
  <c r="AA37"/>
  <c r="Y37"/>
  <c r="M37"/>
  <c r="K37"/>
  <c r="BM36"/>
  <c r="BK36"/>
  <c r="AT36"/>
  <c r="AR36"/>
  <c r="AA36"/>
  <c r="Y36"/>
  <c r="M36"/>
  <c r="K36"/>
  <c r="BM35"/>
  <c r="BK35"/>
  <c r="AT35"/>
  <c r="AR35"/>
  <c r="AA35"/>
  <c r="Y35"/>
  <c r="M35"/>
  <c r="K35"/>
  <c r="BM34"/>
  <c r="BK34"/>
  <c r="AT34"/>
  <c r="AR34"/>
  <c r="AA34"/>
  <c r="Y34"/>
  <c r="M34"/>
  <c r="K34"/>
  <c r="BM33"/>
  <c r="BK33"/>
  <c r="AT33"/>
  <c r="AR33"/>
  <c r="AA33"/>
  <c r="Y33"/>
  <c r="M33"/>
  <c r="K33"/>
  <c r="BM32"/>
  <c r="BH59"/>
  <c r="BH63" s="1"/>
  <c r="BH65" s="1"/>
  <c r="BH69" s="1"/>
  <c r="BE59"/>
  <c r="BE63" s="1"/>
  <c r="BB59"/>
  <c r="AT32"/>
  <c r="AO59"/>
  <c r="AO63" s="1"/>
  <c r="AO65" s="1"/>
  <c r="AO69" s="1"/>
  <c r="AL59"/>
  <c r="AL63" s="1"/>
  <c r="AI59"/>
  <c r="AA32"/>
  <c r="V59"/>
  <c r="V63" s="1"/>
  <c r="V65" s="1"/>
  <c r="V69" s="1"/>
  <c r="S59"/>
  <c r="S63" s="1"/>
  <c r="P59"/>
  <c r="M32"/>
  <c r="BM22"/>
  <c r="BL22"/>
  <c r="AT22"/>
  <c r="AS22"/>
  <c r="AA22"/>
  <c r="Z22"/>
  <c r="M22"/>
  <c r="AF22" s="1"/>
  <c r="AY22" s="1"/>
  <c r="BR22" s="1"/>
  <c r="L22"/>
  <c r="AE22" s="1"/>
  <c r="BJ21"/>
  <c r="BI21"/>
  <c r="BG21"/>
  <c r="BF21"/>
  <c r="BD21"/>
  <c r="BC21"/>
  <c r="AQ21"/>
  <c r="AQ64" s="1"/>
  <c r="AP21"/>
  <c r="AN21"/>
  <c r="AM21"/>
  <c r="AK21"/>
  <c r="AJ21"/>
  <c r="AS21" s="1"/>
  <c r="X21"/>
  <c r="W21"/>
  <c r="U21"/>
  <c r="T21"/>
  <c r="R21"/>
  <c r="R64" s="1"/>
  <c r="Q21"/>
  <c r="J21"/>
  <c r="J64" s="1"/>
  <c r="I21"/>
  <c r="G21"/>
  <c r="G64" s="1"/>
  <c r="F21"/>
  <c r="D21"/>
  <c r="D64" s="1"/>
  <c r="C21"/>
  <c r="BM20"/>
  <c r="BL20"/>
  <c r="AT20"/>
  <c r="AS20"/>
  <c r="AA20"/>
  <c r="Z20"/>
  <c r="M20"/>
  <c r="L20"/>
  <c r="AE20" s="1"/>
  <c r="BM19"/>
  <c r="BL19"/>
  <c r="AT19"/>
  <c r="AS19"/>
  <c r="AA19"/>
  <c r="Z19"/>
  <c r="M19"/>
  <c r="L19"/>
  <c r="BM18"/>
  <c r="BL18"/>
  <c r="AT18"/>
  <c r="AS18"/>
  <c r="AA18"/>
  <c r="Z18"/>
  <c r="M18"/>
  <c r="L18"/>
  <c r="AE18" s="1"/>
  <c r="BM17"/>
  <c r="BL17"/>
  <c r="AT17"/>
  <c r="AS17"/>
  <c r="AA17"/>
  <c r="Z17"/>
  <c r="M17"/>
  <c r="L17"/>
  <c r="AE17" s="1"/>
  <c r="AX17" s="1"/>
  <c r="BM12"/>
  <c r="BL12"/>
  <c r="BL27" s="1"/>
  <c r="BK12"/>
  <c r="AT12"/>
  <c r="AS12"/>
  <c r="AS27" s="1"/>
  <c r="AR12"/>
  <c r="AA12"/>
  <c r="Z12"/>
  <c r="Z27" s="1"/>
  <c r="Y12"/>
  <c r="M12"/>
  <c r="L12"/>
  <c r="K12"/>
  <c r="BM11"/>
  <c r="BL11"/>
  <c r="BL26" s="1"/>
  <c r="BK11"/>
  <c r="AT11"/>
  <c r="AS11"/>
  <c r="AS26" s="1"/>
  <c r="AR11"/>
  <c r="AA11"/>
  <c r="Z11"/>
  <c r="Z26" s="1"/>
  <c r="Y11"/>
  <c r="M11"/>
  <c r="L11"/>
  <c r="K11"/>
  <c r="BM10"/>
  <c r="BL10"/>
  <c r="BK10"/>
  <c r="AT10"/>
  <c r="AS10"/>
  <c r="AR10"/>
  <c r="AA10"/>
  <c r="Z10"/>
  <c r="Y10"/>
  <c r="M10"/>
  <c r="L10"/>
  <c r="K10"/>
  <c r="BJ9"/>
  <c r="BJ60" s="1"/>
  <c r="BI60"/>
  <c r="BH60"/>
  <c r="BG9"/>
  <c r="BG60" s="1"/>
  <c r="BF60"/>
  <c r="BE60"/>
  <c r="BD9"/>
  <c r="BC60"/>
  <c r="AQ9"/>
  <c r="AQ60" s="1"/>
  <c r="AP60"/>
  <c r="AO60"/>
  <c r="AN9"/>
  <c r="AN60" s="1"/>
  <c r="AM60"/>
  <c r="AL60"/>
  <c r="AK9"/>
  <c r="AK60" s="1"/>
  <c r="AI60"/>
  <c r="X9"/>
  <c r="X60" s="1"/>
  <c r="V60"/>
  <c r="U9"/>
  <c r="U60" s="1"/>
  <c r="S60"/>
  <c r="R9"/>
  <c r="J9"/>
  <c r="J60" s="1"/>
  <c r="H60"/>
  <c r="G9"/>
  <c r="G60" s="1"/>
  <c r="E60"/>
  <c r="D9"/>
  <c r="D60" s="1"/>
  <c r="B60"/>
  <c r="BM8"/>
  <c r="BL8"/>
  <c r="BK8"/>
  <c r="AT8"/>
  <c r="AS8"/>
  <c r="AR8"/>
  <c r="AA8"/>
  <c r="Z8"/>
  <c r="Y8"/>
  <c r="M8"/>
  <c r="K8"/>
  <c r="Z213" i="116"/>
  <c r="Y213"/>
  <c r="X213"/>
  <c r="R213"/>
  <c r="Q213"/>
  <c r="P213"/>
  <c r="J213"/>
  <c r="I213"/>
  <c r="H213"/>
  <c r="E213"/>
  <c r="D213"/>
  <c r="C213"/>
  <c r="Y212"/>
  <c r="X212"/>
  <c r="R212"/>
  <c r="Q212"/>
  <c r="P212"/>
  <c r="J212"/>
  <c r="H212"/>
  <c r="E212"/>
  <c r="D212"/>
  <c r="C212"/>
  <c r="Z211"/>
  <c r="Y211"/>
  <c r="X211"/>
  <c r="R211"/>
  <c r="P211"/>
  <c r="J211"/>
  <c r="I211"/>
  <c r="H211"/>
  <c r="E211"/>
  <c r="D211"/>
  <c r="C211"/>
  <c r="Z210"/>
  <c r="Y210"/>
  <c r="X210"/>
  <c r="R210"/>
  <c r="J210"/>
  <c r="I210"/>
  <c r="H210"/>
  <c r="E210"/>
  <c r="D210"/>
  <c r="C210"/>
  <c r="Z208"/>
  <c r="Y208"/>
  <c r="X208"/>
  <c r="R208"/>
  <c r="Q208"/>
  <c r="P208"/>
  <c r="J208"/>
  <c r="I208"/>
  <c r="H208"/>
  <c r="E208"/>
  <c r="D208"/>
  <c r="C208"/>
  <c r="Z207"/>
  <c r="Y207"/>
  <c r="X207"/>
  <c r="R207"/>
  <c r="Q207"/>
  <c r="P207"/>
  <c r="J207"/>
  <c r="I207"/>
  <c r="H207"/>
  <c r="E207"/>
  <c r="D207"/>
  <c r="C207"/>
  <c r="Z206"/>
  <c r="Y206"/>
  <c r="X206"/>
  <c r="R206"/>
  <c r="Q206"/>
  <c r="P206"/>
  <c r="J206"/>
  <c r="H206"/>
  <c r="E206"/>
  <c r="D206"/>
  <c r="C206"/>
  <c r="Z205"/>
  <c r="Y205"/>
  <c r="X205"/>
  <c r="R205"/>
  <c r="Q205"/>
  <c r="P205"/>
  <c r="J205"/>
  <c r="I205"/>
  <c r="H205"/>
  <c r="E205"/>
  <c r="D205"/>
  <c r="C205"/>
  <c r="Z203"/>
  <c r="Y203"/>
  <c r="X203"/>
  <c r="R203"/>
  <c r="Q203"/>
  <c r="P203"/>
  <c r="J203"/>
  <c r="I203"/>
  <c r="H203"/>
  <c r="E203"/>
  <c r="D203"/>
  <c r="C203"/>
  <c r="Z202"/>
  <c r="Y202"/>
  <c r="X202"/>
  <c r="R202"/>
  <c r="Q202"/>
  <c r="P202"/>
  <c r="J202"/>
  <c r="I202"/>
  <c r="H202"/>
  <c r="E202"/>
  <c r="D202"/>
  <c r="C202"/>
  <c r="Y201"/>
  <c r="X201"/>
  <c r="R201"/>
  <c r="Q201"/>
  <c r="P201"/>
  <c r="J201"/>
  <c r="I201"/>
  <c r="H201"/>
  <c r="E201"/>
  <c r="D201"/>
  <c r="C201"/>
  <c r="Z200"/>
  <c r="Y200"/>
  <c r="X200"/>
  <c r="R200"/>
  <c r="J200"/>
  <c r="I200"/>
  <c r="H200"/>
  <c r="E200"/>
  <c r="D200"/>
  <c r="Z199"/>
  <c r="Y199"/>
  <c r="X199"/>
  <c r="R199"/>
  <c r="Q199"/>
  <c r="P199"/>
  <c r="J199"/>
  <c r="I199"/>
  <c r="H199"/>
  <c r="E199"/>
  <c r="D199"/>
  <c r="C199"/>
  <c r="Z198"/>
  <c r="Y198"/>
  <c r="X198"/>
  <c r="R198"/>
  <c r="Q198"/>
  <c r="P198"/>
  <c r="J198"/>
  <c r="I198"/>
  <c r="H198"/>
  <c r="E198"/>
  <c r="D198"/>
  <c r="C198"/>
  <c r="Z197"/>
  <c r="Y197"/>
  <c r="X197"/>
  <c r="R197"/>
  <c r="Q197"/>
  <c r="P197"/>
  <c r="J197"/>
  <c r="I197"/>
  <c r="H197"/>
  <c r="E197"/>
  <c r="D197"/>
  <c r="C197"/>
  <c r="Y196"/>
  <c r="X196"/>
  <c r="R196"/>
  <c r="Q196"/>
  <c r="J196"/>
  <c r="I196"/>
  <c r="H196"/>
  <c r="E196"/>
  <c r="D196"/>
  <c r="Z195"/>
  <c r="Y195"/>
  <c r="X195"/>
  <c r="R195"/>
  <c r="Q195"/>
  <c r="P195"/>
  <c r="J195"/>
  <c r="I195"/>
  <c r="H195"/>
  <c r="E195"/>
  <c r="D195"/>
  <c r="C195"/>
  <c r="Z194"/>
  <c r="Y194"/>
  <c r="X194"/>
  <c r="R194"/>
  <c r="Q194"/>
  <c r="P194"/>
  <c r="J194"/>
  <c r="I194"/>
  <c r="H194"/>
  <c r="E194"/>
  <c r="D194"/>
  <c r="C194"/>
  <c r="Z193"/>
  <c r="Y193"/>
  <c r="X193"/>
  <c r="R193"/>
  <c r="Q193"/>
  <c r="P193"/>
  <c r="J193"/>
  <c r="I193"/>
  <c r="H193"/>
  <c r="E193"/>
  <c r="D193"/>
  <c r="C193"/>
  <c r="Z192"/>
  <c r="Y192"/>
  <c r="X192"/>
  <c r="R192"/>
  <c r="Q192"/>
  <c r="P192"/>
  <c r="J192"/>
  <c r="I192"/>
  <c r="H192"/>
  <c r="E192"/>
  <c r="D192"/>
  <c r="C192"/>
  <c r="Z191"/>
  <c r="Y191"/>
  <c r="X191"/>
  <c r="R191"/>
  <c r="Q191"/>
  <c r="P191"/>
  <c r="J191"/>
  <c r="I191"/>
  <c r="H191"/>
  <c r="E191"/>
  <c r="D191"/>
  <c r="C191"/>
  <c r="Z190"/>
  <c r="Y190"/>
  <c r="X190"/>
  <c r="R190"/>
  <c r="Q190"/>
  <c r="P190"/>
  <c r="J190"/>
  <c r="I190"/>
  <c r="H190"/>
  <c r="E190"/>
  <c r="D190"/>
  <c r="C190"/>
  <c r="Y189"/>
  <c r="X189"/>
  <c r="R189"/>
  <c r="Q189"/>
  <c r="P189"/>
  <c r="J189"/>
  <c r="I189"/>
  <c r="H189"/>
  <c r="E189"/>
  <c r="D189"/>
  <c r="C189"/>
  <c r="Y188"/>
  <c r="X188"/>
  <c r="R188"/>
  <c r="J188"/>
  <c r="H188"/>
  <c r="E188"/>
  <c r="D188"/>
  <c r="Z187"/>
  <c r="Y187"/>
  <c r="X187"/>
  <c r="R187"/>
  <c r="Q187"/>
  <c r="P187"/>
  <c r="J187"/>
  <c r="I187"/>
  <c r="H187"/>
  <c r="E187"/>
  <c r="D187"/>
  <c r="C187"/>
  <c r="Z186"/>
  <c r="Y186"/>
  <c r="X186"/>
  <c r="R186"/>
  <c r="Q186"/>
  <c r="P186"/>
  <c r="J186"/>
  <c r="I186"/>
  <c r="H186"/>
  <c r="E186"/>
  <c r="D186"/>
  <c r="C186"/>
  <c r="Z185"/>
  <c r="Y185"/>
  <c r="X185"/>
  <c r="R185"/>
  <c r="Q185"/>
  <c r="P185"/>
  <c r="J185"/>
  <c r="I185"/>
  <c r="H185"/>
  <c r="E185"/>
  <c r="D185"/>
  <c r="C185"/>
  <c r="Z175"/>
  <c r="Y175"/>
  <c r="X175"/>
  <c r="W175"/>
  <c r="R175"/>
  <c r="Q175"/>
  <c r="P175"/>
  <c r="O175"/>
  <c r="J175"/>
  <c r="I175"/>
  <c r="H175"/>
  <c r="G175"/>
  <c r="E175"/>
  <c r="D175"/>
  <c r="C175"/>
  <c r="B175"/>
  <c r="Z174"/>
  <c r="Y174"/>
  <c r="Y173" s="1"/>
  <c r="X174"/>
  <c r="X173" s="1"/>
  <c r="W174"/>
  <c r="W173" s="1"/>
  <c r="R174"/>
  <c r="Q174"/>
  <c r="Q173" s="1"/>
  <c r="P174"/>
  <c r="P173" s="1"/>
  <c r="O174"/>
  <c r="O173" s="1"/>
  <c r="J174"/>
  <c r="I174"/>
  <c r="I173" s="1"/>
  <c r="H174"/>
  <c r="H173" s="1"/>
  <c r="G174"/>
  <c r="G173" s="1"/>
  <c r="E174"/>
  <c r="E173" s="1"/>
  <c r="D174"/>
  <c r="C174"/>
  <c r="C173" s="1"/>
  <c r="B174"/>
  <c r="B173" s="1"/>
  <c r="Z173"/>
  <c r="R173"/>
  <c r="J173"/>
  <c r="D173"/>
  <c r="Z169"/>
  <c r="Y169"/>
  <c r="X169"/>
  <c r="R169"/>
  <c r="Q169"/>
  <c r="P169"/>
  <c r="J169"/>
  <c r="I169"/>
  <c r="H169"/>
  <c r="E169"/>
  <c r="D169"/>
  <c r="C169"/>
  <c r="Z168"/>
  <c r="Y168"/>
  <c r="X168"/>
  <c r="R168"/>
  <c r="Q168"/>
  <c r="P168"/>
  <c r="J168"/>
  <c r="I168"/>
  <c r="H168"/>
  <c r="E168"/>
  <c r="D168"/>
  <c r="C168"/>
  <c r="Z166"/>
  <c r="Y166"/>
  <c r="X166"/>
  <c r="R166"/>
  <c r="Q166"/>
  <c r="P166"/>
  <c r="J166"/>
  <c r="W55" i="117" s="1"/>
  <c r="I166" i="116"/>
  <c r="T55" i="117" s="1"/>
  <c r="H166" i="116"/>
  <c r="Q55" i="117" s="1"/>
  <c r="E166" i="116"/>
  <c r="I55" i="117" s="1"/>
  <c r="D166" i="116"/>
  <c r="F55" i="117" s="1"/>
  <c r="C166" i="116"/>
  <c r="C55" i="117" s="1"/>
  <c r="Z165" i="116"/>
  <c r="Y165"/>
  <c r="X165"/>
  <c r="R165"/>
  <c r="Q165"/>
  <c r="P165"/>
  <c r="J165"/>
  <c r="I165"/>
  <c r="H165"/>
  <c r="E165"/>
  <c r="D165"/>
  <c r="C165"/>
  <c r="C54" i="117" s="1"/>
  <c r="Z164" i="116"/>
  <c r="Y164"/>
  <c r="X164"/>
  <c r="R164"/>
  <c r="Q164"/>
  <c r="P164"/>
  <c r="J164"/>
  <c r="I164"/>
  <c r="T53" i="117" s="1"/>
  <c r="H164" i="116"/>
  <c r="Q53" i="117" s="1"/>
  <c r="E164" i="116"/>
  <c r="I53" i="117" s="1"/>
  <c r="D164" i="116"/>
  <c r="F53" i="117" s="1"/>
  <c r="C164" i="116"/>
  <c r="C53" i="117" s="1"/>
  <c r="Z163" i="116"/>
  <c r="Y163"/>
  <c r="X163"/>
  <c r="R163"/>
  <c r="Q163"/>
  <c r="P163"/>
  <c r="J163"/>
  <c r="W52" i="117" s="1"/>
  <c r="I163" i="116"/>
  <c r="T52" i="117" s="1"/>
  <c r="H163" i="116"/>
  <c r="Q52" i="117" s="1"/>
  <c r="E163" i="116"/>
  <c r="I52" i="117" s="1"/>
  <c r="D163" i="116"/>
  <c r="F52" i="117" s="1"/>
  <c r="C163" i="116"/>
  <c r="C52" i="117" s="1"/>
  <c r="Z162" i="116"/>
  <c r="Y162"/>
  <c r="X162"/>
  <c r="R162"/>
  <c r="Q162"/>
  <c r="P162"/>
  <c r="J162"/>
  <c r="W51" i="117" s="1"/>
  <c r="I162" i="116"/>
  <c r="T51" i="117" s="1"/>
  <c r="H162" i="116"/>
  <c r="Q51" i="117" s="1"/>
  <c r="E162" i="116"/>
  <c r="I51" i="117" s="1"/>
  <c r="D162" i="116"/>
  <c r="F51" i="117" s="1"/>
  <c r="C162" i="116"/>
  <c r="C51" i="117" s="1"/>
  <c r="Z161" i="116"/>
  <c r="Y161"/>
  <c r="X161"/>
  <c r="R161"/>
  <c r="Q161"/>
  <c r="P161"/>
  <c r="J161"/>
  <c r="W50" i="117" s="1"/>
  <c r="I161" i="116"/>
  <c r="T50" i="117" s="1"/>
  <c r="H161" i="116"/>
  <c r="Q50" i="117" s="1"/>
  <c r="E161" i="116"/>
  <c r="I50" i="117" s="1"/>
  <c r="D161" i="116"/>
  <c r="F50" i="117" s="1"/>
  <c r="C161" i="116"/>
  <c r="C50" i="117" s="1"/>
  <c r="Z159" i="116"/>
  <c r="Y159"/>
  <c r="X159"/>
  <c r="R159"/>
  <c r="Q159"/>
  <c r="P159"/>
  <c r="J159"/>
  <c r="I159"/>
  <c r="H159"/>
  <c r="E159"/>
  <c r="D159"/>
  <c r="C159"/>
  <c r="Z158"/>
  <c r="Y158"/>
  <c r="X158"/>
  <c r="R158"/>
  <c r="Q158"/>
  <c r="P158"/>
  <c r="J158"/>
  <c r="W47" i="117" s="1"/>
  <c r="I158" i="116"/>
  <c r="H158"/>
  <c r="E158"/>
  <c r="I47" i="117" s="1"/>
  <c r="L47" s="1"/>
  <c r="D158" i="116"/>
  <c r="C158"/>
  <c r="Z157"/>
  <c r="Y157"/>
  <c r="X157"/>
  <c r="R157"/>
  <c r="Q157"/>
  <c r="P157"/>
  <c r="J157"/>
  <c r="W46" i="117" s="1"/>
  <c r="I157" i="116"/>
  <c r="H157"/>
  <c r="E157"/>
  <c r="I46" i="117" s="1"/>
  <c r="L46" s="1"/>
  <c r="D157" i="116"/>
  <c r="C157"/>
  <c r="Z154"/>
  <c r="Y154"/>
  <c r="X154"/>
  <c r="R154"/>
  <c r="J154"/>
  <c r="W43" i="117" s="1"/>
  <c r="I154" i="116"/>
  <c r="T43" i="117" s="1"/>
  <c r="H154" i="116"/>
  <c r="Q43" i="117" s="1"/>
  <c r="E154" i="116"/>
  <c r="I43" i="117" s="1"/>
  <c r="D154" i="116"/>
  <c r="F43" i="117" s="1"/>
  <c r="Z153" i="116"/>
  <c r="Y153"/>
  <c r="X153"/>
  <c r="R153"/>
  <c r="Q153"/>
  <c r="P153"/>
  <c r="J153"/>
  <c r="W42" i="117" s="1"/>
  <c r="I153" i="116"/>
  <c r="T42" i="117" s="1"/>
  <c r="H153" i="116"/>
  <c r="Q42" i="117" s="1"/>
  <c r="E153" i="116"/>
  <c r="I42" i="117" s="1"/>
  <c r="D153" i="116"/>
  <c r="F42" i="117" s="1"/>
  <c r="C153" i="116"/>
  <c r="C42" i="117" s="1"/>
  <c r="Z152" i="116"/>
  <c r="Y152"/>
  <c r="X152"/>
  <c r="R152"/>
  <c r="Q152"/>
  <c r="P152"/>
  <c r="J152"/>
  <c r="W41" i="117" s="1"/>
  <c r="I152" i="116"/>
  <c r="T41" i="117" s="1"/>
  <c r="H152" i="116"/>
  <c r="Q41" i="117" s="1"/>
  <c r="E152" i="116"/>
  <c r="I41" i="117" s="1"/>
  <c r="D152" i="116"/>
  <c r="F41" i="117" s="1"/>
  <c r="C152" i="116"/>
  <c r="C41" i="117" s="1"/>
  <c r="Z149" i="116"/>
  <c r="Y149"/>
  <c r="X149"/>
  <c r="R149"/>
  <c r="Q149"/>
  <c r="P149"/>
  <c r="J149"/>
  <c r="W38" i="117" s="1"/>
  <c r="I149" i="116"/>
  <c r="T38" i="117" s="1"/>
  <c r="H149" i="116"/>
  <c r="Q38" i="117" s="1"/>
  <c r="E149" i="116"/>
  <c r="I38" i="117" s="1"/>
  <c r="D149" i="116"/>
  <c r="F38" i="117" s="1"/>
  <c r="C149" i="116"/>
  <c r="C38" i="117" s="1"/>
  <c r="Z148" i="116"/>
  <c r="Z150" s="1"/>
  <c r="Y148"/>
  <c r="X148"/>
  <c r="X150" s="1"/>
  <c r="Q148"/>
  <c r="P148"/>
  <c r="J148"/>
  <c r="W37" i="117" s="1"/>
  <c r="I148" i="116"/>
  <c r="T37" i="117" s="1"/>
  <c r="H148" i="116"/>
  <c r="Q37" i="117" s="1"/>
  <c r="E148" i="116"/>
  <c r="I37" i="117" s="1"/>
  <c r="D148" i="116"/>
  <c r="F37" i="117" s="1"/>
  <c r="C148" i="116"/>
  <c r="C37" i="117" s="1"/>
  <c r="Y147" i="116"/>
  <c r="X147"/>
  <c r="R147"/>
  <c r="J147"/>
  <c r="W36" i="117" s="1"/>
  <c r="H147" i="116"/>
  <c r="Q36" i="117" s="1"/>
  <c r="E147" i="116"/>
  <c r="I36" i="117" s="1"/>
  <c r="D147" i="116"/>
  <c r="F36" i="117" s="1"/>
  <c r="Z146" i="116"/>
  <c r="Y146"/>
  <c r="X146"/>
  <c r="R146"/>
  <c r="Q146"/>
  <c r="P146"/>
  <c r="J146"/>
  <c r="H146"/>
  <c r="E146"/>
  <c r="D146"/>
  <c r="C146"/>
  <c r="Z145"/>
  <c r="Y145"/>
  <c r="X145"/>
  <c r="R145"/>
  <c r="Q145"/>
  <c r="P145"/>
  <c r="J145"/>
  <c r="I145"/>
  <c r="T34" i="117" s="1"/>
  <c r="H145" i="116"/>
  <c r="E145"/>
  <c r="D145"/>
  <c r="C145"/>
  <c r="Z144"/>
  <c r="Y144"/>
  <c r="X144"/>
  <c r="R144"/>
  <c r="J144"/>
  <c r="W33" i="117" s="1"/>
  <c r="H144" i="116"/>
  <c r="Q33" i="117" s="1"/>
  <c r="E144" i="116"/>
  <c r="I33" i="117" s="1"/>
  <c r="D144" i="116"/>
  <c r="F33" i="117" s="1"/>
  <c r="Z143" i="116"/>
  <c r="Y143"/>
  <c r="X143"/>
  <c r="R143"/>
  <c r="Q143"/>
  <c r="P143"/>
  <c r="J143"/>
  <c r="W32" i="117" s="1"/>
  <c r="I143" i="116"/>
  <c r="T32" i="117" s="1"/>
  <c r="H143" i="116"/>
  <c r="Q32" i="117" s="1"/>
  <c r="E143" i="116"/>
  <c r="I32" i="117" s="1"/>
  <c r="D143" i="116"/>
  <c r="F32" i="117" s="1"/>
  <c r="C143" i="116"/>
  <c r="C32" i="117" s="1"/>
  <c r="Z139" i="116"/>
  <c r="Y139"/>
  <c r="X139"/>
  <c r="R139"/>
  <c r="Q139"/>
  <c r="P139"/>
  <c r="J139"/>
  <c r="I139"/>
  <c r="H139"/>
  <c r="E139"/>
  <c r="D139"/>
  <c r="C139"/>
  <c r="Z138"/>
  <c r="Y138"/>
  <c r="X138"/>
  <c r="R138"/>
  <c r="Q138"/>
  <c r="P138"/>
  <c r="J138"/>
  <c r="I138"/>
  <c r="H138"/>
  <c r="E138"/>
  <c r="D138"/>
  <c r="C138"/>
  <c r="Z137"/>
  <c r="Y137"/>
  <c r="X137"/>
  <c r="R137"/>
  <c r="Q137"/>
  <c r="P137"/>
  <c r="J137"/>
  <c r="I137"/>
  <c r="H137"/>
  <c r="E137"/>
  <c r="D137"/>
  <c r="C137"/>
  <c r="AA124"/>
  <c r="AA175" s="1"/>
  <c r="S124"/>
  <c r="S175" s="1"/>
  <c r="L124"/>
  <c r="L175" s="1"/>
  <c r="K124"/>
  <c r="K175" s="1"/>
  <c r="F124"/>
  <c r="F175" s="1"/>
  <c r="AA123"/>
  <c r="AA174" s="1"/>
  <c r="S123"/>
  <c r="S174" s="1"/>
  <c r="L123"/>
  <c r="L174" s="1"/>
  <c r="K123"/>
  <c r="K174" s="1"/>
  <c r="F123"/>
  <c r="F174" s="1"/>
  <c r="Z122"/>
  <c r="Y122"/>
  <c r="X122"/>
  <c r="W122"/>
  <c r="R122"/>
  <c r="Q122"/>
  <c r="P122"/>
  <c r="O122"/>
  <c r="J122"/>
  <c r="I122"/>
  <c r="H122"/>
  <c r="G122"/>
  <c r="E122"/>
  <c r="D122"/>
  <c r="C122"/>
  <c r="B122"/>
  <c r="AA118"/>
  <c r="AA169" s="1"/>
  <c r="S118"/>
  <c r="S169" s="1"/>
  <c r="K118"/>
  <c r="K169" s="1"/>
  <c r="F118"/>
  <c r="F169" s="1"/>
  <c r="AA168"/>
  <c r="S168"/>
  <c r="K168"/>
  <c r="F168"/>
  <c r="AA116"/>
  <c r="AA167" s="1"/>
  <c r="Z116"/>
  <c r="Z167" s="1"/>
  <c r="Y116"/>
  <c r="Y167" s="1"/>
  <c r="X116"/>
  <c r="X167" s="1"/>
  <c r="W167"/>
  <c r="S116"/>
  <c r="S167" s="1"/>
  <c r="R116"/>
  <c r="R167" s="1"/>
  <c r="Q116"/>
  <c r="Q167" s="1"/>
  <c r="P116"/>
  <c r="P167" s="1"/>
  <c r="O167"/>
  <c r="K116"/>
  <c r="K167" s="1"/>
  <c r="J116"/>
  <c r="J167" s="1"/>
  <c r="I116"/>
  <c r="I167" s="1"/>
  <c r="H116"/>
  <c r="H167" s="1"/>
  <c r="G167"/>
  <c r="F116"/>
  <c r="F167" s="1"/>
  <c r="E116"/>
  <c r="E167" s="1"/>
  <c r="D116"/>
  <c r="D167" s="1"/>
  <c r="C116"/>
  <c r="C167" s="1"/>
  <c r="B167"/>
  <c r="AA115"/>
  <c r="AA166" s="1"/>
  <c r="W166"/>
  <c r="S115"/>
  <c r="S166" s="1"/>
  <c r="O166"/>
  <c r="K115"/>
  <c r="K166" s="1"/>
  <c r="G166"/>
  <c r="F115"/>
  <c r="F166" s="1"/>
  <c r="B166"/>
  <c r="AA114"/>
  <c r="AA165" s="1"/>
  <c r="S114"/>
  <c r="S165" s="1"/>
  <c r="K114"/>
  <c r="K165" s="1"/>
  <c r="F114"/>
  <c r="F165" s="1"/>
  <c r="AA113"/>
  <c r="AA164" s="1"/>
  <c r="S113"/>
  <c r="S164" s="1"/>
  <c r="K113"/>
  <c r="K164" s="1"/>
  <c r="F113"/>
  <c r="AA112"/>
  <c r="AA163" s="1"/>
  <c r="S112"/>
  <c r="S163" s="1"/>
  <c r="K112"/>
  <c r="K163" s="1"/>
  <c r="F112"/>
  <c r="F163" s="1"/>
  <c r="AA111"/>
  <c r="AA162" s="1"/>
  <c r="S111"/>
  <c r="S162" s="1"/>
  <c r="O162"/>
  <c r="K111"/>
  <c r="K162" s="1"/>
  <c r="F111"/>
  <c r="F162" s="1"/>
  <c r="B162"/>
  <c r="AA110"/>
  <c r="AA161" s="1"/>
  <c r="W161"/>
  <c r="S110"/>
  <c r="S161" s="1"/>
  <c r="O161"/>
  <c r="K110"/>
  <c r="K161" s="1"/>
  <c r="G161"/>
  <c r="F110"/>
  <c r="F161" s="1"/>
  <c r="B161"/>
  <c r="Z109"/>
  <c r="Z160" s="1"/>
  <c r="Y109"/>
  <c r="Y160" s="1"/>
  <c r="X109"/>
  <c r="X160" s="1"/>
  <c r="W160"/>
  <c r="R109"/>
  <c r="R160" s="1"/>
  <c r="Q109"/>
  <c r="Q160" s="1"/>
  <c r="P109"/>
  <c r="P160" s="1"/>
  <c r="O160"/>
  <c r="J160"/>
  <c r="W49" i="117" s="1"/>
  <c r="I109" i="116"/>
  <c r="I160" s="1"/>
  <c r="T49" i="117" s="1"/>
  <c r="H109" i="116"/>
  <c r="H160" s="1"/>
  <c r="Q49" i="117" s="1"/>
  <c r="G160" i="116"/>
  <c r="E109"/>
  <c r="E160" s="1"/>
  <c r="I49" i="117" s="1"/>
  <c r="D109" i="116"/>
  <c r="D160" s="1"/>
  <c r="F49" i="117" s="1"/>
  <c r="C109" i="116"/>
  <c r="C160" s="1"/>
  <c r="C49" i="117" s="1"/>
  <c r="AA108" i="116"/>
  <c r="AA159" s="1"/>
  <c r="W159"/>
  <c r="S108"/>
  <c r="S159" s="1"/>
  <c r="O159"/>
  <c r="K108"/>
  <c r="K159" s="1"/>
  <c r="G159"/>
  <c r="F108"/>
  <c r="F159" s="1"/>
  <c r="B159"/>
  <c r="AA107"/>
  <c r="AA158" s="1"/>
  <c r="W158"/>
  <c r="S107"/>
  <c r="S158" s="1"/>
  <c r="O158"/>
  <c r="K107"/>
  <c r="K158" s="1"/>
  <c r="G158"/>
  <c r="F107"/>
  <c r="F158" s="1"/>
  <c r="B158"/>
  <c r="AA106"/>
  <c r="AA157" s="1"/>
  <c r="W157"/>
  <c r="S106"/>
  <c r="S157" s="1"/>
  <c r="O157"/>
  <c r="K106"/>
  <c r="K157" s="1"/>
  <c r="G157"/>
  <c r="F106"/>
  <c r="F157" s="1"/>
  <c r="B157"/>
  <c r="Z105"/>
  <c r="Z156" s="1"/>
  <c r="Y105"/>
  <c r="Y156" s="1"/>
  <c r="X105"/>
  <c r="X156" s="1"/>
  <c r="W156"/>
  <c r="R105"/>
  <c r="R156" s="1"/>
  <c r="Q105"/>
  <c r="Q156" s="1"/>
  <c r="P105"/>
  <c r="P156" s="1"/>
  <c r="O156"/>
  <c r="J105"/>
  <c r="J156" s="1"/>
  <c r="W45" i="117" s="1"/>
  <c r="I105" i="116"/>
  <c r="I156" s="1"/>
  <c r="H105"/>
  <c r="H156" s="1"/>
  <c r="G156"/>
  <c r="F105"/>
  <c r="F156" s="1"/>
  <c r="E105"/>
  <c r="E156" s="1"/>
  <c r="I45" i="117" s="1"/>
  <c r="D105" i="116"/>
  <c r="D156" s="1"/>
  <c r="C105"/>
  <c r="C156" s="1"/>
  <c r="B156"/>
  <c r="AA104"/>
  <c r="S104"/>
  <c r="K104"/>
  <c r="F104"/>
  <c r="AA103"/>
  <c r="S103"/>
  <c r="K103"/>
  <c r="F103"/>
  <c r="Z102"/>
  <c r="Y102"/>
  <c r="X102"/>
  <c r="X95" s="1"/>
  <c r="X88" s="1"/>
  <c r="R102"/>
  <c r="Q102"/>
  <c r="P102"/>
  <c r="J102"/>
  <c r="I102"/>
  <c r="H102"/>
  <c r="F102"/>
  <c r="E102"/>
  <c r="D102"/>
  <c r="C102"/>
  <c r="AA101"/>
  <c r="S101"/>
  <c r="K101"/>
  <c r="F101"/>
  <c r="F100" s="1"/>
  <c r="Z100"/>
  <c r="Y100"/>
  <c r="Y95" s="1"/>
  <c r="Y88" s="1"/>
  <c r="X100"/>
  <c r="S100"/>
  <c r="R100"/>
  <c r="Q100"/>
  <c r="Q95" s="1"/>
  <c r="Q88" s="1"/>
  <c r="P100"/>
  <c r="J100"/>
  <c r="I100"/>
  <c r="H100"/>
  <c r="H95" s="1"/>
  <c r="H88" s="1"/>
  <c r="E100"/>
  <c r="D100"/>
  <c r="D95" s="1"/>
  <c r="D88" s="1"/>
  <c r="C100"/>
  <c r="AA99"/>
  <c r="S99"/>
  <c r="K99"/>
  <c r="F99"/>
  <c r="AA98"/>
  <c r="S98"/>
  <c r="K98"/>
  <c r="F98"/>
  <c r="AA97"/>
  <c r="S97"/>
  <c r="K97"/>
  <c r="F97"/>
  <c r="AA96"/>
  <c r="S96"/>
  <c r="K96"/>
  <c r="F96"/>
  <c r="Z95"/>
  <c r="R95"/>
  <c r="R88" s="1"/>
  <c r="P95"/>
  <c r="P88" s="1"/>
  <c r="E95"/>
  <c r="C95"/>
  <c r="Z94"/>
  <c r="Y94"/>
  <c r="X94"/>
  <c r="R94"/>
  <c r="Q94"/>
  <c r="P94"/>
  <c r="J94"/>
  <c r="I94"/>
  <c r="H94"/>
  <c r="E94"/>
  <c r="D94"/>
  <c r="C94"/>
  <c r="AA93"/>
  <c r="S93"/>
  <c r="K93"/>
  <c r="F93"/>
  <c r="AA92"/>
  <c r="S92"/>
  <c r="S94" s="1"/>
  <c r="K92"/>
  <c r="F92"/>
  <c r="AA91"/>
  <c r="S91"/>
  <c r="K91"/>
  <c r="F91"/>
  <c r="AA90"/>
  <c r="S90"/>
  <c r="K90"/>
  <c r="F90"/>
  <c r="AA89"/>
  <c r="S89"/>
  <c r="K89"/>
  <c r="F89"/>
  <c r="E88"/>
  <c r="C88"/>
  <c r="AA87"/>
  <c r="S87"/>
  <c r="S86" s="1"/>
  <c r="K87"/>
  <c r="F87"/>
  <c r="F86" s="1"/>
  <c r="AA86"/>
  <c r="Z86"/>
  <c r="Y86"/>
  <c r="X86"/>
  <c r="R86"/>
  <c r="Q86"/>
  <c r="P86"/>
  <c r="K86"/>
  <c r="J86"/>
  <c r="I86"/>
  <c r="H86"/>
  <c r="E86"/>
  <c r="D86"/>
  <c r="C86"/>
  <c r="AA85"/>
  <c r="S85"/>
  <c r="S84" s="1"/>
  <c r="K85"/>
  <c r="K84" s="1"/>
  <c r="F85"/>
  <c r="AA84"/>
  <c r="Z84"/>
  <c r="Y84"/>
  <c r="X84"/>
  <c r="X75" s="1"/>
  <c r="X69" s="1"/>
  <c r="R84"/>
  <c r="Q84"/>
  <c r="P84"/>
  <c r="J84"/>
  <c r="I84"/>
  <c r="H84"/>
  <c r="F84"/>
  <c r="E84"/>
  <c r="D84"/>
  <c r="C84"/>
  <c r="AA83"/>
  <c r="S83"/>
  <c r="K83"/>
  <c r="F83"/>
  <c r="AA82"/>
  <c r="AA202" s="1"/>
  <c r="W202"/>
  <c r="S82"/>
  <c r="S202" s="1"/>
  <c r="O202"/>
  <c r="K82"/>
  <c r="K202" s="1"/>
  <c r="G202"/>
  <c r="F82"/>
  <c r="F202" s="1"/>
  <c r="B202"/>
  <c r="Z75"/>
  <c r="Z69" s="1"/>
  <c r="W201"/>
  <c r="S81"/>
  <c r="S201" s="1"/>
  <c r="O201"/>
  <c r="K81"/>
  <c r="K201" s="1"/>
  <c r="G201"/>
  <c r="F81"/>
  <c r="F201" s="1"/>
  <c r="B201"/>
  <c r="AA80"/>
  <c r="S80"/>
  <c r="K80"/>
  <c r="F80"/>
  <c r="AA79"/>
  <c r="P75"/>
  <c r="K79"/>
  <c r="F79"/>
  <c r="AA78"/>
  <c r="S78"/>
  <c r="K78"/>
  <c r="F78"/>
  <c r="AA77"/>
  <c r="S77"/>
  <c r="K77"/>
  <c r="F77"/>
  <c r="AA76"/>
  <c r="S76"/>
  <c r="K76"/>
  <c r="F76"/>
  <c r="Y75"/>
  <c r="Y69" s="1"/>
  <c r="R75"/>
  <c r="Q75"/>
  <c r="I75"/>
  <c r="I69" s="1"/>
  <c r="H75"/>
  <c r="E75"/>
  <c r="E69" s="1"/>
  <c r="D75"/>
  <c r="D69" s="1"/>
  <c r="C75"/>
  <c r="AA74"/>
  <c r="S74"/>
  <c r="K74"/>
  <c r="F74"/>
  <c r="Z73"/>
  <c r="Y73"/>
  <c r="X73"/>
  <c r="R73"/>
  <c r="Q73"/>
  <c r="P73"/>
  <c r="J73"/>
  <c r="I73"/>
  <c r="H73"/>
  <c r="E73"/>
  <c r="D73"/>
  <c r="C73"/>
  <c r="AA72"/>
  <c r="S72"/>
  <c r="K72"/>
  <c r="F72"/>
  <c r="AA71"/>
  <c r="S71"/>
  <c r="S73" s="1"/>
  <c r="K71"/>
  <c r="F71"/>
  <c r="Z147"/>
  <c r="P147"/>
  <c r="K70"/>
  <c r="F70"/>
  <c r="R69"/>
  <c r="H69"/>
  <c r="L69"/>
  <c r="AA68"/>
  <c r="AA213" s="1"/>
  <c r="S68"/>
  <c r="S213" s="1"/>
  <c r="O213"/>
  <c r="K68"/>
  <c r="K213" s="1"/>
  <c r="F68"/>
  <c r="F213" s="1"/>
  <c r="Z212"/>
  <c r="W212"/>
  <c r="S67"/>
  <c r="S212" s="1"/>
  <c r="O212"/>
  <c r="I212"/>
  <c r="G212"/>
  <c r="F67"/>
  <c r="F212" s="1"/>
  <c r="B212"/>
  <c r="AA66"/>
  <c r="AA211" s="1"/>
  <c r="W211"/>
  <c r="Q211"/>
  <c r="O211"/>
  <c r="K66"/>
  <c r="K211" s="1"/>
  <c r="G211"/>
  <c r="F66"/>
  <c r="F211" s="1"/>
  <c r="B211"/>
  <c r="AA65"/>
  <c r="P210"/>
  <c r="K65"/>
  <c r="F65"/>
  <c r="Y64"/>
  <c r="X64"/>
  <c r="R64"/>
  <c r="I64"/>
  <c r="H64"/>
  <c r="E64"/>
  <c r="D64"/>
  <c r="C64"/>
  <c r="AA63"/>
  <c r="S63"/>
  <c r="K63"/>
  <c r="F63"/>
  <c r="AA62"/>
  <c r="AA207" s="1"/>
  <c r="W207"/>
  <c r="S62"/>
  <c r="S207" s="1"/>
  <c r="O207"/>
  <c r="K62"/>
  <c r="K207" s="1"/>
  <c r="G207"/>
  <c r="F62"/>
  <c r="F207" s="1"/>
  <c r="B207"/>
  <c r="AA61"/>
  <c r="S61"/>
  <c r="I206"/>
  <c r="F61"/>
  <c r="AA60"/>
  <c r="AA205" s="1"/>
  <c r="W205"/>
  <c r="S60"/>
  <c r="S205" s="1"/>
  <c r="O205"/>
  <c r="K60"/>
  <c r="K205" s="1"/>
  <c r="G205"/>
  <c r="F60"/>
  <c r="F205" s="1"/>
  <c r="B205"/>
  <c r="AA59"/>
  <c r="Z59"/>
  <c r="Y59"/>
  <c r="X59"/>
  <c r="R59"/>
  <c r="Q59"/>
  <c r="P59"/>
  <c r="I59"/>
  <c r="H59"/>
  <c r="E59"/>
  <c r="D59"/>
  <c r="D43" s="1"/>
  <c r="D34" s="1"/>
  <c r="C59"/>
  <c r="AA58"/>
  <c r="AA199" s="1"/>
  <c r="W199"/>
  <c r="S58"/>
  <c r="S199" s="1"/>
  <c r="O199"/>
  <c r="K58"/>
  <c r="K199" s="1"/>
  <c r="G199"/>
  <c r="F58"/>
  <c r="F199" s="1"/>
  <c r="B199"/>
  <c r="AA57"/>
  <c r="AA198" s="1"/>
  <c r="W198"/>
  <c r="S57"/>
  <c r="S198" s="1"/>
  <c r="O198"/>
  <c r="K57"/>
  <c r="K198" s="1"/>
  <c r="G198"/>
  <c r="F57"/>
  <c r="F198" s="1"/>
  <c r="B198"/>
  <c r="AA56"/>
  <c r="AA197" s="1"/>
  <c r="W197"/>
  <c r="S56"/>
  <c r="S197" s="1"/>
  <c r="O197"/>
  <c r="K56"/>
  <c r="K197" s="1"/>
  <c r="G197"/>
  <c r="F56"/>
  <c r="F197" s="1"/>
  <c r="B197"/>
  <c r="Z196"/>
  <c r="W196"/>
  <c r="P196"/>
  <c r="O196"/>
  <c r="K55"/>
  <c r="K196" s="1"/>
  <c r="G196"/>
  <c r="C196"/>
  <c r="B196"/>
  <c r="AA54"/>
  <c r="AA195" s="1"/>
  <c r="W195"/>
  <c r="S54"/>
  <c r="S195" s="1"/>
  <c r="O195"/>
  <c r="K54"/>
  <c r="K195" s="1"/>
  <c r="G195"/>
  <c r="F54"/>
  <c r="F195" s="1"/>
  <c r="B195"/>
  <c r="AA53"/>
  <c r="AA194" s="1"/>
  <c r="W194"/>
  <c r="S53"/>
  <c r="S194" s="1"/>
  <c r="O194"/>
  <c r="K53"/>
  <c r="K194" s="1"/>
  <c r="G194"/>
  <c r="F53"/>
  <c r="F194" s="1"/>
  <c r="B194"/>
  <c r="AA52"/>
  <c r="AA193" s="1"/>
  <c r="W193"/>
  <c r="S52"/>
  <c r="S193" s="1"/>
  <c r="O193"/>
  <c r="K52"/>
  <c r="K193" s="1"/>
  <c r="G193"/>
  <c r="F52"/>
  <c r="F193" s="1"/>
  <c r="B193"/>
  <c r="AA51"/>
  <c r="AA192" s="1"/>
  <c r="W192"/>
  <c r="S51"/>
  <c r="S192" s="1"/>
  <c r="O192"/>
  <c r="K51"/>
  <c r="K192" s="1"/>
  <c r="G192"/>
  <c r="F51"/>
  <c r="F192" s="1"/>
  <c r="B192"/>
  <c r="AA50"/>
  <c r="AA191" s="1"/>
  <c r="W191"/>
  <c r="S50"/>
  <c r="S191" s="1"/>
  <c r="O191"/>
  <c r="K50"/>
  <c r="K191" s="1"/>
  <c r="G191"/>
  <c r="F50"/>
  <c r="F191" s="1"/>
  <c r="B191"/>
  <c r="Z188"/>
  <c r="Q188"/>
  <c r="P188"/>
  <c r="I188"/>
  <c r="C188"/>
  <c r="AA48"/>
  <c r="AA190" s="1"/>
  <c r="W190"/>
  <c r="S48"/>
  <c r="S190" s="1"/>
  <c r="O190"/>
  <c r="K48"/>
  <c r="K190" s="1"/>
  <c r="G190"/>
  <c r="F48"/>
  <c r="F190" s="1"/>
  <c r="B190"/>
  <c r="Z189"/>
  <c r="W189"/>
  <c r="S47"/>
  <c r="S189" s="1"/>
  <c r="O189"/>
  <c r="K47"/>
  <c r="K189" s="1"/>
  <c r="G189"/>
  <c r="F47"/>
  <c r="F189" s="1"/>
  <c r="B189"/>
  <c r="AA46"/>
  <c r="S46"/>
  <c r="K46"/>
  <c r="F46"/>
  <c r="AA45"/>
  <c r="S45"/>
  <c r="K45"/>
  <c r="F45"/>
  <c r="AA44"/>
  <c r="S44"/>
  <c r="K44"/>
  <c r="F44"/>
  <c r="X43"/>
  <c r="X34" s="1"/>
  <c r="R43"/>
  <c r="H43"/>
  <c r="H34" s="1"/>
  <c r="L43"/>
  <c r="Z42"/>
  <c r="Y42"/>
  <c r="X42"/>
  <c r="Q42"/>
  <c r="P42"/>
  <c r="J42"/>
  <c r="I42"/>
  <c r="H42"/>
  <c r="E42"/>
  <c r="D42"/>
  <c r="C42"/>
  <c r="A42"/>
  <c r="A73" s="1"/>
  <c r="A94" s="1"/>
  <c r="AA41"/>
  <c r="S41"/>
  <c r="K41"/>
  <c r="F41"/>
  <c r="AA40"/>
  <c r="R148"/>
  <c r="R150" s="1"/>
  <c r="K40"/>
  <c r="F40"/>
  <c r="AA39"/>
  <c r="S39"/>
  <c r="K39"/>
  <c r="F39"/>
  <c r="AA38"/>
  <c r="S38"/>
  <c r="K38"/>
  <c r="F38"/>
  <c r="AA37"/>
  <c r="Q144"/>
  <c r="P144"/>
  <c r="I144"/>
  <c r="T33" i="117" s="1"/>
  <c r="C144" i="116"/>
  <c r="C33" i="117" s="1"/>
  <c r="AA36" i="116"/>
  <c r="AA146" s="1"/>
  <c r="W146"/>
  <c r="S36"/>
  <c r="S146" s="1"/>
  <c r="O146"/>
  <c r="I146"/>
  <c r="T35" i="117" s="1"/>
  <c r="G146" i="116"/>
  <c r="F36"/>
  <c r="F146" s="1"/>
  <c r="B146"/>
  <c r="AA35"/>
  <c r="S35"/>
  <c r="K35"/>
  <c r="F35"/>
  <c r="AA33"/>
  <c r="AA210" s="1"/>
  <c r="W210"/>
  <c r="S33"/>
  <c r="S32" s="1"/>
  <c r="Q210"/>
  <c r="O210"/>
  <c r="K33"/>
  <c r="K210" s="1"/>
  <c r="G210"/>
  <c r="F33"/>
  <c r="F210" s="1"/>
  <c r="B210"/>
  <c r="Z32"/>
  <c r="Y32"/>
  <c r="Y209" s="1"/>
  <c r="X32"/>
  <c r="X209" s="1"/>
  <c r="W209"/>
  <c r="R32"/>
  <c r="R209" s="1"/>
  <c r="Q32"/>
  <c r="P32"/>
  <c r="O209"/>
  <c r="J32"/>
  <c r="J209" s="1"/>
  <c r="I32"/>
  <c r="I209" s="1"/>
  <c r="H32"/>
  <c r="H209" s="1"/>
  <c r="G209"/>
  <c r="F32"/>
  <c r="E32"/>
  <c r="E209" s="1"/>
  <c r="D32"/>
  <c r="D209" s="1"/>
  <c r="C32"/>
  <c r="C209" s="1"/>
  <c r="B209"/>
  <c r="AA31"/>
  <c r="AA208" s="1"/>
  <c r="W208"/>
  <c r="S31"/>
  <c r="S208" s="1"/>
  <c r="O208"/>
  <c r="K31"/>
  <c r="K208" s="1"/>
  <c r="G208"/>
  <c r="F31"/>
  <c r="F208" s="1"/>
  <c r="B208"/>
  <c r="AA30"/>
  <c r="AA206" s="1"/>
  <c r="W206"/>
  <c r="S30"/>
  <c r="S206" s="1"/>
  <c r="O206"/>
  <c r="K30"/>
  <c r="K29" s="1"/>
  <c r="G206"/>
  <c r="F30"/>
  <c r="F206" s="1"/>
  <c r="B206"/>
  <c r="AA29"/>
  <c r="Z29"/>
  <c r="Z204" s="1"/>
  <c r="Y29"/>
  <c r="Y204" s="1"/>
  <c r="X29"/>
  <c r="X204" s="1"/>
  <c r="W204"/>
  <c r="R29"/>
  <c r="R204" s="1"/>
  <c r="Q29"/>
  <c r="Q204" s="1"/>
  <c r="P29"/>
  <c r="P204" s="1"/>
  <c r="O204"/>
  <c r="J29"/>
  <c r="J204" s="1"/>
  <c r="I204"/>
  <c r="H29"/>
  <c r="H204" s="1"/>
  <c r="G204"/>
  <c r="E29"/>
  <c r="E204" s="1"/>
  <c r="D29"/>
  <c r="D204" s="1"/>
  <c r="C29"/>
  <c r="C204" s="1"/>
  <c r="B204"/>
  <c r="AA28"/>
  <c r="AA203" s="1"/>
  <c r="W203"/>
  <c r="S28"/>
  <c r="S203" s="1"/>
  <c r="O203"/>
  <c r="K28"/>
  <c r="K203" s="1"/>
  <c r="G203"/>
  <c r="F28"/>
  <c r="F203" s="1"/>
  <c r="B203"/>
  <c r="AA27"/>
  <c r="W188"/>
  <c r="S27"/>
  <c r="O188"/>
  <c r="K27"/>
  <c r="G188"/>
  <c r="F27"/>
  <c r="B188"/>
  <c r="AA26"/>
  <c r="AA187" s="1"/>
  <c r="S26"/>
  <c r="S187" s="1"/>
  <c r="K26"/>
  <c r="K187" s="1"/>
  <c r="G187"/>
  <c r="F26"/>
  <c r="B187"/>
  <c r="AA25"/>
  <c r="S25"/>
  <c r="K25"/>
  <c r="F25"/>
  <c r="AA24"/>
  <c r="S24"/>
  <c r="K24"/>
  <c r="F24"/>
  <c r="W151"/>
  <c r="O151"/>
  <c r="G151"/>
  <c r="B151"/>
  <c r="Z22"/>
  <c r="Y22"/>
  <c r="X22"/>
  <c r="R22"/>
  <c r="Q22"/>
  <c r="P22"/>
  <c r="J22"/>
  <c r="I22"/>
  <c r="H22"/>
  <c r="E22"/>
  <c r="D22"/>
  <c r="C22"/>
  <c r="AA21"/>
  <c r="AA149" s="1"/>
  <c r="W149"/>
  <c r="S21"/>
  <c r="S149" s="1"/>
  <c r="O149"/>
  <c r="K21"/>
  <c r="G149"/>
  <c r="F21"/>
  <c r="F149" s="1"/>
  <c r="B149"/>
  <c r="AA20"/>
  <c r="AA148" s="1"/>
  <c r="W148"/>
  <c r="S20"/>
  <c r="O148"/>
  <c r="K20"/>
  <c r="K148" s="1"/>
  <c r="G148"/>
  <c r="F20"/>
  <c r="B148"/>
  <c r="AA19"/>
  <c r="W147"/>
  <c r="Q147"/>
  <c r="O147"/>
  <c r="I147"/>
  <c r="T36" i="117" s="1"/>
  <c r="G147" i="116"/>
  <c r="C147"/>
  <c r="C36" i="117" s="1"/>
  <c r="B147" i="116"/>
  <c r="AA18"/>
  <c r="AA145" s="1"/>
  <c r="W145"/>
  <c r="S18"/>
  <c r="S145" s="1"/>
  <c r="O145"/>
  <c r="K18"/>
  <c r="K145" s="1"/>
  <c r="G145"/>
  <c r="F18"/>
  <c r="F145" s="1"/>
  <c r="B145"/>
  <c r="AA17"/>
  <c r="AA144" s="1"/>
  <c r="W144"/>
  <c r="S17"/>
  <c r="O144"/>
  <c r="K17"/>
  <c r="G144"/>
  <c r="F17"/>
  <c r="B144"/>
  <c r="AA16"/>
  <c r="AA143" s="1"/>
  <c r="W143"/>
  <c r="S16"/>
  <c r="S143" s="1"/>
  <c r="O143"/>
  <c r="K16"/>
  <c r="G143"/>
  <c r="F16"/>
  <c r="F143" s="1"/>
  <c r="B143"/>
  <c r="AA11"/>
  <c r="AA139" s="1"/>
  <c r="W139"/>
  <c r="S11"/>
  <c r="S139" s="1"/>
  <c r="O139"/>
  <c r="K11"/>
  <c r="K139" s="1"/>
  <c r="G139"/>
  <c r="F11"/>
  <c r="F139" s="1"/>
  <c r="B139"/>
  <c r="AA10"/>
  <c r="AA138" s="1"/>
  <c r="W138"/>
  <c r="S10"/>
  <c r="S138" s="1"/>
  <c r="O138"/>
  <c r="K10"/>
  <c r="K138" s="1"/>
  <c r="G138"/>
  <c r="F10"/>
  <c r="F138" s="1"/>
  <c r="B138"/>
  <c r="AA9"/>
  <c r="AA137" s="1"/>
  <c r="W137"/>
  <c r="S9"/>
  <c r="S137" s="1"/>
  <c r="O137"/>
  <c r="K9"/>
  <c r="K137" s="1"/>
  <c r="G137"/>
  <c r="F9"/>
  <c r="F137" s="1"/>
  <c r="B137"/>
  <c r="Z8"/>
  <c r="Y8"/>
  <c r="X8"/>
  <c r="R8"/>
  <c r="Q8"/>
  <c r="P8"/>
  <c r="J8"/>
  <c r="W9" i="117" s="1"/>
  <c r="C44" i="118" s="1"/>
  <c r="F44" s="1"/>
  <c r="G44" s="1"/>
  <c r="I8" i="116"/>
  <c r="T9" i="117" s="1"/>
  <c r="C43" i="118" s="1"/>
  <c r="F43" s="1"/>
  <c r="G43" s="1"/>
  <c r="H8" i="116"/>
  <c r="Q9" i="117" s="1"/>
  <c r="C42" i="118" s="1"/>
  <c r="F42" s="1"/>
  <c r="G42" s="1"/>
  <c r="E8" i="116"/>
  <c r="I9" i="117" s="1"/>
  <c r="C41" i="118" s="1"/>
  <c r="F41" s="1"/>
  <c r="G41" s="1"/>
  <c r="D8" i="116"/>
  <c r="F9" i="117" s="1"/>
  <c r="C40" i="118" s="1"/>
  <c r="F40" s="1"/>
  <c r="G40" s="1"/>
  <c r="C8" i="116"/>
  <c r="C9" i="117" s="1"/>
  <c r="C39" i="118" s="1"/>
  <c r="AA7" i="116"/>
  <c r="S7"/>
  <c r="K7"/>
  <c r="F7"/>
  <c r="BM83" i="115"/>
  <c r="BK83"/>
  <c r="BI83"/>
  <c r="BF83"/>
  <c r="BC83"/>
  <c r="AT83"/>
  <c r="AR83"/>
  <c r="AP83"/>
  <c r="AM83"/>
  <c r="AJ83"/>
  <c r="AA83"/>
  <c r="Y83"/>
  <c r="W83"/>
  <c r="T83"/>
  <c r="Q83"/>
  <c r="M83"/>
  <c r="AF83" s="1"/>
  <c r="AY83" s="1"/>
  <c r="BR83" s="1"/>
  <c r="K83"/>
  <c r="AD83" s="1"/>
  <c r="AW83" s="1"/>
  <c r="BP83" s="1"/>
  <c r="I83"/>
  <c r="F83"/>
  <c r="C83"/>
  <c r="BM82"/>
  <c r="BK82"/>
  <c r="BI82"/>
  <c r="BF82"/>
  <c r="BC82"/>
  <c r="AT82"/>
  <c r="AR82"/>
  <c r="AP82"/>
  <c r="AM82"/>
  <c r="AJ82"/>
  <c r="AA82"/>
  <c r="Y82"/>
  <c r="W82"/>
  <c r="T82"/>
  <c r="Q82"/>
  <c r="M82"/>
  <c r="AF82" s="1"/>
  <c r="AY82" s="1"/>
  <c r="BR82" s="1"/>
  <c r="K82"/>
  <c r="AD82" s="1"/>
  <c r="AW82" s="1"/>
  <c r="BP82" s="1"/>
  <c r="I82"/>
  <c r="F82"/>
  <c r="C82"/>
  <c r="BJ81"/>
  <c r="BI81"/>
  <c r="BH81"/>
  <c r="BG81"/>
  <c r="BF81"/>
  <c r="BE81"/>
  <c r="BD81"/>
  <c r="BM81" s="1"/>
  <c r="BC81"/>
  <c r="BB81"/>
  <c r="BK81" s="1"/>
  <c r="AQ81"/>
  <c r="AP81"/>
  <c r="AO81"/>
  <c r="AN81"/>
  <c r="AM81"/>
  <c r="AL81"/>
  <c r="AK81"/>
  <c r="AT81" s="1"/>
  <c r="AJ81"/>
  <c r="AI81"/>
  <c r="AR81" s="1"/>
  <c r="X81"/>
  <c r="W81"/>
  <c r="V81"/>
  <c r="U81"/>
  <c r="T81"/>
  <c r="S81"/>
  <c r="R81"/>
  <c r="AA81" s="1"/>
  <c r="Q81"/>
  <c r="P81"/>
  <c r="Y81" s="1"/>
  <c r="J81"/>
  <c r="I81"/>
  <c r="H81"/>
  <c r="G81"/>
  <c r="F81"/>
  <c r="E81"/>
  <c r="D81"/>
  <c r="M81" s="1"/>
  <c r="AF81" s="1"/>
  <c r="AY81" s="1"/>
  <c r="BR81" s="1"/>
  <c r="C81"/>
  <c r="B81"/>
  <c r="K81" s="1"/>
  <c r="AD81" s="1"/>
  <c r="AW81" s="1"/>
  <c r="BP81" s="1"/>
  <c r="BM78"/>
  <c r="BL78"/>
  <c r="AT78"/>
  <c r="AS78"/>
  <c r="AA78"/>
  <c r="Z78"/>
  <c r="M78"/>
  <c r="L78"/>
  <c r="BM69"/>
  <c r="BK69"/>
  <c r="AT69"/>
  <c r="AR69"/>
  <c r="AA69"/>
  <c r="Y69"/>
  <c r="M69"/>
  <c r="AF69" s="1"/>
  <c r="AY69" s="1"/>
  <c r="BR69" s="1"/>
  <c r="K69"/>
  <c r="BM68"/>
  <c r="BL68"/>
  <c r="BK68"/>
  <c r="AT68"/>
  <c r="AR68"/>
  <c r="AA68"/>
  <c r="Z68"/>
  <c r="Y68"/>
  <c r="M68"/>
  <c r="AF68" s="1"/>
  <c r="AY68" s="1"/>
  <c r="BR68" s="1"/>
  <c r="K68"/>
  <c r="BM67"/>
  <c r="BL67"/>
  <c r="BK67"/>
  <c r="AT67"/>
  <c r="AR67"/>
  <c r="AA67"/>
  <c r="Y67"/>
  <c r="M67"/>
  <c r="K67"/>
  <c r="BM66"/>
  <c r="BL66"/>
  <c r="AT66"/>
  <c r="AA66"/>
  <c r="M66"/>
  <c r="BM65"/>
  <c r="BL65"/>
  <c r="AT65"/>
  <c r="AA65"/>
  <c r="M65"/>
  <c r="BM64"/>
  <c r="BL64"/>
  <c r="AT64"/>
  <c r="AA64"/>
  <c r="M64"/>
  <c r="AF64" s="1"/>
  <c r="AY64" s="1"/>
  <c r="BR64" s="1"/>
  <c r="BM63"/>
  <c r="BK63"/>
  <c r="AT63"/>
  <c r="AR63"/>
  <c r="AA63"/>
  <c r="Y63"/>
  <c r="M63"/>
  <c r="K63"/>
  <c r="BM62"/>
  <c r="BK62"/>
  <c r="AT62"/>
  <c r="AR62"/>
  <c r="AA62"/>
  <c r="Y62"/>
  <c r="M62"/>
  <c r="K62"/>
  <c r="BJ61"/>
  <c r="BG61"/>
  <c r="BD61"/>
  <c r="AQ61"/>
  <c r="AN61"/>
  <c r="AK61"/>
  <c r="X61"/>
  <c r="U61"/>
  <c r="R61"/>
  <c r="J61"/>
  <c r="G61"/>
  <c r="M61"/>
  <c r="K61"/>
  <c r="BM60"/>
  <c r="BK60"/>
  <c r="AT60"/>
  <c r="AS60"/>
  <c r="AR60"/>
  <c r="AA60"/>
  <c r="Y60"/>
  <c r="M60"/>
  <c r="L60"/>
  <c r="K60"/>
  <c r="BM59"/>
  <c r="BK59"/>
  <c r="AT59"/>
  <c r="AS59"/>
  <c r="AR59"/>
  <c r="AA59"/>
  <c r="Y59"/>
  <c r="M59"/>
  <c r="L59"/>
  <c r="K59"/>
  <c r="BM58"/>
  <c r="BK58"/>
  <c r="AT58"/>
  <c r="AS58"/>
  <c r="AR58"/>
  <c r="AA58"/>
  <c r="Y58"/>
  <c r="M58"/>
  <c r="K58"/>
  <c r="BM57"/>
  <c r="BK57"/>
  <c r="AT57"/>
  <c r="AR57"/>
  <c r="AA57"/>
  <c r="Y57"/>
  <c r="M57"/>
  <c r="K57"/>
  <c r="BJ56"/>
  <c r="BG56"/>
  <c r="BD56"/>
  <c r="AQ56"/>
  <c r="AN56"/>
  <c r="AK56"/>
  <c r="X56"/>
  <c r="U56"/>
  <c r="R56"/>
  <c r="J56"/>
  <c r="G56"/>
  <c r="M56"/>
  <c r="K56"/>
  <c r="BM55"/>
  <c r="AT55"/>
  <c r="AA55"/>
  <c r="M55"/>
  <c r="AF55" s="1"/>
  <c r="AY55" s="1"/>
  <c r="BM54"/>
  <c r="BK54"/>
  <c r="AT54"/>
  <c r="AR54"/>
  <c r="AA54"/>
  <c r="Y54"/>
  <c r="M54"/>
  <c r="K54"/>
  <c r="BM53"/>
  <c r="AT53"/>
  <c r="AR53"/>
  <c r="AA53"/>
  <c r="Y53"/>
  <c r="M53"/>
  <c r="K53"/>
  <c r="BM52"/>
  <c r="BK52"/>
  <c r="AT52"/>
  <c r="AR52"/>
  <c r="AA52"/>
  <c r="Y52"/>
  <c r="M52"/>
  <c r="K52"/>
  <c r="BJ51"/>
  <c r="BG51"/>
  <c r="BE55"/>
  <c r="BD51"/>
  <c r="AQ51"/>
  <c r="AQ70" s="1"/>
  <c r="AO55"/>
  <c r="AN51"/>
  <c r="AK51"/>
  <c r="AI55"/>
  <c r="X51"/>
  <c r="R51"/>
  <c r="P55"/>
  <c r="J51"/>
  <c r="J70" s="1"/>
  <c r="G51"/>
  <c r="G70" s="1"/>
  <c r="E55"/>
  <c r="D70"/>
  <c r="D74" s="1"/>
  <c r="BJ50"/>
  <c r="BG50"/>
  <c r="BD50"/>
  <c r="AQ50"/>
  <c r="AN50"/>
  <c r="AK50"/>
  <c r="X50"/>
  <c r="U50"/>
  <c r="R50"/>
  <c r="J50"/>
  <c r="G50"/>
  <c r="BM49"/>
  <c r="BK49"/>
  <c r="AT49"/>
  <c r="AR49"/>
  <c r="AA49"/>
  <c r="Y49"/>
  <c r="M49"/>
  <c r="K49"/>
  <c r="BM48"/>
  <c r="BM50" s="1"/>
  <c r="BK48"/>
  <c r="AT48"/>
  <c r="AR48"/>
  <c r="AA48"/>
  <c r="AA50" s="1"/>
  <c r="Y48"/>
  <c r="M48"/>
  <c r="AF48" s="1"/>
  <c r="AY48" s="1"/>
  <c r="BR48" s="1"/>
  <c r="K48"/>
  <c r="BM47"/>
  <c r="BK47"/>
  <c r="AT47"/>
  <c r="AR47"/>
  <c r="AA47"/>
  <c r="Y47"/>
  <c r="M47"/>
  <c r="K47"/>
  <c r="BM46"/>
  <c r="BK46"/>
  <c r="AT46"/>
  <c r="AR46"/>
  <c r="AA46"/>
  <c r="Y46"/>
  <c r="M46"/>
  <c r="K46"/>
  <c r="BM45"/>
  <c r="BK45"/>
  <c r="AT45"/>
  <c r="AR45"/>
  <c r="AA45"/>
  <c r="Y45"/>
  <c r="M45"/>
  <c r="AF45" s="1"/>
  <c r="AY45" s="1"/>
  <c r="BR45" s="1"/>
  <c r="K45"/>
  <c r="BM44"/>
  <c r="BK44"/>
  <c r="AT44"/>
  <c r="AR44"/>
  <c r="AA44"/>
  <c r="Y44"/>
  <c r="M44"/>
  <c r="K44"/>
  <c r="BM43"/>
  <c r="BI70"/>
  <c r="BF70"/>
  <c r="BC70"/>
  <c r="AT43"/>
  <c r="AP70"/>
  <c r="AJ70"/>
  <c r="AA43"/>
  <c r="M43"/>
  <c r="AF43" s="1"/>
  <c r="AY43" s="1"/>
  <c r="BM33"/>
  <c r="BL33"/>
  <c r="AT33"/>
  <c r="AS33"/>
  <c r="AA33"/>
  <c r="Z33"/>
  <c r="M33"/>
  <c r="AF33" s="1"/>
  <c r="AY33" s="1"/>
  <c r="BR33" s="1"/>
  <c r="L33"/>
  <c r="K33"/>
  <c r="AQ75"/>
  <c r="BM31"/>
  <c r="BL31"/>
  <c r="AT31"/>
  <c r="AS31"/>
  <c r="AA31"/>
  <c r="Z31"/>
  <c r="M31"/>
  <c r="AF31" s="1"/>
  <c r="AY31" s="1"/>
  <c r="BR31" s="1"/>
  <c r="L31"/>
  <c r="AE31" s="1"/>
  <c r="AX31" s="1"/>
  <c r="BM30"/>
  <c r="BL30"/>
  <c r="AT30"/>
  <c r="AS30"/>
  <c r="AA30"/>
  <c r="Z30"/>
  <c r="M30"/>
  <c r="AF30" s="1"/>
  <c r="L30"/>
  <c r="AE30" s="1"/>
  <c r="BI29"/>
  <c r="BF29"/>
  <c r="BC29"/>
  <c r="AP29"/>
  <c r="AM29"/>
  <c r="AM37" s="1"/>
  <c r="AJ29"/>
  <c r="AJ37" s="1"/>
  <c r="W29"/>
  <c r="T29"/>
  <c r="Q29"/>
  <c r="Y29"/>
  <c r="I29"/>
  <c r="F29"/>
  <c r="C29"/>
  <c r="BM28"/>
  <c r="BL28"/>
  <c r="AT28"/>
  <c r="AS28"/>
  <c r="AA28"/>
  <c r="Z28"/>
  <c r="M28"/>
  <c r="L28"/>
  <c r="AE28" s="1"/>
  <c r="AX28" s="1"/>
  <c r="BM27"/>
  <c r="BL27"/>
  <c r="AT27"/>
  <c r="AS27"/>
  <c r="AR27"/>
  <c r="AA27"/>
  <c r="Z27"/>
  <c r="M27"/>
  <c r="L27"/>
  <c r="AE27" s="1"/>
  <c r="K27"/>
  <c r="BM26"/>
  <c r="BL26"/>
  <c r="AT26"/>
  <c r="AS26"/>
  <c r="AA26"/>
  <c r="Z26"/>
  <c r="M26"/>
  <c r="L26"/>
  <c r="AE26" s="1"/>
  <c r="AX26" s="1"/>
  <c r="K26"/>
  <c r="BM25"/>
  <c r="BL25"/>
  <c r="AT25"/>
  <c r="AS25"/>
  <c r="AA25"/>
  <c r="Z25"/>
  <c r="M25"/>
  <c r="L25"/>
  <c r="AE25" s="1"/>
  <c r="BM20"/>
  <c r="BL20"/>
  <c r="BK20"/>
  <c r="AT20"/>
  <c r="AS20"/>
  <c r="AR20"/>
  <c r="AA20"/>
  <c r="Z20"/>
  <c r="Y20"/>
  <c r="M20"/>
  <c r="L20"/>
  <c r="K20"/>
  <c r="BM19"/>
  <c r="BL19"/>
  <c r="BK19"/>
  <c r="AT19"/>
  <c r="AS19"/>
  <c r="AR19"/>
  <c r="AA19"/>
  <c r="AA18" s="1"/>
  <c r="Z19"/>
  <c r="Y19"/>
  <c r="M19"/>
  <c r="M18" s="1"/>
  <c r="L19"/>
  <c r="K19"/>
  <c r="BM18"/>
  <c r="BJ18"/>
  <c r="BJ37" s="1"/>
  <c r="BG18"/>
  <c r="BG37" s="1"/>
  <c r="BD18"/>
  <c r="BD37" s="1"/>
  <c r="AQ18"/>
  <c r="AQ37" s="1"/>
  <c r="AN18"/>
  <c r="AN37" s="1"/>
  <c r="AK18"/>
  <c r="AK37" s="1"/>
  <c r="X18"/>
  <c r="X37" s="1"/>
  <c r="U18"/>
  <c r="U37" s="1"/>
  <c r="R18"/>
  <c r="R37" s="1"/>
  <c r="J18"/>
  <c r="J37" s="1"/>
  <c r="G18"/>
  <c r="D18"/>
  <c r="D37" s="1"/>
  <c r="BM17"/>
  <c r="BL17"/>
  <c r="BL38" s="1"/>
  <c r="BK17"/>
  <c r="AT17"/>
  <c r="AS17"/>
  <c r="AS38" s="1"/>
  <c r="AR17"/>
  <c r="AA17"/>
  <c r="Z17"/>
  <c r="Z38" s="1"/>
  <c r="Y17"/>
  <c r="M17"/>
  <c r="L17"/>
  <c r="K17"/>
  <c r="BM16"/>
  <c r="BL16"/>
  <c r="BK16"/>
  <c r="AT16"/>
  <c r="AS16"/>
  <c r="AR16"/>
  <c r="AA16"/>
  <c r="Z16"/>
  <c r="Y16"/>
  <c r="M16"/>
  <c r="L16"/>
  <c r="K16"/>
  <c r="BM15"/>
  <c r="BL15"/>
  <c r="BK15"/>
  <c r="AT15"/>
  <c r="AS15"/>
  <c r="AR15"/>
  <c r="AA15"/>
  <c r="Z15"/>
  <c r="Y15"/>
  <c r="M15"/>
  <c r="L15"/>
  <c r="K15"/>
  <c r="BM14"/>
  <c r="BM71" s="1"/>
  <c r="BJ14"/>
  <c r="BJ71" s="1"/>
  <c r="BI71"/>
  <c r="BH71"/>
  <c r="BG14"/>
  <c r="BG71" s="1"/>
  <c r="BF71"/>
  <c r="BE71"/>
  <c r="BD14"/>
  <c r="BD71" s="1"/>
  <c r="BC71"/>
  <c r="BB71"/>
  <c r="AQ14"/>
  <c r="AQ71" s="1"/>
  <c r="AP71"/>
  <c r="AO71"/>
  <c r="AN14"/>
  <c r="AN71" s="1"/>
  <c r="AM71"/>
  <c r="AL71"/>
  <c r="AK14"/>
  <c r="AK71" s="1"/>
  <c r="AJ71"/>
  <c r="AI71"/>
  <c r="X14"/>
  <c r="X71" s="1"/>
  <c r="V71"/>
  <c r="U14"/>
  <c r="U71" s="1"/>
  <c r="R14"/>
  <c r="R71" s="1"/>
  <c r="J14"/>
  <c r="J71" s="1"/>
  <c r="D14"/>
  <c r="D71" s="1"/>
  <c r="BJ11"/>
  <c r="BJ12" s="1"/>
  <c r="BJ13" s="1"/>
  <c r="BG11"/>
  <c r="BD11"/>
  <c r="BD12" s="1"/>
  <c r="BD13" s="1"/>
  <c r="AQ11"/>
  <c r="AQ12" s="1"/>
  <c r="AQ13" s="1"/>
  <c r="AN11"/>
  <c r="AK11"/>
  <c r="AK12" s="1"/>
  <c r="AK13" s="1"/>
  <c r="X11"/>
  <c r="X12" s="1"/>
  <c r="X13" s="1"/>
  <c r="U11"/>
  <c r="R11"/>
  <c r="R12" s="1"/>
  <c r="R13" s="1"/>
  <c r="J11"/>
  <c r="G11"/>
  <c r="D11"/>
  <c r="BJ10"/>
  <c r="BG10"/>
  <c r="BD10"/>
  <c r="AQ10"/>
  <c r="AN10"/>
  <c r="AK10"/>
  <c r="X10"/>
  <c r="U10"/>
  <c r="R10"/>
  <c r="J10"/>
  <c r="G10"/>
  <c r="D10"/>
  <c r="BM9"/>
  <c r="BL9"/>
  <c r="BK9"/>
  <c r="AT9"/>
  <c r="AS9"/>
  <c r="AR9"/>
  <c r="AA9"/>
  <c r="Z9"/>
  <c r="Y9"/>
  <c r="M9"/>
  <c r="L9"/>
  <c r="K9"/>
  <c r="BM8"/>
  <c r="BM10" s="1"/>
  <c r="BL8"/>
  <c r="BK8"/>
  <c r="BK11" s="1"/>
  <c r="AT8"/>
  <c r="AT11" s="1"/>
  <c r="AS8"/>
  <c r="AR8"/>
  <c r="AA8"/>
  <c r="AA10" s="1"/>
  <c r="Z8"/>
  <c r="Y8"/>
  <c r="Y11" s="1"/>
  <c r="M8"/>
  <c r="M11" s="1"/>
  <c r="L8"/>
  <c r="K8"/>
  <c r="Z248" i="114"/>
  <c r="Y248"/>
  <c r="X248"/>
  <c r="R248"/>
  <c r="Q248"/>
  <c r="P248"/>
  <c r="J248"/>
  <c r="I248"/>
  <c r="H248"/>
  <c r="E248"/>
  <c r="D248"/>
  <c r="C248"/>
  <c r="Z247"/>
  <c r="Y247"/>
  <c r="X247"/>
  <c r="R247"/>
  <c r="Q247"/>
  <c r="P247"/>
  <c r="J247"/>
  <c r="I247"/>
  <c r="H247"/>
  <c r="E247"/>
  <c r="D247"/>
  <c r="C247"/>
  <c r="Y246"/>
  <c r="Y244" s="1"/>
  <c r="X246"/>
  <c r="R246"/>
  <c r="J246"/>
  <c r="H246"/>
  <c r="E246"/>
  <c r="D246"/>
  <c r="C246"/>
  <c r="Y245"/>
  <c r="X245"/>
  <c r="X244" s="1"/>
  <c r="R245"/>
  <c r="R244" s="1"/>
  <c r="J245"/>
  <c r="I245"/>
  <c r="H245"/>
  <c r="E245"/>
  <c r="D245"/>
  <c r="C245"/>
  <c r="E244"/>
  <c r="Y243"/>
  <c r="X243"/>
  <c r="R243"/>
  <c r="Q243"/>
  <c r="P243"/>
  <c r="J243"/>
  <c r="I243"/>
  <c r="H243"/>
  <c r="E243"/>
  <c r="D243"/>
  <c r="C243"/>
  <c r="Z242"/>
  <c r="Y242"/>
  <c r="X242"/>
  <c r="R242"/>
  <c r="Q242"/>
  <c r="P242"/>
  <c r="J242"/>
  <c r="I242"/>
  <c r="H242"/>
  <c r="E242"/>
  <c r="D242"/>
  <c r="C242"/>
  <c r="Y241"/>
  <c r="X241"/>
  <c r="R241"/>
  <c r="P241"/>
  <c r="J241"/>
  <c r="H241"/>
  <c r="E241"/>
  <c r="D241"/>
  <c r="Y240"/>
  <c r="Y239" s="1"/>
  <c r="X240"/>
  <c r="R240"/>
  <c r="Q240"/>
  <c r="P240"/>
  <c r="J240"/>
  <c r="I240"/>
  <c r="H240"/>
  <c r="E240"/>
  <c r="D240"/>
  <c r="C240"/>
  <c r="X239"/>
  <c r="R239"/>
  <c r="P239"/>
  <c r="J239"/>
  <c r="H239"/>
  <c r="Z238"/>
  <c r="Y238"/>
  <c r="X238"/>
  <c r="R238"/>
  <c r="Q238"/>
  <c r="P238"/>
  <c r="J238"/>
  <c r="I238"/>
  <c r="H238"/>
  <c r="E238"/>
  <c r="D238"/>
  <c r="C238"/>
  <c r="Z237"/>
  <c r="Y237"/>
  <c r="X237"/>
  <c r="R237"/>
  <c r="Q237"/>
  <c r="P237"/>
  <c r="J237"/>
  <c r="I237"/>
  <c r="H237"/>
  <c r="E237"/>
  <c r="D237"/>
  <c r="C237"/>
  <c r="Y236"/>
  <c r="X236"/>
  <c r="R236"/>
  <c r="Q236"/>
  <c r="J236"/>
  <c r="H236"/>
  <c r="E236"/>
  <c r="D236"/>
  <c r="Z235"/>
  <c r="Y235"/>
  <c r="X235"/>
  <c r="R235"/>
  <c r="Q235"/>
  <c r="P235"/>
  <c r="J235"/>
  <c r="I235"/>
  <c r="H235"/>
  <c r="E235"/>
  <c r="D235"/>
  <c r="C235"/>
  <c r="Y234"/>
  <c r="X234"/>
  <c r="R234"/>
  <c r="Q234"/>
  <c r="P234"/>
  <c r="J234"/>
  <c r="H234"/>
  <c r="E234"/>
  <c r="D234"/>
  <c r="C234"/>
  <c r="Z233"/>
  <c r="Y233"/>
  <c r="X233"/>
  <c r="R233"/>
  <c r="Q233"/>
  <c r="P233"/>
  <c r="J233"/>
  <c r="I233"/>
  <c r="H233"/>
  <c r="E233"/>
  <c r="D233"/>
  <c r="C233"/>
  <c r="Z231"/>
  <c r="Y231"/>
  <c r="X231"/>
  <c r="R231"/>
  <c r="Q231"/>
  <c r="P231"/>
  <c r="J231"/>
  <c r="I231"/>
  <c r="H231"/>
  <c r="E231"/>
  <c r="D231"/>
  <c r="C231"/>
  <c r="Y230"/>
  <c r="X230"/>
  <c r="R230"/>
  <c r="Q230"/>
  <c r="P230"/>
  <c r="J230"/>
  <c r="I230"/>
  <c r="H230"/>
  <c r="E230"/>
  <c r="D230"/>
  <c r="C230"/>
  <c r="Z229"/>
  <c r="Y229"/>
  <c r="X229"/>
  <c r="R229"/>
  <c r="J229"/>
  <c r="H229"/>
  <c r="E229"/>
  <c r="D229"/>
  <c r="Z228"/>
  <c r="Y228"/>
  <c r="X228"/>
  <c r="R228"/>
  <c r="Q228"/>
  <c r="P228"/>
  <c r="J228"/>
  <c r="H228"/>
  <c r="E228"/>
  <c r="D228"/>
  <c r="C228"/>
  <c r="Z227"/>
  <c r="Y227"/>
  <c r="X227"/>
  <c r="R227"/>
  <c r="Q227"/>
  <c r="P227"/>
  <c r="J227"/>
  <c r="I227"/>
  <c r="H227"/>
  <c r="E227"/>
  <c r="D227"/>
  <c r="C227"/>
  <c r="Z226"/>
  <c r="Y226"/>
  <c r="X226"/>
  <c r="R226"/>
  <c r="Q226"/>
  <c r="P226"/>
  <c r="J226"/>
  <c r="I226"/>
  <c r="H226"/>
  <c r="E226"/>
  <c r="D226"/>
  <c r="C226"/>
  <c r="Z225"/>
  <c r="Y225"/>
  <c r="X225"/>
  <c r="R225"/>
  <c r="Q225"/>
  <c r="P225"/>
  <c r="J225"/>
  <c r="I225"/>
  <c r="H225"/>
  <c r="E225"/>
  <c r="D225"/>
  <c r="C225"/>
  <c r="Z224"/>
  <c r="Y224"/>
  <c r="X224"/>
  <c r="R224"/>
  <c r="Q224"/>
  <c r="P224"/>
  <c r="J224"/>
  <c r="I224"/>
  <c r="H224"/>
  <c r="E224"/>
  <c r="D224"/>
  <c r="C224"/>
  <c r="Z223"/>
  <c r="Y223"/>
  <c r="X223"/>
  <c r="R223"/>
  <c r="Q223"/>
  <c r="P223"/>
  <c r="J223"/>
  <c r="I223"/>
  <c r="H223"/>
  <c r="E223"/>
  <c r="D223"/>
  <c r="C223"/>
  <c r="Y222"/>
  <c r="X222"/>
  <c r="R222"/>
  <c r="J222"/>
  <c r="H222"/>
  <c r="E222"/>
  <c r="D222"/>
  <c r="Z221"/>
  <c r="Y221"/>
  <c r="X221"/>
  <c r="R221"/>
  <c r="Q221"/>
  <c r="P221"/>
  <c r="J221"/>
  <c r="I221"/>
  <c r="H221"/>
  <c r="E221"/>
  <c r="D221"/>
  <c r="C221"/>
  <c r="Y220"/>
  <c r="X220"/>
  <c r="R220"/>
  <c r="P220"/>
  <c r="J220"/>
  <c r="I220"/>
  <c r="H220"/>
  <c r="E220"/>
  <c r="D220"/>
  <c r="C220"/>
  <c r="Z219"/>
  <c r="Y219"/>
  <c r="X219"/>
  <c r="R219"/>
  <c r="Q219"/>
  <c r="P219"/>
  <c r="J219"/>
  <c r="I219"/>
  <c r="H219"/>
  <c r="E219"/>
  <c r="D219"/>
  <c r="C219"/>
  <c r="Z218"/>
  <c r="Y218"/>
  <c r="X218"/>
  <c r="R218"/>
  <c r="Q218"/>
  <c r="P218"/>
  <c r="J218"/>
  <c r="I218"/>
  <c r="H218"/>
  <c r="E218"/>
  <c r="D218"/>
  <c r="C218"/>
  <c r="Z217"/>
  <c r="Y217"/>
  <c r="X217"/>
  <c r="R217"/>
  <c r="Q217"/>
  <c r="P217"/>
  <c r="J217"/>
  <c r="I217"/>
  <c r="H217"/>
  <c r="E217"/>
  <c r="D217"/>
  <c r="C217"/>
  <c r="AD209"/>
  <c r="AB209"/>
  <c r="Z209"/>
  <c r="Y209"/>
  <c r="X209"/>
  <c r="W209"/>
  <c r="V209"/>
  <c r="T209"/>
  <c r="R209"/>
  <c r="Q209"/>
  <c r="P209"/>
  <c r="O209"/>
  <c r="N209"/>
  <c r="L209"/>
  <c r="J209"/>
  <c r="I209"/>
  <c r="H209"/>
  <c r="G209"/>
  <c r="E209"/>
  <c r="D209"/>
  <c r="C209"/>
  <c r="B209"/>
  <c r="AD208"/>
  <c r="AB208"/>
  <c r="Z208"/>
  <c r="Y208"/>
  <c r="Y207" s="1"/>
  <c r="X208"/>
  <c r="W208"/>
  <c r="W207" s="1"/>
  <c r="V208"/>
  <c r="T208"/>
  <c r="R208"/>
  <c r="Q208"/>
  <c r="Q207" s="1"/>
  <c r="P208"/>
  <c r="O208"/>
  <c r="O207" s="1"/>
  <c r="N208"/>
  <c r="L208"/>
  <c r="J208"/>
  <c r="I208"/>
  <c r="I207" s="1"/>
  <c r="H208"/>
  <c r="G208"/>
  <c r="G207" s="1"/>
  <c r="E208"/>
  <c r="E207" s="1"/>
  <c r="D208"/>
  <c r="C208"/>
  <c r="C207" s="1"/>
  <c r="B208"/>
  <c r="B207" s="1"/>
  <c r="AB207"/>
  <c r="Z207"/>
  <c r="X207"/>
  <c r="T207"/>
  <c r="R207"/>
  <c r="P207"/>
  <c r="L207"/>
  <c r="J207"/>
  <c r="H207"/>
  <c r="D207"/>
  <c r="Z203"/>
  <c r="Y203"/>
  <c r="X203"/>
  <c r="R203"/>
  <c r="Q203"/>
  <c r="P203"/>
  <c r="J203"/>
  <c r="I203"/>
  <c r="H203"/>
  <c r="E203"/>
  <c r="D203"/>
  <c r="C203"/>
  <c r="Z201"/>
  <c r="Y201"/>
  <c r="X201"/>
  <c r="R201"/>
  <c r="Q201"/>
  <c r="P201"/>
  <c r="J201"/>
  <c r="W67" i="115" s="1"/>
  <c r="I201" i="114"/>
  <c r="T67" i="115" s="1"/>
  <c r="H201" i="114"/>
  <c r="Q67" i="115" s="1"/>
  <c r="E201" i="114"/>
  <c r="I67" i="115" s="1"/>
  <c r="D201" i="114"/>
  <c r="F67" i="115" s="1"/>
  <c r="C201" i="114"/>
  <c r="C67" i="115" s="1"/>
  <c r="Z200" i="114"/>
  <c r="Y200"/>
  <c r="X200"/>
  <c r="R200"/>
  <c r="Q200"/>
  <c r="P200"/>
  <c r="J200"/>
  <c r="W66" i="115" s="1"/>
  <c r="I200" i="114"/>
  <c r="T66" i="115" s="1"/>
  <c r="H200" i="114"/>
  <c r="Q66" i="115" s="1"/>
  <c r="E200" i="114"/>
  <c r="I66" i="115" s="1"/>
  <c r="D200" i="114"/>
  <c r="F66" i="115" s="1"/>
  <c r="C200" i="114"/>
  <c r="C66" i="115" s="1"/>
  <c r="Z199" i="114"/>
  <c r="Y199"/>
  <c r="X199"/>
  <c r="R199"/>
  <c r="Q199"/>
  <c r="P199"/>
  <c r="J199"/>
  <c r="I199"/>
  <c r="T65" i="115" s="1"/>
  <c r="H199" i="114"/>
  <c r="Q65" i="115" s="1"/>
  <c r="E199" i="114"/>
  <c r="I65" i="115" s="1"/>
  <c r="D199" i="114"/>
  <c r="F65" i="115" s="1"/>
  <c r="C199" i="114"/>
  <c r="C65" i="115" s="1"/>
  <c r="Z198" i="114"/>
  <c r="Y198"/>
  <c r="X198"/>
  <c r="R198"/>
  <c r="Q198"/>
  <c r="P198"/>
  <c r="J198"/>
  <c r="W64" i="115" s="1"/>
  <c r="I198" i="114"/>
  <c r="T64" i="115" s="1"/>
  <c r="H198" i="114"/>
  <c r="Q64" i="115" s="1"/>
  <c r="E198" i="114"/>
  <c r="I64" i="115" s="1"/>
  <c r="D198" i="114"/>
  <c r="F64" i="115" s="1"/>
  <c r="C198" i="114"/>
  <c r="C64" i="115" s="1"/>
  <c r="Z197" i="114"/>
  <c r="Y197"/>
  <c r="X197"/>
  <c r="R197"/>
  <c r="Q197"/>
  <c r="P197"/>
  <c r="J197"/>
  <c r="W63" i="115" s="1"/>
  <c r="I197" i="114"/>
  <c r="T63" i="115" s="1"/>
  <c r="H197" i="114"/>
  <c r="Q63" i="115" s="1"/>
  <c r="E197" i="114"/>
  <c r="I63" i="115" s="1"/>
  <c r="D197" i="114"/>
  <c r="F63" i="115" s="1"/>
  <c r="C197" i="114"/>
  <c r="C63" i="115" s="1"/>
  <c r="Z196" i="114"/>
  <c r="Y196"/>
  <c r="X196"/>
  <c r="R196"/>
  <c r="Q196"/>
  <c r="P196"/>
  <c r="J196"/>
  <c r="W62" i="115" s="1"/>
  <c r="I196" i="114"/>
  <c r="T62" i="115" s="1"/>
  <c r="H196" i="114"/>
  <c r="Q62" i="115" s="1"/>
  <c r="E196" i="114"/>
  <c r="I62" i="115" s="1"/>
  <c r="D196" i="114"/>
  <c r="F62" i="115" s="1"/>
  <c r="C196" i="114"/>
  <c r="C62" i="115" s="1"/>
  <c r="Z194" i="114"/>
  <c r="Y194"/>
  <c r="X194"/>
  <c r="R194"/>
  <c r="Q194"/>
  <c r="P194"/>
  <c r="J194"/>
  <c r="I194"/>
  <c r="H194"/>
  <c r="E194"/>
  <c r="D194"/>
  <c r="C194"/>
  <c r="Z193"/>
  <c r="Y193"/>
  <c r="X193"/>
  <c r="R193"/>
  <c r="Q193"/>
  <c r="P193"/>
  <c r="J193"/>
  <c r="I193"/>
  <c r="H193"/>
  <c r="E193"/>
  <c r="D193"/>
  <c r="C193"/>
  <c r="Z192"/>
  <c r="Y192"/>
  <c r="X192"/>
  <c r="R192"/>
  <c r="Q192"/>
  <c r="P192"/>
  <c r="J192"/>
  <c r="W58" i="115" s="1"/>
  <c r="I192" i="114"/>
  <c r="H192"/>
  <c r="E192"/>
  <c r="I58" i="115" s="1"/>
  <c r="D192" i="114"/>
  <c r="C192"/>
  <c r="Z191"/>
  <c r="Y191"/>
  <c r="X191"/>
  <c r="R191"/>
  <c r="Q191"/>
  <c r="P191"/>
  <c r="J191"/>
  <c r="W57" i="115" s="1"/>
  <c r="I191" i="114"/>
  <c r="H191"/>
  <c r="E191"/>
  <c r="I57" i="115" s="1"/>
  <c r="D191" i="114"/>
  <c r="C191"/>
  <c r="Z188"/>
  <c r="Y188"/>
  <c r="X188"/>
  <c r="R188"/>
  <c r="J188"/>
  <c r="W54" i="115" s="1"/>
  <c r="H188" i="114"/>
  <c r="Q54" i="115" s="1"/>
  <c r="E188" i="114"/>
  <c r="I54" i="115" s="1"/>
  <c r="D188" i="114"/>
  <c r="F54" i="115" s="1"/>
  <c r="Z187" i="114"/>
  <c r="Y187"/>
  <c r="X187"/>
  <c r="R187"/>
  <c r="Q187"/>
  <c r="P187"/>
  <c r="J187"/>
  <c r="W53" i="115" s="1"/>
  <c r="I187" i="114"/>
  <c r="T53" i="115" s="1"/>
  <c r="H187" i="114"/>
  <c r="Q53" i="115" s="1"/>
  <c r="E187" i="114"/>
  <c r="I53" i="115" s="1"/>
  <c r="D187" i="114"/>
  <c r="F53" i="115" s="1"/>
  <c r="C187" i="114"/>
  <c r="C53" i="115" s="1"/>
  <c r="Z186" i="114"/>
  <c r="Y186"/>
  <c r="X186"/>
  <c r="R186"/>
  <c r="Q186"/>
  <c r="P186"/>
  <c r="J186"/>
  <c r="W52" i="115" s="1"/>
  <c r="I186" i="114"/>
  <c r="T52" i="115" s="1"/>
  <c r="H186" i="114"/>
  <c r="Q52" i="115" s="1"/>
  <c r="E186" i="114"/>
  <c r="I52" i="115" s="1"/>
  <c r="D186" i="114"/>
  <c r="F52" i="115" s="1"/>
  <c r="C186" i="114"/>
  <c r="C52" i="115" s="1"/>
  <c r="Z183" i="114"/>
  <c r="Y183"/>
  <c r="X183"/>
  <c r="Q183"/>
  <c r="P183"/>
  <c r="J183"/>
  <c r="W49" i="115" s="1"/>
  <c r="H183" i="114"/>
  <c r="Q49" i="115" s="1"/>
  <c r="E183" i="114"/>
  <c r="I49" i="115" s="1"/>
  <c r="D183" i="114"/>
  <c r="F49" i="115" s="1"/>
  <c r="C183" i="114"/>
  <c r="C49" i="115" s="1"/>
  <c r="Z182" i="114"/>
  <c r="Y182"/>
  <c r="Y184" s="1"/>
  <c r="X182"/>
  <c r="Q182"/>
  <c r="Q184" s="1"/>
  <c r="J182"/>
  <c r="W48" i="115" s="1"/>
  <c r="H182" i="114"/>
  <c r="Q48" i="115" s="1"/>
  <c r="E182" i="114"/>
  <c r="D182"/>
  <c r="F48" i="115" s="1"/>
  <c r="C182" i="114"/>
  <c r="Y181"/>
  <c r="X181"/>
  <c r="R181"/>
  <c r="P181"/>
  <c r="J181"/>
  <c r="W47" i="115" s="1"/>
  <c r="H181" i="114"/>
  <c r="Q47" i="115" s="1"/>
  <c r="E181" i="114"/>
  <c r="I47" i="115" s="1"/>
  <c r="D181" i="114"/>
  <c r="F47" i="115" s="1"/>
  <c r="C181" i="114"/>
  <c r="C47" i="115" s="1"/>
  <c r="Y180" i="114"/>
  <c r="X180"/>
  <c r="R180"/>
  <c r="J180"/>
  <c r="W46" i="115" s="1"/>
  <c r="H180" i="114"/>
  <c r="Q46" i="115" s="1"/>
  <c r="E180" i="114"/>
  <c r="I46" i="115" s="1"/>
  <c r="D180" i="114"/>
  <c r="F46" i="115" s="1"/>
  <c r="Z179" i="114"/>
  <c r="Y179"/>
  <c r="X179"/>
  <c r="R179"/>
  <c r="Q179"/>
  <c r="P179"/>
  <c r="J179"/>
  <c r="I179"/>
  <c r="H179"/>
  <c r="E179"/>
  <c r="I45" i="115" s="1"/>
  <c r="D179" i="114"/>
  <c r="C179"/>
  <c r="C45" i="115" s="1"/>
  <c r="Z178" i="114"/>
  <c r="Y178"/>
  <c r="X178"/>
  <c r="R178"/>
  <c r="P178"/>
  <c r="J178"/>
  <c r="W44" i="115" s="1"/>
  <c r="H178" i="114"/>
  <c r="Q44" i="115" s="1"/>
  <c r="E178" i="114"/>
  <c r="I44" i="115" s="1"/>
  <c r="D178" i="114"/>
  <c r="F44" i="115" s="1"/>
  <c r="Z177" i="114"/>
  <c r="Y177"/>
  <c r="X177"/>
  <c r="R177"/>
  <c r="Q177"/>
  <c r="P177"/>
  <c r="J177"/>
  <c r="W43" i="115" s="1"/>
  <c r="I177" i="114"/>
  <c r="T43" i="115" s="1"/>
  <c r="H177" i="114"/>
  <c r="Q43" i="115" s="1"/>
  <c r="E177" i="114"/>
  <c r="I43" i="115" s="1"/>
  <c r="D177" i="114"/>
  <c r="F43" i="115" s="1"/>
  <c r="C177" i="114"/>
  <c r="C43" i="115" s="1"/>
  <c r="Z172" i="114"/>
  <c r="Y172"/>
  <c r="X172"/>
  <c r="R172"/>
  <c r="Q172"/>
  <c r="S172" s="1"/>
  <c r="P172"/>
  <c r="J172"/>
  <c r="I172"/>
  <c r="H172"/>
  <c r="E172"/>
  <c r="D172"/>
  <c r="C172"/>
  <c r="Z171"/>
  <c r="Z170" s="1"/>
  <c r="Y171"/>
  <c r="X171"/>
  <c r="AA171" s="1"/>
  <c r="R171"/>
  <c r="R170" s="1"/>
  <c r="Q171"/>
  <c r="P171"/>
  <c r="J171"/>
  <c r="J170" s="1"/>
  <c r="I171"/>
  <c r="I170" s="1"/>
  <c r="H171"/>
  <c r="E171"/>
  <c r="E170" s="1"/>
  <c r="D171"/>
  <c r="C171"/>
  <c r="C170" s="1"/>
  <c r="Y170"/>
  <c r="Q170"/>
  <c r="Z169"/>
  <c r="Y169"/>
  <c r="X169"/>
  <c r="R169"/>
  <c r="Q169"/>
  <c r="P169"/>
  <c r="S169" s="1"/>
  <c r="J169"/>
  <c r="I169"/>
  <c r="H169"/>
  <c r="E169"/>
  <c r="D169"/>
  <c r="C169"/>
  <c r="Z168"/>
  <c r="Y168"/>
  <c r="X168"/>
  <c r="R168"/>
  <c r="P168"/>
  <c r="J168"/>
  <c r="I168"/>
  <c r="H168"/>
  <c r="E168"/>
  <c r="D168"/>
  <c r="C168"/>
  <c r="Z167"/>
  <c r="Z166" s="1"/>
  <c r="Z205" s="1"/>
  <c r="Y167"/>
  <c r="X167"/>
  <c r="R167"/>
  <c r="Q167"/>
  <c r="P167"/>
  <c r="J167"/>
  <c r="I167"/>
  <c r="H167"/>
  <c r="E167"/>
  <c r="D167"/>
  <c r="C167"/>
  <c r="Y166"/>
  <c r="Y205" s="1"/>
  <c r="Z161"/>
  <c r="Y161"/>
  <c r="X161"/>
  <c r="R161"/>
  <c r="Q161"/>
  <c r="P161"/>
  <c r="J161"/>
  <c r="I161"/>
  <c r="H161"/>
  <c r="E161"/>
  <c r="D161"/>
  <c r="C161"/>
  <c r="Z160"/>
  <c r="Y160"/>
  <c r="Y162" s="1"/>
  <c r="X160"/>
  <c r="R160"/>
  <c r="Q160"/>
  <c r="Q162" s="1"/>
  <c r="P160"/>
  <c r="J160"/>
  <c r="I160"/>
  <c r="I162" s="1"/>
  <c r="H160"/>
  <c r="E160"/>
  <c r="E162" s="1"/>
  <c r="D160"/>
  <c r="C160"/>
  <c r="C162" s="1"/>
  <c r="AA149"/>
  <c r="AA209" s="1"/>
  <c r="S149"/>
  <c r="S209" s="1"/>
  <c r="K149"/>
  <c r="K209" s="1"/>
  <c r="F149"/>
  <c r="F209" s="1"/>
  <c r="AA148"/>
  <c r="AA208" s="1"/>
  <c r="S148"/>
  <c r="S208" s="1"/>
  <c r="K148"/>
  <c r="K208" s="1"/>
  <c r="F148"/>
  <c r="F208" s="1"/>
  <c r="F207" s="1"/>
  <c r="AD147"/>
  <c r="AB147"/>
  <c r="AA147"/>
  <c r="Z147"/>
  <c r="Y147"/>
  <c r="X147"/>
  <c r="W147"/>
  <c r="V147"/>
  <c r="T147"/>
  <c r="S147"/>
  <c r="R147"/>
  <c r="Q147"/>
  <c r="P147"/>
  <c r="O147"/>
  <c r="O150" s="1"/>
  <c r="N147"/>
  <c r="L147"/>
  <c r="K147"/>
  <c r="J147"/>
  <c r="I147"/>
  <c r="H147"/>
  <c r="G147"/>
  <c r="E147"/>
  <c r="D147"/>
  <c r="C147"/>
  <c r="B147"/>
  <c r="AB150"/>
  <c r="W150"/>
  <c r="T150"/>
  <c r="L150"/>
  <c r="G150"/>
  <c r="B150"/>
  <c r="AB203"/>
  <c r="AA143"/>
  <c r="AA203" s="1"/>
  <c r="W203"/>
  <c r="T203"/>
  <c r="S143"/>
  <c r="S203" s="1"/>
  <c r="O203"/>
  <c r="L203"/>
  <c r="K143"/>
  <c r="K203" s="1"/>
  <c r="G203"/>
  <c r="F143"/>
  <c r="F203" s="1"/>
  <c r="B203"/>
  <c r="AB202"/>
  <c r="AA202"/>
  <c r="Z202"/>
  <c r="Y202"/>
  <c r="X202"/>
  <c r="W202"/>
  <c r="T202"/>
  <c r="S202"/>
  <c r="R202"/>
  <c r="Q202"/>
  <c r="P202"/>
  <c r="O202"/>
  <c r="L202"/>
  <c r="K202"/>
  <c r="J202"/>
  <c r="I202"/>
  <c r="H202"/>
  <c r="G202"/>
  <c r="E202"/>
  <c r="D202"/>
  <c r="C202"/>
  <c r="B202"/>
  <c r="AB201"/>
  <c r="AA141"/>
  <c r="AA201" s="1"/>
  <c r="W201"/>
  <c r="T201"/>
  <c r="S141"/>
  <c r="S201" s="1"/>
  <c r="O201"/>
  <c r="L201"/>
  <c r="K141"/>
  <c r="G201"/>
  <c r="F141"/>
  <c r="F201" s="1"/>
  <c r="B201"/>
  <c r="AA140"/>
  <c r="AA200" s="1"/>
  <c r="S140"/>
  <c r="S200" s="1"/>
  <c r="K140"/>
  <c r="K200" s="1"/>
  <c r="F140"/>
  <c r="F200" s="1"/>
  <c r="AA139"/>
  <c r="AA199" s="1"/>
  <c r="S139"/>
  <c r="S199" s="1"/>
  <c r="K139"/>
  <c r="K199" s="1"/>
  <c r="F139"/>
  <c r="F199" s="1"/>
  <c r="AA138"/>
  <c r="AA198" s="1"/>
  <c r="S138"/>
  <c r="S198" s="1"/>
  <c r="K138"/>
  <c r="K198" s="1"/>
  <c r="F138"/>
  <c r="F198" s="1"/>
  <c r="AB197"/>
  <c r="AA137"/>
  <c r="AA197" s="1"/>
  <c r="W197"/>
  <c r="T197"/>
  <c r="S137"/>
  <c r="O197"/>
  <c r="L197"/>
  <c r="K137"/>
  <c r="K197" s="1"/>
  <c r="G197"/>
  <c r="F137"/>
  <c r="F197" s="1"/>
  <c r="B197"/>
  <c r="AB196"/>
  <c r="AA136"/>
  <c r="W196"/>
  <c r="T196"/>
  <c r="S136"/>
  <c r="S196" s="1"/>
  <c r="O196"/>
  <c r="L196"/>
  <c r="K136"/>
  <c r="G196"/>
  <c r="F136"/>
  <c r="F196" s="1"/>
  <c r="B196"/>
  <c r="AB195"/>
  <c r="Z135"/>
  <c r="Z195" s="1"/>
  <c r="Y135"/>
  <c r="Y195" s="1"/>
  <c r="X135"/>
  <c r="X195" s="1"/>
  <c r="W195"/>
  <c r="T195"/>
  <c r="R135"/>
  <c r="R195" s="1"/>
  <c r="Q135"/>
  <c r="Q195" s="1"/>
  <c r="P135"/>
  <c r="P195" s="1"/>
  <c r="O195"/>
  <c r="L195"/>
  <c r="J135"/>
  <c r="J195" s="1"/>
  <c r="W61" i="115" s="1"/>
  <c r="I135" i="114"/>
  <c r="I195" s="1"/>
  <c r="T61" i="115" s="1"/>
  <c r="H135" i="114"/>
  <c r="H195" s="1"/>
  <c r="Q61" i="115" s="1"/>
  <c r="G195" i="114"/>
  <c r="E135"/>
  <c r="E195" s="1"/>
  <c r="I61" i="115" s="1"/>
  <c r="D135" i="114"/>
  <c r="D195" s="1"/>
  <c r="F61" i="115" s="1"/>
  <c r="C135" i="114"/>
  <c r="C195" s="1"/>
  <c r="C61" i="115" s="1"/>
  <c r="B195" i="114"/>
  <c r="AB194"/>
  <c r="AA134"/>
  <c r="AA194" s="1"/>
  <c r="W194"/>
  <c r="T194"/>
  <c r="S134"/>
  <c r="S194" s="1"/>
  <c r="O194"/>
  <c r="L194"/>
  <c r="K134"/>
  <c r="K194" s="1"/>
  <c r="G194"/>
  <c r="F134"/>
  <c r="F194" s="1"/>
  <c r="B194"/>
  <c r="AB193"/>
  <c r="AA133"/>
  <c r="AA193" s="1"/>
  <c r="W193"/>
  <c r="T193"/>
  <c r="S133"/>
  <c r="S193" s="1"/>
  <c r="O193"/>
  <c r="L193"/>
  <c r="K133"/>
  <c r="K193" s="1"/>
  <c r="G193"/>
  <c r="F133"/>
  <c r="F193" s="1"/>
  <c r="B193"/>
  <c r="AB192"/>
  <c r="AA132"/>
  <c r="AA192" s="1"/>
  <c r="W192"/>
  <c r="T192"/>
  <c r="S132"/>
  <c r="S192" s="1"/>
  <c r="O192"/>
  <c r="L192"/>
  <c r="K132"/>
  <c r="K192" s="1"/>
  <c r="G192"/>
  <c r="F132"/>
  <c r="B192"/>
  <c r="AB191"/>
  <c r="AA131"/>
  <c r="AA191" s="1"/>
  <c r="W191"/>
  <c r="T191"/>
  <c r="S131"/>
  <c r="S191" s="1"/>
  <c r="O191"/>
  <c r="L191"/>
  <c r="K131"/>
  <c r="K191" s="1"/>
  <c r="G191"/>
  <c r="F131"/>
  <c r="F191" s="1"/>
  <c r="B191"/>
  <c r="AB190"/>
  <c r="Z130"/>
  <c r="Z190" s="1"/>
  <c r="Y130"/>
  <c r="Y190" s="1"/>
  <c r="X130"/>
  <c r="X190" s="1"/>
  <c r="W190"/>
  <c r="T190"/>
  <c r="R130"/>
  <c r="R190" s="1"/>
  <c r="Q130"/>
  <c r="Q190" s="1"/>
  <c r="P130"/>
  <c r="P190" s="1"/>
  <c r="O190"/>
  <c r="L190"/>
  <c r="J130"/>
  <c r="J190" s="1"/>
  <c r="W56" i="115" s="1"/>
  <c r="I130" i="114"/>
  <c r="I190" s="1"/>
  <c r="H130"/>
  <c r="H190" s="1"/>
  <c r="G190"/>
  <c r="E130"/>
  <c r="E190" s="1"/>
  <c r="I56" i="115" s="1"/>
  <c r="D130" i="114"/>
  <c r="D190" s="1"/>
  <c r="C130"/>
  <c r="C190" s="1"/>
  <c r="B190"/>
  <c r="AA129"/>
  <c r="S129"/>
  <c r="K129"/>
  <c r="F129"/>
  <c r="AA128"/>
  <c r="S128"/>
  <c r="K128"/>
  <c r="F128"/>
  <c r="AA127"/>
  <c r="AA126" s="1"/>
  <c r="S127"/>
  <c r="K127"/>
  <c r="K126" s="1"/>
  <c r="F127"/>
  <c r="Z126"/>
  <c r="Y126"/>
  <c r="X126"/>
  <c r="R126"/>
  <c r="Q126"/>
  <c r="P126"/>
  <c r="J126"/>
  <c r="I126"/>
  <c r="H126"/>
  <c r="F126"/>
  <c r="E126"/>
  <c r="D126"/>
  <c r="C126"/>
  <c r="AA125"/>
  <c r="AA124" s="1"/>
  <c r="S125"/>
  <c r="K125"/>
  <c r="K124" s="1"/>
  <c r="F125"/>
  <c r="F124" s="1"/>
  <c r="Z124"/>
  <c r="Z117" s="1"/>
  <c r="Y124"/>
  <c r="Y117" s="1"/>
  <c r="Y110" s="1"/>
  <c r="X124"/>
  <c r="X117" s="1"/>
  <c r="X110" s="1"/>
  <c r="S124"/>
  <c r="R124"/>
  <c r="R117" s="1"/>
  <c r="R110" s="1"/>
  <c r="Q124"/>
  <c r="Q117" s="1"/>
  <c r="P124"/>
  <c r="P117" s="1"/>
  <c r="J124"/>
  <c r="J117" s="1"/>
  <c r="J110" s="1"/>
  <c r="I124"/>
  <c r="H124"/>
  <c r="H117" s="1"/>
  <c r="H110" s="1"/>
  <c r="E124"/>
  <c r="E117" s="1"/>
  <c r="E110" s="1"/>
  <c r="D124"/>
  <c r="D117" s="1"/>
  <c r="D110" s="1"/>
  <c r="C124"/>
  <c r="C117" s="1"/>
  <c r="AA123"/>
  <c r="S123"/>
  <c r="K123"/>
  <c r="F123"/>
  <c r="AA122"/>
  <c r="S122"/>
  <c r="K122"/>
  <c r="F122"/>
  <c r="AA121"/>
  <c r="S121"/>
  <c r="K121"/>
  <c r="F121"/>
  <c r="AA120"/>
  <c r="S120"/>
  <c r="K120"/>
  <c r="F120"/>
  <c r="AA119"/>
  <c r="S119"/>
  <c r="K119"/>
  <c r="F119"/>
  <c r="AA118"/>
  <c r="AA117" s="1"/>
  <c r="S118"/>
  <c r="K118"/>
  <c r="F118"/>
  <c r="Z116"/>
  <c r="Y116"/>
  <c r="X116"/>
  <c r="R116"/>
  <c r="Q116"/>
  <c r="J116"/>
  <c r="I116"/>
  <c r="H116"/>
  <c r="E116"/>
  <c r="D116"/>
  <c r="C116"/>
  <c r="AA115"/>
  <c r="S115"/>
  <c r="K115"/>
  <c r="F115"/>
  <c r="AA114"/>
  <c r="P116"/>
  <c r="K114"/>
  <c r="F114"/>
  <c r="AA113"/>
  <c r="S113"/>
  <c r="K113"/>
  <c r="C180"/>
  <c r="C46" i="115" s="1"/>
  <c r="AA112" i="114"/>
  <c r="S112"/>
  <c r="K112"/>
  <c r="F112"/>
  <c r="AA111"/>
  <c r="S111"/>
  <c r="K111"/>
  <c r="F111"/>
  <c r="AA109"/>
  <c r="S109"/>
  <c r="K109"/>
  <c r="F109"/>
  <c r="Z246"/>
  <c r="Q246"/>
  <c r="P246"/>
  <c r="I246"/>
  <c r="I244" s="1"/>
  <c r="F108"/>
  <c r="AA107"/>
  <c r="S107"/>
  <c r="K107"/>
  <c r="F107"/>
  <c r="Y106"/>
  <c r="X106"/>
  <c r="R106"/>
  <c r="Q106"/>
  <c r="J106"/>
  <c r="I106"/>
  <c r="H106"/>
  <c r="E106"/>
  <c r="D106"/>
  <c r="C106"/>
  <c r="AA105"/>
  <c r="S105"/>
  <c r="S104" s="1"/>
  <c r="K105"/>
  <c r="K104" s="1"/>
  <c r="F105"/>
  <c r="F104" s="1"/>
  <c r="AA104"/>
  <c r="Z104"/>
  <c r="Y104"/>
  <c r="X104"/>
  <c r="R104"/>
  <c r="Q104"/>
  <c r="P104"/>
  <c r="J104"/>
  <c r="I104"/>
  <c r="H104"/>
  <c r="E104"/>
  <c r="D104"/>
  <c r="D93" s="1"/>
  <c r="D86" s="1"/>
  <c r="C104"/>
  <c r="AA103"/>
  <c r="S103"/>
  <c r="I228"/>
  <c r="F103"/>
  <c r="AA102"/>
  <c r="S102"/>
  <c r="K102"/>
  <c r="F102"/>
  <c r="AA101"/>
  <c r="AA232" s="1"/>
  <c r="S101"/>
  <c r="S232" s="1"/>
  <c r="K101"/>
  <c r="K232" s="1"/>
  <c r="F101"/>
  <c r="F232" s="1"/>
  <c r="AB231"/>
  <c r="AA100"/>
  <c r="AA231" s="1"/>
  <c r="W231"/>
  <c r="T231"/>
  <c r="S100"/>
  <c r="S231" s="1"/>
  <c r="O231"/>
  <c r="L231"/>
  <c r="K100"/>
  <c r="K231" s="1"/>
  <c r="G231"/>
  <c r="F100"/>
  <c r="F231" s="1"/>
  <c r="B231"/>
  <c r="AB230"/>
  <c r="Z230"/>
  <c r="W230"/>
  <c r="T230"/>
  <c r="S99"/>
  <c r="S230" s="1"/>
  <c r="O230"/>
  <c r="L230"/>
  <c r="K99"/>
  <c r="K230" s="1"/>
  <c r="G230"/>
  <c r="F99"/>
  <c r="F230" s="1"/>
  <c r="B230"/>
  <c r="AA98"/>
  <c r="S98"/>
  <c r="K98"/>
  <c r="F98"/>
  <c r="AA97"/>
  <c r="K97"/>
  <c r="F97"/>
  <c r="AA96"/>
  <c r="S96"/>
  <c r="K96"/>
  <c r="F96"/>
  <c r="AA95"/>
  <c r="S95"/>
  <c r="K95"/>
  <c r="F95"/>
  <c r="AA94"/>
  <c r="S94"/>
  <c r="K94"/>
  <c r="F94"/>
  <c r="X93"/>
  <c r="X86" s="1"/>
  <c r="R93"/>
  <c r="R86" s="1"/>
  <c r="J93"/>
  <c r="J86" s="1"/>
  <c r="H93"/>
  <c r="H86" s="1"/>
  <c r="Z92"/>
  <c r="Y92"/>
  <c r="X92"/>
  <c r="R92"/>
  <c r="Q92"/>
  <c r="P92"/>
  <c r="J92"/>
  <c r="I92"/>
  <c r="H92"/>
  <c r="E92"/>
  <c r="D92"/>
  <c r="C92"/>
  <c r="AA91"/>
  <c r="S91"/>
  <c r="K91"/>
  <c r="F91"/>
  <c r="AA90"/>
  <c r="S90"/>
  <c r="S92" s="1"/>
  <c r="K90"/>
  <c r="F90"/>
  <c r="AA89"/>
  <c r="S89"/>
  <c r="K89"/>
  <c r="F89"/>
  <c r="AA88"/>
  <c r="S88"/>
  <c r="K88"/>
  <c r="F88"/>
  <c r="AA87"/>
  <c r="K87"/>
  <c r="F87"/>
  <c r="AB248"/>
  <c r="AA85"/>
  <c r="AA248" s="1"/>
  <c r="W248"/>
  <c r="T248"/>
  <c r="S85"/>
  <c r="S248" s="1"/>
  <c r="O248"/>
  <c r="L248"/>
  <c r="K85"/>
  <c r="K248" s="1"/>
  <c r="G248"/>
  <c r="F85"/>
  <c r="F248" s="1"/>
  <c r="B248"/>
  <c r="AB246"/>
  <c r="AA84"/>
  <c r="W246"/>
  <c r="T246"/>
  <c r="S84"/>
  <c r="O246"/>
  <c r="L246"/>
  <c r="K84"/>
  <c r="G246"/>
  <c r="F84"/>
  <c r="B246"/>
  <c r="AA83"/>
  <c r="S83"/>
  <c r="K83"/>
  <c r="F83"/>
  <c r="Z245"/>
  <c r="Z244" s="1"/>
  <c r="Q245"/>
  <c r="Q244" s="1"/>
  <c r="P245"/>
  <c r="P244" s="1"/>
  <c r="K82"/>
  <c r="F82"/>
  <c r="Y81"/>
  <c r="X81"/>
  <c r="R81"/>
  <c r="Q81"/>
  <c r="J81"/>
  <c r="I81"/>
  <c r="H81"/>
  <c r="E81"/>
  <c r="D81"/>
  <c r="C81"/>
  <c r="Z243"/>
  <c r="S80"/>
  <c r="K80"/>
  <c r="F80"/>
  <c r="AA79"/>
  <c r="S79"/>
  <c r="K79"/>
  <c r="F79"/>
  <c r="M79" s="1"/>
  <c r="Z241"/>
  <c r="Q241"/>
  <c r="I241"/>
  <c r="C241"/>
  <c r="AB240"/>
  <c r="Z240"/>
  <c r="W240"/>
  <c r="T240"/>
  <c r="S77"/>
  <c r="S240" s="1"/>
  <c r="O240"/>
  <c r="L240"/>
  <c r="K77"/>
  <c r="K240" s="1"/>
  <c r="G240"/>
  <c r="F77"/>
  <c r="F240" s="1"/>
  <c r="B240"/>
  <c r="Y76"/>
  <c r="X76"/>
  <c r="R76"/>
  <c r="Q76"/>
  <c r="P76"/>
  <c r="J76"/>
  <c r="J58" s="1"/>
  <c r="J49" s="1"/>
  <c r="H76"/>
  <c r="E76"/>
  <c r="D76"/>
  <c r="AB228"/>
  <c r="AA75"/>
  <c r="AA228" s="1"/>
  <c r="W228"/>
  <c r="T228"/>
  <c r="S75"/>
  <c r="S228" s="1"/>
  <c r="O228"/>
  <c r="L228"/>
  <c r="K75"/>
  <c r="G228"/>
  <c r="F75"/>
  <c r="F228" s="1"/>
  <c r="B228"/>
  <c r="AA74"/>
  <c r="S74"/>
  <c r="K74"/>
  <c r="F74"/>
  <c r="AB223"/>
  <c r="AA73"/>
  <c r="AA223" s="1"/>
  <c r="W223"/>
  <c r="T223"/>
  <c r="S73"/>
  <c r="S223" s="1"/>
  <c r="O223"/>
  <c r="L223"/>
  <c r="K73"/>
  <c r="K223" s="1"/>
  <c r="G223"/>
  <c r="F73"/>
  <c r="F223" s="1"/>
  <c r="B223"/>
  <c r="AB238"/>
  <c r="AA72"/>
  <c r="AA238" s="1"/>
  <c r="W238"/>
  <c r="T238"/>
  <c r="S72"/>
  <c r="S238" s="1"/>
  <c r="O238"/>
  <c r="L238"/>
  <c r="K72"/>
  <c r="K238" s="1"/>
  <c r="G238"/>
  <c r="F72"/>
  <c r="F238" s="1"/>
  <c r="B238"/>
  <c r="AB237"/>
  <c r="AA71"/>
  <c r="AA237" s="1"/>
  <c r="W237"/>
  <c r="T237"/>
  <c r="S71"/>
  <c r="S237" s="1"/>
  <c r="O237"/>
  <c r="L237"/>
  <c r="K71"/>
  <c r="K237" s="1"/>
  <c r="G237"/>
  <c r="F71"/>
  <c r="F237" s="1"/>
  <c r="B237"/>
  <c r="AB236"/>
  <c r="Z236"/>
  <c r="W236"/>
  <c r="T236"/>
  <c r="P236"/>
  <c r="O236"/>
  <c r="L236"/>
  <c r="I236"/>
  <c r="G236"/>
  <c r="C236"/>
  <c r="B236"/>
  <c r="AB235"/>
  <c r="AA69"/>
  <c r="AA235" s="1"/>
  <c r="W235"/>
  <c r="T235"/>
  <c r="S69"/>
  <c r="S235" s="1"/>
  <c r="O235"/>
  <c r="L235"/>
  <c r="K69"/>
  <c r="K235" s="1"/>
  <c r="G235"/>
  <c r="F69"/>
  <c r="F235" s="1"/>
  <c r="B235"/>
  <c r="AB234"/>
  <c r="Z234"/>
  <c r="W234"/>
  <c r="T234"/>
  <c r="S68"/>
  <c r="S234" s="1"/>
  <c r="O234"/>
  <c r="L234"/>
  <c r="I234"/>
  <c r="G234"/>
  <c r="F68"/>
  <c r="F234" s="1"/>
  <c r="B234"/>
  <c r="AB226"/>
  <c r="AA67"/>
  <c r="AA226" s="1"/>
  <c r="W226"/>
  <c r="T226"/>
  <c r="S67"/>
  <c r="S226" s="1"/>
  <c r="O226"/>
  <c r="L226"/>
  <c r="K67"/>
  <c r="K226" s="1"/>
  <c r="G226"/>
  <c r="F67"/>
  <c r="F226" s="1"/>
  <c r="B226"/>
  <c r="AA66"/>
  <c r="S66"/>
  <c r="K66"/>
  <c r="F66"/>
  <c r="AB225"/>
  <c r="AA65"/>
  <c r="AA225" s="1"/>
  <c r="W225"/>
  <c r="T225"/>
  <c r="S65"/>
  <c r="S225" s="1"/>
  <c r="O225"/>
  <c r="L225"/>
  <c r="K65"/>
  <c r="K225" s="1"/>
  <c r="G225"/>
  <c r="F65"/>
  <c r="F225" s="1"/>
  <c r="B225"/>
  <c r="AB227"/>
  <c r="AA64"/>
  <c r="AA227" s="1"/>
  <c r="W227"/>
  <c r="T227"/>
  <c r="S64"/>
  <c r="S227" s="1"/>
  <c r="O227"/>
  <c r="L227"/>
  <c r="K64"/>
  <c r="K227" s="1"/>
  <c r="G227"/>
  <c r="F64"/>
  <c r="F227" s="1"/>
  <c r="B227"/>
  <c r="Z222"/>
  <c r="Q222"/>
  <c r="P222"/>
  <c r="I222"/>
  <c r="C222"/>
  <c r="AA62"/>
  <c r="S62"/>
  <c r="K62"/>
  <c r="F62"/>
  <c r="Z220"/>
  <c r="Q220"/>
  <c r="K61"/>
  <c r="F61"/>
  <c r="AA60"/>
  <c r="S60"/>
  <c r="K60"/>
  <c r="F60"/>
  <c r="AA59"/>
  <c r="S59"/>
  <c r="K59"/>
  <c r="F59"/>
  <c r="Y58"/>
  <c r="X58"/>
  <c r="R58"/>
  <c r="Q58"/>
  <c r="D58"/>
  <c r="Z57"/>
  <c r="Y57"/>
  <c r="X57"/>
  <c r="Q57"/>
  <c r="J57"/>
  <c r="H57"/>
  <c r="E57"/>
  <c r="D57"/>
  <c r="C57"/>
  <c r="A57"/>
  <c r="A116" s="1"/>
  <c r="AA56"/>
  <c r="R183"/>
  <c r="I183"/>
  <c r="T49" i="115" s="1"/>
  <c r="F56" i="114"/>
  <c r="AA55"/>
  <c r="R182"/>
  <c r="P182"/>
  <c r="I182"/>
  <c r="T48" i="115" s="1"/>
  <c r="F55" i="114"/>
  <c r="Z180"/>
  <c r="Q180"/>
  <c r="P180"/>
  <c r="I180"/>
  <c r="T46" i="115" s="1"/>
  <c r="F54" i="114"/>
  <c r="AA53"/>
  <c r="S53"/>
  <c r="K53"/>
  <c r="F53"/>
  <c r="AA52"/>
  <c r="Q178"/>
  <c r="I178"/>
  <c r="T44" i="115" s="1"/>
  <c r="C178" i="114"/>
  <c r="C44" i="115" s="1"/>
  <c r="AB181" i="114"/>
  <c r="Z181"/>
  <c r="W181"/>
  <c r="T181"/>
  <c r="Q181"/>
  <c r="O181"/>
  <c r="L181"/>
  <c r="I181"/>
  <c r="T47" i="115" s="1"/>
  <c r="G181" i="114"/>
  <c r="F51"/>
  <c r="F181" s="1"/>
  <c r="B181"/>
  <c r="AA50"/>
  <c r="S50"/>
  <c r="K50"/>
  <c r="F50"/>
  <c r="Y49"/>
  <c r="X49"/>
  <c r="R49"/>
  <c r="D49"/>
  <c r="AB247"/>
  <c r="AA48"/>
  <c r="AA247" s="1"/>
  <c r="W247"/>
  <c r="T247"/>
  <c r="S48"/>
  <c r="S247" s="1"/>
  <c r="O247"/>
  <c r="L247"/>
  <c r="K48"/>
  <c r="K247" s="1"/>
  <c r="G247"/>
  <c r="F48"/>
  <c r="F247" s="1"/>
  <c r="B247"/>
  <c r="AB245"/>
  <c r="AB244" s="1"/>
  <c r="AA47"/>
  <c r="W245"/>
  <c r="W244" s="1"/>
  <c r="T245"/>
  <c r="S47"/>
  <c r="O245"/>
  <c r="L245"/>
  <c r="L244" s="1"/>
  <c r="K47"/>
  <c r="G245"/>
  <c r="G244" s="1"/>
  <c r="F47"/>
  <c r="F245" s="1"/>
  <c r="B245"/>
  <c r="B244" s="1"/>
  <c r="Z46"/>
  <c r="Y46"/>
  <c r="X46"/>
  <c r="R46"/>
  <c r="Q46"/>
  <c r="P46"/>
  <c r="J46"/>
  <c r="I46"/>
  <c r="H46"/>
  <c r="E46"/>
  <c r="D46"/>
  <c r="C46"/>
  <c r="AB243"/>
  <c r="AA45"/>
  <c r="W243"/>
  <c r="T243"/>
  <c r="S45"/>
  <c r="S243" s="1"/>
  <c r="O243"/>
  <c r="L243"/>
  <c r="K45"/>
  <c r="G243"/>
  <c r="F45"/>
  <c r="F243" s="1"/>
  <c r="B243"/>
  <c r="AB242"/>
  <c r="AA44"/>
  <c r="AA242" s="1"/>
  <c r="W242"/>
  <c r="T242"/>
  <c r="S44"/>
  <c r="S242" s="1"/>
  <c r="O242"/>
  <c r="L242"/>
  <c r="K44"/>
  <c r="K242" s="1"/>
  <c r="G242"/>
  <c r="F44"/>
  <c r="F242" s="1"/>
  <c r="B242"/>
  <c r="AB241"/>
  <c r="AA43"/>
  <c r="W241"/>
  <c r="T241"/>
  <c r="S43"/>
  <c r="O241"/>
  <c r="L241"/>
  <c r="K43"/>
  <c r="G241"/>
  <c r="F43"/>
  <c r="B241"/>
  <c r="Z42"/>
  <c r="Y42"/>
  <c r="X42"/>
  <c r="R42"/>
  <c r="Q42"/>
  <c r="P42"/>
  <c r="J42"/>
  <c r="I42"/>
  <c r="H42"/>
  <c r="E42"/>
  <c r="D42"/>
  <c r="C42"/>
  <c r="AB233"/>
  <c r="AA41"/>
  <c r="AA233" s="1"/>
  <c r="W233"/>
  <c r="T233"/>
  <c r="S41"/>
  <c r="S233" s="1"/>
  <c r="O233"/>
  <c r="L233"/>
  <c r="K41"/>
  <c r="K233" s="1"/>
  <c r="G233"/>
  <c r="F41"/>
  <c r="F233" s="1"/>
  <c r="B233"/>
  <c r="AB224"/>
  <c r="AA40"/>
  <c r="AA224" s="1"/>
  <c r="W224"/>
  <c r="T224"/>
  <c r="S40"/>
  <c r="S224" s="1"/>
  <c r="O224"/>
  <c r="L224"/>
  <c r="K40"/>
  <c r="K224" s="1"/>
  <c r="G224"/>
  <c r="F40"/>
  <c r="F224" s="1"/>
  <c r="B224"/>
  <c r="AB222"/>
  <c r="AA39"/>
  <c r="W222"/>
  <c r="T222"/>
  <c r="S39"/>
  <c r="O222"/>
  <c r="L222"/>
  <c r="K39"/>
  <c r="G222"/>
  <c r="F39"/>
  <c r="B222"/>
  <c r="AB221"/>
  <c r="AA38"/>
  <c r="AA221" s="1"/>
  <c r="W221"/>
  <c r="T221"/>
  <c r="S38"/>
  <c r="S221" s="1"/>
  <c r="O221"/>
  <c r="L221"/>
  <c r="K38"/>
  <c r="G221"/>
  <c r="F38"/>
  <c r="F221" s="1"/>
  <c r="B221"/>
  <c r="AB220"/>
  <c r="AA37"/>
  <c r="W220"/>
  <c r="T220"/>
  <c r="S37"/>
  <c r="O220"/>
  <c r="L220"/>
  <c r="K37"/>
  <c r="K220" s="1"/>
  <c r="G220"/>
  <c r="F37"/>
  <c r="B220"/>
  <c r="AB219"/>
  <c r="AA36"/>
  <c r="AA219" s="1"/>
  <c r="W219"/>
  <c r="T219"/>
  <c r="S36"/>
  <c r="S219" s="1"/>
  <c r="O219"/>
  <c r="L219"/>
  <c r="K36"/>
  <c r="K219" s="1"/>
  <c r="G219"/>
  <c r="F36"/>
  <c r="F219" s="1"/>
  <c r="B219"/>
  <c r="AA35"/>
  <c r="S35"/>
  <c r="K35"/>
  <c r="F35"/>
  <c r="AA34"/>
  <c r="S34"/>
  <c r="K34"/>
  <c r="F34"/>
  <c r="AB185"/>
  <c r="Z33"/>
  <c r="Y33"/>
  <c r="X33"/>
  <c r="W185"/>
  <c r="T185"/>
  <c r="R33"/>
  <c r="Q33"/>
  <c r="P33"/>
  <c r="O185"/>
  <c r="L185"/>
  <c r="I33"/>
  <c r="H33"/>
  <c r="G185"/>
  <c r="E33"/>
  <c r="D33"/>
  <c r="C33"/>
  <c r="C25" s="1"/>
  <c r="B185"/>
  <c r="Z32"/>
  <c r="Y32"/>
  <c r="X32"/>
  <c r="R32"/>
  <c r="Q32"/>
  <c r="P32"/>
  <c r="J32"/>
  <c r="I32"/>
  <c r="H32"/>
  <c r="E32"/>
  <c r="D32"/>
  <c r="C32"/>
  <c r="AB183"/>
  <c r="AA31"/>
  <c r="AA183" s="1"/>
  <c r="W183"/>
  <c r="T183"/>
  <c r="S31"/>
  <c r="O183"/>
  <c r="L183"/>
  <c r="K31"/>
  <c r="G183"/>
  <c r="F31"/>
  <c r="F183" s="1"/>
  <c r="B183"/>
  <c r="AB182"/>
  <c r="AA30"/>
  <c r="AA182" s="1"/>
  <c r="W182"/>
  <c r="T182"/>
  <c r="S30"/>
  <c r="O182"/>
  <c r="L182"/>
  <c r="K30"/>
  <c r="G182"/>
  <c r="F30"/>
  <c r="F182" s="1"/>
  <c r="B182"/>
  <c r="AB180"/>
  <c r="AA29"/>
  <c r="W180"/>
  <c r="T180"/>
  <c r="S29"/>
  <c r="O180"/>
  <c r="L180"/>
  <c r="K29"/>
  <c r="G180"/>
  <c r="F29"/>
  <c r="B180"/>
  <c r="AB179"/>
  <c r="AA28"/>
  <c r="AA179" s="1"/>
  <c r="W179"/>
  <c r="T179"/>
  <c r="S28"/>
  <c r="S179" s="1"/>
  <c r="O179"/>
  <c r="L179"/>
  <c r="K28"/>
  <c r="K179" s="1"/>
  <c r="G179"/>
  <c r="F28"/>
  <c r="F179" s="1"/>
  <c r="B179"/>
  <c r="AB178"/>
  <c r="AA27"/>
  <c r="AA178" s="1"/>
  <c r="W178"/>
  <c r="T178"/>
  <c r="S27"/>
  <c r="O178"/>
  <c r="L178"/>
  <c r="K27"/>
  <c r="G178"/>
  <c r="F27"/>
  <c r="B178"/>
  <c r="AB177"/>
  <c r="AA26"/>
  <c r="AA177" s="1"/>
  <c r="W177"/>
  <c r="T177"/>
  <c r="S26"/>
  <c r="S177" s="1"/>
  <c r="O177"/>
  <c r="L177"/>
  <c r="K26"/>
  <c r="K177" s="1"/>
  <c r="G177"/>
  <c r="F26"/>
  <c r="F177" s="1"/>
  <c r="B177"/>
  <c r="Z25"/>
  <c r="Y25"/>
  <c r="X25"/>
  <c r="R25"/>
  <c r="Q25"/>
  <c r="P25"/>
  <c r="I25"/>
  <c r="H25"/>
  <c r="E25"/>
  <c r="D25"/>
  <c r="AB172"/>
  <c r="AA20"/>
  <c r="W172"/>
  <c r="T172"/>
  <c r="S20"/>
  <c r="O172"/>
  <c r="L172"/>
  <c r="K20"/>
  <c r="G172"/>
  <c r="F20"/>
  <c r="M20" s="1"/>
  <c r="B172"/>
  <c r="AB171"/>
  <c r="AA19"/>
  <c r="W171"/>
  <c r="T171"/>
  <c r="S19"/>
  <c r="O171"/>
  <c r="L171"/>
  <c r="K19"/>
  <c r="G171"/>
  <c r="F19"/>
  <c r="B171"/>
  <c r="AB170"/>
  <c r="AA18"/>
  <c r="Z18"/>
  <c r="Y18"/>
  <c r="X18"/>
  <c r="W170"/>
  <c r="T170"/>
  <c r="S18"/>
  <c r="R18"/>
  <c r="Q18"/>
  <c r="Q14" s="1"/>
  <c r="Q145" s="1"/>
  <c r="P18"/>
  <c r="O170"/>
  <c r="L170"/>
  <c r="J18"/>
  <c r="W18" i="115" s="1"/>
  <c r="I18" i="114"/>
  <c r="H18"/>
  <c r="Q18" i="115" s="1"/>
  <c r="G170" i="114"/>
  <c r="E18"/>
  <c r="I18" i="115" s="1"/>
  <c r="D18" i="114"/>
  <c r="C18"/>
  <c r="C18" i="115" s="1"/>
  <c r="B170" i="114"/>
  <c r="AB169"/>
  <c r="AA17"/>
  <c r="AA169" s="1"/>
  <c r="W169"/>
  <c r="T169"/>
  <c r="S17"/>
  <c r="O169"/>
  <c r="L169"/>
  <c r="K17"/>
  <c r="G169"/>
  <c r="F17"/>
  <c r="M17" s="1"/>
  <c r="B169"/>
  <c r="AB168"/>
  <c r="AA16"/>
  <c r="AA168" s="1"/>
  <c r="W168"/>
  <c r="T168"/>
  <c r="Q168"/>
  <c r="O168"/>
  <c r="L168"/>
  <c r="K16"/>
  <c r="G168"/>
  <c r="F16"/>
  <c r="M16" s="1"/>
  <c r="B168"/>
  <c r="AB167"/>
  <c r="AA15"/>
  <c r="AA167" s="1"/>
  <c r="W167"/>
  <c r="T167"/>
  <c r="S15"/>
  <c r="O167"/>
  <c r="L167"/>
  <c r="K15"/>
  <c r="G167"/>
  <c r="F15"/>
  <c r="M15" s="1"/>
  <c r="B167"/>
  <c r="AB166"/>
  <c r="AB205" s="1"/>
  <c r="Z14"/>
  <c r="Z145" s="1"/>
  <c r="Y14"/>
  <c r="Y145" s="1"/>
  <c r="X14"/>
  <c r="X145" s="1"/>
  <c r="W166"/>
  <c r="W205" s="1"/>
  <c r="T166"/>
  <c r="T205" s="1"/>
  <c r="R14"/>
  <c r="R145" s="1"/>
  <c r="P14"/>
  <c r="P145" s="1"/>
  <c r="O166"/>
  <c r="O205" s="1"/>
  <c r="L166"/>
  <c r="L205" s="1"/>
  <c r="G166"/>
  <c r="G205" s="1"/>
  <c r="E14"/>
  <c r="B166"/>
  <c r="B205" s="1"/>
  <c r="AB164"/>
  <c r="W164"/>
  <c r="T164"/>
  <c r="O164"/>
  <c r="L164"/>
  <c r="G164"/>
  <c r="B164"/>
  <c r="AB163"/>
  <c r="Z11"/>
  <c r="Z12" s="1"/>
  <c r="Z13" s="1"/>
  <c r="Y11"/>
  <c r="X11"/>
  <c r="X12" s="1"/>
  <c r="X13" s="1"/>
  <c r="W163"/>
  <c r="T163"/>
  <c r="R11"/>
  <c r="Q11"/>
  <c r="P11"/>
  <c r="P12" s="1"/>
  <c r="P13" s="1"/>
  <c r="O163"/>
  <c r="L163"/>
  <c r="J11"/>
  <c r="I11"/>
  <c r="T11" i="115" s="1"/>
  <c r="H11" i="114"/>
  <c r="G163"/>
  <c r="E11"/>
  <c r="D11"/>
  <c r="F11" i="115" s="1"/>
  <c r="C11" i="114"/>
  <c r="C11" i="115" s="1"/>
  <c r="B163" i="114"/>
  <c r="Z10"/>
  <c r="Y10"/>
  <c r="X10"/>
  <c r="R10"/>
  <c r="Q10"/>
  <c r="P10"/>
  <c r="J10"/>
  <c r="W10" i="115" s="1"/>
  <c r="I10" i="114"/>
  <c r="T10" i="115" s="1"/>
  <c r="H10" i="114"/>
  <c r="Q10" i="115" s="1"/>
  <c r="E10" i="114"/>
  <c r="I10" i="115" s="1"/>
  <c r="D10" i="114"/>
  <c r="F10" i="115" s="1"/>
  <c r="C10" i="114"/>
  <c r="C10" i="115" s="1"/>
  <c r="AB161" i="114"/>
  <c r="AA9"/>
  <c r="W161"/>
  <c r="T161"/>
  <c r="S9"/>
  <c r="O161"/>
  <c r="L161"/>
  <c r="K9"/>
  <c r="G161"/>
  <c r="F9"/>
  <c r="B161"/>
  <c r="AB160"/>
  <c r="AA8"/>
  <c r="W160"/>
  <c r="T160"/>
  <c r="S8"/>
  <c r="O160"/>
  <c r="L160"/>
  <c r="K8"/>
  <c r="G160"/>
  <c r="F8"/>
  <c r="B160"/>
  <c r="E6" i="101"/>
  <c r="D6"/>
  <c r="C6"/>
  <c r="B6"/>
  <c r="E13"/>
  <c r="D13"/>
  <c r="C13"/>
  <c r="B13"/>
  <c r="E17"/>
  <c r="D17"/>
  <c r="C17"/>
  <c r="B17"/>
  <c r="K130" i="114" l="1"/>
  <c r="K190" s="1"/>
  <c r="J33"/>
  <c r="J25" s="1"/>
  <c r="W60" i="117"/>
  <c r="J14" i="114"/>
  <c r="W14" i="115" s="1"/>
  <c r="J166" i="114"/>
  <c r="J205" s="1"/>
  <c r="J145"/>
  <c r="W11" i="115"/>
  <c r="K143" i="116"/>
  <c r="K201" i="114"/>
  <c r="M141"/>
  <c r="K117"/>
  <c r="K110" s="1"/>
  <c r="I14"/>
  <c r="T14" i="115" s="1"/>
  <c r="T18"/>
  <c r="I145" i="114"/>
  <c r="T60" i="117"/>
  <c r="Z51"/>
  <c r="Z50"/>
  <c r="Z41"/>
  <c r="Z67" i="115"/>
  <c r="Z66"/>
  <c r="Z65"/>
  <c r="K75" i="116"/>
  <c r="K69" s="1"/>
  <c r="K149"/>
  <c r="K150" s="1"/>
  <c r="K221" i="114"/>
  <c r="K245"/>
  <c r="H58"/>
  <c r="H49" s="1"/>
  <c r="H144" s="1"/>
  <c r="M82"/>
  <c r="H244"/>
  <c r="K243"/>
  <c r="M119"/>
  <c r="M118"/>
  <c r="N118" s="1"/>
  <c r="Q60" i="117"/>
  <c r="K18" i="114"/>
  <c r="M19"/>
  <c r="K14"/>
  <c r="K145" s="1"/>
  <c r="H14"/>
  <c r="H12"/>
  <c r="Q11" i="115"/>
  <c r="E58" i="114"/>
  <c r="E49" s="1"/>
  <c r="E239"/>
  <c r="E249" s="1"/>
  <c r="E184"/>
  <c r="I50" i="115" s="1"/>
  <c r="I48"/>
  <c r="I60" i="117"/>
  <c r="E12" i="114"/>
  <c r="I12" i="115" s="1"/>
  <c r="I11"/>
  <c r="E13" i="114"/>
  <c r="I13" i="115" s="1"/>
  <c r="E145" i="114"/>
  <c r="I14" i="115"/>
  <c r="L55" i="117"/>
  <c r="D244" i="114"/>
  <c r="D239"/>
  <c r="L42" i="117"/>
  <c r="F60"/>
  <c r="L38" i="115"/>
  <c r="D14" i="114"/>
  <c r="F18" i="115"/>
  <c r="D145" i="114"/>
  <c r="F14" i="115"/>
  <c r="BR44" i="117"/>
  <c r="BR55" i="115"/>
  <c r="F246" i="114"/>
  <c r="C244"/>
  <c r="F220"/>
  <c r="F187" i="116"/>
  <c r="F148"/>
  <c r="C184" i="114"/>
  <c r="C50" i="115" s="1"/>
  <c r="C48"/>
  <c r="G22" i="118"/>
  <c r="G34" s="1"/>
  <c r="F34"/>
  <c r="D34" s="1"/>
  <c r="L27" i="117"/>
  <c r="L26"/>
  <c r="C51" i="118"/>
  <c r="F39"/>
  <c r="C60" i="117"/>
  <c r="Y63"/>
  <c r="S65"/>
  <c r="S69" s="1"/>
  <c r="BK63"/>
  <c r="BE65"/>
  <c r="BE69" s="1"/>
  <c r="L33"/>
  <c r="AS33"/>
  <c r="L34"/>
  <c r="AS34"/>
  <c r="L35"/>
  <c r="AS35"/>
  <c r="AL65"/>
  <c r="AL69" s="1"/>
  <c r="AR63"/>
  <c r="BJ59"/>
  <c r="BJ63" s="1"/>
  <c r="BG59"/>
  <c r="BG63" s="1"/>
  <c r="BD59"/>
  <c r="BD63" s="1"/>
  <c r="AQ65"/>
  <c r="AQ69" s="1"/>
  <c r="AN59"/>
  <c r="AN63" s="1"/>
  <c r="AK59"/>
  <c r="AK63" s="1"/>
  <c r="X59"/>
  <c r="X63" s="1"/>
  <c r="AF32"/>
  <c r="AY32" s="1"/>
  <c r="BR32" s="1"/>
  <c r="U59"/>
  <c r="U63" s="1"/>
  <c r="U64"/>
  <c r="U65" s="1"/>
  <c r="U69" s="1"/>
  <c r="R65"/>
  <c r="R69" s="1"/>
  <c r="AA63"/>
  <c r="J65"/>
  <c r="J69" s="1"/>
  <c r="G65"/>
  <c r="G69" s="1"/>
  <c r="D65"/>
  <c r="D69" s="1"/>
  <c r="M63"/>
  <c r="AF63" s="1"/>
  <c r="L36"/>
  <c r="AS36"/>
  <c r="L37"/>
  <c r="AS37"/>
  <c r="L38"/>
  <c r="AS38"/>
  <c r="AS43"/>
  <c r="L56"/>
  <c r="AS56"/>
  <c r="L57"/>
  <c r="AS57"/>
  <c r="L58"/>
  <c r="AS58"/>
  <c r="Y68"/>
  <c r="AF33"/>
  <c r="AY33" s="1"/>
  <c r="BR33" s="1"/>
  <c r="Z33"/>
  <c r="BL33"/>
  <c r="AF34"/>
  <c r="AY34" s="1"/>
  <c r="BR34" s="1"/>
  <c r="Z34"/>
  <c r="BL34"/>
  <c r="AF35"/>
  <c r="AY35" s="1"/>
  <c r="BR35" s="1"/>
  <c r="Z35"/>
  <c r="AB35" s="1"/>
  <c r="AC35" s="1"/>
  <c r="BL35"/>
  <c r="AF36"/>
  <c r="AY36" s="1"/>
  <c r="BR36" s="1"/>
  <c r="Z36"/>
  <c r="AB36" s="1"/>
  <c r="AC36" s="1"/>
  <c r="BL36"/>
  <c r="AF37"/>
  <c r="AY37" s="1"/>
  <c r="BR37" s="1"/>
  <c r="Z37"/>
  <c r="AB37" s="1"/>
  <c r="AC37" s="1"/>
  <c r="BL37"/>
  <c r="Z38"/>
  <c r="Z39" s="1"/>
  <c r="BL38"/>
  <c r="L41"/>
  <c r="AS41"/>
  <c r="Z42"/>
  <c r="AE42" s="1"/>
  <c r="BL42"/>
  <c r="Z43"/>
  <c r="BL43"/>
  <c r="Z46"/>
  <c r="BL46"/>
  <c r="Z47"/>
  <c r="AB47" s="1"/>
  <c r="AC47" s="1"/>
  <c r="BL47"/>
  <c r="Z48"/>
  <c r="AE48" s="1"/>
  <c r="AX48" s="1"/>
  <c r="BL48"/>
  <c r="L50"/>
  <c r="AS50"/>
  <c r="L51"/>
  <c r="AS51"/>
  <c r="AF55"/>
  <c r="AY55" s="1"/>
  <c r="BR55" s="1"/>
  <c r="Z55"/>
  <c r="AB55" s="1"/>
  <c r="AC55" s="1"/>
  <c r="BL55"/>
  <c r="AF56"/>
  <c r="AY56" s="1"/>
  <c r="BR56" s="1"/>
  <c r="Z56"/>
  <c r="BL56"/>
  <c r="AF57"/>
  <c r="AY57" s="1"/>
  <c r="BR57" s="1"/>
  <c r="Z57"/>
  <c r="BL57"/>
  <c r="AF58"/>
  <c r="AY58" s="1"/>
  <c r="BR58" s="1"/>
  <c r="Z58"/>
  <c r="BL58"/>
  <c r="M66"/>
  <c r="AT66"/>
  <c r="BM66"/>
  <c r="AD71"/>
  <c r="AW71" s="1"/>
  <c r="BP71" s="1"/>
  <c r="AE71"/>
  <c r="AD72"/>
  <c r="AW72" s="1"/>
  <c r="BP72" s="1"/>
  <c r="AF72"/>
  <c r="AY72" s="1"/>
  <c r="BR72" s="1"/>
  <c r="AB72"/>
  <c r="AC72" s="1"/>
  <c r="BN72"/>
  <c r="BO72" s="1"/>
  <c r="AD73"/>
  <c r="AW73" s="1"/>
  <c r="BP73" s="1"/>
  <c r="AF73"/>
  <c r="AY73" s="1"/>
  <c r="BR73" s="1"/>
  <c r="AB73"/>
  <c r="AC73" s="1"/>
  <c r="BN73"/>
  <c r="BO73" s="1"/>
  <c r="M24"/>
  <c r="AA24"/>
  <c r="AT24"/>
  <c r="BM24"/>
  <c r="AA25"/>
  <c r="AT25"/>
  <c r="BM25"/>
  <c r="M26"/>
  <c r="AA26"/>
  <c r="AT26"/>
  <c r="BM26"/>
  <c r="AA27"/>
  <c r="AT27"/>
  <c r="BM27"/>
  <c r="Z25"/>
  <c r="Z24"/>
  <c r="BL25"/>
  <c r="BL24"/>
  <c r="L24"/>
  <c r="L25"/>
  <c r="AS25"/>
  <c r="AS24"/>
  <c r="AF20"/>
  <c r="M27"/>
  <c r="AF19"/>
  <c r="AF18"/>
  <c r="M25"/>
  <c r="AF17"/>
  <c r="AS52"/>
  <c r="Z53"/>
  <c r="L52"/>
  <c r="BL53"/>
  <c r="K64"/>
  <c r="P44"/>
  <c r="V44"/>
  <c r="AE10"/>
  <c r="AX10" s="1"/>
  <c r="AF12"/>
  <c r="AY12" s="1"/>
  <c r="BR12" s="1"/>
  <c r="AF11"/>
  <c r="AY11" s="1"/>
  <c r="BR11" s="1"/>
  <c r="AF8"/>
  <c r="AY8" s="1"/>
  <c r="BR8" s="1"/>
  <c r="I23" i="116"/>
  <c r="F109"/>
  <c r="F160" s="1"/>
  <c r="M99"/>
  <c r="Y23"/>
  <c r="Y15" s="1"/>
  <c r="E43"/>
  <c r="E34" s="1"/>
  <c r="Y43"/>
  <c r="Y34" s="1"/>
  <c r="I95"/>
  <c r="I88" s="1"/>
  <c r="K122"/>
  <c r="AA122"/>
  <c r="D150"/>
  <c r="F39" i="117" s="1"/>
  <c r="H150" i="116"/>
  <c r="Q39" i="117" s="1"/>
  <c r="J150" i="116"/>
  <c r="W39" i="117" s="1"/>
  <c r="F19" i="116"/>
  <c r="C23"/>
  <c r="C15" s="1"/>
  <c r="AA55"/>
  <c r="AA196" s="1"/>
  <c r="Q64"/>
  <c r="Q209" s="1"/>
  <c r="S122"/>
  <c r="F173"/>
  <c r="L173"/>
  <c r="P150"/>
  <c r="S29"/>
  <c r="D214"/>
  <c r="P23"/>
  <c r="R214"/>
  <c r="K49"/>
  <c r="K188" s="1"/>
  <c r="F55"/>
  <c r="F196" s="1"/>
  <c r="K67"/>
  <c r="AA70"/>
  <c r="AA147" s="1"/>
  <c r="M82"/>
  <c r="M86"/>
  <c r="M93"/>
  <c r="F95"/>
  <c r="M113"/>
  <c r="M164" s="1"/>
  <c r="AA39" i="117"/>
  <c r="BM39"/>
  <c r="BE44"/>
  <c r="BK44" s="1"/>
  <c r="AF41"/>
  <c r="AY41" s="1"/>
  <c r="BR41" s="1"/>
  <c r="AF42"/>
  <c r="AY42" s="1"/>
  <c r="BR42" s="1"/>
  <c r="AF43"/>
  <c r="AY43" s="1"/>
  <c r="BR43" s="1"/>
  <c r="AS44"/>
  <c r="BL44"/>
  <c r="Z45"/>
  <c r="AE45" s="1"/>
  <c r="Y45"/>
  <c r="AR45"/>
  <c r="AT45"/>
  <c r="BL45"/>
  <c r="AF46"/>
  <c r="AY46" s="1"/>
  <c r="BR46" s="1"/>
  <c r="AF47"/>
  <c r="AY47" s="1"/>
  <c r="BR47" s="1"/>
  <c r="AF50"/>
  <c r="AY50" s="1"/>
  <c r="BR50" s="1"/>
  <c r="AF51"/>
  <c r="AY51" s="1"/>
  <c r="BR51" s="1"/>
  <c r="AF53"/>
  <c r="AY53" s="1"/>
  <c r="M39"/>
  <c r="AT39"/>
  <c r="AF52"/>
  <c r="AY52" s="1"/>
  <c r="AF54"/>
  <c r="AY54" s="1"/>
  <c r="BI74" i="115"/>
  <c r="BI84"/>
  <c r="BF74"/>
  <c r="BF84"/>
  <c r="BC74"/>
  <c r="BC84"/>
  <c r="AP74"/>
  <c r="AP84"/>
  <c r="AJ74"/>
  <c r="AJ84"/>
  <c r="BG70"/>
  <c r="BG75" s="1"/>
  <c r="AQ84"/>
  <c r="AQ74"/>
  <c r="AQ76" s="1"/>
  <c r="AK70"/>
  <c r="AK74" s="1"/>
  <c r="AK84"/>
  <c r="AF47"/>
  <c r="AY47" s="1"/>
  <c r="BR47" s="1"/>
  <c r="AF46"/>
  <c r="AY46" s="1"/>
  <c r="BR46" s="1"/>
  <c r="AF44"/>
  <c r="AY44" s="1"/>
  <c r="BR44" s="1"/>
  <c r="U70"/>
  <c r="U74" s="1"/>
  <c r="U84"/>
  <c r="AF67"/>
  <c r="AY67" s="1"/>
  <c r="BR67" s="1"/>
  <c r="R70"/>
  <c r="R74" s="1"/>
  <c r="AF53"/>
  <c r="AY53" s="1"/>
  <c r="BR53" s="1"/>
  <c r="AF52"/>
  <c r="AY52" s="1"/>
  <c r="BR52" s="1"/>
  <c r="R84"/>
  <c r="J84"/>
  <c r="J74"/>
  <c r="G74"/>
  <c r="G84"/>
  <c r="AA45" i="117"/>
  <c r="Z44" i="115"/>
  <c r="AS45" i="117"/>
  <c r="BK45"/>
  <c r="BN45" s="1"/>
  <c r="BO45" s="1"/>
  <c r="BL44" i="115"/>
  <c r="Z45"/>
  <c r="BL45"/>
  <c r="Z46"/>
  <c r="AB46" s="1"/>
  <c r="AC46" s="1"/>
  <c r="BL46"/>
  <c r="Z47"/>
  <c r="BL47"/>
  <c r="Z48"/>
  <c r="BL48"/>
  <c r="Z49"/>
  <c r="AB49" s="1"/>
  <c r="AC49" s="1"/>
  <c r="BL49"/>
  <c r="Z52"/>
  <c r="AB52" s="1"/>
  <c r="AC52" s="1"/>
  <c r="BL52"/>
  <c r="Z53"/>
  <c r="AS54"/>
  <c r="AS62"/>
  <c r="L63"/>
  <c r="AS63"/>
  <c r="AU63" s="1"/>
  <c r="AV63" s="1"/>
  <c r="AS68"/>
  <c r="AS69"/>
  <c r="AF57"/>
  <c r="AY57" s="1"/>
  <c r="BR57" s="1"/>
  <c r="L64"/>
  <c r="L69"/>
  <c r="L62"/>
  <c r="Z69"/>
  <c r="BL69"/>
  <c r="BN69" s="1"/>
  <c r="BO69" s="1"/>
  <c r="K75"/>
  <c r="AR75"/>
  <c r="Z81"/>
  <c r="AB81" s="1"/>
  <c r="BL81"/>
  <c r="BN81" s="1"/>
  <c r="L82"/>
  <c r="AS82"/>
  <c r="AU82" s="1"/>
  <c r="L83"/>
  <c r="Z57"/>
  <c r="AB57" s="1"/>
  <c r="AC57" s="1"/>
  <c r="BL57"/>
  <c r="BN57" s="1"/>
  <c r="BO57" s="1"/>
  <c r="AD58"/>
  <c r="AW58" s="1"/>
  <c r="BP58" s="1"/>
  <c r="AF58"/>
  <c r="AY58" s="1"/>
  <c r="BR58" s="1"/>
  <c r="L67"/>
  <c r="AS67"/>
  <c r="L68"/>
  <c r="AD69"/>
  <c r="AW69" s="1"/>
  <c r="BP69" s="1"/>
  <c r="AB69"/>
  <c r="AC69" s="1"/>
  <c r="BN68"/>
  <c r="BO68" s="1"/>
  <c r="BN67"/>
  <c r="BO67" s="1"/>
  <c r="AD68"/>
  <c r="AW68" s="1"/>
  <c r="BP68" s="1"/>
  <c r="AB68"/>
  <c r="AC68" s="1"/>
  <c r="AD67"/>
  <c r="AW67" s="1"/>
  <c r="BP67" s="1"/>
  <c r="AB67"/>
  <c r="AC67" s="1"/>
  <c r="J13"/>
  <c r="J12"/>
  <c r="U13"/>
  <c r="U12"/>
  <c r="G14"/>
  <c r="G71" s="1"/>
  <c r="G37"/>
  <c r="AF25"/>
  <c r="M35"/>
  <c r="I32"/>
  <c r="I37"/>
  <c r="Q32"/>
  <c r="Q37"/>
  <c r="W32"/>
  <c r="W37"/>
  <c r="BC32"/>
  <c r="BC75" s="1"/>
  <c r="BC76" s="1"/>
  <c r="BC37"/>
  <c r="BI32"/>
  <c r="BI75" s="1"/>
  <c r="BI76" s="1"/>
  <c r="BI37"/>
  <c r="D12"/>
  <c r="D13" s="1"/>
  <c r="AA35"/>
  <c r="AT35"/>
  <c r="BM35"/>
  <c r="AM70"/>
  <c r="L44"/>
  <c r="AS44"/>
  <c r="AU44" s="1"/>
  <c r="AV44" s="1"/>
  <c r="L45"/>
  <c r="AS45"/>
  <c r="L46"/>
  <c r="N46" s="1"/>
  <c r="O46" s="1"/>
  <c r="AS46"/>
  <c r="AU46" s="1"/>
  <c r="AV46" s="1"/>
  <c r="L47"/>
  <c r="AS47"/>
  <c r="L48"/>
  <c r="AE48" s="1"/>
  <c r="AS48"/>
  <c r="AU48" s="1"/>
  <c r="AV48" s="1"/>
  <c r="L49"/>
  <c r="AE49" s="1"/>
  <c r="AS49"/>
  <c r="BL51"/>
  <c r="L52"/>
  <c r="AS52"/>
  <c r="L53"/>
  <c r="AS53"/>
  <c r="BL53"/>
  <c r="AF54"/>
  <c r="AY54" s="1"/>
  <c r="BR54" s="1"/>
  <c r="BL54"/>
  <c r="BN54" s="1"/>
  <c r="BO54" s="1"/>
  <c r="AS55"/>
  <c r="BL55"/>
  <c r="L57"/>
  <c r="AS57"/>
  <c r="L58"/>
  <c r="AS83"/>
  <c r="AU83" s="1"/>
  <c r="G12"/>
  <c r="G13" s="1"/>
  <c r="AF26"/>
  <c r="M36"/>
  <c r="F32"/>
  <c r="F37"/>
  <c r="T32"/>
  <c r="T37"/>
  <c r="AP32"/>
  <c r="AP37"/>
  <c r="BF32"/>
  <c r="BF37"/>
  <c r="AA36"/>
  <c r="AT36"/>
  <c r="BM36"/>
  <c r="M38"/>
  <c r="AA38"/>
  <c r="AT38"/>
  <c r="BM38"/>
  <c r="M50"/>
  <c r="AT50"/>
  <c r="AS51"/>
  <c r="L56"/>
  <c r="Z58"/>
  <c r="AB58" s="1"/>
  <c r="AC58" s="1"/>
  <c r="BL58"/>
  <c r="AF59"/>
  <c r="AY59" s="1"/>
  <c r="BR59" s="1"/>
  <c r="Z59"/>
  <c r="AB59" s="1"/>
  <c r="AC59" s="1"/>
  <c r="BL59"/>
  <c r="BN59" s="1"/>
  <c r="BO59" s="1"/>
  <c r="AF60"/>
  <c r="AY60" s="1"/>
  <c r="BR60" s="1"/>
  <c r="Z60"/>
  <c r="AB60" s="1"/>
  <c r="AC60" s="1"/>
  <c r="BL60"/>
  <c r="Z62"/>
  <c r="BL62"/>
  <c r="AF63"/>
  <c r="AY63" s="1"/>
  <c r="BR63" s="1"/>
  <c r="Z63"/>
  <c r="AB63" s="1"/>
  <c r="AC63" s="1"/>
  <c r="BL63"/>
  <c r="AF65"/>
  <c r="AY65" s="1"/>
  <c r="BR65" s="1"/>
  <c r="AF66"/>
  <c r="AY66" s="1"/>
  <c r="BR66" s="1"/>
  <c r="BN58"/>
  <c r="BO58" s="1"/>
  <c r="AD60"/>
  <c r="AW60" s="1"/>
  <c r="BP60" s="1"/>
  <c r="AD57"/>
  <c r="AW57" s="1"/>
  <c r="BP57" s="1"/>
  <c r="AD59"/>
  <c r="AW59" s="1"/>
  <c r="BP59" s="1"/>
  <c r="AD54"/>
  <c r="AW54" s="1"/>
  <c r="BP54" s="1"/>
  <c r="BN52"/>
  <c r="BO52" s="1"/>
  <c r="AU45"/>
  <c r="AV45" s="1"/>
  <c r="AU47"/>
  <c r="AV47" s="1"/>
  <c r="AD52"/>
  <c r="AW52" s="1"/>
  <c r="BP52" s="1"/>
  <c r="AD53"/>
  <c r="AW53" s="1"/>
  <c r="AB53"/>
  <c r="AC53" s="1"/>
  <c r="L86" i="116"/>
  <c r="T86" s="1"/>
  <c r="BM45" i="117"/>
  <c r="L54"/>
  <c r="AE54" s="1"/>
  <c r="AX54" s="1"/>
  <c r="BQ54" s="1"/>
  <c r="AS54"/>
  <c r="AR64"/>
  <c r="BK64"/>
  <c r="K36" i="115"/>
  <c r="Z36"/>
  <c r="Z35"/>
  <c r="BL36"/>
  <c r="BL35"/>
  <c r="AU11" i="117"/>
  <c r="AV11" s="1"/>
  <c r="Y17"/>
  <c r="AB17" s="1"/>
  <c r="AC17" s="1"/>
  <c r="Y18"/>
  <c r="Y25" s="1"/>
  <c r="Y19"/>
  <c r="Y26" s="1"/>
  <c r="AB26" s="1"/>
  <c r="AC26" s="1"/>
  <c r="Y20"/>
  <c r="Y27" s="1"/>
  <c r="AB27" s="1"/>
  <c r="AC27" s="1"/>
  <c r="Y21"/>
  <c r="AR21"/>
  <c r="AU21" s="1"/>
  <c r="AV21" s="1"/>
  <c r="BK21"/>
  <c r="K22"/>
  <c r="AR22"/>
  <c r="BK22"/>
  <c r="AD33"/>
  <c r="AW33" s="1"/>
  <c r="BP33" s="1"/>
  <c r="AB33"/>
  <c r="AC33" s="1"/>
  <c r="BN33"/>
  <c r="BO33" s="1"/>
  <c r="AD34"/>
  <c r="AW34" s="1"/>
  <c r="BP34" s="1"/>
  <c r="AB34"/>
  <c r="AC34" s="1"/>
  <c r="BN34"/>
  <c r="BO34" s="1"/>
  <c r="AD35"/>
  <c r="AW35" s="1"/>
  <c r="BP35" s="1"/>
  <c r="Z49"/>
  <c r="AB49" s="1"/>
  <c r="AC49" s="1"/>
  <c r="BL49"/>
  <c r="L36" i="115"/>
  <c r="N36" s="1"/>
  <c r="O36" s="1"/>
  <c r="L35"/>
  <c r="AS36"/>
  <c r="AS35"/>
  <c r="BK36"/>
  <c r="C32"/>
  <c r="C37"/>
  <c r="AA61"/>
  <c r="AF61" s="1"/>
  <c r="AT61"/>
  <c r="AU8" i="117"/>
  <c r="AV8" s="1"/>
  <c r="BL29" i="115"/>
  <c r="Z29"/>
  <c r="AY25"/>
  <c r="AY30"/>
  <c r="BR30" s="1"/>
  <c r="K31"/>
  <c r="K25"/>
  <c r="K35" s="1"/>
  <c r="AR25"/>
  <c r="AR35" s="1"/>
  <c r="BK25"/>
  <c r="BK35" s="1"/>
  <c r="AR26"/>
  <c r="AR36" s="1"/>
  <c r="BK26"/>
  <c r="BN26" s="1"/>
  <c r="BO26" s="1"/>
  <c r="Y28"/>
  <c r="Y38" s="1"/>
  <c r="AB38" s="1"/>
  <c r="AC38" s="1"/>
  <c r="K30"/>
  <c r="AR30"/>
  <c r="AU30" s="1"/>
  <c r="AV30" s="1"/>
  <c r="BK30"/>
  <c r="AR31"/>
  <c r="BK31"/>
  <c r="BN31" s="1"/>
  <c r="BO31" s="1"/>
  <c r="AR33"/>
  <c r="BK33"/>
  <c r="L61"/>
  <c r="N61" s="1"/>
  <c r="O61" s="1"/>
  <c r="Y61"/>
  <c r="AD61" s="1"/>
  <c r="Z61"/>
  <c r="AS61"/>
  <c r="AR61"/>
  <c r="BK32"/>
  <c r="Y25"/>
  <c r="Y35" s="1"/>
  <c r="Y26"/>
  <c r="AD26" s="1"/>
  <c r="Y27"/>
  <c r="AD27" s="1"/>
  <c r="AX27"/>
  <c r="BK27"/>
  <c r="BN27" s="1"/>
  <c r="BO27" s="1"/>
  <c r="K28"/>
  <c r="K38" s="1"/>
  <c r="AR28"/>
  <c r="AU28" s="1"/>
  <c r="AV28" s="1"/>
  <c r="BK28"/>
  <c r="BK38" s="1"/>
  <c r="BN38" s="1"/>
  <c r="BO38" s="1"/>
  <c r="K29"/>
  <c r="AD29" s="1"/>
  <c r="AB29"/>
  <c r="AC29" s="1"/>
  <c r="AR29"/>
  <c r="BK29"/>
  <c r="BN29" s="1"/>
  <c r="BO29" s="1"/>
  <c r="Y30"/>
  <c r="Y31"/>
  <c r="AB31" s="1"/>
  <c r="AC31" s="1"/>
  <c r="K32"/>
  <c r="Y32"/>
  <c r="AR32"/>
  <c r="Y33"/>
  <c r="AB33" s="1"/>
  <c r="AC33" s="1"/>
  <c r="B55"/>
  <c r="H55"/>
  <c r="S55"/>
  <c r="V55"/>
  <c r="BB55"/>
  <c r="BH55"/>
  <c r="Y56"/>
  <c r="AD56" s="1"/>
  <c r="AA56"/>
  <c r="AF56" s="1"/>
  <c r="Z56"/>
  <c r="AS56"/>
  <c r="AR56"/>
  <c r="AT56"/>
  <c r="BK56"/>
  <c r="BM56"/>
  <c r="BL56"/>
  <c r="BK61"/>
  <c r="BM61"/>
  <c r="BL61"/>
  <c r="BN61" s="1"/>
  <c r="BO61" s="1"/>
  <c r="AD63"/>
  <c r="AW63" s="1"/>
  <c r="BP63" s="1"/>
  <c r="BN63"/>
  <c r="BO63" s="1"/>
  <c r="Z64"/>
  <c r="AE64" s="1"/>
  <c r="AS64"/>
  <c r="L65"/>
  <c r="AE65" s="1"/>
  <c r="AS65"/>
  <c r="L66"/>
  <c r="AS66"/>
  <c r="Y75"/>
  <c r="BK75"/>
  <c r="L81"/>
  <c r="AS81"/>
  <c r="Z82"/>
  <c r="AB82" s="1"/>
  <c r="BL82"/>
  <c r="BN82" s="1"/>
  <c r="Z83"/>
  <c r="AB83" s="1"/>
  <c r="BL83"/>
  <c r="BN83" s="1"/>
  <c r="L91" i="116"/>
  <c r="T91" s="1"/>
  <c r="AT9" i="117"/>
  <c r="BN35"/>
  <c r="BO35" s="1"/>
  <c r="AD36"/>
  <c r="AW36" s="1"/>
  <c r="BP36" s="1"/>
  <c r="BN36"/>
  <c r="BO36" s="1"/>
  <c r="AD37"/>
  <c r="AW37" s="1"/>
  <c r="BP37" s="1"/>
  <c r="BN37"/>
  <c r="BO37" s="1"/>
  <c r="AS40"/>
  <c r="AR40"/>
  <c r="BL40"/>
  <c r="AU41"/>
  <c r="AV41" s="1"/>
  <c r="AU42"/>
  <c r="AV42" s="1"/>
  <c r="AU43"/>
  <c r="AV43" s="1"/>
  <c r="L45"/>
  <c r="K45"/>
  <c r="AD45" s="1"/>
  <c r="M45"/>
  <c r="AF45" s="1"/>
  <c r="AY45" s="1"/>
  <c r="BR45" s="1"/>
  <c r="AU46"/>
  <c r="AV46" s="1"/>
  <c r="AU47"/>
  <c r="AV47" s="1"/>
  <c r="K49"/>
  <c r="AD49" s="1"/>
  <c r="M49"/>
  <c r="AF49" s="1"/>
  <c r="L49"/>
  <c r="N49" s="1"/>
  <c r="O49" s="1"/>
  <c r="AS49"/>
  <c r="AR49"/>
  <c r="AT49"/>
  <c r="BK49"/>
  <c r="BM49"/>
  <c r="AD51"/>
  <c r="AW51" s="1"/>
  <c r="BP51" s="1"/>
  <c r="AB51"/>
  <c r="AC51" s="1"/>
  <c r="BN51"/>
  <c r="BO51" s="1"/>
  <c r="Z52"/>
  <c r="AE52" s="1"/>
  <c r="AX52" s="1"/>
  <c r="BQ52" s="1"/>
  <c r="BL52"/>
  <c r="L53"/>
  <c r="AS53"/>
  <c r="Z54"/>
  <c r="BL54"/>
  <c r="AU55"/>
  <c r="AV55" s="1"/>
  <c r="AU56"/>
  <c r="AV56" s="1"/>
  <c r="AU57"/>
  <c r="AV57" s="1"/>
  <c r="AU58"/>
  <c r="AV58" s="1"/>
  <c r="Y64"/>
  <c r="T66"/>
  <c r="K68"/>
  <c r="AD68" s="1"/>
  <c r="AR68"/>
  <c r="BN68"/>
  <c r="BO68" s="1"/>
  <c r="AL55" i="115"/>
  <c r="AR55" s="1"/>
  <c r="L34" i="116"/>
  <c r="T34" s="1"/>
  <c r="L8" i="117"/>
  <c r="AE8" s="1"/>
  <c r="K60"/>
  <c r="M60"/>
  <c r="AD11"/>
  <c r="AB11"/>
  <c r="AC11" s="1"/>
  <c r="BN11"/>
  <c r="BO11" s="1"/>
  <c r="K17"/>
  <c r="K24" s="1"/>
  <c r="AR17"/>
  <c r="AU17" s="1"/>
  <c r="AV17" s="1"/>
  <c r="BK17"/>
  <c r="BN17" s="1"/>
  <c r="BO17" s="1"/>
  <c r="K18"/>
  <c r="N18" s="1"/>
  <c r="O18" s="1"/>
  <c r="AR18"/>
  <c r="AU18" s="1"/>
  <c r="AV18" s="1"/>
  <c r="BK18"/>
  <c r="BK25" s="1"/>
  <c r="K19"/>
  <c r="N19" s="1"/>
  <c r="O19" s="1"/>
  <c r="AR19"/>
  <c r="AU19" s="1"/>
  <c r="AV19" s="1"/>
  <c r="BK19"/>
  <c r="BN19" s="1"/>
  <c r="BO19" s="1"/>
  <c r="K20"/>
  <c r="N20" s="1"/>
  <c r="O20" s="1"/>
  <c r="AR20"/>
  <c r="AU20" s="1"/>
  <c r="AV20" s="1"/>
  <c r="BK20"/>
  <c r="BK27" s="1"/>
  <c r="BN27" s="1"/>
  <c r="BO27" s="1"/>
  <c r="K21"/>
  <c r="M64"/>
  <c r="Y22"/>
  <c r="AD22" s="1"/>
  <c r="B44"/>
  <c r="H44"/>
  <c r="BK18" i="115"/>
  <c r="BK14" s="1"/>
  <c r="BK71" s="1"/>
  <c r="BN16"/>
  <c r="BO16" s="1"/>
  <c r="BN17"/>
  <c r="BO17" s="1"/>
  <c r="AR11"/>
  <c r="AR18"/>
  <c r="AR14" s="1"/>
  <c r="AU20"/>
  <c r="AV20" s="1"/>
  <c r="Y18"/>
  <c r="Y14" s="1"/>
  <c r="AD16"/>
  <c r="AB16"/>
  <c r="AC16" s="1"/>
  <c r="AD17"/>
  <c r="AB17"/>
  <c r="AC17" s="1"/>
  <c r="C14" i="114"/>
  <c r="C12" s="1"/>
  <c r="BG12" i="115"/>
  <c r="BG13" s="1"/>
  <c r="AN13"/>
  <c r="AT18"/>
  <c r="AT14" s="1"/>
  <c r="AT71" s="1"/>
  <c r="AT10"/>
  <c r="AF20"/>
  <c r="AY20" s="1"/>
  <c r="BR20" s="1"/>
  <c r="AA14"/>
  <c r="AF19"/>
  <c r="AF17"/>
  <c r="AY17" s="1"/>
  <c r="BR17" s="1"/>
  <c r="AF16"/>
  <c r="AY16" s="1"/>
  <c r="BR16" s="1"/>
  <c r="AF15"/>
  <c r="AF14" s="1"/>
  <c r="M14"/>
  <c r="M12" s="1"/>
  <c r="M13" s="1"/>
  <c r="M10"/>
  <c r="M88" i="114"/>
  <c r="M89"/>
  <c r="U89" s="1"/>
  <c r="M90"/>
  <c r="M80"/>
  <c r="N80" s="1"/>
  <c r="M66"/>
  <c r="N66" s="1"/>
  <c r="M53"/>
  <c r="S46"/>
  <c r="J244"/>
  <c r="Z239"/>
  <c r="M111"/>
  <c r="M112"/>
  <c r="M114"/>
  <c r="M115"/>
  <c r="M127"/>
  <c r="M128"/>
  <c r="M129"/>
  <c r="M94"/>
  <c r="M95"/>
  <c r="S42"/>
  <c r="S33" s="1"/>
  <c r="S25" s="1"/>
  <c r="M59"/>
  <c r="M60"/>
  <c r="M61"/>
  <c r="M96"/>
  <c r="N96" s="1"/>
  <c r="M97"/>
  <c r="M229" s="1"/>
  <c r="M102"/>
  <c r="M105"/>
  <c r="U105" s="1"/>
  <c r="M107"/>
  <c r="C110"/>
  <c r="Q110"/>
  <c r="AA130"/>
  <c r="AA190" s="1"/>
  <c r="J185"/>
  <c r="J204" s="1"/>
  <c r="X185"/>
  <c r="X189" s="1"/>
  <c r="K42"/>
  <c r="AA42"/>
  <c r="K46"/>
  <c r="AA46"/>
  <c r="M50"/>
  <c r="M91"/>
  <c r="M98"/>
  <c r="M109"/>
  <c r="F117"/>
  <c r="I117"/>
  <c r="I110" s="1"/>
  <c r="D185"/>
  <c r="D204" s="1"/>
  <c r="R185"/>
  <c r="R189" s="1"/>
  <c r="M62"/>
  <c r="M74"/>
  <c r="M83"/>
  <c r="M87"/>
  <c r="N87" s="1"/>
  <c r="M120"/>
  <c r="M122"/>
  <c r="M123"/>
  <c r="M125"/>
  <c r="Z81"/>
  <c r="K81"/>
  <c r="F168"/>
  <c r="K68"/>
  <c r="K234" s="1"/>
  <c r="I76"/>
  <c r="I58" s="1"/>
  <c r="Z106"/>
  <c r="Z93" s="1"/>
  <c r="Z86" s="1"/>
  <c r="D12"/>
  <c r="K10"/>
  <c r="T162"/>
  <c r="AA10"/>
  <c r="R12"/>
  <c r="R13" s="1"/>
  <c r="Y12"/>
  <c r="Y13" s="1"/>
  <c r="F57"/>
  <c r="Z76"/>
  <c r="K78"/>
  <c r="S78"/>
  <c r="S241" s="1"/>
  <c r="S239" s="1"/>
  <c r="AA78"/>
  <c r="AA241" s="1"/>
  <c r="S87"/>
  <c r="S167"/>
  <c r="Q12"/>
  <c r="Q13" s="1"/>
  <c r="K241"/>
  <c r="F52"/>
  <c r="F178" s="1"/>
  <c r="AA54"/>
  <c r="K116"/>
  <c r="M121"/>
  <c r="AA57"/>
  <c r="P57"/>
  <c r="F63"/>
  <c r="F222" s="1"/>
  <c r="AA63"/>
  <c r="F70"/>
  <c r="F236" s="1"/>
  <c r="AA82"/>
  <c r="AA81" s="1"/>
  <c r="K92"/>
  <c r="AA92"/>
  <c r="AA99"/>
  <c r="AA230" s="1"/>
  <c r="C93"/>
  <c r="C86" s="1"/>
  <c r="E93"/>
  <c r="E86" s="1"/>
  <c r="E144" s="1"/>
  <c r="Y93"/>
  <c r="Y86" s="1"/>
  <c r="AA108"/>
  <c r="AA106" s="1"/>
  <c r="AA93" s="1"/>
  <c r="AA86" s="1"/>
  <c r="F113"/>
  <c r="M113" s="1"/>
  <c r="N113" s="1"/>
  <c r="S114"/>
  <c r="S116" s="1"/>
  <c r="P110"/>
  <c r="S126"/>
  <c r="S117" s="1"/>
  <c r="S110" s="1"/>
  <c r="C166"/>
  <c r="C205" s="1"/>
  <c r="I166"/>
  <c r="I205" s="1"/>
  <c r="S171"/>
  <c r="S170" s="1"/>
  <c r="F172"/>
  <c r="K172"/>
  <c r="AA172"/>
  <c r="J184"/>
  <c r="W50" i="115" s="1"/>
  <c r="F11" i="114"/>
  <c r="S10"/>
  <c r="B165"/>
  <c r="O204"/>
  <c r="T204"/>
  <c r="G184"/>
  <c r="L184"/>
  <c r="W184"/>
  <c r="AB184"/>
  <c r="K33"/>
  <c r="K25" s="1"/>
  <c r="AA222"/>
  <c r="K51"/>
  <c r="K181" s="1"/>
  <c r="S51"/>
  <c r="S181" s="1"/>
  <c r="AA51"/>
  <c r="AA181" s="1"/>
  <c r="K55"/>
  <c r="M55" s="1"/>
  <c r="N55" s="1"/>
  <c r="K56"/>
  <c r="M56" s="1"/>
  <c r="S56"/>
  <c r="S183" s="1"/>
  <c r="I93"/>
  <c r="I86" s="1"/>
  <c r="Q93"/>
  <c r="Q86" s="1"/>
  <c r="AA116"/>
  <c r="Z110"/>
  <c r="AA110"/>
  <c r="K168"/>
  <c r="F169"/>
  <c r="K169"/>
  <c r="D184"/>
  <c r="F50" i="115" s="1"/>
  <c r="H184" i="114"/>
  <c r="Q50" i="115" s="1"/>
  <c r="X184" i="114"/>
  <c r="Z184"/>
  <c r="B184"/>
  <c r="E166"/>
  <c r="E205" s="1"/>
  <c r="F171"/>
  <c r="K171"/>
  <c r="R166"/>
  <c r="R205" s="1"/>
  <c r="K167"/>
  <c r="F167"/>
  <c r="X163"/>
  <c r="Z163"/>
  <c r="Z164" s="1"/>
  <c r="Z165" s="1"/>
  <c r="AA11"/>
  <c r="S11"/>
  <c r="P163"/>
  <c r="R163"/>
  <c r="R164" s="1"/>
  <c r="R165" s="1"/>
  <c r="H163"/>
  <c r="J163"/>
  <c r="J164" s="1"/>
  <c r="J165" s="1"/>
  <c r="K11"/>
  <c r="D163"/>
  <c r="F10"/>
  <c r="AB165"/>
  <c r="T165"/>
  <c r="O162"/>
  <c r="L165"/>
  <c r="M7" i="116"/>
  <c r="U7" s="1"/>
  <c r="V7" s="1"/>
  <c r="K8"/>
  <c r="K120" s="1"/>
  <c r="S8"/>
  <c r="S136" s="1"/>
  <c r="S171" s="1"/>
  <c r="AA8"/>
  <c r="E23"/>
  <c r="E15" s="1"/>
  <c r="I15"/>
  <c r="Q23"/>
  <c r="Q15" s="1"/>
  <c r="AA32"/>
  <c r="AA23" s="1"/>
  <c r="AA15" s="1"/>
  <c r="K37"/>
  <c r="K144" s="1"/>
  <c r="S40"/>
  <c r="S42" s="1"/>
  <c r="F42"/>
  <c r="K42"/>
  <c r="AA42"/>
  <c r="AA47"/>
  <c r="AA189" s="1"/>
  <c r="S55"/>
  <c r="S196" s="1"/>
  <c r="I43"/>
  <c r="I34" s="1"/>
  <c r="S59"/>
  <c r="L61"/>
  <c r="T61" s="1"/>
  <c r="M65"/>
  <c r="Q69"/>
  <c r="M80"/>
  <c r="U80" s="1"/>
  <c r="M84"/>
  <c r="U84" s="1"/>
  <c r="M85"/>
  <c r="U85" s="1"/>
  <c r="AC85" s="1"/>
  <c r="M89"/>
  <c r="U89" s="1"/>
  <c r="AC89" s="1"/>
  <c r="AA94"/>
  <c r="M101"/>
  <c r="U101" s="1"/>
  <c r="L122"/>
  <c r="T122" s="1"/>
  <c r="C150"/>
  <c r="C39" i="117" s="1"/>
  <c r="E150" i="116"/>
  <c r="I39" i="117" s="1"/>
  <c r="I150" i="116"/>
  <c r="T39" i="117" s="1"/>
  <c r="Y150" i="116"/>
  <c r="S148"/>
  <c r="S150" s="1"/>
  <c r="F150"/>
  <c r="AA150"/>
  <c r="H214"/>
  <c r="J214"/>
  <c r="X214"/>
  <c r="Z23"/>
  <c r="M35"/>
  <c r="U35" s="1"/>
  <c r="M38"/>
  <c r="M40"/>
  <c r="U40" s="1"/>
  <c r="V40" s="1"/>
  <c r="R34"/>
  <c r="M44"/>
  <c r="U44" s="1"/>
  <c r="M45"/>
  <c r="U45" s="1"/>
  <c r="M46"/>
  <c r="U46" s="1"/>
  <c r="V46" s="1"/>
  <c r="F59"/>
  <c r="M63"/>
  <c r="U63" s="1"/>
  <c r="M71"/>
  <c r="U71" s="1"/>
  <c r="V71" s="1"/>
  <c r="F73"/>
  <c r="K73"/>
  <c r="AA73"/>
  <c r="M74"/>
  <c r="U74" s="1"/>
  <c r="M76"/>
  <c r="F75"/>
  <c r="F69" s="1"/>
  <c r="M77"/>
  <c r="M78"/>
  <c r="P69"/>
  <c r="M83"/>
  <c r="U83" s="1"/>
  <c r="M87"/>
  <c r="U87" s="1"/>
  <c r="M90"/>
  <c r="M92"/>
  <c r="U92" s="1"/>
  <c r="V92" s="1"/>
  <c r="F94"/>
  <c r="K94"/>
  <c r="Z88"/>
  <c r="M96"/>
  <c r="M97"/>
  <c r="M98"/>
  <c r="U98" s="1"/>
  <c r="V98" s="1"/>
  <c r="M103"/>
  <c r="M104"/>
  <c r="S102"/>
  <c r="S95" s="1"/>
  <c r="S88" s="1"/>
  <c r="Q150"/>
  <c r="L7"/>
  <c r="T7" s="1"/>
  <c r="L37"/>
  <c r="T37" s="1"/>
  <c r="L38"/>
  <c r="T38" s="1"/>
  <c r="L39"/>
  <c r="T39" s="1"/>
  <c r="L40"/>
  <c r="T40" s="1"/>
  <c r="L44"/>
  <c r="T44" s="1"/>
  <c r="L45"/>
  <c r="T45" s="1"/>
  <c r="L46"/>
  <c r="T46" s="1"/>
  <c r="L59"/>
  <c r="T59" s="1"/>
  <c r="L65"/>
  <c r="T65" s="1"/>
  <c r="L80"/>
  <c r="T80" s="1"/>
  <c r="L85"/>
  <c r="T85" s="1"/>
  <c r="L89"/>
  <c r="T89" s="1"/>
  <c r="L92"/>
  <c r="T92" s="1"/>
  <c r="L93"/>
  <c r="T93" s="1"/>
  <c r="L96"/>
  <c r="T96" s="1"/>
  <c r="L97"/>
  <c r="T97" s="1"/>
  <c r="L98"/>
  <c r="T98" s="1"/>
  <c r="L99"/>
  <c r="T99" s="1"/>
  <c r="L103"/>
  <c r="T103" s="1"/>
  <c r="L104"/>
  <c r="T104" s="1"/>
  <c r="L111"/>
  <c r="O150"/>
  <c r="O187"/>
  <c r="W187"/>
  <c r="L204"/>
  <c r="T204" s="1"/>
  <c r="L35"/>
  <c r="T35" s="1"/>
  <c r="L36"/>
  <c r="L146" s="1"/>
  <c r="L41"/>
  <c r="T43"/>
  <c r="AB43" s="1"/>
  <c r="L49"/>
  <c r="T49" s="1"/>
  <c r="AB49" s="1"/>
  <c r="L63"/>
  <c r="T63" s="1"/>
  <c r="L64"/>
  <c r="T64" s="1"/>
  <c r="W213"/>
  <c r="T69"/>
  <c r="AB69" s="1"/>
  <c r="L70"/>
  <c r="T70" s="1"/>
  <c r="AB70" s="1"/>
  <c r="L71"/>
  <c r="T71" s="1"/>
  <c r="L72"/>
  <c r="L74"/>
  <c r="T74" s="1"/>
  <c r="L75"/>
  <c r="T75" s="1"/>
  <c r="L76"/>
  <c r="T76" s="1"/>
  <c r="L77"/>
  <c r="T77" s="1"/>
  <c r="L78"/>
  <c r="T78" s="1"/>
  <c r="L83"/>
  <c r="T83" s="1"/>
  <c r="AB83" s="1"/>
  <c r="L84"/>
  <c r="T84" s="1"/>
  <c r="L87"/>
  <c r="T87" s="1"/>
  <c r="AB87" s="1"/>
  <c r="L88"/>
  <c r="T88" s="1"/>
  <c r="L90"/>
  <c r="T90" s="1"/>
  <c r="AB90" s="1"/>
  <c r="L95"/>
  <c r="T95" s="1"/>
  <c r="AB95" s="1"/>
  <c r="L100"/>
  <c r="T100" s="1"/>
  <c r="AB100" s="1"/>
  <c r="L101"/>
  <c r="T101" s="1"/>
  <c r="L102"/>
  <c r="T102" s="1"/>
  <c r="AB102" s="1"/>
  <c r="D30" i="112"/>
  <c r="D86" i="91" s="1"/>
  <c r="E86"/>
  <c r="G30" i="112"/>
  <c r="G86" i="91" s="1"/>
  <c r="I30" i="112"/>
  <c r="I86" i="91" s="1"/>
  <c r="K30" i="112"/>
  <c r="K86" i="91" s="1"/>
  <c r="O30" i="112"/>
  <c r="O86" i="91" s="1"/>
  <c r="S30" i="112"/>
  <c r="S86" i="91" s="1"/>
  <c r="U30" i="112"/>
  <c r="U86" i="91" s="1"/>
  <c r="F30" i="112"/>
  <c r="J30"/>
  <c r="J86" i="91" s="1"/>
  <c r="N30" i="112"/>
  <c r="N86" i="91" s="1"/>
  <c r="P30" i="112"/>
  <c r="P86" i="91" s="1"/>
  <c r="AD8" i="117"/>
  <c r="AW8" s="1"/>
  <c r="BP8" s="1"/>
  <c r="AB8"/>
  <c r="AC8" s="1"/>
  <c r="BN8"/>
  <c r="BO8" s="1"/>
  <c r="AE12"/>
  <c r="AE27" s="1"/>
  <c r="N12"/>
  <c r="O12" s="1"/>
  <c r="BQ17"/>
  <c r="AJ60"/>
  <c r="AS60" s="1"/>
  <c r="AS9"/>
  <c r="AE11"/>
  <c r="N11"/>
  <c r="O11" s="1"/>
  <c r="N33"/>
  <c r="O33" s="1"/>
  <c r="AE34"/>
  <c r="N34"/>
  <c r="O34" s="1"/>
  <c r="AE35"/>
  <c r="N35"/>
  <c r="O35" s="1"/>
  <c r="N36"/>
  <c r="O36" s="1"/>
  <c r="N37"/>
  <c r="O37" s="1"/>
  <c r="N38"/>
  <c r="O38" s="1"/>
  <c r="AS39"/>
  <c r="AU38"/>
  <c r="AV38" s="1"/>
  <c r="AE50"/>
  <c r="N50"/>
  <c r="O50" s="1"/>
  <c r="L60"/>
  <c r="K9"/>
  <c r="M9"/>
  <c r="Z9"/>
  <c r="AR9"/>
  <c r="AR23" s="1"/>
  <c r="BL9"/>
  <c r="AF10"/>
  <c r="AY10" s="1"/>
  <c r="BR10" s="1"/>
  <c r="AU10"/>
  <c r="AV10" s="1"/>
  <c r="AD12"/>
  <c r="AB12"/>
  <c r="AC12" s="1"/>
  <c r="BN12"/>
  <c r="BO12" s="1"/>
  <c r="AD18"/>
  <c r="AG18" s="1"/>
  <c r="AH18" s="1"/>
  <c r="BN18"/>
  <c r="BO18" s="1"/>
  <c r="AD19"/>
  <c r="AB19"/>
  <c r="AC19" s="1"/>
  <c r="AD20"/>
  <c r="AG20" s="1"/>
  <c r="AH20" s="1"/>
  <c r="BN20"/>
  <c r="BO20" s="1"/>
  <c r="AB22"/>
  <c r="AC22" s="1"/>
  <c r="AU22"/>
  <c r="AV22" s="1"/>
  <c r="AU33"/>
  <c r="AV33" s="1"/>
  <c r="AU34"/>
  <c r="AV34" s="1"/>
  <c r="AU35"/>
  <c r="AV35" s="1"/>
  <c r="AU36"/>
  <c r="AV36" s="1"/>
  <c r="AU37"/>
  <c r="AV37" s="1"/>
  <c r="Y39"/>
  <c r="BK39"/>
  <c r="Y44"/>
  <c r="AD41"/>
  <c r="AW41" s="1"/>
  <c r="BP41" s="1"/>
  <c r="AB41"/>
  <c r="AC41" s="1"/>
  <c r="BN41"/>
  <c r="BO41" s="1"/>
  <c r="AB42"/>
  <c r="AC42" s="1"/>
  <c r="BN42"/>
  <c r="BO42" s="1"/>
  <c r="AD43"/>
  <c r="AW43" s="1"/>
  <c r="BP43" s="1"/>
  <c r="AB43"/>
  <c r="AC43" s="1"/>
  <c r="BN43"/>
  <c r="BO43" s="1"/>
  <c r="AU45"/>
  <c r="AV45" s="1"/>
  <c r="AD46"/>
  <c r="AW46" s="1"/>
  <c r="BP46" s="1"/>
  <c r="AB46"/>
  <c r="AC46" s="1"/>
  <c r="BN46"/>
  <c r="BO46" s="1"/>
  <c r="AD47"/>
  <c r="AW47" s="1"/>
  <c r="BP47" s="1"/>
  <c r="BN47"/>
  <c r="BO47" s="1"/>
  <c r="P60"/>
  <c r="Y60" s="1"/>
  <c r="AD60" s="1"/>
  <c r="Y9"/>
  <c r="R60"/>
  <c r="AA60" s="1"/>
  <c r="AA9"/>
  <c r="BB60"/>
  <c r="BK60" s="1"/>
  <c r="BK9"/>
  <c r="BK23" s="1"/>
  <c r="BD60"/>
  <c r="BM60" s="1"/>
  <c r="BM9"/>
  <c r="AS23"/>
  <c r="K39"/>
  <c r="AD38"/>
  <c r="BL39"/>
  <c r="BN39" s="1"/>
  <c r="BO39" s="1"/>
  <c r="BN38"/>
  <c r="BO38" s="1"/>
  <c r="AE41"/>
  <c r="N41"/>
  <c r="O41" s="1"/>
  <c r="AE46"/>
  <c r="N46"/>
  <c r="O46" s="1"/>
  <c r="AE47"/>
  <c r="N47"/>
  <c r="O47" s="1"/>
  <c r="L9"/>
  <c r="AD10"/>
  <c r="N10"/>
  <c r="O10" s="1"/>
  <c r="AB10"/>
  <c r="AC10" s="1"/>
  <c r="BN10"/>
  <c r="BO10" s="1"/>
  <c r="AU12"/>
  <c r="AV12" s="1"/>
  <c r="N17"/>
  <c r="O17" s="1"/>
  <c r="AB18"/>
  <c r="AC18" s="1"/>
  <c r="AB20"/>
  <c r="AC20" s="1"/>
  <c r="N22"/>
  <c r="O22" s="1"/>
  <c r="BN22"/>
  <c r="BO22" s="1"/>
  <c r="AR39"/>
  <c r="D74"/>
  <c r="D61"/>
  <c r="M59"/>
  <c r="J74"/>
  <c r="J61"/>
  <c r="R74"/>
  <c r="AA59"/>
  <c r="AK74"/>
  <c r="AK61"/>
  <c r="AT59"/>
  <c r="AQ74"/>
  <c r="AQ61"/>
  <c r="BG74"/>
  <c r="BG61"/>
  <c r="X74"/>
  <c r="X61"/>
  <c r="Z60"/>
  <c r="AR60"/>
  <c r="AT60"/>
  <c r="BL60"/>
  <c r="AX18"/>
  <c r="AE19"/>
  <c r="AX20"/>
  <c r="M21"/>
  <c r="AA21"/>
  <c r="AA23" s="1"/>
  <c r="BM21"/>
  <c r="AX22"/>
  <c r="C23"/>
  <c r="G23"/>
  <c r="I23"/>
  <c r="Q23"/>
  <c r="U23"/>
  <c r="W23"/>
  <c r="AK23"/>
  <c r="AM23"/>
  <c r="AQ23"/>
  <c r="BC23"/>
  <c r="BG23"/>
  <c r="BI23"/>
  <c r="B59"/>
  <c r="B63" s="1"/>
  <c r="E59"/>
  <c r="E63" s="1"/>
  <c r="E65" s="1"/>
  <c r="E69" s="1"/>
  <c r="H59"/>
  <c r="H63" s="1"/>
  <c r="H65" s="1"/>
  <c r="H69" s="1"/>
  <c r="K32"/>
  <c r="Z32"/>
  <c r="AJ59"/>
  <c r="AM59"/>
  <c r="AM63" s="1"/>
  <c r="AP59"/>
  <c r="AS32"/>
  <c r="BC59"/>
  <c r="BC63" s="1"/>
  <c r="BF59"/>
  <c r="BI59"/>
  <c r="BL32"/>
  <c r="AF38"/>
  <c r="Y40"/>
  <c r="AA40"/>
  <c r="BK40"/>
  <c r="BN40" s="1"/>
  <c r="BO40" s="1"/>
  <c r="BM40"/>
  <c r="AL44"/>
  <c r="AR44" s="1"/>
  <c r="AU44" s="1"/>
  <c r="AV44" s="1"/>
  <c r="AF48"/>
  <c r="AY48" s="1"/>
  <c r="BR48" s="1"/>
  <c r="AU48"/>
  <c r="AV48" s="1"/>
  <c r="AD50"/>
  <c r="AW50" s="1"/>
  <c r="BP50" s="1"/>
  <c r="AB50"/>
  <c r="AC50" s="1"/>
  <c r="BN50"/>
  <c r="BO50" s="1"/>
  <c r="AU51"/>
  <c r="AV51" s="1"/>
  <c r="AD55"/>
  <c r="AW55" s="1"/>
  <c r="BP55" s="1"/>
  <c r="BN55"/>
  <c r="BO55" s="1"/>
  <c r="AD56"/>
  <c r="AW56" s="1"/>
  <c r="BP56" s="1"/>
  <c r="AB56"/>
  <c r="AC56" s="1"/>
  <c r="BN56"/>
  <c r="BO56" s="1"/>
  <c r="AD57"/>
  <c r="AW57" s="1"/>
  <c r="BP57" s="1"/>
  <c r="AB57"/>
  <c r="AC57" s="1"/>
  <c r="BN57"/>
  <c r="BO57" s="1"/>
  <c r="AD58"/>
  <c r="AW58" s="1"/>
  <c r="BP58" s="1"/>
  <c r="AB58"/>
  <c r="AC58" s="1"/>
  <c r="BN58"/>
  <c r="BO58" s="1"/>
  <c r="AD64"/>
  <c r="AW64" s="1"/>
  <c r="BP64" s="1"/>
  <c r="P74"/>
  <c r="Y59"/>
  <c r="S74"/>
  <c r="S61"/>
  <c r="V74"/>
  <c r="V61"/>
  <c r="AI74"/>
  <c r="AI61"/>
  <c r="AR59"/>
  <c r="AL74"/>
  <c r="AL61"/>
  <c r="AO74"/>
  <c r="AO61"/>
  <c r="BB74"/>
  <c r="BK59"/>
  <c r="BK61" s="1"/>
  <c r="BE74"/>
  <c r="BE61"/>
  <c r="BH74"/>
  <c r="BH61"/>
  <c r="G74"/>
  <c r="G61"/>
  <c r="U74"/>
  <c r="U61"/>
  <c r="AN74"/>
  <c r="AN61"/>
  <c r="BD74"/>
  <c r="BD61"/>
  <c r="BM59"/>
  <c r="BJ74"/>
  <c r="BJ61"/>
  <c r="AE51"/>
  <c r="N51"/>
  <c r="O51" s="1"/>
  <c r="N55"/>
  <c r="O55" s="1"/>
  <c r="AE56"/>
  <c r="N56"/>
  <c r="O56" s="1"/>
  <c r="AE57"/>
  <c r="N57"/>
  <c r="O57" s="1"/>
  <c r="AE58"/>
  <c r="N58"/>
  <c r="O58" s="1"/>
  <c r="L21"/>
  <c r="Z21"/>
  <c r="AE21" s="1"/>
  <c r="AT21"/>
  <c r="AT23" s="1"/>
  <c r="BL21"/>
  <c r="D23"/>
  <c r="F23"/>
  <c r="J23"/>
  <c r="R23"/>
  <c r="T23"/>
  <c r="X23"/>
  <c r="AJ23"/>
  <c r="AN23"/>
  <c r="AP23"/>
  <c r="BD23"/>
  <c r="BF23"/>
  <c r="BJ23"/>
  <c r="L32"/>
  <c r="Y32"/>
  <c r="AR32"/>
  <c r="BK32"/>
  <c r="K40"/>
  <c r="M40"/>
  <c r="AF40" s="1"/>
  <c r="AT40"/>
  <c r="K42"/>
  <c r="AD42" s="1"/>
  <c r="AW42" s="1"/>
  <c r="BP42" s="1"/>
  <c r="AD48"/>
  <c r="AW48" s="1"/>
  <c r="BP48" s="1"/>
  <c r="N48"/>
  <c r="O48" s="1"/>
  <c r="AB48"/>
  <c r="AC48" s="1"/>
  <c r="BN48"/>
  <c r="BO48" s="1"/>
  <c r="AU50"/>
  <c r="AV50" s="1"/>
  <c r="AG72"/>
  <c r="AH72" s="1"/>
  <c r="AX72"/>
  <c r="AX73"/>
  <c r="AG73"/>
  <c r="AH73" s="1"/>
  <c r="AB68"/>
  <c r="AC68" s="1"/>
  <c r="AG68"/>
  <c r="AH68" s="1"/>
  <c r="AU68"/>
  <c r="AV68" s="1"/>
  <c r="AF71"/>
  <c r="AY71" s="1"/>
  <c r="BR71" s="1"/>
  <c r="AB71"/>
  <c r="AC71" s="1"/>
  <c r="BN71"/>
  <c r="BO71" s="1"/>
  <c r="X66"/>
  <c r="Z66" s="1"/>
  <c r="AB66" s="1"/>
  <c r="AC66" s="1"/>
  <c r="AX71"/>
  <c r="AG71"/>
  <c r="AH71" s="1"/>
  <c r="N68"/>
  <c r="O68" s="1"/>
  <c r="AU71"/>
  <c r="AX68"/>
  <c r="N71"/>
  <c r="O71" s="1"/>
  <c r="N73"/>
  <c r="O73" s="1"/>
  <c r="N72"/>
  <c r="O72" s="1"/>
  <c r="S120" i="116"/>
  <c r="AA136"/>
  <c r="AA120"/>
  <c r="U38"/>
  <c r="V38" s="1"/>
  <c r="T41"/>
  <c r="T42" s="1"/>
  <c r="L42"/>
  <c r="N65"/>
  <c r="T72"/>
  <c r="T73" s="1"/>
  <c r="L73"/>
  <c r="AB35"/>
  <c r="M39"/>
  <c r="AB40"/>
  <c r="AB59"/>
  <c r="AB61"/>
  <c r="AB63"/>
  <c r="AB64"/>
  <c r="AB71"/>
  <c r="AB72"/>
  <c r="AB74"/>
  <c r="AB75"/>
  <c r="AB76"/>
  <c r="AB77"/>
  <c r="AB78"/>
  <c r="N85"/>
  <c r="AB85"/>
  <c r="AB89"/>
  <c r="P15"/>
  <c r="Z15"/>
  <c r="S23"/>
  <c r="N74"/>
  <c r="U76"/>
  <c r="V76" s="1"/>
  <c r="N76"/>
  <c r="U77"/>
  <c r="V77" s="1"/>
  <c r="U78"/>
  <c r="V78" s="1"/>
  <c r="F200"/>
  <c r="F154"/>
  <c r="N86"/>
  <c r="U86"/>
  <c r="V86" s="1"/>
  <c r="U90"/>
  <c r="AB7"/>
  <c r="AB34"/>
  <c r="AB37"/>
  <c r="AB38"/>
  <c r="AB39"/>
  <c r="AB44"/>
  <c r="AB45"/>
  <c r="AB46"/>
  <c r="AB65"/>
  <c r="M70"/>
  <c r="AB80"/>
  <c r="AC86"/>
  <c r="AB92"/>
  <c r="T94"/>
  <c r="C136"/>
  <c r="C171" s="1"/>
  <c r="C120"/>
  <c r="E136"/>
  <c r="E171" s="1"/>
  <c r="E120"/>
  <c r="G136"/>
  <c r="G120"/>
  <c r="I136"/>
  <c r="I171" s="1"/>
  <c r="I120"/>
  <c r="O136"/>
  <c r="O171" s="1"/>
  <c r="O120"/>
  <c r="Q136"/>
  <c r="Q171" s="1"/>
  <c r="Q120"/>
  <c r="W136"/>
  <c r="W120"/>
  <c r="Y136"/>
  <c r="Y171" s="1"/>
  <c r="Y120"/>
  <c r="F185"/>
  <c r="F152"/>
  <c r="K185"/>
  <c r="M185" s="1"/>
  <c r="K152"/>
  <c r="O185"/>
  <c r="O152"/>
  <c r="AA185"/>
  <c r="AA152"/>
  <c r="B186"/>
  <c r="B153"/>
  <c r="G186"/>
  <c r="L186" s="1"/>
  <c r="G153"/>
  <c r="S186"/>
  <c r="S153"/>
  <c r="W186"/>
  <c r="W153"/>
  <c r="L209"/>
  <c r="T209" s="1"/>
  <c r="AB209" s="1"/>
  <c r="B200"/>
  <c r="B154"/>
  <c r="K200"/>
  <c r="M200" s="1"/>
  <c r="K154"/>
  <c r="O200"/>
  <c r="O154"/>
  <c r="Q200"/>
  <c r="Q154"/>
  <c r="AA200"/>
  <c r="AA154"/>
  <c r="Z201"/>
  <c r="AA81"/>
  <c r="U97"/>
  <c r="V97" s="1"/>
  <c r="N97"/>
  <c r="U103"/>
  <c r="V103" s="1"/>
  <c r="N103"/>
  <c r="U104"/>
  <c r="V104" s="1"/>
  <c r="N104"/>
  <c r="L137"/>
  <c r="T137" s="1"/>
  <c r="L9"/>
  <c r="T9" s="1"/>
  <c r="AB137"/>
  <c r="AB9"/>
  <c r="M138"/>
  <c r="M10"/>
  <c r="L139"/>
  <c r="T139" s="1"/>
  <c r="L11"/>
  <c r="T11" s="1"/>
  <c r="AB139"/>
  <c r="AB11"/>
  <c r="L16"/>
  <c r="M17"/>
  <c r="L18"/>
  <c r="K19"/>
  <c r="S19"/>
  <c r="M20"/>
  <c r="B150"/>
  <c r="G150"/>
  <c r="L21"/>
  <c r="W150"/>
  <c r="K22"/>
  <c r="S22"/>
  <c r="AA22"/>
  <c r="D23"/>
  <c r="H23"/>
  <c r="L23"/>
  <c r="R23"/>
  <c r="X23"/>
  <c r="M24"/>
  <c r="L25"/>
  <c r="M187"/>
  <c r="M26"/>
  <c r="L188"/>
  <c r="T188" s="1"/>
  <c r="AB188" s="1"/>
  <c r="L27"/>
  <c r="T27" s="1"/>
  <c r="AB27" s="1"/>
  <c r="M203"/>
  <c r="M28"/>
  <c r="F29"/>
  <c r="M29" s="1"/>
  <c r="L29"/>
  <c r="T29" s="1"/>
  <c r="AB29" s="1"/>
  <c r="M30"/>
  <c r="L208"/>
  <c r="T208" s="1"/>
  <c r="L31"/>
  <c r="T31" s="1"/>
  <c r="AB208"/>
  <c r="AB31"/>
  <c r="E214"/>
  <c r="I214"/>
  <c r="K32"/>
  <c r="Y214"/>
  <c r="L210"/>
  <c r="T210" s="1"/>
  <c r="L33"/>
  <c r="T33" s="1"/>
  <c r="K36"/>
  <c r="T36"/>
  <c r="T146" s="1"/>
  <c r="F37"/>
  <c r="S37"/>
  <c r="S144" s="1"/>
  <c r="R42"/>
  <c r="C43"/>
  <c r="C34" s="1"/>
  <c r="Q43"/>
  <c r="Q34" s="1"/>
  <c r="M189"/>
  <c r="M47"/>
  <c r="M190"/>
  <c r="M48"/>
  <c r="F49"/>
  <c r="M49" s="1"/>
  <c r="S49"/>
  <c r="S188" s="1"/>
  <c r="AA49"/>
  <c r="L191"/>
  <c r="T191" s="1"/>
  <c r="L50"/>
  <c r="T50" s="1"/>
  <c r="AB191"/>
  <c r="AB50"/>
  <c r="M192"/>
  <c r="M51"/>
  <c r="L193"/>
  <c r="T193" s="1"/>
  <c r="L52"/>
  <c r="T52" s="1"/>
  <c r="AB193"/>
  <c r="AB52"/>
  <c r="M194"/>
  <c r="M53"/>
  <c r="L195"/>
  <c r="T195" s="1"/>
  <c r="L54"/>
  <c r="T54" s="1"/>
  <c r="AB195"/>
  <c r="AB54"/>
  <c r="L196"/>
  <c r="T196" s="1"/>
  <c r="L55"/>
  <c r="T55" s="1"/>
  <c r="AB55" s="1"/>
  <c r="M197"/>
  <c r="M56"/>
  <c r="L198"/>
  <c r="T198" s="1"/>
  <c r="L57"/>
  <c r="T57" s="1"/>
  <c r="AB198"/>
  <c r="AB57"/>
  <c r="M199"/>
  <c r="M58"/>
  <c r="M205"/>
  <c r="M60"/>
  <c r="K61"/>
  <c r="L207"/>
  <c r="T207" s="1"/>
  <c r="L62"/>
  <c r="T62" s="1"/>
  <c r="AB207"/>
  <c r="AB62"/>
  <c r="F64"/>
  <c r="F209" s="1"/>
  <c r="P64"/>
  <c r="P43" s="1"/>
  <c r="P34" s="1"/>
  <c r="Z64"/>
  <c r="Z43" s="1"/>
  <c r="Z34" s="1"/>
  <c r="S65"/>
  <c r="M211"/>
  <c r="M66"/>
  <c r="S66"/>
  <c r="S211" s="1"/>
  <c r="L67"/>
  <c r="T67" s="1"/>
  <c r="AB67" s="1"/>
  <c r="AA67"/>
  <c r="B213"/>
  <c r="G213"/>
  <c r="L68"/>
  <c r="T68" s="1"/>
  <c r="AB68" s="1"/>
  <c r="C69"/>
  <c r="M79"/>
  <c r="M201"/>
  <c r="M81"/>
  <c r="M202"/>
  <c r="M91"/>
  <c r="AB91"/>
  <c r="AB93"/>
  <c r="AB94" s="1"/>
  <c r="F88"/>
  <c r="AB99"/>
  <c r="AB101"/>
  <c r="AC103"/>
  <c r="AC104"/>
  <c r="B136"/>
  <c r="B171" s="1"/>
  <c r="B120"/>
  <c r="D136"/>
  <c r="D171" s="1"/>
  <c r="D120"/>
  <c r="H136"/>
  <c r="H171" s="1"/>
  <c r="H120"/>
  <c r="J136"/>
  <c r="J171" s="1"/>
  <c r="J120"/>
  <c r="P136"/>
  <c r="P171" s="1"/>
  <c r="P120"/>
  <c r="R136"/>
  <c r="R171" s="1"/>
  <c r="R120"/>
  <c r="X136"/>
  <c r="X171" s="1"/>
  <c r="X120"/>
  <c r="Z136"/>
  <c r="Z171" s="1"/>
  <c r="Z120"/>
  <c r="B185"/>
  <c r="B214" s="1"/>
  <c r="B152"/>
  <c r="G185"/>
  <c r="L185" s="1"/>
  <c r="T185" s="1"/>
  <c r="G152"/>
  <c r="S185"/>
  <c r="S152"/>
  <c r="W185"/>
  <c r="AB185" s="1"/>
  <c r="W152"/>
  <c r="F186"/>
  <c r="F153"/>
  <c r="K186"/>
  <c r="K153"/>
  <c r="O186"/>
  <c r="O214" s="1"/>
  <c r="O153"/>
  <c r="AA186"/>
  <c r="AA153"/>
  <c r="C200"/>
  <c r="C214" s="1"/>
  <c r="C154"/>
  <c r="C43" i="117" s="1"/>
  <c r="L43" s="1"/>
  <c r="G200" i="116"/>
  <c r="G154"/>
  <c r="P200"/>
  <c r="P154"/>
  <c r="W200"/>
  <c r="W154"/>
  <c r="U82"/>
  <c r="AC82" s="1"/>
  <c r="U93"/>
  <c r="AC93" s="1"/>
  <c r="N93"/>
  <c r="U99"/>
  <c r="V99" s="1"/>
  <c r="N99"/>
  <c r="L162"/>
  <c r="T111"/>
  <c r="T162" s="1"/>
  <c r="U113"/>
  <c r="F8"/>
  <c r="L8"/>
  <c r="T8" s="1"/>
  <c r="AB8" s="1"/>
  <c r="M137"/>
  <c r="M9"/>
  <c r="L138"/>
  <c r="T138" s="1"/>
  <c r="L10"/>
  <c r="T10" s="1"/>
  <c r="AB138"/>
  <c r="AB10"/>
  <c r="M139"/>
  <c r="M11"/>
  <c r="L15"/>
  <c r="T15" s="1"/>
  <c r="AB15" s="1"/>
  <c r="M16"/>
  <c r="L17"/>
  <c r="M18"/>
  <c r="F147"/>
  <c r="L19"/>
  <c r="L20"/>
  <c r="M21"/>
  <c r="F22"/>
  <c r="Y151"/>
  <c r="Y155" s="1"/>
  <c r="L24"/>
  <c r="M25"/>
  <c r="L187"/>
  <c r="T187" s="1"/>
  <c r="L26"/>
  <c r="T26" s="1"/>
  <c r="AB26" s="1"/>
  <c r="F188"/>
  <c r="M27"/>
  <c r="AA188"/>
  <c r="L203"/>
  <c r="T203" s="1"/>
  <c r="L28"/>
  <c r="T28" s="1"/>
  <c r="AB203"/>
  <c r="AB28"/>
  <c r="AB204"/>
  <c r="L206"/>
  <c r="T206" s="1"/>
  <c r="L30"/>
  <c r="T30" s="1"/>
  <c r="AB206"/>
  <c r="AB30"/>
  <c r="M208"/>
  <c r="M31"/>
  <c r="L32"/>
  <c r="T32" s="1"/>
  <c r="AB32" s="1"/>
  <c r="P209"/>
  <c r="M210"/>
  <c r="M33"/>
  <c r="S210"/>
  <c r="AB210"/>
  <c r="AB33"/>
  <c r="M41"/>
  <c r="L189"/>
  <c r="T189" s="1"/>
  <c r="L47"/>
  <c r="T47" s="1"/>
  <c r="AB47" s="1"/>
  <c r="AB189"/>
  <c r="L190"/>
  <c r="T190" s="1"/>
  <c r="L48"/>
  <c r="T48" s="1"/>
  <c r="AB190"/>
  <c r="AB48"/>
  <c r="M191"/>
  <c r="M50"/>
  <c r="L192"/>
  <c r="T192" s="1"/>
  <c r="L51"/>
  <c r="T51" s="1"/>
  <c r="AB192"/>
  <c r="AB51"/>
  <c r="M193"/>
  <c r="M52"/>
  <c r="L194"/>
  <c r="T194" s="1"/>
  <c r="L53"/>
  <c r="T53" s="1"/>
  <c r="AB194"/>
  <c r="AB53"/>
  <c r="M195"/>
  <c r="M54"/>
  <c r="M196"/>
  <c r="M55"/>
  <c r="AB196"/>
  <c r="L197"/>
  <c r="T197" s="1"/>
  <c r="L56"/>
  <c r="T56" s="1"/>
  <c r="AB197"/>
  <c r="AB56"/>
  <c r="M198"/>
  <c r="M57"/>
  <c r="L199"/>
  <c r="T199" s="1"/>
  <c r="L58"/>
  <c r="T58" s="1"/>
  <c r="AB199"/>
  <c r="AB58"/>
  <c r="L205"/>
  <c r="T205" s="1"/>
  <c r="L60"/>
  <c r="T60" s="1"/>
  <c r="AB205"/>
  <c r="AB60"/>
  <c r="M207"/>
  <c r="M62"/>
  <c r="L211"/>
  <c r="T211" s="1"/>
  <c r="AB211" s="1"/>
  <c r="L66"/>
  <c r="T66" s="1"/>
  <c r="AB66" s="1"/>
  <c r="L212"/>
  <c r="T212" s="1"/>
  <c r="AB212" s="1"/>
  <c r="M67"/>
  <c r="M213"/>
  <c r="M68"/>
  <c r="S70"/>
  <c r="M72"/>
  <c r="L79"/>
  <c r="S79"/>
  <c r="L201"/>
  <c r="T201" s="1"/>
  <c r="L81"/>
  <c r="T81" s="1"/>
  <c r="AB201"/>
  <c r="AB81"/>
  <c r="AC83"/>
  <c r="AB84"/>
  <c r="V85"/>
  <c r="AB86"/>
  <c r="V87"/>
  <c r="AC87"/>
  <c r="AB88"/>
  <c r="L94"/>
  <c r="AB96"/>
  <c r="AB97"/>
  <c r="AB98"/>
  <c r="AC99"/>
  <c r="AB103"/>
  <c r="AB104"/>
  <c r="AB111"/>
  <c r="AB162" s="1"/>
  <c r="AB122"/>
  <c r="L202"/>
  <c r="T202" s="1"/>
  <c r="L82"/>
  <c r="T82" s="1"/>
  <c r="AB202"/>
  <c r="AB82"/>
  <c r="K100"/>
  <c r="M100" s="1"/>
  <c r="AA100"/>
  <c r="K102"/>
  <c r="AA102"/>
  <c r="K105"/>
  <c r="S105"/>
  <c r="S156" s="1"/>
  <c r="AA105"/>
  <c r="L106"/>
  <c r="M107"/>
  <c r="L108"/>
  <c r="K109"/>
  <c r="S109"/>
  <c r="S160" s="1"/>
  <c r="AA109"/>
  <c r="L110"/>
  <c r="M111"/>
  <c r="M112"/>
  <c r="M114"/>
  <c r="M115"/>
  <c r="L116"/>
  <c r="F122"/>
  <c r="M122" s="1"/>
  <c r="K173"/>
  <c r="M123"/>
  <c r="S173"/>
  <c r="AA173"/>
  <c r="T124"/>
  <c r="G162"/>
  <c r="W162"/>
  <c r="F164"/>
  <c r="L105"/>
  <c r="M106"/>
  <c r="L107"/>
  <c r="M108"/>
  <c r="M110"/>
  <c r="L115"/>
  <c r="M116"/>
  <c r="M118"/>
  <c r="T123"/>
  <c r="M124"/>
  <c r="L11" i="115"/>
  <c r="AE8"/>
  <c r="N8"/>
  <c r="O8" s="1"/>
  <c r="AS11"/>
  <c r="AU8"/>
  <c r="AV8" s="1"/>
  <c r="L10"/>
  <c r="AE9"/>
  <c r="N9"/>
  <c r="O9" s="1"/>
  <c r="AS10"/>
  <c r="AU9"/>
  <c r="AV9" s="1"/>
  <c r="AE15"/>
  <c r="N15"/>
  <c r="O15" s="1"/>
  <c r="AU15"/>
  <c r="AV15" s="1"/>
  <c r="AE16"/>
  <c r="N16"/>
  <c r="O16" s="1"/>
  <c r="AE17"/>
  <c r="AE38" s="1"/>
  <c r="N17"/>
  <c r="O17" s="1"/>
  <c r="AD19"/>
  <c r="K18"/>
  <c r="K14" s="1"/>
  <c r="K34" s="1"/>
  <c r="AY19"/>
  <c r="AF18"/>
  <c r="AB19"/>
  <c r="AC19" s="1"/>
  <c r="Z18"/>
  <c r="Z37" s="1"/>
  <c r="BN19"/>
  <c r="BO19" s="1"/>
  <c r="BL18"/>
  <c r="BL37" s="1"/>
  <c r="BQ26"/>
  <c r="BQ27"/>
  <c r="BQ31"/>
  <c r="Y10"/>
  <c r="BK10"/>
  <c r="AU16"/>
  <c r="AV16" s="1"/>
  <c r="AU17"/>
  <c r="AV17" s="1"/>
  <c r="AD20"/>
  <c r="AW20" s="1"/>
  <c r="BP20" s="1"/>
  <c r="AB20"/>
  <c r="AC20" s="1"/>
  <c r="BN20"/>
  <c r="BO20" s="1"/>
  <c r="AD28"/>
  <c r="AW28" s="1"/>
  <c r="BP28" s="1"/>
  <c r="K11"/>
  <c r="AD8"/>
  <c r="Z11"/>
  <c r="AB8"/>
  <c r="AC8" s="1"/>
  <c r="BL11"/>
  <c r="BN8"/>
  <c r="BO8" s="1"/>
  <c r="K10"/>
  <c r="AD9"/>
  <c r="AB9"/>
  <c r="AC9" s="1"/>
  <c r="Z10"/>
  <c r="BN9"/>
  <c r="BO9" s="1"/>
  <c r="BL10"/>
  <c r="AD15"/>
  <c r="AY15"/>
  <c r="AB15"/>
  <c r="AC15" s="1"/>
  <c r="BN15"/>
  <c r="BO15" s="1"/>
  <c r="AE19"/>
  <c r="N19"/>
  <c r="O19" s="1"/>
  <c r="L18"/>
  <c r="AU19"/>
  <c r="AV19" s="1"/>
  <c r="AS18"/>
  <c r="AE20"/>
  <c r="N20"/>
  <c r="O20" s="1"/>
  <c r="AR10"/>
  <c r="AA29"/>
  <c r="AA37" s="1"/>
  <c r="X34"/>
  <c r="BM29"/>
  <c r="BM37" s="1"/>
  <c r="BF75"/>
  <c r="BF76" s="1"/>
  <c r="BF34"/>
  <c r="BJ34"/>
  <c r="L32"/>
  <c r="G75"/>
  <c r="G76" s="1"/>
  <c r="G34"/>
  <c r="I34"/>
  <c r="AK75"/>
  <c r="AK34"/>
  <c r="AT32"/>
  <c r="BR43"/>
  <c r="K50"/>
  <c r="AD49"/>
  <c r="Z50"/>
  <c r="BN49"/>
  <c r="BO49" s="1"/>
  <c r="BL50"/>
  <c r="N52"/>
  <c r="O52" s="1"/>
  <c r="AE53"/>
  <c r="N53"/>
  <c r="O53" s="1"/>
  <c r="AE57"/>
  <c r="N57"/>
  <c r="O57" s="1"/>
  <c r="AE58"/>
  <c r="N58"/>
  <c r="O58" s="1"/>
  <c r="AE59"/>
  <c r="N59"/>
  <c r="O59" s="1"/>
  <c r="AE60"/>
  <c r="N60"/>
  <c r="O60" s="1"/>
  <c r="AF8"/>
  <c r="AA11"/>
  <c r="BM11"/>
  <c r="BM12" s="1"/>
  <c r="BM13" s="1"/>
  <c r="K71"/>
  <c r="M71"/>
  <c r="Y71"/>
  <c r="AA71"/>
  <c r="N25"/>
  <c r="O25" s="1"/>
  <c r="AX25"/>
  <c r="AF27"/>
  <c r="AY27" s="1"/>
  <c r="AB27"/>
  <c r="AC27" s="1"/>
  <c r="AF28"/>
  <c r="AB28"/>
  <c r="AC28" s="1"/>
  <c r="BN28"/>
  <c r="BO28" s="1"/>
  <c r="L29"/>
  <c r="AT29"/>
  <c r="AT37" s="1"/>
  <c r="N30"/>
  <c r="O30" s="1"/>
  <c r="AX30"/>
  <c r="AM32"/>
  <c r="N33"/>
  <c r="O33" s="1"/>
  <c r="BN33"/>
  <c r="BO33" s="1"/>
  <c r="AD44"/>
  <c r="AW44" s="1"/>
  <c r="BP44" s="1"/>
  <c r="AB44"/>
  <c r="AC44" s="1"/>
  <c r="BN44"/>
  <c r="BO44" s="1"/>
  <c r="AD45"/>
  <c r="AW45" s="1"/>
  <c r="BP45" s="1"/>
  <c r="AB45"/>
  <c r="AC45" s="1"/>
  <c r="BN45"/>
  <c r="BO45" s="1"/>
  <c r="AD46"/>
  <c r="AW46" s="1"/>
  <c r="BP46" s="1"/>
  <c r="BN46"/>
  <c r="BO46" s="1"/>
  <c r="AD47"/>
  <c r="AW47" s="1"/>
  <c r="BP47" s="1"/>
  <c r="AB47"/>
  <c r="AC47" s="1"/>
  <c r="BN47"/>
  <c r="BO47" s="1"/>
  <c r="AD48"/>
  <c r="AW48" s="1"/>
  <c r="BP48" s="1"/>
  <c r="AB48"/>
  <c r="AC48" s="1"/>
  <c r="BN48"/>
  <c r="BO48" s="1"/>
  <c r="AR50"/>
  <c r="K55"/>
  <c r="AU52"/>
  <c r="AV52" s="1"/>
  <c r="AU53"/>
  <c r="AV53" s="1"/>
  <c r="BK55"/>
  <c r="BN55" s="1"/>
  <c r="BO55" s="1"/>
  <c r="AU54"/>
  <c r="AV54" s="1"/>
  <c r="AB56"/>
  <c r="AC56" s="1"/>
  <c r="BN56"/>
  <c r="BO56" s="1"/>
  <c r="AU57"/>
  <c r="AV57" s="1"/>
  <c r="AU58"/>
  <c r="AV58" s="1"/>
  <c r="AU59"/>
  <c r="AV59" s="1"/>
  <c r="AU60"/>
  <c r="AV60" s="1"/>
  <c r="M29"/>
  <c r="F34"/>
  <c r="J75"/>
  <c r="J34"/>
  <c r="AJ32"/>
  <c r="AS29"/>
  <c r="AU29" s="1"/>
  <c r="AV29" s="1"/>
  <c r="AN34"/>
  <c r="AP75"/>
  <c r="AP76" s="1"/>
  <c r="AP34"/>
  <c r="Z32"/>
  <c r="U75"/>
  <c r="U34"/>
  <c r="AE44"/>
  <c r="N44"/>
  <c r="O44" s="1"/>
  <c r="AE45"/>
  <c r="N45"/>
  <c r="O45" s="1"/>
  <c r="AE47"/>
  <c r="N47"/>
  <c r="O47" s="1"/>
  <c r="N48"/>
  <c r="O48" s="1"/>
  <c r="N49"/>
  <c r="O49" s="1"/>
  <c r="AS50"/>
  <c r="AU49"/>
  <c r="AV49" s="1"/>
  <c r="N56"/>
  <c r="O56" s="1"/>
  <c r="AE56"/>
  <c r="AF9"/>
  <c r="AB25"/>
  <c r="AC25" s="1"/>
  <c r="BN25"/>
  <c r="BO25" s="1"/>
  <c r="N26"/>
  <c r="O26" s="1"/>
  <c r="AU26"/>
  <c r="AV26" s="1"/>
  <c r="N27"/>
  <c r="O27" s="1"/>
  <c r="AU27"/>
  <c r="AV27" s="1"/>
  <c r="N28"/>
  <c r="O28" s="1"/>
  <c r="BQ28"/>
  <c r="AB30"/>
  <c r="AC30" s="1"/>
  <c r="BN30"/>
  <c r="BO30" s="1"/>
  <c r="N31"/>
  <c r="O31" s="1"/>
  <c r="AU31"/>
  <c r="AV31" s="1"/>
  <c r="AU33"/>
  <c r="AV33" s="1"/>
  <c r="Y50"/>
  <c r="BK50"/>
  <c r="G72"/>
  <c r="AE63"/>
  <c r="N63"/>
  <c r="O63" s="1"/>
  <c r="AE67"/>
  <c r="N67"/>
  <c r="O67" s="1"/>
  <c r="AE68"/>
  <c r="N68"/>
  <c r="O68" s="1"/>
  <c r="AE69"/>
  <c r="N69"/>
  <c r="O69" s="1"/>
  <c r="BL32"/>
  <c r="AE33"/>
  <c r="L43"/>
  <c r="V70"/>
  <c r="V74" s="1"/>
  <c r="V76" s="1"/>
  <c r="Y43"/>
  <c r="AI70"/>
  <c r="AL70"/>
  <c r="AL74" s="1"/>
  <c r="AL76" s="1"/>
  <c r="AO70"/>
  <c r="AO74" s="1"/>
  <c r="AO76" s="1"/>
  <c r="AR43"/>
  <c r="BB70"/>
  <c r="BE70"/>
  <c r="BE74" s="1"/>
  <c r="BE76" s="1"/>
  <c r="BH70"/>
  <c r="BH74" s="1"/>
  <c r="BH76" s="1"/>
  <c r="BK43"/>
  <c r="K51"/>
  <c r="M51"/>
  <c r="X70"/>
  <c r="AN70"/>
  <c r="AR51"/>
  <c r="AU51" s="1"/>
  <c r="AV51" s="1"/>
  <c r="AT51"/>
  <c r="AT70" s="1"/>
  <c r="AT74" s="1"/>
  <c r="BD70"/>
  <c r="BJ70"/>
  <c r="BN60"/>
  <c r="BO60" s="1"/>
  <c r="AU61"/>
  <c r="AV61" s="1"/>
  <c r="AF62"/>
  <c r="AY62" s="1"/>
  <c r="BR62" s="1"/>
  <c r="AU62"/>
  <c r="AV62" s="1"/>
  <c r="AE66"/>
  <c r="AX66" s="1"/>
  <c r="BQ66" s="1"/>
  <c r="AU67"/>
  <c r="AV67" s="1"/>
  <c r="AU68"/>
  <c r="AV68" s="1"/>
  <c r="AU69"/>
  <c r="AV69" s="1"/>
  <c r="B77"/>
  <c r="K70"/>
  <c r="K74" s="1"/>
  <c r="K76" s="1"/>
  <c r="E77"/>
  <c r="H77"/>
  <c r="AJ72"/>
  <c r="AM72"/>
  <c r="AP72"/>
  <c r="BC72"/>
  <c r="BF72"/>
  <c r="BI72"/>
  <c r="M70"/>
  <c r="M74" s="1"/>
  <c r="D72"/>
  <c r="J72"/>
  <c r="R72"/>
  <c r="AK72"/>
  <c r="AQ72"/>
  <c r="BG72"/>
  <c r="AQ34"/>
  <c r="BC34"/>
  <c r="BG34"/>
  <c r="BI34"/>
  <c r="K43"/>
  <c r="Z43"/>
  <c r="AS43"/>
  <c r="BL43"/>
  <c r="AF49"/>
  <c r="Y51"/>
  <c r="AA51"/>
  <c r="BK51"/>
  <c r="BN51" s="1"/>
  <c r="BO51" s="1"/>
  <c r="BM51"/>
  <c r="BM70" s="1"/>
  <c r="BM74" s="1"/>
  <c r="BK53"/>
  <c r="BP53" s="1"/>
  <c r="AE61"/>
  <c r="AD62"/>
  <c r="AW62" s="1"/>
  <c r="BP62" s="1"/>
  <c r="N62"/>
  <c r="O62" s="1"/>
  <c r="AB62"/>
  <c r="AC62" s="1"/>
  <c r="BN62"/>
  <c r="BO62" s="1"/>
  <c r="AE81"/>
  <c r="N81"/>
  <c r="AU81"/>
  <c r="AE82"/>
  <c r="N82"/>
  <c r="AE83"/>
  <c r="N83"/>
  <c r="K78"/>
  <c r="Y78"/>
  <c r="AB78" s="1"/>
  <c r="AC78" s="1"/>
  <c r="AE78"/>
  <c r="BK78"/>
  <c r="BN78" s="1"/>
  <c r="BO78" s="1"/>
  <c r="AF78"/>
  <c r="AR78"/>
  <c r="N16" i="114"/>
  <c r="U19"/>
  <c r="N19"/>
  <c r="M18"/>
  <c r="N18" s="1"/>
  <c r="U50"/>
  <c r="N50"/>
  <c r="U59"/>
  <c r="N59"/>
  <c r="N61"/>
  <c r="U74"/>
  <c r="N74"/>
  <c r="U80"/>
  <c r="U83"/>
  <c r="N83"/>
  <c r="U87"/>
  <c r="N89"/>
  <c r="M92"/>
  <c r="N92" s="1"/>
  <c r="U91"/>
  <c r="N91"/>
  <c r="U95"/>
  <c r="N95"/>
  <c r="U102"/>
  <c r="N102"/>
  <c r="U111"/>
  <c r="N111"/>
  <c r="U122"/>
  <c r="N122"/>
  <c r="U127"/>
  <c r="N127"/>
  <c r="M126"/>
  <c r="U15"/>
  <c r="N15"/>
  <c r="U17"/>
  <c r="N17"/>
  <c r="U20"/>
  <c r="N20"/>
  <c r="U53"/>
  <c r="N53"/>
  <c r="U60"/>
  <c r="N60"/>
  <c r="U62"/>
  <c r="N62"/>
  <c r="U79"/>
  <c r="N79"/>
  <c r="N82"/>
  <c r="U88"/>
  <c r="N88"/>
  <c r="U90"/>
  <c r="N90"/>
  <c r="U94"/>
  <c r="N94"/>
  <c r="U96"/>
  <c r="M188"/>
  <c r="K229"/>
  <c r="K188"/>
  <c r="U98"/>
  <c r="N98"/>
  <c r="N105"/>
  <c r="U107"/>
  <c r="N107"/>
  <c r="U109"/>
  <c r="N109"/>
  <c r="U112"/>
  <c r="N112"/>
  <c r="U113"/>
  <c r="U118"/>
  <c r="U120"/>
  <c r="N120"/>
  <c r="U121"/>
  <c r="N121"/>
  <c r="U123"/>
  <c r="N123"/>
  <c r="U125"/>
  <c r="N125"/>
  <c r="M124"/>
  <c r="N124" s="1"/>
  <c r="U128"/>
  <c r="N128"/>
  <c r="U66"/>
  <c r="U114"/>
  <c r="N114"/>
  <c r="M116"/>
  <c r="N116" s="1"/>
  <c r="U115"/>
  <c r="N115"/>
  <c r="U119"/>
  <c r="N119"/>
  <c r="U129"/>
  <c r="N129"/>
  <c r="B217"/>
  <c r="B186"/>
  <c r="G217"/>
  <c r="G186"/>
  <c r="L217"/>
  <c r="L186"/>
  <c r="S217"/>
  <c r="S186"/>
  <c r="W217"/>
  <c r="W186"/>
  <c r="AB217"/>
  <c r="AB186"/>
  <c r="F218"/>
  <c r="F187"/>
  <c r="K218"/>
  <c r="K187"/>
  <c r="O218"/>
  <c r="O187"/>
  <c r="T218"/>
  <c r="T187"/>
  <c r="AA218"/>
  <c r="AA187"/>
  <c r="C229"/>
  <c r="C188"/>
  <c r="C54" i="115" s="1"/>
  <c r="L54" s="1"/>
  <c r="G229" i="114"/>
  <c r="G188"/>
  <c r="O229"/>
  <c r="O188"/>
  <c r="Q229"/>
  <c r="Q188"/>
  <c r="T229"/>
  <c r="T188"/>
  <c r="AA229"/>
  <c r="AA188"/>
  <c r="K196"/>
  <c r="K135"/>
  <c r="K195" s="1"/>
  <c r="AA196"/>
  <c r="AA135"/>
  <c r="AA195" s="1"/>
  <c r="S197"/>
  <c r="S135"/>
  <c r="S195" s="1"/>
  <c r="M167"/>
  <c r="M171"/>
  <c r="F170"/>
  <c r="F166" s="1"/>
  <c r="F205" s="1"/>
  <c r="M8"/>
  <c r="B162"/>
  <c r="G162"/>
  <c r="L162"/>
  <c r="W162"/>
  <c r="AB162"/>
  <c r="G165"/>
  <c r="O165"/>
  <c r="W165"/>
  <c r="AA14"/>
  <c r="AA145" s="1"/>
  <c r="S16"/>
  <c r="S14" s="1"/>
  <c r="S145" s="1"/>
  <c r="F18"/>
  <c r="F14" s="1"/>
  <c r="F145" s="1"/>
  <c r="Y144"/>
  <c r="B204"/>
  <c r="G204"/>
  <c r="L204"/>
  <c r="W204"/>
  <c r="AB204"/>
  <c r="M27"/>
  <c r="M29"/>
  <c r="AA180"/>
  <c r="F184"/>
  <c r="M31"/>
  <c r="O184"/>
  <c r="T184"/>
  <c r="AA184"/>
  <c r="F32"/>
  <c r="I185"/>
  <c r="Q185"/>
  <c r="Y185"/>
  <c r="Y189" s="1"/>
  <c r="M35"/>
  <c r="M37"/>
  <c r="M39"/>
  <c r="M41"/>
  <c r="F42"/>
  <c r="M43"/>
  <c r="M45"/>
  <c r="F46"/>
  <c r="F244"/>
  <c r="M47"/>
  <c r="O244"/>
  <c r="T244"/>
  <c r="I49"/>
  <c r="I144" s="1"/>
  <c r="Q49"/>
  <c r="Q144" s="1"/>
  <c r="K52"/>
  <c r="M52" s="1"/>
  <c r="S52"/>
  <c r="S178" s="1"/>
  <c r="K54"/>
  <c r="M54" s="1"/>
  <c r="S55"/>
  <c r="I184"/>
  <c r="T50" i="115" s="1"/>
  <c r="R184" i="114"/>
  <c r="I57"/>
  <c r="Z58"/>
  <c r="Z49" s="1"/>
  <c r="S61"/>
  <c r="U61" s="1"/>
  <c r="AA61"/>
  <c r="K63"/>
  <c r="M64"/>
  <c r="AA68"/>
  <c r="AA234" s="1"/>
  <c r="K70"/>
  <c r="K236" s="1"/>
  <c r="S70"/>
  <c r="S236" s="1"/>
  <c r="AA70"/>
  <c r="AA236" s="1"/>
  <c r="M72"/>
  <c r="C76"/>
  <c r="C58" s="1"/>
  <c r="C49" s="1"/>
  <c r="K76"/>
  <c r="B239"/>
  <c r="G239"/>
  <c r="L239"/>
  <c r="W239"/>
  <c r="AA77"/>
  <c r="F78"/>
  <c r="F241" s="1"/>
  <c r="F239" s="1"/>
  <c r="AA80"/>
  <c r="AA243" s="1"/>
  <c r="F81"/>
  <c r="P81"/>
  <c r="P58" s="1"/>
  <c r="P49" s="1"/>
  <c r="Z249"/>
  <c r="M85"/>
  <c r="F92"/>
  <c r="M99"/>
  <c r="M100"/>
  <c r="K103"/>
  <c r="M103" s="1"/>
  <c r="F106"/>
  <c r="F93" s="1"/>
  <c r="F86" s="1"/>
  <c r="P106"/>
  <c r="P93" s="1"/>
  <c r="P86" s="1"/>
  <c r="K108"/>
  <c r="K106" s="1"/>
  <c r="F116"/>
  <c r="S130"/>
  <c r="S190" s="1"/>
  <c r="F135"/>
  <c r="F195" s="1"/>
  <c r="M136"/>
  <c r="K170"/>
  <c r="K166" s="1"/>
  <c r="K205" s="1"/>
  <c r="AA170"/>
  <c r="AA166" s="1"/>
  <c r="AA205" s="1"/>
  <c r="P184"/>
  <c r="S168"/>
  <c r="Q166"/>
  <c r="Q205" s="1"/>
  <c r="O210"/>
  <c r="O206"/>
  <c r="T210"/>
  <c r="T206"/>
  <c r="F217"/>
  <c r="F186"/>
  <c r="K217"/>
  <c r="K186"/>
  <c r="O217"/>
  <c r="O186"/>
  <c r="O189" s="1"/>
  <c r="T217"/>
  <c r="T186"/>
  <c r="T189" s="1"/>
  <c r="AA217"/>
  <c r="AA186"/>
  <c r="B218"/>
  <c r="B187"/>
  <c r="G218"/>
  <c r="G249" s="1"/>
  <c r="G187"/>
  <c r="L218"/>
  <c r="L187"/>
  <c r="S218"/>
  <c r="S187"/>
  <c r="W218"/>
  <c r="W187"/>
  <c r="AB218"/>
  <c r="AB187"/>
  <c r="B229"/>
  <c r="B188"/>
  <c r="F229"/>
  <c r="F188"/>
  <c r="I229"/>
  <c r="I188"/>
  <c r="T54" i="115" s="1"/>
  <c r="Z54" s="1"/>
  <c r="AB54" s="1"/>
  <c r="AC54" s="1"/>
  <c r="L229" i="114"/>
  <c r="L188"/>
  <c r="P229"/>
  <c r="P249" s="1"/>
  <c r="P188"/>
  <c r="W229"/>
  <c r="W188"/>
  <c r="AB229"/>
  <c r="AB188"/>
  <c r="F192"/>
  <c r="F130"/>
  <c r="F190" s="1"/>
  <c r="M9"/>
  <c r="D144"/>
  <c r="J144"/>
  <c r="R144"/>
  <c r="X144"/>
  <c r="M26"/>
  <c r="M28"/>
  <c r="M30"/>
  <c r="K32"/>
  <c r="S32"/>
  <c r="AA32"/>
  <c r="M34"/>
  <c r="M36"/>
  <c r="M38"/>
  <c r="M40"/>
  <c r="M44"/>
  <c r="M48"/>
  <c r="M51"/>
  <c r="S54"/>
  <c r="S180" s="1"/>
  <c r="R57"/>
  <c r="S63"/>
  <c r="S222" s="1"/>
  <c r="M65"/>
  <c r="M67"/>
  <c r="M68"/>
  <c r="M69"/>
  <c r="M71"/>
  <c r="M73"/>
  <c r="M75"/>
  <c r="K239"/>
  <c r="M77"/>
  <c r="O239"/>
  <c r="T239"/>
  <c r="AB239"/>
  <c r="S82"/>
  <c r="S81" s="1"/>
  <c r="M84"/>
  <c r="A92"/>
  <c r="S97"/>
  <c r="M101"/>
  <c r="M232" s="1"/>
  <c r="S108"/>
  <c r="S106" s="1"/>
  <c r="M132"/>
  <c r="M134"/>
  <c r="M139"/>
  <c r="M131"/>
  <c r="M133"/>
  <c r="M137"/>
  <c r="M138"/>
  <c r="M140"/>
  <c r="F202"/>
  <c r="F147"/>
  <c r="K207"/>
  <c r="S207"/>
  <c r="AA207"/>
  <c r="M149"/>
  <c r="F160"/>
  <c r="K161"/>
  <c r="S161"/>
  <c r="AA161"/>
  <c r="D162"/>
  <c r="H162"/>
  <c r="J162"/>
  <c r="P162"/>
  <c r="R162"/>
  <c r="X162"/>
  <c r="Z162"/>
  <c r="C163"/>
  <c r="C164" s="1"/>
  <c r="C165" s="1"/>
  <c r="E163"/>
  <c r="E164" s="1"/>
  <c r="E165" s="1"/>
  <c r="I163"/>
  <c r="I164" s="1"/>
  <c r="I165" s="1"/>
  <c r="Q163"/>
  <c r="Y163"/>
  <c r="Y164" s="1"/>
  <c r="Y165" s="1"/>
  <c r="D170"/>
  <c r="D166" s="1"/>
  <c r="H170"/>
  <c r="H166" s="1"/>
  <c r="H205" s="1"/>
  <c r="P170"/>
  <c r="P166" s="1"/>
  <c r="X170"/>
  <c r="X166" s="1"/>
  <c r="X205" s="1"/>
  <c r="M143"/>
  <c r="M148"/>
  <c r="K160"/>
  <c r="S160"/>
  <c r="S163" s="1"/>
  <c r="AA160"/>
  <c r="F161"/>
  <c r="R204"/>
  <c r="X204"/>
  <c r="Q239"/>
  <c r="Q249" s="1"/>
  <c r="R249"/>
  <c r="C239"/>
  <c r="I239"/>
  <c r="Y249"/>
  <c r="D249"/>
  <c r="H249"/>
  <c r="J249"/>
  <c r="X249"/>
  <c r="E46" i="101"/>
  <c r="D46"/>
  <c r="C46"/>
  <c r="B46"/>
  <c r="F33"/>
  <c r="E33"/>
  <c r="D33"/>
  <c r="C33"/>
  <c r="B33"/>
  <c r="I18" i="98"/>
  <c r="H18"/>
  <c r="G18"/>
  <c r="F18"/>
  <c r="E18"/>
  <c r="D18"/>
  <c r="C18"/>
  <c r="H28"/>
  <c r="F28"/>
  <c r="D28"/>
  <c r="C28"/>
  <c r="N35" i="116" l="1"/>
  <c r="K57" i="114"/>
  <c r="AE52" i="115"/>
  <c r="AE46"/>
  <c r="AG46" s="1"/>
  <c r="AH46" s="1"/>
  <c r="J189" i="114"/>
  <c r="W55" i="115" s="1"/>
  <c r="W51"/>
  <c r="W70" s="1"/>
  <c r="J12" i="114"/>
  <c r="W34" i="115"/>
  <c r="C10" i="118"/>
  <c r="F10" s="1"/>
  <c r="G10" s="1"/>
  <c r="W71" i="115"/>
  <c r="W72" s="1"/>
  <c r="J13" i="114"/>
  <c r="W13" i="115" s="1"/>
  <c r="W12"/>
  <c r="N80" i="116"/>
  <c r="AB38" i="117"/>
  <c r="AC38" s="1"/>
  <c r="N63" i="116"/>
  <c r="N45"/>
  <c r="U97" i="114"/>
  <c r="N97"/>
  <c r="T34" i="115"/>
  <c r="K12" i="114"/>
  <c r="K13" s="1"/>
  <c r="I12"/>
  <c r="T12" i="115" s="1"/>
  <c r="C9" i="118"/>
  <c r="F9" s="1"/>
  <c r="G9" s="1"/>
  <c r="T71" i="115"/>
  <c r="K136" i="116"/>
  <c r="I13" i="114"/>
  <c r="T13" i="115" s="1"/>
  <c r="AE55" i="117"/>
  <c r="AX55" s="1"/>
  <c r="AE49"/>
  <c r="AG49" s="1"/>
  <c r="AH49" s="1"/>
  <c r="N44" i="116"/>
  <c r="I204" i="114"/>
  <c r="I206" s="1"/>
  <c r="T51" i="115"/>
  <c r="T70" s="1"/>
  <c r="N84" i="116"/>
  <c r="AE37" i="117"/>
  <c r="AX37" s="1"/>
  <c r="M37" i="116"/>
  <c r="U37" s="1"/>
  <c r="AE38" i="117"/>
  <c r="AX38" s="1"/>
  <c r="AE36"/>
  <c r="AG36" s="1"/>
  <c r="AH36" s="1"/>
  <c r="AE33"/>
  <c r="AX33" s="1"/>
  <c r="H185" i="114"/>
  <c r="H204" s="1"/>
  <c r="H210" s="1"/>
  <c r="M8" i="116"/>
  <c r="U8" s="1"/>
  <c r="H145" i="114"/>
  <c r="Q14" i="115"/>
  <c r="H13" i="114"/>
  <c r="Q13" i="115" s="1"/>
  <c r="Q12"/>
  <c r="E185" i="114"/>
  <c r="E119" i="116"/>
  <c r="E125" s="1"/>
  <c r="E176" s="1"/>
  <c r="E189" i="114"/>
  <c r="I55" i="115" s="1"/>
  <c r="I51"/>
  <c r="I70" s="1"/>
  <c r="I84" s="1"/>
  <c r="L50"/>
  <c r="N38"/>
  <c r="O38" s="1"/>
  <c r="C7" i="118"/>
  <c r="F7" s="1"/>
  <c r="G7" s="1"/>
  <c r="I71" i="115"/>
  <c r="U55" i="114"/>
  <c r="M57"/>
  <c r="N57" s="1"/>
  <c r="L39" i="117"/>
  <c r="N39" s="1"/>
  <c r="O39" s="1"/>
  <c r="D189" i="114"/>
  <c r="F55" i="115" s="1"/>
  <c r="F51"/>
  <c r="F70" s="1"/>
  <c r="F74" s="1"/>
  <c r="N8" i="117"/>
  <c r="O8" s="1"/>
  <c r="M14" i="114"/>
  <c r="M145" s="1"/>
  <c r="N145" s="1"/>
  <c r="D13"/>
  <c r="F13" i="115" s="1"/>
  <c r="F12"/>
  <c r="C6" i="118"/>
  <c r="F6" s="1"/>
  <c r="G6" s="1"/>
  <c r="F71" i="115"/>
  <c r="C144" i="114"/>
  <c r="M104"/>
  <c r="N104" s="1"/>
  <c r="C249"/>
  <c r="AE54" i="115"/>
  <c r="AG54" s="1"/>
  <c r="AH54" s="1"/>
  <c r="N54"/>
  <c r="O54" s="1"/>
  <c r="N43" i="117"/>
  <c r="O43" s="1"/>
  <c r="AE43"/>
  <c r="AG43" s="1"/>
  <c r="AH43" s="1"/>
  <c r="M94" i="116"/>
  <c r="N94" s="1"/>
  <c r="M168" i="114"/>
  <c r="N168" s="1"/>
  <c r="C14" i="115"/>
  <c r="C71" s="1"/>
  <c r="F51" i="118"/>
  <c r="D51" s="1"/>
  <c r="G39"/>
  <c r="G51" s="1"/>
  <c r="AU49" i="117"/>
  <c r="AV49" s="1"/>
  <c r="BI64"/>
  <c r="BI63"/>
  <c r="AP64"/>
  <c r="AP63"/>
  <c r="AJ64"/>
  <c r="AJ63"/>
  <c r="B65"/>
  <c r="B69" s="1"/>
  <c r="K63"/>
  <c r="AD63" s="1"/>
  <c r="AW63" s="1"/>
  <c r="BP63" s="1"/>
  <c r="BM23"/>
  <c r="AF60"/>
  <c r="AT63"/>
  <c r="AY63" s="1"/>
  <c r="BF64"/>
  <c r="BF63"/>
  <c r="BF65" s="1"/>
  <c r="BF69" s="1"/>
  <c r="BJ64"/>
  <c r="BJ65" s="1"/>
  <c r="BM63"/>
  <c r="BG64"/>
  <c r="BG65" s="1"/>
  <c r="BG69" s="1"/>
  <c r="BD64"/>
  <c r="AN64"/>
  <c r="AN65" s="1"/>
  <c r="AN69" s="1"/>
  <c r="AK64"/>
  <c r="X64"/>
  <c r="X65" s="1"/>
  <c r="X69" s="1"/>
  <c r="AA64"/>
  <c r="AF64" s="1"/>
  <c r="AD40"/>
  <c r="AW40" s="1"/>
  <c r="BP40" s="1"/>
  <c r="AE53"/>
  <c r="AX53" s="1"/>
  <c r="BQ53" s="1"/>
  <c r="BK24"/>
  <c r="Y24"/>
  <c r="AR24"/>
  <c r="AU24" s="1"/>
  <c r="AV24" s="1"/>
  <c r="K25"/>
  <c r="N25" s="1"/>
  <c r="O25" s="1"/>
  <c r="AR27"/>
  <c r="AU27" s="1"/>
  <c r="AV27" s="1"/>
  <c r="K27"/>
  <c r="N27" s="1"/>
  <c r="O27" s="1"/>
  <c r="AR26"/>
  <c r="AU26" s="1"/>
  <c r="AV26" s="1"/>
  <c r="K26"/>
  <c r="N26" s="1"/>
  <c r="O26" s="1"/>
  <c r="N24"/>
  <c r="O24" s="1"/>
  <c r="AR25"/>
  <c r="AU25" s="1"/>
  <c r="AV25" s="1"/>
  <c r="BK26"/>
  <c r="BN26" s="1"/>
  <c r="BO26" s="1"/>
  <c r="AE26"/>
  <c r="AX25"/>
  <c r="AX24"/>
  <c r="BN25"/>
  <c r="BO25" s="1"/>
  <c r="AB25"/>
  <c r="AC25" s="1"/>
  <c r="AW10"/>
  <c r="AD25"/>
  <c r="AW12"/>
  <c r="AD27"/>
  <c r="AG27" s="1"/>
  <c r="AH27" s="1"/>
  <c r="AW11"/>
  <c r="AD26"/>
  <c r="AE25"/>
  <c r="AE24"/>
  <c r="Y23"/>
  <c r="BN24"/>
  <c r="BO24" s="1"/>
  <c r="AB24"/>
  <c r="AC24" s="1"/>
  <c r="AY20"/>
  <c r="AF27"/>
  <c r="AY19"/>
  <c r="AF26"/>
  <c r="AY18"/>
  <c r="AF25"/>
  <c r="AY17"/>
  <c r="AF24"/>
  <c r="BN44"/>
  <c r="BO44" s="1"/>
  <c r="N45"/>
  <c r="O45" s="1"/>
  <c r="AW19"/>
  <c r="BP19" s="1"/>
  <c r="AD21"/>
  <c r="AW21" s="1"/>
  <c r="AW45"/>
  <c r="BP45" s="1"/>
  <c r="AB45"/>
  <c r="AC45" s="1"/>
  <c r="Y61"/>
  <c r="P214" i="116"/>
  <c r="N90"/>
  <c r="V83"/>
  <c r="N78"/>
  <c r="V74"/>
  <c r="N71"/>
  <c r="N38"/>
  <c r="N98"/>
  <c r="N96"/>
  <c r="N92"/>
  <c r="N77"/>
  <c r="V63"/>
  <c r="N46"/>
  <c r="V44"/>
  <c r="N40"/>
  <c r="V89"/>
  <c r="V84"/>
  <c r="Y170"/>
  <c r="Y172" s="1"/>
  <c r="N101"/>
  <c r="U96"/>
  <c r="V96" s="1"/>
  <c r="AC97"/>
  <c r="N89"/>
  <c r="Q119"/>
  <c r="Q125" s="1"/>
  <c r="Q176" s="1"/>
  <c r="I151"/>
  <c r="T40" i="117" s="1"/>
  <c r="T59" s="1"/>
  <c r="T61" s="1"/>
  <c r="Z209" i="116"/>
  <c r="Z214" s="1"/>
  <c r="Q151"/>
  <c r="Q155" s="1"/>
  <c r="V35"/>
  <c r="AC35"/>
  <c r="AD35" s="1"/>
  <c r="I119"/>
  <c r="I121" s="1"/>
  <c r="S204"/>
  <c r="V101"/>
  <c r="AC101"/>
  <c r="AD101" s="1"/>
  <c r="AC98"/>
  <c r="AD98" s="1"/>
  <c r="AC96"/>
  <c r="AD96" s="1"/>
  <c r="M75"/>
  <c r="N75" s="1"/>
  <c r="V80"/>
  <c r="AC80"/>
  <c r="M186"/>
  <c r="U186" s="1"/>
  <c r="C151"/>
  <c r="F43"/>
  <c r="F34" s="1"/>
  <c r="F204"/>
  <c r="F214" s="1"/>
  <c r="AC63"/>
  <c r="AD63" s="1"/>
  <c r="V45"/>
  <c r="AC45"/>
  <c r="AD45" s="1"/>
  <c r="AC40"/>
  <c r="AD40" s="1"/>
  <c r="E151"/>
  <c r="I40" i="117" s="1"/>
  <c r="I59" s="1"/>
  <c r="AC76" i="116"/>
  <c r="AD76" s="1"/>
  <c r="Q214"/>
  <c r="Y119"/>
  <c r="Y125" s="1"/>
  <c r="Y176" s="1"/>
  <c r="AB187"/>
  <c r="K212"/>
  <c r="M212" s="1"/>
  <c r="U212" s="1"/>
  <c r="V212" s="1"/>
  <c r="K64"/>
  <c r="K209" s="1"/>
  <c r="M188"/>
  <c r="N188" s="1"/>
  <c r="N7"/>
  <c r="AC7"/>
  <c r="AD7" s="1"/>
  <c r="AD75" i="115"/>
  <c r="AW75" s="1"/>
  <c r="K44" i="117"/>
  <c r="AD44" s="1"/>
  <c r="AM74" i="115"/>
  <c r="AM84"/>
  <c r="I74"/>
  <c r="BJ75"/>
  <c r="BJ84"/>
  <c r="BJ74"/>
  <c r="BJ76" s="1"/>
  <c r="BG84"/>
  <c r="BG74"/>
  <c r="BG76" s="1"/>
  <c r="BG79" s="1"/>
  <c r="BD74"/>
  <c r="BD84"/>
  <c r="AN74"/>
  <c r="AN84"/>
  <c r="AK76"/>
  <c r="X84"/>
  <c r="X74"/>
  <c r="U76"/>
  <c r="AA70"/>
  <c r="AA74" s="1"/>
  <c r="U72"/>
  <c r="J76"/>
  <c r="J77" s="1"/>
  <c r="AD99" i="116"/>
  <c r="AD89"/>
  <c r="AD85"/>
  <c r="AB36"/>
  <c r="AB146" s="1"/>
  <c r="L200"/>
  <c r="T200" s="1"/>
  <c r="AB200" s="1"/>
  <c r="O155"/>
  <c r="B155"/>
  <c r="BM61" i="117"/>
  <c r="BB61"/>
  <c r="P61"/>
  <c r="BN60"/>
  <c r="BO60" s="1"/>
  <c r="R61"/>
  <c r="AW20"/>
  <c r="BP20" s="1"/>
  <c r="AW18"/>
  <c r="BP18" s="1"/>
  <c r="AD17"/>
  <c r="AG17" s="1"/>
  <c r="AH17" s="1"/>
  <c r="BN49"/>
  <c r="BO49" s="1"/>
  <c r="AE62" i="115"/>
  <c r="AX62" s="1"/>
  <c r="AZ62" s="1"/>
  <c r="BA62" s="1"/>
  <c r="AU55"/>
  <c r="AV55" s="1"/>
  <c r="AY56"/>
  <c r="BR56" s="1"/>
  <c r="L37"/>
  <c r="N35"/>
  <c r="O35" s="1"/>
  <c r="AY28"/>
  <c r="AF38"/>
  <c r="AY26"/>
  <c r="AF36"/>
  <c r="BS28"/>
  <c r="BT28" s="1"/>
  <c r="AS37"/>
  <c r="AY61"/>
  <c r="BR61" s="1"/>
  <c r="AU25"/>
  <c r="AV25" s="1"/>
  <c r="AU36"/>
  <c r="AV36" s="1"/>
  <c r="AR38"/>
  <c r="AU38" s="1"/>
  <c r="AV38" s="1"/>
  <c r="BR25"/>
  <c r="AY35"/>
  <c r="AU35"/>
  <c r="AV35" s="1"/>
  <c r="Y36"/>
  <c r="AB36" s="1"/>
  <c r="AC36" s="1"/>
  <c r="AF35"/>
  <c r="AU50"/>
  <c r="AV50" s="1"/>
  <c r="AF29"/>
  <c r="AF37" s="1"/>
  <c r="M37"/>
  <c r="H79"/>
  <c r="E79"/>
  <c r="W155" i="116"/>
  <c r="G155"/>
  <c r="BP75" i="115"/>
  <c r="AW61"/>
  <c r="BP61" s="1"/>
  <c r="AR37"/>
  <c r="AU37" s="1"/>
  <c r="AV37" s="1"/>
  <c r="K37"/>
  <c r="BN36"/>
  <c r="BO36" s="1"/>
  <c r="BR27"/>
  <c r="AD36"/>
  <c r="AE36"/>
  <c r="AE35"/>
  <c r="AW17"/>
  <c r="AD38"/>
  <c r="AG38" s="1"/>
  <c r="AH38" s="1"/>
  <c r="AW16"/>
  <c r="BK37"/>
  <c r="BN37" s="1"/>
  <c r="BO37" s="1"/>
  <c r="Y37"/>
  <c r="AB37" s="1"/>
  <c r="AC37" s="1"/>
  <c r="BN35"/>
  <c r="BO35" s="1"/>
  <c r="AB35"/>
  <c r="AC35" s="1"/>
  <c r="AZ28"/>
  <c r="BA28" s="1"/>
  <c r="AG28"/>
  <c r="AH28" s="1"/>
  <c r="BL75"/>
  <c r="BN75" s="1"/>
  <c r="BO75" s="1"/>
  <c r="N18"/>
  <c r="O18" s="1"/>
  <c r="AB10"/>
  <c r="AC10" s="1"/>
  <c r="AW56"/>
  <c r="BP56" s="1"/>
  <c r="Y55"/>
  <c r="AD25"/>
  <c r="AD35" s="1"/>
  <c r="Y12"/>
  <c r="Y13" s="1"/>
  <c r="Y34"/>
  <c r="AG25"/>
  <c r="AH25" s="1"/>
  <c r="AD55"/>
  <c r="AW55" s="1"/>
  <c r="BP55" s="1"/>
  <c r="AX65"/>
  <c r="BQ65" s="1"/>
  <c r="AX64"/>
  <c r="BQ64" s="1"/>
  <c r="AU56"/>
  <c r="AV56" s="1"/>
  <c r="AB43"/>
  <c r="AC43" s="1"/>
  <c r="AB61"/>
  <c r="AC61" s="1"/>
  <c r="N50"/>
  <c r="O50" s="1"/>
  <c r="BN18"/>
  <c r="BO18" s="1"/>
  <c r="AB18"/>
  <c r="AC18" s="1"/>
  <c r="AD32"/>
  <c r="AW32" s="1"/>
  <c r="AD30"/>
  <c r="AW30" s="1"/>
  <c r="AD31"/>
  <c r="AB26"/>
  <c r="AC26" s="1"/>
  <c r="AW22" i="117"/>
  <c r="BP22" s="1"/>
  <c r="AG22"/>
  <c r="AH22" s="1"/>
  <c r="AW27" i="115"/>
  <c r="AG27"/>
  <c r="AH27" s="1"/>
  <c r="AW26"/>
  <c r="AG26"/>
  <c r="AH26" s="1"/>
  <c r="AR70"/>
  <c r="AR74" s="1"/>
  <c r="AR76" s="1"/>
  <c r="AB41" i="116"/>
  <c r="AA66" i="117"/>
  <c r="AY40"/>
  <c r="BR40" s="1"/>
  <c r="AB39"/>
  <c r="AC39" s="1"/>
  <c r="AY60"/>
  <c r="BR60" s="1"/>
  <c r="BN9"/>
  <c r="BO9" s="1"/>
  <c r="AB9"/>
  <c r="AC9" s="1"/>
  <c r="AD9"/>
  <c r="AW9" s="1"/>
  <c r="BP9" s="1"/>
  <c r="AW68"/>
  <c r="BP68" s="1"/>
  <c r="AW49"/>
  <c r="BP49" s="1"/>
  <c r="AU40"/>
  <c r="AV40" s="1"/>
  <c r="AW29" i="115"/>
  <c r="BP29" s="1"/>
  <c r="AD33"/>
  <c r="AW33" s="1"/>
  <c r="BP33" s="1"/>
  <c r="AF51"/>
  <c r="AY51" s="1"/>
  <c r="BR51" s="1"/>
  <c r="AY49" i="117"/>
  <c r="BR49" s="1"/>
  <c r="BK34" i="115"/>
  <c r="BN10"/>
  <c r="BO10" s="1"/>
  <c r="AR71"/>
  <c r="AR34"/>
  <c r="AU18"/>
  <c r="AV18" s="1"/>
  <c r="AR12"/>
  <c r="AR13" s="1"/>
  <c r="BL14"/>
  <c r="BL34" s="1"/>
  <c r="Z14"/>
  <c r="AB14" s="1"/>
  <c r="AC14" s="1"/>
  <c r="C12"/>
  <c r="C13" i="114"/>
  <c r="C13" i="115" s="1"/>
  <c r="C145" i="114"/>
  <c r="AT34" i="115"/>
  <c r="AT12"/>
  <c r="AT13" s="1"/>
  <c r="AA12"/>
  <c r="AA13" s="1"/>
  <c r="Z144" i="114"/>
  <c r="P144"/>
  <c r="P150" s="1"/>
  <c r="U56"/>
  <c r="AC56" s="1"/>
  <c r="N56"/>
  <c r="AA33"/>
  <c r="AA25" s="1"/>
  <c r="M117"/>
  <c r="Y204"/>
  <c r="Y206" s="1"/>
  <c r="L249"/>
  <c r="F110"/>
  <c r="L189"/>
  <c r="E204"/>
  <c r="E206" s="1"/>
  <c r="K228"/>
  <c r="S76"/>
  <c r="AB189"/>
  <c r="K93"/>
  <c r="K86" s="1"/>
  <c r="I249"/>
  <c r="AA246"/>
  <c r="AA245"/>
  <c r="W249"/>
  <c r="F33"/>
  <c r="M169"/>
  <c r="K183"/>
  <c r="B249"/>
  <c r="S58"/>
  <c r="S49" s="1"/>
  <c r="AB249"/>
  <c r="Z185"/>
  <c r="P185"/>
  <c r="P204" s="1"/>
  <c r="P206" s="1"/>
  <c r="M70"/>
  <c r="M236" s="1"/>
  <c r="N236" s="1"/>
  <c r="K58"/>
  <c r="K49" s="1"/>
  <c r="K144" s="1"/>
  <c r="Q189"/>
  <c r="K180"/>
  <c r="K178"/>
  <c r="M172"/>
  <c r="F180"/>
  <c r="S246"/>
  <c r="W189"/>
  <c r="G189"/>
  <c r="K182"/>
  <c r="B189"/>
  <c r="S166"/>
  <c r="S205" s="1"/>
  <c r="S12"/>
  <c r="S13" s="1"/>
  <c r="U16"/>
  <c r="AC16" s="1"/>
  <c r="AD16" s="1"/>
  <c r="AA162"/>
  <c r="K162"/>
  <c r="AD83" i="116"/>
  <c r="M69"/>
  <c r="AC78"/>
  <c r="AD78" s="1"/>
  <c r="AC71"/>
  <c r="AD71" s="1"/>
  <c r="AC84"/>
  <c r="AD84" s="1"/>
  <c r="AC46"/>
  <c r="AC44"/>
  <c r="AD44" s="1"/>
  <c r="AC38"/>
  <c r="AD38" s="1"/>
  <c r="N87"/>
  <c r="C119"/>
  <c r="C125" s="1"/>
  <c r="AD87"/>
  <c r="AD82"/>
  <c r="AB73"/>
  <c r="N83"/>
  <c r="H30" i="112"/>
  <c r="H86" i="91" s="1"/>
  <c r="F86"/>
  <c r="W86" s="1"/>
  <c r="V30" i="112"/>
  <c r="V86" i="91" s="1"/>
  <c r="Q30" i="112"/>
  <c r="Q86" i="91" s="1"/>
  <c r="W30" i="112"/>
  <c r="L30"/>
  <c r="AZ73" i="117"/>
  <c r="BQ73"/>
  <c r="BS73" s="1"/>
  <c r="BT73" s="1"/>
  <c r="AE32"/>
  <c r="N32"/>
  <c r="O32" s="1"/>
  <c r="Z23"/>
  <c r="AB23" s="1"/>
  <c r="AC23" s="1"/>
  <c r="AB21"/>
  <c r="AC21" s="1"/>
  <c r="L23"/>
  <c r="N21"/>
  <c r="O21" s="1"/>
  <c r="AN70"/>
  <c r="AN67"/>
  <c r="G70"/>
  <c r="G67"/>
  <c r="BE70"/>
  <c r="BE67"/>
  <c r="BB67"/>
  <c r="BK65"/>
  <c r="BK67" s="1"/>
  <c r="AL70"/>
  <c r="AL67"/>
  <c r="AI67"/>
  <c r="AR65"/>
  <c r="AR67" s="1"/>
  <c r="S70"/>
  <c r="S67"/>
  <c r="P67"/>
  <c r="Y65"/>
  <c r="Y67" s="1"/>
  <c r="BF74"/>
  <c r="BF61"/>
  <c r="AM74"/>
  <c r="AM61"/>
  <c r="T74"/>
  <c r="E74"/>
  <c r="E61"/>
  <c r="BQ22"/>
  <c r="BS22" s="1"/>
  <c r="BT22" s="1"/>
  <c r="BQ20"/>
  <c r="BQ18"/>
  <c r="BS18" s="1"/>
  <c r="BT18" s="1"/>
  <c r="X70"/>
  <c r="X67"/>
  <c r="AQ70"/>
  <c r="AQ67"/>
  <c r="R67"/>
  <c r="AA65"/>
  <c r="AA67" s="1"/>
  <c r="AD39"/>
  <c r="AW38"/>
  <c r="AE60"/>
  <c r="N60"/>
  <c r="O60" s="1"/>
  <c r="AX50"/>
  <c r="AG50"/>
  <c r="AH50" s="1"/>
  <c r="BQ48"/>
  <c r="BS48" s="1"/>
  <c r="BT48" s="1"/>
  <c r="AZ48"/>
  <c r="BA48" s="1"/>
  <c r="AG38"/>
  <c r="AH38" s="1"/>
  <c r="AX8"/>
  <c r="AG8"/>
  <c r="AH8" s="1"/>
  <c r="BM74"/>
  <c r="AR61"/>
  <c r="BN32"/>
  <c r="BO32" s="1"/>
  <c r="AU32"/>
  <c r="AV32" s="1"/>
  <c r="AB32"/>
  <c r="AC32" s="1"/>
  <c r="AD32"/>
  <c r="AW32" s="1"/>
  <c r="BP32" s="1"/>
  <c r="AM64"/>
  <c r="AM65" s="1"/>
  <c r="AM69" s="1"/>
  <c r="AB60"/>
  <c r="AC60" s="1"/>
  <c r="AT61"/>
  <c r="AA61"/>
  <c r="M74"/>
  <c r="N42"/>
  <c r="O42" s="1"/>
  <c r="AF9"/>
  <c r="AY9" s="1"/>
  <c r="BR9" s="1"/>
  <c r="AU39"/>
  <c r="AV39" s="1"/>
  <c r="K23"/>
  <c r="AU9"/>
  <c r="AV9" s="1"/>
  <c r="AG10"/>
  <c r="AH10" s="1"/>
  <c r="BQ68"/>
  <c r="AZ68"/>
  <c r="BA68" s="1"/>
  <c r="AZ71"/>
  <c r="BQ71"/>
  <c r="BS71" s="1"/>
  <c r="BT71" s="1"/>
  <c r="BQ72"/>
  <c r="BS72" s="1"/>
  <c r="BT72" s="1"/>
  <c r="AZ72"/>
  <c r="BL23"/>
  <c r="BN23" s="1"/>
  <c r="BO23" s="1"/>
  <c r="BN21"/>
  <c r="BO21" s="1"/>
  <c r="AX58"/>
  <c r="AG58"/>
  <c r="AH58" s="1"/>
  <c r="AX57"/>
  <c r="AG57"/>
  <c r="AH57" s="1"/>
  <c r="AX56"/>
  <c r="AG56"/>
  <c r="AH56" s="1"/>
  <c r="AX51"/>
  <c r="AG51"/>
  <c r="AH51" s="1"/>
  <c r="U70"/>
  <c r="U67"/>
  <c r="BH70"/>
  <c r="BH67"/>
  <c r="AO70"/>
  <c r="AO67"/>
  <c r="V70"/>
  <c r="V67"/>
  <c r="AF39"/>
  <c r="AY38"/>
  <c r="BI74"/>
  <c r="BI61"/>
  <c r="BC74"/>
  <c r="BC61"/>
  <c r="BL59"/>
  <c r="AP74"/>
  <c r="AP61"/>
  <c r="AJ74"/>
  <c r="AJ61"/>
  <c r="AS59"/>
  <c r="H74"/>
  <c r="H61"/>
  <c r="B74"/>
  <c r="B61"/>
  <c r="K59"/>
  <c r="AF21"/>
  <c r="M23"/>
  <c r="AX19"/>
  <c r="AG19"/>
  <c r="AH19" s="1"/>
  <c r="BG70"/>
  <c r="J70"/>
  <c r="J67"/>
  <c r="M61"/>
  <c r="AF59"/>
  <c r="D67"/>
  <c r="D66"/>
  <c r="M65"/>
  <c r="AE9"/>
  <c r="N9"/>
  <c r="O9" s="1"/>
  <c r="AX47"/>
  <c r="AG47"/>
  <c r="AH47" s="1"/>
  <c r="AX46"/>
  <c r="AG46"/>
  <c r="AH46" s="1"/>
  <c r="AG45"/>
  <c r="AH45" s="1"/>
  <c r="AX45"/>
  <c r="AX43"/>
  <c r="AX42"/>
  <c r="AG42"/>
  <c r="AH42" s="1"/>
  <c r="AX41"/>
  <c r="AG41"/>
  <c r="AH41" s="1"/>
  <c r="AG37"/>
  <c r="AH37" s="1"/>
  <c r="AX35"/>
  <c r="AG35"/>
  <c r="AH35" s="1"/>
  <c r="AX34"/>
  <c r="AG34"/>
  <c r="AH34" s="1"/>
  <c r="AX11"/>
  <c r="AX26" s="1"/>
  <c r="AG11"/>
  <c r="AH11" s="1"/>
  <c r="AX12"/>
  <c r="AX27" s="1"/>
  <c r="AG12"/>
  <c r="AH12" s="1"/>
  <c r="BQ10"/>
  <c r="AZ10"/>
  <c r="BA10" s="1"/>
  <c r="BK74"/>
  <c r="AR74"/>
  <c r="Y74"/>
  <c r="BC64"/>
  <c r="AT74"/>
  <c r="AA74"/>
  <c r="AW60"/>
  <c r="BP60" s="1"/>
  <c r="AU23"/>
  <c r="AV23" s="1"/>
  <c r="AW44"/>
  <c r="BP44" s="1"/>
  <c r="AG48"/>
  <c r="AH48" s="1"/>
  <c r="AU60"/>
  <c r="AV60" s="1"/>
  <c r="N8" i="116"/>
  <c r="AD93"/>
  <c r="U49"/>
  <c r="V49" s="1"/>
  <c r="N49"/>
  <c r="M175"/>
  <c r="U124"/>
  <c r="N124"/>
  <c r="N175" s="1"/>
  <c r="M159"/>
  <c r="U108"/>
  <c r="N108"/>
  <c r="N159" s="1"/>
  <c r="L158"/>
  <c r="T107"/>
  <c r="M157"/>
  <c r="U106"/>
  <c r="N106"/>
  <c r="N157" s="1"/>
  <c r="T175"/>
  <c r="AB124"/>
  <c r="AB175" s="1"/>
  <c r="M174"/>
  <c r="N123"/>
  <c r="N174" s="1"/>
  <c r="N173" s="1"/>
  <c r="U123"/>
  <c r="M168"/>
  <c r="L167"/>
  <c r="T116"/>
  <c r="U115"/>
  <c r="N115"/>
  <c r="N166" s="1"/>
  <c r="M166"/>
  <c r="M165"/>
  <c r="U114"/>
  <c r="M163"/>
  <c r="U112"/>
  <c r="M162"/>
  <c r="U111"/>
  <c r="N111"/>
  <c r="N162" s="1"/>
  <c r="L161"/>
  <c r="T110"/>
  <c r="AA156"/>
  <c r="K156"/>
  <c r="M105"/>
  <c r="M102"/>
  <c r="K95"/>
  <c r="N100"/>
  <c r="U100"/>
  <c r="V100" s="1"/>
  <c r="S200"/>
  <c r="S154"/>
  <c r="S75"/>
  <c r="S69" s="1"/>
  <c r="U213"/>
  <c r="U207"/>
  <c r="N207"/>
  <c r="N198"/>
  <c r="U198"/>
  <c r="U55"/>
  <c r="N55"/>
  <c r="U54"/>
  <c r="N54"/>
  <c r="U52"/>
  <c r="N52"/>
  <c r="U50"/>
  <c r="N50"/>
  <c r="M42"/>
  <c r="N42" s="1"/>
  <c r="U41"/>
  <c r="N41"/>
  <c r="N210"/>
  <c r="U210"/>
  <c r="U31"/>
  <c r="N31"/>
  <c r="M149"/>
  <c r="M22"/>
  <c r="U21"/>
  <c r="N21"/>
  <c r="L148"/>
  <c r="T20"/>
  <c r="L147"/>
  <c r="T19"/>
  <c r="L144"/>
  <c r="T17"/>
  <c r="M143"/>
  <c r="U16"/>
  <c r="N16"/>
  <c r="N143" s="1"/>
  <c r="U11"/>
  <c r="N11"/>
  <c r="U9"/>
  <c r="N9"/>
  <c r="AC113"/>
  <c r="AC164" s="1"/>
  <c r="U164"/>
  <c r="U81"/>
  <c r="V81" s="1"/>
  <c r="N81"/>
  <c r="AA212"/>
  <c r="AA64"/>
  <c r="N66"/>
  <c r="U66"/>
  <c r="K59"/>
  <c r="M61"/>
  <c r="U205"/>
  <c r="N205"/>
  <c r="U199"/>
  <c r="N199"/>
  <c r="U197"/>
  <c r="N197"/>
  <c r="U53"/>
  <c r="N53"/>
  <c r="U51"/>
  <c r="N51"/>
  <c r="N190"/>
  <c r="U190"/>
  <c r="U47"/>
  <c r="N47"/>
  <c r="K146"/>
  <c r="M36"/>
  <c r="K23"/>
  <c r="M32"/>
  <c r="U30"/>
  <c r="N30"/>
  <c r="U203"/>
  <c r="N203"/>
  <c r="U26"/>
  <c r="N26"/>
  <c r="R151"/>
  <c r="R15"/>
  <c r="R119" s="1"/>
  <c r="J151"/>
  <c r="W40" i="117" s="1"/>
  <c r="W59" s="1"/>
  <c r="W63" s="1"/>
  <c r="J119" i="116"/>
  <c r="D151"/>
  <c r="F40" i="117" s="1"/>
  <c r="F59" s="1"/>
  <c r="D15" i="116"/>
  <c r="D119" s="1"/>
  <c r="L149"/>
  <c r="L150" s="1"/>
  <c r="L22"/>
  <c r="T21"/>
  <c r="M148"/>
  <c r="U20"/>
  <c r="N20"/>
  <c r="L143"/>
  <c r="T16"/>
  <c r="U138"/>
  <c r="N138"/>
  <c r="U200"/>
  <c r="V200" s="1"/>
  <c r="N185"/>
  <c r="U185"/>
  <c r="V185" s="1"/>
  <c r="W171"/>
  <c r="G171"/>
  <c r="L136"/>
  <c r="S15"/>
  <c r="K171"/>
  <c r="N82"/>
  <c r="AD104"/>
  <c r="AC92"/>
  <c r="AD92" s="1"/>
  <c r="L213"/>
  <c r="T213" s="1"/>
  <c r="AB213" s="1"/>
  <c r="S64"/>
  <c r="S147"/>
  <c r="F144"/>
  <c r="W214"/>
  <c r="G214"/>
  <c r="L214" s="1"/>
  <c r="T214" s="1"/>
  <c r="T186"/>
  <c r="AB186" s="1"/>
  <c r="AC77"/>
  <c r="AD77" s="1"/>
  <c r="AC74"/>
  <c r="AD74" s="1"/>
  <c r="Z119"/>
  <c r="P119"/>
  <c r="AD80"/>
  <c r="AB42"/>
  <c r="T174"/>
  <c r="AB123"/>
  <c r="AB174" s="1"/>
  <c r="M169"/>
  <c r="U118"/>
  <c r="M167"/>
  <c r="U116"/>
  <c r="N116"/>
  <c r="N167" s="1"/>
  <c r="L166"/>
  <c r="T115"/>
  <c r="M161"/>
  <c r="U110"/>
  <c r="N110"/>
  <c r="N161" s="1"/>
  <c r="L156"/>
  <c r="T105"/>
  <c r="AA160"/>
  <c r="K160"/>
  <c r="M109"/>
  <c r="L159"/>
  <c r="T108"/>
  <c r="U107"/>
  <c r="N107"/>
  <c r="N158" s="1"/>
  <c r="M158"/>
  <c r="T106"/>
  <c r="L157"/>
  <c r="AA95"/>
  <c r="U122"/>
  <c r="N122"/>
  <c r="L154"/>
  <c r="T79"/>
  <c r="M73"/>
  <c r="N73" s="1"/>
  <c r="U72"/>
  <c r="N72"/>
  <c r="U68"/>
  <c r="N68"/>
  <c r="U67"/>
  <c r="V67" s="1"/>
  <c r="N67"/>
  <c r="U62"/>
  <c r="N62"/>
  <c r="U57"/>
  <c r="N57"/>
  <c r="N196"/>
  <c r="U196"/>
  <c r="U195"/>
  <c r="N195"/>
  <c r="U193"/>
  <c r="N193"/>
  <c r="U191"/>
  <c r="N191"/>
  <c r="U33"/>
  <c r="N33"/>
  <c r="N208"/>
  <c r="U208"/>
  <c r="U29"/>
  <c r="N29"/>
  <c r="U27"/>
  <c r="N27"/>
  <c r="M153"/>
  <c r="U25"/>
  <c r="N25"/>
  <c r="N153" s="1"/>
  <c r="L152"/>
  <c r="T24"/>
  <c r="M145"/>
  <c r="U18"/>
  <c r="N18"/>
  <c r="N145" s="1"/>
  <c r="N139"/>
  <c r="U139"/>
  <c r="N137"/>
  <c r="U137"/>
  <c r="F136"/>
  <c r="F171" s="1"/>
  <c r="F120"/>
  <c r="M120" s="1"/>
  <c r="U94"/>
  <c r="V94" s="1"/>
  <c r="V93"/>
  <c r="U91"/>
  <c r="N91"/>
  <c r="N202"/>
  <c r="U202"/>
  <c r="U201"/>
  <c r="V201" s="1"/>
  <c r="N201"/>
  <c r="M154"/>
  <c r="U79"/>
  <c r="N79"/>
  <c r="N154" s="1"/>
  <c r="U211"/>
  <c r="N211"/>
  <c r="U60"/>
  <c r="N60"/>
  <c r="U58"/>
  <c r="N58"/>
  <c r="U56"/>
  <c r="N56"/>
  <c r="N194"/>
  <c r="U194"/>
  <c r="N192"/>
  <c r="U192"/>
  <c r="U48"/>
  <c r="N48"/>
  <c r="U189"/>
  <c r="N189"/>
  <c r="U28"/>
  <c r="N28"/>
  <c r="N187"/>
  <c r="U187"/>
  <c r="L153"/>
  <c r="T25"/>
  <c r="M152"/>
  <c r="U24"/>
  <c r="N24"/>
  <c r="N152" s="1"/>
  <c r="X151"/>
  <c r="X15"/>
  <c r="X119" s="1"/>
  <c r="L151"/>
  <c r="T23"/>
  <c r="H151"/>
  <c r="Q40" i="117" s="1"/>
  <c r="H15" i="116"/>
  <c r="H119" s="1"/>
  <c r="K147"/>
  <c r="M19"/>
  <c r="L145"/>
  <c r="T18"/>
  <c r="U17"/>
  <c r="N17"/>
  <c r="U10"/>
  <c r="N10"/>
  <c r="AA201"/>
  <c r="AA75"/>
  <c r="U70"/>
  <c r="N70"/>
  <c r="AC90"/>
  <c r="AD90" s="1"/>
  <c r="V90"/>
  <c r="U39"/>
  <c r="N39"/>
  <c r="AA171"/>
  <c r="AA204"/>
  <c r="V82"/>
  <c r="AD103"/>
  <c r="AD97"/>
  <c r="K206"/>
  <c r="M206" s="1"/>
  <c r="L120"/>
  <c r="T120" s="1"/>
  <c r="AB120" s="1"/>
  <c r="AD86"/>
  <c r="F23"/>
  <c r="Z151"/>
  <c r="P151"/>
  <c r="AD46"/>
  <c r="U65"/>
  <c r="AT72" i="115"/>
  <c r="AY78"/>
  <c r="AX78"/>
  <c r="AD78"/>
  <c r="AG83"/>
  <c r="AX83"/>
  <c r="AG82"/>
  <c r="AX82"/>
  <c r="AG61"/>
  <c r="AH61" s="1"/>
  <c r="AX61"/>
  <c r="AY49"/>
  <c r="AF50"/>
  <c r="AS70"/>
  <c r="AS74" s="1"/>
  <c r="AU43"/>
  <c r="AV43" s="1"/>
  <c r="AQ79"/>
  <c r="AQ80" s="1"/>
  <c r="AQ77"/>
  <c r="AA72"/>
  <c r="BD72"/>
  <c r="X72"/>
  <c r="BE72"/>
  <c r="AO72"/>
  <c r="AI72"/>
  <c r="V72"/>
  <c r="Y70"/>
  <c r="BN32"/>
  <c r="BO32" s="1"/>
  <c r="AX69"/>
  <c r="AG69"/>
  <c r="AH69" s="1"/>
  <c r="AX68"/>
  <c r="AG68"/>
  <c r="AH68" s="1"/>
  <c r="AX67"/>
  <c r="AG67"/>
  <c r="AH67" s="1"/>
  <c r="AX63"/>
  <c r="AG63"/>
  <c r="AH63" s="1"/>
  <c r="U79"/>
  <c r="U77"/>
  <c r="AX56"/>
  <c r="AG56"/>
  <c r="AH56" s="1"/>
  <c r="AX48"/>
  <c r="AG48"/>
  <c r="AH48" s="1"/>
  <c r="AX47"/>
  <c r="AG47"/>
  <c r="AH47" s="1"/>
  <c r="AX46"/>
  <c r="AX45"/>
  <c r="AG45"/>
  <c r="AH45" s="1"/>
  <c r="AX44"/>
  <c r="AG44"/>
  <c r="AH44" s="1"/>
  <c r="AM75"/>
  <c r="AM76" s="1"/>
  <c r="AM34"/>
  <c r="AE29"/>
  <c r="N29"/>
  <c r="O29" s="1"/>
  <c r="BQ25"/>
  <c r="AF11"/>
  <c r="AF12" s="1"/>
  <c r="AF13" s="1"/>
  <c r="AY8"/>
  <c r="AX60"/>
  <c r="AG60"/>
  <c r="AH60" s="1"/>
  <c r="AX59"/>
  <c r="AG59"/>
  <c r="AH59" s="1"/>
  <c r="AX58"/>
  <c r="AG58"/>
  <c r="AH58" s="1"/>
  <c r="AX57"/>
  <c r="AG57"/>
  <c r="AH57" s="1"/>
  <c r="AX54"/>
  <c r="AX53"/>
  <c r="AG53"/>
  <c r="AH53" s="1"/>
  <c r="AX52"/>
  <c r="AG52"/>
  <c r="AH52" s="1"/>
  <c r="N32"/>
  <c r="O32" s="1"/>
  <c r="AE32"/>
  <c r="BD75"/>
  <c r="BM75" s="1"/>
  <c r="BM76" s="1"/>
  <c r="BM32"/>
  <c r="BM34" s="1"/>
  <c r="BD34"/>
  <c r="R75"/>
  <c r="R76" s="1"/>
  <c r="R34"/>
  <c r="AA32"/>
  <c r="AA34" s="1"/>
  <c r="AE18"/>
  <c r="AE14" s="1"/>
  <c r="AX19"/>
  <c r="AG19"/>
  <c r="AH19" s="1"/>
  <c r="BR15"/>
  <c r="AW15"/>
  <c r="BN11"/>
  <c r="BO11" s="1"/>
  <c r="AB11"/>
  <c r="AC11" s="1"/>
  <c r="AX15"/>
  <c r="AG15"/>
  <c r="AH15" s="1"/>
  <c r="AE10"/>
  <c r="AX9"/>
  <c r="AG9"/>
  <c r="AH9" s="1"/>
  <c r="N11"/>
  <c r="O11" s="1"/>
  <c r="AU78"/>
  <c r="AV78" s="1"/>
  <c r="B79"/>
  <c r="N78"/>
  <c r="O78" s="1"/>
  <c r="AD43"/>
  <c r="AW43" s="1"/>
  <c r="AD51"/>
  <c r="AW51" s="1"/>
  <c r="BP51" s="1"/>
  <c r="BK70"/>
  <c r="BK74" s="1"/>
  <c r="BK76" s="1"/>
  <c r="BN53"/>
  <c r="BO53" s="1"/>
  <c r="AY29"/>
  <c r="BR29" s="1"/>
  <c r="AF71"/>
  <c r="X75"/>
  <c r="K12"/>
  <c r="K13" s="1"/>
  <c r="BK12"/>
  <c r="BK13" s="1"/>
  <c r="AS14"/>
  <c r="AS12" s="1"/>
  <c r="L14"/>
  <c r="N14" s="1"/>
  <c r="O14" s="1"/>
  <c r="AU10"/>
  <c r="AV10" s="1"/>
  <c r="AG81"/>
  <c r="AX81"/>
  <c r="BL70"/>
  <c r="BL74" s="1"/>
  <c r="BN43"/>
  <c r="BO43" s="1"/>
  <c r="AK79"/>
  <c r="AK77"/>
  <c r="J79"/>
  <c r="J80" s="1"/>
  <c r="M72"/>
  <c r="AF70"/>
  <c r="AF74" s="1"/>
  <c r="BI79"/>
  <c r="BI77"/>
  <c r="BF79"/>
  <c r="BF77"/>
  <c r="BC79"/>
  <c r="BC77"/>
  <c r="AP79"/>
  <c r="AP77"/>
  <c r="K77"/>
  <c r="K72"/>
  <c r="BJ72"/>
  <c r="AN72"/>
  <c r="BM72"/>
  <c r="BH72"/>
  <c r="BB72"/>
  <c r="AR77"/>
  <c r="AL72"/>
  <c r="AE43"/>
  <c r="N43"/>
  <c r="O43" s="1"/>
  <c r="AX33"/>
  <c r="G79"/>
  <c r="G77"/>
  <c r="AY9"/>
  <c r="AF10"/>
  <c r="BQ62"/>
  <c r="BS62" s="1"/>
  <c r="BT62" s="1"/>
  <c r="AE50"/>
  <c r="AX49"/>
  <c r="AG49"/>
  <c r="AH49" s="1"/>
  <c r="AB32"/>
  <c r="AC32" s="1"/>
  <c r="AJ75"/>
  <c r="AJ76" s="1"/>
  <c r="AS32"/>
  <c r="AJ34"/>
  <c r="D75"/>
  <c r="D76" s="1"/>
  <c r="D34"/>
  <c r="M32"/>
  <c r="BQ30"/>
  <c r="AW49"/>
  <c r="AD50"/>
  <c r="AX20"/>
  <c r="AG20"/>
  <c r="AH20" s="1"/>
  <c r="BL71"/>
  <c r="BN71" s="1"/>
  <c r="BO71" s="1"/>
  <c r="BN14"/>
  <c r="BO14" s="1"/>
  <c r="AW9"/>
  <c r="AD10"/>
  <c r="AD11"/>
  <c r="AW8"/>
  <c r="BR19"/>
  <c r="BR18" s="1"/>
  <c r="AY18"/>
  <c r="AY14" s="1"/>
  <c r="AY71" s="1"/>
  <c r="AW19"/>
  <c r="AD18"/>
  <c r="AD14" s="1"/>
  <c r="AX17"/>
  <c r="AX38" s="1"/>
  <c r="AG17"/>
  <c r="AH17" s="1"/>
  <c r="AX16"/>
  <c r="AG16"/>
  <c r="AH16" s="1"/>
  <c r="AU11"/>
  <c r="AV11" s="1"/>
  <c r="AX8"/>
  <c r="AG8"/>
  <c r="AH8" s="1"/>
  <c r="AE11"/>
  <c r="AN75"/>
  <c r="AN76" s="1"/>
  <c r="AD71"/>
  <c r="BN50"/>
  <c r="BO50" s="1"/>
  <c r="AB50"/>
  <c r="AC50" s="1"/>
  <c r="AT75"/>
  <c r="AT76" s="1"/>
  <c r="N10"/>
  <c r="O10" s="1"/>
  <c r="P205" i="114"/>
  <c r="P164"/>
  <c r="P165" s="1"/>
  <c r="D205"/>
  <c r="D206" s="1"/>
  <c r="D164"/>
  <c r="D165" s="1"/>
  <c r="U229"/>
  <c r="V229" s="1"/>
  <c r="U188"/>
  <c r="V188" s="1"/>
  <c r="AC97"/>
  <c r="V97"/>
  <c r="U103"/>
  <c r="N103"/>
  <c r="C150"/>
  <c r="C146"/>
  <c r="V61"/>
  <c r="AC61"/>
  <c r="AD61" s="1"/>
  <c r="AC55"/>
  <c r="AD55" s="1"/>
  <c r="V55"/>
  <c r="Q150"/>
  <c r="Q146"/>
  <c r="U54"/>
  <c r="N54"/>
  <c r="N52"/>
  <c r="U52"/>
  <c r="I150"/>
  <c r="I146"/>
  <c r="I210"/>
  <c r="X210"/>
  <c r="X206"/>
  <c r="H206"/>
  <c r="F162"/>
  <c r="M161"/>
  <c r="M208"/>
  <c r="U148"/>
  <c r="M147"/>
  <c r="M198"/>
  <c r="U138"/>
  <c r="Y210"/>
  <c r="M192"/>
  <c r="N192" s="1"/>
  <c r="U132"/>
  <c r="N132"/>
  <c r="M228"/>
  <c r="N228" s="1"/>
  <c r="U75"/>
  <c r="N75"/>
  <c r="M235"/>
  <c r="N235" s="1"/>
  <c r="U69"/>
  <c r="N69"/>
  <c r="M224"/>
  <c r="N224" s="1"/>
  <c r="U40"/>
  <c r="N40"/>
  <c r="M221"/>
  <c r="N221" s="1"/>
  <c r="U38"/>
  <c r="N38"/>
  <c r="M182"/>
  <c r="N182" s="1"/>
  <c r="U30"/>
  <c r="N30"/>
  <c r="M179"/>
  <c r="N179" s="1"/>
  <c r="U28"/>
  <c r="N28"/>
  <c r="R150"/>
  <c r="R146"/>
  <c r="D150"/>
  <c r="D146"/>
  <c r="M10"/>
  <c r="N10" s="1"/>
  <c r="U9"/>
  <c r="N9"/>
  <c r="W210"/>
  <c r="W206"/>
  <c r="R210"/>
  <c r="R206"/>
  <c r="J210"/>
  <c r="J206"/>
  <c r="D210"/>
  <c r="M203"/>
  <c r="N203" s="1"/>
  <c r="U143"/>
  <c r="N143"/>
  <c r="F163"/>
  <c r="F164" s="1"/>
  <c r="F165" s="1"/>
  <c r="M160"/>
  <c r="M200"/>
  <c r="U140"/>
  <c r="M197"/>
  <c r="N197" s="1"/>
  <c r="U137"/>
  <c r="N137"/>
  <c r="M191"/>
  <c r="N191" s="1"/>
  <c r="U131"/>
  <c r="N131"/>
  <c r="M130"/>
  <c r="M194"/>
  <c r="N194" s="1"/>
  <c r="U134"/>
  <c r="N134"/>
  <c r="N232"/>
  <c r="U101"/>
  <c r="U232" s="1"/>
  <c r="N101"/>
  <c r="M240"/>
  <c r="U77"/>
  <c r="N77"/>
  <c r="M237"/>
  <c r="N237" s="1"/>
  <c r="U71"/>
  <c r="N71"/>
  <c r="M234"/>
  <c r="N234" s="1"/>
  <c r="U68"/>
  <c r="N68"/>
  <c r="M225"/>
  <c r="N225" s="1"/>
  <c r="U65"/>
  <c r="N65"/>
  <c r="M181"/>
  <c r="N181" s="1"/>
  <c r="U51"/>
  <c r="N51"/>
  <c r="M242"/>
  <c r="N242" s="1"/>
  <c r="U44"/>
  <c r="N44"/>
  <c r="M217"/>
  <c r="N217" s="1"/>
  <c r="M186"/>
  <c r="N186" s="1"/>
  <c r="U34"/>
  <c r="N34"/>
  <c r="M177"/>
  <c r="U26"/>
  <c r="N26"/>
  <c r="X150"/>
  <c r="X146"/>
  <c r="H150"/>
  <c r="H146"/>
  <c r="M196"/>
  <c r="N196" s="1"/>
  <c r="U136"/>
  <c r="N136"/>
  <c r="M135"/>
  <c r="M230"/>
  <c r="N230" s="1"/>
  <c r="U99"/>
  <c r="N99"/>
  <c r="M248"/>
  <c r="N248" s="1"/>
  <c r="U85"/>
  <c r="N85"/>
  <c r="AA240"/>
  <c r="AA239" s="1"/>
  <c r="AA76"/>
  <c r="AA58" s="1"/>
  <c r="M238"/>
  <c r="N238" s="1"/>
  <c r="U72"/>
  <c r="N72"/>
  <c r="M227"/>
  <c r="N227" s="1"/>
  <c r="U64"/>
  <c r="N64"/>
  <c r="M245"/>
  <c r="U47"/>
  <c r="N47"/>
  <c r="M46"/>
  <c r="U43"/>
  <c r="N43"/>
  <c r="M42"/>
  <c r="N42" s="1"/>
  <c r="U39"/>
  <c r="N39"/>
  <c r="M218"/>
  <c r="N218" s="1"/>
  <c r="M187"/>
  <c r="N187" s="1"/>
  <c r="U35"/>
  <c r="N35"/>
  <c r="M180"/>
  <c r="N180" s="1"/>
  <c r="U29"/>
  <c r="N29"/>
  <c r="M178"/>
  <c r="N178" s="1"/>
  <c r="U27"/>
  <c r="N27"/>
  <c r="AB210"/>
  <c r="AB206"/>
  <c r="G210"/>
  <c r="G206"/>
  <c r="Y150"/>
  <c r="Y146"/>
  <c r="M11"/>
  <c r="U8"/>
  <c r="N8"/>
  <c r="N171"/>
  <c r="M170"/>
  <c r="N170" s="1"/>
  <c r="U171"/>
  <c r="N167"/>
  <c r="U167"/>
  <c r="AC129"/>
  <c r="AD129" s="1"/>
  <c r="V129"/>
  <c r="AC119"/>
  <c r="AD119" s="1"/>
  <c r="V119"/>
  <c r="U116"/>
  <c r="V116" s="1"/>
  <c r="AC115"/>
  <c r="V115"/>
  <c r="AC125"/>
  <c r="V125"/>
  <c r="U124"/>
  <c r="V124" s="1"/>
  <c r="AC123"/>
  <c r="AD123" s="1"/>
  <c r="V123"/>
  <c r="AC121"/>
  <c r="AD121" s="1"/>
  <c r="V121"/>
  <c r="AC120"/>
  <c r="AD120" s="1"/>
  <c r="V120"/>
  <c r="AC118"/>
  <c r="V118"/>
  <c r="AC112"/>
  <c r="AD112" s="1"/>
  <c r="V112"/>
  <c r="AC109"/>
  <c r="AD109" s="1"/>
  <c r="V109"/>
  <c r="U104"/>
  <c r="V104" s="1"/>
  <c r="AC105"/>
  <c r="V105"/>
  <c r="AC98"/>
  <c r="AD98" s="1"/>
  <c r="V98"/>
  <c r="AC96"/>
  <c r="AD96" s="1"/>
  <c r="V96"/>
  <c r="AC94"/>
  <c r="AD94" s="1"/>
  <c r="V94"/>
  <c r="AC90"/>
  <c r="AD90" s="1"/>
  <c r="V90"/>
  <c r="AC88"/>
  <c r="AD88" s="1"/>
  <c r="V88"/>
  <c r="AC53"/>
  <c r="AD53" s="1"/>
  <c r="V53"/>
  <c r="AC20"/>
  <c r="AD20" s="1"/>
  <c r="V20"/>
  <c r="AC17"/>
  <c r="AD17" s="1"/>
  <c r="V17"/>
  <c r="N126"/>
  <c r="AC127"/>
  <c r="V127"/>
  <c r="U126"/>
  <c r="AC122"/>
  <c r="AD122" s="1"/>
  <c r="V122"/>
  <c r="AC111"/>
  <c r="AD111" s="1"/>
  <c r="V111"/>
  <c r="AC102"/>
  <c r="AD102" s="1"/>
  <c r="V102"/>
  <c r="AC95"/>
  <c r="AD95" s="1"/>
  <c r="V95"/>
  <c r="U92"/>
  <c r="V92" s="1"/>
  <c r="AC91"/>
  <c r="V91"/>
  <c r="U18"/>
  <c r="V18" s="1"/>
  <c r="AC19"/>
  <c r="V19"/>
  <c r="X164"/>
  <c r="X165" s="1"/>
  <c r="O249"/>
  <c r="AA163"/>
  <c r="AA164" s="1"/>
  <c r="AA165" s="1"/>
  <c r="K163"/>
  <c r="K164" s="1"/>
  <c r="K165" s="1"/>
  <c r="Q164"/>
  <c r="Q165" s="1"/>
  <c r="S162"/>
  <c r="S93"/>
  <c r="S86" s="1"/>
  <c r="K246"/>
  <c r="K244" s="1"/>
  <c r="S245"/>
  <c r="S244" s="1"/>
  <c r="S220"/>
  <c r="Q204"/>
  <c r="H164"/>
  <c r="H165" s="1"/>
  <c r="T249"/>
  <c r="F249"/>
  <c r="AA220"/>
  <c r="C185"/>
  <c r="C51" i="115" s="1"/>
  <c r="S182" i="114"/>
  <c r="S184" s="1"/>
  <c r="S57"/>
  <c r="F12"/>
  <c r="F13" s="1"/>
  <c r="N229"/>
  <c r="M209"/>
  <c r="U149"/>
  <c r="M201"/>
  <c r="N201" s="1"/>
  <c r="U141"/>
  <c r="N141"/>
  <c r="M193"/>
  <c r="N193" s="1"/>
  <c r="U133"/>
  <c r="N133"/>
  <c r="M199"/>
  <c r="U139"/>
  <c r="S229"/>
  <c r="S188"/>
  <c r="U84"/>
  <c r="N84"/>
  <c r="M223"/>
  <c r="N223" s="1"/>
  <c r="U73"/>
  <c r="N73"/>
  <c r="M226"/>
  <c r="N226" s="1"/>
  <c r="U67"/>
  <c r="N67"/>
  <c r="M247"/>
  <c r="N247" s="1"/>
  <c r="U48"/>
  <c r="N48"/>
  <c r="M219"/>
  <c r="N219" s="1"/>
  <c r="U36"/>
  <c r="N36"/>
  <c r="Z150"/>
  <c r="Z146"/>
  <c r="J150"/>
  <c r="J146"/>
  <c r="M231"/>
  <c r="N231" s="1"/>
  <c r="U100"/>
  <c r="N100"/>
  <c r="M78"/>
  <c r="M76" s="1"/>
  <c r="N76" s="1"/>
  <c r="F76"/>
  <c r="F58" s="1"/>
  <c r="F25"/>
  <c r="M243"/>
  <c r="N243" s="1"/>
  <c r="U45"/>
  <c r="N45"/>
  <c r="M233"/>
  <c r="N233" s="1"/>
  <c r="U41"/>
  <c r="N41"/>
  <c r="M220"/>
  <c r="N220" s="1"/>
  <c r="U37"/>
  <c r="N37"/>
  <c r="M183"/>
  <c r="M32"/>
  <c r="N32" s="1"/>
  <c r="U31"/>
  <c r="N31"/>
  <c r="L210"/>
  <c r="L206"/>
  <c r="B210"/>
  <c r="B206"/>
  <c r="E150"/>
  <c r="E146"/>
  <c r="AC114"/>
  <c r="AD114" s="1"/>
  <c r="V114"/>
  <c r="AC66"/>
  <c r="AD66" s="1"/>
  <c r="V66"/>
  <c r="AC128"/>
  <c r="AD128" s="1"/>
  <c r="V128"/>
  <c r="V113"/>
  <c r="AC113"/>
  <c r="AD113" s="1"/>
  <c r="AC107"/>
  <c r="V107"/>
  <c r="AC79"/>
  <c r="AD79" s="1"/>
  <c r="V79"/>
  <c r="AC62"/>
  <c r="AD62" s="1"/>
  <c r="V62"/>
  <c r="AC60"/>
  <c r="AD60" s="1"/>
  <c r="V60"/>
  <c r="AC15"/>
  <c r="V15"/>
  <c r="AC89"/>
  <c r="AD89" s="1"/>
  <c r="V89"/>
  <c r="AC87"/>
  <c r="AD87" s="1"/>
  <c r="V87"/>
  <c r="AC83"/>
  <c r="AD83" s="1"/>
  <c r="V83"/>
  <c r="V80"/>
  <c r="AC80"/>
  <c r="AD80" s="1"/>
  <c r="AC74"/>
  <c r="AD74" s="1"/>
  <c r="V74"/>
  <c r="AC59"/>
  <c r="AD59" s="1"/>
  <c r="V59"/>
  <c r="AC50"/>
  <c r="AD50" s="1"/>
  <c r="V50"/>
  <c r="K222"/>
  <c r="I189"/>
  <c r="T55" i="115" s="1"/>
  <c r="M63" i="114"/>
  <c r="AA12"/>
  <c r="AA13" s="1"/>
  <c r="M108"/>
  <c r="M246" s="1"/>
  <c r="N246" s="1"/>
  <c r="N188"/>
  <c r="M81"/>
  <c r="U82"/>
  <c r="E28" i="98"/>
  <c r="G28" s="1"/>
  <c r="I28" s="1"/>
  <c r="E20"/>
  <c r="G20" s="1"/>
  <c r="I20" s="1"/>
  <c r="M64" i="116" l="1"/>
  <c r="AG33" i="117"/>
  <c r="AH33" s="1"/>
  <c r="W64"/>
  <c r="W65" s="1"/>
  <c r="W69" s="1"/>
  <c r="W70" s="1"/>
  <c r="W61"/>
  <c r="W74"/>
  <c r="W74" i="115"/>
  <c r="W75"/>
  <c r="W84"/>
  <c r="N14" i="114"/>
  <c r="AG55" i="117"/>
  <c r="AH55" s="1"/>
  <c r="AE39"/>
  <c r="AG39" s="1"/>
  <c r="AH39" s="1"/>
  <c r="AX49"/>
  <c r="AZ49" s="1"/>
  <c r="BA49" s="1"/>
  <c r="AC100" i="116"/>
  <c r="AD100" s="1"/>
  <c r="N37"/>
  <c r="AX36" i="117"/>
  <c r="AZ36" s="1"/>
  <c r="BA36" s="1"/>
  <c r="M144" i="116"/>
  <c r="T63" i="117"/>
  <c r="T64"/>
  <c r="T84" i="115"/>
  <c r="T74"/>
  <c r="T75"/>
  <c r="T72"/>
  <c r="U188" i="116"/>
  <c r="V188" s="1"/>
  <c r="Q59" i="117"/>
  <c r="Z40"/>
  <c r="AB40" s="1"/>
  <c r="AC40" s="1"/>
  <c r="Q51" i="115"/>
  <c r="Q70" s="1"/>
  <c r="H189" i="114"/>
  <c r="Q55" i="115" s="1"/>
  <c r="Z55" s="1"/>
  <c r="AB55" s="1"/>
  <c r="AC55" s="1"/>
  <c r="Z51"/>
  <c r="AB51" s="1"/>
  <c r="AC51" s="1"/>
  <c r="U14" i="114"/>
  <c r="V14" s="1"/>
  <c r="C8" i="118"/>
  <c r="F8" s="1"/>
  <c r="G8" s="1"/>
  <c r="Q71" i="115"/>
  <c r="Q34"/>
  <c r="E121" i="116"/>
  <c r="I75" i="115"/>
  <c r="I76" s="1"/>
  <c r="I72"/>
  <c r="I63" i="117"/>
  <c r="I64"/>
  <c r="I74"/>
  <c r="I61"/>
  <c r="E210" i="114"/>
  <c r="F75" i="115"/>
  <c r="F76" s="1"/>
  <c r="F79" s="1"/>
  <c r="V56" i="114"/>
  <c r="U57"/>
  <c r="V57" s="1"/>
  <c r="F72" i="115"/>
  <c r="F84"/>
  <c r="F63" i="117"/>
  <c r="F61"/>
  <c r="F64"/>
  <c r="F74"/>
  <c r="V16" i="114"/>
  <c r="U168"/>
  <c r="C34" i="115"/>
  <c r="AG62"/>
  <c r="AH62" s="1"/>
  <c r="N70" i="114"/>
  <c r="N144" i="116"/>
  <c r="N148"/>
  <c r="C170"/>
  <c r="C172" s="1"/>
  <c r="C40" i="117"/>
  <c r="L51" i="115"/>
  <c r="C70"/>
  <c r="C72" s="1"/>
  <c r="C5" i="118"/>
  <c r="F5" s="1"/>
  <c r="L71" i="115"/>
  <c r="N37"/>
  <c r="O37" s="1"/>
  <c r="BL64" i="117"/>
  <c r="BN64" s="1"/>
  <c r="BO64" s="1"/>
  <c r="BI65"/>
  <c r="BI69" s="1"/>
  <c r="AP65"/>
  <c r="AP69" s="1"/>
  <c r="BC65"/>
  <c r="BC69" s="1"/>
  <c r="AS63"/>
  <c r="AU63" s="1"/>
  <c r="AV63" s="1"/>
  <c r="AJ65"/>
  <c r="AJ69" s="1"/>
  <c r="BL63"/>
  <c r="BN63" s="1"/>
  <c r="BO63" s="1"/>
  <c r="BR63"/>
  <c r="BJ69"/>
  <c r="BJ70" s="1"/>
  <c r="BJ67"/>
  <c r="BG67"/>
  <c r="BD65"/>
  <c r="BM64"/>
  <c r="AK65"/>
  <c r="AT64"/>
  <c r="AY64" s="1"/>
  <c r="AG25"/>
  <c r="AH25" s="1"/>
  <c r="AG26"/>
  <c r="AH26" s="1"/>
  <c r="AD24"/>
  <c r="AG24" s="1"/>
  <c r="AH24" s="1"/>
  <c r="BQ25"/>
  <c r="BQ24"/>
  <c r="BP11"/>
  <c r="BP26" s="1"/>
  <c r="AW26"/>
  <c r="AZ26" s="1"/>
  <c r="BA26" s="1"/>
  <c r="BP12"/>
  <c r="BP27" s="1"/>
  <c r="AW27"/>
  <c r="AZ27" s="1"/>
  <c r="BA27" s="1"/>
  <c r="BP10"/>
  <c r="AW25"/>
  <c r="AZ25" s="1"/>
  <c r="BA25" s="1"/>
  <c r="BR20"/>
  <c r="BR27" s="1"/>
  <c r="AY27"/>
  <c r="BR19"/>
  <c r="BR26" s="1"/>
  <c r="AY26"/>
  <c r="BR18"/>
  <c r="BR25" s="1"/>
  <c r="AY25"/>
  <c r="BR17"/>
  <c r="BR24" s="1"/>
  <c r="AY24"/>
  <c r="AZ18"/>
  <c r="BA18" s="1"/>
  <c r="BS68"/>
  <c r="BT68" s="1"/>
  <c r="BS20"/>
  <c r="BT20" s="1"/>
  <c r="AW17"/>
  <c r="BP17" s="1"/>
  <c r="BS17" s="1"/>
  <c r="BT17" s="1"/>
  <c r="AD23"/>
  <c r="AB173" i="116"/>
  <c r="AC200"/>
  <c r="AD200" s="1"/>
  <c r="N200"/>
  <c r="V186"/>
  <c r="Q121"/>
  <c r="U75"/>
  <c r="V75" s="1"/>
  <c r="AC81"/>
  <c r="AD81" s="1"/>
  <c r="U69"/>
  <c r="V69" s="1"/>
  <c r="N186"/>
  <c r="N69"/>
  <c r="I155"/>
  <c r="T44" i="117" s="1"/>
  <c r="I170" i="116"/>
  <c r="I172" s="1"/>
  <c r="I125"/>
  <c r="I176" s="1"/>
  <c r="Q170"/>
  <c r="Q172" s="1"/>
  <c r="AC49"/>
  <c r="AD49" s="1"/>
  <c r="C155"/>
  <c r="C44" i="117" s="1"/>
  <c r="N212" i="116"/>
  <c r="AC212"/>
  <c r="AD212" s="1"/>
  <c r="AC185"/>
  <c r="AD185" s="1"/>
  <c r="E155"/>
  <c r="I44" i="117" s="1"/>
  <c r="E170" i="116"/>
  <c r="E172" s="1"/>
  <c r="C121"/>
  <c r="Y121"/>
  <c r="AC186"/>
  <c r="AD186" s="1"/>
  <c r="T173"/>
  <c r="AZ20" i="117"/>
  <c r="BA20" s="1"/>
  <c r="AZ22"/>
  <c r="BA22" s="1"/>
  <c r="BG77" i="115"/>
  <c r="X76"/>
  <c r="G80"/>
  <c r="AP80"/>
  <c r="BC80"/>
  <c r="BF80"/>
  <c r="BI80"/>
  <c r="AK80"/>
  <c r="BG80"/>
  <c r="B80"/>
  <c r="U80"/>
  <c r="H80"/>
  <c r="E80"/>
  <c r="BN74"/>
  <c r="BO74" s="1"/>
  <c r="BL76"/>
  <c r="Y74"/>
  <c r="K74" i="117"/>
  <c r="AU74" i="115"/>
  <c r="AV74" s="1"/>
  <c r="BD76"/>
  <c r="BL12"/>
  <c r="AW25"/>
  <c r="BP25" s="1"/>
  <c r="BR26"/>
  <c r="BR36" s="1"/>
  <c r="AY36"/>
  <c r="BR28"/>
  <c r="BR38" s="1"/>
  <c r="AY38"/>
  <c r="BR35"/>
  <c r="AR72"/>
  <c r="AG35"/>
  <c r="AH35" s="1"/>
  <c r="AX36"/>
  <c r="AX35"/>
  <c r="AW36"/>
  <c r="BP16"/>
  <c r="BP17"/>
  <c r="BP38" s="1"/>
  <c r="AW38"/>
  <c r="AZ38" s="1"/>
  <c r="BA38" s="1"/>
  <c r="AE37"/>
  <c r="AS64" i="117"/>
  <c r="AU64" s="1"/>
  <c r="AV64" s="1"/>
  <c r="AG36" i="115"/>
  <c r="AH36" s="1"/>
  <c r="BR37"/>
  <c r="AD37"/>
  <c r="AY37"/>
  <c r="BN34"/>
  <c r="BO34" s="1"/>
  <c r="AD34"/>
  <c r="BS25"/>
  <c r="BT25" s="1"/>
  <c r="AG33"/>
  <c r="AH33" s="1"/>
  <c r="AZ25"/>
  <c r="BA25" s="1"/>
  <c r="AD70"/>
  <c r="AG30"/>
  <c r="AH30" s="1"/>
  <c r="BP30"/>
  <c r="BS30" s="1"/>
  <c r="BT30" s="1"/>
  <c r="AZ30"/>
  <c r="BA30" s="1"/>
  <c r="AW31"/>
  <c r="AG31"/>
  <c r="AH31" s="1"/>
  <c r="BP26"/>
  <c r="BS26" s="1"/>
  <c r="BT26" s="1"/>
  <c r="AZ26"/>
  <c r="BA26" s="1"/>
  <c r="BP27"/>
  <c r="BS27" s="1"/>
  <c r="BT27" s="1"/>
  <c r="AZ27"/>
  <c r="BA27" s="1"/>
  <c r="K79"/>
  <c r="K80" s="1"/>
  <c r="AS74" i="117"/>
  <c r="AU74" s="1"/>
  <c r="AV74" s="1"/>
  <c r="Z34" i="115"/>
  <c r="AB34" s="1"/>
  <c r="AC34" s="1"/>
  <c r="Z12"/>
  <c r="Z13" s="1"/>
  <c r="AB13" s="1"/>
  <c r="AC13" s="1"/>
  <c r="P210" i="114"/>
  <c r="P146"/>
  <c r="P189"/>
  <c r="K185"/>
  <c r="K204" s="1"/>
  <c r="S144"/>
  <c r="S146" s="1"/>
  <c r="K184"/>
  <c r="U70"/>
  <c r="U236" s="1"/>
  <c r="V236" s="1"/>
  <c r="U117"/>
  <c r="AD118"/>
  <c r="AA244"/>
  <c r="AA249" s="1"/>
  <c r="U169"/>
  <c r="N169"/>
  <c r="Z189"/>
  <c r="Z204"/>
  <c r="S185"/>
  <c r="S189" s="1"/>
  <c r="U172"/>
  <c r="U170" s="1"/>
  <c r="V170" s="1"/>
  <c r="N172"/>
  <c r="S164"/>
  <c r="S165" s="1"/>
  <c r="N149" i="116"/>
  <c r="L155"/>
  <c r="AC94"/>
  <c r="AD94" s="1"/>
  <c r="AB214"/>
  <c r="N22"/>
  <c r="M30" i="112"/>
  <c r="L86" i="91"/>
  <c r="AM70" i="117"/>
  <c r="AM67"/>
  <c r="BQ12"/>
  <c r="AZ12"/>
  <c r="BA12" s="1"/>
  <c r="BQ11"/>
  <c r="AZ11"/>
  <c r="BA11" s="1"/>
  <c r="BQ33"/>
  <c r="BS33" s="1"/>
  <c r="BT33" s="1"/>
  <c r="AZ33"/>
  <c r="BA33" s="1"/>
  <c r="BQ34"/>
  <c r="BS34" s="1"/>
  <c r="BT34" s="1"/>
  <c r="AZ34"/>
  <c r="BA34" s="1"/>
  <c r="BQ35"/>
  <c r="BS35" s="1"/>
  <c r="BT35" s="1"/>
  <c r="AZ35"/>
  <c r="BA35" s="1"/>
  <c r="BQ36"/>
  <c r="BS36" s="1"/>
  <c r="BT36" s="1"/>
  <c r="BQ37"/>
  <c r="BS37" s="1"/>
  <c r="BT37" s="1"/>
  <c r="AZ37"/>
  <c r="BA37" s="1"/>
  <c r="BQ41"/>
  <c r="BS41" s="1"/>
  <c r="BT41" s="1"/>
  <c r="AZ41"/>
  <c r="BA41" s="1"/>
  <c r="BQ42"/>
  <c r="BS42" s="1"/>
  <c r="BT42" s="1"/>
  <c r="AZ42"/>
  <c r="BA42" s="1"/>
  <c r="BQ43"/>
  <c r="BS43" s="1"/>
  <c r="BT43" s="1"/>
  <c r="AZ43"/>
  <c r="BA43" s="1"/>
  <c r="BQ46"/>
  <c r="BS46" s="1"/>
  <c r="BT46" s="1"/>
  <c r="AZ46"/>
  <c r="BA46" s="1"/>
  <c r="BQ47"/>
  <c r="BS47" s="1"/>
  <c r="BT47" s="1"/>
  <c r="AZ47"/>
  <c r="BA47" s="1"/>
  <c r="AG9"/>
  <c r="AH9" s="1"/>
  <c r="AX9"/>
  <c r="D70"/>
  <c r="M69"/>
  <c r="AZ19"/>
  <c r="BA19" s="1"/>
  <c r="BQ19"/>
  <c r="BS19" s="1"/>
  <c r="BT19" s="1"/>
  <c r="AF23"/>
  <c r="AY21"/>
  <c r="H70"/>
  <c r="H67"/>
  <c r="AP70"/>
  <c r="AP67"/>
  <c r="BL61"/>
  <c r="BN61" s="1"/>
  <c r="BO61" s="1"/>
  <c r="BN59"/>
  <c r="BO59" s="1"/>
  <c r="AX39"/>
  <c r="BQ38"/>
  <c r="AZ38"/>
  <c r="BA38" s="1"/>
  <c r="BQ50"/>
  <c r="BS50" s="1"/>
  <c r="BT50" s="1"/>
  <c r="AZ50"/>
  <c r="BA50" s="1"/>
  <c r="AG60"/>
  <c r="AH60" s="1"/>
  <c r="AX60"/>
  <c r="E70"/>
  <c r="E67"/>
  <c r="P70"/>
  <c r="Y69"/>
  <c r="Y70" s="1"/>
  <c r="BB70"/>
  <c r="BK69"/>
  <c r="BK70" s="1"/>
  <c r="AF74"/>
  <c r="AY74" s="1"/>
  <c r="BR74" s="1"/>
  <c r="BP21"/>
  <c r="BP23" s="1"/>
  <c r="AW23"/>
  <c r="BQ45"/>
  <c r="BS45" s="1"/>
  <c r="BT45" s="1"/>
  <c r="AZ45"/>
  <c r="BA45" s="1"/>
  <c r="M67"/>
  <c r="AF65"/>
  <c r="AF61"/>
  <c r="AY59"/>
  <c r="K61"/>
  <c r="AD59"/>
  <c r="B67"/>
  <c r="K65"/>
  <c r="AU59"/>
  <c r="AV59" s="1"/>
  <c r="AS61"/>
  <c r="AU61" s="1"/>
  <c r="AV61" s="1"/>
  <c r="AJ67"/>
  <c r="AS65"/>
  <c r="BI70"/>
  <c r="AY39"/>
  <c r="BR38"/>
  <c r="BR39" s="1"/>
  <c r="BQ51"/>
  <c r="BS51" s="1"/>
  <c r="BT51" s="1"/>
  <c r="AZ51"/>
  <c r="BA51" s="1"/>
  <c r="BQ55"/>
  <c r="BS55" s="1"/>
  <c r="BT55" s="1"/>
  <c r="AZ55"/>
  <c r="BA55" s="1"/>
  <c r="BQ56"/>
  <c r="BS56" s="1"/>
  <c r="BT56" s="1"/>
  <c r="AZ56"/>
  <c r="BA56" s="1"/>
  <c r="BQ57"/>
  <c r="BS57" s="1"/>
  <c r="BT57" s="1"/>
  <c r="AZ57"/>
  <c r="BA57" s="1"/>
  <c r="BQ58"/>
  <c r="BS58" s="1"/>
  <c r="BT58" s="1"/>
  <c r="AZ58"/>
  <c r="BA58" s="1"/>
  <c r="BQ8"/>
  <c r="BS8" s="1"/>
  <c r="BT8" s="1"/>
  <c r="AZ8"/>
  <c r="BA8" s="1"/>
  <c r="AW39"/>
  <c r="BP38"/>
  <c r="BP39" s="1"/>
  <c r="R70"/>
  <c r="AA69"/>
  <c r="AA70" s="1"/>
  <c r="BF70"/>
  <c r="BF67"/>
  <c r="AI70"/>
  <c r="AR69"/>
  <c r="AR70" s="1"/>
  <c r="AX21"/>
  <c r="AE23"/>
  <c r="AG21"/>
  <c r="AH21" s="1"/>
  <c r="AX32"/>
  <c r="AG32"/>
  <c r="AH32" s="1"/>
  <c r="BL74"/>
  <c r="BN74" s="1"/>
  <c r="BO74" s="1"/>
  <c r="N23"/>
  <c r="O23" s="1"/>
  <c r="P155" i="116"/>
  <c r="P170"/>
  <c r="P172" s="1"/>
  <c r="V39"/>
  <c r="AC39"/>
  <c r="AD39" s="1"/>
  <c r="V70"/>
  <c r="AC70"/>
  <c r="AD70" s="1"/>
  <c r="H155"/>
  <c r="Q44" i="117" s="1"/>
  <c r="H170" i="116"/>
  <c r="H172" s="1"/>
  <c r="X155"/>
  <c r="X170"/>
  <c r="X172" s="1"/>
  <c r="T153"/>
  <c r="AB25"/>
  <c r="AB153" s="1"/>
  <c r="V192"/>
  <c r="AC192"/>
  <c r="AD192" s="1"/>
  <c r="U145"/>
  <c r="V18"/>
  <c r="V145" s="1"/>
  <c r="AC18"/>
  <c r="T152"/>
  <c r="AB24"/>
  <c r="AB152" s="1"/>
  <c r="V29"/>
  <c r="AC29"/>
  <c r="AD29" s="1"/>
  <c r="V33"/>
  <c r="AC33"/>
  <c r="AD33" s="1"/>
  <c r="V193"/>
  <c r="AC193"/>
  <c r="AD193" s="1"/>
  <c r="V195"/>
  <c r="AC195"/>
  <c r="AD195" s="1"/>
  <c r="V57"/>
  <c r="AC57"/>
  <c r="AD57" s="1"/>
  <c r="U73"/>
  <c r="V73" s="1"/>
  <c r="V72"/>
  <c r="AC72"/>
  <c r="AA88"/>
  <c r="T166"/>
  <c r="AB115"/>
  <c r="AB166" s="1"/>
  <c r="V65"/>
  <c r="AC65"/>
  <c r="AD65" s="1"/>
  <c r="Z155"/>
  <c r="Z170"/>
  <c r="Z172" s="1"/>
  <c r="N206"/>
  <c r="U206"/>
  <c r="AA69"/>
  <c r="V10"/>
  <c r="AC10"/>
  <c r="AD10" s="1"/>
  <c r="U144"/>
  <c r="V17"/>
  <c r="AC17"/>
  <c r="T145"/>
  <c r="AB18"/>
  <c r="AB145" s="1"/>
  <c r="M147"/>
  <c r="N19"/>
  <c r="N147" s="1"/>
  <c r="U19"/>
  <c r="H125"/>
  <c r="H121"/>
  <c r="T151"/>
  <c r="AB23"/>
  <c r="AB151" s="1"/>
  <c r="X125"/>
  <c r="X121"/>
  <c r="V28"/>
  <c r="AC28"/>
  <c r="AD28" s="1"/>
  <c r="V189"/>
  <c r="AC189"/>
  <c r="AD189" s="1"/>
  <c r="V48"/>
  <c r="AC48"/>
  <c r="AD48" s="1"/>
  <c r="V56"/>
  <c r="AC56"/>
  <c r="AD56" s="1"/>
  <c r="V58"/>
  <c r="AC58"/>
  <c r="AD58" s="1"/>
  <c r="V60"/>
  <c r="AC60"/>
  <c r="AD60" s="1"/>
  <c r="V211"/>
  <c r="AC211"/>
  <c r="AD211" s="1"/>
  <c r="U154"/>
  <c r="V79"/>
  <c r="V154" s="1"/>
  <c r="AC79"/>
  <c r="V202"/>
  <c r="AC202"/>
  <c r="AD202" s="1"/>
  <c r="V137"/>
  <c r="AC137"/>
  <c r="AD137" s="1"/>
  <c r="V139"/>
  <c r="AC139"/>
  <c r="AD139" s="1"/>
  <c r="U153"/>
  <c r="V25"/>
  <c r="V153" s="1"/>
  <c r="AC25"/>
  <c r="V208"/>
  <c r="AC208"/>
  <c r="AD208" s="1"/>
  <c r="V196"/>
  <c r="AC196"/>
  <c r="AD196" s="1"/>
  <c r="V122"/>
  <c r="AC122"/>
  <c r="AD122" s="1"/>
  <c r="T157"/>
  <c r="AB106"/>
  <c r="AB157" s="1"/>
  <c r="T159"/>
  <c r="AB108"/>
  <c r="AB159" s="1"/>
  <c r="M160"/>
  <c r="U109"/>
  <c r="T156"/>
  <c r="AB105"/>
  <c r="AB156" s="1"/>
  <c r="U167"/>
  <c r="V116"/>
  <c r="V167" s="1"/>
  <c r="AC116"/>
  <c r="Z125"/>
  <c r="Z176" s="1"/>
  <c r="Z121"/>
  <c r="S43"/>
  <c r="S209"/>
  <c r="S214" s="1"/>
  <c r="L171"/>
  <c r="T136"/>
  <c r="T143"/>
  <c r="AB16"/>
  <c r="AB143" s="1"/>
  <c r="D125"/>
  <c r="D176" s="1"/>
  <c r="D121"/>
  <c r="J125"/>
  <c r="J176" s="1"/>
  <c r="J121"/>
  <c r="R125"/>
  <c r="R176" s="1"/>
  <c r="R121"/>
  <c r="N32"/>
  <c r="U32"/>
  <c r="M209"/>
  <c r="V47"/>
  <c r="AC47"/>
  <c r="AD47" s="1"/>
  <c r="V51"/>
  <c r="AC51"/>
  <c r="AD51" s="1"/>
  <c r="V53"/>
  <c r="AC53"/>
  <c r="AD53" s="1"/>
  <c r="V197"/>
  <c r="AC197"/>
  <c r="AD197" s="1"/>
  <c r="V199"/>
  <c r="AC199"/>
  <c r="AD199" s="1"/>
  <c r="V205"/>
  <c r="AC205"/>
  <c r="AD205" s="1"/>
  <c r="M59"/>
  <c r="K43"/>
  <c r="K151" s="1"/>
  <c r="K155" s="1"/>
  <c r="K204"/>
  <c r="M204" s="1"/>
  <c r="AA43"/>
  <c r="AA209"/>
  <c r="U149"/>
  <c r="V21"/>
  <c r="U22"/>
  <c r="AC21"/>
  <c r="V31"/>
  <c r="AC31"/>
  <c r="AD31" s="1"/>
  <c r="U42"/>
  <c r="V42" s="1"/>
  <c r="V41"/>
  <c r="AC41"/>
  <c r="V198"/>
  <c r="AC198"/>
  <c r="AD198" s="1"/>
  <c r="N102"/>
  <c r="U102"/>
  <c r="U162"/>
  <c r="V111"/>
  <c r="V162" s="1"/>
  <c r="AC111"/>
  <c r="U163"/>
  <c r="AC112"/>
  <c r="AC163" s="1"/>
  <c r="U165"/>
  <c r="AC114"/>
  <c r="AC165" s="1"/>
  <c r="U166"/>
  <c r="V115"/>
  <c r="V166" s="1"/>
  <c r="AC115"/>
  <c r="U174"/>
  <c r="V123"/>
  <c r="V174" s="1"/>
  <c r="AC123"/>
  <c r="U157"/>
  <c r="V106"/>
  <c r="V157" s="1"/>
  <c r="AC106"/>
  <c r="T158"/>
  <c r="AB107"/>
  <c r="AB158" s="1"/>
  <c r="U175"/>
  <c r="V124"/>
  <c r="V175" s="1"/>
  <c r="AC124"/>
  <c r="V37"/>
  <c r="AC37"/>
  <c r="AD37" s="1"/>
  <c r="C176"/>
  <c r="AC201"/>
  <c r="AD201" s="1"/>
  <c r="M136"/>
  <c r="M150"/>
  <c r="N213"/>
  <c r="M173"/>
  <c r="U120"/>
  <c r="N120"/>
  <c r="U64"/>
  <c r="V64" s="1"/>
  <c r="N64"/>
  <c r="F151"/>
  <c r="F155" s="1"/>
  <c r="F15"/>
  <c r="F119" s="1"/>
  <c r="F121" s="1"/>
  <c r="U152"/>
  <c r="V24"/>
  <c r="V152" s="1"/>
  <c r="AC24"/>
  <c r="V187"/>
  <c r="AC187"/>
  <c r="AD187" s="1"/>
  <c r="V194"/>
  <c r="AC194"/>
  <c r="AD194" s="1"/>
  <c r="V91"/>
  <c r="AC91"/>
  <c r="AD91" s="1"/>
  <c r="V27"/>
  <c r="AC27"/>
  <c r="AD27" s="1"/>
  <c r="V191"/>
  <c r="AC191"/>
  <c r="AD191" s="1"/>
  <c r="V62"/>
  <c r="AC62"/>
  <c r="AD62" s="1"/>
  <c r="V68"/>
  <c r="AC68"/>
  <c r="AD68" s="1"/>
  <c r="T154"/>
  <c r="AB79"/>
  <c r="AB154" s="1"/>
  <c r="U158"/>
  <c r="V107"/>
  <c r="V158" s="1"/>
  <c r="AC107"/>
  <c r="U161"/>
  <c r="V110"/>
  <c r="V161" s="1"/>
  <c r="AC110"/>
  <c r="U169"/>
  <c r="AC118"/>
  <c r="P125"/>
  <c r="P121"/>
  <c r="V138"/>
  <c r="AC138"/>
  <c r="AD138" s="1"/>
  <c r="U148"/>
  <c r="V20"/>
  <c r="V148" s="1"/>
  <c r="AC20"/>
  <c r="T149"/>
  <c r="T22"/>
  <c r="AB21"/>
  <c r="D155"/>
  <c r="F44" i="117" s="1"/>
  <c r="D170" i="116"/>
  <c r="D172" s="1"/>
  <c r="J155"/>
  <c r="W44" i="117" s="1"/>
  <c r="J170" i="116"/>
  <c r="J172" s="1"/>
  <c r="R155"/>
  <c r="R170"/>
  <c r="R172" s="1"/>
  <c r="V26"/>
  <c r="AC26"/>
  <c r="AD26" s="1"/>
  <c r="V203"/>
  <c r="AC203"/>
  <c r="AD203" s="1"/>
  <c r="V30"/>
  <c r="AC30"/>
  <c r="AD30" s="1"/>
  <c r="M23"/>
  <c r="K15"/>
  <c r="M146"/>
  <c r="U36"/>
  <c r="N36"/>
  <c r="N146" s="1"/>
  <c r="V190"/>
  <c r="AC190"/>
  <c r="AD190" s="1"/>
  <c r="U61"/>
  <c r="N61"/>
  <c r="V66"/>
  <c r="AC66"/>
  <c r="AD66" s="1"/>
  <c r="V9"/>
  <c r="AC9"/>
  <c r="AD9" s="1"/>
  <c r="V11"/>
  <c r="AC11"/>
  <c r="AD11" s="1"/>
  <c r="U143"/>
  <c r="V16"/>
  <c r="V143" s="1"/>
  <c r="AC16"/>
  <c r="T144"/>
  <c r="AB17"/>
  <c r="AB144" s="1"/>
  <c r="T147"/>
  <c r="AB19"/>
  <c r="AB147" s="1"/>
  <c r="T148"/>
  <c r="AB20"/>
  <c r="AB148" s="1"/>
  <c r="V210"/>
  <c r="AC210"/>
  <c r="AD210" s="1"/>
  <c r="V50"/>
  <c r="AC50"/>
  <c r="AD50" s="1"/>
  <c r="V52"/>
  <c r="AC52"/>
  <c r="AD52" s="1"/>
  <c r="V54"/>
  <c r="AC54"/>
  <c r="AD54" s="1"/>
  <c r="V55"/>
  <c r="AC55"/>
  <c r="AD55" s="1"/>
  <c r="V207"/>
  <c r="AC207"/>
  <c r="AD207" s="1"/>
  <c r="V213"/>
  <c r="AC213"/>
  <c r="AD213" s="1"/>
  <c r="M95"/>
  <c r="K88"/>
  <c r="M88" s="1"/>
  <c r="N105"/>
  <c r="N156" s="1"/>
  <c r="M156"/>
  <c r="U105"/>
  <c r="T161"/>
  <c r="AB110"/>
  <c r="AB161" s="1"/>
  <c r="T167"/>
  <c r="AB116"/>
  <c r="AB167" s="1"/>
  <c r="U168"/>
  <c r="U159"/>
  <c r="V108"/>
  <c r="V159" s="1"/>
  <c r="AC108"/>
  <c r="V8"/>
  <c r="AC8"/>
  <c r="AD8" s="1"/>
  <c r="AC67"/>
  <c r="AD67" s="1"/>
  <c r="AN79" i="115"/>
  <c r="AN77"/>
  <c r="X79"/>
  <c r="X80" s="1"/>
  <c r="X77"/>
  <c r="AT77"/>
  <c r="AT79"/>
  <c r="AT80" s="1"/>
  <c r="AE12"/>
  <c r="AG11"/>
  <c r="AH11" s="1"/>
  <c r="AU12"/>
  <c r="AV12" s="1"/>
  <c r="AS13"/>
  <c r="AU13" s="1"/>
  <c r="AV13" s="1"/>
  <c r="BQ16"/>
  <c r="BS16" s="1"/>
  <c r="BT16" s="1"/>
  <c r="AZ16"/>
  <c r="BA16" s="1"/>
  <c r="BQ17"/>
  <c r="AZ17"/>
  <c r="BA17" s="1"/>
  <c r="BP19"/>
  <c r="BP18" s="1"/>
  <c r="AW18"/>
  <c r="AW14" s="1"/>
  <c r="AW50"/>
  <c r="BP49"/>
  <c r="BP50" s="1"/>
  <c r="AX50"/>
  <c r="AZ50" s="1"/>
  <c r="BA50" s="1"/>
  <c r="BQ49"/>
  <c r="AZ49"/>
  <c r="BA49" s="1"/>
  <c r="AX43"/>
  <c r="AG43"/>
  <c r="AH43" s="1"/>
  <c r="AL77"/>
  <c r="AL79"/>
  <c r="BM77"/>
  <c r="BM79"/>
  <c r="BM80" s="1"/>
  <c r="BK72"/>
  <c r="AX10"/>
  <c r="BQ9"/>
  <c r="AZ9"/>
  <c r="BA9" s="1"/>
  <c r="BP32"/>
  <c r="BP15"/>
  <c r="BQ19"/>
  <c r="AZ19"/>
  <c r="BA19" s="1"/>
  <c r="AX18"/>
  <c r="AX14" s="1"/>
  <c r="BQ67"/>
  <c r="BS67" s="1"/>
  <c r="BT67" s="1"/>
  <c r="AZ67"/>
  <c r="BA67" s="1"/>
  <c r="AW11"/>
  <c r="BP8"/>
  <c r="M34"/>
  <c r="AF32"/>
  <c r="M75"/>
  <c r="M76" s="1"/>
  <c r="AS34"/>
  <c r="AU34" s="1"/>
  <c r="AV34" s="1"/>
  <c r="AU32"/>
  <c r="AV32" s="1"/>
  <c r="AY10"/>
  <c r="BR9"/>
  <c r="AZ33"/>
  <c r="BA33" s="1"/>
  <c r="BQ33"/>
  <c r="BS33" s="1"/>
  <c r="BT33" s="1"/>
  <c r="BB77"/>
  <c r="BB79"/>
  <c r="BB80" s="1"/>
  <c r="AD72"/>
  <c r="BQ81"/>
  <c r="BS81" s="1"/>
  <c r="AZ81"/>
  <c r="AS71"/>
  <c r="AU71" s="1"/>
  <c r="AV71" s="1"/>
  <c r="AU14"/>
  <c r="AV14" s="1"/>
  <c r="AW70"/>
  <c r="AW74" s="1"/>
  <c r="BP43"/>
  <c r="BQ15"/>
  <c r="AZ15"/>
  <c r="BA15" s="1"/>
  <c r="BL13"/>
  <c r="BN13" s="1"/>
  <c r="BO13" s="1"/>
  <c r="BN12"/>
  <c r="BO12" s="1"/>
  <c r="AY11"/>
  <c r="AY12" s="1"/>
  <c r="AY13" s="1"/>
  <c r="BR8"/>
  <c r="Y72"/>
  <c r="P77"/>
  <c r="P79"/>
  <c r="P80" s="1"/>
  <c r="AO77"/>
  <c r="AO79"/>
  <c r="BQ61"/>
  <c r="BS61" s="1"/>
  <c r="BT61" s="1"/>
  <c r="AZ61"/>
  <c r="BA61" s="1"/>
  <c r="BQ82"/>
  <c r="BS82" s="1"/>
  <c r="AZ82"/>
  <c r="BQ83"/>
  <c r="BS83" s="1"/>
  <c r="AZ83"/>
  <c r="AW78"/>
  <c r="AZ78" s="1"/>
  <c r="BA78" s="1"/>
  <c r="AD12"/>
  <c r="AD13" s="1"/>
  <c r="AG14"/>
  <c r="AH14" s="1"/>
  <c r="AG50"/>
  <c r="AH50" s="1"/>
  <c r="L12"/>
  <c r="AG10"/>
  <c r="AH10" s="1"/>
  <c r="AG18"/>
  <c r="AH18" s="1"/>
  <c r="AG78"/>
  <c r="AH78" s="1"/>
  <c r="AX11"/>
  <c r="BQ8"/>
  <c r="AZ8"/>
  <c r="BA8" s="1"/>
  <c r="AW10"/>
  <c r="BP9"/>
  <c r="BQ20"/>
  <c r="BS20" s="1"/>
  <c r="BT20" s="1"/>
  <c r="AZ20"/>
  <c r="BA20" s="1"/>
  <c r="AS75"/>
  <c r="AU75" s="1"/>
  <c r="AV75" s="1"/>
  <c r="S77"/>
  <c r="S79"/>
  <c r="BH77"/>
  <c r="BH79"/>
  <c r="BJ79"/>
  <c r="BJ80" s="1"/>
  <c r="BJ77"/>
  <c r="AF72"/>
  <c r="BL72"/>
  <c r="BN70"/>
  <c r="BO70" s="1"/>
  <c r="AA75"/>
  <c r="AA76" s="1"/>
  <c r="AE34"/>
  <c r="AG34" s="1"/>
  <c r="AH34" s="1"/>
  <c r="AX32"/>
  <c r="AG32"/>
  <c r="AH32" s="1"/>
  <c r="BQ52"/>
  <c r="BS52" s="1"/>
  <c r="BT52" s="1"/>
  <c r="AZ52"/>
  <c r="BA52" s="1"/>
  <c r="BQ53"/>
  <c r="BS53" s="1"/>
  <c r="BT53" s="1"/>
  <c r="AZ53"/>
  <c r="BA53" s="1"/>
  <c r="BQ54"/>
  <c r="BS54" s="1"/>
  <c r="BT54" s="1"/>
  <c r="AZ54"/>
  <c r="BA54" s="1"/>
  <c r="BQ57"/>
  <c r="BS57" s="1"/>
  <c r="BT57" s="1"/>
  <c r="AZ57"/>
  <c r="BA57" s="1"/>
  <c r="BQ58"/>
  <c r="BS58" s="1"/>
  <c r="BT58" s="1"/>
  <c r="AZ58"/>
  <c r="BA58" s="1"/>
  <c r="BQ59"/>
  <c r="BS59" s="1"/>
  <c r="BT59" s="1"/>
  <c r="AZ59"/>
  <c r="BA59" s="1"/>
  <c r="BQ60"/>
  <c r="BS60" s="1"/>
  <c r="BT60" s="1"/>
  <c r="AZ60"/>
  <c r="BA60" s="1"/>
  <c r="AG29"/>
  <c r="AH29" s="1"/>
  <c r="AX29"/>
  <c r="AM79"/>
  <c r="AM77"/>
  <c r="BQ44"/>
  <c r="BS44" s="1"/>
  <c r="BT44" s="1"/>
  <c r="AZ44"/>
  <c r="BA44" s="1"/>
  <c r="BQ45"/>
  <c r="BS45" s="1"/>
  <c r="BT45" s="1"/>
  <c r="AZ45"/>
  <c r="BA45" s="1"/>
  <c r="BQ46"/>
  <c r="BS46" s="1"/>
  <c r="BT46" s="1"/>
  <c r="AZ46"/>
  <c r="BA46" s="1"/>
  <c r="BQ47"/>
  <c r="BS47" s="1"/>
  <c r="BT47" s="1"/>
  <c r="AZ47"/>
  <c r="BA47" s="1"/>
  <c r="BQ48"/>
  <c r="BS48" s="1"/>
  <c r="BT48" s="1"/>
  <c r="AZ48"/>
  <c r="BA48" s="1"/>
  <c r="AZ56"/>
  <c r="BA56" s="1"/>
  <c r="BQ56"/>
  <c r="BS56" s="1"/>
  <c r="BT56" s="1"/>
  <c r="BQ63"/>
  <c r="BS63" s="1"/>
  <c r="BT63" s="1"/>
  <c r="AZ63"/>
  <c r="BA63" s="1"/>
  <c r="BQ68"/>
  <c r="BS68" s="1"/>
  <c r="BT68" s="1"/>
  <c r="AZ68"/>
  <c r="BA68" s="1"/>
  <c r="BQ69"/>
  <c r="BS69" s="1"/>
  <c r="BT69" s="1"/>
  <c r="AZ69"/>
  <c r="BA69" s="1"/>
  <c r="V77"/>
  <c r="V79"/>
  <c r="AI77"/>
  <c r="AI79"/>
  <c r="AI80" s="1"/>
  <c r="BE77"/>
  <c r="BE79"/>
  <c r="AU70"/>
  <c r="AV70" s="1"/>
  <c r="AY50"/>
  <c r="BR49"/>
  <c r="AY70"/>
  <c r="AY74" s="1"/>
  <c r="BQ78"/>
  <c r="BR78"/>
  <c r="AR79"/>
  <c r="AR80" s="1"/>
  <c r="BR14"/>
  <c r="BR71" s="1"/>
  <c r="L34"/>
  <c r="N34" s="1"/>
  <c r="O34" s="1"/>
  <c r="F49" i="114"/>
  <c r="F144" s="1"/>
  <c r="F185"/>
  <c r="AA49"/>
  <c r="AA144" s="1"/>
  <c r="AA185"/>
  <c r="S150"/>
  <c r="U208"/>
  <c r="AC148"/>
  <c r="U147"/>
  <c r="M162"/>
  <c r="N162" s="1"/>
  <c r="N161"/>
  <c r="U161"/>
  <c r="AC54"/>
  <c r="AD54" s="1"/>
  <c r="V54"/>
  <c r="AC103"/>
  <c r="AD103" s="1"/>
  <c r="V103"/>
  <c r="AC229"/>
  <c r="AD229" s="1"/>
  <c r="AC188"/>
  <c r="AD188" s="1"/>
  <c r="AD97"/>
  <c r="AC82"/>
  <c r="U81"/>
  <c r="V82"/>
  <c r="U145"/>
  <c r="V145" s="1"/>
  <c r="AD15"/>
  <c r="AD107"/>
  <c r="U233"/>
  <c r="V233" s="1"/>
  <c r="AC41"/>
  <c r="V41"/>
  <c r="U247"/>
  <c r="V247" s="1"/>
  <c r="AC48"/>
  <c r="V48"/>
  <c r="U223"/>
  <c r="V223" s="1"/>
  <c r="AC73"/>
  <c r="V73"/>
  <c r="U193"/>
  <c r="V193" s="1"/>
  <c r="AC133"/>
  <c r="V133"/>
  <c r="AD19"/>
  <c r="AC18"/>
  <c r="AD18" s="1"/>
  <c r="N117"/>
  <c r="M110"/>
  <c r="N110" s="1"/>
  <c r="AD105"/>
  <c r="AC104"/>
  <c r="AD104" s="1"/>
  <c r="AD125"/>
  <c r="AC124"/>
  <c r="AD124" s="1"/>
  <c r="AC116"/>
  <c r="AD116" s="1"/>
  <c r="AD115"/>
  <c r="V167"/>
  <c r="AC167"/>
  <c r="M12"/>
  <c r="N11"/>
  <c r="U178"/>
  <c r="V178" s="1"/>
  <c r="AC27"/>
  <c r="V27"/>
  <c r="U218"/>
  <c r="V218" s="1"/>
  <c r="U187"/>
  <c r="V187" s="1"/>
  <c r="AC35"/>
  <c r="V35"/>
  <c r="AC39"/>
  <c r="V39"/>
  <c r="U42"/>
  <c r="V42" s="1"/>
  <c r="AC43"/>
  <c r="V43"/>
  <c r="N46"/>
  <c r="M33"/>
  <c r="U245"/>
  <c r="U46"/>
  <c r="AC47"/>
  <c r="V47"/>
  <c r="U238"/>
  <c r="V238" s="1"/>
  <c r="AC72"/>
  <c r="V72"/>
  <c r="U230"/>
  <c r="V230" s="1"/>
  <c r="AC99"/>
  <c r="V99"/>
  <c r="M195"/>
  <c r="N195" s="1"/>
  <c r="N135"/>
  <c r="U196"/>
  <c r="V196" s="1"/>
  <c r="U135"/>
  <c r="AC136"/>
  <c r="V136"/>
  <c r="N177"/>
  <c r="U217"/>
  <c r="V217" s="1"/>
  <c r="U186"/>
  <c r="V186" s="1"/>
  <c r="AC34"/>
  <c r="V34"/>
  <c r="U242"/>
  <c r="V242" s="1"/>
  <c r="AC44"/>
  <c r="V44"/>
  <c r="U225"/>
  <c r="V225" s="1"/>
  <c r="AC65"/>
  <c r="V65"/>
  <c r="U237"/>
  <c r="V237" s="1"/>
  <c r="AC71"/>
  <c r="V71"/>
  <c r="U240"/>
  <c r="V77"/>
  <c r="AC77"/>
  <c r="U194"/>
  <c r="V194" s="1"/>
  <c r="AC134"/>
  <c r="V134"/>
  <c r="M190"/>
  <c r="N190" s="1"/>
  <c r="N130"/>
  <c r="U191"/>
  <c r="V191" s="1"/>
  <c r="AC131"/>
  <c r="V131"/>
  <c r="U130"/>
  <c r="U160"/>
  <c r="M163"/>
  <c r="N160"/>
  <c r="AC9"/>
  <c r="V9"/>
  <c r="U10"/>
  <c r="V10" s="1"/>
  <c r="U182"/>
  <c r="V182" s="1"/>
  <c r="AC30"/>
  <c r="V30"/>
  <c r="U224"/>
  <c r="V224" s="1"/>
  <c r="AC40"/>
  <c r="V40"/>
  <c r="U228"/>
  <c r="V228" s="1"/>
  <c r="AC75"/>
  <c r="V75"/>
  <c r="K150"/>
  <c r="K146"/>
  <c r="M58"/>
  <c r="N81"/>
  <c r="U108"/>
  <c r="N108"/>
  <c r="M106"/>
  <c r="U63"/>
  <c r="U222" s="1"/>
  <c r="V222" s="1"/>
  <c r="N63"/>
  <c r="U183"/>
  <c r="U32"/>
  <c r="V32" s="1"/>
  <c r="AC31"/>
  <c r="V31"/>
  <c r="M184"/>
  <c r="N184" s="1"/>
  <c r="N183"/>
  <c r="U220"/>
  <c r="V220" s="1"/>
  <c r="AC37"/>
  <c r="V37"/>
  <c r="U243"/>
  <c r="V243" s="1"/>
  <c r="AC45"/>
  <c r="V45"/>
  <c r="V70"/>
  <c r="U78"/>
  <c r="U241" s="1"/>
  <c r="V241" s="1"/>
  <c r="N78"/>
  <c r="U231"/>
  <c r="V231" s="1"/>
  <c r="AC100"/>
  <c r="V100"/>
  <c r="U219"/>
  <c r="V219" s="1"/>
  <c r="AC36"/>
  <c r="V36"/>
  <c r="U226"/>
  <c r="V226" s="1"/>
  <c r="AC67"/>
  <c r="V67"/>
  <c r="AC84"/>
  <c r="V84"/>
  <c r="U199"/>
  <c r="AC139"/>
  <c r="AC199" s="1"/>
  <c r="U201"/>
  <c r="V201" s="1"/>
  <c r="AC141"/>
  <c r="V141"/>
  <c r="U209"/>
  <c r="AC149"/>
  <c r="AC209" s="1"/>
  <c r="C189"/>
  <c r="C55" i="115" s="1"/>
  <c r="L55" s="1"/>
  <c r="C204" i="114"/>
  <c r="Q210"/>
  <c r="Q206"/>
  <c r="AC92"/>
  <c r="AD92" s="1"/>
  <c r="AD91"/>
  <c r="V126"/>
  <c r="AD127"/>
  <c r="AC126"/>
  <c r="AD56"/>
  <c r="AC57"/>
  <c r="AD57" s="1"/>
  <c r="V171"/>
  <c r="AC171"/>
  <c r="U11"/>
  <c r="AC8"/>
  <c r="V8"/>
  <c r="U180"/>
  <c r="V180" s="1"/>
  <c r="AC29"/>
  <c r="V29"/>
  <c r="N245"/>
  <c r="M244"/>
  <c r="U227"/>
  <c r="V227" s="1"/>
  <c r="AC64"/>
  <c r="V64"/>
  <c r="U248"/>
  <c r="V248" s="1"/>
  <c r="AC85"/>
  <c r="V85"/>
  <c r="U177"/>
  <c r="AC26"/>
  <c r="V26"/>
  <c r="U181"/>
  <c r="V181" s="1"/>
  <c r="AC51"/>
  <c r="V51"/>
  <c r="U234"/>
  <c r="V234" s="1"/>
  <c r="V68"/>
  <c r="AC68"/>
  <c r="N240"/>
  <c r="V232"/>
  <c r="AC101"/>
  <c r="AC232" s="1"/>
  <c r="V101"/>
  <c r="U197"/>
  <c r="V197" s="1"/>
  <c r="AC137"/>
  <c r="V137"/>
  <c r="U200"/>
  <c r="AC140"/>
  <c r="AC200" s="1"/>
  <c r="U203"/>
  <c r="V203" s="1"/>
  <c r="AC143"/>
  <c r="V143"/>
  <c r="U179"/>
  <c r="V179" s="1"/>
  <c r="AC28"/>
  <c r="V28"/>
  <c r="U221"/>
  <c r="V221" s="1"/>
  <c r="AC38"/>
  <c r="V38"/>
  <c r="U235"/>
  <c r="V235" s="1"/>
  <c r="AC69"/>
  <c r="V69"/>
  <c r="U192"/>
  <c r="V192" s="1"/>
  <c r="AC132"/>
  <c r="V132"/>
  <c r="U198"/>
  <c r="AC138"/>
  <c r="AC198" s="1"/>
  <c r="M202"/>
  <c r="N202" s="1"/>
  <c r="N142"/>
  <c r="AC52"/>
  <c r="AD52" s="1"/>
  <c r="V52"/>
  <c r="S249"/>
  <c r="K249"/>
  <c r="M166"/>
  <c r="M222"/>
  <c r="N222" s="1"/>
  <c r="M241"/>
  <c r="N241" s="1"/>
  <c r="M207"/>
  <c r="N207" s="1"/>
  <c r="H27" i="98"/>
  <c r="F27"/>
  <c r="D27"/>
  <c r="C27"/>
  <c r="BQ49" i="117" l="1"/>
  <c r="BS49" s="1"/>
  <c r="BT49" s="1"/>
  <c r="AC188" i="116"/>
  <c r="AD188" s="1"/>
  <c r="W67" i="117"/>
  <c r="W76" i="115"/>
  <c r="W77" s="1"/>
  <c r="Z44" i="117"/>
  <c r="AB44" s="1"/>
  <c r="AC44" s="1"/>
  <c r="T65"/>
  <c r="T76" i="115"/>
  <c r="AC75" i="116"/>
  <c r="AD75" s="1"/>
  <c r="Q63" i="117"/>
  <c r="Q61"/>
  <c r="Q64"/>
  <c r="Z64" s="1"/>
  <c r="Q74"/>
  <c r="Z74" s="1"/>
  <c r="AB74" s="1"/>
  <c r="AC74" s="1"/>
  <c r="Z59"/>
  <c r="Q74" i="115"/>
  <c r="Q75"/>
  <c r="Q84"/>
  <c r="Z70"/>
  <c r="Z71"/>
  <c r="Q72"/>
  <c r="I77"/>
  <c r="I79"/>
  <c r="I80" s="1"/>
  <c r="I65" i="117"/>
  <c r="I69" s="1"/>
  <c r="I70" s="1"/>
  <c r="N150" i="116"/>
  <c r="F77" i="115"/>
  <c r="F65" i="117"/>
  <c r="L44"/>
  <c r="AC168" i="114"/>
  <c r="AD168" s="1"/>
  <c r="V168"/>
  <c r="C17" i="118"/>
  <c r="AC70" i="114"/>
  <c r="AD70" s="1"/>
  <c r="C59" i="117"/>
  <c r="L40"/>
  <c r="AE51" i="115"/>
  <c r="N51"/>
  <c r="O51" s="1"/>
  <c r="AE55"/>
  <c r="N55"/>
  <c r="O55" s="1"/>
  <c r="C84"/>
  <c r="L70"/>
  <c r="L72" s="1"/>
  <c r="N72" s="1"/>
  <c r="O72" s="1"/>
  <c r="C75"/>
  <c r="C74"/>
  <c r="N71"/>
  <c r="O71" s="1"/>
  <c r="G5" i="118"/>
  <c r="G17" s="1"/>
  <c r="F17"/>
  <c r="BI67" i="117"/>
  <c r="BR64"/>
  <c r="BD69"/>
  <c r="BD67"/>
  <c r="BM65"/>
  <c r="BM67" s="1"/>
  <c r="AK69"/>
  <c r="AT65"/>
  <c r="AT67" s="1"/>
  <c r="AK67"/>
  <c r="AW24"/>
  <c r="AZ24" s="1"/>
  <c r="BA24" s="1"/>
  <c r="AD74"/>
  <c r="AW74" s="1"/>
  <c r="BP74" s="1"/>
  <c r="BP25"/>
  <c r="BS25" s="1"/>
  <c r="BT25" s="1"/>
  <c r="BP24"/>
  <c r="BS24" s="1"/>
  <c r="BT24" s="1"/>
  <c r="BS10"/>
  <c r="BT10" s="1"/>
  <c r="BS11"/>
  <c r="BT11" s="1"/>
  <c r="BQ26"/>
  <c r="BS26" s="1"/>
  <c r="BT26" s="1"/>
  <c r="BS12"/>
  <c r="BT12" s="1"/>
  <c r="BQ27"/>
  <c r="BS27" s="1"/>
  <c r="BT27" s="1"/>
  <c r="AZ17"/>
  <c r="BA17" s="1"/>
  <c r="AG23"/>
  <c r="AH23" s="1"/>
  <c r="AC69" i="116"/>
  <c r="AD69" s="1"/>
  <c r="F170"/>
  <c r="F172" s="1"/>
  <c r="BE80" i="115"/>
  <c r="V80"/>
  <c r="AL80"/>
  <c r="F80"/>
  <c r="AN80"/>
  <c r="Z84"/>
  <c r="AM80"/>
  <c r="BH80"/>
  <c r="S80"/>
  <c r="Y84"/>
  <c r="AB84" s="1"/>
  <c r="AC84" s="1"/>
  <c r="AO80"/>
  <c r="K84"/>
  <c r="AD84" s="1"/>
  <c r="AT84"/>
  <c r="BL84"/>
  <c r="AW76"/>
  <c r="AS76"/>
  <c r="AS77" s="1"/>
  <c r="AU77" s="1"/>
  <c r="AV77" s="1"/>
  <c r="AD74"/>
  <c r="Y76"/>
  <c r="AW35"/>
  <c r="AZ35"/>
  <c r="BA35" s="1"/>
  <c r="AX37"/>
  <c r="BN72"/>
  <c r="BO72" s="1"/>
  <c r="BP35"/>
  <c r="BP36"/>
  <c r="BP37"/>
  <c r="AZ36"/>
  <c r="BA36" s="1"/>
  <c r="BQ36"/>
  <c r="BQ35"/>
  <c r="BS35" s="1"/>
  <c r="BT35" s="1"/>
  <c r="BS17"/>
  <c r="BT17" s="1"/>
  <c r="BQ38"/>
  <c r="BS38" s="1"/>
  <c r="BT38" s="1"/>
  <c r="AG37"/>
  <c r="AH37" s="1"/>
  <c r="AW37"/>
  <c r="BP31"/>
  <c r="BS31" s="1"/>
  <c r="BT31" s="1"/>
  <c r="AZ31"/>
  <c r="BA31" s="1"/>
  <c r="BP10"/>
  <c r="BP14"/>
  <c r="BP71" s="1"/>
  <c r="AB12"/>
  <c r="AC12" s="1"/>
  <c r="BP34"/>
  <c r="AZ10"/>
  <c r="BA10" s="1"/>
  <c r="BR11"/>
  <c r="BR12" s="1"/>
  <c r="BR13" s="1"/>
  <c r="K189" i="114"/>
  <c r="AC117"/>
  <c r="S204"/>
  <c r="S206" s="1"/>
  <c r="AC169"/>
  <c r="AD169" s="1"/>
  <c r="V169"/>
  <c r="AC172"/>
  <c r="AD172" s="1"/>
  <c r="V172"/>
  <c r="Z206"/>
  <c r="Z210"/>
  <c r="T155" i="116"/>
  <c r="R30" i="112"/>
  <c r="R86" i="91" s="1"/>
  <c r="M86"/>
  <c r="AX23" i="117"/>
  <c r="AZ23" s="1"/>
  <c r="BA23" s="1"/>
  <c r="AZ21"/>
  <c r="BA21" s="1"/>
  <c r="BQ21"/>
  <c r="K67"/>
  <c r="AD65"/>
  <c r="B70"/>
  <c r="K69"/>
  <c r="BC67"/>
  <c r="BL65"/>
  <c r="BS38"/>
  <c r="BT38" s="1"/>
  <c r="BQ39"/>
  <c r="BS39" s="1"/>
  <c r="BT39" s="1"/>
  <c r="BQ32"/>
  <c r="BS32" s="1"/>
  <c r="BT32" s="1"/>
  <c r="AZ32"/>
  <c r="BA32" s="1"/>
  <c r="AS67"/>
  <c r="AU67" s="1"/>
  <c r="AV67" s="1"/>
  <c r="AU65"/>
  <c r="AV65" s="1"/>
  <c r="AJ70"/>
  <c r="AS69"/>
  <c r="AD61"/>
  <c r="AW59"/>
  <c r="BP59" s="1"/>
  <c r="AY61"/>
  <c r="BR59"/>
  <c r="BR61" s="1"/>
  <c r="AF67"/>
  <c r="AB64"/>
  <c r="AC64" s="1"/>
  <c r="BQ60"/>
  <c r="BS60" s="1"/>
  <c r="BT60" s="1"/>
  <c r="AZ60"/>
  <c r="BA60" s="1"/>
  <c r="BR21"/>
  <c r="BR23" s="1"/>
  <c r="AY23"/>
  <c r="M70"/>
  <c r="AF69"/>
  <c r="BQ9"/>
  <c r="BS9" s="1"/>
  <c r="BT9" s="1"/>
  <c r="AZ9"/>
  <c r="BA9" s="1"/>
  <c r="AZ39"/>
  <c r="BA39" s="1"/>
  <c r="N88" i="116"/>
  <c r="U88"/>
  <c r="V88" s="1"/>
  <c r="U146"/>
  <c r="V36"/>
  <c r="V146" s="1"/>
  <c r="AC36"/>
  <c r="P176"/>
  <c r="S125"/>
  <c r="S176" s="1"/>
  <c r="AC161"/>
  <c r="AD110"/>
  <c r="AD161" s="1"/>
  <c r="V120"/>
  <c r="AC120"/>
  <c r="AD120" s="1"/>
  <c r="AA34"/>
  <c r="AA151"/>
  <c r="AC159"/>
  <c r="AD108"/>
  <c r="AD159" s="1"/>
  <c r="U156"/>
  <c r="V105"/>
  <c r="V156" s="1"/>
  <c r="AC105"/>
  <c r="N95"/>
  <c r="U95"/>
  <c r="U23"/>
  <c r="N23"/>
  <c r="AB149"/>
  <c r="AB150" s="1"/>
  <c r="AB22"/>
  <c r="AC169"/>
  <c r="AD107"/>
  <c r="AD158" s="1"/>
  <c r="AC158"/>
  <c r="AC175"/>
  <c r="AD124"/>
  <c r="AD175" s="1"/>
  <c r="AC174"/>
  <c r="AC173" s="1"/>
  <c r="AD123"/>
  <c r="AD174" s="1"/>
  <c r="AC162"/>
  <c r="AD111"/>
  <c r="AD162" s="1"/>
  <c r="AC149"/>
  <c r="AC22"/>
  <c r="AD21"/>
  <c r="AA214"/>
  <c r="K34"/>
  <c r="M34" s="1"/>
  <c r="M43"/>
  <c r="M151" s="1"/>
  <c r="U209"/>
  <c r="V209" s="1"/>
  <c r="N209"/>
  <c r="V32"/>
  <c r="AC32"/>
  <c r="AD32" s="1"/>
  <c r="T171"/>
  <c r="AB136"/>
  <c r="AB171" s="1"/>
  <c r="AC167"/>
  <c r="AD116"/>
  <c r="AD167" s="1"/>
  <c r="AC153"/>
  <c r="AD25"/>
  <c r="AD153" s="1"/>
  <c r="U147"/>
  <c r="V19"/>
  <c r="V147" s="1"/>
  <c r="AC19"/>
  <c r="V206"/>
  <c r="AC206"/>
  <c r="AD206" s="1"/>
  <c r="AC73"/>
  <c r="AD73" s="1"/>
  <c r="AD72"/>
  <c r="K170"/>
  <c r="K172" s="1"/>
  <c r="T150"/>
  <c r="F125"/>
  <c r="F176" s="1"/>
  <c r="U173"/>
  <c r="V149"/>
  <c r="V150" s="1"/>
  <c r="AC64"/>
  <c r="AD64" s="1"/>
  <c r="AB155"/>
  <c r="V144"/>
  <c r="AC168"/>
  <c r="AC143"/>
  <c r="AD16"/>
  <c r="AD143" s="1"/>
  <c r="V61"/>
  <c r="AC61"/>
  <c r="AD61" s="1"/>
  <c r="M15"/>
  <c r="AC148"/>
  <c r="AD20"/>
  <c r="AD148" s="1"/>
  <c r="AC152"/>
  <c r="AD24"/>
  <c r="AD152" s="1"/>
  <c r="M171"/>
  <c r="U136"/>
  <c r="N136"/>
  <c r="N171" s="1"/>
  <c r="AC157"/>
  <c r="AD106"/>
  <c r="AD157" s="1"/>
  <c r="AD115"/>
  <c r="AD166" s="1"/>
  <c r="AC166"/>
  <c r="V102"/>
  <c r="AC102"/>
  <c r="AD102" s="1"/>
  <c r="AC42"/>
  <c r="AD42" s="1"/>
  <c r="AD41"/>
  <c r="N204"/>
  <c r="U204"/>
  <c r="U59"/>
  <c r="N59"/>
  <c r="S34"/>
  <c r="S119" s="1"/>
  <c r="S121" s="1"/>
  <c r="S151"/>
  <c r="U160"/>
  <c r="AC109"/>
  <c r="AC154"/>
  <c r="AD79"/>
  <c r="AD154" s="1"/>
  <c r="X176"/>
  <c r="AA125"/>
  <c r="H176"/>
  <c r="K125"/>
  <c r="AC144"/>
  <c r="AD17"/>
  <c r="AD144" s="1"/>
  <c r="AC145"/>
  <c r="AD18"/>
  <c r="AD145" s="1"/>
  <c r="V173"/>
  <c r="V22"/>
  <c r="U150"/>
  <c r="K214"/>
  <c r="M214" s="1"/>
  <c r="AW71" i="115"/>
  <c r="AW34"/>
  <c r="BQ29"/>
  <c r="AZ29"/>
  <c r="BA29" s="1"/>
  <c r="BP78"/>
  <c r="AX71"/>
  <c r="AZ14"/>
  <c r="BA14" s="1"/>
  <c r="BS15"/>
  <c r="BT15" s="1"/>
  <c r="AY72"/>
  <c r="BQ32"/>
  <c r="AX34"/>
  <c r="AZ32"/>
  <c r="BA32" s="1"/>
  <c r="R79"/>
  <c r="R77"/>
  <c r="BN76"/>
  <c r="BO76" s="1"/>
  <c r="BL77"/>
  <c r="BL79"/>
  <c r="BS8"/>
  <c r="BT8" s="1"/>
  <c r="BQ11"/>
  <c r="BD79"/>
  <c r="BD77"/>
  <c r="Y77"/>
  <c r="Y79"/>
  <c r="Y80" s="1"/>
  <c r="D79"/>
  <c r="D77"/>
  <c r="AY32"/>
  <c r="AF34"/>
  <c r="BQ18"/>
  <c r="BS18" s="1"/>
  <c r="BT18" s="1"/>
  <c r="BS19"/>
  <c r="BT19" s="1"/>
  <c r="BQ10"/>
  <c r="BS9"/>
  <c r="BT9" s="1"/>
  <c r="AG12"/>
  <c r="AH12" s="1"/>
  <c r="AE13"/>
  <c r="AG13" s="1"/>
  <c r="AH13" s="1"/>
  <c r="AS72"/>
  <c r="AU72" s="1"/>
  <c r="AV72" s="1"/>
  <c r="BP70"/>
  <c r="BP74" s="1"/>
  <c r="BR10"/>
  <c r="BP11"/>
  <c r="AZ18"/>
  <c r="BA18" s="1"/>
  <c r="BR50"/>
  <c r="BR70"/>
  <c r="BR74" s="1"/>
  <c r="AA77"/>
  <c r="AA79"/>
  <c r="AA80" s="1"/>
  <c r="AJ79"/>
  <c r="AJ77"/>
  <c r="AZ11"/>
  <c r="BA11" s="1"/>
  <c r="AX12"/>
  <c r="L13"/>
  <c r="N13" s="1"/>
  <c r="O13" s="1"/>
  <c r="N12"/>
  <c r="O12" s="1"/>
  <c r="AW72"/>
  <c r="AF75"/>
  <c r="AF76" s="1"/>
  <c r="BK77"/>
  <c r="BK79"/>
  <c r="BK80" s="1"/>
  <c r="BQ43"/>
  <c r="AZ43"/>
  <c r="BA43" s="1"/>
  <c r="BQ50"/>
  <c r="BS50" s="1"/>
  <c r="BT50" s="1"/>
  <c r="BS49"/>
  <c r="BT49" s="1"/>
  <c r="AW12"/>
  <c r="AW13" s="1"/>
  <c r="M205" i="114"/>
  <c r="N205" s="1"/>
  <c r="N166"/>
  <c r="U202"/>
  <c r="V202" s="1"/>
  <c r="V142"/>
  <c r="AC235"/>
  <c r="AD235" s="1"/>
  <c r="AD69"/>
  <c r="AC179"/>
  <c r="AD179" s="1"/>
  <c r="AD28"/>
  <c r="AD232"/>
  <c r="AD101"/>
  <c r="AC248"/>
  <c r="AD248" s="1"/>
  <c r="AD85"/>
  <c r="U12"/>
  <c r="V11"/>
  <c r="AD126"/>
  <c r="C210"/>
  <c r="C206"/>
  <c r="AD84"/>
  <c r="AC219"/>
  <c r="AD219" s="1"/>
  <c r="AD36"/>
  <c r="N106"/>
  <c r="M93"/>
  <c r="M185" s="1"/>
  <c r="AC108"/>
  <c r="V108"/>
  <c r="U106"/>
  <c r="AC10"/>
  <c r="AD10" s="1"/>
  <c r="AD9"/>
  <c r="U190"/>
  <c r="V190" s="1"/>
  <c r="V130"/>
  <c r="V240"/>
  <c r="U239"/>
  <c r="V239" s="1"/>
  <c r="AC237"/>
  <c r="AD237" s="1"/>
  <c r="AD71"/>
  <c r="AC242"/>
  <c r="AD242" s="1"/>
  <c r="AD44"/>
  <c r="AC238"/>
  <c r="AD238" s="1"/>
  <c r="AD72"/>
  <c r="N33"/>
  <c r="M25"/>
  <c r="AC178"/>
  <c r="AD178" s="1"/>
  <c r="AD27"/>
  <c r="AD167"/>
  <c r="AC193"/>
  <c r="AD193" s="1"/>
  <c r="AD133"/>
  <c r="V81"/>
  <c r="AC192"/>
  <c r="AD192" s="1"/>
  <c r="AD132"/>
  <c r="AC221"/>
  <c r="AD221" s="1"/>
  <c r="AD38"/>
  <c r="AC203"/>
  <c r="AD203" s="1"/>
  <c r="AD143"/>
  <c r="AC197"/>
  <c r="AD197" s="1"/>
  <c r="AD137"/>
  <c r="AC177"/>
  <c r="AD26"/>
  <c r="AC227"/>
  <c r="AD227" s="1"/>
  <c r="AD64"/>
  <c r="N244"/>
  <c r="AC11"/>
  <c r="AD8"/>
  <c r="AD171"/>
  <c r="AC170"/>
  <c r="AD170" s="1"/>
  <c r="AC201"/>
  <c r="AD201" s="1"/>
  <c r="AD141"/>
  <c r="AC226"/>
  <c r="AD226" s="1"/>
  <c r="AD67"/>
  <c r="AC231"/>
  <c r="AD231" s="1"/>
  <c r="AD100"/>
  <c r="AC243"/>
  <c r="AD243" s="1"/>
  <c r="AD45"/>
  <c r="AC183"/>
  <c r="AC32"/>
  <c r="AD32" s="1"/>
  <c r="AD31"/>
  <c r="U184"/>
  <c r="V184" s="1"/>
  <c r="V183"/>
  <c r="AC63"/>
  <c r="AD63" s="1"/>
  <c r="V63"/>
  <c r="AC224"/>
  <c r="AD224" s="1"/>
  <c r="AD40"/>
  <c r="AC160"/>
  <c r="U163"/>
  <c r="V160"/>
  <c r="AC194"/>
  <c r="AD194" s="1"/>
  <c r="AD134"/>
  <c r="AC225"/>
  <c r="AD225" s="1"/>
  <c r="AD65"/>
  <c r="AC217"/>
  <c r="AD217" s="1"/>
  <c r="AC186"/>
  <c r="AD186" s="1"/>
  <c r="AD34"/>
  <c r="AC196"/>
  <c r="AD196" s="1"/>
  <c r="AD136"/>
  <c r="AC135"/>
  <c r="AC230"/>
  <c r="AD230" s="1"/>
  <c r="AD99"/>
  <c r="AC245"/>
  <c r="AD47"/>
  <c r="AC46"/>
  <c r="V245"/>
  <c r="AD43"/>
  <c r="AC42"/>
  <c r="AD42" s="1"/>
  <c r="AD39"/>
  <c r="M13"/>
  <c r="N13" s="1"/>
  <c r="N12"/>
  <c r="AC223"/>
  <c r="AD223" s="1"/>
  <c r="AD73"/>
  <c r="AC233"/>
  <c r="AD233" s="1"/>
  <c r="AD41"/>
  <c r="AC81"/>
  <c r="AD82"/>
  <c r="AA150"/>
  <c r="AA146"/>
  <c r="U246"/>
  <c r="V246" s="1"/>
  <c r="U76"/>
  <c r="V76" s="1"/>
  <c r="U166"/>
  <c r="AC14"/>
  <c r="U207"/>
  <c r="V207" s="1"/>
  <c r="F150"/>
  <c r="F146"/>
  <c r="AC234"/>
  <c r="AD234" s="1"/>
  <c r="AD68"/>
  <c r="AC181"/>
  <c r="AD181" s="1"/>
  <c r="AD51"/>
  <c r="V177"/>
  <c r="AC180"/>
  <c r="AD180" s="1"/>
  <c r="AD29"/>
  <c r="V117"/>
  <c r="U110"/>
  <c r="V110" s="1"/>
  <c r="K210"/>
  <c r="K206"/>
  <c r="AC78"/>
  <c r="AD78" s="1"/>
  <c r="V78"/>
  <c r="AC220"/>
  <c r="AD220" s="1"/>
  <c r="AD37"/>
  <c r="N58"/>
  <c r="M49"/>
  <c r="N49" s="1"/>
  <c r="AC228"/>
  <c r="AD228" s="1"/>
  <c r="AD75"/>
  <c r="AC182"/>
  <c r="AD182" s="1"/>
  <c r="AD30"/>
  <c r="M164"/>
  <c r="N163"/>
  <c r="AC191"/>
  <c r="AD191" s="1"/>
  <c r="AD131"/>
  <c r="AC130"/>
  <c r="AC240"/>
  <c r="AD77"/>
  <c r="U195"/>
  <c r="V195" s="1"/>
  <c r="V135"/>
  <c r="V46"/>
  <c r="U33"/>
  <c r="AC218"/>
  <c r="AD218" s="1"/>
  <c r="AC187"/>
  <c r="AD187" s="1"/>
  <c r="AD35"/>
  <c r="AC247"/>
  <c r="AD247" s="1"/>
  <c r="AD48"/>
  <c r="S210"/>
  <c r="U162"/>
  <c r="V162" s="1"/>
  <c r="V161"/>
  <c r="AC161"/>
  <c r="AC208"/>
  <c r="AC207" s="1"/>
  <c r="AD207" s="1"/>
  <c r="AC147"/>
  <c r="AA189"/>
  <c r="AA204"/>
  <c r="F189"/>
  <c r="F204"/>
  <c r="M239"/>
  <c r="N239" s="1"/>
  <c r="E27" i="98"/>
  <c r="G27" s="1"/>
  <c r="I27" s="1"/>
  <c r="AE44" i="117" l="1"/>
  <c r="AG44" s="1"/>
  <c r="AH44" s="1"/>
  <c r="W79" i="115"/>
  <c r="W80" s="1"/>
  <c r="AC236" i="114"/>
  <c r="AD236" s="1"/>
  <c r="T69" i="117"/>
  <c r="T70" s="1"/>
  <c r="T67"/>
  <c r="T79" i="115"/>
  <c r="T80" s="1"/>
  <c r="T77"/>
  <c r="Z61" i="117"/>
  <c r="AB61" s="1"/>
  <c r="AC61" s="1"/>
  <c r="AB59"/>
  <c r="AC59" s="1"/>
  <c r="Z63"/>
  <c r="AB63" s="1"/>
  <c r="AC63" s="1"/>
  <c r="Q65"/>
  <c r="Z74" i="115"/>
  <c r="AB70"/>
  <c r="AC70" s="1"/>
  <c r="Q76"/>
  <c r="Z75"/>
  <c r="AB75" s="1"/>
  <c r="AC75" s="1"/>
  <c r="AB71"/>
  <c r="AC71" s="1"/>
  <c r="Z72"/>
  <c r="AB72" s="1"/>
  <c r="AC72" s="1"/>
  <c r="AE71"/>
  <c r="AG71" s="1"/>
  <c r="AH71" s="1"/>
  <c r="D17" i="118"/>
  <c r="I67" i="117"/>
  <c r="N44"/>
  <c r="O44" s="1"/>
  <c r="F69"/>
  <c r="F70" s="1"/>
  <c r="F67"/>
  <c r="C63"/>
  <c r="L63" s="1"/>
  <c r="C61"/>
  <c r="C64"/>
  <c r="C74"/>
  <c r="L74" s="1"/>
  <c r="L59"/>
  <c r="N40"/>
  <c r="O40" s="1"/>
  <c r="AE40"/>
  <c r="AX44"/>
  <c r="C76" i="115"/>
  <c r="L75"/>
  <c r="AX55"/>
  <c r="AG55"/>
  <c r="AH55" s="1"/>
  <c r="AX51"/>
  <c r="AG51"/>
  <c r="AH51" s="1"/>
  <c r="L74"/>
  <c r="N74" s="1"/>
  <c r="O74" s="1"/>
  <c r="AE70"/>
  <c r="N70"/>
  <c r="O70" s="1"/>
  <c r="AZ37"/>
  <c r="BA37" s="1"/>
  <c r="BD70" i="117"/>
  <c r="BM69"/>
  <c r="BM70" s="1"/>
  <c r="AT69"/>
  <c r="AT70" s="1"/>
  <c r="AK70"/>
  <c r="AY65"/>
  <c r="BR65" s="1"/>
  <c r="BR67" s="1"/>
  <c r="AD22" i="116"/>
  <c r="AC88"/>
  <c r="AD88" s="1"/>
  <c r="K119"/>
  <c r="K121" s="1"/>
  <c r="AC209"/>
  <c r="AD209" s="1"/>
  <c r="AD173"/>
  <c r="L84" i="115"/>
  <c r="BD80"/>
  <c r="BM84"/>
  <c r="AJ80"/>
  <c r="AS84"/>
  <c r="R80"/>
  <c r="AA84"/>
  <c r="AR84"/>
  <c r="AW84" s="1"/>
  <c r="BK84"/>
  <c r="BN84" s="1"/>
  <c r="BO84" s="1"/>
  <c r="D80"/>
  <c r="M84"/>
  <c r="AD76"/>
  <c r="BP76"/>
  <c r="BS36"/>
  <c r="BT36" s="1"/>
  <c r="BS29"/>
  <c r="BT29" s="1"/>
  <c r="BQ37"/>
  <c r="BS37" s="1"/>
  <c r="BT37" s="1"/>
  <c r="AU76"/>
  <c r="AV76" s="1"/>
  <c r="AS79"/>
  <c r="AS80" s="1"/>
  <c r="AU80" s="1"/>
  <c r="AV80" s="1"/>
  <c r="AZ34"/>
  <c r="BA34" s="1"/>
  <c r="BS10"/>
  <c r="BT10" s="1"/>
  <c r="BP12"/>
  <c r="BP13" s="1"/>
  <c r="AW77"/>
  <c r="AZ71"/>
  <c r="BA71" s="1"/>
  <c r="AC76" i="114"/>
  <c r="AD76" s="1"/>
  <c r="AC241"/>
  <c r="AD241" s="1"/>
  <c r="AF70" i="117"/>
  <c r="AW61"/>
  <c r="BP61"/>
  <c r="AS70"/>
  <c r="AU70" s="1"/>
  <c r="AV70" s="1"/>
  <c r="AU69"/>
  <c r="AV69" s="1"/>
  <c r="BL67"/>
  <c r="BN67" s="1"/>
  <c r="BO67" s="1"/>
  <c r="BN65"/>
  <c r="BO65" s="1"/>
  <c r="BC70"/>
  <c r="BL69"/>
  <c r="K70"/>
  <c r="AD69"/>
  <c r="AD67"/>
  <c r="AW65"/>
  <c r="BP65" s="1"/>
  <c r="BQ23"/>
  <c r="BS23" s="1"/>
  <c r="BT23" s="1"/>
  <c r="BS21"/>
  <c r="BT21" s="1"/>
  <c r="M155" i="116"/>
  <c r="M170"/>
  <c r="M172" s="1"/>
  <c r="S155"/>
  <c r="S170"/>
  <c r="S172" s="1"/>
  <c r="V204"/>
  <c r="AC204"/>
  <c r="AD204" s="1"/>
  <c r="V23"/>
  <c r="AC23"/>
  <c r="V95"/>
  <c r="AC95"/>
  <c r="AD95" s="1"/>
  <c r="U214"/>
  <c r="V214" s="1"/>
  <c r="N214"/>
  <c r="K176"/>
  <c r="M125"/>
  <c r="AA176"/>
  <c r="AC160"/>
  <c r="V59"/>
  <c r="AC59"/>
  <c r="AD59" s="1"/>
  <c r="U171"/>
  <c r="V136"/>
  <c r="V171" s="1"/>
  <c r="AC136"/>
  <c r="N15"/>
  <c r="U15"/>
  <c r="AC147"/>
  <c r="AD19"/>
  <c r="AD147" s="1"/>
  <c r="U34"/>
  <c r="V34" s="1"/>
  <c r="N34"/>
  <c r="AA155"/>
  <c r="AA170"/>
  <c r="AA172" s="1"/>
  <c r="AC34"/>
  <c r="AD34" s="1"/>
  <c r="AA119"/>
  <c r="AC150"/>
  <c r="N43"/>
  <c r="N151" s="1"/>
  <c r="U43"/>
  <c r="AC156"/>
  <c r="AD105"/>
  <c r="AD156" s="1"/>
  <c r="AC146"/>
  <c r="AD36"/>
  <c r="AD146" s="1"/>
  <c r="AD149"/>
  <c r="AD150" s="1"/>
  <c r="AY75" i="115"/>
  <c r="AY76" s="1"/>
  <c r="AX13"/>
  <c r="AZ13" s="1"/>
  <c r="BA13" s="1"/>
  <c r="AZ12"/>
  <c r="BA12" s="1"/>
  <c r="AU79"/>
  <c r="AV79" s="1"/>
  <c r="BP77"/>
  <c r="BP72"/>
  <c r="BS11"/>
  <c r="BT11" s="1"/>
  <c r="BS43"/>
  <c r="BT43" s="1"/>
  <c r="M77"/>
  <c r="M79"/>
  <c r="M80" s="1"/>
  <c r="BR72"/>
  <c r="AY34"/>
  <c r="BR32"/>
  <c r="BR34" s="1"/>
  <c r="BS32"/>
  <c r="BT32" s="1"/>
  <c r="BS78"/>
  <c r="BT78" s="1"/>
  <c r="BN77"/>
  <c r="BO77" s="1"/>
  <c r="BQ14"/>
  <c r="BQ34" s="1"/>
  <c r="BS34" s="1"/>
  <c r="BT34" s="1"/>
  <c r="AW79"/>
  <c r="AW80" s="1"/>
  <c r="BL80"/>
  <c r="BN80" s="1"/>
  <c r="BO80" s="1"/>
  <c r="BN79"/>
  <c r="BO79" s="1"/>
  <c r="F210" i="114"/>
  <c r="F206"/>
  <c r="V33"/>
  <c r="U25"/>
  <c r="AD240"/>
  <c r="AC239"/>
  <c r="AD239" s="1"/>
  <c r="AC202"/>
  <c r="AD202" s="1"/>
  <c r="AD142"/>
  <c r="AC195"/>
  <c r="AD195" s="1"/>
  <c r="AD135"/>
  <c r="N25"/>
  <c r="N185"/>
  <c r="M189"/>
  <c r="N189" s="1"/>
  <c r="M204"/>
  <c r="N93"/>
  <c r="M86"/>
  <c r="N86" s="1"/>
  <c r="AD117"/>
  <c r="AC110"/>
  <c r="AD110" s="1"/>
  <c r="AC190"/>
  <c r="AD190" s="1"/>
  <c r="AD130"/>
  <c r="M165"/>
  <c r="N165" s="1"/>
  <c r="N164"/>
  <c r="U205"/>
  <c r="V205" s="1"/>
  <c r="V166"/>
  <c r="AD81"/>
  <c r="AD46"/>
  <c r="AC33"/>
  <c r="AD245"/>
  <c r="U164"/>
  <c r="V163"/>
  <c r="AC184"/>
  <c r="AD184" s="1"/>
  <c r="AD183"/>
  <c r="AC12"/>
  <c r="AD11"/>
  <c r="AD177"/>
  <c r="V106"/>
  <c r="U93"/>
  <c r="AD108"/>
  <c r="AC106"/>
  <c r="U13"/>
  <c r="V13" s="1"/>
  <c r="V12"/>
  <c r="AC166"/>
  <c r="AC222"/>
  <c r="AD222" s="1"/>
  <c r="U244"/>
  <c r="M249"/>
  <c r="N249" s="1"/>
  <c r="U58"/>
  <c r="AC246"/>
  <c r="AD246" s="1"/>
  <c r="AA210"/>
  <c r="AA206"/>
  <c r="AC162"/>
  <c r="AD162" s="1"/>
  <c r="AD161"/>
  <c r="AC145"/>
  <c r="AD145" s="1"/>
  <c r="AD14"/>
  <c r="AC163"/>
  <c r="AD160"/>
  <c r="R48" i="96"/>
  <c r="P48"/>
  <c r="N48"/>
  <c r="M48"/>
  <c r="R46"/>
  <c r="P46"/>
  <c r="N46"/>
  <c r="M46"/>
  <c r="V52" i="93"/>
  <c r="V51"/>
  <c r="V50"/>
  <c r="V49"/>
  <c r="V48"/>
  <c r="V47"/>
  <c r="V46"/>
  <c r="V45"/>
  <c r="V44"/>
  <c r="R52"/>
  <c r="Q52"/>
  <c r="R51"/>
  <c r="Q51"/>
  <c r="R50"/>
  <c r="Q50"/>
  <c r="R49"/>
  <c r="Q49"/>
  <c r="R48"/>
  <c r="Q48"/>
  <c r="R47"/>
  <c r="Q47"/>
  <c r="R46"/>
  <c r="Q46"/>
  <c r="R45"/>
  <c r="Q45"/>
  <c r="R44"/>
  <c r="Q44"/>
  <c r="M52"/>
  <c r="L52"/>
  <c r="M51"/>
  <c r="L51"/>
  <c r="M50"/>
  <c r="L50"/>
  <c r="M49"/>
  <c r="L49"/>
  <c r="M48"/>
  <c r="L48"/>
  <c r="M47"/>
  <c r="L47"/>
  <c r="M46"/>
  <c r="L46"/>
  <c r="M45"/>
  <c r="L45"/>
  <c r="M44"/>
  <c r="L44"/>
  <c r="M43"/>
  <c r="L43"/>
  <c r="H52"/>
  <c r="H51"/>
  <c r="H50"/>
  <c r="H49"/>
  <c r="H48"/>
  <c r="H47"/>
  <c r="H46"/>
  <c r="H45"/>
  <c r="H44"/>
  <c r="V43"/>
  <c r="R43"/>
  <c r="Q43"/>
  <c r="H43"/>
  <c r="V54"/>
  <c r="Q54"/>
  <c r="R54" s="1"/>
  <c r="L54"/>
  <c r="M54" s="1"/>
  <c r="H54"/>
  <c r="V35"/>
  <c r="Q35"/>
  <c r="R35" s="1"/>
  <c r="M35"/>
  <c r="L35"/>
  <c r="H35"/>
  <c r="U25" i="94"/>
  <c r="T25"/>
  <c r="S25"/>
  <c r="P25"/>
  <c r="O25"/>
  <c r="N25"/>
  <c r="K25"/>
  <c r="J25"/>
  <c r="I25"/>
  <c r="G25"/>
  <c r="F25"/>
  <c r="E25"/>
  <c r="D64"/>
  <c r="C64"/>
  <c r="B64"/>
  <c r="D63"/>
  <c r="C63"/>
  <c r="B63"/>
  <c r="D62"/>
  <c r="C62"/>
  <c r="B62"/>
  <c r="E62"/>
  <c r="F62" s="1"/>
  <c r="G62" s="1"/>
  <c r="E64"/>
  <c r="E63"/>
  <c r="E30"/>
  <c r="N27"/>
  <c r="E27"/>
  <c r="C191" i="93"/>
  <c r="C190"/>
  <c r="C186"/>
  <c r="U179"/>
  <c r="T179"/>
  <c r="S179"/>
  <c r="P179"/>
  <c r="O179"/>
  <c r="N179"/>
  <c r="K179"/>
  <c r="J179"/>
  <c r="I179"/>
  <c r="G179"/>
  <c r="F179"/>
  <c r="E179"/>
  <c r="D179"/>
  <c r="C179"/>
  <c r="B179"/>
  <c r="C168"/>
  <c r="C167"/>
  <c r="W163"/>
  <c r="AC58" i="114" l="1"/>
  <c r="Q69" i="117"/>
  <c r="Z65"/>
  <c r="Q67"/>
  <c r="Q79" i="115"/>
  <c r="Q80" s="1"/>
  <c r="Q77"/>
  <c r="Z76"/>
  <c r="AB74"/>
  <c r="AC74" s="1"/>
  <c r="AG40" i="117"/>
  <c r="AH40" s="1"/>
  <c r="AX40"/>
  <c r="L61"/>
  <c r="N61" s="1"/>
  <c r="O61" s="1"/>
  <c r="AE59"/>
  <c r="N59"/>
  <c r="O59" s="1"/>
  <c r="C65"/>
  <c r="L64"/>
  <c r="N63"/>
  <c r="O63" s="1"/>
  <c r="AE63"/>
  <c r="AZ44"/>
  <c r="BA44" s="1"/>
  <c r="BQ44"/>
  <c r="BS44" s="1"/>
  <c r="BT44" s="1"/>
  <c r="N74"/>
  <c r="O74" s="1"/>
  <c r="AE74"/>
  <c r="BQ51" i="115"/>
  <c r="AZ51"/>
  <c r="BA51" s="1"/>
  <c r="AX70"/>
  <c r="AZ55"/>
  <c r="BA55" s="1"/>
  <c r="BQ55"/>
  <c r="BS55" s="1"/>
  <c r="BT55" s="1"/>
  <c r="C79"/>
  <c r="C80" s="1"/>
  <c r="C77"/>
  <c r="AE74"/>
  <c r="AG74" s="1"/>
  <c r="AH74" s="1"/>
  <c r="AE72"/>
  <c r="AG72" s="1"/>
  <c r="AH72" s="1"/>
  <c r="AG70"/>
  <c r="AH70" s="1"/>
  <c r="L76"/>
  <c r="AE75"/>
  <c r="N75"/>
  <c r="O75" s="1"/>
  <c r="AY67" i="117"/>
  <c r="AY69"/>
  <c r="BR69" s="1"/>
  <c r="BR70" s="1"/>
  <c r="M119" i="116"/>
  <c r="U119" s="1"/>
  <c r="AC119" s="1"/>
  <c r="AC214"/>
  <c r="AD214" s="1"/>
  <c r="BP84" i="115"/>
  <c r="AF84"/>
  <c r="AY84" s="1"/>
  <c r="BR84" s="1"/>
  <c r="N84"/>
  <c r="O84" s="1"/>
  <c r="AE84"/>
  <c r="AU84"/>
  <c r="AV84" s="1"/>
  <c r="AD77"/>
  <c r="AD79"/>
  <c r="AD80" s="1"/>
  <c r="BQ12"/>
  <c r="BS12" s="1"/>
  <c r="BT12" s="1"/>
  <c r="AW67" i="117"/>
  <c r="BP67"/>
  <c r="AD70"/>
  <c r="AW69"/>
  <c r="BP69" s="1"/>
  <c r="BN69"/>
  <c r="BO69" s="1"/>
  <c r="BL70"/>
  <c r="BN70" s="1"/>
  <c r="BO70" s="1"/>
  <c r="AY70"/>
  <c r="N155" i="116"/>
  <c r="M176"/>
  <c r="U125"/>
  <c r="AD23"/>
  <c r="AA121"/>
  <c r="V15"/>
  <c r="AC15"/>
  <c r="AD15" s="1"/>
  <c r="AC171"/>
  <c r="AD136"/>
  <c r="AD171" s="1"/>
  <c r="V43"/>
  <c r="V151" s="1"/>
  <c r="AC43"/>
  <c r="AD43" s="1"/>
  <c r="U151"/>
  <c r="BR75" i="115"/>
  <c r="BR76" s="1"/>
  <c r="BQ71"/>
  <c r="BS71" s="1"/>
  <c r="BT71" s="1"/>
  <c r="BS14"/>
  <c r="BT14" s="1"/>
  <c r="AF77"/>
  <c r="AF79"/>
  <c r="AF80" s="1"/>
  <c r="BP79"/>
  <c r="BP80" s="1"/>
  <c r="AD106" i="114"/>
  <c r="AC93"/>
  <c r="V93"/>
  <c r="U86"/>
  <c r="V86" s="1"/>
  <c r="AD33"/>
  <c r="AC25"/>
  <c r="M210"/>
  <c r="N210" s="1"/>
  <c r="M206"/>
  <c r="N206" s="1"/>
  <c r="N204"/>
  <c r="AC164"/>
  <c r="AD163"/>
  <c r="V58"/>
  <c r="U49"/>
  <c r="V49" s="1"/>
  <c r="U249"/>
  <c r="V249" s="1"/>
  <c r="V244"/>
  <c r="AC205"/>
  <c r="AD205" s="1"/>
  <c r="AD166"/>
  <c r="AC13"/>
  <c r="AD13" s="1"/>
  <c r="AD12"/>
  <c r="U165"/>
  <c r="V165" s="1"/>
  <c r="V164"/>
  <c r="AD58"/>
  <c r="AC49"/>
  <c r="AD49" s="1"/>
  <c r="V25"/>
  <c r="AC244"/>
  <c r="M144"/>
  <c r="U185"/>
  <c r="O48" i="96"/>
  <c r="Q48" s="1"/>
  <c r="S48" s="1"/>
  <c r="O46"/>
  <c r="Q46" s="1"/>
  <c r="S46" s="1"/>
  <c r="K62" i="94"/>
  <c r="I62"/>
  <c r="J62"/>
  <c r="T63"/>
  <c r="P63"/>
  <c r="N63"/>
  <c r="J63"/>
  <c r="F63"/>
  <c r="G63" s="1"/>
  <c r="U63"/>
  <c r="S63"/>
  <c r="O63"/>
  <c r="K63"/>
  <c r="I63"/>
  <c r="L63" s="1"/>
  <c r="T62"/>
  <c r="P62"/>
  <c r="N62"/>
  <c r="U62"/>
  <c r="S62"/>
  <c r="O62"/>
  <c r="T64"/>
  <c r="P64"/>
  <c r="N64"/>
  <c r="J64"/>
  <c r="F64"/>
  <c r="G64" s="1"/>
  <c r="U64"/>
  <c r="S64"/>
  <c r="V64" s="1"/>
  <c r="O64"/>
  <c r="K64"/>
  <c r="W64" s="1"/>
  <c r="I64"/>
  <c r="U156" i="93"/>
  <c r="T156"/>
  <c r="S156"/>
  <c r="P156"/>
  <c r="O156"/>
  <c r="N156"/>
  <c r="K156"/>
  <c r="J156"/>
  <c r="I156"/>
  <c r="G156"/>
  <c r="F156"/>
  <c r="E156"/>
  <c r="D156"/>
  <c r="C156"/>
  <c r="B156"/>
  <c r="E30"/>
  <c r="N27"/>
  <c r="E27"/>
  <c r="D147"/>
  <c r="C147"/>
  <c r="B147"/>
  <c r="E147" s="1"/>
  <c r="T147" s="1"/>
  <c r="D139"/>
  <c r="D142"/>
  <c r="C142"/>
  <c r="B142"/>
  <c r="D141"/>
  <c r="C141"/>
  <c r="B141"/>
  <c r="E141" s="1"/>
  <c r="E142"/>
  <c r="U142" s="1"/>
  <c r="D140"/>
  <c r="D138" s="1"/>
  <c r="C140"/>
  <c r="B140"/>
  <c r="E140" s="1"/>
  <c r="C139"/>
  <c r="C138" s="1"/>
  <c r="B139"/>
  <c r="B138" s="1"/>
  <c r="D132"/>
  <c r="C132"/>
  <c r="B132"/>
  <c r="D134"/>
  <c r="D128"/>
  <c r="D129" s="1"/>
  <c r="C128"/>
  <c r="C130" s="1"/>
  <c r="B128"/>
  <c r="B129" s="1"/>
  <c r="E129" s="1"/>
  <c r="D127"/>
  <c r="C127"/>
  <c r="B127"/>
  <c r="D126"/>
  <c r="C126"/>
  <c r="B126"/>
  <c r="V123"/>
  <c r="U123"/>
  <c r="T123"/>
  <c r="S123"/>
  <c r="R123"/>
  <c r="Q123"/>
  <c r="P123"/>
  <c r="O123"/>
  <c r="N123"/>
  <c r="M123"/>
  <c r="L123"/>
  <c r="K123"/>
  <c r="J123"/>
  <c r="I123"/>
  <c r="H123"/>
  <c r="G123"/>
  <c r="F123"/>
  <c r="E123"/>
  <c r="D123"/>
  <c r="C123"/>
  <c r="B123"/>
  <c r="V122"/>
  <c r="U122"/>
  <c r="T122"/>
  <c r="S122"/>
  <c r="R122"/>
  <c r="Q122"/>
  <c r="P122"/>
  <c r="O122"/>
  <c r="N122"/>
  <c r="M122"/>
  <c r="L122"/>
  <c r="K122"/>
  <c r="J122"/>
  <c r="I122"/>
  <c r="H122"/>
  <c r="G122"/>
  <c r="F122"/>
  <c r="E122"/>
  <c r="D122"/>
  <c r="C122"/>
  <c r="B122"/>
  <c r="V121"/>
  <c r="U121"/>
  <c r="T121"/>
  <c r="S121"/>
  <c r="R121"/>
  <c r="Q121"/>
  <c r="P121"/>
  <c r="O121"/>
  <c r="N121"/>
  <c r="M121"/>
  <c r="L121"/>
  <c r="K121"/>
  <c r="J121"/>
  <c r="I121"/>
  <c r="H121"/>
  <c r="G121"/>
  <c r="F121"/>
  <c r="E121"/>
  <c r="D121"/>
  <c r="C121"/>
  <c r="B121"/>
  <c r="V120"/>
  <c r="U120"/>
  <c r="T120"/>
  <c r="S120"/>
  <c r="R120"/>
  <c r="Q120"/>
  <c r="P120"/>
  <c r="O120"/>
  <c r="N120"/>
  <c r="M120"/>
  <c r="L120"/>
  <c r="K120"/>
  <c r="J120"/>
  <c r="I120"/>
  <c r="H120"/>
  <c r="G120"/>
  <c r="F120"/>
  <c r="E120"/>
  <c r="D120"/>
  <c r="C120"/>
  <c r="B120"/>
  <c r="V119"/>
  <c r="U119"/>
  <c r="T119"/>
  <c r="S119"/>
  <c r="R119"/>
  <c r="Q119"/>
  <c r="P119"/>
  <c r="O119"/>
  <c r="N119"/>
  <c r="M119"/>
  <c r="L119"/>
  <c r="K119"/>
  <c r="J119"/>
  <c r="I119"/>
  <c r="H119"/>
  <c r="G119"/>
  <c r="F119"/>
  <c r="E119"/>
  <c r="D119"/>
  <c r="C119"/>
  <c r="B119"/>
  <c r="V118"/>
  <c r="U118"/>
  <c r="T118"/>
  <c r="S118"/>
  <c r="R118"/>
  <c r="Q118"/>
  <c r="P118"/>
  <c r="O118"/>
  <c r="N118"/>
  <c r="M118"/>
  <c r="L118"/>
  <c r="K118"/>
  <c r="J118"/>
  <c r="I118"/>
  <c r="H118"/>
  <c r="G118"/>
  <c r="F118"/>
  <c r="E118"/>
  <c r="D118"/>
  <c r="C118"/>
  <c r="B118"/>
  <c r="V117"/>
  <c r="U117"/>
  <c r="T117"/>
  <c r="S117"/>
  <c r="R117"/>
  <c r="Q117"/>
  <c r="P117"/>
  <c r="O117"/>
  <c r="N117"/>
  <c r="M117"/>
  <c r="L117"/>
  <c r="K117"/>
  <c r="J117"/>
  <c r="I117"/>
  <c r="H117"/>
  <c r="G117"/>
  <c r="F117"/>
  <c r="E117"/>
  <c r="D117"/>
  <c r="C117"/>
  <c r="B117"/>
  <c r="V116"/>
  <c r="U116"/>
  <c r="T116"/>
  <c r="S116"/>
  <c r="R116"/>
  <c r="Q116"/>
  <c r="P116"/>
  <c r="O116"/>
  <c r="N116"/>
  <c r="M116"/>
  <c r="L116"/>
  <c r="K116"/>
  <c r="J116"/>
  <c r="I116"/>
  <c r="H116"/>
  <c r="G116"/>
  <c r="F116"/>
  <c r="E116"/>
  <c r="D116"/>
  <c r="C116"/>
  <c r="B116"/>
  <c r="V115"/>
  <c r="U115"/>
  <c r="T115"/>
  <c r="S115"/>
  <c r="R115"/>
  <c r="Q115"/>
  <c r="P115"/>
  <c r="O115"/>
  <c r="N115"/>
  <c r="M115"/>
  <c r="L115"/>
  <c r="K115"/>
  <c r="J115"/>
  <c r="I115"/>
  <c r="H115"/>
  <c r="G115"/>
  <c r="F115"/>
  <c r="E115"/>
  <c r="D115"/>
  <c r="C115"/>
  <c r="B115"/>
  <c r="V114"/>
  <c r="U114"/>
  <c r="T114"/>
  <c r="S114"/>
  <c r="R114"/>
  <c r="Q114"/>
  <c r="P114"/>
  <c r="O114"/>
  <c r="N114"/>
  <c r="M114"/>
  <c r="L114"/>
  <c r="K114"/>
  <c r="J114"/>
  <c r="I114"/>
  <c r="H114"/>
  <c r="G114"/>
  <c r="F114"/>
  <c r="E114"/>
  <c r="D114"/>
  <c r="C114"/>
  <c r="B114"/>
  <c r="D107"/>
  <c r="C107"/>
  <c r="B107"/>
  <c r="D88"/>
  <c r="C88"/>
  <c r="B88"/>
  <c r="V106"/>
  <c r="U106"/>
  <c r="T106"/>
  <c r="S106"/>
  <c r="R106"/>
  <c r="Q106"/>
  <c r="P106"/>
  <c r="O106"/>
  <c r="N106"/>
  <c r="M106"/>
  <c r="L106"/>
  <c r="K106"/>
  <c r="J106"/>
  <c r="I106"/>
  <c r="H106"/>
  <c r="G106"/>
  <c r="F106"/>
  <c r="E106"/>
  <c r="D106"/>
  <c r="C106"/>
  <c r="B106"/>
  <c r="V105"/>
  <c r="U105"/>
  <c r="T105"/>
  <c r="S105"/>
  <c r="R105"/>
  <c r="Q105"/>
  <c r="P105"/>
  <c r="O105"/>
  <c r="N105"/>
  <c r="M105"/>
  <c r="L105"/>
  <c r="K105"/>
  <c r="J105"/>
  <c r="I105"/>
  <c r="H105"/>
  <c r="G105"/>
  <c r="F105"/>
  <c r="E105"/>
  <c r="D105"/>
  <c r="C105"/>
  <c r="B105"/>
  <c r="V104"/>
  <c r="U104"/>
  <c r="T104"/>
  <c r="S104"/>
  <c r="R104"/>
  <c r="Q104"/>
  <c r="P104"/>
  <c r="O104"/>
  <c r="N104"/>
  <c r="M104"/>
  <c r="L104"/>
  <c r="K104"/>
  <c r="J104"/>
  <c r="I104"/>
  <c r="H104"/>
  <c r="G104"/>
  <c r="F104"/>
  <c r="E104"/>
  <c r="D104"/>
  <c r="C104"/>
  <c r="B104"/>
  <c r="V103"/>
  <c r="U103"/>
  <c r="T103"/>
  <c r="S103"/>
  <c r="R103"/>
  <c r="Q103"/>
  <c r="P103"/>
  <c r="O103"/>
  <c r="N103"/>
  <c r="M103"/>
  <c r="L103"/>
  <c r="K103"/>
  <c r="J103"/>
  <c r="I103"/>
  <c r="H103"/>
  <c r="G103"/>
  <c r="F103"/>
  <c r="E103"/>
  <c r="D103"/>
  <c r="C103"/>
  <c r="B103"/>
  <c r="V102"/>
  <c r="U102"/>
  <c r="T102"/>
  <c r="S102"/>
  <c r="R102"/>
  <c r="Q102"/>
  <c r="P102"/>
  <c r="O102"/>
  <c r="N102"/>
  <c r="M102"/>
  <c r="L102"/>
  <c r="K102"/>
  <c r="J102"/>
  <c r="I102"/>
  <c r="H102"/>
  <c r="G102"/>
  <c r="F102"/>
  <c r="E102"/>
  <c r="D102"/>
  <c r="C102"/>
  <c r="B102"/>
  <c r="V101"/>
  <c r="U101"/>
  <c r="T101"/>
  <c r="S101"/>
  <c r="R101"/>
  <c r="Q101"/>
  <c r="P101"/>
  <c r="O101"/>
  <c r="N101"/>
  <c r="M101"/>
  <c r="L101"/>
  <c r="K101"/>
  <c r="J101"/>
  <c r="I101"/>
  <c r="H101"/>
  <c r="G101"/>
  <c r="F101"/>
  <c r="E101"/>
  <c r="D101"/>
  <c r="C101"/>
  <c r="B101"/>
  <c r="V100"/>
  <c r="U100"/>
  <c r="T100"/>
  <c r="S100"/>
  <c r="R100"/>
  <c r="Q100"/>
  <c r="P100"/>
  <c r="O100"/>
  <c r="N100"/>
  <c r="M100"/>
  <c r="L100"/>
  <c r="K100"/>
  <c r="J100"/>
  <c r="I100"/>
  <c r="H100"/>
  <c r="G100"/>
  <c r="F100"/>
  <c r="E100"/>
  <c r="D100"/>
  <c r="C100"/>
  <c r="B100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V42"/>
  <c r="U42"/>
  <c r="T42"/>
  <c r="S42"/>
  <c r="R42"/>
  <c r="Q42"/>
  <c r="P42"/>
  <c r="O42"/>
  <c r="N42"/>
  <c r="M42"/>
  <c r="L42"/>
  <c r="K42"/>
  <c r="J42"/>
  <c r="I42"/>
  <c r="H42"/>
  <c r="G42"/>
  <c r="F42"/>
  <c r="D62"/>
  <c r="C62"/>
  <c r="B62"/>
  <c r="D53"/>
  <c r="C53"/>
  <c r="B53"/>
  <c r="U52"/>
  <c r="T52"/>
  <c r="S52"/>
  <c r="U51"/>
  <c r="T51"/>
  <c r="S51"/>
  <c r="U50"/>
  <c r="T50"/>
  <c r="S50"/>
  <c r="U49"/>
  <c r="T49"/>
  <c r="S49"/>
  <c r="U48"/>
  <c r="T48"/>
  <c r="S48"/>
  <c r="U47"/>
  <c r="T47"/>
  <c r="S47"/>
  <c r="U46"/>
  <c r="T46"/>
  <c r="S46"/>
  <c r="U45"/>
  <c r="T45"/>
  <c r="S45"/>
  <c r="U44"/>
  <c r="T44"/>
  <c r="S44"/>
  <c r="U43"/>
  <c r="T43"/>
  <c r="S43"/>
  <c r="P52"/>
  <c r="O52"/>
  <c r="N52"/>
  <c r="P51"/>
  <c r="O51"/>
  <c r="N51"/>
  <c r="P50"/>
  <c r="O50"/>
  <c r="N50"/>
  <c r="P49"/>
  <c r="O49"/>
  <c r="N49"/>
  <c r="P48"/>
  <c r="O48"/>
  <c r="N48"/>
  <c r="P47"/>
  <c r="O47"/>
  <c r="N47"/>
  <c r="P46"/>
  <c r="O46"/>
  <c r="N46"/>
  <c r="P45"/>
  <c r="O45"/>
  <c r="N45"/>
  <c r="P44"/>
  <c r="O44"/>
  <c r="N44"/>
  <c r="P43"/>
  <c r="O43"/>
  <c r="N43"/>
  <c r="K52"/>
  <c r="J52"/>
  <c r="I52"/>
  <c r="K51"/>
  <c r="J51"/>
  <c r="I51"/>
  <c r="K50"/>
  <c r="J50"/>
  <c r="I50"/>
  <c r="K49"/>
  <c r="J49"/>
  <c r="I49"/>
  <c r="K48"/>
  <c r="J48"/>
  <c r="I48"/>
  <c r="K47"/>
  <c r="J47"/>
  <c r="I47"/>
  <c r="K46"/>
  <c r="J46"/>
  <c r="I46"/>
  <c r="K45"/>
  <c r="J45"/>
  <c r="I45"/>
  <c r="K44"/>
  <c r="J44"/>
  <c r="I44"/>
  <c r="K43"/>
  <c r="J43"/>
  <c r="I43"/>
  <c r="G52"/>
  <c r="F52"/>
  <c r="E52"/>
  <c r="G51"/>
  <c r="F51"/>
  <c r="E51"/>
  <c r="G50"/>
  <c r="F50"/>
  <c r="E50"/>
  <c r="G49"/>
  <c r="F49"/>
  <c r="E49"/>
  <c r="G48"/>
  <c r="F48"/>
  <c r="E48"/>
  <c r="G47"/>
  <c r="F47"/>
  <c r="E47"/>
  <c r="G46"/>
  <c r="F46"/>
  <c r="E46"/>
  <c r="G45"/>
  <c r="F45"/>
  <c r="E45"/>
  <c r="G44"/>
  <c r="F44"/>
  <c r="E44"/>
  <c r="G43"/>
  <c r="F43"/>
  <c r="E43"/>
  <c r="E42"/>
  <c r="D42"/>
  <c r="C42"/>
  <c r="B42"/>
  <c r="D34"/>
  <c r="C34"/>
  <c r="B34"/>
  <c r="D52"/>
  <c r="C52"/>
  <c r="B52"/>
  <c r="D51"/>
  <c r="C51"/>
  <c r="B51"/>
  <c r="D50"/>
  <c r="C50"/>
  <c r="B50"/>
  <c r="D49"/>
  <c r="C49"/>
  <c r="B49"/>
  <c r="D48"/>
  <c r="C48"/>
  <c r="B48"/>
  <c r="D47"/>
  <c r="C47"/>
  <c r="B47"/>
  <c r="D46"/>
  <c r="C46"/>
  <c r="B46"/>
  <c r="D45"/>
  <c r="C45"/>
  <c r="B45"/>
  <c r="D44"/>
  <c r="C44"/>
  <c r="B44"/>
  <c r="D43"/>
  <c r="C43"/>
  <c r="M121" i="116" l="1"/>
  <c r="Q70" i="117"/>
  <c r="Z69"/>
  <c r="Z67"/>
  <c r="AB67" s="1"/>
  <c r="AC67" s="1"/>
  <c r="AB65"/>
  <c r="AC65" s="1"/>
  <c r="Z79" i="115"/>
  <c r="AB76"/>
  <c r="AC76" s="1"/>
  <c r="Z77"/>
  <c r="AB77" s="1"/>
  <c r="AC77" s="1"/>
  <c r="AG74" i="117"/>
  <c r="AH74" s="1"/>
  <c r="AX74"/>
  <c r="AX63"/>
  <c r="AG63"/>
  <c r="AH63" s="1"/>
  <c r="N64"/>
  <c r="O64" s="1"/>
  <c r="AE64"/>
  <c r="C69"/>
  <c r="C66"/>
  <c r="C67"/>
  <c r="L65"/>
  <c r="AG59"/>
  <c r="AH59" s="1"/>
  <c r="AX59"/>
  <c r="AE61"/>
  <c r="AG61" s="1"/>
  <c r="AH61" s="1"/>
  <c r="BQ40"/>
  <c r="BS40" s="1"/>
  <c r="BT40" s="1"/>
  <c r="AZ40"/>
  <c r="BA40" s="1"/>
  <c r="L77" i="115"/>
  <c r="N77" s="1"/>
  <c r="O77" s="1"/>
  <c r="N76"/>
  <c r="O76" s="1"/>
  <c r="L79"/>
  <c r="AX74"/>
  <c r="AZ74" s="1"/>
  <c r="BA74" s="1"/>
  <c r="AX72"/>
  <c r="AZ72" s="1"/>
  <c r="BA72" s="1"/>
  <c r="AZ70"/>
  <c r="BA70" s="1"/>
  <c r="BS51"/>
  <c r="BT51" s="1"/>
  <c r="BQ70"/>
  <c r="BQ72" s="1"/>
  <c r="BS72" s="1"/>
  <c r="BT72" s="1"/>
  <c r="AE76"/>
  <c r="AG75"/>
  <c r="AH75" s="1"/>
  <c r="AX75"/>
  <c r="AX84"/>
  <c r="AG84"/>
  <c r="AH84" s="1"/>
  <c r="BQ13"/>
  <c r="BS13" s="1"/>
  <c r="BT13" s="1"/>
  <c r="AW70" i="117"/>
  <c r="BP70"/>
  <c r="U155" i="116"/>
  <c r="U170"/>
  <c r="U172" s="1"/>
  <c r="U121"/>
  <c r="AC151"/>
  <c r="V155"/>
  <c r="AC121"/>
  <c r="U176"/>
  <c r="AC125"/>
  <c r="AD151"/>
  <c r="AY77" i="115"/>
  <c r="AY79"/>
  <c r="AY80" s="1"/>
  <c r="BR77"/>
  <c r="BR79"/>
  <c r="BR80" s="1"/>
  <c r="N144" i="114"/>
  <c r="N150" s="1"/>
  <c r="M150"/>
  <c r="M146"/>
  <c r="N146" s="1"/>
  <c r="AD93"/>
  <c r="AC86"/>
  <c r="AD86" s="1"/>
  <c r="V185"/>
  <c r="U189"/>
  <c r="V189" s="1"/>
  <c r="U204"/>
  <c r="AC249"/>
  <c r="AD249" s="1"/>
  <c r="AD244"/>
  <c r="AC165"/>
  <c r="AD165" s="1"/>
  <c r="AD164"/>
  <c r="AC144"/>
  <c r="AD25"/>
  <c r="U144"/>
  <c r="AC185"/>
  <c r="H64" i="94"/>
  <c r="Q64"/>
  <c r="L62"/>
  <c r="Q62"/>
  <c r="L64"/>
  <c r="M64" s="1"/>
  <c r="R64" s="1"/>
  <c r="V63"/>
  <c r="W63"/>
  <c r="H63"/>
  <c r="M63" s="1"/>
  <c r="Q63"/>
  <c r="V62"/>
  <c r="T140" i="93"/>
  <c r="P140"/>
  <c r="N140"/>
  <c r="J140"/>
  <c r="U140"/>
  <c r="S140"/>
  <c r="O140"/>
  <c r="Q140" s="1"/>
  <c r="K140"/>
  <c r="I140"/>
  <c r="F140"/>
  <c r="G140" s="1"/>
  <c r="I147"/>
  <c r="K147"/>
  <c r="O147"/>
  <c r="S147"/>
  <c r="V147" s="1"/>
  <c r="U147"/>
  <c r="F147"/>
  <c r="G147" s="1"/>
  <c r="J147"/>
  <c r="N147"/>
  <c r="P147"/>
  <c r="F141"/>
  <c r="T141"/>
  <c r="P141"/>
  <c r="N141"/>
  <c r="J141"/>
  <c r="U141"/>
  <c r="S141"/>
  <c r="O141"/>
  <c r="K141"/>
  <c r="I141"/>
  <c r="F142"/>
  <c r="G142" s="1"/>
  <c r="J142"/>
  <c r="N142"/>
  <c r="P142"/>
  <c r="T142"/>
  <c r="I142"/>
  <c r="K142"/>
  <c r="O142"/>
  <c r="Q142" s="1"/>
  <c r="S142"/>
  <c r="G141"/>
  <c r="H141" s="1"/>
  <c r="H140"/>
  <c r="H142"/>
  <c r="C129"/>
  <c r="B130"/>
  <c r="E130" s="1"/>
  <c r="D130"/>
  <c r="B43"/>
  <c r="D55"/>
  <c r="C55"/>
  <c r="B55"/>
  <c r="U42" i="113"/>
  <c r="T42"/>
  <c r="S42"/>
  <c r="P42"/>
  <c r="O42"/>
  <c r="N42"/>
  <c r="K42"/>
  <c r="J42"/>
  <c r="I42"/>
  <c r="G42"/>
  <c r="F42"/>
  <c r="E42"/>
  <c r="C54"/>
  <c r="C52"/>
  <c r="C50"/>
  <c r="D50" s="1"/>
  <c r="C49"/>
  <c r="C48"/>
  <c r="D48" s="1"/>
  <c r="C47"/>
  <c r="C46"/>
  <c r="C45"/>
  <c r="C44"/>
  <c r="C43"/>
  <c r="C41"/>
  <c r="C40"/>
  <c r="D40" s="1"/>
  <c r="C39"/>
  <c r="C38"/>
  <c r="C37"/>
  <c r="C36"/>
  <c r="C35"/>
  <c r="D35" s="1"/>
  <c r="C34"/>
  <c r="C33"/>
  <c r="D33"/>
  <c r="C31"/>
  <c r="D31" s="1"/>
  <c r="C28"/>
  <c r="C27"/>
  <c r="D27" s="1"/>
  <c r="C26"/>
  <c r="C25"/>
  <c r="D25" s="1"/>
  <c r="C24"/>
  <c r="C23"/>
  <c r="D23" s="1"/>
  <c r="C22"/>
  <c r="C21"/>
  <c r="D21" s="1"/>
  <c r="C20"/>
  <c r="C19"/>
  <c r="D19" s="1"/>
  <c r="C18"/>
  <c r="C17"/>
  <c r="C11"/>
  <c r="C10"/>
  <c r="C9"/>
  <c r="C8"/>
  <c r="C7"/>
  <c r="C6"/>
  <c r="D10"/>
  <c r="C36" i="112"/>
  <c r="C35"/>
  <c r="C34"/>
  <c r="E45" i="113"/>
  <c r="D54"/>
  <c r="D53" s="1"/>
  <c r="C53"/>
  <c r="D52"/>
  <c r="D51" s="1"/>
  <c r="C51"/>
  <c r="D46"/>
  <c r="D49"/>
  <c r="D47"/>
  <c r="D45"/>
  <c r="D44"/>
  <c r="D43"/>
  <c r="D41"/>
  <c r="D38"/>
  <c r="D39"/>
  <c r="D36"/>
  <c r="D34"/>
  <c r="D30"/>
  <c r="D29"/>
  <c r="D28"/>
  <c r="D26"/>
  <c r="D24"/>
  <c r="D22"/>
  <c r="D20"/>
  <c r="D18"/>
  <c r="E17"/>
  <c r="B59"/>
  <c r="B64"/>
  <c r="B63"/>
  <c r="B61"/>
  <c r="B58"/>
  <c r="B57"/>
  <c r="B56"/>
  <c r="B46"/>
  <c r="B54"/>
  <c r="B52"/>
  <c r="B50"/>
  <c r="B49"/>
  <c r="B48"/>
  <c r="B47"/>
  <c r="B45"/>
  <c r="B20"/>
  <c r="B27"/>
  <c r="B28"/>
  <c r="B34"/>
  <c r="B26"/>
  <c r="B25"/>
  <c r="B41"/>
  <c r="B40"/>
  <c r="B39"/>
  <c r="B38"/>
  <c r="B36"/>
  <c r="B35"/>
  <c r="B33"/>
  <c r="B31"/>
  <c r="B24"/>
  <c r="B23"/>
  <c r="B22"/>
  <c r="B21"/>
  <c r="B19"/>
  <c r="B18"/>
  <c r="B17"/>
  <c r="B10"/>
  <c r="B13"/>
  <c r="B12"/>
  <c r="B9"/>
  <c r="B8"/>
  <c r="B15"/>
  <c r="B7"/>
  <c r="B6"/>
  <c r="E6"/>
  <c r="D55"/>
  <c r="C55"/>
  <c r="D42"/>
  <c r="C42"/>
  <c r="D16"/>
  <c r="C16"/>
  <c r="D5"/>
  <c r="C5"/>
  <c r="B55"/>
  <c r="B42"/>
  <c r="B16"/>
  <c r="B5"/>
  <c r="Z70" i="117" l="1"/>
  <c r="AB70" s="1"/>
  <c r="AC70" s="1"/>
  <c r="AB69"/>
  <c r="AC69" s="1"/>
  <c r="Z80" i="115"/>
  <c r="AB80" s="1"/>
  <c r="AC80" s="1"/>
  <c r="AB79"/>
  <c r="AC79" s="1"/>
  <c r="L69" i="117"/>
  <c r="C70"/>
  <c r="AZ63"/>
  <c r="BA63" s="1"/>
  <c r="BQ63"/>
  <c r="BS63" s="1"/>
  <c r="BT63" s="1"/>
  <c r="AX61"/>
  <c r="AZ61" s="1"/>
  <c r="BA61" s="1"/>
  <c r="AZ59"/>
  <c r="BA59" s="1"/>
  <c r="BQ59"/>
  <c r="L67"/>
  <c r="N67" s="1"/>
  <c r="O67" s="1"/>
  <c r="AE65"/>
  <c r="N65"/>
  <c r="O65" s="1"/>
  <c r="AG64"/>
  <c r="AH64" s="1"/>
  <c r="AX64"/>
  <c r="AZ74"/>
  <c r="BA74" s="1"/>
  <c r="BQ74"/>
  <c r="BS74" s="1"/>
  <c r="BT74" s="1"/>
  <c r="N79" i="115"/>
  <c r="O79" s="1"/>
  <c r="L80"/>
  <c r="N80" s="1"/>
  <c r="O80" s="1"/>
  <c r="AX76"/>
  <c r="AZ75"/>
  <c r="BA75" s="1"/>
  <c r="BQ75"/>
  <c r="BS75" s="1"/>
  <c r="BT75" s="1"/>
  <c r="AG76"/>
  <c r="AH76" s="1"/>
  <c r="AE77"/>
  <c r="AG77" s="1"/>
  <c r="AH77" s="1"/>
  <c r="AE79"/>
  <c r="BQ74"/>
  <c r="BS70"/>
  <c r="BT70" s="1"/>
  <c r="AZ84"/>
  <c r="BA84" s="1"/>
  <c r="BQ84"/>
  <c r="BS84" s="1"/>
  <c r="BT84" s="1"/>
  <c r="AD155" i="116"/>
  <c r="AC155"/>
  <c r="AC170"/>
  <c r="AC172" s="1"/>
  <c r="AC176"/>
  <c r="AD185" i="114"/>
  <c r="AC189"/>
  <c r="AD189" s="1"/>
  <c r="AC204"/>
  <c r="U210"/>
  <c r="V210" s="1"/>
  <c r="U206"/>
  <c r="V206" s="1"/>
  <c r="V204"/>
  <c r="V144"/>
  <c r="V150" s="1"/>
  <c r="U150"/>
  <c r="U146"/>
  <c r="V146" s="1"/>
  <c r="AD144"/>
  <c r="AD150" s="1"/>
  <c r="AC150"/>
  <c r="AC146"/>
  <c r="AD146" s="1"/>
  <c r="W62" i="94"/>
  <c r="R63"/>
  <c r="H62"/>
  <c r="V142" i="93"/>
  <c r="V141"/>
  <c r="Q147"/>
  <c r="H147"/>
  <c r="L140"/>
  <c r="M140" s="1"/>
  <c r="R140" s="1"/>
  <c r="W140"/>
  <c r="V140"/>
  <c r="W147"/>
  <c r="L147"/>
  <c r="W141"/>
  <c r="W142"/>
  <c r="L142"/>
  <c r="M142" s="1"/>
  <c r="R142" s="1"/>
  <c r="L141"/>
  <c r="M141" s="1"/>
  <c r="Q141"/>
  <c r="D37" i="113"/>
  <c r="AE67" i="117" l="1"/>
  <c r="AG67" s="1"/>
  <c r="AH67" s="1"/>
  <c r="AG65"/>
  <c r="AH65" s="1"/>
  <c r="AX65"/>
  <c r="BQ61"/>
  <c r="BS61" s="1"/>
  <c r="BT61" s="1"/>
  <c r="BS59"/>
  <c r="BT59" s="1"/>
  <c r="L70"/>
  <c r="N70" s="1"/>
  <c r="O70" s="1"/>
  <c r="N69"/>
  <c r="O69" s="1"/>
  <c r="AE69"/>
  <c r="AZ64"/>
  <c r="BA64" s="1"/>
  <c r="BQ64"/>
  <c r="BS64" s="1"/>
  <c r="BT64" s="1"/>
  <c r="BS74" i="115"/>
  <c r="BT74" s="1"/>
  <c r="BQ76"/>
  <c r="AX77"/>
  <c r="AZ77" s="1"/>
  <c r="BA77" s="1"/>
  <c r="AZ76"/>
  <c r="BA76" s="1"/>
  <c r="AX79"/>
  <c r="AE80"/>
  <c r="AG80" s="1"/>
  <c r="AH80" s="1"/>
  <c r="AG79"/>
  <c r="AH79" s="1"/>
  <c r="AC210" i="114"/>
  <c r="AD210" s="1"/>
  <c r="AC206"/>
  <c r="AD206" s="1"/>
  <c r="AD204"/>
  <c r="M62" i="94"/>
  <c r="R141" i="93"/>
  <c r="M147"/>
  <c r="R147" s="1"/>
  <c r="K45" i="113"/>
  <c r="J45"/>
  <c r="I45"/>
  <c r="G45"/>
  <c r="F45"/>
  <c r="K44"/>
  <c r="J44"/>
  <c r="I44"/>
  <c r="G44"/>
  <c r="F44"/>
  <c r="E30"/>
  <c r="U30" s="1"/>
  <c r="E29"/>
  <c r="U29" s="1"/>
  <c r="B14"/>
  <c r="C14" s="1"/>
  <c r="C69" i="91"/>
  <c r="AX67" i="117" l="1"/>
  <c r="AZ67" s="1"/>
  <c r="BA67" s="1"/>
  <c r="BQ65"/>
  <c r="AZ65"/>
  <c r="BA65" s="1"/>
  <c r="AX69"/>
  <c r="AE70"/>
  <c r="AG70" s="1"/>
  <c r="AH70" s="1"/>
  <c r="AG69"/>
  <c r="AH69" s="1"/>
  <c r="AZ79" i="115"/>
  <c r="BA79" s="1"/>
  <c r="AX80"/>
  <c r="AZ80" s="1"/>
  <c r="BA80" s="1"/>
  <c r="BS76"/>
  <c r="BT76" s="1"/>
  <c r="BQ77"/>
  <c r="BS77" s="1"/>
  <c r="BT77" s="1"/>
  <c r="BQ79"/>
  <c r="R62" i="94"/>
  <c r="H44" i="113"/>
  <c r="L45"/>
  <c r="J30"/>
  <c r="P30"/>
  <c r="F30"/>
  <c r="N30"/>
  <c r="T30"/>
  <c r="L44"/>
  <c r="M44" s="1"/>
  <c r="H45"/>
  <c r="E12"/>
  <c r="C12"/>
  <c r="D12" s="1"/>
  <c r="E13"/>
  <c r="C13"/>
  <c r="E15"/>
  <c r="C15"/>
  <c r="B65"/>
  <c r="B66" s="1"/>
  <c r="B11"/>
  <c r="D14"/>
  <c r="N15"/>
  <c r="E64"/>
  <c r="C64"/>
  <c r="E24"/>
  <c r="F29"/>
  <c r="J29"/>
  <c r="N29"/>
  <c r="P29"/>
  <c r="T29"/>
  <c r="G30"/>
  <c r="H30" s="1"/>
  <c r="I30"/>
  <c r="K30"/>
  <c r="O30"/>
  <c r="S30"/>
  <c r="V30" s="1"/>
  <c r="B43"/>
  <c r="B44"/>
  <c r="G29"/>
  <c r="I29"/>
  <c r="K29"/>
  <c r="O29"/>
  <c r="S29"/>
  <c r="E39" i="91"/>
  <c r="E40" i="92" s="1"/>
  <c r="E40" i="91"/>
  <c r="E41" i="92" s="1"/>
  <c r="F39" i="91"/>
  <c r="N37"/>
  <c r="N38" i="92" s="1"/>
  <c r="E37" i="91"/>
  <c r="E38" i="92" s="1"/>
  <c r="C218" i="91"/>
  <c r="C217"/>
  <c r="D213"/>
  <c r="C213"/>
  <c r="C195"/>
  <c r="C194"/>
  <c r="D174"/>
  <c r="C174"/>
  <c r="B174"/>
  <c r="D168"/>
  <c r="D76" i="92" s="1"/>
  <c r="C168" i="91"/>
  <c r="C76" i="92" s="1"/>
  <c r="B168" i="91"/>
  <c r="D167"/>
  <c r="D75" i="92" s="1"/>
  <c r="C167" i="91"/>
  <c r="C75" i="92" s="1"/>
  <c r="B167" i="91"/>
  <c r="B75" i="92" s="1"/>
  <c r="E75" s="1"/>
  <c r="U75" s="1"/>
  <c r="D162" i="91"/>
  <c r="B158"/>
  <c r="D154"/>
  <c r="C154"/>
  <c r="B154"/>
  <c r="B155" s="1"/>
  <c r="E155" s="1"/>
  <c r="D153"/>
  <c r="C153"/>
  <c r="B153"/>
  <c r="D152"/>
  <c r="C152"/>
  <c r="B152"/>
  <c r="D151"/>
  <c r="C151"/>
  <c r="B151"/>
  <c r="V148"/>
  <c r="U148"/>
  <c r="T148"/>
  <c r="S148"/>
  <c r="R148"/>
  <c r="Q148"/>
  <c r="P148"/>
  <c r="O148"/>
  <c r="N148"/>
  <c r="M148"/>
  <c r="L148"/>
  <c r="K148"/>
  <c r="J148"/>
  <c r="I148"/>
  <c r="H148"/>
  <c r="G148"/>
  <c r="F148"/>
  <c r="E148"/>
  <c r="C148"/>
  <c r="B148"/>
  <c r="D129"/>
  <c r="C129"/>
  <c r="B129"/>
  <c r="D105"/>
  <c r="C105"/>
  <c r="B105"/>
  <c r="V120"/>
  <c r="U120"/>
  <c r="T120"/>
  <c r="S120"/>
  <c r="R120"/>
  <c r="Q120"/>
  <c r="P120"/>
  <c r="O120"/>
  <c r="N120"/>
  <c r="M120"/>
  <c r="L120"/>
  <c r="K120"/>
  <c r="J120"/>
  <c r="I120"/>
  <c r="H120"/>
  <c r="G120"/>
  <c r="F120"/>
  <c r="E120"/>
  <c r="C120"/>
  <c r="B120"/>
  <c r="M114"/>
  <c r="L114"/>
  <c r="K114"/>
  <c r="J114"/>
  <c r="I114"/>
  <c r="H114"/>
  <c r="G114"/>
  <c r="F114"/>
  <c r="E114"/>
  <c r="O96"/>
  <c r="N96"/>
  <c r="K96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C92"/>
  <c r="B92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C91"/>
  <c r="B91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C90"/>
  <c r="B90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C63"/>
  <c r="B63"/>
  <c r="M54"/>
  <c r="L54"/>
  <c r="K54"/>
  <c r="J54"/>
  <c r="I54"/>
  <c r="H54"/>
  <c r="G54"/>
  <c r="F54"/>
  <c r="E54"/>
  <c r="D77"/>
  <c r="D68"/>
  <c r="C68"/>
  <c r="C44"/>
  <c r="B68"/>
  <c r="D44"/>
  <c r="B44"/>
  <c r="AZ69" i="117" l="1"/>
  <c r="BA69" s="1"/>
  <c r="BQ69"/>
  <c r="AX70"/>
  <c r="AZ70" s="1"/>
  <c r="BA70" s="1"/>
  <c r="BQ67"/>
  <c r="BS67" s="1"/>
  <c r="BT67" s="1"/>
  <c r="BS65"/>
  <c r="BT65" s="1"/>
  <c r="BS79" i="115"/>
  <c r="BT79" s="1"/>
  <c r="BQ80"/>
  <c r="BS80" s="1"/>
  <c r="BT80" s="1"/>
  <c r="E168" i="91"/>
  <c r="B76" i="92"/>
  <c r="E76" s="1"/>
  <c r="E167" i="91"/>
  <c r="J75" i="92"/>
  <c r="T75"/>
  <c r="K75"/>
  <c r="S75"/>
  <c r="P75"/>
  <c r="F75"/>
  <c r="G75" s="1"/>
  <c r="N75"/>
  <c r="I75"/>
  <c r="O75"/>
  <c r="H29" i="113"/>
  <c r="C65"/>
  <c r="C66" s="1"/>
  <c r="M45"/>
  <c r="N45" s="1"/>
  <c r="Q30"/>
  <c r="V29"/>
  <c r="D15"/>
  <c r="N63"/>
  <c r="B62"/>
  <c r="E63"/>
  <c r="C63"/>
  <c r="E59"/>
  <c r="C59"/>
  <c r="C57"/>
  <c r="E43"/>
  <c r="E46"/>
  <c r="E48"/>
  <c r="E50"/>
  <c r="B53"/>
  <c r="E54"/>
  <c r="E22"/>
  <c r="E20"/>
  <c r="E9"/>
  <c r="D7"/>
  <c r="T45"/>
  <c r="U45"/>
  <c r="S45"/>
  <c r="P45"/>
  <c r="O45"/>
  <c r="E34"/>
  <c r="E36"/>
  <c r="E39"/>
  <c r="E41"/>
  <c r="E25"/>
  <c r="E27"/>
  <c r="E31"/>
  <c r="U15"/>
  <c r="S15"/>
  <c r="O15"/>
  <c r="O14" s="1"/>
  <c r="K15"/>
  <c r="K14" s="1"/>
  <c r="I15"/>
  <c r="G15"/>
  <c r="G14" s="1"/>
  <c r="J15"/>
  <c r="J14" s="1"/>
  <c r="F15"/>
  <c r="F14" s="1"/>
  <c r="T15"/>
  <c r="T14" s="1"/>
  <c r="P15"/>
  <c r="P14" s="1"/>
  <c r="E14"/>
  <c r="H15"/>
  <c r="U12"/>
  <c r="S12"/>
  <c r="O12"/>
  <c r="K12"/>
  <c r="I12"/>
  <c r="G12"/>
  <c r="T12"/>
  <c r="E11"/>
  <c r="N12"/>
  <c r="J12"/>
  <c r="F12"/>
  <c r="P12"/>
  <c r="L29"/>
  <c r="M29" s="1"/>
  <c r="L30"/>
  <c r="M30" s="1"/>
  <c r="Q29"/>
  <c r="D64"/>
  <c r="W30"/>
  <c r="D13"/>
  <c r="B60"/>
  <c r="E61"/>
  <c r="C61"/>
  <c r="D61" s="1"/>
  <c r="D60" s="1"/>
  <c r="E58"/>
  <c r="C58"/>
  <c r="D58" s="1"/>
  <c r="E56"/>
  <c r="C56"/>
  <c r="D56" s="1"/>
  <c r="N44"/>
  <c r="T24"/>
  <c r="P24"/>
  <c r="N24"/>
  <c r="J24"/>
  <c r="F24"/>
  <c r="U24"/>
  <c r="S24"/>
  <c r="O24"/>
  <c r="K24"/>
  <c r="I24"/>
  <c r="G24"/>
  <c r="T64"/>
  <c r="P64"/>
  <c r="N64"/>
  <c r="J64"/>
  <c r="F64"/>
  <c r="U64"/>
  <c r="S64"/>
  <c r="O64"/>
  <c r="K64"/>
  <c r="I64"/>
  <c r="G64"/>
  <c r="E47"/>
  <c r="E49"/>
  <c r="B51"/>
  <c r="E52"/>
  <c r="E21"/>
  <c r="E19"/>
  <c r="N14"/>
  <c r="E10"/>
  <c r="E8"/>
  <c r="D8"/>
  <c r="D6"/>
  <c r="E35"/>
  <c r="U38"/>
  <c r="S38"/>
  <c r="O38"/>
  <c r="K38"/>
  <c r="I38"/>
  <c r="G38"/>
  <c r="E38"/>
  <c r="T38"/>
  <c r="P38"/>
  <c r="N38"/>
  <c r="J38"/>
  <c r="F38"/>
  <c r="B37"/>
  <c r="E40"/>
  <c r="E23"/>
  <c r="E26"/>
  <c r="E28"/>
  <c r="S33"/>
  <c r="J33"/>
  <c r="F33"/>
  <c r="B32"/>
  <c r="T33"/>
  <c r="P33"/>
  <c r="I33"/>
  <c r="G33"/>
  <c r="E33"/>
  <c r="C32"/>
  <c r="U13"/>
  <c r="S13"/>
  <c r="O13"/>
  <c r="K13"/>
  <c r="I13"/>
  <c r="G13"/>
  <c r="T13"/>
  <c r="N13"/>
  <c r="J13"/>
  <c r="F13"/>
  <c r="P13"/>
  <c r="D65"/>
  <c r="D66" s="1"/>
  <c r="W29"/>
  <c r="Q75" i="92"/>
  <c r="H75"/>
  <c r="L75"/>
  <c r="V75"/>
  <c r="W75"/>
  <c r="T168" i="91"/>
  <c r="P168"/>
  <c r="N168"/>
  <c r="J168"/>
  <c r="F168"/>
  <c r="G168" s="1"/>
  <c r="U168"/>
  <c r="S168"/>
  <c r="O168"/>
  <c r="K168"/>
  <c r="I168"/>
  <c r="I167"/>
  <c r="K167"/>
  <c r="O167"/>
  <c r="S167"/>
  <c r="U167"/>
  <c r="B156"/>
  <c r="E156" s="1"/>
  <c r="C155"/>
  <c r="C156" s="1"/>
  <c r="B157"/>
  <c r="BS69" i="117" l="1"/>
  <c r="BT69" s="1"/>
  <c r="BQ70"/>
  <c r="BS70" s="1"/>
  <c r="BT70" s="1"/>
  <c r="S76" i="92"/>
  <c r="K76"/>
  <c r="T76"/>
  <c r="N76"/>
  <c r="Q76" s="1"/>
  <c r="F76"/>
  <c r="U76"/>
  <c r="O76"/>
  <c r="I76"/>
  <c r="P76"/>
  <c r="J76"/>
  <c r="T167" i="91"/>
  <c r="N167"/>
  <c r="Q167" s="1"/>
  <c r="F167"/>
  <c r="G167" s="1"/>
  <c r="P167"/>
  <c r="J167"/>
  <c r="V167"/>
  <c r="L168"/>
  <c r="P11" i="113"/>
  <c r="J11"/>
  <c r="H13"/>
  <c r="G11"/>
  <c r="K11"/>
  <c r="F11"/>
  <c r="H11" s="1"/>
  <c r="T11"/>
  <c r="O11"/>
  <c r="H14"/>
  <c r="H64"/>
  <c r="R29"/>
  <c r="Q13"/>
  <c r="Q15"/>
  <c r="H24"/>
  <c r="R30"/>
  <c r="L13"/>
  <c r="M13" s="1"/>
  <c r="R13" s="1"/>
  <c r="L64"/>
  <c r="L24"/>
  <c r="Q45"/>
  <c r="R45" s="1"/>
  <c r="D11"/>
  <c r="T26"/>
  <c r="P26"/>
  <c r="N26"/>
  <c r="J26"/>
  <c r="F26"/>
  <c r="U26"/>
  <c r="S26"/>
  <c r="O26"/>
  <c r="K26"/>
  <c r="I26"/>
  <c r="G26"/>
  <c r="U40"/>
  <c r="S40"/>
  <c r="O40"/>
  <c r="K40"/>
  <c r="I40"/>
  <c r="G40"/>
  <c r="T40"/>
  <c r="P40"/>
  <c r="N40"/>
  <c r="J40"/>
  <c r="F40"/>
  <c r="Q38"/>
  <c r="V38"/>
  <c r="E5"/>
  <c r="I6"/>
  <c r="J6"/>
  <c r="F6"/>
  <c r="K6"/>
  <c r="G6"/>
  <c r="S10"/>
  <c r="I10"/>
  <c r="T10"/>
  <c r="P10"/>
  <c r="N10"/>
  <c r="J10"/>
  <c r="F10"/>
  <c r="U10"/>
  <c r="O10"/>
  <c r="K10"/>
  <c r="G10"/>
  <c r="E18"/>
  <c r="K17"/>
  <c r="I17"/>
  <c r="G17"/>
  <c r="J17"/>
  <c r="F17"/>
  <c r="U21"/>
  <c r="S21"/>
  <c r="O21"/>
  <c r="K21"/>
  <c r="I21"/>
  <c r="G21"/>
  <c r="J21"/>
  <c r="T21"/>
  <c r="P21"/>
  <c r="N21"/>
  <c r="F21"/>
  <c r="T47"/>
  <c r="P47"/>
  <c r="N47"/>
  <c r="J47"/>
  <c r="F47"/>
  <c r="U47"/>
  <c r="S47"/>
  <c r="O47"/>
  <c r="K47"/>
  <c r="I47"/>
  <c r="G47"/>
  <c r="L12"/>
  <c r="I11"/>
  <c r="T27"/>
  <c r="P27"/>
  <c r="N27"/>
  <c r="J27"/>
  <c r="F27"/>
  <c r="U27"/>
  <c r="S27"/>
  <c r="O27"/>
  <c r="K27"/>
  <c r="I27"/>
  <c r="G27"/>
  <c r="U36"/>
  <c r="S36"/>
  <c r="O36"/>
  <c r="K36"/>
  <c r="I36"/>
  <c r="G36"/>
  <c r="T36"/>
  <c r="P36"/>
  <c r="N36"/>
  <c r="J36"/>
  <c r="F36"/>
  <c r="S9"/>
  <c r="O9"/>
  <c r="I9"/>
  <c r="T9"/>
  <c r="P9"/>
  <c r="N9"/>
  <c r="J9"/>
  <c r="F9"/>
  <c r="U9"/>
  <c r="K9"/>
  <c r="G9"/>
  <c r="H33"/>
  <c r="E32"/>
  <c r="L33"/>
  <c r="T28"/>
  <c r="P28"/>
  <c r="N28"/>
  <c r="J28"/>
  <c r="F28"/>
  <c r="U28"/>
  <c r="S28"/>
  <c r="O28"/>
  <c r="K28"/>
  <c r="I28"/>
  <c r="G28"/>
  <c r="T23"/>
  <c r="P23"/>
  <c r="N23"/>
  <c r="J23"/>
  <c r="F23"/>
  <c r="U23"/>
  <c r="S23"/>
  <c r="O23"/>
  <c r="K23"/>
  <c r="I23"/>
  <c r="G23"/>
  <c r="E37"/>
  <c r="H38"/>
  <c r="L38"/>
  <c r="W38"/>
  <c r="K8"/>
  <c r="T8"/>
  <c r="P8"/>
  <c r="N8"/>
  <c r="J8"/>
  <c r="F8"/>
  <c r="U8"/>
  <c r="S8"/>
  <c r="O8"/>
  <c r="I8"/>
  <c r="G8"/>
  <c r="U19"/>
  <c r="S19"/>
  <c r="O19"/>
  <c r="K19"/>
  <c r="I19"/>
  <c r="G19"/>
  <c r="T19"/>
  <c r="P19"/>
  <c r="N19"/>
  <c r="J19"/>
  <c r="F19"/>
  <c r="T52"/>
  <c r="T51" s="1"/>
  <c r="P52"/>
  <c r="P51" s="1"/>
  <c r="N52"/>
  <c r="J52"/>
  <c r="J51" s="1"/>
  <c r="F52"/>
  <c r="F51" s="1"/>
  <c r="U52"/>
  <c r="S52"/>
  <c r="O52"/>
  <c r="O51" s="1"/>
  <c r="K52"/>
  <c r="K51" s="1"/>
  <c r="I52"/>
  <c r="G52"/>
  <c r="G51" s="1"/>
  <c r="E51"/>
  <c r="T49"/>
  <c r="P49"/>
  <c r="N49"/>
  <c r="J49"/>
  <c r="F49"/>
  <c r="U49"/>
  <c r="S49"/>
  <c r="O49"/>
  <c r="K49"/>
  <c r="I49"/>
  <c r="G49"/>
  <c r="T44"/>
  <c r="P44"/>
  <c r="U44"/>
  <c r="S44"/>
  <c r="O44"/>
  <c r="T61"/>
  <c r="T60" s="1"/>
  <c r="P61"/>
  <c r="P60" s="1"/>
  <c r="N61"/>
  <c r="J61"/>
  <c r="J60" s="1"/>
  <c r="F61"/>
  <c r="F60" s="1"/>
  <c r="U61"/>
  <c r="S61"/>
  <c r="O61"/>
  <c r="O60" s="1"/>
  <c r="K61"/>
  <c r="K60" s="1"/>
  <c r="I61"/>
  <c r="G61"/>
  <c r="G60" s="1"/>
  <c r="E60"/>
  <c r="Q12"/>
  <c r="N11"/>
  <c r="S11"/>
  <c r="V12"/>
  <c r="S14"/>
  <c r="V15"/>
  <c r="T31"/>
  <c r="P31"/>
  <c r="N31"/>
  <c r="J31"/>
  <c r="F31"/>
  <c r="U31"/>
  <c r="S31"/>
  <c r="O31"/>
  <c r="K31"/>
  <c r="I31"/>
  <c r="G31"/>
  <c r="T25"/>
  <c r="P25"/>
  <c r="N25"/>
  <c r="J25"/>
  <c r="F25"/>
  <c r="U25"/>
  <c r="S25"/>
  <c r="O25"/>
  <c r="K25"/>
  <c r="I25"/>
  <c r="G25"/>
  <c r="U39"/>
  <c r="S39"/>
  <c r="O39"/>
  <c r="K39"/>
  <c r="I39"/>
  <c r="G39"/>
  <c r="T39"/>
  <c r="P39"/>
  <c r="N39"/>
  <c r="J39"/>
  <c r="F39"/>
  <c r="U34"/>
  <c r="S34"/>
  <c r="O34"/>
  <c r="K34"/>
  <c r="I34"/>
  <c r="G34"/>
  <c r="T34"/>
  <c r="P34"/>
  <c r="N34"/>
  <c r="J34"/>
  <c r="F34"/>
  <c r="U20"/>
  <c r="S20"/>
  <c r="O20"/>
  <c r="K20"/>
  <c r="I20"/>
  <c r="G20"/>
  <c r="T20"/>
  <c r="P20"/>
  <c r="N20"/>
  <c r="J20"/>
  <c r="F20"/>
  <c r="T54"/>
  <c r="T53" s="1"/>
  <c r="P54"/>
  <c r="P53" s="1"/>
  <c r="N54"/>
  <c r="J54"/>
  <c r="J53" s="1"/>
  <c r="F54"/>
  <c r="F53" s="1"/>
  <c r="U54"/>
  <c r="S54"/>
  <c r="O54"/>
  <c r="O53" s="1"/>
  <c r="K54"/>
  <c r="K53" s="1"/>
  <c r="I54"/>
  <c r="G54"/>
  <c r="G53" s="1"/>
  <c r="E53"/>
  <c r="T50"/>
  <c r="P50"/>
  <c r="N50"/>
  <c r="J50"/>
  <c r="F50"/>
  <c r="U50"/>
  <c r="S50"/>
  <c r="O50"/>
  <c r="K50"/>
  <c r="I50"/>
  <c r="G50"/>
  <c r="T46"/>
  <c r="P46"/>
  <c r="N46"/>
  <c r="J46"/>
  <c r="F46"/>
  <c r="U46"/>
  <c r="S46"/>
  <c r="O46"/>
  <c r="K46"/>
  <c r="I46"/>
  <c r="G46"/>
  <c r="K43"/>
  <c r="I43"/>
  <c r="G43"/>
  <c r="J43"/>
  <c r="F43"/>
  <c r="T63"/>
  <c r="T62" s="1"/>
  <c r="P63"/>
  <c r="P62" s="1"/>
  <c r="J63"/>
  <c r="J62" s="1"/>
  <c r="F63"/>
  <c r="F62" s="1"/>
  <c r="U63"/>
  <c r="S63"/>
  <c r="O63"/>
  <c r="O62" s="1"/>
  <c r="K63"/>
  <c r="K62" s="1"/>
  <c r="I63"/>
  <c r="G63"/>
  <c r="G62" s="1"/>
  <c r="E62"/>
  <c r="N62"/>
  <c r="W13"/>
  <c r="W64"/>
  <c r="Q64"/>
  <c r="W24"/>
  <c r="Q24"/>
  <c r="W45"/>
  <c r="D9"/>
  <c r="V13"/>
  <c r="D32"/>
  <c r="Q14"/>
  <c r="D17"/>
  <c r="V64"/>
  <c r="V24"/>
  <c r="H12"/>
  <c r="M12" s="1"/>
  <c r="V45"/>
  <c r="D57"/>
  <c r="D59"/>
  <c r="D63"/>
  <c r="D62" s="1"/>
  <c r="Q33"/>
  <c r="U35"/>
  <c r="S35"/>
  <c r="S32" s="1"/>
  <c r="O35"/>
  <c r="K35"/>
  <c r="I35"/>
  <c r="G35"/>
  <c r="T35"/>
  <c r="P35"/>
  <c r="P32" s="1"/>
  <c r="N35"/>
  <c r="J35"/>
  <c r="F35"/>
  <c r="J56"/>
  <c r="F56"/>
  <c r="E57"/>
  <c r="K56"/>
  <c r="I56"/>
  <c r="G56"/>
  <c r="T58"/>
  <c r="P58"/>
  <c r="N58"/>
  <c r="J58"/>
  <c r="F58"/>
  <c r="U58"/>
  <c r="S58"/>
  <c r="O58"/>
  <c r="K58"/>
  <c r="I58"/>
  <c r="G58"/>
  <c r="C60"/>
  <c r="W12"/>
  <c r="U11"/>
  <c r="I14"/>
  <c r="L14" s="1"/>
  <c r="M14" s="1"/>
  <c r="L15"/>
  <c r="M15" s="1"/>
  <c r="R15" s="1"/>
  <c r="W15"/>
  <c r="U14"/>
  <c r="U41"/>
  <c r="U37" s="1"/>
  <c r="S41"/>
  <c r="O41"/>
  <c r="K41"/>
  <c r="I41"/>
  <c r="G41"/>
  <c r="T41"/>
  <c r="P41"/>
  <c r="N41"/>
  <c r="J41"/>
  <c r="F41"/>
  <c r="T22"/>
  <c r="P22"/>
  <c r="N22"/>
  <c r="U22"/>
  <c r="S22"/>
  <c r="O22"/>
  <c r="K22"/>
  <c r="I22"/>
  <c r="G22"/>
  <c r="J22"/>
  <c r="F22"/>
  <c r="H22" s="1"/>
  <c r="T48"/>
  <c r="P48"/>
  <c r="N48"/>
  <c r="J48"/>
  <c r="F48"/>
  <c r="U48"/>
  <c r="S48"/>
  <c r="O48"/>
  <c r="K48"/>
  <c r="I48"/>
  <c r="G48"/>
  <c r="T59"/>
  <c r="P59"/>
  <c r="N59"/>
  <c r="J59"/>
  <c r="F59"/>
  <c r="U59"/>
  <c r="S59"/>
  <c r="O59"/>
  <c r="K59"/>
  <c r="I59"/>
  <c r="G59"/>
  <c r="C62"/>
  <c r="M64"/>
  <c r="R64" s="1"/>
  <c r="M24"/>
  <c r="M75" i="92"/>
  <c r="R75" s="1"/>
  <c r="V168" i="91"/>
  <c r="W168"/>
  <c r="H168"/>
  <c r="M168" s="1"/>
  <c r="Q168"/>
  <c r="H167"/>
  <c r="L167"/>
  <c r="D155"/>
  <c r="C157"/>
  <c r="D156"/>
  <c r="D157" s="1"/>
  <c r="AZ47" i="5"/>
  <c r="D66" i="112"/>
  <c r="D136" i="91" s="1"/>
  <c r="C66" i="112"/>
  <c r="B66"/>
  <c r="D49"/>
  <c r="D112" i="91" s="1"/>
  <c r="C49" i="112"/>
  <c r="B49"/>
  <c r="C21"/>
  <c r="B21"/>
  <c r="C47" l="1"/>
  <c r="C103" i="91" s="1"/>
  <c r="C45" i="112"/>
  <c r="C43"/>
  <c r="C99" i="91" s="1"/>
  <c r="C41" i="112"/>
  <c r="C48"/>
  <c r="C104" i="91" s="1"/>
  <c r="C46" i="112"/>
  <c r="C102" i="91" s="1"/>
  <c r="C42" i="112"/>
  <c r="C98" i="91" s="1"/>
  <c r="C40" i="112"/>
  <c r="C96" i="91" s="1"/>
  <c r="C77"/>
  <c r="C65" i="112"/>
  <c r="C128" i="91" s="1"/>
  <c r="C63" i="112"/>
  <c r="C126" i="91" s="1"/>
  <c r="C58" i="112"/>
  <c r="C121" i="91" s="1"/>
  <c r="C55" i="112"/>
  <c r="C118" i="91" s="1"/>
  <c r="C53" i="112"/>
  <c r="C116" i="91" s="1"/>
  <c r="C51" i="112"/>
  <c r="C114" i="91" s="1"/>
  <c r="C64" i="112"/>
  <c r="C61"/>
  <c r="C59"/>
  <c r="C122" i="91" s="1"/>
  <c r="C56" i="112"/>
  <c r="C119" i="91" s="1"/>
  <c r="C54" i="112"/>
  <c r="C117" i="91" s="1"/>
  <c r="C52" i="112"/>
  <c r="C115" i="91" s="1"/>
  <c r="C50" i="112"/>
  <c r="C112" i="91"/>
  <c r="B136"/>
  <c r="B74" i="112"/>
  <c r="B144" i="91" s="1"/>
  <c r="B71" i="112"/>
  <c r="B141" i="91" s="1"/>
  <c r="B76" i="112"/>
  <c r="B146" i="91" s="1"/>
  <c r="B72" i="112"/>
  <c r="B142" i="91" s="1"/>
  <c r="B69" i="112"/>
  <c r="B139" i="91" s="1"/>
  <c r="B67" i="112"/>
  <c r="B77"/>
  <c r="B147" i="91" s="1"/>
  <c r="B70" i="112"/>
  <c r="B140" i="91" s="1"/>
  <c r="B68" i="112"/>
  <c r="B138" i="91" s="1"/>
  <c r="B48" i="112"/>
  <c r="B104" i="91" s="1"/>
  <c r="B41" i="112"/>
  <c r="B97" i="91" s="1"/>
  <c r="B31" i="112"/>
  <c r="B22"/>
  <c r="B77" i="91"/>
  <c r="B47" i="112"/>
  <c r="B103" i="91" s="1"/>
  <c r="B45" i="112"/>
  <c r="B101" i="91" s="1"/>
  <c r="B42" i="112"/>
  <c r="B98" i="91" s="1"/>
  <c r="B40" i="112"/>
  <c r="B96" i="91" s="1"/>
  <c r="B37" i="112"/>
  <c r="B32"/>
  <c r="B29"/>
  <c r="B27"/>
  <c r="B25"/>
  <c r="B23"/>
  <c r="B46"/>
  <c r="B102" i="91" s="1"/>
  <c r="B43" i="112"/>
  <c r="B99" i="91" s="1"/>
  <c r="B38" i="112"/>
  <c r="B33"/>
  <c r="B28"/>
  <c r="B26"/>
  <c r="B24"/>
  <c r="B50"/>
  <c r="B112" i="91"/>
  <c r="B56" i="112"/>
  <c r="B119" i="91" s="1"/>
  <c r="B59" i="112"/>
  <c r="B122" i="91" s="1"/>
  <c r="B58" i="112"/>
  <c r="B121" i="91" s="1"/>
  <c r="B55" i="112"/>
  <c r="B118" i="91" s="1"/>
  <c r="B63" i="112"/>
  <c r="B126" i="91" s="1"/>
  <c r="B61" i="112"/>
  <c r="B124" i="91" s="1"/>
  <c r="B54" i="112"/>
  <c r="B117" i="91" s="1"/>
  <c r="B51" i="112"/>
  <c r="B114" i="91" s="1"/>
  <c r="B65" i="112"/>
  <c r="B128" i="91" s="1"/>
  <c r="B52" i="112"/>
  <c r="B115" i="91" s="1"/>
  <c r="B64" i="112"/>
  <c r="B127" i="91" s="1"/>
  <c r="B53" i="112"/>
  <c r="B116" i="91" s="1"/>
  <c r="C76" i="112"/>
  <c r="C74"/>
  <c r="C71"/>
  <c r="C141" i="91" s="1"/>
  <c r="C69" i="112"/>
  <c r="C139" i="91" s="1"/>
  <c r="C67" i="112"/>
  <c r="C77"/>
  <c r="C147" i="91" s="1"/>
  <c r="C72" i="112"/>
  <c r="C142" i="91" s="1"/>
  <c r="C70" i="112"/>
  <c r="C140" i="91" s="1"/>
  <c r="C68" i="112"/>
  <c r="C138" i="91" s="1"/>
  <c r="C136"/>
  <c r="G76" i="92"/>
  <c r="H76" s="1"/>
  <c r="W76"/>
  <c r="L76"/>
  <c r="W167" i="91"/>
  <c r="V76" i="92"/>
  <c r="T37" i="113"/>
  <c r="I37"/>
  <c r="O37"/>
  <c r="J37"/>
  <c r="P37"/>
  <c r="G37"/>
  <c r="K37"/>
  <c r="S37"/>
  <c r="V37" s="1"/>
  <c r="N37"/>
  <c r="Q37" s="1"/>
  <c r="G32"/>
  <c r="F32"/>
  <c r="T32"/>
  <c r="I32"/>
  <c r="O32"/>
  <c r="J32"/>
  <c r="L11"/>
  <c r="M11" s="1"/>
  <c r="H35"/>
  <c r="H20"/>
  <c r="Q20"/>
  <c r="K32"/>
  <c r="V34"/>
  <c r="H39"/>
  <c r="V31"/>
  <c r="F37"/>
  <c r="H37" s="1"/>
  <c r="Q11"/>
  <c r="H59"/>
  <c r="H48"/>
  <c r="Q44"/>
  <c r="R44" s="1"/>
  <c r="H49"/>
  <c r="H6"/>
  <c r="L59"/>
  <c r="L48"/>
  <c r="H41"/>
  <c r="R14"/>
  <c r="H58"/>
  <c r="R12"/>
  <c r="H50"/>
  <c r="W44"/>
  <c r="L49"/>
  <c r="V19"/>
  <c r="H8"/>
  <c r="V28"/>
  <c r="H9"/>
  <c r="V36"/>
  <c r="V27"/>
  <c r="H21"/>
  <c r="H40"/>
  <c r="H46"/>
  <c r="H56"/>
  <c r="R24"/>
  <c r="V22"/>
  <c r="Q22"/>
  <c r="Q41"/>
  <c r="L41"/>
  <c r="M41" s="1"/>
  <c r="L58"/>
  <c r="Q35"/>
  <c r="L35"/>
  <c r="M35" s="1"/>
  <c r="Q63"/>
  <c r="H62"/>
  <c r="L46"/>
  <c r="L50"/>
  <c r="V20"/>
  <c r="H34"/>
  <c r="V39"/>
  <c r="V25"/>
  <c r="H25"/>
  <c r="H60"/>
  <c r="H61"/>
  <c r="H19"/>
  <c r="Q19"/>
  <c r="L8"/>
  <c r="W37"/>
  <c r="V23"/>
  <c r="H23"/>
  <c r="Q9"/>
  <c r="H36"/>
  <c r="V47"/>
  <c r="H47"/>
  <c r="Q21"/>
  <c r="H10"/>
  <c r="V40"/>
  <c r="V26"/>
  <c r="H26"/>
  <c r="H31"/>
  <c r="M8"/>
  <c r="H28"/>
  <c r="H27"/>
  <c r="V54"/>
  <c r="S53"/>
  <c r="W61"/>
  <c r="U60"/>
  <c r="L56"/>
  <c r="M56" s="1"/>
  <c r="J57"/>
  <c r="J55" s="1"/>
  <c r="F57"/>
  <c r="F55" s="1"/>
  <c r="K57"/>
  <c r="K55" s="1"/>
  <c r="I57"/>
  <c r="G57"/>
  <c r="L63"/>
  <c r="I62"/>
  <c r="L62" s="1"/>
  <c r="W63"/>
  <c r="U62"/>
  <c r="L43"/>
  <c r="L54"/>
  <c r="I53"/>
  <c r="L53" s="1"/>
  <c r="W54"/>
  <c r="U53"/>
  <c r="N53"/>
  <c r="Q53" s="1"/>
  <c r="Q54"/>
  <c r="Q34"/>
  <c r="N32"/>
  <c r="Q32" s="1"/>
  <c r="V61"/>
  <c r="S60"/>
  <c r="L52"/>
  <c r="I51"/>
  <c r="L51" s="1"/>
  <c r="W52"/>
  <c r="U51"/>
  <c r="N51"/>
  <c r="Q51" s="1"/>
  <c r="Q52"/>
  <c r="L17"/>
  <c r="K18"/>
  <c r="K16" s="1"/>
  <c r="I18"/>
  <c r="G18"/>
  <c r="G16" s="1"/>
  <c r="F18"/>
  <c r="J18"/>
  <c r="I7"/>
  <c r="I5" s="1"/>
  <c r="J7"/>
  <c r="F7"/>
  <c r="F5" s="1"/>
  <c r="K7"/>
  <c r="K5" s="1"/>
  <c r="G7"/>
  <c r="G5" s="1"/>
  <c r="W48"/>
  <c r="Q48"/>
  <c r="W41"/>
  <c r="W58"/>
  <c r="Q58"/>
  <c r="W50"/>
  <c r="Q50"/>
  <c r="V59"/>
  <c r="V48"/>
  <c r="L22"/>
  <c r="M22" s="1"/>
  <c r="R22" s="1"/>
  <c r="W22"/>
  <c r="V41"/>
  <c r="W14"/>
  <c r="W11"/>
  <c r="V58"/>
  <c r="E55"/>
  <c r="V35"/>
  <c r="Q62"/>
  <c r="H63"/>
  <c r="H43"/>
  <c r="M43" s="1"/>
  <c r="V46"/>
  <c r="V50"/>
  <c r="H53"/>
  <c r="M53" s="1"/>
  <c r="H54"/>
  <c r="L20"/>
  <c r="M20" s="1"/>
  <c r="R20" s="1"/>
  <c r="W20"/>
  <c r="L34"/>
  <c r="W34"/>
  <c r="Q39"/>
  <c r="L39"/>
  <c r="W39"/>
  <c r="L25"/>
  <c r="W25"/>
  <c r="Q25"/>
  <c r="L31"/>
  <c r="M31" s="1"/>
  <c r="W31"/>
  <c r="Q31"/>
  <c r="V14"/>
  <c r="V11"/>
  <c r="V44"/>
  <c r="V49"/>
  <c r="H51"/>
  <c r="H52"/>
  <c r="L19"/>
  <c r="M19" s="1"/>
  <c r="W19"/>
  <c r="V8"/>
  <c r="L23"/>
  <c r="W23"/>
  <c r="Q23"/>
  <c r="L28"/>
  <c r="W28"/>
  <c r="Q28"/>
  <c r="M33"/>
  <c r="R33" s="1"/>
  <c r="U33" s="1"/>
  <c r="L9"/>
  <c r="V9"/>
  <c r="Q36"/>
  <c r="L36"/>
  <c r="W36"/>
  <c r="L27"/>
  <c r="M27" s="1"/>
  <c r="W27"/>
  <c r="Q27"/>
  <c r="L47"/>
  <c r="W47"/>
  <c r="Q47"/>
  <c r="L21"/>
  <c r="W21"/>
  <c r="E16"/>
  <c r="E65" s="1"/>
  <c r="W10"/>
  <c r="Q10"/>
  <c r="V10"/>
  <c r="J5"/>
  <c r="Q40"/>
  <c r="L40"/>
  <c r="M40" s="1"/>
  <c r="W40"/>
  <c r="L26"/>
  <c r="M26" s="1"/>
  <c r="W26"/>
  <c r="Q26"/>
  <c r="V63"/>
  <c r="S62"/>
  <c r="L61"/>
  <c r="I60"/>
  <c r="L60" s="1"/>
  <c r="N60"/>
  <c r="Q60" s="1"/>
  <c r="Q61"/>
  <c r="V52"/>
  <c r="S51"/>
  <c r="L6"/>
  <c r="M6" s="1"/>
  <c r="W59"/>
  <c r="Q59"/>
  <c r="M48"/>
  <c r="R48" s="1"/>
  <c r="G55"/>
  <c r="W35"/>
  <c r="W46"/>
  <c r="Q46"/>
  <c r="M50"/>
  <c r="W49"/>
  <c r="Q49"/>
  <c r="W8"/>
  <c r="Q8"/>
  <c r="M38"/>
  <c r="R38" s="1"/>
  <c r="W9"/>
  <c r="V21"/>
  <c r="H17"/>
  <c r="M17" s="1"/>
  <c r="L10"/>
  <c r="M10" s="1"/>
  <c r="R168" i="91"/>
  <c r="M167"/>
  <c r="R167" s="1"/>
  <c r="B5" i="112"/>
  <c r="W78"/>
  <c r="W57"/>
  <c r="W35"/>
  <c r="W34"/>
  <c r="W16"/>
  <c r="E78"/>
  <c r="S78" s="1"/>
  <c r="D78"/>
  <c r="D148" i="91" s="1"/>
  <c r="D71" i="112"/>
  <c r="D141" i="91" s="1"/>
  <c r="E77" i="112"/>
  <c r="E65"/>
  <c r="E58"/>
  <c r="E57"/>
  <c r="U57" s="1"/>
  <c r="D57"/>
  <c r="D120" i="91" s="1"/>
  <c r="T35" i="112"/>
  <c r="F35"/>
  <c r="E35"/>
  <c r="U35" s="1"/>
  <c r="D35"/>
  <c r="D91" i="91" s="1"/>
  <c r="T34" i="112"/>
  <c r="F34"/>
  <c r="E34"/>
  <c r="U34" s="1"/>
  <c r="D34"/>
  <c r="D90" i="91" s="1"/>
  <c r="E16" i="112"/>
  <c r="U16" s="1"/>
  <c r="D16"/>
  <c r="D63" i="91" s="1"/>
  <c r="D112" i="93"/>
  <c r="C112"/>
  <c r="B112"/>
  <c r="E111"/>
  <c r="D111"/>
  <c r="C111"/>
  <c r="C113" s="1"/>
  <c r="B111"/>
  <c r="D91"/>
  <c r="C91"/>
  <c r="B91"/>
  <c r="E90"/>
  <c r="D90"/>
  <c r="C90"/>
  <c r="C92" s="1"/>
  <c r="B90"/>
  <c r="E59"/>
  <c r="D60"/>
  <c r="C60"/>
  <c r="B60"/>
  <c r="D59"/>
  <c r="C59"/>
  <c r="B59"/>
  <c r="D40"/>
  <c r="C40"/>
  <c r="B40"/>
  <c r="E39"/>
  <c r="D39"/>
  <c r="C39"/>
  <c r="B39"/>
  <c r="E133" i="91"/>
  <c r="D134"/>
  <c r="C134"/>
  <c r="B134"/>
  <c r="D133"/>
  <c r="C133"/>
  <c r="B133"/>
  <c r="E109"/>
  <c r="D110"/>
  <c r="C110"/>
  <c r="B110"/>
  <c r="D109"/>
  <c r="C109"/>
  <c r="B109"/>
  <c r="E74"/>
  <c r="D75"/>
  <c r="C75"/>
  <c r="C76" s="1"/>
  <c r="B75"/>
  <c r="D74"/>
  <c r="C74"/>
  <c r="B74"/>
  <c r="B76" s="1"/>
  <c r="D70"/>
  <c r="C70"/>
  <c r="B70"/>
  <c r="D50"/>
  <c r="C50"/>
  <c r="B50"/>
  <c r="E49"/>
  <c r="D49"/>
  <c r="D51" s="1"/>
  <c r="C49"/>
  <c r="B49"/>
  <c r="B51" s="1"/>
  <c r="D110" i="93"/>
  <c r="C110"/>
  <c r="B110"/>
  <c r="D89"/>
  <c r="C89"/>
  <c r="B89"/>
  <c r="D58"/>
  <c r="C58"/>
  <c r="B58"/>
  <c r="D38"/>
  <c r="C38"/>
  <c r="B38"/>
  <c r="D132" i="91"/>
  <c r="C132"/>
  <c r="B132"/>
  <c r="D106"/>
  <c r="C106"/>
  <c r="B106"/>
  <c r="D73"/>
  <c r="C73"/>
  <c r="B73"/>
  <c r="D48"/>
  <c r="C48"/>
  <c r="B48"/>
  <c r="D108" i="93"/>
  <c r="C108"/>
  <c r="B108"/>
  <c r="D93"/>
  <c r="C93"/>
  <c r="B93"/>
  <c r="D56"/>
  <c r="C56"/>
  <c r="B56"/>
  <c r="D36"/>
  <c r="C36"/>
  <c r="B36"/>
  <c r="D130" i="91"/>
  <c r="C130"/>
  <c r="B130"/>
  <c r="D107"/>
  <c r="C107"/>
  <c r="B107"/>
  <c r="D71"/>
  <c r="C71"/>
  <c r="B71"/>
  <c r="D46"/>
  <c r="C46"/>
  <c r="B46"/>
  <c r="D54" i="93"/>
  <c r="C54"/>
  <c r="B54"/>
  <c r="D35"/>
  <c r="C35"/>
  <c r="B35"/>
  <c r="D69" i="91"/>
  <c r="B69"/>
  <c r="U41" i="111"/>
  <c r="C41"/>
  <c r="B41"/>
  <c r="U38"/>
  <c r="B37"/>
  <c r="U36"/>
  <c r="B36"/>
  <c r="U33"/>
  <c r="C33"/>
  <c r="B33"/>
  <c r="U30"/>
  <c r="U29"/>
  <c r="B29"/>
  <c r="U28"/>
  <c r="B28"/>
  <c r="C20"/>
  <c r="U17"/>
  <c r="U16"/>
  <c r="B16"/>
  <c r="U15"/>
  <c r="B15"/>
  <c r="U12"/>
  <c r="C12"/>
  <c r="B12"/>
  <c r="B8"/>
  <c r="U7"/>
  <c r="B7"/>
  <c r="I37"/>
  <c r="L37" s="1"/>
  <c r="H37"/>
  <c r="G37"/>
  <c r="E37"/>
  <c r="D37"/>
  <c r="C36"/>
  <c r="C38" s="1"/>
  <c r="H33"/>
  <c r="I29"/>
  <c r="L29" s="1"/>
  <c r="S29" s="1"/>
  <c r="H29"/>
  <c r="G29"/>
  <c r="E29"/>
  <c r="D29"/>
  <c r="H20"/>
  <c r="I16"/>
  <c r="L16" s="1"/>
  <c r="H16"/>
  <c r="G16"/>
  <c r="E16"/>
  <c r="D16"/>
  <c r="B20"/>
  <c r="D12"/>
  <c r="I8"/>
  <c r="L8" s="1"/>
  <c r="L12" s="1"/>
  <c r="H8"/>
  <c r="G8"/>
  <c r="E8"/>
  <c r="D8"/>
  <c r="C7"/>
  <c r="S7" s="1"/>
  <c r="BR2"/>
  <c r="CB2" s="1"/>
  <c r="E173" i="9"/>
  <c r="D173"/>
  <c r="D171"/>
  <c r="AE171" s="1"/>
  <c r="K169"/>
  <c r="N169" s="1"/>
  <c r="J169"/>
  <c r="I169"/>
  <c r="L169" s="1"/>
  <c r="G169"/>
  <c r="F169"/>
  <c r="D169"/>
  <c r="D168"/>
  <c r="E168" s="1"/>
  <c r="E170" s="1"/>
  <c r="AD167"/>
  <c r="AD175" s="1"/>
  <c r="AC167"/>
  <c r="AC175" s="1"/>
  <c r="S167"/>
  <c r="S175" s="1"/>
  <c r="AE175" s="1"/>
  <c r="P167"/>
  <c r="P175" s="1"/>
  <c r="O167"/>
  <c r="O175" s="1"/>
  <c r="N167"/>
  <c r="N175" s="1"/>
  <c r="Q175" s="1"/>
  <c r="K167"/>
  <c r="K175" s="1"/>
  <c r="J167"/>
  <c r="J175" s="1"/>
  <c r="I167"/>
  <c r="I175" s="1"/>
  <c r="L175" s="1"/>
  <c r="G167"/>
  <c r="G175" s="1"/>
  <c r="F167"/>
  <c r="F175" s="1"/>
  <c r="E167"/>
  <c r="E175" s="1"/>
  <c r="H175" s="1"/>
  <c r="D167"/>
  <c r="D175" s="1"/>
  <c r="D172" s="1"/>
  <c r="D174" s="1"/>
  <c r="E165"/>
  <c r="F165" s="1"/>
  <c r="D165"/>
  <c r="D163"/>
  <c r="K161"/>
  <c r="N161" s="1"/>
  <c r="AD161" s="1"/>
  <c r="J161"/>
  <c r="I161"/>
  <c r="G161"/>
  <c r="F161"/>
  <c r="M161" s="1"/>
  <c r="D161"/>
  <c r="D160"/>
  <c r="D162" s="1"/>
  <c r="AD154"/>
  <c r="AC154"/>
  <c r="S154"/>
  <c r="AE154" s="1"/>
  <c r="P154"/>
  <c r="O154"/>
  <c r="N154"/>
  <c r="Q154" s="1"/>
  <c r="K154"/>
  <c r="J154"/>
  <c r="I154"/>
  <c r="L154" s="1"/>
  <c r="G154"/>
  <c r="F154"/>
  <c r="E154"/>
  <c r="H154" s="1"/>
  <c r="D154"/>
  <c r="E152"/>
  <c r="F152" s="1"/>
  <c r="D152"/>
  <c r="N148"/>
  <c r="N152" s="1"/>
  <c r="K148"/>
  <c r="J148"/>
  <c r="L148" s="1"/>
  <c r="I148"/>
  <c r="G148"/>
  <c r="F148"/>
  <c r="D148"/>
  <c r="D147"/>
  <c r="AD146"/>
  <c r="AC146"/>
  <c r="S146"/>
  <c r="AE146" s="1"/>
  <c r="P146"/>
  <c r="O146"/>
  <c r="N146"/>
  <c r="Q146" s="1"/>
  <c r="K146"/>
  <c r="J146"/>
  <c r="I146"/>
  <c r="L146" s="1"/>
  <c r="G146"/>
  <c r="F146"/>
  <c r="E146"/>
  <c r="H146" s="1"/>
  <c r="D146"/>
  <c r="F144"/>
  <c r="E144"/>
  <c r="J144" s="1"/>
  <c r="D144"/>
  <c r="D142"/>
  <c r="AE142" s="1"/>
  <c r="E141"/>
  <c r="K140"/>
  <c r="N140" s="1"/>
  <c r="P140" s="1"/>
  <c r="J140"/>
  <c r="I140"/>
  <c r="G140"/>
  <c r="F140"/>
  <c r="M140" s="1"/>
  <c r="D140"/>
  <c r="D141" s="1"/>
  <c r="AC139"/>
  <c r="N139"/>
  <c r="F139"/>
  <c r="E139"/>
  <c r="AD139" s="1"/>
  <c r="D45" i="91"/>
  <c r="C45"/>
  <c r="B45"/>
  <c r="F37"/>
  <c r="G37"/>
  <c r="C16" i="93"/>
  <c r="D15"/>
  <c r="C14"/>
  <c r="C23" i="91"/>
  <c r="C22"/>
  <c r="D19"/>
  <c r="D20" s="1"/>
  <c r="C19"/>
  <c r="C18"/>
  <c r="C15"/>
  <c r="C12"/>
  <c r="D11"/>
  <c r="C11"/>
  <c r="U58" i="112" l="1"/>
  <c r="U121" i="91" s="1"/>
  <c r="E121"/>
  <c r="U65" i="112"/>
  <c r="U128" i="91" s="1"/>
  <c r="E128"/>
  <c r="S77" i="112"/>
  <c r="S147" i="91" s="1"/>
  <c r="E147"/>
  <c r="B79" i="112"/>
  <c r="B80" s="1"/>
  <c r="B52" i="91"/>
  <c r="B17" i="112"/>
  <c r="B64" i="91" s="1"/>
  <c r="B8" i="112"/>
  <c r="B10"/>
  <c r="B9"/>
  <c r="B19"/>
  <c r="B66" i="91" s="1"/>
  <c r="B15" i="112"/>
  <c r="B62" i="91" s="1"/>
  <c r="B11" i="112"/>
  <c r="B13"/>
  <c r="B20"/>
  <c r="B67" i="91" s="1"/>
  <c r="B12" i="112"/>
  <c r="B6"/>
  <c r="B7"/>
  <c r="C73"/>
  <c r="C143" i="91" s="1"/>
  <c r="C144"/>
  <c r="C24" i="112"/>
  <c r="C80" i="91" s="1"/>
  <c r="B80"/>
  <c r="C28" i="112"/>
  <c r="C84" i="91" s="1"/>
  <c r="B84"/>
  <c r="C38" i="112"/>
  <c r="C94" i="91" s="1"/>
  <c r="B94"/>
  <c r="C25" i="112"/>
  <c r="C81" i="91" s="1"/>
  <c r="B81"/>
  <c r="C29" i="112"/>
  <c r="C85" i="91" s="1"/>
  <c r="B85"/>
  <c r="C37" i="112"/>
  <c r="C93" i="91" s="1"/>
  <c r="B93"/>
  <c r="C22" i="112"/>
  <c r="B78" i="91"/>
  <c r="E22" i="112"/>
  <c r="C60"/>
  <c r="C123" i="91" s="1"/>
  <c r="C124"/>
  <c r="D58" i="112"/>
  <c r="D121" i="91" s="1"/>
  <c r="D65" i="112"/>
  <c r="D128" i="91" s="1"/>
  <c r="E71" i="112"/>
  <c r="C137" i="91"/>
  <c r="C75" i="112"/>
  <c r="C145" i="91" s="1"/>
  <c r="C146"/>
  <c r="B113"/>
  <c r="C26" i="112"/>
  <c r="C82" i="91" s="1"/>
  <c r="B82"/>
  <c r="C33" i="112"/>
  <c r="C89" i="91" s="1"/>
  <c r="B89"/>
  <c r="C23" i="112"/>
  <c r="C79" i="91" s="1"/>
  <c r="B79"/>
  <c r="C27" i="112"/>
  <c r="C83" i="91" s="1"/>
  <c r="B83"/>
  <c r="C32" i="112"/>
  <c r="C88" i="91" s="1"/>
  <c r="B88"/>
  <c r="C31" i="112"/>
  <c r="C87" i="91" s="1"/>
  <c r="B87"/>
  <c r="B137"/>
  <c r="E67" i="112"/>
  <c r="C113" i="91"/>
  <c r="C62" i="112"/>
  <c r="C125" i="91" s="1"/>
  <c r="C127"/>
  <c r="C39" i="112"/>
  <c r="C95" i="91" s="1"/>
  <c r="C97"/>
  <c r="C44" i="112"/>
  <c r="C100" i="91" s="1"/>
  <c r="C101"/>
  <c r="M154" i="9"/>
  <c r="R154" s="1"/>
  <c r="M76" i="92"/>
  <c r="R76" s="1"/>
  <c r="H167" i="9"/>
  <c r="L167"/>
  <c r="C41" i="93"/>
  <c r="B113"/>
  <c r="M175" i="9"/>
  <c r="B41" i="93"/>
  <c r="C61"/>
  <c r="B61"/>
  <c r="D61"/>
  <c r="D164" i="9"/>
  <c r="D177" s="1"/>
  <c r="AE167"/>
  <c r="B92" i="93"/>
  <c r="M59" i="113"/>
  <c r="M62"/>
  <c r="M61"/>
  <c r="M60"/>
  <c r="R60" s="1"/>
  <c r="M58"/>
  <c r="R50"/>
  <c r="M49"/>
  <c r="L32"/>
  <c r="H32"/>
  <c r="L37"/>
  <c r="M37" s="1"/>
  <c r="R37" s="1"/>
  <c r="J16"/>
  <c r="J65" s="1"/>
  <c r="J66" s="1"/>
  <c r="F16"/>
  <c r="F65" s="1"/>
  <c r="F66" s="1"/>
  <c r="I16"/>
  <c r="M28"/>
  <c r="R11"/>
  <c r="V62"/>
  <c r="M21"/>
  <c r="R21" s="1"/>
  <c r="M36"/>
  <c r="R36" s="1"/>
  <c r="M39"/>
  <c r="R39" s="1"/>
  <c r="R10"/>
  <c r="R8"/>
  <c r="M9"/>
  <c r="R62"/>
  <c r="R58"/>
  <c r="R9"/>
  <c r="M52"/>
  <c r="R52" s="1"/>
  <c r="M34"/>
  <c r="R34" s="1"/>
  <c r="R53"/>
  <c r="V60"/>
  <c r="M46"/>
  <c r="R46" s="1"/>
  <c r="R35"/>
  <c r="K65"/>
  <c r="K66" s="1"/>
  <c r="H42"/>
  <c r="V51"/>
  <c r="R40"/>
  <c r="M47"/>
  <c r="R47" s="1"/>
  <c r="M23"/>
  <c r="R19"/>
  <c r="M51"/>
  <c r="R51" s="1"/>
  <c r="M25"/>
  <c r="H7"/>
  <c r="H18"/>
  <c r="R41"/>
  <c r="R26"/>
  <c r="R23"/>
  <c r="R25"/>
  <c r="R61"/>
  <c r="H5"/>
  <c r="R27"/>
  <c r="R28"/>
  <c r="R31"/>
  <c r="R59"/>
  <c r="L42"/>
  <c r="L57"/>
  <c r="H57"/>
  <c r="L5"/>
  <c r="N56"/>
  <c r="N6"/>
  <c r="N17"/>
  <c r="E66"/>
  <c r="W33"/>
  <c r="U32"/>
  <c r="V33"/>
  <c r="R49"/>
  <c r="M54"/>
  <c r="R54" s="1"/>
  <c r="M63"/>
  <c r="R63" s="1"/>
  <c r="L18"/>
  <c r="W51"/>
  <c r="W53"/>
  <c r="W62"/>
  <c r="I55"/>
  <c r="L55" s="1"/>
  <c r="W60"/>
  <c r="V53"/>
  <c r="N43"/>
  <c r="G65"/>
  <c r="G66" s="1"/>
  <c r="H55"/>
  <c r="L7"/>
  <c r="M146" i="9"/>
  <c r="R146" s="1"/>
  <c r="C51" i="91"/>
  <c r="B111"/>
  <c r="D111"/>
  <c r="C111"/>
  <c r="C135"/>
  <c r="B135"/>
  <c r="D135"/>
  <c r="T65" i="112"/>
  <c r="T128" i="91" s="1"/>
  <c r="F65" i="112"/>
  <c r="F128" i="91" s="1"/>
  <c r="N34" i="112"/>
  <c r="N35"/>
  <c r="D52"/>
  <c r="D115" i="91" s="1"/>
  <c r="N65" i="112"/>
  <c r="N128" i="91" s="1"/>
  <c r="J57" i="112"/>
  <c r="P57"/>
  <c r="J58"/>
  <c r="J121" i="91" s="1"/>
  <c r="P58" i="112"/>
  <c r="P121" i="91" s="1"/>
  <c r="K71" i="112"/>
  <c r="K141" i="91" s="1"/>
  <c r="S71" i="112"/>
  <c r="S141" i="91" s="1"/>
  <c r="J34" i="112"/>
  <c r="P34"/>
  <c r="J35"/>
  <c r="P35"/>
  <c r="D50"/>
  <c r="F57"/>
  <c r="N57"/>
  <c r="T57"/>
  <c r="F58"/>
  <c r="F121" i="91" s="1"/>
  <c r="N58" i="112"/>
  <c r="N121" i="91" s="1"/>
  <c r="T58" i="112"/>
  <c r="T121" i="91" s="1"/>
  <c r="J65" i="112"/>
  <c r="J128" i="91" s="1"/>
  <c r="P65" i="112"/>
  <c r="P128" i="91" s="1"/>
  <c r="G71" i="112"/>
  <c r="G141" i="91" s="1"/>
  <c r="T76" i="112"/>
  <c r="T146" i="91" s="1"/>
  <c r="E37" i="112"/>
  <c r="E93" i="91" s="1"/>
  <c r="D37" i="112"/>
  <c r="D93" i="91" s="1"/>
  <c r="F16" i="112"/>
  <c r="J16"/>
  <c r="N16"/>
  <c r="P16"/>
  <c r="T16"/>
  <c r="G16"/>
  <c r="I16"/>
  <c r="L16" s="1"/>
  <c r="K16"/>
  <c r="O16"/>
  <c r="S16"/>
  <c r="Q34"/>
  <c r="E69"/>
  <c r="E139" i="91" s="1"/>
  <c r="D69" i="112"/>
  <c r="D139" i="91" s="1"/>
  <c r="T71" i="112"/>
  <c r="T141" i="91" s="1"/>
  <c r="P71" i="112"/>
  <c r="P141" i="91" s="1"/>
  <c r="N71" i="112"/>
  <c r="N141" i="91" s="1"/>
  <c r="J71" i="112"/>
  <c r="J141" i="91" s="1"/>
  <c r="F71" i="112"/>
  <c r="F141" i="91" s="1"/>
  <c r="E74" i="112"/>
  <c r="E144" i="91" s="1"/>
  <c r="D74" i="112"/>
  <c r="B73"/>
  <c r="B143" i="91" s="1"/>
  <c r="G34" i="112"/>
  <c r="H34" s="1"/>
  <c r="I34"/>
  <c r="K34"/>
  <c r="O34"/>
  <c r="S34"/>
  <c r="V34" s="1"/>
  <c r="G35"/>
  <c r="H35" s="1"/>
  <c r="I35"/>
  <c r="L35" s="1"/>
  <c r="K35"/>
  <c r="O35"/>
  <c r="Q35" s="1"/>
  <c r="S35"/>
  <c r="V35" s="1"/>
  <c r="E52"/>
  <c r="E115" i="91" s="1"/>
  <c r="D54" i="112"/>
  <c r="D117" i="91" s="1"/>
  <c r="E54" i="112"/>
  <c r="E117" i="91" s="1"/>
  <c r="I71" i="112"/>
  <c r="I141" i="91" s="1"/>
  <c r="U71" i="112"/>
  <c r="U141" i="91" s="1"/>
  <c r="D77" i="112"/>
  <c r="D147" i="91" s="1"/>
  <c r="G77" i="112"/>
  <c r="G147" i="91" s="1"/>
  <c r="K77" i="112"/>
  <c r="K147" i="91" s="1"/>
  <c r="O77" i="112"/>
  <c r="O147" i="91" s="1"/>
  <c r="G78" i="112"/>
  <c r="K78"/>
  <c r="O78"/>
  <c r="E64"/>
  <c r="E127" i="91" s="1"/>
  <c r="D64" i="112"/>
  <c r="D127" i="91" s="1"/>
  <c r="D67" i="112"/>
  <c r="E72"/>
  <c r="E142" i="91" s="1"/>
  <c r="D72" i="112"/>
  <c r="D142" i="91" s="1"/>
  <c r="K76" i="112"/>
  <c r="K146" i="91" s="1"/>
  <c r="D76" i="112"/>
  <c r="T77"/>
  <c r="T147" i="91" s="1"/>
  <c r="P77" i="112"/>
  <c r="P147" i="91" s="1"/>
  <c r="N77" i="112"/>
  <c r="N147" i="91" s="1"/>
  <c r="J77" i="112"/>
  <c r="J147" i="91" s="1"/>
  <c r="F77" i="112"/>
  <c r="T78"/>
  <c r="P78"/>
  <c r="N78"/>
  <c r="J78"/>
  <c r="F78"/>
  <c r="N76"/>
  <c r="N146" i="91" s="1"/>
  <c r="I77" i="112"/>
  <c r="I147" i="91" s="1"/>
  <c r="U77" i="112"/>
  <c r="U147" i="91" s="1"/>
  <c r="I78" i="112"/>
  <c r="U78"/>
  <c r="G57"/>
  <c r="H57" s="1"/>
  <c r="I57"/>
  <c r="K57"/>
  <c r="O57"/>
  <c r="Q57" s="1"/>
  <c r="S57"/>
  <c r="V57" s="1"/>
  <c r="G58"/>
  <c r="G121" i="91" s="1"/>
  <c r="I58" i="112"/>
  <c r="I121" i="91" s="1"/>
  <c r="K58" i="112"/>
  <c r="K121" i="91" s="1"/>
  <c r="O58" i="112"/>
  <c r="S58"/>
  <c r="S121" i="91" s="1"/>
  <c r="G65" i="112"/>
  <c r="I65"/>
  <c r="I128" i="91" s="1"/>
  <c r="K65" i="112"/>
  <c r="K128" i="91" s="1"/>
  <c r="O65" i="112"/>
  <c r="O128" i="91" s="1"/>
  <c r="S65" i="112"/>
  <c r="K37" i="111"/>
  <c r="E171" i="9"/>
  <c r="E172" s="1"/>
  <c r="E174" s="1"/>
  <c r="I171"/>
  <c r="I172" s="1"/>
  <c r="M171"/>
  <c r="M172" s="1"/>
  <c r="Q171"/>
  <c r="AD171"/>
  <c r="AD172" s="1"/>
  <c r="D170"/>
  <c r="G171"/>
  <c r="K171"/>
  <c r="O171"/>
  <c r="O172" s="1"/>
  <c r="S171"/>
  <c r="S172" s="1"/>
  <c r="J165"/>
  <c r="N141"/>
  <c r="AC148"/>
  <c r="J152"/>
  <c r="J139"/>
  <c r="J141" s="1"/>
  <c r="P139"/>
  <c r="P141" s="1"/>
  <c r="L140"/>
  <c r="AE143"/>
  <c r="M148"/>
  <c r="P148"/>
  <c r="L161"/>
  <c r="M169"/>
  <c r="G172"/>
  <c r="K172"/>
  <c r="B9" i="111"/>
  <c r="J8"/>
  <c r="J29"/>
  <c r="K16"/>
  <c r="D20"/>
  <c r="U20" s="1"/>
  <c r="B30"/>
  <c r="D33"/>
  <c r="R16"/>
  <c r="L20"/>
  <c r="R20" s="1"/>
  <c r="N16"/>
  <c r="H7"/>
  <c r="H9" s="1"/>
  <c r="N7"/>
  <c r="H12"/>
  <c r="B38"/>
  <c r="D7"/>
  <c r="D9" s="1"/>
  <c r="L7"/>
  <c r="L9" s="1"/>
  <c r="R7"/>
  <c r="C9"/>
  <c r="J16"/>
  <c r="K29"/>
  <c r="J37"/>
  <c r="R12"/>
  <c r="N12"/>
  <c r="S12"/>
  <c r="Q12"/>
  <c r="M12"/>
  <c r="B17"/>
  <c r="C15"/>
  <c r="S16"/>
  <c r="Q16"/>
  <c r="O16"/>
  <c r="M16"/>
  <c r="E7"/>
  <c r="E9" s="1"/>
  <c r="G7"/>
  <c r="I7"/>
  <c r="I9" s="1"/>
  <c r="M7"/>
  <c r="Q7"/>
  <c r="K8"/>
  <c r="M8"/>
  <c r="Q8"/>
  <c r="S8"/>
  <c r="S9" s="1"/>
  <c r="E12"/>
  <c r="F12" s="1"/>
  <c r="G12"/>
  <c r="I12"/>
  <c r="P16"/>
  <c r="N20"/>
  <c r="M20"/>
  <c r="L41"/>
  <c r="R37"/>
  <c r="N37"/>
  <c r="S37"/>
  <c r="Q37"/>
  <c r="M37"/>
  <c r="U37" s="1"/>
  <c r="F8"/>
  <c r="N8"/>
  <c r="N9" s="1"/>
  <c r="R8"/>
  <c r="F16"/>
  <c r="F29"/>
  <c r="N29"/>
  <c r="R29"/>
  <c r="L33"/>
  <c r="E36"/>
  <c r="G36"/>
  <c r="I36"/>
  <c r="I38" s="1"/>
  <c r="M36"/>
  <c r="Q36"/>
  <c r="S36"/>
  <c r="E41"/>
  <c r="G41"/>
  <c r="I41"/>
  <c r="E20"/>
  <c r="G20"/>
  <c r="I20"/>
  <c r="C28"/>
  <c r="M29"/>
  <c r="Q29"/>
  <c r="E33"/>
  <c r="G33"/>
  <c r="I33"/>
  <c r="D36"/>
  <c r="D38" s="1"/>
  <c r="H36"/>
  <c r="H38" s="1"/>
  <c r="L36"/>
  <c r="N36"/>
  <c r="R36"/>
  <c r="F37"/>
  <c r="D41"/>
  <c r="F41" s="1"/>
  <c r="H41"/>
  <c r="AD152" i="9"/>
  <c r="S152"/>
  <c r="O152"/>
  <c r="N173"/>
  <c r="AC169"/>
  <c r="P169"/>
  <c r="AD169"/>
  <c r="S169"/>
  <c r="O169"/>
  <c r="Q169" s="1"/>
  <c r="D149"/>
  <c r="E147"/>
  <c r="AD148"/>
  <c r="S148"/>
  <c r="O148"/>
  <c r="Q148" s="1"/>
  <c r="H140"/>
  <c r="AC140"/>
  <c r="AC141" s="1"/>
  <c r="F142"/>
  <c r="F143" s="1"/>
  <c r="J142"/>
  <c r="J143" s="1"/>
  <c r="N142"/>
  <c r="N143" s="1"/>
  <c r="R142"/>
  <c r="R143" s="1"/>
  <c r="AC142"/>
  <c r="AC143" s="1"/>
  <c r="N144"/>
  <c r="H148"/>
  <c r="G139"/>
  <c r="G141" s="1"/>
  <c r="I139"/>
  <c r="K139"/>
  <c r="K141" s="1"/>
  <c r="O139"/>
  <c r="Q139"/>
  <c r="S139"/>
  <c r="O140"/>
  <c r="R140" s="1"/>
  <c r="S140"/>
  <c r="AD140"/>
  <c r="AD141" s="1"/>
  <c r="F141"/>
  <c r="E142"/>
  <c r="E143" s="1"/>
  <c r="G142"/>
  <c r="G143" s="1"/>
  <c r="I142"/>
  <c r="I143" s="1"/>
  <c r="K142"/>
  <c r="K143" s="1"/>
  <c r="M142"/>
  <c r="M143" s="1"/>
  <c r="O142"/>
  <c r="O143" s="1"/>
  <c r="Q142"/>
  <c r="Q143" s="1"/>
  <c r="S142"/>
  <c r="S143" s="1"/>
  <c r="AD142"/>
  <c r="AD143" s="1"/>
  <c r="D143"/>
  <c r="G144"/>
  <c r="H144" s="1"/>
  <c r="I144"/>
  <c r="K144"/>
  <c r="D150"/>
  <c r="P152"/>
  <c r="AC152"/>
  <c r="AE172"/>
  <c r="R175"/>
  <c r="D166"/>
  <c r="D179" s="1"/>
  <c r="H142"/>
  <c r="H143" s="1"/>
  <c r="L142"/>
  <c r="L143" s="1"/>
  <c r="P142"/>
  <c r="P143" s="1"/>
  <c r="Q172"/>
  <c r="H161"/>
  <c r="P161"/>
  <c r="AC161"/>
  <c r="F163"/>
  <c r="F164" s="1"/>
  <c r="H163"/>
  <c r="H164" s="1"/>
  <c r="J163"/>
  <c r="J164" s="1"/>
  <c r="L163"/>
  <c r="N163"/>
  <c r="N164" s="1"/>
  <c r="P163"/>
  <c r="P164" s="1"/>
  <c r="R163"/>
  <c r="AC163"/>
  <c r="AC164" s="1"/>
  <c r="AE163"/>
  <c r="AE164" s="1"/>
  <c r="N165"/>
  <c r="G168"/>
  <c r="G170" s="1"/>
  <c r="I168"/>
  <c r="K168"/>
  <c r="K170" s="1"/>
  <c r="O168"/>
  <c r="S168"/>
  <c r="AD168"/>
  <c r="G173"/>
  <c r="I173"/>
  <c r="K173"/>
  <c r="K174" s="1"/>
  <c r="G152"/>
  <c r="I152"/>
  <c r="K152"/>
  <c r="E160"/>
  <c r="O161"/>
  <c r="S161"/>
  <c r="AE161" s="1"/>
  <c r="E163"/>
  <c r="E164" s="1"/>
  <c r="G163"/>
  <c r="G164" s="1"/>
  <c r="I163"/>
  <c r="I164" s="1"/>
  <c r="K163"/>
  <c r="K164" s="1"/>
  <c r="M163"/>
  <c r="O163"/>
  <c r="O164" s="1"/>
  <c r="Q163"/>
  <c r="S163"/>
  <c r="S164" s="1"/>
  <c r="AD163"/>
  <c r="AD164" s="1"/>
  <c r="G165"/>
  <c r="I165"/>
  <c r="K165"/>
  <c r="Q167"/>
  <c r="F168"/>
  <c r="F170" s="1"/>
  <c r="J168"/>
  <c r="J170" s="1"/>
  <c r="N168"/>
  <c r="P168"/>
  <c r="AC168"/>
  <c r="H169"/>
  <c r="F171"/>
  <c r="F172" s="1"/>
  <c r="H171"/>
  <c r="H172" s="1"/>
  <c r="J171"/>
  <c r="J172" s="1"/>
  <c r="L171"/>
  <c r="L172" s="1"/>
  <c r="N171"/>
  <c r="N172" s="1"/>
  <c r="N174" s="1"/>
  <c r="P171"/>
  <c r="P172" s="1"/>
  <c r="R171"/>
  <c r="AC171"/>
  <c r="AC172" s="1"/>
  <c r="F173"/>
  <c r="H173" s="1"/>
  <c r="J173"/>
  <c r="Q57" i="90"/>
  <c r="CL55" i="8"/>
  <c r="Q34" i="90"/>
  <c r="Q33"/>
  <c r="Q32"/>
  <c r="Q44" i="87"/>
  <c r="Q32"/>
  <c r="Q30"/>
  <c r="CO93" i="8"/>
  <c r="CN93"/>
  <c r="CO92"/>
  <c r="CN92"/>
  <c r="CL92" s="1"/>
  <c r="CO91"/>
  <c r="CN91"/>
  <c r="CL93"/>
  <c r="CL91"/>
  <c r="CL53"/>
  <c r="CL52"/>
  <c r="CL51"/>
  <c r="AX27" i="6"/>
  <c r="AX9"/>
  <c r="AX44"/>
  <c r="AX42"/>
  <c r="AX41"/>
  <c r="AX40"/>
  <c r="AX39"/>
  <c r="AX37"/>
  <c r="AX36"/>
  <c r="AX35"/>
  <c r="AX34"/>
  <c r="AX33"/>
  <c r="AX32"/>
  <c r="AX31"/>
  <c r="AX30"/>
  <c r="AX28"/>
  <c r="AX26"/>
  <c r="AX24"/>
  <c r="AX22"/>
  <c r="AX21"/>
  <c r="AX16"/>
  <c r="AX15"/>
  <c r="AX14"/>
  <c r="AX12"/>
  <c r="DI33" i="17"/>
  <c r="DI32"/>
  <c r="DI30"/>
  <c r="DI31"/>
  <c r="DK44" i="11"/>
  <c r="DK43"/>
  <c r="DK42"/>
  <c r="DK41"/>
  <c r="H77" i="112" l="1"/>
  <c r="H147" i="91" s="1"/>
  <c r="F147"/>
  <c r="O71" i="112"/>
  <c r="O141" i="91" s="1"/>
  <c r="E141"/>
  <c r="E78"/>
  <c r="C78"/>
  <c r="C84" i="112"/>
  <c r="E6"/>
  <c r="B53" i="91"/>
  <c r="B58"/>
  <c r="B57"/>
  <c r="C85" i="112"/>
  <c r="C86"/>
  <c r="V65"/>
  <c r="V128" i="91" s="1"/>
  <c r="S128"/>
  <c r="H65" i="112"/>
  <c r="H128" i="91" s="1"/>
  <c r="G128"/>
  <c r="Q58" i="112"/>
  <c r="Q121" i="91" s="1"/>
  <c r="O121"/>
  <c r="E137"/>
  <c r="B54"/>
  <c r="B59"/>
  <c r="B60"/>
  <c r="E13" i="112"/>
  <c r="B56" i="91"/>
  <c r="B55"/>
  <c r="L164" i="9"/>
  <c r="M167"/>
  <c r="R167" s="1"/>
  <c r="R164" s="1"/>
  <c r="G174"/>
  <c r="D75" i="112"/>
  <c r="D145" i="91" s="1"/>
  <c r="D146"/>
  <c r="D73" i="112"/>
  <c r="D143" i="91" s="1"/>
  <c r="D144"/>
  <c r="D137"/>
  <c r="D113"/>
  <c r="M32" i="113"/>
  <c r="R32" s="1"/>
  <c r="H16"/>
  <c r="L16"/>
  <c r="M42"/>
  <c r="M7"/>
  <c r="N7" s="1"/>
  <c r="N5" s="1"/>
  <c r="M18"/>
  <c r="M57"/>
  <c r="N57" s="1"/>
  <c r="N55" s="1"/>
  <c r="M5"/>
  <c r="M55"/>
  <c r="N18"/>
  <c r="N16" s="1"/>
  <c r="W32"/>
  <c r="V32"/>
  <c r="U17"/>
  <c r="S17"/>
  <c r="O17"/>
  <c r="T17"/>
  <c r="P17"/>
  <c r="H66"/>
  <c r="I65"/>
  <c r="U43"/>
  <c r="S43"/>
  <c r="O43"/>
  <c r="T43"/>
  <c r="P43"/>
  <c r="S6"/>
  <c r="T6"/>
  <c r="P6"/>
  <c r="U6"/>
  <c r="O6"/>
  <c r="T56"/>
  <c r="P56"/>
  <c r="U56"/>
  <c r="S56"/>
  <c r="O56"/>
  <c r="P57"/>
  <c r="S57"/>
  <c r="H65"/>
  <c r="W71" i="112"/>
  <c r="H71"/>
  <c r="H141" i="91" s="1"/>
  <c r="V71" i="112"/>
  <c r="V141" i="91" s="1"/>
  <c r="W77" i="112"/>
  <c r="K75"/>
  <c r="K145" i="91" s="1"/>
  <c r="T75" i="112"/>
  <c r="T145" i="91" s="1"/>
  <c r="Q65" i="112"/>
  <c r="Q128" i="91" s="1"/>
  <c r="V58" i="112"/>
  <c r="V121" i="91" s="1"/>
  <c r="H58" i="112"/>
  <c r="H121" i="91" s="1"/>
  <c r="W65" i="112"/>
  <c r="W58"/>
  <c r="F76"/>
  <c r="G76"/>
  <c r="S76"/>
  <c r="S146" i="91" s="1"/>
  <c r="E50" i="112"/>
  <c r="L78"/>
  <c r="J76"/>
  <c r="H78"/>
  <c r="M78" s="1"/>
  <c r="B75"/>
  <c r="B145" i="91" s="1"/>
  <c r="E76" i="112"/>
  <c r="E146" i="91" s="1"/>
  <c r="I76" i="112"/>
  <c r="O76"/>
  <c r="U76"/>
  <c r="P76"/>
  <c r="L71"/>
  <c r="V16"/>
  <c r="L65"/>
  <c r="L128" i="91" s="1"/>
  <c r="L57" i="112"/>
  <c r="Q78"/>
  <c r="R78" s="1"/>
  <c r="V78"/>
  <c r="Q77"/>
  <c r="Q147" i="91" s="1"/>
  <c r="V77" i="112"/>
  <c r="V147" i="91" s="1"/>
  <c r="M35" i="112"/>
  <c r="R35" s="1"/>
  <c r="H16"/>
  <c r="M16" s="1"/>
  <c r="T54"/>
  <c r="T117" i="91" s="1"/>
  <c r="P54" i="112"/>
  <c r="P117" i="91" s="1"/>
  <c r="N54" i="112"/>
  <c r="N117" i="91" s="1"/>
  <c r="J54" i="112"/>
  <c r="J117" i="91" s="1"/>
  <c r="F54" i="112"/>
  <c r="F117" i="91" s="1"/>
  <c r="U54" i="112"/>
  <c r="U117" i="91" s="1"/>
  <c r="S54" i="112"/>
  <c r="S117" i="91" s="1"/>
  <c r="O54" i="112"/>
  <c r="O117" i="91" s="1"/>
  <c r="K54" i="112"/>
  <c r="K117" i="91" s="1"/>
  <c r="I54" i="112"/>
  <c r="I117" i="91" s="1"/>
  <c r="G54" i="112"/>
  <c r="G117" i="91" s="1"/>
  <c r="E53" i="112"/>
  <c r="E116" i="91" s="1"/>
  <c r="D53" i="112"/>
  <c r="D116" i="91" s="1"/>
  <c r="D59" i="112"/>
  <c r="D122" i="91" s="1"/>
  <c r="E59" i="112"/>
  <c r="E122" i="91" s="1"/>
  <c r="E28" i="112"/>
  <c r="E84" i="91" s="1"/>
  <c r="D28" i="112"/>
  <c r="D84" i="91" s="1"/>
  <c r="D22" i="112"/>
  <c r="E9"/>
  <c r="E56" i="91" s="1"/>
  <c r="E29" i="112"/>
  <c r="E85" i="91" s="1"/>
  <c r="D29" i="112"/>
  <c r="D85" i="91" s="1"/>
  <c r="D68" i="112"/>
  <c r="D138" i="91" s="1"/>
  <c r="E75" i="112"/>
  <c r="U72"/>
  <c r="U142" i="91" s="1"/>
  <c r="S72" i="112"/>
  <c r="S142" i="91" s="1"/>
  <c r="O72" i="112"/>
  <c r="O142" i="91" s="1"/>
  <c r="K72" i="112"/>
  <c r="K142" i="91" s="1"/>
  <c r="I72" i="112"/>
  <c r="I142" i="91" s="1"/>
  <c r="G72" i="112"/>
  <c r="G142" i="91" s="1"/>
  <c r="N72" i="112"/>
  <c r="N142" i="91" s="1"/>
  <c r="J72" i="112"/>
  <c r="J142" i="91" s="1"/>
  <c r="F72" i="112"/>
  <c r="F142" i="91" s="1"/>
  <c r="T72" i="112"/>
  <c r="T142" i="91" s="1"/>
  <c r="P72" i="112"/>
  <c r="P142" i="91" s="1"/>
  <c r="K67" i="112"/>
  <c r="I67"/>
  <c r="G67"/>
  <c r="E68"/>
  <c r="E138" i="91" s="1"/>
  <c r="J67" i="112"/>
  <c r="F67"/>
  <c r="U64"/>
  <c r="U127" i="91" s="1"/>
  <c r="S64" i="112"/>
  <c r="S127" i="91" s="1"/>
  <c r="O64" i="112"/>
  <c r="O127" i="91" s="1"/>
  <c r="K64" i="112"/>
  <c r="K127" i="91" s="1"/>
  <c r="I64" i="112"/>
  <c r="I127" i="91" s="1"/>
  <c r="G64" i="112"/>
  <c r="G127" i="91" s="1"/>
  <c r="N64" i="112"/>
  <c r="N127" i="91" s="1"/>
  <c r="J64" i="112"/>
  <c r="J127" i="91" s="1"/>
  <c r="F64" i="112"/>
  <c r="F127" i="91" s="1"/>
  <c r="T64" i="112"/>
  <c r="T127" i="91" s="1"/>
  <c r="P64" i="112"/>
  <c r="P127" i="91" s="1"/>
  <c r="E55" i="112"/>
  <c r="E118" i="91" s="1"/>
  <c r="D55" i="112"/>
  <c r="D118" i="91" s="1"/>
  <c r="T52" i="112"/>
  <c r="T115" i="91" s="1"/>
  <c r="P52" i="112"/>
  <c r="P115" i="91" s="1"/>
  <c r="N52" i="112"/>
  <c r="N115" i="91" s="1"/>
  <c r="J52" i="112"/>
  <c r="J115" i="91" s="1"/>
  <c r="F52" i="112"/>
  <c r="F115" i="91" s="1"/>
  <c r="U52" i="112"/>
  <c r="U115" i="91" s="1"/>
  <c r="S52" i="112"/>
  <c r="S115" i="91" s="1"/>
  <c r="O52" i="112"/>
  <c r="O115" i="91" s="1"/>
  <c r="K52" i="112"/>
  <c r="K115" i="91" s="1"/>
  <c r="I52" i="112"/>
  <c r="I115" i="91" s="1"/>
  <c r="G52" i="112"/>
  <c r="G115" i="91" s="1"/>
  <c r="D51" i="112"/>
  <c r="D114" i="91" s="1"/>
  <c r="U74" i="112"/>
  <c r="U144" i="91" s="1"/>
  <c r="S74" i="112"/>
  <c r="S144" i="91" s="1"/>
  <c r="O74" i="112"/>
  <c r="K74"/>
  <c r="I74"/>
  <c r="I144" i="91" s="1"/>
  <c r="G74" i="112"/>
  <c r="T74"/>
  <c r="P74"/>
  <c r="E73"/>
  <c r="E143" i="91" s="1"/>
  <c r="N74" i="112"/>
  <c r="N144" i="91" s="1"/>
  <c r="J74" i="112"/>
  <c r="F74"/>
  <c r="U69"/>
  <c r="U139" i="91" s="1"/>
  <c r="S69" i="112"/>
  <c r="S139" i="91" s="1"/>
  <c r="O69" i="112"/>
  <c r="O139" i="91" s="1"/>
  <c r="K69" i="112"/>
  <c r="K139" i="91" s="1"/>
  <c r="I69" i="112"/>
  <c r="I139" i="91" s="1"/>
  <c r="G69" i="112"/>
  <c r="G139" i="91" s="1"/>
  <c r="T69" i="112"/>
  <c r="T139" i="91" s="1"/>
  <c r="P69" i="112"/>
  <c r="P139" i="91" s="1"/>
  <c r="N69" i="112"/>
  <c r="N139" i="91" s="1"/>
  <c r="J69" i="112"/>
  <c r="J139" i="91" s="1"/>
  <c r="F69" i="112"/>
  <c r="F139" i="91" s="1"/>
  <c r="E61" i="112"/>
  <c r="E124" i="91" s="1"/>
  <c r="B60" i="112"/>
  <c r="D61"/>
  <c r="E33"/>
  <c r="E89" i="91" s="1"/>
  <c r="D33" i="112"/>
  <c r="D89" i="91" s="1"/>
  <c r="E24" i="112"/>
  <c r="E80" i="91" s="1"/>
  <c r="D24" i="112"/>
  <c r="D80" i="91" s="1"/>
  <c r="T19" i="112"/>
  <c r="T66" i="91" s="1"/>
  <c r="P19" i="112"/>
  <c r="P66" i="91" s="1"/>
  <c r="N19" i="112"/>
  <c r="N66" i="91" s="1"/>
  <c r="J19" i="112"/>
  <c r="J66" i="91" s="1"/>
  <c r="F19" i="112"/>
  <c r="F66" i="91" s="1"/>
  <c r="U19" i="112"/>
  <c r="U66" i="91" s="1"/>
  <c r="S19" i="112"/>
  <c r="S66" i="91" s="1"/>
  <c r="O19" i="112"/>
  <c r="O66" i="91" s="1"/>
  <c r="K19" i="112"/>
  <c r="K66" i="91" s="1"/>
  <c r="I19" i="112"/>
  <c r="I66" i="91" s="1"/>
  <c r="G19" i="112"/>
  <c r="G66" i="91" s="1"/>
  <c r="E19" i="112"/>
  <c r="E66" i="91" s="1"/>
  <c r="B18" i="112"/>
  <c r="B65" i="91" s="1"/>
  <c r="E11" i="112"/>
  <c r="E58" i="91" s="1"/>
  <c r="D23" i="112"/>
  <c r="D79" i="91" s="1"/>
  <c r="D27" i="112"/>
  <c r="D83" i="91" s="1"/>
  <c r="E27" i="112"/>
  <c r="E83" i="91" s="1"/>
  <c r="D32" i="112"/>
  <c r="D88" i="91" s="1"/>
  <c r="E32" i="112"/>
  <c r="E88" i="91" s="1"/>
  <c r="D38" i="112"/>
  <c r="D94" i="91" s="1"/>
  <c r="E38" i="112"/>
  <c r="E94" i="91" s="1"/>
  <c r="E41" i="112"/>
  <c r="E97" i="91" s="1"/>
  <c r="D41" i="112"/>
  <c r="D97" i="91" s="1"/>
  <c r="U45" i="112"/>
  <c r="U101" i="91" s="1"/>
  <c r="S45" i="112"/>
  <c r="S101" i="91" s="1"/>
  <c r="O45" i="112"/>
  <c r="O101" i="91" s="1"/>
  <c r="K45" i="112"/>
  <c r="K101" i="91" s="1"/>
  <c r="I45" i="112"/>
  <c r="I101" i="91" s="1"/>
  <c r="G45" i="112"/>
  <c r="G101" i="91" s="1"/>
  <c r="E45" i="112"/>
  <c r="E101" i="91" s="1"/>
  <c r="B44" i="112"/>
  <c r="B100" i="91" s="1"/>
  <c r="T45" i="112"/>
  <c r="T101" i="91" s="1"/>
  <c r="P45" i="112"/>
  <c r="P101" i="91" s="1"/>
  <c r="N45" i="112"/>
  <c r="N101" i="91" s="1"/>
  <c r="J45" i="112"/>
  <c r="J101" i="91" s="1"/>
  <c r="F45" i="112"/>
  <c r="F101" i="91" s="1"/>
  <c r="E42" i="112"/>
  <c r="E98" i="91" s="1"/>
  <c r="D42" i="112"/>
  <c r="D98" i="91" s="1"/>
  <c r="E48" i="112"/>
  <c r="E104" i="91" s="1"/>
  <c r="D48" i="112"/>
  <c r="D104" i="91" s="1"/>
  <c r="E31" i="112"/>
  <c r="E87" i="91" s="1"/>
  <c r="D31" i="112"/>
  <c r="D87" i="91" s="1"/>
  <c r="E15" i="112"/>
  <c r="E62" i="91" s="1"/>
  <c r="B14" i="112"/>
  <c r="B61" i="91" s="1"/>
  <c r="E10" i="112"/>
  <c r="E57" i="91" s="1"/>
  <c r="U37" i="112"/>
  <c r="U93" i="91" s="1"/>
  <c r="S37" i="112"/>
  <c r="S93" i="91" s="1"/>
  <c r="O37" i="112"/>
  <c r="O93" i="91" s="1"/>
  <c r="K37" i="112"/>
  <c r="K93" i="91" s="1"/>
  <c r="I37" i="112"/>
  <c r="I93" i="91" s="1"/>
  <c r="G37" i="112"/>
  <c r="G93" i="91" s="1"/>
  <c r="T37" i="112"/>
  <c r="T93" i="91" s="1"/>
  <c r="P37" i="112"/>
  <c r="P93" i="91" s="1"/>
  <c r="N37" i="112"/>
  <c r="N93" i="91" s="1"/>
  <c r="J37" i="112"/>
  <c r="J93" i="91" s="1"/>
  <c r="F37" i="112"/>
  <c r="F93" i="91" s="1"/>
  <c r="L58" i="112"/>
  <c r="L121" i="91" s="1"/>
  <c r="M57" i="112"/>
  <c r="R57" s="1"/>
  <c r="L77"/>
  <c r="L34"/>
  <c r="M34" s="1"/>
  <c r="R34" s="1"/>
  <c r="Q71"/>
  <c r="Q141" i="91" s="1"/>
  <c r="Q16" i="112"/>
  <c r="R16" s="1"/>
  <c r="D70"/>
  <c r="D140" i="91" s="1"/>
  <c r="E70" i="112"/>
  <c r="E140" i="91" s="1"/>
  <c r="Q76" i="112"/>
  <c r="Q146" i="91" s="1"/>
  <c r="N75" i="112"/>
  <c r="S75"/>
  <c r="S145" i="91" s="1"/>
  <c r="E56" i="112"/>
  <c r="E119" i="91" s="1"/>
  <c r="D56" i="112"/>
  <c r="D119" i="91" s="1"/>
  <c r="I50" i="112"/>
  <c r="T63"/>
  <c r="T126" i="91" s="1"/>
  <c r="P63" i="112"/>
  <c r="P126" i="91" s="1"/>
  <c r="N63" i="112"/>
  <c r="N126" i="91" s="1"/>
  <c r="J63" i="112"/>
  <c r="F63"/>
  <c r="S63"/>
  <c r="S126" i="91" s="1"/>
  <c r="O63" i="112"/>
  <c r="K63"/>
  <c r="G63"/>
  <c r="G126" i="91" s="1"/>
  <c r="D63" i="112"/>
  <c r="U63"/>
  <c r="U126" i="91" s="1"/>
  <c r="I63" i="112"/>
  <c r="I126" i="91" s="1"/>
  <c r="E63" i="112"/>
  <c r="E126" i="91" s="1"/>
  <c r="B62" i="112"/>
  <c r="B125" i="91" s="1"/>
  <c r="E17" i="112"/>
  <c r="E64" i="91" s="1"/>
  <c r="E25" i="112"/>
  <c r="E81" i="91" s="1"/>
  <c r="D25" i="112"/>
  <c r="D81" i="91" s="1"/>
  <c r="E36" i="112"/>
  <c r="D36"/>
  <c r="D92" i="91" s="1"/>
  <c r="T40" i="112"/>
  <c r="T96" i="91" s="1"/>
  <c r="S40" i="112"/>
  <c r="S96" i="91" s="1"/>
  <c r="J40" i="112"/>
  <c r="J96" i="91" s="1"/>
  <c r="F40" i="112"/>
  <c r="F96" i="91" s="1"/>
  <c r="P40" i="112"/>
  <c r="P96" i="91" s="1"/>
  <c r="I40" i="112"/>
  <c r="I96" i="91" s="1"/>
  <c r="E40" i="112"/>
  <c r="E96" i="91" s="1"/>
  <c r="B39" i="112"/>
  <c r="G40"/>
  <c r="G96" i="91" s="1"/>
  <c r="E43" i="112"/>
  <c r="E99" i="91" s="1"/>
  <c r="D43" i="112"/>
  <c r="D99" i="91" s="1"/>
  <c r="E47" i="112"/>
  <c r="E103" i="91" s="1"/>
  <c r="D47" i="112"/>
  <c r="D103" i="91" s="1"/>
  <c r="E46" i="112"/>
  <c r="E102" i="91" s="1"/>
  <c r="D46" i="112"/>
  <c r="D102" i="91" s="1"/>
  <c r="E26" i="112"/>
  <c r="E82" i="91" s="1"/>
  <c r="D26" i="112"/>
  <c r="D82" i="91" s="1"/>
  <c r="E20" i="112"/>
  <c r="E67" i="91" s="1"/>
  <c r="E12" i="112"/>
  <c r="E59" i="91" s="1"/>
  <c r="E8" i="112"/>
  <c r="E55" i="91" s="1"/>
  <c r="M65" i="112"/>
  <c r="N38" i="111"/>
  <c r="O37"/>
  <c r="E38"/>
  <c r="I174" i="9"/>
  <c r="P170"/>
  <c r="R161"/>
  <c r="M152"/>
  <c r="O170"/>
  <c r="R148"/>
  <c r="L144"/>
  <c r="L145" s="1"/>
  <c r="AE140"/>
  <c r="R169"/>
  <c r="Q152"/>
  <c r="M173"/>
  <c r="M174" s="1"/>
  <c r="Q20" i="111"/>
  <c r="U8"/>
  <c r="P29"/>
  <c r="S38"/>
  <c r="T12"/>
  <c r="P20"/>
  <c r="O8"/>
  <c r="K41"/>
  <c r="R38"/>
  <c r="K33"/>
  <c r="T29"/>
  <c r="R9"/>
  <c r="T37"/>
  <c r="O20"/>
  <c r="S20"/>
  <c r="P12"/>
  <c r="T8"/>
  <c r="O12"/>
  <c r="Q9"/>
  <c r="T7"/>
  <c r="T9" s="1"/>
  <c r="L38"/>
  <c r="O36"/>
  <c r="S28"/>
  <c r="S30" s="1"/>
  <c r="Q28"/>
  <c r="M28"/>
  <c r="M30" s="1"/>
  <c r="I28"/>
  <c r="I30" s="1"/>
  <c r="G28"/>
  <c r="E28"/>
  <c r="C30"/>
  <c r="R28"/>
  <c r="R30" s="1"/>
  <c r="N28"/>
  <c r="N30" s="1"/>
  <c r="L28"/>
  <c r="H28"/>
  <c r="H30" s="1"/>
  <c r="F28"/>
  <c r="D28"/>
  <c r="D30" s="1"/>
  <c r="G38"/>
  <c r="J36"/>
  <c r="J38" s="1"/>
  <c r="S33"/>
  <c r="Q33"/>
  <c r="M33"/>
  <c r="R33"/>
  <c r="N33"/>
  <c r="G9"/>
  <c r="J7"/>
  <c r="J9" s="1"/>
  <c r="S15"/>
  <c r="S17" s="1"/>
  <c r="Q15"/>
  <c r="M15"/>
  <c r="M17" s="1"/>
  <c r="I15"/>
  <c r="I17" s="1"/>
  <c r="G15"/>
  <c r="E15"/>
  <c r="C17"/>
  <c r="L15"/>
  <c r="H15"/>
  <c r="H17" s="1"/>
  <c r="D15"/>
  <c r="D17" s="1"/>
  <c r="R15"/>
  <c r="R17" s="1"/>
  <c r="N15"/>
  <c r="N17" s="1"/>
  <c r="F33"/>
  <c r="F20"/>
  <c r="P8"/>
  <c r="K12"/>
  <c r="F36"/>
  <c r="J33"/>
  <c r="O29"/>
  <c r="J20"/>
  <c r="J41"/>
  <c r="M38"/>
  <c r="P37"/>
  <c r="T20"/>
  <c r="K20"/>
  <c r="J12"/>
  <c r="M9"/>
  <c r="T16"/>
  <c r="O7"/>
  <c r="Q38"/>
  <c r="T36"/>
  <c r="T38" s="1"/>
  <c r="R41"/>
  <c r="N41"/>
  <c r="S41"/>
  <c r="Q41"/>
  <c r="M41"/>
  <c r="F7"/>
  <c r="S177" i="9"/>
  <c r="S166"/>
  <c r="K177"/>
  <c r="K166"/>
  <c r="K179" s="1"/>
  <c r="S170"/>
  <c r="AE168"/>
  <c r="P177"/>
  <c r="L177"/>
  <c r="D145"/>
  <c r="G145"/>
  <c r="J145"/>
  <c r="N170"/>
  <c r="Q168"/>
  <c r="Q170" s="1"/>
  <c r="AD177"/>
  <c r="I177"/>
  <c r="I166"/>
  <c r="I179" s="1"/>
  <c r="E177"/>
  <c r="E166"/>
  <c r="E179" s="1"/>
  <c r="AD160"/>
  <c r="AD162" s="1"/>
  <c r="S160"/>
  <c r="O160"/>
  <c r="O162" s="1"/>
  <c r="K160"/>
  <c r="K162" s="1"/>
  <c r="I160"/>
  <c r="G160"/>
  <c r="G162" s="1"/>
  <c r="E162"/>
  <c r="AC160"/>
  <c r="AC162" s="1"/>
  <c r="P160"/>
  <c r="P162" s="1"/>
  <c r="N160"/>
  <c r="J160"/>
  <c r="J162" s="1"/>
  <c r="H160"/>
  <c r="F160"/>
  <c r="F162" s="1"/>
  <c r="I170"/>
  <c r="L168"/>
  <c r="L170" s="1"/>
  <c r="AD165"/>
  <c r="AD166" s="1"/>
  <c r="S165"/>
  <c r="Q165"/>
  <c r="O165"/>
  <c r="AC165"/>
  <c r="P165"/>
  <c r="P166" s="1"/>
  <c r="AE177"/>
  <c r="N166"/>
  <c r="N179" s="1"/>
  <c r="N177"/>
  <c r="J166"/>
  <c r="J177"/>
  <c r="F166"/>
  <c r="F177"/>
  <c r="H145"/>
  <c r="D151"/>
  <c r="D153" s="1"/>
  <c r="AD150"/>
  <c r="AD151" s="1"/>
  <c r="AD153" s="1"/>
  <c r="S150"/>
  <c r="S151" s="1"/>
  <c r="S153" s="1"/>
  <c r="Q150"/>
  <c r="Q151" s="1"/>
  <c r="Q153" s="1"/>
  <c r="O150"/>
  <c r="O151" s="1"/>
  <c r="O153" s="1"/>
  <c r="M150"/>
  <c r="M151" s="1"/>
  <c r="M153" s="1"/>
  <c r="K150"/>
  <c r="K151" s="1"/>
  <c r="K153" s="1"/>
  <c r="I150"/>
  <c r="I151" s="1"/>
  <c r="I153" s="1"/>
  <c r="G150"/>
  <c r="G151" s="1"/>
  <c r="G153" s="1"/>
  <c r="E150"/>
  <c r="E151" s="1"/>
  <c r="E153" s="1"/>
  <c r="AE150"/>
  <c r="AE151" s="1"/>
  <c r="N150"/>
  <c r="N151" s="1"/>
  <c r="N153" s="1"/>
  <c r="AC150"/>
  <c r="AC151" s="1"/>
  <c r="AC153" s="1"/>
  <c r="P150"/>
  <c r="P151" s="1"/>
  <c r="P153" s="1"/>
  <c r="L150"/>
  <c r="L151" s="1"/>
  <c r="L156" s="1"/>
  <c r="H150"/>
  <c r="H151" s="1"/>
  <c r="H156" s="1"/>
  <c r="R150"/>
  <c r="R151" s="1"/>
  <c r="J150"/>
  <c r="J151" s="1"/>
  <c r="J153" s="1"/>
  <c r="F150"/>
  <c r="F151" s="1"/>
  <c r="F153" s="1"/>
  <c r="AD156"/>
  <c r="AD145"/>
  <c r="Q156"/>
  <c r="I145"/>
  <c r="E145"/>
  <c r="S141"/>
  <c r="AE139"/>
  <c r="AE141" s="1"/>
  <c r="I141"/>
  <c r="L139"/>
  <c r="L141" s="1"/>
  <c r="AC144"/>
  <c r="P144"/>
  <c r="P145" s="1"/>
  <c r="AD144"/>
  <c r="S144"/>
  <c r="AE144" s="1"/>
  <c r="AE145" s="1"/>
  <c r="O144"/>
  <c r="AC145"/>
  <c r="N145"/>
  <c r="F145"/>
  <c r="AD147"/>
  <c r="AD149" s="1"/>
  <c r="S147"/>
  <c r="O147"/>
  <c r="O149" s="1"/>
  <c r="K147"/>
  <c r="K149" s="1"/>
  <c r="I147"/>
  <c r="G147"/>
  <c r="G149" s="1"/>
  <c r="J147"/>
  <c r="J149" s="1"/>
  <c r="AC147"/>
  <c r="AC149" s="1"/>
  <c r="P147"/>
  <c r="P149" s="1"/>
  <c r="E149"/>
  <c r="N147"/>
  <c r="F147"/>
  <c r="F149" s="1"/>
  <c r="AC173"/>
  <c r="P173"/>
  <c r="P174" s="1"/>
  <c r="AD173"/>
  <c r="AD174" s="1"/>
  <c r="S173"/>
  <c r="O173"/>
  <c r="O174" s="1"/>
  <c r="H165"/>
  <c r="H166" s="1"/>
  <c r="M165"/>
  <c r="H152"/>
  <c r="R172"/>
  <c r="J174"/>
  <c r="F174"/>
  <c r="AC170"/>
  <c r="H168"/>
  <c r="L165"/>
  <c r="L166" s="1"/>
  <c r="Q164"/>
  <c r="Q161"/>
  <c r="L152"/>
  <c r="L173"/>
  <c r="L174" s="1"/>
  <c r="AD170"/>
  <c r="D178"/>
  <c r="Q140"/>
  <c r="Q141" s="1"/>
  <c r="O141"/>
  <c r="R152"/>
  <c r="AE148"/>
  <c r="AE169"/>
  <c r="M144"/>
  <c r="M145" s="1"/>
  <c r="H139"/>
  <c r="O177"/>
  <c r="O166"/>
  <c r="G177"/>
  <c r="G166"/>
  <c r="G179" s="1"/>
  <c r="AC166"/>
  <c r="AC177"/>
  <c r="H177"/>
  <c r="K145"/>
  <c r="AC174"/>
  <c r="H174"/>
  <c r="AE152"/>
  <c r="CI51" i="19"/>
  <c r="CH51"/>
  <c r="Q28" i="87"/>
  <c r="R65" i="112" l="1"/>
  <c r="R128" i="91" s="1"/>
  <c r="M128"/>
  <c r="K62" i="112"/>
  <c r="K125" i="91" s="1"/>
  <c r="K126"/>
  <c r="J62" i="112"/>
  <c r="J125" i="91" s="1"/>
  <c r="J126"/>
  <c r="N145"/>
  <c r="O62" i="112"/>
  <c r="O125" i="91" s="1"/>
  <c r="O126"/>
  <c r="F62" i="112"/>
  <c r="F125" i="91" s="1"/>
  <c r="F126"/>
  <c r="B123"/>
  <c r="B85" i="112"/>
  <c r="J73"/>
  <c r="J143" i="91" s="1"/>
  <c r="J144"/>
  <c r="T73" i="112"/>
  <c r="T143" i="91" s="1"/>
  <c r="T144"/>
  <c r="O73" i="112"/>
  <c r="O143" i="91" s="1"/>
  <c r="O144"/>
  <c r="F137"/>
  <c r="I137"/>
  <c r="M71" i="112"/>
  <c r="M141" i="91" s="1"/>
  <c r="L141"/>
  <c r="V76" i="112"/>
  <c r="V146" i="91" s="1"/>
  <c r="U146"/>
  <c r="L76" i="112"/>
  <c r="L146" i="91" s="1"/>
  <c r="I146"/>
  <c r="J75" i="112"/>
  <c r="J145" i="91" s="1"/>
  <c r="J146"/>
  <c r="G75" i="112"/>
  <c r="G145" i="91" s="1"/>
  <c r="G146"/>
  <c r="U13" i="112"/>
  <c r="E60" i="91"/>
  <c r="J13" i="112"/>
  <c r="J60" i="91" s="1"/>
  <c r="P13" i="112"/>
  <c r="P60" i="91" s="1"/>
  <c r="I13" i="112"/>
  <c r="O13"/>
  <c r="O60" i="91" s="1"/>
  <c r="F13" i="112"/>
  <c r="F60" i="91" s="1"/>
  <c r="N13" i="112"/>
  <c r="T13"/>
  <c r="T60" i="91" s="1"/>
  <c r="G13" i="112"/>
  <c r="K13"/>
  <c r="K60" i="91" s="1"/>
  <c r="S13" i="112"/>
  <c r="E53" i="91"/>
  <c r="B86" i="112"/>
  <c r="B83"/>
  <c r="B95" i="91"/>
  <c r="B84" i="112"/>
  <c r="M77"/>
  <c r="L147" i="91"/>
  <c r="F73" i="112"/>
  <c r="F143" i="91" s="1"/>
  <c r="F144"/>
  <c r="P73" i="112"/>
  <c r="P143" i="91" s="1"/>
  <c r="P144"/>
  <c r="G73" i="112"/>
  <c r="G143" i="91" s="1"/>
  <c r="G144"/>
  <c r="K73" i="112"/>
  <c r="K143" i="91" s="1"/>
  <c r="K144"/>
  <c r="J137"/>
  <c r="G137"/>
  <c r="K137"/>
  <c r="E145"/>
  <c r="P75" i="112"/>
  <c r="P145" i="91" s="1"/>
  <c r="P146"/>
  <c r="O75" i="112"/>
  <c r="O145" i="91" s="1"/>
  <c r="O146"/>
  <c r="F75" i="112"/>
  <c r="F145" i="91" s="1"/>
  <c r="F146"/>
  <c r="E86" i="112"/>
  <c r="AC158" i="9"/>
  <c r="M164"/>
  <c r="M177" s="1"/>
  <c r="E178"/>
  <c r="I178"/>
  <c r="AD179"/>
  <c r="AD178" s="1"/>
  <c r="O179"/>
  <c r="D86" i="112"/>
  <c r="D62"/>
  <c r="D125" i="91" s="1"/>
  <c r="D126"/>
  <c r="D60" i="112"/>
  <c r="D123" i="91" s="1"/>
  <c r="D124"/>
  <c r="D85" i="112"/>
  <c r="I113" i="91"/>
  <c r="J50" i="112"/>
  <c r="E113" i="91"/>
  <c r="D78"/>
  <c r="M16" i="113"/>
  <c r="Q17"/>
  <c r="R17" s="1"/>
  <c r="O57"/>
  <c r="Q57" s="1"/>
  <c r="R57" s="1"/>
  <c r="U57"/>
  <c r="U55" s="1"/>
  <c r="T57"/>
  <c r="T55" s="1"/>
  <c r="Q6"/>
  <c r="R6" s="1"/>
  <c r="Q42"/>
  <c r="R42" s="1"/>
  <c r="Q43"/>
  <c r="R43" s="1"/>
  <c r="V56"/>
  <c r="S55"/>
  <c r="N65"/>
  <c r="W43"/>
  <c r="W17"/>
  <c r="O55"/>
  <c r="W56"/>
  <c r="W6"/>
  <c r="V6"/>
  <c r="V43"/>
  <c r="L65"/>
  <c r="M65" s="1"/>
  <c r="I66"/>
  <c r="L66" s="1"/>
  <c r="M66" s="1"/>
  <c r="V17"/>
  <c r="T7"/>
  <c r="T5" s="1"/>
  <c r="P7"/>
  <c r="P5" s="1"/>
  <c r="U7"/>
  <c r="S7"/>
  <c r="O7"/>
  <c r="O5" s="1"/>
  <c r="U18"/>
  <c r="S18"/>
  <c r="S16" s="1"/>
  <c r="O18"/>
  <c r="T18"/>
  <c r="T16" s="1"/>
  <c r="P18"/>
  <c r="P16" s="1"/>
  <c r="Q56"/>
  <c r="R56" s="1"/>
  <c r="P55"/>
  <c r="Q55" s="1"/>
  <c r="R55" s="1"/>
  <c r="N156" i="9"/>
  <c r="E156"/>
  <c r="I156"/>
  <c r="M58" i="112"/>
  <c r="F50"/>
  <c r="G50"/>
  <c r="K50"/>
  <c r="U73"/>
  <c r="U143" i="91" s="1"/>
  <c r="W74" i="112"/>
  <c r="I75"/>
  <c r="H76"/>
  <c r="U75"/>
  <c r="U145" i="91" s="1"/>
  <c r="W76" i="112"/>
  <c r="W69"/>
  <c r="W72"/>
  <c r="H54"/>
  <c r="H117" i="91" s="1"/>
  <c r="P62" i="112"/>
  <c r="P125" i="91" s="1"/>
  <c r="U62" i="112"/>
  <c r="U125" i="91" s="1"/>
  <c r="W63" i="112"/>
  <c r="G62"/>
  <c r="G125" i="91" s="1"/>
  <c r="T62" i="112"/>
  <c r="T125" i="91" s="1"/>
  <c r="W52" i="112"/>
  <c r="H64"/>
  <c r="H127" i="91" s="1"/>
  <c r="L64" i="112"/>
  <c r="L127" i="91" s="1"/>
  <c r="W64" i="112"/>
  <c r="L54"/>
  <c r="W54"/>
  <c r="W45"/>
  <c r="W37"/>
  <c r="W19"/>
  <c r="H37"/>
  <c r="H93" i="91" s="1"/>
  <c r="V69" i="112"/>
  <c r="V139" i="91" s="1"/>
  <c r="V52" i="112"/>
  <c r="V115" i="91" s="1"/>
  <c r="H67" i="112"/>
  <c r="H72"/>
  <c r="H142" i="91" s="1"/>
  <c r="L72" i="112"/>
  <c r="L142" i="91" s="1"/>
  <c r="R71" i="112"/>
  <c r="R141" i="91" s="1"/>
  <c r="H69" i="112"/>
  <c r="H139" i="91" s="1"/>
  <c r="Q69" i="112"/>
  <c r="Q139" i="91" s="1"/>
  <c r="H52" i="112"/>
  <c r="H115" i="91" s="1"/>
  <c r="U8" i="112"/>
  <c r="U55" i="91" s="1"/>
  <c r="S8" i="112"/>
  <c r="S55" i="91" s="1"/>
  <c r="O8" i="112"/>
  <c r="O55" i="91" s="1"/>
  <c r="K8" i="112"/>
  <c r="K55" i="91" s="1"/>
  <c r="I8" i="112"/>
  <c r="I55" i="91" s="1"/>
  <c r="G8" i="112"/>
  <c r="G55" i="91" s="1"/>
  <c r="T8" i="112"/>
  <c r="T55" i="91" s="1"/>
  <c r="P8" i="112"/>
  <c r="P55" i="91" s="1"/>
  <c r="N8" i="112"/>
  <c r="N55" i="91" s="1"/>
  <c r="J8" i="112"/>
  <c r="J55" i="91" s="1"/>
  <c r="F8" i="112"/>
  <c r="F55" i="91" s="1"/>
  <c r="U20" i="112"/>
  <c r="U67" i="91" s="1"/>
  <c r="S20" i="112"/>
  <c r="O20"/>
  <c r="K20"/>
  <c r="I20"/>
  <c r="G20"/>
  <c r="T20"/>
  <c r="P20"/>
  <c r="N20"/>
  <c r="J20"/>
  <c r="F20"/>
  <c r="T36"/>
  <c r="P36"/>
  <c r="N36"/>
  <c r="J36"/>
  <c r="F36"/>
  <c r="U36"/>
  <c r="I36"/>
  <c r="S36"/>
  <c r="O36"/>
  <c r="K36"/>
  <c r="G36"/>
  <c r="L63"/>
  <c r="L126" i="91" s="1"/>
  <c r="I62" i="112"/>
  <c r="V63"/>
  <c r="V126" i="91" s="1"/>
  <c r="S62" i="112"/>
  <c r="S125" i="91" s="1"/>
  <c r="Q63" i="112"/>
  <c r="Q126" i="91" s="1"/>
  <c r="N62" i="112"/>
  <c r="N125" i="91" s="1"/>
  <c r="K51" i="112"/>
  <c r="I51"/>
  <c r="G51"/>
  <c r="J51"/>
  <c r="F51"/>
  <c r="H51" s="1"/>
  <c r="T70"/>
  <c r="T140" i="91" s="1"/>
  <c r="P70" i="112"/>
  <c r="P140" i="91" s="1"/>
  <c r="N70" i="112"/>
  <c r="N140" i="91" s="1"/>
  <c r="J70" i="112"/>
  <c r="J140" i="91" s="1"/>
  <c r="F70" i="112"/>
  <c r="F140" i="91" s="1"/>
  <c r="S70" i="112"/>
  <c r="S140" i="91" s="1"/>
  <c r="O70" i="112"/>
  <c r="O140" i="91" s="1"/>
  <c r="K70" i="112"/>
  <c r="K140" i="91" s="1"/>
  <c r="G70" i="112"/>
  <c r="G140" i="91" s="1"/>
  <c r="U70" i="112"/>
  <c r="U140" i="91" s="1"/>
  <c r="I70" i="112"/>
  <c r="I140" i="91" s="1"/>
  <c r="K6" i="112"/>
  <c r="G6"/>
  <c r="J6"/>
  <c r="F6"/>
  <c r="I6"/>
  <c r="U31"/>
  <c r="U87" i="91" s="1"/>
  <c r="S31" i="112"/>
  <c r="S87" i="91" s="1"/>
  <c r="O31" i="112"/>
  <c r="O87" i="91" s="1"/>
  <c r="K31" i="112"/>
  <c r="K87" i="91" s="1"/>
  <c r="I31" i="112"/>
  <c r="I87" i="91" s="1"/>
  <c r="G31" i="112"/>
  <c r="G87" i="91" s="1"/>
  <c r="T31" i="112"/>
  <c r="T87" i="91" s="1"/>
  <c r="P31" i="112"/>
  <c r="P87" i="91" s="1"/>
  <c r="N31" i="112"/>
  <c r="N87" i="91" s="1"/>
  <c r="J31" i="112"/>
  <c r="J87" i="91" s="1"/>
  <c r="F31" i="112"/>
  <c r="F87" i="91" s="1"/>
  <c r="T48" i="112"/>
  <c r="T104" i="91" s="1"/>
  <c r="P48" i="112"/>
  <c r="P104" i="91" s="1"/>
  <c r="N48" i="112"/>
  <c r="N104" i="91" s="1"/>
  <c r="J48" i="112"/>
  <c r="J104" i="91" s="1"/>
  <c r="F48" i="112"/>
  <c r="F104" i="91" s="1"/>
  <c r="U48" i="112"/>
  <c r="U104" i="91" s="1"/>
  <c r="S48" i="112"/>
  <c r="S104" i="91" s="1"/>
  <c r="O48" i="112"/>
  <c r="O104" i="91" s="1"/>
  <c r="K48" i="112"/>
  <c r="K104" i="91" s="1"/>
  <c r="I48" i="112"/>
  <c r="I104" i="91" s="1"/>
  <c r="G48" i="112"/>
  <c r="G104" i="91" s="1"/>
  <c r="Q45" i="112"/>
  <c r="Q101" i="91" s="1"/>
  <c r="V45" i="112"/>
  <c r="V101" i="91" s="1"/>
  <c r="U41" i="112"/>
  <c r="U97" i="91" s="1"/>
  <c r="S41" i="112"/>
  <c r="S97" i="91" s="1"/>
  <c r="O41" i="112"/>
  <c r="O97" i="91" s="1"/>
  <c r="K41" i="112"/>
  <c r="K97" i="91" s="1"/>
  <c r="I41" i="112"/>
  <c r="I97" i="91" s="1"/>
  <c r="G41" i="112"/>
  <c r="G97" i="91" s="1"/>
  <c r="T41" i="112"/>
  <c r="T97" i="91" s="1"/>
  <c r="P41" i="112"/>
  <c r="P97" i="91" s="1"/>
  <c r="N41" i="112"/>
  <c r="N97" i="91" s="1"/>
  <c r="J41" i="112"/>
  <c r="J97" i="91" s="1"/>
  <c r="F41" i="112"/>
  <c r="F97" i="91" s="1"/>
  <c r="T32" i="112"/>
  <c r="T88" i="91" s="1"/>
  <c r="P32" i="112"/>
  <c r="P88" i="91" s="1"/>
  <c r="N32" i="112"/>
  <c r="N88" i="91" s="1"/>
  <c r="J32" i="112"/>
  <c r="J88" i="91" s="1"/>
  <c r="F32" i="112"/>
  <c r="F88" i="91" s="1"/>
  <c r="S32" i="112"/>
  <c r="S88" i="91" s="1"/>
  <c r="O32" i="112"/>
  <c r="O88" i="91" s="1"/>
  <c r="K32" i="112"/>
  <c r="K88" i="91" s="1"/>
  <c r="G32" i="112"/>
  <c r="G88" i="91" s="1"/>
  <c r="U32" i="112"/>
  <c r="I32"/>
  <c r="I88" i="91" s="1"/>
  <c r="V19" i="112"/>
  <c r="V66" i="91" s="1"/>
  <c r="U24" i="112"/>
  <c r="U80" i="91" s="1"/>
  <c r="S24" i="112"/>
  <c r="S80" i="91" s="1"/>
  <c r="O24" i="112"/>
  <c r="O80" i="91" s="1"/>
  <c r="K24" i="112"/>
  <c r="K80" i="91" s="1"/>
  <c r="I24" i="112"/>
  <c r="I80" i="91" s="1"/>
  <c r="G24" i="112"/>
  <c r="G80" i="91" s="1"/>
  <c r="N24" i="112"/>
  <c r="N80" i="91" s="1"/>
  <c r="J24" i="112"/>
  <c r="J80" i="91" s="1"/>
  <c r="F24" i="112"/>
  <c r="F80" i="91" s="1"/>
  <c r="T24" i="112"/>
  <c r="T80" i="91" s="1"/>
  <c r="P24" i="112"/>
  <c r="P80" i="91" s="1"/>
  <c r="T61" i="112"/>
  <c r="P61"/>
  <c r="N61"/>
  <c r="N124" i="91" s="1"/>
  <c r="J61" i="112"/>
  <c r="F61"/>
  <c r="E60"/>
  <c r="E123" i="91" s="1"/>
  <c r="U61" i="112"/>
  <c r="U124" i="91" s="1"/>
  <c r="I61" i="112"/>
  <c r="I124" i="91" s="1"/>
  <c r="S61" i="112"/>
  <c r="S124" i="91" s="1"/>
  <c r="O61" i="112"/>
  <c r="K61"/>
  <c r="G61"/>
  <c r="Q74"/>
  <c r="Q144" i="91" s="1"/>
  <c r="N73" i="112"/>
  <c r="L74"/>
  <c r="L144" i="91" s="1"/>
  <c r="I73" i="112"/>
  <c r="T55"/>
  <c r="T118" i="91" s="1"/>
  <c r="U55" i="112"/>
  <c r="U118" i="91" s="1"/>
  <c r="O55" i="112"/>
  <c r="O118" i="91" s="1"/>
  <c r="K55" i="112"/>
  <c r="K118" i="91" s="1"/>
  <c r="I55" i="112"/>
  <c r="I118" i="91" s="1"/>
  <c r="G55" i="112"/>
  <c r="G118" i="91" s="1"/>
  <c r="S55" i="112"/>
  <c r="S118" i="91" s="1"/>
  <c r="P55" i="112"/>
  <c r="P118" i="91" s="1"/>
  <c r="N55" i="112"/>
  <c r="N118" i="91" s="1"/>
  <c r="J55" i="112"/>
  <c r="J118" i="91" s="1"/>
  <c r="F55" i="112"/>
  <c r="F118" i="91" s="1"/>
  <c r="T9" i="112"/>
  <c r="T56" i="91" s="1"/>
  <c r="P9" i="112"/>
  <c r="P56" i="91" s="1"/>
  <c r="N9" i="112"/>
  <c r="N56" i="91" s="1"/>
  <c r="J9" i="112"/>
  <c r="J56" i="91" s="1"/>
  <c r="F9" i="112"/>
  <c r="F56" i="91" s="1"/>
  <c r="U9" i="112"/>
  <c r="U56" i="91" s="1"/>
  <c r="S9" i="112"/>
  <c r="S56" i="91" s="1"/>
  <c r="O9" i="112"/>
  <c r="O56" i="91" s="1"/>
  <c r="K9" i="112"/>
  <c r="K56" i="91" s="1"/>
  <c r="I9" i="112"/>
  <c r="I56" i="91" s="1"/>
  <c r="G9" i="112"/>
  <c r="G56" i="91" s="1"/>
  <c r="U28" i="112"/>
  <c r="U84" i="91" s="1"/>
  <c r="S28" i="112"/>
  <c r="S84" i="91" s="1"/>
  <c r="O28" i="112"/>
  <c r="O84" i="91" s="1"/>
  <c r="K28" i="112"/>
  <c r="K84" i="91" s="1"/>
  <c r="I28" i="112"/>
  <c r="I84" i="91" s="1"/>
  <c r="G28" i="112"/>
  <c r="G84" i="91" s="1"/>
  <c r="N28" i="112"/>
  <c r="N84" i="91" s="1"/>
  <c r="J28" i="112"/>
  <c r="J84" i="91" s="1"/>
  <c r="F28" i="112"/>
  <c r="F84" i="91" s="1"/>
  <c r="T28" i="112"/>
  <c r="T84" i="91" s="1"/>
  <c r="P28" i="112"/>
  <c r="P84" i="91" s="1"/>
  <c r="U53" i="112"/>
  <c r="U116" i="91" s="1"/>
  <c r="S53" i="112"/>
  <c r="S116" i="91" s="1"/>
  <c r="O53" i="112"/>
  <c r="O116" i="91" s="1"/>
  <c r="K53" i="112"/>
  <c r="K116" i="91" s="1"/>
  <c r="I53" i="112"/>
  <c r="I116" i="91" s="1"/>
  <c r="G53" i="112"/>
  <c r="G116" i="91" s="1"/>
  <c r="T53" i="112"/>
  <c r="T116" i="91" s="1"/>
  <c r="P53" i="112"/>
  <c r="P116" i="91" s="1"/>
  <c r="N53" i="112"/>
  <c r="N116" i="91" s="1"/>
  <c r="J53" i="112"/>
  <c r="J116" i="91" s="1"/>
  <c r="F53" i="112"/>
  <c r="F116" i="91" s="1"/>
  <c r="L37" i="112"/>
  <c r="H74"/>
  <c r="H144" i="91" s="1"/>
  <c r="Q64" i="112"/>
  <c r="Q127" i="91" s="1"/>
  <c r="Q72" i="112"/>
  <c r="Q142" i="91" s="1"/>
  <c r="Q54" i="112"/>
  <c r="Q117" i="91" s="1"/>
  <c r="U43" i="112"/>
  <c r="U99" i="91" s="1"/>
  <c r="S43" i="112"/>
  <c r="S99" i="91" s="1"/>
  <c r="O43" i="112"/>
  <c r="O99" i="91" s="1"/>
  <c r="K43" i="112"/>
  <c r="K99" i="91" s="1"/>
  <c r="I43" i="112"/>
  <c r="I99" i="91" s="1"/>
  <c r="G43" i="112"/>
  <c r="G99" i="91" s="1"/>
  <c r="T43" i="112"/>
  <c r="T99" i="91" s="1"/>
  <c r="P43" i="112"/>
  <c r="P99" i="91" s="1"/>
  <c r="N43" i="112"/>
  <c r="N99" i="91" s="1"/>
  <c r="J43" i="112"/>
  <c r="J99" i="91" s="1"/>
  <c r="F43" i="112"/>
  <c r="F99" i="91" s="1"/>
  <c r="H40" i="112"/>
  <c r="H96" i="91" s="1"/>
  <c r="E39" i="112"/>
  <c r="E95" i="91" s="1"/>
  <c r="Q40" i="112"/>
  <c r="Q96" i="91" s="1"/>
  <c r="T17" i="112"/>
  <c r="T64" i="91" s="1"/>
  <c r="P17" i="112"/>
  <c r="P64" i="91" s="1"/>
  <c r="N17" i="112"/>
  <c r="N64" i="91" s="1"/>
  <c r="J17" i="112"/>
  <c r="J64" i="91" s="1"/>
  <c r="F17" i="112"/>
  <c r="F64" i="91" s="1"/>
  <c r="U17" i="112"/>
  <c r="U64" i="91" s="1"/>
  <c r="S17" i="112"/>
  <c r="S64" i="91" s="1"/>
  <c r="O17" i="112"/>
  <c r="O64" i="91" s="1"/>
  <c r="K17" i="112"/>
  <c r="K64" i="91" s="1"/>
  <c r="I17" i="112"/>
  <c r="I64" i="91" s="1"/>
  <c r="G17" i="112"/>
  <c r="G64" i="91" s="1"/>
  <c r="U12" i="112"/>
  <c r="U59" i="91" s="1"/>
  <c r="S12" i="112"/>
  <c r="S59" i="91" s="1"/>
  <c r="O12" i="112"/>
  <c r="O59" i="91" s="1"/>
  <c r="K12" i="112"/>
  <c r="K59" i="91" s="1"/>
  <c r="I12" i="112"/>
  <c r="I59" i="91" s="1"/>
  <c r="G12" i="112"/>
  <c r="G59" i="91" s="1"/>
  <c r="T12" i="112"/>
  <c r="T59" i="91" s="1"/>
  <c r="P12" i="112"/>
  <c r="P59" i="91" s="1"/>
  <c r="N12" i="112"/>
  <c r="N59" i="91" s="1"/>
  <c r="J12" i="112"/>
  <c r="J59" i="91" s="1"/>
  <c r="F12" i="112"/>
  <c r="F59" i="91" s="1"/>
  <c r="U26" i="112"/>
  <c r="U82" i="91" s="1"/>
  <c r="S26" i="112"/>
  <c r="S82" i="91" s="1"/>
  <c r="O26" i="112"/>
  <c r="O82" i="91" s="1"/>
  <c r="K26" i="112"/>
  <c r="K82" i="91" s="1"/>
  <c r="I26" i="112"/>
  <c r="I82" i="91" s="1"/>
  <c r="G26" i="112"/>
  <c r="G82" i="91" s="1"/>
  <c r="T26" i="112"/>
  <c r="T82" i="91" s="1"/>
  <c r="P26" i="112"/>
  <c r="P82" i="91" s="1"/>
  <c r="N26" i="112"/>
  <c r="N82" i="91" s="1"/>
  <c r="J26" i="112"/>
  <c r="J82" i="91" s="1"/>
  <c r="F26" i="112"/>
  <c r="F82" i="91" s="1"/>
  <c r="T46" i="112"/>
  <c r="T102" i="91" s="1"/>
  <c r="P46" i="112"/>
  <c r="P102" i="91" s="1"/>
  <c r="N46" i="112"/>
  <c r="N102" i="91" s="1"/>
  <c r="J46" i="112"/>
  <c r="J102" i="91" s="1"/>
  <c r="F46" i="112"/>
  <c r="F102" i="91" s="1"/>
  <c r="U46" i="112"/>
  <c r="U102" i="91" s="1"/>
  <c r="S46" i="112"/>
  <c r="S102" i="91" s="1"/>
  <c r="O46" i="112"/>
  <c r="O102" i="91" s="1"/>
  <c r="K46" i="112"/>
  <c r="K102" i="91" s="1"/>
  <c r="I46" i="112"/>
  <c r="I102" i="91" s="1"/>
  <c r="G46" i="112"/>
  <c r="G102" i="91" s="1"/>
  <c r="U47" i="112"/>
  <c r="U103" i="91" s="1"/>
  <c r="S47" i="112"/>
  <c r="S103" i="91" s="1"/>
  <c r="O47" i="112"/>
  <c r="O103" i="91" s="1"/>
  <c r="K47" i="112"/>
  <c r="K103" i="91" s="1"/>
  <c r="I47" i="112"/>
  <c r="I103" i="91" s="1"/>
  <c r="G47" i="112"/>
  <c r="G103" i="91" s="1"/>
  <c r="T47" i="112"/>
  <c r="T103" i="91" s="1"/>
  <c r="P47" i="112"/>
  <c r="P103" i="91" s="1"/>
  <c r="N47" i="112"/>
  <c r="N103" i="91" s="1"/>
  <c r="J47" i="112"/>
  <c r="J103" i="91" s="1"/>
  <c r="F47" i="112"/>
  <c r="F103" i="91" s="1"/>
  <c r="L40" i="112"/>
  <c r="L96" i="91" s="1"/>
  <c r="T25" i="112"/>
  <c r="T81" i="91" s="1"/>
  <c r="P25" i="112"/>
  <c r="P81" i="91" s="1"/>
  <c r="N25" i="112"/>
  <c r="N81" i="91" s="1"/>
  <c r="J25" i="112"/>
  <c r="J81" i="91" s="1"/>
  <c r="F25" i="112"/>
  <c r="F81" i="91" s="1"/>
  <c r="U25" i="112"/>
  <c r="U81" i="91" s="1"/>
  <c r="I25" i="112"/>
  <c r="I81" i="91" s="1"/>
  <c r="S25" i="112"/>
  <c r="S81" i="91" s="1"/>
  <c r="O25" i="112"/>
  <c r="O81" i="91" s="1"/>
  <c r="K25" i="112"/>
  <c r="K81" i="91" s="1"/>
  <c r="G25" i="112"/>
  <c r="G81" i="91" s="1"/>
  <c r="H63" i="112"/>
  <c r="H126" i="91" s="1"/>
  <c r="E62" i="112"/>
  <c r="E125" i="91" s="1"/>
  <c r="U56" i="112"/>
  <c r="U119" i="91" s="1"/>
  <c r="S56" i="112"/>
  <c r="S119" i="91" s="1"/>
  <c r="O56" i="112"/>
  <c r="O119" i="91" s="1"/>
  <c r="K56" i="112"/>
  <c r="K119" i="91" s="1"/>
  <c r="I56" i="112"/>
  <c r="I119" i="91" s="1"/>
  <c r="G56" i="112"/>
  <c r="G119" i="91" s="1"/>
  <c r="T56" i="112"/>
  <c r="T119" i="91" s="1"/>
  <c r="P56" i="112"/>
  <c r="P119" i="91" s="1"/>
  <c r="N56" i="112"/>
  <c r="N119" i="91" s="1"/>
  <c r="J56" i="112"/>
  <c r="J119" i="91" s="1"/>
  <c r="F56" i="112"/>
  <c r="F119" i="91" s="1"/>
  <c r="U10" i="112"/>
  <c r="U57" i="91" s="1"/>
  <c r="S10" i="112"/>
  <c r="S57" i="91" s="1"/>
  <c r="O10" i="112"/>
  <c r="O57" i="91" s="1"/>
  <c r="K10" i="112"/>
  <c r="K57" i="91" s="1"/>
  <c r="I10" i="112"/>
  <c r="I57" i="91" s="1"/>
  <c r="G10" i="112"/>
  <c r="G57" i="91" s="1"/>
  <c r="T10" i="112"/>
  <c r="T57" i="91" s="1"/>
  <c r="P10" i="112"/>
  <c r="P57" i="91" s="1"/>
  <c r="N10" i="112"/>
  <c r="N57" i="91" s="1"/>
  <c r="J10" i="112"/>
  <c r="J57" i="91" s="1"/>
  <c r="F10" i="112"/>
  <c r="F57" i="91" s="1"/>
  <c r="U15" i="112"/>
  <c r="U62" i="91" s="1"/>
  <c r="S15" i="112"/>
  <c r="S62" i="91" s="1"/>
  <c r="O15" i="112"/>
  <c r="K15"/>
  <c r="I15"/>
  <c r="I62" i="91" s="1"/>
  <c r="G15" i="112"/>
  <c r="T15"/>
  <c r="T62" i="91" s="1"/>
  <c r="P15" i="112"/>
  <c r="P62" i="91" s="1"/>
  <c r="N15" i="112"/>
  <c r="N62" i="91" s="1"/>
  <c r="J15" i="112"/>
  <c r="J62" i="91" s="1"/>
  <c r="F15" i="112"/>
  <c r="F62" i="91" s="1"/>
  <c r="E14" i="112"/>
  <c r="E61" i="91" s="1"/>
  <c r="T42" i="112"/>
  <c r="T98" i="91" s="1"/>
  <c r="P42" i="112"/>
  <c r="P98" i="91" s="1"/>
  <c r="N42" i="112"/>
  <c r="N98" i="91" s="1"/>
  <c r="J42" i="112"/>
  <c r="J98" i="91" s="1"/>
  <c r="F42" i="112"/>
  <c r="F98" i="91" s="1"/>
  <c r="U42" i="112"/>
  <c r="U98" i="91" s="1"/>
  <c r="S42" i="112"/>
  <c r="O42"/>
  <c r="O98" i="91" s="1"/>
  <c r="K42" i="112"/>
  <c r="K98" i="91" s="1"/>
  <c r="I42" i="112"/>
  <c r="I98" i="91" s="1"/>
  <c r="G42" i="112"/>
  <c r="G98" i="91" s="1"/>
  <c r="H45" i="112"/>
  <c r="H101" i="91" s="1"/>
  <c r="E44" i="112"/>
  <c r="E100" i="91" s="1"/>
  <c r="L45" i="112"/>
  <c r="L101" i="91" s="1"/>
  <c r="T38" i="112"/>
  <c r="T94" i="91" s="1"/>
  <c r="P38" i="112"/>
  <c r="P94" i="91" s="1"/>
  <c r="N38" i="112"/>
  <c r="N94" i="91" s="1"/>
  <c r="J38" i="112"/>
  <c r="J94" i="91" s="1"/>
  <c r="F38" i="112"/>
  <c r="F94" i="91" s="1"/>
  <c r="S38" i="112"/>
  <c r="S94" i="91" s="1"/>
  <c r="O38" i="112"/>
  <c r="O94" i="91" s="1"/>
  <c r="K38" i="112"/>
  <c r="K94" i="91" s="1"/>
  <c r="G38" i="112"/>
  <c r="G94" i="91" s="1"/>
  <c r="U38" i="112"/>
  <c r="I38"/>
  <c r="I94" i="91" s="1"/>
  <c r="T27" i="112"/>
  <c r="T83" i="91" s="1"/>
  <c r="P27" i="112"/>
  <c r="P83" i="91" s="1"/>
  <c r="N27" i="112"/>
  <c r="N83" i="91" s="1"/>
  <c r="J27" i="112"/>
  <c r="J83" i="91" s="1"/>
  <c r="F27" i="112"/>
  <c r="F83" i="91" s="1"/>
  <c r="S27" i="112"/>
  <c r="S83" i="91" s="1"/>
  <c r="O27" i="112"/>
  <c r="O83" i="91" s="1"/>
  <c r="K27" i="112"/>
  <c r="K83" i="91" s="1"/>
  <c r="G27" i="112"/>
  <c r="G83" i="91" s="1"/>
  <c r="U27" i="112"/>
  <c r="U83" i="91" s="1"/>
  <c r="I27" i="112"/>
  <c r="I83" i="91" s="1"/>
  <c r="T11" i="112"/>
  <c r="T58" i="91" s="1"/>
  <c r="P11" i="112"/>
  <c r="P58" i="91" s="1"/>
  <c r="N11" i="112"/>
  <c r="N58" i="91" s="1"/>
  <c r="J11" i="112"/>
  <c r="J58" i="91" s="1"/>
  <c r="F11" i="112"/>
  <c r="F58" i="91" s="1"/>
  <c r="U11" i="112"/>
  <c r="U58" i="91" s="1"/>
  <c r="S11" i="112"/>
  <c r="S58" i="91" s="1"/>
  <c r="O11" i="112"/>
  <c r="O58" i="91" s="1"/>
  <c r="K11" i="112"/>
  <c r="K58" i="91" s="1"/>
  <c r="I11" i="112"/>
  <c r="I58" i="91" s="1"/>
  <c r="G11" i="112"/>
  <c r="G58" i="91" s="1"/>
  <c r="H19" i="112"/>
  <c r="H66" i="91" s="1"/>
  <c r="E18" i="112"/>
  <c r="E65" i="91" s="1"/>
  <c r="L19" i="112"/>
  <c r="L66" i="91" s="1"/>
  <c r="Q19" i="112"/>
  <c r="Q66" i="91" s="1"/>
  <c r="U33" i="112"/>
  <c r="U89" i="91" s="1"/>
  <c r="S33" i="112"/>
  <c r="S89" i="91" s="1"/>
  <c r="O33" i="112"/>
  <c r="O89" i="91" s="1"/>
  <c r="K33" i="112"/>
  <c r="K89" i="91" s="1"/>
  <c r="I33" i="112"/>
  <c r="I89" i="91" s="1"/>
  <c r="G33" i="112"/>
  <c r="G89" i="91" s="1"/>
  <c r="N33" i="112"/>
  <c r="N89" i="91" s="1"/>
  <c r="J33" i="112"/>
  <c r="J89" i="91" s="1"/>
  <c r="F33" i="112"/>
  <c r="F89" i="91" s="1"/>
  <c r="T33" i="112"/>
  <c r="T89" i="91" s="1"/>
  <c r="P33" i="112"/>
  <c r="P89" i="91" s="1"/>
  <c r="V74" i="112"/>
  <c r="V144" i="91" s="1"/>
  <c r="S73" i="112"/>
  <c r="J68"/>
  <c r="F68"/>
  <c r="F138" i="91" s="1"/>
  <c r="I68" i="112"/>
  <c r="I138" i="91" s="1"/>
  <c r="K68" i="112"/>
  <c r="G68"/>
  <c r="L67"/>
  <c r="T29"/>
  <c r="T85" i="91" s="1"/>
  <c r="P29" i="112"/>
  <c r="P85" i="91" s="1"/>
  <c r="N29" i="112"/>
  <c r="N85" i="91" s="1"/>
  <c r="J29" i="112"/>
  <c r="J85" i="91" s="1"/>
  <c r="F29" i="112"/>
  <c r="F85" i="91" s="1"/>
  <c r="U29" i="112"/>
  <c r="U85" i="91" s="1"/>
  <c r="I29" i="112"/>
  <c r="I85" i="91" s="1"/>
  <c r="S29" i="112"/>
  <c r="S85" i="91" s="1"/>
  <c r="O29" i="112"/>
  <c r="O85" i="91" s="1"/>
  <c r="K29" i="112"/>
  <c r="K85" i="91" s="1"/>
  <c r="G29" i="112"/>
  <c r="G85" i="91" s="1"/>
  <c r="J22" i="112"/>
  <c r="F22"/>
  <c r="E23"/>
  <c r="K22"/>
  <c r="I22"/>
  <c r="G22"/>
  <c r="T59"/>
  <c r="T122" i="91" s="1"/>
  <c r="P59" i="112"/>
  <c r="P122" i="91" s="1"/>
  <c r="N59" i="112"/>
  <c r="N122" i="91" s="1"/>
  <c r="J59" i="112"/>
  <c r="J122" i="91" s="1"/>
  <c r="F59" i="112"/>
  <c r="F122" i="91" s="1"/>
  <c r="S59" i="112"/>
  <c r="S122" i="91" s="1"/>
  <c r="O59" i="112"/>
  <c r="O122" i="91" s="1"/>
  <c r="K59" i="112"/>
  <c r="K122" i="91" s="1"/>
  <c r="G59" i="112"/>
  <c r="G122" i="91" s="1"/>
  <c r="U59" i="112"/>
  <c r="U122" i="91" s="1"/>
  <c r="I59" i="112"/>
  <c r="I122" i="91" s="1"/>
  <c r="D40" i="112"/>
  <c r="Q37"/>
  <c r="Q93" i="91" s="1"/>
  <c r="V37" i="112"/>
  <c r="V93" i="91" s="1"/>
  <c r="D45" i="112"/>
  <c r="L69"/>
  <c r="L139" i="91" s="1"/>
  <c r="H73" i="112"/>
  <c r="L52"/>
  <c r="L115" i="91" s="1"/>
  <c r="Q52" i="112"/>
  <c r="Q115" i="91" s="1"/>
  <c r="V64" i="112"/>
  <c r="V127" i="91" s="1"/>
  <c r="E66" i="112"/>
  <c r="E136" i="91" s="1"/>
  <c r="V72" i="112"/>
  <c r="V142" i="91" s="1"/>
  <c r="V54" i="112"/>
  <c r="V117" i="91" s="1"/>
  <c r="O38" i="111"/>
  <c r="E30"/>
  <c r="H179" i="9"/>
  <c r="H178" s="1"/>
  <c r="M158"/>
  <c r="N158"/>
  <c r="P158"/>
  <c r="E158"/>
  <c r="I158"/>
  <c r="I157" s="1"/>
  <c r="M156"/>
  <c r="AD158"/>
  <c r="AD157" s="1"/>
  <c r="K178"/>
  <c r="J158"/>
  <c r="R153"/>
  <c r="K156"/>
  <c r="R173"/>
  <c r="Q173"/>
  <c r="Q174" s="1"/>
  <c r="H147"/>
  <c r="H149" s="1"/>
  <c r="F158"/>
  <c r="R144"/>
  <c r="R145" s="1"/>
  <c r="R158" s="1"/>
  <c r="P156"/>
  <c r="J179"/>
  <c r="J178" s="1"/>
  <c r="N178"/>
  <c r="P179"/>
  <c r="P178" s="1"/>
  <c r="R165"/>
  <c r="R174"/>
  <c r="AE170"/>
  <c r="F15" i="111"/>
  <c r="E17"/>
  <c r="O9"/>
  <c r="O33"/>
  <c r="P33"/>
  <c r="F38"/>
  <c r="K36"/>
  <c r="L17"/>
  <c r="O15"/>
  <c r="O17" s="1"/>
  <c r="T15"/>
  <c r="T17" s="1"/>
  <c r="Q17"/>
  <c r="G30"/>
  <c r="J28"/>
  <c r="J30" s="1"/>
  <c r="O41"/>
  <c r="P41"/>
  <c r="T33"/>
  <c r="F9"/>
  <c r="K7"/>
  <c r="T41"/>
  <c r="F17"/>
  <c r="G17"/>
  <c r="J15"/>
  <c r="J17" s="1"/>
  <c r="F30"/>
  <c r="K28"/>
  <c r="L30"/>
  <c r="O28"/>
  <c r="O30" s="1"/>
  <c r="Q30"/>
  <c r="T28"/>
  <c r="T30" s="1"/>
  <c r="L179" i="9"/>
  <c r="L178" s="1"/>
  <c r="Q177"/>
  <c r="Q166"/>
  <c r="N149"/>
  <c r="Q147"/>
  <c r="Q149" s="1"/>
  <c r="AE147"/>
  <c r="AE149" s="1"/>
  <c r="S149"/>
  <c r="N162"/>
  <c r="Q160"/>
  <c r="Q162" s="1"/>
  <c r="S162"/>
  <c r="AE160"/>
  <c r="AE162" s="1"/>
  <c r="H141"/>
  <c r="M139"/>
  <c r="R166"/>
  <c r="R177"/>
  <c r="AE173"/>
  <c r="AE174" s="1"/>
  <c r="S174"/>
  <c r="S179" s="1"/>
  <c r="S178" s="1"/>
  <c r="L147"/>
  <c r="L149" s="1"/>
  <c r="I149"/>
  <c r="I162"/>
  <c r="L160"/>
  <c r="L162" s="1"/>
  <c r="F179"/>
  <c r="F178" s="1"/>
  <c r="S145"/>
  <c r="S158" s="1"/>
  <c r="K158"/>
  <c r="G178"/>
  <c r="O178"/>
  <c r="F156"/>
  <c r="AC156"/>
  <c r="AC157" s="1"/>
  <c r="Q144"/>
  <c r="Q145" s="1"/>
  <c r="Q158" s="1"/>
  <c r="Q157" s="1"/>
  <c r="H153"/>
  <c r="H158" s="1"/>
  <c r="H157" s="1"/>
  <c r="AE165"/>
  <c r="AE166" s="1"/>
  <c r="J156"/>
  <c r="R156"/>
  <c r="R157" s="1"/>
  <c r="G156"/>
  <c r="O156"/>
  <c r="S156"/>
  <c r="D156"/>
  <c r="H170"/>
  <c r="M168"/>
  <c r="AE153"/>
  <c r="AE158" s="1"/>
  <c r="AE156"/>
  <c r="H162"/>
  <c r="AC179"/>
  <c r="AC178" s="1"/>
  <c r="L153"/>
  <c r="L158" s="1"/>
  <c r="L157" s="1"/>
  <c r="G158"/>
  <c r="O145"/>
  <c r="O158" s="1"/>
  <c r="D158"/>
  <c r="AX54" i="6"/>
  <c r="AX53"/>
  <c r="AX52"/>
  <c r="AX51"/>
  <c r="AZ54" i="5"/>
  <c r="AZ53"/>
  <c r="AZ52"/>
  <c r="AZ51"/>
  <c r="Q29" i="88"/>
  <c r="CO46" i="8"/>
  <c r="CQ38" i="7"/>
  <c r="CQ28"/>
  <c r="CN44" i="8"/>
  <c r="CO44"/>
  <c r="CL44" s="1"/>
  <c r="CN45"/>
  <c r="CO45"/>
  <c r="K78" i="91" l="1"/>
  <c r="F78"/>
  <c r="G66" i="112"/>
  <c r="G136" i="91" s="1"/>
  <c r="G138"/>
  <c r="H143"/>
  <c r="I78"/>
  <c r="E79"/>
  <c r="E84" i="112"/>
  <c r="J78" i="91"/>
  <c r="L137"/>
  <c r="K66" i="112"/>
  <c r="K136" i="91" s="1"/>
  <c r="K138"/>
  <c r="V73" i="112"/>
  <c r="V143" i="91" s="1"/>
  <c r="S143"/>
  <c r="W38" i="112"/>
  <c r="U94" i="91"/>
  <c r="S39" i="112"/>
  <c r="S95" i="91" s="1"/>
  <c r="S98"/>
  <c r="O14" i="112"/>
  <c r="O61" i="91" s="1"/>
  <c r="O62"/>
  <c r="M37" i="112"/>
  <c r="M93" i="91" s="1"/>
  <c r="L93"/>
  <c r="K60" i="112"/>
  <c r="K123" i="91" s="1"/>
  <c r="K124"/>
  <c r="F60" i="112"/>
  <c r="F123" i="91" s="1"/>
  <c r="F124"/>
  <c r="T60" i="112"/>
  <c r="T123" i="91" s="1"/>
  <c r="T124"/>
  <c r="W32" i="112"/>
  <c r="U88" i="91"/>
  <c r="L62" i="112"/>
  <c r="L125" i="91" s="1"/>
  <c r="I125"/>
  <c r="J18" i="112"/>
  <c r="J65" i="91" s="1"/>
  <c r="J67"/>
  <c r="P18" i="112"/>
  <c r="P65" i="91" s="1"/>
  <c r="P67"/>
  <c r="G18" i="112"/>
  <c r="G65" i="91" s="1"/>
  <c r="G67"/>
  <c r="K18" i="112"/>
  <c r="K65" i="91" s="1"/>
  <c r="K67"/>
  <c r="S18" i="112"/>
  <c r="S65" i="91" s="1"/>
  <c r="S67"/>
  <c r="M76" i="112"/>
  <c r="H146" i="91"/>
  <c r="R77" i="112"/>
  <c r="R147" i="91" s="1"/>
  <c r="M147"/>
  <c r="I60"/>
  <c r="L13" i="112"/>
  <c r="U60" i="91"/>
  <c r="W13" i="112"/>
  <c r="I44"/>
  <c r="I100" i="91" s="1"/>
  <c r="H75" i="112"/>
  <c r="H145" i="91" s="1"/>
  <c r="E83" i="112"/>
  <c r="Q75"/>
  <c r="Q145" i="91" s="1"/>
  <c r="G78"/>
  <c r="J66" i="112"/>
  <c r="J136" i="91" s="1"/>
  <c r="J138"/>
  <c r="G14" i="112"/>
  <c r="G61" i="91" s="1"/>
  <c r="G62"/>
  <c r="K14" i="112"/>
  <c r="K61" i="91" s="1"/>
  <c r="K62"/>
  <c r="L73" i="112"/>
  <c r="L143" i="91" s="1"/>
  <c r="I143"/>
  <c r="Q73" i="112"/>
  <c r="Q143" i="91" s="1"/>
  <c r="N143"/>
  <c r="G60" i="112"/>
  <c r="G123" i="91" s="1"/>
  <c r="G124"/>
  <c r="O60" i="112"/>
  <c r="O123" i="91" s="1"/>
  <c r="O124"/>
  <c r="J60" i="112"/>
  <c r="J123" i="91" s="1"/>
  <c r="J124"/>
  <c r="P60" i="112"/>
  <c r="P123" i="91" s="1"/>
  <c r="P124"/>
  <c r="F18" i="112"/>
  <c r="F65" i="91" s="1"/>
  <c r="F67"/>
  <c r="N18" i="112"/>
  <c r="N65" i="91" s="1"/>
  <c r="N67"/>
  <c r="T18" i="112"/>
  <c r="T65" i="91" s="1"/>
  <c r="T67"/>
  <c r="I18" i="112"/>
  <c r="I65" i="91" s="1"/>
  <c r="I67"/>
  <c r="O18" i="112"/>
  <c r="O65" i="91" s="1"/>
  <c r="O67"/>
  <c r="H137"/>
  <c r="M54" i="112"/>
  <c r="M117" i="91" s="1"/>
  <c r="L117"/>
  <c r="L75" i="112"/>
  <c r="I145" i="91"/>
  <c r="R58" i="112"/>
  <c r="R121" i="91" s="1"/>
  <c r="M121"/>
  <c r="V13" i="112"/>
  <c r="V60" i="91" s="1"/>
  <c r="S60"/>
  <c r="H13" i="112"/>
  <c r="H60" i="91" s="1"/>
  <c r="G60"/>
  <c r="N60"/>
  <c r="Q13" i="112"/>
  <c r="Q60" i="91" s="1"/>
  <c r="E85" i="112"/>
  <c r="E87" s="1"/>
  <c r="K86"/>
  <c r="G86"/>
  <c r="J86"/>
  <c r="I86"/>
  <c r="F86"/>
  <c r="B87"/>
  <c r="N157" i="9"/>
  <c r="M166"/>
  <c r="M179" s="1"/>
  <c r="M178" s="1"/>
  <c r="AE179"/>
  <c r="AE178" s="1"/>
  <c r="Q179"/>
  <c r="Q178" s="1"/>
  <c r="L50" i="112"/>
  <c r="K113" i="91"/>
  <c r="K85" i="112"/>
  <c r="F113" i="91"/>
  <c r="F85" i="112"/>
  <c r="H50"/>
  <c r="M50" s="1"/>
  <c r="G113" i="91"/>
  <c r="G85" i="112"/>
  <c r="J113" i="91"/>
  <c r="J85" i="112"/>
  <c r="D44"/>
  <c r="D100" i="91" s="1"/>
  <c r="D101"/>
  <c r="D39" i="112"/>
  <c r="D96" i="91"/>
  <c r="W57" i="113"/>
  <c r="F53" i="91"/>
  <c r="G53"/>
  <c r="I53"/>
  <c r="J53"/>
  <c r="K53"/>
  <c r="V57" i="113"/>
  <c r="V42"/>
  <c r="Q18"/>
  <c r="R18" s="1"/>
  <c r="O16"/>
  <c r="Q16" s="1"/>
  <c r="R16" s="1"/>
  <c r="V7"/>
  <c r="Q7"/>
  <c r="R7" s="1"/>
  <c r="T65"/>
  <c r="T66" s="1"/>
  <c r="N66"/>
  <c r="P65"/>
  <c r="P66" s="1"/>
  <c r="W18"/>
  <c r="V18"/>
  <c r="W7"/>
  <c r="S5"/>
  <c r="U5"/>
  <c r="W55"/>
  <c r="U16"/>
  <c r="W42"/>
  <c r="Q5"/>
  <c r="R5" s="1"/>
  <c r="V55"/>
  <c r="J157" i="9"/>
  <c r="G157"/>
  <c r="F157"/>
  <c r="E157"/>
  <c r="P157"/>
  <c r="M157"/>
  <c r="W75" i="112"/>
  <c r="I66"/>
  <c r="V75"/>
  <c r="V145" i="91" s="1"/>
  <c r="F44" i="112"/>
  <c r="F100" i="91" s="1"/>
  <c r="N44" i="112"/>
  <c r="N100" i="91" s="1"/>
  <c r="T44" i="112"/>
  <c r="T100" i="91" s="1"/>
  <c r="P44" i="112"/>
  <c r="P100" i="91" s="1"/>
  <c r="I39" i="112"/>
  <c r="I95" i="91" s="1"/>
  <c r="J39" i="112"/>
  <c r="J95" i="91" s="1"/>
  <c r="O39" i="112"/>
  <c r="O95" i="91" s="1"/>
  <c r="W73" i="112"/>
  <c r="M69"/>
  <c r="M67"/>
  <c r="F66"/>
  <c r="F136" i="91" s="1"/>
  <c r="W70" i="112"/>
  <c r="M63"/>
  <c r="H55"/>
  <c r="H118" i="91" s="1"/>
  <c r="M52" i="112"/>
  <c r="H62"/>
  <c r="Q55"/>
  <c r="Q118" i="91" s="1"/>
  <c r="V55" i="112"/>
  <c r="V118" i="91" s="1"/>
  <c r="L55" i="112"/>
  <c r="L118" i="91" s="1"/>
  <c r="K49" i="112"/>
  <c r="K112" i="91" s="1"/>
  <c r="Q62" i="112"/>
  <c r="Q125" i="91" s="1"/>
  <c r="V62" i="112"/>
  <c r="V125" i="91" s="1"/>
  <c r="M64" i="112"/>
  <c r="U60"/>
  <c r="U123" i="91" s="1"/>
  <c r="W61" i="112"/>
  <c r="W53"/>
  <c r="W59"/>
  <c r="J49"/>
  <c r="J112" i="91" s="1"/>
  <c r="F49" i="112"/>
  <c r="F112" i="91" s="1"/>
  <c r="W56" i="112"/>
  <c r="W55"/>
  <c r="W62"/>
  <c r="G44"/>
  <c r="G100" i="91" s="1"/>
  <c r="S44" i="112"/>
  <c r="S100" i="91" s="1"/>
  <c r="F39" i="112"/>
  <c r="F95" i="91" s="1"/>
  <c r="W31" i="112"/>
  <c r="P39"/>
  <c r="P95" i="91" s="1"/>
  <c r="O44" i="112"/>
  <c r="O100" i="91" s="1"/>
  <c r="J44" i="112"/>
  <c r="J100" i="91" s="1"/>
  <c r="G39" i="112"/>
  <c r="K44"/>
  <c r="K100" i="91" s="1"/>
  <c r="T39" i="112"/>
  <c r="T95" i="91" s="1"/>
  <c r="W29" i="112"/>
  <c r="H27"/>
  <c r="H83" i="91" s="1"/>
  <c r="H42" i="112"/>
  <c r="H98" i="91" s="1"/>
  <c r="W41" i="112"/>
  <c r="W48"/>
  <c r="W33"/>
  <c r="W27"/>
  <c r="H38"/>
  <c r="H94" i="91" s="1"/>
  <c r="W42" i="112"/>
  <c r="W25"/>
  <c r="W47"/>
  <c r="W46"/>
  <c r="W26"/>
  <c r="W43"/>
  <c r="H28"/>
  <c r="H84" i="91" s="1"/>
  <c r="L28" i="112"/>
  <c r="L84" i="91" s="1"/>
  <c r="W28" i="112"/>
  <c r="W24"/>
  <c r="K39"/>
  <c r="K95" i="91" s="1"/>
  <c r="W36" i="112"/>
  <c r="U44"/>
  <c r="U100" i="91" s="1"/>
  <c r="L44" i="112"/>
  <c r="L100" i="91" s="1"/>
  <c r="F14" i="112"/>
  <c r="F61" i="91" s="1"/>
  <c r="T14" i="112"/>
  <c r="T61" i="91" s="1"/>
  <c r="H9" i="112"/>
  <c r="H56" i="91" s="1"/>
  <c r="L18" i="112"/>
  <c r="L65" i="91" s="1"/>
  <c r="W11" i="112"/>
  <c r="W10"/>
  <c r="W12"/>
  <c r="W17"/>
  <c r="H11"/>
  <c r="H58" i="91" s="1"/>
  <c r="J14" i="112"/>
  <c r="J61" i="91" s="1"/>
  <c r="P14" i="112"/>
  <c r="P61" i="91" s="1"/>
  <c r="L9" i="112"/>
  <c r="L56" i="91" s="1"/>
  <c r="W9" i="112"/>
  <c r="W20"/>
  <c r="U18"/>
  <c r="U14"/>
  <c r="U61" i="91" s="1"/>
  <c r="W15" i="112"/>
  <c r="Q18"/>
  <c r="Q65" i="91" s="1"/>
  <c r="H18" i="112"/>
  <c r="H65" i="91" s="1"/>
  <c r="W8" i="112"/>
  <c r="H29"/>
  <c r="H85" i="91" s="1"/>
  <c r="H59" i="112"/>
  <c r="H122" i="91" s="1"/>
  <c r="V29" i="112"/>
  <c r="V85" i="91" s="1"/>
  <c r="L11" i="112"/>
  <c r="L58" i="91" s="1"/>
  <c r="Q27" i="112"/>
  <c r="Q83" i="91" s="1"/>
  <c r="Q38" i="112"/>
  <c r="Q94" i="91" s="1"/>
  <c r="L42" i="112"/>
  <c r="L98" i="91" s="1"/>
  <c r="H10" i="112"/>
  <c r="H57" i="91" s="1"/>
  <c r="V56" i="112"/>
  <c r="V119" i="91" s="1"/>
  <c r="L25" i="112"/>
  <c r="L81" i="91" s="1"/>
  <c r="L39" i="112"/>
  <c r="L95" i="91" s="1"/>
  <c r="V47" i="112"/>
  <c r="V103" i="91" s="1"/>
  <c r="V46" i="112"/>
  <c r="V102" i="91" s="1"/>
  <c r="V26" i="112"/>
  <c r="V82" i="91" s="1"/>
  <c r="H12" i="112"/>
  <c r="H59" i="91" s="1"/>
  <c r="V43" i="112"/>
  <c r="V99" i="91" s="1"/>
  <c r="H53" i="112"/>
  <c r="H116" i="91" s="1"/>
  <c r="H24" i="112"/>
  <c r="H80" i="91" s="1"/>
  <c r="H41" i="112"/>
  <c r="H97" i="91" s="1"/>
  <c r="H31" i="112"/>
  <c r="H87" i="91" s="1"/>
  <c r="Q31" i="112"/>
  <c r="Q87" i="91" s="1"/>
  <c r="H6" i="112"/>
  <c r="L36"/>
  <c r="V20"/>
  <c r="V67" i="91" s="1"/>
  <c r="H8" i="112"/>
  <c r="H55" i="91" s="1"/>
  <c r="M72" i="112"/>
  <c r="Q59"/>
  <c r="Q122" i="91" s="1"/>
  <c r="Q29" i="112"/>
  <c r="Q85" i="91" s="1"/>
  <c r="H68" i="112"/>
  <c r="H138" i="91" s="1"/>
  <c r="H33" i="112"/>
  <c r="H89" i="91" s="1"/>
  <c r="L33" i="112"/>
  <c r="L89" i="91" s="1"/>
  <c r="M19" i="112"/>
  <c r="V10"/>
  <c r="V57" i="91" s="1"/>
  <c r="H56" i="112"/>
  <c r="H119" i="91" s="1"/>
  <c r="Q56" i="112"/>
  <c r="Q119" i="91" s="1"/>
  <c r="V25" i="112"/>
  <c r="V81" i="91" s="1"/>
  <c r="H47" i="112"/>
  <c r="H103" i="91" s="1"/>
  <c r="H26" i="112"/>
  <c r="H82" i="91" s="1"/>
  <c r="Q26" i="112"/>
  <c r="Q82" i="91" s="1"/>
  <c r="V12" i="112"/>
  <c r="V59" i="91" s="1"/>
  <c r="V17" i="112"/>
  <c r="V64" i="91" s="1"/>
  <c r="H17" i="112"/>
  <c r="H64" i="91" s="1"/>
  <c r="H43" i="112"/>
  <c r="H99" i="91" s="1"/>
  <c r="Q53" i="112"/>
  <c r="Q116" i="91" s="1"/>
  <c r="L53" i="112"/>
  <c r="L116" i="91" s="1"/>
  <c r="L32" i="112"/>
  <c r="L88" i="91" s="1"/>
  <c r="H32" i="112"/>
  <c r="H88" i="91" s="1"/>
  <c r="V41" i="112"/>
  <c r="V97" i="91" s="1"/>
  <c r="V48" i="112"/>
  <c r="V104" i="91" s="1"/>
  <c r="H48" i="112"/>
  <c r="H104" i="91" s="1"/>
  <c r="V31" i="112"/>
  <c r="V87" i="91" s="1"/>
  <c r="L70" i="112"/>
  <c r="L140" i="91" s="1"/>
  <c r="H70" i="112"/>
  <c r="V36"/>
  <c r="H20"/>
  <c r="H67" i="91" s="1"/>
  <c r="V8" i="112"/>
  <c r="V55" i="91" s="1"/>
  <c r="H22" i="112"/>
  <c r="H25"/>
  <c r="H81" i="91" s="1"/>
  <c r="H46" i="112"/>
  <c r="H102" i="91" s="1"/>
  <c r="R37" i="112"/>
  <c r="R93" i="91" s="1"/>
  <c r="H36" i="112"/>
  <c r="M36" s="1"/>
  <c r="N67"/>
  <c r="J23"/>
  <c r="F23"/>
  <c r="F79" i="91" s="1"/>
  <c r="K23" i="112"/>
  <c r="G23"/>
  <c r="G79" i="91" s="1"/>
  <c r="I23" i="112"/>
  <c r="Q15"/>
  <c r="Q62" i="91" s="1"/>
  <c r="N14" i="112"/>
  <c r="L15"/>
  <c r="L62" i="91" s="1"/>
  <c r="I14" i="112"/>
  <c r="I61" i="91" s="1"/>
  <c r="L61" i="112"/>
  <c r="L124" i="91" s="1"/>
  <c r="I60" i="112"/>
  <c r="H60"/>
  <c r="H123" i="91" s="1"/>
  <c r="E49" i="112"/>
  <c r="E112" i="91" s="1"/>
  <c r="Q61" i="112"/>
  <c r="Q124" i="91" s="1"/>
  <c r="N60" i="112"/>
  <c r="Q41"/>
  <c r="Q97" i="91" s="1"/>
  <c r="N39" i="112"/>
  <c r="J7"/>
  <c r="J5" s="1"/>
  <c r="J52" i="91" s="1"/>
  <c r="F7" i="112"/>
  <c r="K7"/>
  <c r="K5" s="1"/>
  <c r="K52" i="91" s="1"/>
  <c r="I7" i="112"/>
  <c r="G7"/>
  <c r="G5" s="1"/>
  <c r="G52" i="91" s="1"/>
  <c r="H66" i="112"/>
  <c r="H136" i="91" s="1"/>
  <c r="L59" i="112"/>
  <c r="L122" i="91" s="1"/>
  <c r="E21" i="112"/>
  <c r="E77" i="91" s="1"/>
  <c r="L29" i="112"/>
  <c r="L85" i="91" s="1"/>
  <c r="L68" i="112"/>
  <c r="L138" i="91" s="1"/>
  <c r="V33" i="112"/>
  <c r="V89" i="91" s="1"/>
  <c r="M18" i="112"/>
  <c r="V11"/>
  <c r="V58" i="91" s="1"/>
  <c r="L27" i="112"/>
  <c r="L38"/>
  <c r="V42"/>
  <c r="V98" i="91" s="1"/>
  <c r="H14" i="112"/>
  <c r="H61" i="91" s="1"/>
  <c r="H15" i="112"/>
  <c r="H62" i="91" s="1"/>
  <c r="Q10" i="112"/>
  <c r="Q57" i="91" s="1"/>
  <c r="L10" i="112"/>
  <c r="L57" i="91" s="1"/>
  <c r="L56" i="112"/>
  <c r="L119" i="91" s="1"/>
  <c r="Q25" i="112"/>
  <c r="Q81" i="91" s="1"/>
  <c r="Q47" i="112"/>
  <c r="Q103" i="91" s="1"/>
  <c r="L47" i="112"/>
  <c r="L103" i="91" s="1"/>
  <c r="L46" i="112"/>
  <c r="L102" i="91" s="1"/>
  <c r="Q46" i="112"/>
  <c r="Q102" i="91" s="1"/>
  <c r="L26" i="112"/>
  <c r="L82" i="91" s="1"/>
  <c r="Q12" i="112"/>
  <c r="Q59" i="91" s="1"/>
  <c r="L12" i="112"/>
  <c r="L17"/>
  <c r="L64" i="91" s="1"/>
  <c r="Q17" i="112"/>
  <c r="Q64" i="91" s="1"/>
  <c r="M40" i="112"/>
  <c r="Q43"/>
  <c r="Q99" i="91" s="1"/>
  <c r="L43" i="112"/>
  <c r="L99" i="91" s="1"/>
  <c r="R54" i="112"/>
  <c r="R117" i="91" s="1"/>
  <c r="M74" i="112"/>
  <c r="V53"/>
  <c r="V116" i="91" s="1"/>
  <c r="V28" i="112"/>
  <c r="V84" i="91" s="1"/>
  <c r="V9" i="112"/>
  <c r="V56" i="91" s="1"/>
  <c r="H61" i="112"/>
  <c r="H124" i="91" s="1"/>
  <c r="Q24" i="112"/>
  <c r="Q80" i="91" s="1"/>
  <c r="L24" i="112"/>
  <c r="L80" i="91" s="1"/>
  <c r="V32" i="112"/>
  <c r="V88" i="91" s="1"/>
  <c r="Q32" i="112"/>
  <c r="Q88" i="91" s="1"/>
  <c r="L41" i="112"/>
  <c r="L97" i="91" s="1"/>
  <c r="L48" i="112"/>
  <c r="L104" i="91" s="1"/>
  <c r="Q48" i="112"/>
  <c r="Q104" i="91" s="1"/>
  <c r="L31" i="112"/>
  <c r="L87" i="91" s="1"/>
  <c r="E5" i="112"/>
  <c r="E52" i="91" s="1"/>
  <c r="V70" i="112"/>
  <c r="V140" i="91" s="1"/>
  <c r="Q70" i="112"/>
  <c r="Q140" i="91" s="1"/>
  <c r="Q36" i="112"/>
  <c r="R36" s="1"/>
  <c r="Q20"/>
  <c r="Q67" i="91" s="1"/>
  <c r="L20" i="112"/>
  <c r="L67" i="91" s="1"/>
  <c r="Q8" i="112"/>
  <c r="Q55" i="91" s="1"/>
  <c r="L8" i="112"/>
  <c r="L22"/>
  <c r="V15"/>
  <c r="V62" i="91" s="1"/>
  <c r="S14" i="112"/>
  <c r="S61" i="91" s="1"/>
  <c r="V61" i="112"/>
  <c r="V124" i="91" s="1"/>
  <c r="S60" i="112"/>
  <c r="S123" i="91" s="1"/>
  <c r="L6" i="112"/>
  <c r="V59"/>
  <c r="V122" i="91" s="1"/>
  <c r="Q33" i="112"/>
  <c r="Q89" i="91" s="1"/>
  <c r="Q11" i="112"/>
  <c r="Q58" i="91" s="1"/>
  <c r="V27" i="112"/>
  <c r="V83" i="91" s="1"/>
  <c r="V38" i="112"/>
  <c r="V94" i="91" s="1"/>
  <c r="M45" i="112"/>
  <c r="Q42"/>
  <c r="Q98" i="91" s="1"/>
  <c r="Q28" i="112"/>
  <c r="Q84" i="91" s="1"/>
  <c r="Q9" i="112"/>
  <c r="Q56" i="91" s="1"/>
  <c r="V24" i="112"/>
  <c r="V80" i="91" s="1"/>
  <c r="L51" i="112"/>
  <c r="M51" s="1"/>
  <c r="D157" i="9"/>
  <c r="M160"/>
  <c r="M162" s="1"/>
  <c r="M147"/>
  <c r="K157"/>
  <c r="R179"/>
  <c r="R178" s="1"/>
  <c r="U9" i="111"/>
  <c r="K9"/>
  <c r="P7"/>
  <c r="P9" s="1"/>
  <c r="K38"/>
  <c r="P36"/>
  <c r="P38" s="1"/>
  <c r="K30"/>
  <c r="P28"/>
  <c r="P30" s="1"/>
  <c r="K15"/>
  <c r="R160" i="9"/>
  <c r="R162" s="1"/>
  <c r="M149"/>
  <c r="R147"/>
  <c r="R149" s="1"/>
  <c r="M170"/>
  <c r="R168"/>
  <c r="R170" s="1"/>
  <c r="M141"/>
  <c r="R139"/>
  <c r="R141" s="1"/>
  <c r="O157"/>
  <c r="AE157"/>
  <c r="S157"/>
  <c r="Q56" i="89"/>
  <c r="Q32"/>
  <c r="Q31"/>
  <c r="CS39" i="7"/>
  <c r="CS31"/>
  <c r="CS29"/>
  <c r="CS28"/>
  <c r="CS13"/>
  <c r="Q43" i="85"/>
  <c r="C42" i="110"/>
  <c r="C39" s="1"/>
  <c r="CT54" i="7" s="1"/>
  <c r="D169" i="91" s="1"/>
  <c r="C41" i="110"/>
  <c r="C40"/>
  <c r="C34"/>
  <c r="C31" s="1"/>
  <c r="C33"/>
  <c r="C32"/>
  <c r="C27"/>
  <c r="C24" s="1"/>
  <c r="CS54" i="7" s="1"/>
  <c r="C26" i="110"/>
  <c r="C25"/>
  <c r="G13"/>
  <c r="G12"/>
  <c r="G10"/>
  <c r="F10"/>
  <c r="G9"/>
  <c r="G8"/>
  <c r="F8"/>
  <c r="F9" s="1"/>
  <c r="H9" s="1"/>
  <c r="G7"/>
  <c r="F7"/>
  <c r="F18" s="1"/>
  <c r="CT125" i="7"/>
  <c r="CS125"/>
  <c r="Q29" i="85" s="1"/>
  <c r="CQ52" i="7"/>
  <c r="CQ125" s="1"/>
  <c r="E48" i="109"/>
  <c r="E46"/>
  <c r="D43"/>
  <c r="B43" s="1"/>
  <c r="C43" s="1"/>
  <c r="C44" s="1"/>
  <c r="D38"/>
  <c r="B38" s="1"/>
  <c r="C38" s="1"/>
  <c r="C37"/>
  <c r="B37"/>
  <c r="B33"/>
  <c r="B34" s="1"/>
  <c r="B35" s="1"/>
  <c r="B32"/>
  <c r="B28"/>
  <c r="C28" s="1"/>
  <c r="B27"/>
  <c r="D23"/>
  <c r="B23" s="1"/>
  <c r="B24" s="1"/>
  <c r="B25" s="1"/>
  <c r="D18"/>
  <c r="B18" s="1"/>
  <c r="B19" s="1"/>
  <c r="B20" s="1"/>
  <c r="B14"/>
  <c r="B15" s="1"/>
  <c r="C13"/>
  <c r="C14" s="1"/>
  <c r="B13"/>
  <c r="B9"/>
  <c r="B10" s="1"/>
  <c r="C8"/>
  <c r="C9" s="1"/>
  <c r="B8"/>
  <c r="CS47" i="7"/>
  <c r="CS45"/>
  <c r="CH23" i="19"/>
  <c r="CG20"/>
  <c r="CG16"/>
  <c r="Q30" i="86"/>
  <c r="Q29"/>
  <c r="B71" i="108"/>
  <c r="D71" s="1"/>
  <c r="B70"/>
  <c r="D70" s="1"/>
  <c r="B69"/>
  <c r="D69" s="1"/>
  <c r="B68"/>
  <c r="D68" s="1"/>
  <c r="B67"/>
  <c r="D67" s="1"/>
  <c r="B66"/>
  <c r="D66" s="1"/>
  <c r="B65"/>
  <c r="D65" s="1"/>
  <c r="B64"/>
  <c r="D64" s="1"/>
  <c r="B63"/>
  <c r="D63" s="1"/>
  <c r="B62"/>
  <c r="D62" s="1"/>
  <c r="B61"/>
  <c r="D61" s="1"/>
  <c r="B60"/>
  <c r="D60" s="1"/>
  <c r="B55"/>
  <c r="D55" s="1"/>
  <c r="B54"/>
  <c r="D54" s="1"/>
  <c r="B53"/>
  <c r="D53" s="1"/>
  <c r="B52"/>
  <c r="D52" s="1"/>
  <c r="B51"/>
  <c r="D51" s="1"/>
  <c r="B50"/>
  <c r="D50" s="1"/>
  <c r="B49"/>
  <c r="D49" s="1"/>
  <c r="B48"/>
  <c r="D48" s="1"/>
  <c r="B47"/>
  <c r="D47" s="1"/>
  <c r="B46"/>
  <c r="D46" s="1"/>
  <c r="B45"/>
  <c r="D45" s="1"/>
  <c r="B44"/>
  <c r="B39"/>
  <c r="D39" s="1"/>
  <c r="B38"/>
  <c r="D38" s="1"/>
  <c r="B37"/>
  <c r="D37" s="1"/>
  <c r="B36"/>
  <c r="D36" s="1"/>
  <c r="B35"/>
  <c r="D35" s="1"/>
  <c r="B34"/>
  <c r="D34" s="1"/>
  <c r="B33"/>
  <c r="D33" s="1"/>
  <c r="B32"/>
  <c r="D32" s="1"/>
  <c r="B31"/>
  <c r="D31" s="1"/>
  <c r="B30"/>
  <c r="D30" s="1"/>
  <c r="B29"/>
  <c r="D29" s="1"/>
  <c r="B28"/>
  <c r="D28" s="1"/>
  <c r="B23"/>
  <c r="D23" s="1"/>
  <c r="B22"/>
  <c r="D22" s="1"/>
  <c r="B21"/>
  <c r="D21" s="1"/>
  <c r="B20"/>
  <c r="D20" s="1"/>
  <c r="B19"/>
  <c r="D19" s="1"/>
  <c r="B18"/>
  <c r="D18" s="1"/>
  <c r="B17"/>
  <c r="D17" s="1"/>
  <c r="B16"/>
  <c r="D16" s="1"/>
  <c r="B15"/>
  <c r="D15" s="1"/>
  <c r="B14"/>
  <c r="D14" s="1"/>
  <c r="B13"/>
  <c r="D13" s="1"/>
  <c r="B12"/>
  <c r="C4"/>
  <c r="B4"/>
  <c r="C3"/>
  <c r="B3"/>
  <c r="E3" s="1"/>
  <c r="CT45" i="7"/>
  <c r="CT47"/>
  <c r="F39" i="107"/>
  <c r="D39"/>
  <c r="G35"/>
  <c r="E35"/>
  <c r="E34"/>
  <c r="F30"/>
  <c r="D30"/>
  <c r="C30"/>
  <c r="E29"/>
  <c r="G26"/>
  <c r="E26"/>
  <c r="E25"/>
  <c r="F21"/>
  <c r="D21"/>
  <c r="C21"/>
  <c r="G18"/>
  <c r="CT44" i="7" s="1"/>
  <c r="D150" i="91" s="1"/>
  <c r="E18" i="107"/>
  <c r="E21" s="1"/>
  <c r="F12"/>
  <c r="D12"/>
  <c r="E11"/>
  <c r="H11" s="1"/>
  <c r="C11"/>
  <c r="H10"/>
  <c r="E10"/>
  <c r="G9"/>
  <c r="G12" s="1"/>
  <c r="E9"/>
  <c r="H9" s="1"/>
  <c r="C9"/>
  <c r="H8"/>
  <c r="E8"/>
  <c r="G7"/>
  <c r="E7"/>
  <c r="CG48" i="19"/>
  <c r="CG47"/>
  <c r="CG46"/>
  <c r="CG45"/>
  <c r="CG44"/>
  <c r="CG43"/>
  <c r="CG42"/>
  <c r="CG41"/>
  <c r="CG40"/>
  <c r="CG39"/>
  <c r="CG38"/>
  <c r="CG37"/>
  <c r="CG36"/>
  <c r="CG35"/>
  <c r="CG34"/>
  <c r="CG33"/>
  <c r="CG32"/>
  <c r="CG31"/>
  <c r="CG30"/>
  <c r="CG29"/>
  <c r="CG28"/>
  <c r="CG27"/>
  <c r="CG26"/>
  <c r="CG25"/>
  <c r="CG24"/>
  <c r="CG23"/>
  <c r="CG22"/>
  <c r="CG21"/>
  <c r="CG19"/>
  <c r="CG18"/>
  <c r="CG17"/>
  <c r="CG15"/>
  <c r="CG14"/>
  <c r="CG11"/>
  <c r="CG10"/>
  <c r="CG8"/>
  <c r="AX23" i="6"/>
  <c r="AX11"/>
  <c r="AW11"/>
  <c r="AZ44" i="5"/>
  <c r="AZ43"/>
  <c r="AZ42"/>
  <c r="AZ40"/>
  <c r="AZ39"/>
  <c r="AZ38"/>
  <c r="AZ37"/>
  <c r="AZ36"/>
  <c r="AZ35"/>
  <c r="AZ34"/>
  <c r="AZ33"/>
  <c r="AZ32"/>
  <c r="AZ31"/>
  <c r="AZ41"/>
  <c r="AZ30"/>
  <c r="AZ29"/>
  <c r="AZ28"/>
  <c r="AZ27"/>
  <c r="R45" i="112" l="1"/>
  <c r="R101" i="91" s="1"/>
  <c r="M101"/>
  <c r="L78"/>
  <c r="M12" i="112"/>
  <c r="M59" i="91" s="1"/>
  <c r="L59"/>
  <c r="M38" i="112"/>
  <c r="M94" i="91" s="1"/>
  <c r="L94"/>
  <c r="N137"/>
  <c r="R19" i="112"/>
  <c r="R66" i="91" s="1"/>
  <c r="M66"/>
  <c r="R72" i="112"/>
  <c r="R142" i="91" s="1"/>
  <c r="M142"/>
  <c r="R64" i="112"/>
  <c r="R127" i="91" s="1"/>
  <c r="M127"/>
  <c r="R52" i="112"/>
  <c r="R115" i="91" s="1"/>
  <c r="M115"/>
  <c r="M137"/>
  <c r="R76" i="112"/>
  <c r="R146" i="91" s="1"/>
  <c r="M146"/>
  <c r="H44" i="112"/>
  <c r="H100" i="91" s="1"/>
  <c r="G49" i="112"/>
  <c r="G112" i="91" s="1"/>
  <c r="K83" i="112"/>
  <c r="I83"/>
  <c r="G83"/>
  <c r="F83"/>
  <c r="F87" s="1"/>
  <c r="H86"/>
  <c r="G84"/>
  <c r="M73"/>
  <c r="M8"/>
  <c r="M55" i="91" s="1"/>
  <c r="L55"/>
  <c r="R74" i="112"/>
  <c r="R144" i="91" s="1"/>
  <c r="M144"/>
  <c r="R40" i="112"/>
  <c r="M96" i="91"/>
  <c r="M27" i="112"/>
  <c r="M83" i="91" s="1"/>
  <c r="L83"/>
  <c r="R18" i="112"/>
  <c r="R65" i="91" s="1"/>
  <c r="M65"/>
  <c r="Q39" i="112"/>
  <c r="Q95" i="91" s="1"/>
  <c r="N95"/>
  <c r="Q60" i="112"/>
  <c r="Q123" i="91" s="1"/>
  <c r="N123"/>
  <c r="L60" i="112"/>
  <c r="L123" i="91" s="1"/>
  <c r="I123"/>
  <c r="Q14" i="112"/>
  <c r="Q61" i="91" s="1"/>
  <c r="N61"/>
  <c r="I21" i="112"/>
  <c r="I77" i="91" s="1"/>
  <c r="I79"/>
  <c r="K21" i="112"/>
  <c r="K77" i="91" s="1"/>
  <c r="K79"/>
  <c r="J21" i="112"/>
  <c r="J77" i="91" s="1"/>
  <c r="J79"/>
  <c r="H78"/>
  <c r="M70" i="112"/>
  <c r="M140" i="91" s="1"/>
  <c r="H140"/>
  <c r="W18" i="112"/>
  <c r="U65" i="91"/>
  <c r="H39" i="112"/>
  <c r="H95" i="91" s="1"/>
  <c r="G95"/>
  <c r="M62" i="112"/>
  <c r="M125" i="91" s="1"/>
  <c r="H125"/>
  <c r="R63" i="112"/>
  <c r="R126" i="91" s="1"/>
  <c r="M126"/>
  <c r="R69" i="112"/>
  <c r="R139" i="91" s="1"/>
  <c r="M139"/>
  <c r="L66" i="112"/>
  <c r="L136" i="91" s="1"/>
  <c r="I136"/>
  <c r="M75" i="112"/>
  <c r="L145" i="91"/>
  <c r="M13" i="112"/>
  <c r="L60" i="91"/>
  <c r="J83" i="112"/>
  <c r="J87" s="1"/>
  <c r="I85"/>
  <c r="L86"/>
  <c r="J84"/>
  <c r="I84"/>
  <c r="F84"/>
  <c r="K84"/>
  <c r="D77" i="92"/>
  <c r="D74" s="1"/>
  <c r="D166" i="91"/>
  <c r="CS127" i="7"/>
  <c r="C169" i="91"/>
  <c r="E12" i="107"/>
  <c r="C12"/>
  <c r="B24" i="108"/>
  <c r="D40"/>
  <c r="B56"/>
  <c r="D72"/>
  <c r="M113" i="91"/>
  <c r="N50" i="112"/>
  <c r="L113" i="91"/>
  <c r="G87" i="112"/>
  <c r="H113" i="91"/>
  <c r="H85" i="112"/>
  <c r="D95" i="91"/>
  <c r="D84" i="112"/>
  <c r="L53" i="91"/>
  <c r="L83" i="112"/>
  <c r="H53" i="91"/>
  <c r="H83" i="112"/>
  <c r="W16" i="113"/>
  <c r="O65"/>
  <c r="O66" s="1"/>
  <c r="U65"/>
  <c r="W5"/>
  <c r="V16"/>
  <c r="Q66"/>
  <c r="R66" s="1"/>
  <c r="S65"/>
  <c r="V5"/>
  <c r="M55" i="112"/>
  <c r="Q44"/>
  <c r="Q100" i="91" s="1"/>
  <c r="W44" i="112"/>
  <c r="M44"/>
  <c r="G21"/>
  <c r="M11"/>
  <c r="M9"/>
  <c r="M68"/>
  <c r="M138" i="91" s="1"/>
  <c r="V60" i="112"/>
  <c r="V123" i="91" s="1"/>
  <c r="M56" i="112"/>
  <c r="I49"/>
  <c r="M59"/>
  <c r="R62"/>
  <c r="R125" i="91" s="1"/>
  <c r="M61" i="112"/>
  <c r="H49"/>
  <c r="H112" i="91" s="1"/>
  <c r="M53" i="112"/>
  <c r="W60"/>
  <c r="M41"/>
  <c r="M26"/>
  <c r="M46"/>
  <c r="R27"/>
  <c r="R83" i="91" s="1"/>
  <c r="M29" i="112"/>
  <c r="M42"/>
  <c r="M98" i="91" s="1"/>
  <c r="M48" i="112"/>
  <c r="M47"/>
  <c r="M103" i="91" s="1"/>
  <c r="M32" i="112"/>
  <c r="M88" i="91" s="1"/>
  <c r="M33" i="112"/>
  <c r="M89" i="91" s="1"/>
  <c r="M28" i="112"/>
  <c r="V44"/>
  <c r="V100" i="91" s="1"/>
  <c r="M6" i="112"/>
  <c r="V14"/>
  <c r="V61" i="91" s="1"/>
  <c r="W14" i="112"/>
  <c r="M15"/>
  <c r="L7"/>
  <c r="H7"/>
  <c r="L14"/>
  <c r="V18"/>
  <c r="V65" i="91" s="1"/>
  <c r="F5" i="112"/>
  <c r="R33"/>
  <c r="R89" i="91" s="1"/>
  <c r="M22" i="112"/>
  <c r="R70"/>
  <c r="R140" i="91" s="1"/>
  <c r="M31" i="112"/>
  <c r="R32"/>
  <c r="R88" i="91" s="1"/>
  <c r="M24" i="112"/>
  <c r="M43"/>
  <c r="M17"/>
  <c r="R47"/>
  <c r="R103" i="91" s="1"/>
  <c r="M10" i="112"/>
  <c r="R38"/>
  <c r="R94" i="91" s="1"/>
  <c r="M25" i="112"/>
  <c r="M20"/>
  <c r="R12"/>
  <c r="R59" i="91" s="1"/>
  <c r="M60" i="112"/>
  <c r="M85" s="1"/>
  <c r="H23"/>
  <c r="H79" i="91" s="1"/>
  <c r="K79" i="112"/>
  <c r="K80" s="1"/>
  <c r="N68"/>
  <c r="J79"/>
  <c r="J80" s="1"/>
  <c r="T50"/>
  <c r="P50"/>
  <c r="U50"/>
  <c r="S50"/>
  <c r="O50"/>
  <c r="E79"/>
  <c r="F21"/>
  <c r="F77" i="91" s="1"/>
  <c r="I5" i="112"/>
  <c r="I52" i="91" s="1"/>
  <c r="L21" i="112"/>
  <c r="L77" i="91" s="1"/>
  <c r="L23" i="112"/>
  <c r="N51"/>
  <c r="N114" i="91" s="1"/>
  <c r="U67" i="112"/>
  <c r="S67"/>
  <c r="O67"/>
  <c r="T67"/>
  <c r="P67"/>
  <c r="M66"/>
  <c r="M136" i="91" s="1"/>
  <c r="K17" i="111"/>
  <c r="P15"/>
  <c r="P17" s="1"/>
  <c r="C39" i="109"/>
  <c r="B39"/>
  <c r="B40" s="1"/>
  <c r="G39" i="107"/>
  <c r="CO43" i="8"/>
  <c r="D125" i="93" s="1"/>
  <c r="E39" i="107"/>
  <c r="B29" i="109"/>
  <c r="B30" s="1"/>
  <c r="C33"/>
  <c r="C34" s="1"/>
  <c r="G30" i="107"/>
  <c r="CN43" i="8"/>
  <c r="C125" i="93" s="1"/>
  <c r="E30" i="107"/>
  <c r="CS44" i="7"/>
  <c r="C150" i="91" s="1"/>
  <c r="C18" i="109"/>
  <c r="C19" s="1"/>
  <c r="D19" s="1"/>
  <c r="C23"/>
  <c r="C24" s="1"/>
  <c r="D24" s="1"/>
  <c r="CT127" i="7"/>
  <c r="Q31" i="86" s="1"/>
  <c r="G21" i="107"/>
  <c r="D4" i="108"/>
  <c r="E4"/>
  <c r="D12"/>
  <c r="D24" s="1"/>
  <c r="C24" s="1"/>
  <c r="D44"/>
  <c r="D56" s="1"/>
  <c r="CQ54" i="7"/>
  <c r="B169" i="91" s="1"/>
  <c r="Q31" i="85"/>
  <c r="H8" i="110"/>
  <c r="H10"/>
  <c r="H7"/>
  <c r="H18" s="1"/>
  <c r="F11"/>
  <c r="C10" i="109"/>
  <c r="D10" s="1"/>
  <c r="D9"/>
  <c r="C20"/>
  <c r="D20" s="1"/>
  <c r="C25"/>
  <c r="D25" s="1"/>
  <c r="C29"/>
  <c r="D28"/>
  <c r="C40"/>
  <c r="D39"/>
  <c r="C45"/>
  <c r="C15"/>
  <c r="D15" s="1"/>
  <c r="D14"/>
  <c r="C35"/>
  <c r="D35" s="1"/>
  <c r="D34"/>
  <c r="B44"/>
  <c r="B45" s="1"/>
  <c r="E49"/>
  <c r="D8"/>
  <c r="D13"/>
  <c r="D33"/>
  <c r="E5" i="108"/>
  <c r="C56"/>
  <c r="D3"/>
  <c r="D5" s="1"/>
  <c r="B5"/>
  <c r="B72"/>
  <c r="C72" s="1"/>
  <c r="B40"/>
  <c r="C40" s="1"/>
  <c r="H12" i="107"/>
  <c r="H7"/>
  <c r="AZ26" i="5"/>
  <c r="S137" i="91" l="1"/>
  <c r="R20" i="112"/>
  <c r="R67" i="91" s="1"/>
  <c r="M67"/>
  <c r="R9" i="112"/>
  <c r="R56" i="91" s="1"/>
  <c r="M56"/>
  <c r="R44" i="112"/>
  <c r="R100" i="91" s="1"/>
  <c r="M100"/>
  <c r="R75" i="112"/>
  <c r="R145" i="91" s="1"/>
  <c r="M145"/>
  <c r="P137"/>
  <c r="O137"/>
  <c r="U137"/>
  <c r="M23" i="112"/>
  <c r="M79" i="91" s="1"/>
  <c r="L79"/>
  <c r="N66" i="112"/>
  <c r="N136" i="91" s="1"/>
  <c r="N138"/>
  <c r="R25" i="112"/>
  <c r="R81" i="91" s="1"/>
  <c r="M81"/>
  <c r="R10" i="112"/>
  <c r="R57" i="91" s="1"/>
  <c r="M57"/>
  <c r="R17" i="112"/>
  <c r="R64" i="91" s="1"/>
  <c r="M64"/>
  <c r="R24" i="112"/>
  <c r="R80" i="91" s="1"/>
  <c r="M80"/>
  <c r="R31" i="112"/>
  <c r="R87" i="91" s="1"/>
  <c r="M87"/>
  <c r="N22" i="112"/>
  <c r="M78" i="91"/>
  <c r="M14" i="112"/>
  <c r="M83" s="1"/>
  <c r="L61" i="91"/>
  <c r="R28" i="112"/>
  <c r="R84" i="91" s="1"/>
  <c r="M84"/>
  <c r="R48" i="112"/>
  <c r="R104" i="91" s="1"/>
  <c r="M104"/>
  <c r="R29" i="112"/>
  <c r="R85" i="91" s="1"/>
  <c r="M85"/>
  <c r="R46" i="112"/>
  <c r="R102" i="91" s="1"/>
  <c r="M102"/>
  <c r="R41" i="112"/>
  <c r="R97" i="91" s="1"/>
  <c r="M97"/>
  <c r="R53" i="112"/>
  <c r="R116" i="91" s="1"/>
  <c r="M116"/>
  <c r="R61" i="112"/>
  <c r="R124" i="91" s="1"/>
  <c r="M124"/>
  <c r="R59" i="112"/>
  <c r="R122" i="91" s="1"/>
  <c r="M122"/>
  <c r="R56" i="112"/>
  <c r="R119" i="91" s="1"/>
  <c r="M119"/>
  <c r="R11" i="112"/>
  <c r="R58" i="91" s="1"/>
  <c r="M58"/>
  <c r="R55" i="112"/>
  <c r="R118" i="91" s="1"/>
  <c r="M118"/>
  <c r="R73" i="112"/>
  <c r="R143" i="91" s="1"/>
  <c r="M143"/>
  <c r="R8" i="112"/>
  <c r="R55" i="91" s="1"/>
  <c r="R42" i="112"/>
  <c r="R98" i="91" s="1"/>
  <c r="M39" i="112"/>
  <c r="L85"/>
  <c r="H84"/>
  <c r="K87"/>
  <c r="T137" i="91"/>
  <c r="R60" i="112"/>
  <c r="R123" i="91" s="1"/>
  <c r="M123"/>
  <c r="R43" i="112"/>
  <c r="R99" i="91" s="1"/>
  <c r="M99"/>
  <c r="R15" i="112"/>
  <c r="R62" i="91" s="1"/>
  <c r="M62"/>
  <c r="R26" i="112"/>
  <c r="R82" i="91" s="1"/>
  <c r="M82"/>
  <c r="G79" i="112"/>
  <c r="G80" s="1"/>
  <c r="G77" i="91"/>
  <c r="R13" i="112"/>
  <c r="R60" i="91" s="1"/>
  <c r="M60"/>
  <c r="U40" i="112"/>
  <c r="R96" i="91"/>
  <c r="H87" i="112"/>
  <c r="I87"/>
  <c r="M86"/>
  <c r="N86"/>
  <c r="L84"/>
  <c r="E169" i="91"/>
  <c r="B77" i="92"/>
  <c r="B166" i="91"/>
  <c r="E166" s="1"/>
  <c r="C5" i="108"/>
  <c r="F5" s="1"/>
  <c r="F4"/>
  <c r="Q33" i="89"/>
  <c r="C77" i="92"/>
  <c r="C74" s="1"/>
  <c r="C166" i="91"/>
  <c r="O113"/>
  <c r="U113"/>
  <c r="T113"/>
  <c r="N113"/>
  <c r="N85" i="112"/>
  <c r="S113" i="91"/>
  <c r="P113"/>
  <c r="L49" i="112"/>
  <c r="L112" i="91" s="1"/>
  <c r="I112"/>
  <c r="L87" i="112"/>
  <c r="H5"/>
  <c r="H52" i="91" s="1"/>
  <c r="F52"/>
  <c r="N6" i="112"/>
  <c r="M53" i="91"/>
  <c r="Q65" i="113"/>
  <c r="R65" s="1"/>
  <c r="V65"/>
  <c r="S66"/>
  <c r="U66"/>
  <c r="W65"/>
  <c r="H21" i="112"/>
  <c r="H77" i="91" s="1"/>
  <c r="M7" i="112"/>
  <c r="N7" s="1"/>
  <c r="N54" i="91" s="1"/>
  <c r="F79" i="112"/>
  <c r="F80" s="1"/>
  <c r="W67"/>
  <c r="W50"/>
  <c r="Q67"/>
  <c r="M21"/>
  <c r="M77" i="91" s="1"/>
  <c r="Q50" i="112"/>
  <c r="N23"/>
  <c r="N79" i="91" s="1"/>
  <c r="U51" i="112"/>
  <c r="U114" i="91" s="1"/>
  <c r="S51" i="112"/>
  <c r="S114" i="91" s="1"/>
  <c r="O51" i="112"/>
  <c r="O114" i="91" s="1"/>
  <c r="T51" i="112"/>
  <c r="T85" s="1"/>
  <c r="P51"/>
  <c r="I79"/>
  <c r="L5"/>
  <c r="N49"/>
  <c r="N112" i="91" s="1"/>
  <c r="U49" i="112"/>
  <c r="U112" i="91" s="1"/>
  <c r="V67" i="112"/>
  <c r="E80"/>
  <c r="H79"/>
  <c r="V50"/>
  <c r="S49"/>
  <c r="S112" i="91" s="1"/>
  <c r="T7" i="112"/>
  <c r="T54" i="91" s="1"/>
  <c r="P7" i="112"/>
  <c r="P54" i="91" s="1"/>
  <c r="U7" i="112"/>
  <c r="U54" i="91" s="1"/>
  <c r="S7" i="112"/>
  <c r="S54" i="91" s="1"/>
  <c r="O7" i="112"/>
  <c r="O54" i="91" s="1"/>
  <c r="T68" i="112"/>
  <c r="P68"/>
  <c r="U68"/>
  <c r="U138" i="91" s="1"/>
  <c r="S68" i="112"/>
  <c r="S138" i="91" s="1"/>
  <c r="O68" i="112"/>
  <c r="U6"/>
  <c r="S6"/>
  <c r="O6"/>
  <c r="N5"/>
  <c r="N52" i="91" s="1"/>
  <c r="T6" i="112"/>
  <c r="P6"/>
  <c r="U22"/>
  <c r="T22"/>
  <c r="P22"/>
  <c r="S22"/>
  <c r="O22"/>
  <c r="N21"/>
  <c r="N77" i="91" s="1"/>
  <c r="O49" i="112"/>
  <c r="O112" i="91" s="1"/>
  <c r="D40" i="109"/>
  <c r="CQ127" i="7"/>
  <c r="F12" i="110"/>
  <c r="H12" s="1"/>
  <c r="H11"/>
  <c r="H19" s="1"/>
  <c r="F19"/>
  <c r="C30" i="109"/>
  <c r="D30" s="1"/>
  <c r="D29"/>
  <c r="D48"/>
  <c r="F7" s="1"/>
  <c r="D44"/>
  <c r="D45"/>
  <c r="F3" i="108"/>
  <c r="S78" i="91" l="1"/>
  <c r="T78"/>
  <c r="Q68" i="112"/>
  <c r="O138" i="91"/>
  <c r="T66" i="112"/>
  <c r="T136" i="91" s="1"/>
  <c r="T138"/>
  <c r="V137"/>
  <c r="Q22" i="112"/>
  <c r="O78" i="91"/>
  <c r="O84" i="112"/>
  <c r="P78" i="91"/>
  <c r="P84" i="112"/>
  <c r="U78" i="91"/>
  <c r="P66" i="112"/>
  <c r="P136" i="91" s="1"/>
  <c r="P138"/>
  <c r="P49" i="112"/>
  <c r="P112" i="91" s="1"/>
  <c r="P114"/>
  <c r="R67" i="112"/>
  <c r="Q137" i="91"/>
  <c r="W40" i="112"/>
  <c r="U96" i="91"/>
  <c r="U39" i="112"/>
  <c r="V40"/>
  <c r="V96" i="91" s="1"/>
  <c r="R39" i="112"/>
  <c r="R95" i="91" s="1"/>
  <c r="M95"/>
  <c r="N78"/>
  <c r="N84" i="112"/>
  <c r="M49"/>
  <c r="M112" i="91" s="1"/>
  <c r="P85" i="112"/>
  <c r="S85"/>
  <c r="U85"/>
  <c r="O85"/>
  <c r="M84"/>
  <c r="M87" s="1"/>
  <c r="T49"/>
  <c r="T112" i="91" s="1"/>
  <c r="T114"/>
  <c r="R14" i="112"/>
  <c r="R61" i="91" s="1"/>
  <c r="M61"/>
  <c r="T86" i="112"/>
  <c r="U86"/>
  <c r="O86"/>
  <c r="P86"/>
  <c r="S86"/>
  <c r="F37" i="109"/>
  <c r="T166" i="91"/>
  <c r="N166"/>
  <c r="F166"/>
  <c r="G166" s="1"/>
  <c r="P166"/>
  <c r="J166"/>
  <c r="I166"/>
  <c r="O166"/>
  <c r="U166"/>
  <c r="K166"/>
  <c r="S166"/>
  <c r="H166"/>
  <c r="P169"/>
  <c r="J169"/>
  <c r="O169"/>
  <c r="T169"/>
  <c r="N169"/>
  <c r="Q169" s="1"/>
  <c r="F169"/>
  <c r="G169" s="1"/>
  <c r="S169"/>
  <c r="K169"/>
  <c r="U169"/>
  <c r="I169"/>
  <c r="L169" s="1"/>
  <c r="E77" i="92"/>
  <c r="B74"/>
  <c r="E74" s="1"/>
  <c r="V113" i="91"/>
  <c r="R50" i="112"/>
  <c r="Q113" i="91"/>
  <c r="W85" i="112"/>
  <c r="P5"/>
  <c r="P52" i="91" s="1"/>
  <c r="P53"/>
  <c r="P83" i="112"/>
  <c r="S53" i="91"/>
  <c r="S83" i="112"/>
  <c r="T83"/>
  <c r="T53" i="91"/>
  <c r="O5" i="112"/>
  <c r="O52" i="91" s="1"/>
  <c r="O53"/>
  <c r="O83" i="112"/>
  <c r="O87" s="1"/>
  <c r="U53" i="91"/>
  <c r="U83" i="112"/>
  <c r="M5"/>
  <c r="M52" i="91" s="1"/>
  <c r="L52"/>
  <c r="N83" i="112"/>
  <c r="N87" s="1"/>
  <c r="N53" i="91"/>
  <c r="V66" i="113"/>
  <c r="W66"/>
  <c r="H80" i="112"/>
  <c r="U66"/>
  <c r="U136" i="91" s="1"/>
  <c r="W68" i="112"/>
  <c r="W49"/>
  <c r="W51"/>
  <c r="W22"/>
  <c r="U5"/>
  <c r="U52" i="91" s="1"/>
  <c r="W6" i="112"/>
  <c r="W7"/>
  <c r="O66"/>
  <c r="V68"/>
  <c r="V138" i="91" s="1"/>
  <c r="Q7" i="112"/>
  <c r="Q51"/>
  <c r="V6"/>
  <c r="S5"/>
  <c r="S52" i="91" s="1"/>
  <c r="T23" i="112"/>
  <c r="T79" i="91" s="1"/>
  <c r="P23" i="112"/>
  <c r="S23"/>
  <c r="S79" i="91" s="1"/>
  <c r="O23" i="112"/>
  <c r="U23"/>
  <c r="U79" i="91" s="1"/>
  <c r="Q23" i="112"/>
  <c r="U21"/>
  <c r="U77" i="91" s="1"/>
  <c r="T5" i="112"/>
  <c r="T52" i="91" s="1"/>
  <c r="V7" i="112"/>
  <c r="V54" i="91" s="1"/>
  <c r="S66" i="112"/>
  <c r="Q49"/>
  <c r="V51"/>
  <c r="V114" i="91" s="1"/>
  <c r="V22" i="112"/>
  <c r="N79"/>
  <c r="Q5"/>
  <c r="I80"/>
  <c r="L80" s="1"/>
  <c r="M80" s="1"/>
  <c r="L79"/>
  <c r="M79" s="1"/>
  <c r="Q6"/>
  <c r="F17" i="109"/>
  <c r="G38"/>
  <c r="CS49" i="7"/>
  <c r="C162" i="91" s="1"/>
  <c r="D46" i="109"/>
  <c r="D49"/>
  <c r="F27"/>
  <c r="V66" i="112" l="1"/>
  <c r="V136" i="91" s="1"/>
  <c r="S136"/>
  <c r="R7" i="112"/>
  <c r="R54" i="91" s="1"/>
  <c r="Q54"/>
  <c r="U95"/>
  <c r="W39" i="112"/>
  <c r="V39"/>
  <c r="V95" i="91" s="1"/>
  <c r="R22" i="112"/>
  <c r="Q78" i="91"/>
  <c r="Q84" i="112"/>
  <c r="R68"/>
  <c r="R138" i="91" s="1"/>
  <c r="Q138"/>
  <c r="R23" i="112"/>
  <c r="R79" i="91" s="1"/>
  <c r="Q79"/>
  <c r="O21" i="112"/>
  <c r="O77" i="91" s="1"/>
  <c r="O79"/>
  <c r="P21" i="112"/>
  <c r="P79" i="91"/>
  <c r="R51" i="112"/>
  <c r="R114" i="91" s="1"/>
  <c r="Q114"/>
  <c r="R137"/>
  <c r="R86" i="112"/>
  <c r="V85"/>
  <c r="U84"/>
  <c r="T21"/>
  <c r="T77" i="91" s="1"/>
  <c r="S21" i="112"/>
  <c r="S77" i="91" s="1"/>
  <c r="V49" i="112"/>
  <c r="V112" i="91" s="1"/>
  <c r="S87" i="112"/>
  <c r="P87"/>
  <c r="Q85"/>
  <c r="W86"/>
  <c r="Q86"/>
  <c r="V86"/>
  <c r="T84"/>
  <c r="S84"/>
  <c r="V78" i="91"/>
  <c r="Q66" i="112"/>
  <c r="O136" i="91"/>
  <c r="T87" i="112"/>
  <c r="H169" i="91"/>
  <c r="M169" s="1"/>
  <c r="R169" s="1"/>
  <c r="V166"/>
  <c r="L166"/>
  <c r="S74" i="92"/>
  <c r="K74"/>
  <c r="T74"/>
  <c r="N74"/>
  <c r="F74"/>
  <c r="G74" s="1"/>
  <c r="U74"/>
  <c r="O74"/>
  <c r="I74"/>
  <c r="P74"/>
  <c r="J74"/>
  <c r="H74"/>
  <c r="L58" i="95" s="1"/>
  <c r="C23" i="98" s="1"/>
  <c r="W169" i="91"/>
  <c r="M166"/>
  <c r="Q166"/>
  <c r="W166"/>
  <c r="S77" i="92"/>
  <c r="K77"/>
  <c r="T77"/>
  <c r="N77"/>
  <c r="F77"/>
  <c r="G77" s="1"/>
  <c r="U77"/>
  <c r="O77"/>
  <c r="I77"/>
  <c r="P77"/>
  <c r="J77"/>
  <c r="H77"/>
  <c r="V169" i="91"/>
  <c r="R49" i="112"/>
  <c r="R112" i="91" s="1"/>
  <c r="Q112"/>
  <c r="R113"/>
  <c r="R85" i="112"/>
  <c r="R6"/>
  <c r="Q53" i="91"/>
  <c r="Q83" i="112"/>
  <c r="R5"/>
  <c r="R52" i="91" s="1"/>
  <c r="Q52"/>
  <c r="V53"/>
  <c r="V83" i="112"/>
  <c r="U87"/>
  <c r="W87" s="1"/>
  <c r="W83"/>
  <c r="W66"/>
  <c r="U79"/>
  <c r="U80" s="1"/>
  <c r="W21"/>
  <c r="W23"/>
  <c r="W5"/>
  <c r="Q21"/>
  <c r="T79"/>
  <c r="T80" s="1"/>
  <c r="O79"/>
  <c r="O80" s="1"/>
  <c r="V23"/>
  <c r="V79" i="91" s="1"/>
  <c r="N80" i="112"/>
  <c r="V5"/>
  <c r="V52" i="91" s="1"/>
  <c r="F22" i="109"/>
  <c r="F32"/>
  <c r="F12"/>
  <c r="F42"/>
  <c r="R66" i="112" l="1"/>
  <c r="R136" i="91" s="1"/>
  <c r="Q136"/>
  <c r="R78"/>
  <c r="R84" i="112"/>
  <c r="R21"/>
  <c r="R77" i="91" s="1"/>
  <c r="Q77"/>
  <c r="P79" i="112"/>
  <c r="P80" s="1"/>
  <c r="P77" i="91"/>
  <c r="W84" i="112"/>
  <c r="S79"/>
  <c r="S80" s="1"/>
  <c r="V80" s="1"/>
  <c r="V21"/>
  <c r="V77" i="91" s="1"/>
  <c r="Q87" i="112"/>
  <c r="V84"/>
  <c r="V87" s="1"/>
  <c r="Q77" i="92"/>
  <c r="R166" i="91"/>
  <c r="W74" i="92"/>
  <c r="Q74"/>
  <c r="O58" i="95" s="1"/>
  <c r="F23" i="98" s="1"/>
  <c r="L77" i="92"/>
  <c r="M77" s="1"/>
  <c r="R77" s="1"/>
  <c r="L74"/>
  <c r="M58" i="95" s="1"/>
  <c r="W77" i="92"/>
  <c r="V77"/>
  <c r="M74"/>
  <c r="R74" s="1"/>
  <c r="V74"/>
  <c r="Q58" i="95" s="1"/>
  <c r="H23" i="98" s="1"/>
  <c r="R53" i="91"/>
  <c r="R83" i="112"/>
  <c r="R87" s="1"/>
  <c r="Q80"/>
  <c r="R80" s="1"/>
  <c r="W79"/>
  <c r="V79"/>
  <c r="Q79"/>
  <c r="R79" s="1"/>
  <c r="G43" i="109"/>
  <c r="CN47" i="8"/>
  <c r="C134" i="93" s="1"/>
  <c r="F46" i="109"/>
  <c r="N58" i="95" l="1"/>
  <c r="P58" s="1"/>
  <c r="R58" s="1"/>
  <c r="D23" i="98"/>
  <c r="W80" i="112"/>
  <c r="AZ23" i="5"/>
  <c r="AZ21"/>
  <c r="AZ20"/>
  <c r="AZ18"/>
  <c r="AZ16"/>
  <c r="AZ15"/>
  <c r="AZ14"/>
  <c r="AZ13"/>
  <c r="AZ11"/>
  <c r="AQ10"/>
  <c r="AZ10"/>
  <c r="AY10"/>
  <c r="AZ8"/>
  <c r="DI28" i="17"/>
  <c r="DI27"/>
  <c r="DI26"/>
  <c r="DI25"/>
  <c r="DK38" i="11"/>
  <c r="DK37"/>
  <c r="DK36"/>
  <c r="DK35"/>
  <c r="DK34"/>
  <c r="DK33"/>
  <c r="DK32"/>
  <c r="DK31"/>
  <c r="DK30"/>
  <c r="DK29"/>
  <c r="CQ54" i="9"/>
  <c r="CQ52"/>
  <c r="CQ50"/>
  <c r="CS58"/>
  <c r="CQ48"/>
  <c r="CT48" i="7"/>
  <c r="CT26"/>
  <c r="CT19"/>
  <c r="CT23"/>
  <c r="CT38"/>
  <c r="E23" i="98" l="1"/>
  <c r="CT28" i="7"/>
  <c r="CT22"/>
  <c r="CT12"/>
  <c r="Q35" i="87"/>
  <c r="Q40" i="90" s="1"/>
  <c r="Q34" i="87"/>
  <c r="Q33" i="86"/>
  <c r="Q40" i="89" s="1"/>
  <c r="Q59" i="90"/>
  <c r="Q39"/>
  <c r="Q21"/>
  <c r="Q20"/>
  <c r="Q46" i="87"/>
  <c r="Q16"/>
  <c r="Q14"/>
  <c r="Q33" i="88"/>
  <c r="Q23"/>
  <c r="Q58" i="89"/>
  <c r="Q21"/>
  <c r="Q20"/>
  <c r="Q45" i="85"/>
  <c r="Q34"/>
  <c r="Q39" i="89" s="1"/>
  <c r="Q16" i="85"/>
  <c r="Q18" i="89" s="1"/>
  <c r="Q14" i="85"/>
  <c r="Q16" i="89" s="1"/>
  <c r="Q23" i="86"/>
  <c r="CE46" i="8"/>
  <c r="CE44"/>
  <c r="CE43"/>
  <c r="CE35"/>
  <c r="CE33"/>
  <c r="CE32"/>
  <c r="CE26"/>
  <c r="CE20"/>
  <c r="CE19"/>
  <c r="CF16"/>
  <c r="CF10"/>
  <c r="CE10" s="1"/>
  <c r="CE79" s="1"/>
  <c r="CG100"/>
  <c r="CF100"/>
  <c r="CG97"/>
  <c r="CF97"/>
  <c r="CG88"/>
  <c r="CF88"/>
  <c r="CE86"/>
  <c r="CE83"/>
  <c r="CG80"/>
  <c r="CD100"/>
  <c r="CC100"/>
  <c r="CD97"/>
  <c r="CC97"/>
  <c r="CD88"/>
  <c r="CC88"/>
  <c r="CD80"/>
  <c r="CC80"/>
  <c r="CB78"/>
  <c r="CE18"/>
  <c r="CE9"/>
  <c r="CF9" s="1"/>
  <c r="CE61"/>
  <c r="CE97" s="1"/>
  <c r="CE48"/>
  <c r="CE88" s="1"/>
  <c r="CF43"/>
  <c r="CE38"/>
  <c r="CE39" s="1"/>
  <c r="CF35"/>
  <c r="CG34"/>
  <c r="CF32"/>
  <c r="CE29"/>
  <c r="CE23"/>
  <c r="CE16"/>
  <c r="CF13"/>
  <c r="CE13" s="1"/>
  <c r="CE81" s="1"/>
  <c r="CB61"/>
  <c r="CB97" s="1"/>
  <c r="CB45"/>
  <c r="CE45" s="1"/>
  <c r="CB46"/>
  <c r="CB86" s="1"/>
  <c r="CB42"/>
  <c r="CB85" s="1"/>
  <c r="CB41"/>
  <c r="CC41" s="1"/>
  <c r="CB35"/>
  <c r="CB33"/>
  <c r="CB32"/>
  <c r="CB26"/>
  <c r="CB20"/>
  <c r="CB19"/>
  <c r="CB48"/>
  <c r="CB88" s="1"/>
  <c r="CC43"/>
  <c r="CC39"/>
  <c r="CB38"/>
  <c r="CB40" s="1"/>
  <c r="CB37"/>
  <c r="CF37" s="1"/>
  <c r="CE37" s="1"/>
  <c r="CC35"/>
  <c r="CD34"/>
  <c r="CC32"/>
  <c r="CC30"/>
  <c r="CB29"/>
  <c r="CB31" s="1"/>
  <c r="CB28"/>
  <c r="CF28" s="1"/>
  <c r="CE28" s="1"/>
  <c r="CB23"/>
  <c r="CB22"/>
  <c r="CF22" s="1"/>
  <c r="CE22" s="1"/>
  <c r="CC16"/>
  <c r="CB16" s="1"/>
  <c r="CB84" s="1"/>
  <c r="CC13"/>
  <c r="CB12"/>
  <c r="CF12" s="1"/>
  <c r="CC10"/>
  <c r="CB10" s="1"/>
  <c r="CB79" s="1"/>
  <c r="CC9"/>
  <c r="CG55"/>
  <c r="CG95" s="1"/>
  <c r="CF55"/>
  <c r="CD55"/>
  <c r="CD95" s="1"/>
  <c r="CC55"/>
  <c r="CC95" s="1"/>
  <c r="CK29" i="7"/>
  <c r="CJ29" s="1"/>
  <c r="CJ58"/>
  <c r="CJ45"/>
  <c r="CJ44"/>
  <c r="CJ42"/>
  <c r="CJ39"/>
  <c r="CJ40" s="1"/>
  <c r="CJ41" s="1"/>
  <c r="CJ36"/>
  <c r="CJ34"/>
  <c r="CJ31"/>
  <c r="CJ32" s="1"/>
  <c r="CJ33" s="1"/>
  <c r="CK26"/>
  <c r="CJ26" s="1"/>
  <c r="CK23"/>
  <c r="CK24" s="1"/>
  <c r="CK25" s="1"/>
  <c r="CJ20"/>
  <c r="CJ19"/>
  <c r="CJ16"/>
  <c r="CJ13"/>
  <c r="CJ14" s="1"/>
  <c r="CJ10"/>
  <c r="CL134"/>
  <c r="CK134"/>
  <c r="CL131"/>
  <c r="CK131"/>
  <c r="CJ131"/>
  <c r="CL123"/>
  <c r="CK123"/>
  <c r="CL122"/>
  <c r="CK122"/>
  <c r="CL118"/>
  <c r="CJ118"/>
  <c r="CL115"/>
  <c r="CJ18"/>
  <c r="CJ9"/>
  <c r="CJ113" s="1"/>
  <c r="CI134"/>
  <c r="CH134"/>
  <c r="CI131"/>
  <c r="CH131"/>
  <c r="CI123"/>
  <c r="CH123"/>
  <c r="CI122"/>
  <c r="CH122"/>
  <c r="CI118"/>
  <c r="CI115"/>
  <c r="CH115"/>
  <c r="CG113"/>
  <c r="CG47"/>
  <c r="CJ47" s="1"/>
  <c r="CJ43" s="1"/>
  <c r="CJ120" s="1"/>
  <c r="CG58"/>
  <c r="CG131" s="1"/>
  <c r="CD47"/>
  <c r="CD58"/>
  <c r="CE56"/>
  <c r="CG42"/>
  <c r="CG39"/>
  <c r="CG36"/>
  <c r="CG34"/>
  <c r="CG31"/>
  <c r="CH29"/>
  <c r="CG26"/>
  <c r="CH26" s="1"/>
  <c r="CG22"/>
  <c r="CK22" s="1"/>
  <c r="CJ22" s="1"/>
  <c r="CG23"/>
  <c r="CG20"/>
  <c r="CG19"/>
  <c r="CH19" s="1"/>
  <c r="CH118" s="1"/>
  <c r="CG16"/>
  <c r="CG13"/>
  <c r="CG116" s="1"/>
  <c r="CG10"/>
  <c r="CL56"/>
  <c r="CL129" s="1"/>
  <c r="CK56"/>
  <c r="CK129" s="1"/>
  <c r="CI56"/>
  <c r="CI129" s="1"/>
  <c r="CH56"/>
  <c r="CJ50"/>
  <c r="CJ123" s="1"/>
  <c r="CJ49"/>
  <c r="CJ122" s="1"/>
  <c r="CJ48"/>
  <c r="CJ121" s="1"/>
  <c r="CJ23"/>
  <c r="CJ116" s="1"/>
  <c r="CJ21"/>
  <c r="CK20"/>
  <c r="CK19"/>
  <c r="CK118" s="1"/>
  <c r="CK18"/>
  <c r="CL17"/>
  <c r="CG50"/>
  <c r="CG123" s="1"/>
  <c r="CG49"/>
  <c r="CG122" s="1"/>
  <c r="CG48"/>
  <c r="CG121" s="1"/>
  <c r="CH47"/>
  <c r="CG41"/>
  <c r="CG38"/>
  <c r="CK38" s="1"/>
  <c r="CJ38" s="1"/>
  <c r="CG33"/>
  <c r="CG29"/>
  <c r="CG28"/>
  <c r="CK28" s="1"/>
  <c r="CJ28" s="1"/>
  <c r="CG24"/>
  <c r="CG117" s="1"/>
  <c r="CH23"/>
  <c r="CH25" s="1"/>
  <c r="CG21"/>
  <c r="CH20"/>
  <c r="CH18"/>
  <c r="CI17"/>
  <c r="CH16"/>
  <c r="CG15"/>
  <c r="CG12"/>
  <c r="CK12" s="1"/>
  <c r="BY50" i="19"/>
  <c r="BX50"/>
  <c r="BY36"/>
  <c r="BW36" s="1"/>
  <c r="BX36"/>
  <c r="BY48"/>
  <c r="BX48"/>
  <c r="BW48" s="1"/>
  <c r="BY47"/>
  <c r="BX47"/>
  <c r="BW47"/>
  <c r="BW46"/>
  <c r="BY45"/>
  <c r="BX45"/>
  <c r="BW45"/>
  <c r="BY44"/>
  <c r="BX44"/>
  <c r="BW44" s="1"/>
  <c r="BY43"/>
  <c r="BX43"/>
  <c r="BW43"/>
  <c r="BY42"/>
  <c r="BX42"/>
  <c r="BW42" s="1"/>
  <c r="BY41"/>
  <c r="BX41"/>
  <c r="BW41"/>
  <c r="BY40"/>
  <c r="BX40"/>
  <c r="BW40" s="1"/>
  <c r="BY39"/>
  <c r="BX39"/>
  <c r="BW39"/>
  <c r="BY38"/>
  <c r="BX38"/>
  <c r="BW38" s="1"/>
  <c r="BY37"/>
  <c r="BX37"/>
  <c r="BW37"/>
  <c r="BY35"/>
  <c r="BW35" s="1"/>
  <c r="BX35"/>
  <c r="BY34"/>
  <c r="BX34"/>
  <c r="BW34" s="1"/>
  <c r="BY33"/>
  <c r="BX33"/>
  <c r="BW33"/>
  <c r="BY32"/>
  <c r="BX32"/>
  <c r="BW32" s="1"/>
  <c r="BY31"/>
  <c r="BX31"/>
  <c r="BW31"/>
  <c r="BY30"/>
  <c r="BX30"/>
  <c r="BW30" s="1"/>
  <c r="BY29"/>
  <c r="BX29"/>
  <c r="BW29"/>
  <c r="BY28"/>
  <c r="BX28"/>
  <c r="BW28" s="1"/>
  <c r="BY27"/>
  <c r="BW27" s="1"/>
  <c r="BX27"/>
  <c r="BW26"/>
  <c r="BY25"/>
  <c r="BW25" s="1"/>
  <c r="BX25"/>
  <c r="BY24"/>
  <c r="BX24"/>
  <c r="BW24" s="1"/>
  <c r="BY23"/>
  <c r="BX23"/>
  <c r="BW23"/>
  <c r="BY22"/>
  <c r="BX22"/>
  <c r="BW22" s="1"/>
  <c r="BY21"/>
  <c r="BX21"/>
  <c r="BW21"/>
  <c r="BY20"/>
  <c r="BX20"/>
  <c r="BW20" s="1"/>
  <c r="BY19"/>
  <c r="BX19"/>
  <c r="BW19"/>
  <c r="BY18"/>
  <c r="BX18"/>
  <c r="BW18" s="1"/>
  <c r="BY17"/>
  <c r="BW17" s="1"/>
  <c r="BX17"/>
  <c r="BY16"/>
  <c r="BX16"/>
  <c r="BW16" s="1"/>
  <c r="BY15"/>
  <c r="BW15" s="1"/>
  <c r="BX15"/>
  <c r="BW13"/>
  <c r="BY11"/>
  <c r="BY12" s="1"/>
  <c r="BX11"/>
  <c r="BW11"/>
  <c r="BY10"/>
  <c r="BX10"/>
  <c r="BY14" s="1"/>
  <c r="BY9"/>
  <c r="BX9"/>
  <c r="BW9"/>
  <c r="BY8"/>
  <c r="BX8"/>
  <c r="BW8" s="1"/>
  <c r="BV19"/>
  <c r="BU19"/>
  <c r="BU25"/>
  <c r="BV25"/>
  <c r="BT25" s="1"/>
  <c r="BV26"/>
  <c r="BU26"/>
  <c r="BV23"/>
  <c r="BU23"/>
  <c r="BT23" s="1"/>
  <c r="BV15"/>
  <c r="BU15"/>
  <c r="BT14"/>
  <c r="BV12"/>
  <c r="BU12"/>
  <c r="BT48"/>
  <c r="BT47"/>
  <c r="BT46"/>
  <c r="BT45"/>
  <c r="BT44"/>
  <c r="BT43"/>
  <c r="BT42"/>
  <c r="BT41"/>
  <c r="BT40"/>
  <c r="BT39"/>
  <c r="BT38"/>
  <c r="BT37"/>
  <c r="BT36"/>
  <c r="BT35"/>
  <c r="BT34"/>
  <c r="BT33"/>
  <c r="BT32"/>
  <c r="BT31"/>
  <c r="BT30"/>
  <c r="BT29"/>
  <c r="BT28"/>
  <c r="BT27"/>
  <c r="BT26"/>
  <c r="BT24"/>
  <c r="BT22"/>
  <c r="BT21"/>
  <c r="BT20"/>
  <c r="BT19"/>
  <c r="BT18"/>
  <c r="BT17"/>
  <c r="BT16"/>
  <c r="BT15"/>
  <c r="BT11"/>
  <c r="BT10"/>
  <c r="BT9"/>
  <c r="BT8"/>
  <c r="AV50" i="6"/>
  <c r="CE41" i="8" s="1"/>
  <c r="CF41" s="1"/>
  <c r="AV49" i="6"/>
  <c r="AV48"/>
  <c r="AV47"/>
  <c r="AV44"/>
  <c r="AV43"/>
  <c r="AV42"/>
  <c r="AV41"/>
  <c r="AV40"/>
  <c r="AV39"/>
  <c r="AV38"/>
  <c r="AV37"/>
  <c r="AV36"/>
  <c r="AV35"/>
  <c r="AV34"/>
  <c r="AV33"/>
  <c r="AV32"/>
  <c r="AV31"/>
  <c r="AV30"/>
  <c r="AV29"/>
  <c r="AV28"/>
  <c r="AV27"/>
  <c r="AV26"/>
  <c r="AV24"/>
  <c r="AV23"/>
  <c r="AV22"/>
  <c r="AV21"/>
  <c r="AV20"/>
  <c r="AV19"/>
  <c r="AV17"/>
  <c r="AV16"/>
  <c r="AV15"/>
  <c r="AV14"/>
  <c r="AV11"/>
  <c r="AV9"/>
  <c r="G23" i="98" l="1"/>
  <c r="I23" s="1"/>
  <c r="CE84" i="8"/>
  <c r="Q38" i="90"/>
  <c r="Q18"/>
  <c r="Q41"/>
  <c r="CJ119" i="7"/>
  <c r="CF80" i="8"/>
  <c r="CE12"/>
  <c r="CE80" s="1"/>
  <c r="CE78"/>
  <c r="CB80"/>
  <c r="CJ12" i="7"/>
  <c r="CK115"/>
  <c r="CG115"/>
  <c r="CC29" i="8"/>
  <c r="CC31" s="1"/>
  <c r="CE34"/>
  <c r="CF39"/>
  <c r="CE55"/>
  <c r="CE95" s="1"/>
  <c r="CB13"/>
  <c r="CB81" s="1"/>
  <c r="CC38"/>
  <c r="CC40" s="1"/>
  <c r="CF18"/>
  <c r="CF95"/>
  <c r="CE24"/>
  <c r="CE25" s="1"/>
  <c r="CF45"/>
  <c r="CG45" s="1"/>
  <c r="CB55"/>
  <c r="CB95" s="1"/>
  <c r="CC34"/>
  <c r="CC19"/>
  <c r="CC83" s="1"/>
  <c r="CE40"/>
  <c r="CB83"/>
  <c r="CF14"/>
  <c r="CF15" s="1"/>
  <c r="CF8" s="1"/>
  <c r="CE30"/>
  <c r="CF30" s="1"/>
  <c r="CK13" i="7"/>
  <c r="CK34"/>
  <c r="CG56"/>
  <c r="CG129" s="1"/>
  <c r="CK16"/>
  <c r="CK46"/>
  <c r="CL46" s="1"/>
  <c r="CG119"/>
  <c r="CH9"/>
  <c r="CH113" s="1"/>
  <c r="CG114"/>
  <c r="CJ15"/>
  <c r="CJ8" s="1"/>
  <c r="CK42"/>
  <c r="CK119" s="1"/>
  <c r="CK47"/>
  <c r="CJ56"/>
  <c r="CK40" s="1"/>
  <c r="CL40" s="1"/>
  <c r="CH129"/>
  <c r="CJ24"/>
  <c r="CJ117" s="1"/>
  <c r="CG118"/>
  <c r="Q16" i="90"/>
  <c r="CE42" i="8"/>
  <c r="CE85" s="1"/>
  <c r="CE17"/>
  <c r="CF29"/>
  <c r="CF38"/>
  <c r="CF40" s="1"/>
  <c r="CB27"/>
  <c r="CC20"/>
  <c r="CD20" s="1"/>
  <c r="CD79" s="1"/>
  <c r="CC23"/>
  <c r="CB25"/>
  <c r="CB34"/>
  <c r="CJ114" i="7"/>
  <c r="CJ115"/>
  <c r="CK14"/>
  <c r="CK15" s="1"/>
  <c r="CK10"/>
  <c r="CL10" s="1"/>
  <c r="CK17"/>
  <c r="CH17"/>
  <c r="CG8"/>
  <c r="CL13"/>
  <c r="CL16"/>
  <c r="CK39"/>
  <c r="CL47"/>
  <c r="CL39"/>
  <c r="CL42"/>
  <c r="CH10"/>
  <c r="CI10" s="1"/>
  <c r="CH42"/>
  <c r="CI42" s="1"/>
  <c r="CL34"/>
  <c r="CK9"/>
  <c r="CK113" s="1"/>
  <c r="CK31"/>
  <c r="CL31" s="1"/>
  <c r="CK32"/>
  <c r="CK36"/>
  <c r="CK44"/>
  <c r="CK45"/>
  <c r="CL45" s="1"/>
  <c r="CI9"/>
  <c r="CI113" s="1"/>
  <c r="CI16"/>
  <c r="CH31"/>
  <c r="CI31" s="1"/>
  <c r="CH32"/>
  <c r="CH34"/>
  <c r="CI34" s="1"/>
  <c r="CH36"/>
  <c r="CI36" s="1"/>
  <c r="CH44"/>
  <c r="CH45"/>
  <c r="CI45" s="1"/>
  <c r="CH46"/>
  <c r="CI46" s="1"/>
  <c r="CI47"/>
  <c r="CH48"/>
  <c r="CH13"/>
  <c r="CH14"/>
  <c r="CG25"/>
  <c r="CG17" s="1"/>
  <c r="CH39"/>
  <c r="CI39" s="1"/>
  <c r="CH40"/>
  <c r="CG43"/>
  <c r="CG120" s="1"/>
  <c r="BY49" i="19"/>
  <c r="BX12"/>
  <c r="BX14"/>
  <c r="BW10"/>
  <c r="BW14" s="1"/>
  <c r="BV49"/>
  <c r="BU14"/>
  <c r="BV14" s="1"/>
  <c r="BU49"/>
  <c r="BT12"/>
  <c r="BT49"/>
  <c r="AU11" i="6"/>
  <c r="AV25"/>
  <c r="AV18"/>
  <c r="AV13"/>
  <c r="AU25"/>
  <c r="AU18"/>
  <c r="AU13"/>
  <c r="AX50" i="5"/>
  <c r="AX49"/>
  <c r="AX48"/>
  <c r="AX47"/>
  <c r="AW54"/>
  <c r="AW53"/>
  <c r="AW52"/>
  <c r="AW51"/>
  <c r="AX15"/>
  <c r="AX14"/>
  <c r="AX13"/>
  <c r="AX44"/>
  <c r="AX43"/>
  <c r="AX42"/>
  <c r="AX41"/>
  <c r="AX40"/>
  <c r="AX39"/>
  <c r="AX38"/>
  <c r="AX37"/>
  <c r="AX36"/>
  <c r="AX35"/>
  <c r="AX34"/>
  <c r="AX33"/>
  <c r="AX32"/>
  <c r="AX31"/>
  <c r="AX30"/>
  <c r="AX29"/>
  <c r="AX28"/>
  <c r="AX27"/>
  <c r="AX26" s="1"/>
  <c r="AX25"/>
  <c r="AX24"/>
  <c r="AX23"/>
  <c r="AX22"/>
  <c r="AX21"/>
  <c r="AX20"/>
  <c r="AX19"/>
  <c r="AX18"/>
  <c r="AX16"/>
  <c r="AX8"/>
  <c r="AW45"/>
  <c r="AW46" s="1"/>
  <c r="AW26"/>
  <c r="AX17"/>
  <c r="AW17"/>
  <c r="AW12"/>
  <c r="AW10"/>
  <c r="CC46" i="8" l="1"/>
  <c r="CD19"/>
  <c r="CD83" s="1"/>
  <c r="CF46"/>
  <c r="CF19"/>
  <c r="CF23"/>
  <c r="CG23" s="1"/>
  <c r="CG81" s="1"/>
  <c r="CF26"/>
  <c r="CG26" s="1"/>
  <c r="CL14" i="7"/>
  <c r="CJ25"/>
  <c r="CJ17" s="1"/>
  <c r="CG124"/>
  <c r="CF33" i="8"/>
  <c r="CF20"/>
  <c r="CF79" s="1"/>
  <c r="CC33"/>
  <c r="CE31"/>
  <c r="CE27" s="1"/>
  <c r="CF24"/>
  <c r="CD46"/>
  <c r="CD86" s="1"/>
  <c r="CC86"/>
  <c r="CG18"/>
  <c r="CG78" s="1"/>
  <c r="CF78"/>
  <c r="CC26"/>
  <c r="CC44"/>
  <c r="CC24"/>
  <c r="CC25" s="1"/>
  <c r="CC18"/>
  <c r="CF44"/>
  <c r="CC79"/>
  <c r="CG20"/>
  <c r="CG79" s="1"/>
  <c r="CC45"/>
  <c r="CD45" s="1"/>
  <c r="CC81"/>
  <c r="CK41" i="7"/>
  <c r="CI114"/>
  <c r="CJ124"/>
  <c r="CJ132" s="1"/>
  <c r="CH117"/>
  <c r="CG130"/>
  <c r="CG132"/>
  <c r="CI13"/>
  <c r="CI116" s="1"/>
  <c r="CH116"/>
  <c r="CK48"/>
  <c r="CJ129"/>
  <c r="CI119"/>
  <c r="CH114"/>
  <c r="CH119"/>
  <c r="CI48"/>
  <c r="CI121" s="1"/>
  <c r="CH121"/>
  <c r="CF34" i="8"/>
  <c r="CF31"/>
  <c r="CF27" s="1"/>
  <c r="CD23"/>
  <c r="CL41" i="7"/>
  <c r="CL116"/>
  <c r="CK116"/>
  <c r="CK114"/>
  <c r="CL119"/>
  <c r="CK117"/>
  <c r="CL15"/>
  <c r="CG133"/>
  <c r="CK35"/>
  <c r="CK43"/>
  <c r="CK120" s="1"/>
  <c r="CL44"/>
  <c r="CL43" s="1"/>
  <c r="CL120" s="1"/>
  <c r="CL9"/>
  <c r="CK8"/>
  <c r="CL32"/>
  <c r="CL33" s="1"/>
  <c r="CL27" s="1"/>
  <c r="CK33"/>
  <c r="CK27" s="1"/>
  <c r="CL36"/>
  <c r="CH41"/>
  <c r="CH35" s="1"/>
  <c r="CI40"/>
  <c r="CI41" s="1"/>
  <c r="CI35" s="1"/>
  <c r="CH33"/>
  <c r="CH27" s="1"/>
  <c r="CI32"/>
  <c r="CI33" s="1"/>
  <c r="CI27" s="1"/>
  <c r="CH15"/>
  <c r="CH8" s="1"/>
  <c r="CI14"/>
  <c r="CI44"/>
  <c r="CI43" s="1"/>
  <c r="CI120" s="1"/>
  <c r="CH43"/>
  <c r="CH120" s="1"/>
  <c r="BX49" i="19"/>
  <c r="BW12"/>
  <c r="BW49" s="1"/>
  <c r="AV45" i="6"/>
  <c r="AU45"/>
  <c r="AU51" s="1"/>
  <c r="AV46"/>
  <c r="AU53"/>
  <c r="AU54"/>
  <c r="AU52"/>
  <c r="AU46"/>
  <c r="AX45" i="5"/>
  <c r="AX46" s="1"/>
  <c r="AX10"/>
  <c r="AX12"/>
  <c r="DA35" i="17"/>
  <c r="DB33"/>
  <c r="DB32"/>
  <c r="DA32" s="1"/>
  <c r="DB31"/>
  <c r="DB30"/>
  <c r="DA30" s="1"/>
  <c r="DA24"/>
  <c r="DA33"/>
  <c r="DA31"/>
  <c r="DA28"/>
  <c r="DA27"/>
  <c r="DA26"/>
  <c r="CX33"/>
  <c r="CX32"/>
  <c r="CX31"/>
  <c r="CX30"/>
  <c r="CX28"/>
  <c r="CX27"/>
  <c r="CX26"/>
  <c r="CX25"/>
  <c r="DB28"/>
  <c r="DB27"/>
  <c r="DB26"/>
  <c r="DB25"/>
  <c r="DA25" s="1"/>
  <c r="CX29"/>
  <c r="CX24"/>
  <c r="CX35"/>
  <c r="CX37"/>
  <c r="CX36"/>
  <c r="DB29"/>
  <c r="DA29" s="1"/>
  <c r="DA37" s="1"/>
  <c r="CY29"/>
  <c r="CY24"/>
  <c r="CZ29"/>
  <c r="CW29"/>
  <c r="CZ24"/>
  <c r="CW24"/>
  <c r="AJ29" i="10"/>
  <c r="AJ28"/>
  <c r="AJ27"/>
  <c r="AJ26"/>
  <c r="AJ30" s="1"/>
  <c r="AJ31" s="1"/>
  <c r="AJ24"/>
  <c r="AJ23"/>
  <c r="AJ22"/>
  <c r="AJ21"/>
  <c r="AJ25"/>
  <c r="AI30"/>
  <c r="AI25"/>
  <c r="DA44" i="11"/>
  <c r="CX43"/>
  <c r="CX42"/>
  <c r="CY42" s="1"/>
  <c r="CX41"/>
  <c r="CZ43"/>
  <c r="CY43"/>
  <c r="CZ42"/>
  <c r="CY41"/>
  <c r="CV43"/>
  <c r="CV42"/>
  <c r="CY46"/>
  <c r="CU46"/>
  <c r="CU43"/>
  <c r="CU42"/>
  <c r="CU41"/>
  <c r="DA35"/>
  <c r="DA34"/>
  <c r="DA33"/>
  <c r="DA32"/>
  <c r="DA31"/>
  <c r="DA30"/>
  <c r="DA29"/>
  <c r="DA39"/>
  <c r="DA38"/>
  <c r="CZ34"/>
  <c r="CZ33"/>
  <c r="CZ32"/>
  <c r="CZ31"/>
  <c r="CZ30"/>
  <c r="CZ29"/>
  <c r="CY34"/>
  <c r="CU34"/>
  <c r="CQ34"/>
  <c r="CY40"/>
  <c r="CY33" s="1"/>
  <c r="CU40"/>
  <c r="CU32" s="1"/>
  <c r="CV34"/>
  <c r="CV33"/>
  <c r="CV32"/>
  <c r="CV31"/>
  <c r="CV30"/>
  <c r="CV29"/>
  <c r="CX35"/>
  <c r="CX34"/>
  <c r="CX33"/>
  <c r="CX32"/>
  <c r="CX31"/>
  <c r="CX30"/>
  <c r="CX29"/>
  <c r="CY29" s="1"/>
  <c r="CY31"/>
  <c r="CU33"/>
  <c r="CU31"/>
  <c r="CU29"/>
  <c r="CT62" i="72"/>
  <c r="CT61"/>
  <c r="CT60"/>
  <c r="CT59"/>
  <c r="CT58"/>
  <c r="CT57"/>
  <c r="CT56"/>
  <c r="CT54"/>
  <c r="CS54"/>
  <c r="CR54" s="1"/>
  <c r="CT53"/>
  <c r="CT55" s="1"/>
  <c r="CT52"/>
  <c r="CS52"/>
  <c r="CS55" s="1"/>
  <c r="CT50"/>
  <c r="CS50"/>
  <c r="CR50" s="1"/>
  <c r="CT49"/>
  <c r="CT51" s="1"/>
  <c r="CT48"/>
  <c r="CS48"/>
  <c r="CS51" s="1"/>
  <c r="CQ62"/>
  <c r="CQ61"/>
  <c r="CQ60"/>
  <c r="CQ59"/>
  <c r="CQ58"/>
  <c r="CQ57"/>
  <c r="CQ56"/>
  <c r="CP55"/>
  <c r="CQ54"/>
  <c r="CP54"/>
  <c r="CO54"/>
  <c r="CQ53"/>
  <c r="CQ52"/>
  <c r="CQ55" s="1"/>
  <c r="CO55" s="1"/>
  <c r="CP52"/>
  <c r="CO52"/>
  <c r="CP51"/>
  <c r="CQ50"/>
  <c r="CP50"/>
  <c r="CO50"/>
  <c r="CQ49"/>
  <c r="CQ48"/>
  <c r="CQ51" s="1"/>
  <c r="CO51" s="1"/>
  <c r="CP48"/>
  <c r="CO48"/>
  <c r="CL60" i="9"/>
  <c r="CL58"/>
  <c r="CL57"/>
  <c r="CL56"/>
  <c r="CI60"/>
  <c r="CI61" s="1"/>
  <c r="CI58"/>
  <c r="CI59" s="1"/>
  <c r="CI57"/>
  <c r="CI56"/>
  <c r="CL61"/>
  <c r="CL62"/>
  <c r="CL59"/>
  <c r="CK55"/>
  <c r="CI55"/>
  <c r="CH55"/>
  <c r="CK54"/>
  <c r="CJ54"/>
  <c r="CL54" s="1"/>
  <c r="CG54"/>
  <c r="CK52"/>
  <c r="CJ52"/>
  <c r="CL52" s="1"/>
  <c r="CL55" s="1"/>
  <c r="CG52"/>
  <c r="CK51"/>
  <c r="CI51"/>
  <c r="CH51"/>
  <c r="CG51"/>
  <c r="CK50"/>
  <c r="CJ50"/>
  <c r="CL50" s="1"/>
  <c r="CG50"/>
  <c r="CK48"/>
  <c r="CJ48"/>
  <c r="CL48" s="1"/>
  <c r="CF83" i="8" l="1"/>
  <c r="CG19"/>
  <c r="CG83" s="1"/>
  <c r="CF25"/>
  <c r="CF81"/>
  <c r="CF86"/>
  <c r="CG46"/>
  <c r="CG86" s="1"/>
  <c r="CG33"/>
  <c r="CF84"/>
  <c r="CG24"/>
  <c r="CF82"/>
  <c r="CF17"/>
  <c r="CC27"/>
  <c r="CD33"/>
  <c r="CD27" s="1"/>
  <c r="CD18"/>
  <c r="CD78" s="1"/>
  <c r="CC78"/>
  <c r="CC82"/>
  <c r="CD24"/>
  <c r="CD25" s="1"/>
  <c r="CC84"/>
  <c r="CD26"/>
  <c r="CD84" s="1"/>
  <c r="CD81"/>
  <c r="CG44"/>
  <c r="CG42" s="1"/>
  <c r="CG85" s="1"/>
  <c r="CF42"/>
  <c r="CF85" s="1"/>
  <c r="CD44"/>
  <c r="CD42" s="1"/>
  <c r="CD85" s="1"/>
  <c r="CC42"/>
  <c r="CC85" s="1"/>
  <c r="CJ133" i="7"/>
  <c r="CL35"/>
  <c r="CJ130"/>
  <c r="CK121"/>
  <c r="CL48"/>
  <c r="CL121" s="1"/>
  <c r="CI15"/>
  <c r="CI8" s="1"/>
  <c r="CI51" s="1"/>
  <c r="CI117"/>
  <c r="CI124" s="1"/>
  <c r="CL8"/>
  <c r="CL113"/>
  <c r="CK124"/>
  <c r="CK132" s="1"/>
  <c r="CH124"/>
  <c r="CF49" i="8"/>
  <c r="CF66" s="1"/>
  <c r="CF67" s="1"/>
  <c r="CL114" i="7"/>
  <c r="CK130"/>
  <c r="CL117"/>
  <c r="CH51"/>
  <c r="CH59" s="1"/>
  <c r="CK51"/>
  <c r="DB24" i="17"/>
  <c r="AI31" i="10"/>
  <c r="CY30" i="11"/>
  <c r="CY32"/>
  <c r="CU30"/>
  <c r="CR55" i="72"/>
  <c r="CR51"/>
  <c r="CR48"/>
  <c r="CR52"/>
  <c r="CI62" i="9"/>
  <c r="CG55"/>
  <c r="CJ55"/>
  <c r="CL51"/>
  <c r="CJ51" s="1"/>
  <c r="CG27" i="8" l="1"/>
  <c r="CG84"/>
  <c r="CF62"/>
  <c r="CF60"/>
  <c r="CG25"/>
  <c r="CG17"/>
  <c r="CF63"/>
  <c r="CF89"/>
  <c r="CF96" s="1"/>
  <c r="CC89"/>
  <c r="CL51" i="7"/>
  <c r="CL62" s="1"/>
  <c r="CL63" s="1"/>
  <c r="CL124"/>
  <c r="CL130" s="1"/>
  <c r="CH130"/>
  <c r="CH132"/>
  <c r="CI130"/>
  <c r="CI132"/>
  <c r="CK135"/>
  <c r="CK136" s="1"/>
  <c r="CK133"/>
  <c r="CH60"/>
  <c r="CH57"/>
  <c r="CH62"/>
  <c r="CH63" s="1"/>
  <c r="CL60"/>
  <c r="CL57"/>
  <c r="CK59"/>
  <c r="CK57"/>
  <c r="CK62"/>
  <c r="CK63" s="1"/>
  <c r="CK60"/>
  <c r="CJ51"/>
  <c r="CI62"/>
  <c r="CI63" s="1"/>
  <c r="CI60"/>
  <c r="CI59"/>
  <c r="CI57"/>
  <c r="CG51"/>
  <c r="DA36" i="17"/>
  <c r="CL59" i="7" l="1"/>
  <c r="CF98" i="8"/>
  <c r="CF101" s="1"/>
  <c r="CF102" s="1"/>
  <c r="CC96"/>
  <c r="CC98"/>
  <c r="CL132" i="7"/>
  <c r="CI133"/>
  <c r="CI135"/>
  <c r="CI136" s="1"/>
  <c r="CH133"/>
  <c r="CH135"/>
  <c r="CH136" s="1"/>
  <c r="CJ60"/>
  <c r="CJ59"/>
  <c r="CJ57"/>
  <c r="CG60"/>
  <c r="CG59"/>
  <c r="CG57"/>
  <c r="CG48" i="9"/>
  <c r="CF99" i="8" l="1"/>
  <c r="CC99"/>
  <c r="CC101"/>
  <c r="CC102" s="1"/>
  <c r="CL135" i="7"/>
  <c r="CL136" s="1"/>
  <c r="CL133"/>
  <c r="AH58" i="3"/>
  <c r="AG58"/>
  <c r="AH53"/>
  <c r="AH49" s="1"/>
  <c r="AH44"/>
  <c r="AH39"/>
  <c r="AH43" s="1"/>
  <c r="AG53"/>
  <c r="AG49"/>
  <c r="AG44"/>
  <c r="AG43"/>
  <c r="AG39"/>
  <c r="AH47" l="1"/>
  <c r="AH48" s="1"/>
  <c r="AG47"/>
  <c r="AG48" s="1"/>
  <c r="N35" i="87"/>
  <c r="M35"/>
  <c r="L35"/>
  <c r="N34"/>
  <c r="M34"/>
  <c r="L34"/>
  <c r="N27"/>
  <c r="M27"/>
  <c r="N24"/>
  <c r="N23" s="1"/>
  <c r="M24"/>
  <c r="M23" s="1"/>
  <c r="N21"/>
  <c r="M21"/>
  <c r="N20"/>
  <c r="M20"/>
  <c r="N17"/>
  <c r="M17"/>
  <c r="L17"/>
  <c r="N15"/>
  <c r="M15"/>
  <c r="N12"/>
  <c r="M12"/>
  <c r="N16"/>
  <c r="N14"/>
  <c r="M16"/>
  <c r="M14"/>
  <c r="L16"/>
  <c r="L14"/>
  <c r="N33" i="88"/>
  <c r="M33"/>
  <c r="L33"/>
  <c r="N21"/>
  <c r="M21"/>
  <c r="N15"/>
  <c r="M15"/>
  <c r="M13" s="1"/>
  <c r="N12"/>
  <c r="M12"/>
  <c r="N23"/>
  <c r="M23"/>
  <c r="N13"/>
  <c r="L23"/>
  <c r="N12" i="85"/>
  <c r="M12"/>
  <c r="N33"/>
  <c r="M33"/>
  <c r="L33"/>
  <c r="N21"/>
  <c r="M21"/>
  <c r="N20"/>
  <c r="M20"/>
  <c r="N17"/>
  <c r="M17"/>
  <c r="N16"/>
  <c r="M16"/>
  <c r="L16"/>
  <c r="N14"/>
  <c r="M14"/>
  <c r="L14"/>
  <c r="M11"/>
  <c r="N15"/>
  <c r="M15"/>
  <c r="N11" i="86"/>
  <c r="M11"/>
  <c r="N33"/>
  <c r="M33"/>
  <c r="L33"/>
  <c r="N27"/>
  <c r="M27"/>
  <c r="N21"/>
  <c r="M21"/>
  <c r="N15"/>
  <c r="M15"/>
  <c r="N12"/>
  <c r="M12"/>
  <c r="BY45" i="8"/>
  <c r="BY41"/>
  <c r="BZ41" s="1"/>
  <c r="BY38"/>
  <c r="BY40" s="1"/>
  <c r="BY35"/>
  <c r="BZ35" s="1"/>
  <c r="BY33"/>
  <c r="BY32"/>
  <c r="BZ32" s="1"/>
  <c r="BY29"/>
  <c r="BY31" s="1"/>
  <c r="CA55"/>
  <c r="CA95" s="1"/>
  <c r="BY55"/>
  <c r="BZ61"/>
  <c r="BY61" s="1"/>
  <c r="BY97" s="1"/>
  <c r="BY48"/>
  <c r="BZ43"/>
  <c r="BY42"/>
  <c r="BY85" s="1"/>
  <c r="BZ39"/>
  <c r="BY37"/>
  <c r="CA34"/>
  <c r="BZ30"/>
  <c r="BY28"/>
  <c r="BY26"/>
  <c r="BY23"/>
  <c r="BY20"/>
  <c r="BY19"/>
  <c r="BY22"/>
  <c r="CA100"/>
  <c r="BZ100"/>
  <c r="L24" i="87" s="1"/>
  <c r="L23" s="1"/>
  <c r="BY100" i="8"/>
  <c r="CA97"/>
  <c r="BZ97"/>
  <c r="L27" i="87" s="1"/>
  <c r="CA88" i="8"/>
  <c r="BZ88"/>
  <c r="L20" i="87" s="1"/>
  <c r="BY88" i="8"/>
  <c r="CA80"/>
  <c r="BZ80"/>
  <c r="BZ16"/>
  <c r="BY16" s="1"/>
  <c r="BY14"/>
  <c r="BY82" s="1"/>
  <c r="BZ13"/>
  <c r="BY13" s="1"/>
  <c r="BY12"/>
  <c r="BY11"/>
  <c r="BZ10"/>
  <c r="BY10" s="1"/>
  <c r="BY9"/>
  <c r="BY78" s="1"/>
  <c r="CF134" i="7"/>
  <c r="CF131"/>
  <c r="L27" i="86" s="1"/>
  <c r="CF123" i="7"/>
  <c r="CF122"/>
  <c r="CF118"/>
  <c r="CF115"/>
  <c r="CE134"/>
  <c r="CE131"/>
  <c r="CE129"/>
  <c r="CE123"/>
  <c r="L20" i="85" s="1"/>
  <c r="CE122" i="7"/>
  <c r="L17" i="85" s="1"/>
  <c r="CE115" i="7"/>
  <c r="CD113"/>
  <c r="CE18"/>
  <c r="CD50"/>
  <c r="CD123" s="1"/>
  <c r="CD49"/>
  <c r="CD122" s="1"/>
  <c r="CD42"/>
  <c r="CD39"/>
  <c r="CD38"/>
  <c r="CD36"/>
  <c r="CD34"/>
  <c r="CD31"/>
  <c r="CE29"/>
  <c r="CD29" s="1"/>
  <c r="CD28"/>
  <c r="CE26"/>
  <c r="CD26" s="1"/>
  <c r="CD24"/>
  <c r="CD117" s="1"/>
  <c r="CE23"/>
  <c r="CD23" s="1"/>
  <c r="CD22"/>
  <c r="CD20"/>
  <c r="CE20" s="1"/>
  <c r="CD19"/>
  <c r="CD118" s="1"/>
  <c r="CD16"/>
  <c r="CD119" s="1"/>
  <c r="CD13"/>
  <c r="CD12"/>
  <c r="CD115" s="1"/>
  <c r="CD10"/>
  <c r="CF17"/>
  <c r="CE25"/>
  <c r="CF56"/>
  <c r="CE44" s="1"/>
  <c r="CF44" s="1"/>
  <c r="BQ48" i="19"/>
  <c r="BQ47"/>
  <c r="BQ46"/>
  <c r="BQ45"/>
  <c r="BQ44"/>
  <c r="BQ43"/>
  <c r="BQ42"/>
  <c r="BQ41"/>
  <c r="BQ40"/>
  <c r="BQ39"/>
  <c r="BQ38"/>
  <c r="BQ37"/>
  <c r="BQ36"/>
  <c r="BQ35"/>
  <c r="BQ34"/>
  <c r="BQ33"/>
  <c r="BQ32"/>
  <c r="BQ31"/>
  <c r="BQ30"/>
  <c r="BQ29"/>
  <c r="BQ28"/>
  <c r="BQ27"/>
  <c r="BQ26"/>
  <c r="BQ25"/>
  <c r="BQ24"/>
  <c r="BQ22"/>
  <c r="BQ21"/>
  <c r="BQ20"/>
  <c r="BQ19"/>
  <c r="BQ18"/>
  <c r="BQ17"/>
  <c r="BQ16"/>
  <c r="BQ15"/>
  <c r="BQ11"/>
  <c r="BQ10"/>
  <c r="BQ12" s="1"/>
  <c r="BQ9"/>
  <c r="BQ8"/>
  <c r="BS12"/>
  <c r="BR12"/>
  <c r="BS23"/>
  <c r="BR23"/>
  <c r="BQ23" s="1"/>
  <c r="AT16" i="6"/>
  <c r="AT11"/>
  <c r="AT25"/>
  <c r="AT18"/>
  <c r="AT13"/>
  <c r="AV16" i="5"/>
  <c r="AV31"/>
  <c r="AV10"/>
  <c r="AV26"/>
  <c r="AV17"/>
  <c r="AV12"/>
  <c r="CU35" i="17"/>
  <c r="CU33"/>
  <c r="CU32"/>
  <c r="CU31"/>
  <c r="CU30"/>
  <c r="CU29"/>
  <c r="CU28"/>
  <c r="CU27"/>
  <c r="CU26"/>
  <c r="CU25"/>
  <c r="CU24"/>
  <c r="CT24"/>
  <c r="CV24"/>
  <c r="CT29"/>
  <c r="AH30" i="10"/>
  <c r="AH25"/>
  <c r="CR43" i="11"/>
  <c r="CQ46"/>
  <c r="CQ40"/>
  <c r="CQ43"/>
  <c r="CR42"/>
  <c r="CQ42"/>
  <c r="CS45"/>
  <c r="CQ41"/>
  <c r="CS39"/>
  <c r="CR34"/>
  <c r="CR33"/>
  <c r="CQ33"/>
  <c r="CR32"/>
  <c r="CQ32"/>
  <c r="CR31"/>
  <c r="CQ31"/>
  <c r="CR30"/>
  <c r="CQ30"/>
  <c r="CR29"/>
  <c r="CQ29"/>
  <c r="CN62" i="72"/>
  <c r="CN61"/>
  <c r="CN60"/>
  <c r="CN59"/>
  <c r="CN58"/>
  <c r="CN57"/>
  <c r="CN56"/>
  <c r="CN54"/>
  <c r="CM54"/>
  <c r="CL54" s="1"/>
  <c r="CN53"/>
  <c r="CN52"/>
  <c r="CM52"/>
  <c r="CL52" s="1"/>
  <c r="CN50"/>
  <c r="CM50"/>
  <c r="CL50" s="1"/>
  <c r="CN49"/>
  <c r="CM48"/>
  <c r="CN48"/>
  <c r="CF60" i="9"/>
  <c r="CF58"/>
  <c r="CF56"/>
  <c r="CF61"/>
  <c r="CF59"/>
  <c r="CF57"/>
  <c r="CF55"/>
  <c r="CE55"/>
  <c r="CD54"/>
  <c r="CD52"/>
  <c r="CF51"/>
  <c r="CE51"/>
  <c r="CD50"/>
  <c r="CD48"/>
  <c r="AF53" i="3"/>
  <c r="BZ55" i="8" l="1"/>
  <c r="N11" i="87"/>
  <c r="CD114" i="7"/>
  <c r="CD116"/>
  <c r="CE46"/>
  <c r="CF46" s="1"/>
  <c r="CE16"/>
  <c r="CF16" s="1"/>
  <c r="CE10"/>
  <c r="CF10" s="1"/>
  <c r="CE34"/>
  <c r="CF34" s="1"/>
  <c r="CE45"/>
  <c r="CF45" s="1"/>
  <c r="CE19"/>
  <c r="CE118" s="1"/>
  <c r="CF129"/>
  <c r="CD56"/>
  <c r="CE36" s="1"/>
  <c r="CF36" s="1"/>
  <c r="CE42"/>
  <c r="CF42" s="1"/>
  <c r="CE13"/>
  <c r="CF13" s="1"/>
  <c r="CE9"/>
  <c r="CF9" s="1"/>
  <c r="CF113" s="1"/>
  <c r="L12" i="86" s="1"/>
  <c r="CE14" i="7"/>
  <c r="CE32"/>
  <c r="CF32" s="1"/>
  <c r="M11" i="87"/>
  <c r="N11" i="85"/>
  <c r="CE39" i="7"/>
  <c r="CF39" s="1"/>
  <c r="BS49" i="19"/>
  <c r="BY46" i="8" s="1"/>
  <c r="BY86" s="1"/>
  <c r="BQ14" i="19"/>
  <c r="BR14" s="1"/>
  <c r="BS14" s="1"/>
  <c r="BR49"/>
  <c r="CD48" i="7" s="1"/>
  <c r="BQ49" i="19"/>
  <c r="N13" i="87"/>
  <c r="M13"/>
  <c r="BY84" i="8"/>
  <c r="BY79"/>
  <c r="BY34"/>
  <c r="BY95"/>
  <c r="BY80"/>
  <c r="BZ44"/>
  <c r="BZ24"/>
  <c r="BZ82" s="1"/>
  <c r="BZ19"/>
  <c r="BZ45"/>
  <c r="CA45" s="1"/>
  <c r="BZ33"/>
  <c r="CA33" s="1"/>
  <c r="BZ26"/>
  <c r="BZ20"/>
  <c r="BZ18"/>
  <c r="CA18" s="1"/>
  <c r="CA78" s="1"/>
  <c r="L12" i="88" s="1"/>
  <c r="BZ95" i="8"/>
  <c r="BZ23"/>
  <c r="CA23" s="1"/>
  <c r="CA81" s="1"/>
  <c r="BZ29"/>
  <c r="BZ31" s="1"/>
  <c r="BZ38"/>
  <c r="BZ34" s="1"/>
  <c r="BY25"/>
  <c r="BY81"/>
  <c r="BY83"/>
  <c r="AT45" i="6"/>
  <c r="AT53" s="1"/>
  <c r="AT51"/>
  <c r="AT52"/>
  <c r="AV45" i="5"/>
  <c r="AV53" s="1"/>
  <c r="AV52"/>
  <c r="CV29" i="17"/>
  <c r="CU37"/>
  <c r="CU36"/>
  <c r="AH31" i="10"/>
  <c r="CD55" i="9"/>
  <c r="CD51"/>
  <c r="CF62"/>
  <c r="AF58" i="3"/>
  <c r="AF49"/>
  <c r="AF44"/>
  <c r="AF39"/>
  <c r="AF43" s="1"/>
  <c r="DA45" i="11"/>
  <c r="DA37"/>
  <c r="DA36"/>
  <c r="CW45"/>
  <c r="CW37"/>
  <c r="CW36"/>
  <c r="CW39"/>
  <c r="CA14" i="8"/>
  <c r="CA8" s="1"/>
  <c r="N28" i="90"/>
  <c r="N27"/>
  <c r="N26"/>
  <c r="N21"/>
  <c r="N20"/>
  <c r="M28"/>
  <c r="M27"/>
  <c r="M26"/>
  <c r="M21"/>
  <c r="M20"/>
  <c r="L28"/>
  <c r="L27"/>
  <c r="L26"/>
  <c r="L21"/>
  <c r="L20"/>
  <c r="N22"/>
  <c r="N19"/>
  <c r="M22"/>
  <c r="M19"/>
  <c r="L22"/>
  <c r="L19"/>
  <c r="L18"/>
  <c r="N28" i="89"/>
  <c r="N27"/>
  <c r="N26"/>
  <c r="N21"/>
  <c r="N20"/>
  <c r="M28"/>
  <c r="M27"/>
  <c r="M26"/>
  <c r="M21"/>
  <c r="M20"/>
  <c r="L28"/>
  <c r="L27"/>
  <c r="L26"/>
  <c r="L21"/>
  <c r="L20"/>
  <c r="N34" i="85"/>
  <c r="N39" i="89" s="1"/>
  <c r="N38"/>
  <c r="N23" i="85"/>
  <c r="N22" i="89"/>
  <c r="N19"/>
  <c r="N18"/>
  <c r="N16"/>
  <c r="M34" i="85"/>
  <c r="M39" i="89" s="1"/>
  <c r="M23" i="85"/>
  <c r="M22" i="89"/>
  <c r="M19"/>
  <c r="M18"/>
  <c r="M16"/>
  <c r="L34" i="85"/>
  <c r="L39" i="89" s="1"/>
  <c r="L38"/>
  <c r="L23" i="85"/>
  <c r="L22" i="89"/>
  <c r="L19"/>
  <c r="L18"/>
  <c r="L16"/>
  <c r="N40"/>
  <c r="N23" i="86"/>
  <c r="N13"/>
  <c r="M40" i="89"/>
  <c r="M23" i="86"/>
  <c r="M13"/>
  <c r="L40" i="89"/>
  <c r="L23" i="86"/>
  <c r="P57" i="90"/>
  <c r="P33" i="88"/>
  <c r="P23"/>
  <c r="K35" i="87"/>
  <c r="K16"/>
  <c r="K14"/>
  <c r="P44"/>
  <c r="P35"/>
  <c r="P16"/>
  <c r="P14"/>
  <c r="P56" i="89"/>
  <c r="K33" i="86"/>
  <c r="K23"/>
  <c r="P33"/>
  <c r="P23"/>
  <c r="K34" i="85"/>
  <c r="K16"/>
  <c r="K14"/>
  <c r="P43"/>
  <c r="P45"/>
  <c r="P34"/>
  <c r="P33"/>
  <c r="P16"/>
  <c r="P14"/>
  <c r="P24"/>
  <c r="P23" s="1"/>
  <c r="CK90" i="8"/>
  <c r="CJ90"/>
  <c r="CL50"/>
  <c r="CH50"/>
  <c r="CH90" s="1"/>
  <c r="CN48"/>
  <c r="CH48"/>
  <c r="CH44"/>
  <c r="CL43"/>
  <c r="CJ43"/>
  <c r="CH43" s="1"/>
  <c r="CI43" s="1"/>
  <c r="CL35"/>
  <c r="CH35"/>
  <c r="CL32"/>
  <c r="CH32"/>
  <c r="CO30"/>
  <c r="CK30"/>
  <c r="CN22"/>
  <c r="CJ22"/>
  <c r="CL20"/>
  <c r="CN20" s="1"/>
  <c r="CH20"/>
  <c r="CN12"/>
  <c r="CL10"/>
  <c r="CM10" s="1"/>
  <c r="CH10"/>
  <c r="CI10" s="1"/>
  <c r="CM64"/>
  <c r="CM59"/>
  <c r="CM58"/>
  <c r="CM57"/>
  <c r="CM56"/>
  <c r="CI64"/>
  <c r="CI59"/>
  <c r="CI58"/>
  <c r="CI57"/>
  <c r="CI56"/>
  <c r="CO55"/>
  <c r="CK55"/>
  <c r="CJ55"/>
  <c r="CH55"/>
  <c r="CQ61" i="7"/>
  <c r="CM50"/>
  <c r="F21" i="106"/>
  <c r="F19"/>
  <c r="F18"/>
  <c r="E22"/>
  <c r="D22"/>
  <c r="E18"/>
  <c r="D18"/>
  <c r="F13"/>
  <c r="E13"/>
  <c r="D13"/>
  <c r="F9"/>
  <c r="F8"/>
  <c r="F7"/>
  <c r="F6"/>
  <c r="E6"/>
  <c r="D6"/>
  <c r="CM43" i="8" l="1"/>
  <c r="B125" i="93"/>
  <c r="CE40" i="7"/>
  <c r="CF40" s="1"/>
  <c r="BZ78" i="8"/>
  <c r="L12" i="87" s="1"/>
  <c r="BZ46" i="8"/>
  <c r="BZ86" s="1"/>
  <c r="CA24"/>
  <c r="CA25" s="1"/>
  <c r="CE113" i="7"/>
  <c r="L12" i="85" s="1"/>
  <c r="CF119" i="7"/>
  <c r="BY89" i="8"/>
  <c r="BY96" s="1"/>
  <c r="CE119" i="7"/>
  <c r="CE117"/>
  <c r="CD129"/>
  <c r="CE31"/>
  <c r="CF31" s="1"/>
  <c r="CF116" s="1"/>
  <c r="CF114"/>
  <c r="L21" i="86" s="1"/>
  <c r="CE114" i="7"/>
  <c r="L21" i="85" s="1"/>
  <c r="L25" i="90"/>
  <c r="N25"/>
  <c r="L25" i="89"/>
  <c r="N25"/>
  <c r="M25"/>
  <c r="CE116" i="7"/>
  <c r="CD121"/>
  <c r="CE48"/>
  <c r="M25" i="90"/>
  <c r="N18"/>
  <c r="M18"/>
  <c r="CA46" i="8"/>
  <c r="CA86" s="1"/>
  <c r="BZ40"/>
  <c r="BZ25"/>
  <c r="CA26"/>
  <c r="CA84" s="1"/>
  <c r="BZ84"/>
  <c r="BZ81"/>
  <c r="CA20"/>
  <c r="CA79" s="1"/>
  <c r="L21" i="88" s="1"/>
  <c r="BZ79" i="8"/>
  <c r="L21" i="87" s="1"/>
  <c r="CA19" i="8"/>
  <c r="CA83" s="1"/>
  <c r="BZ83"/>
  <c r="CA44"/>
  <c r="CA42" s="1"/>
  <c r="BZ42"/>
  <c r="BZ85" s="1"/>
  <c r="L15" i="87" s="1"/>
  <c r="L13" s="1"/>
  <c r="AT46" i="6"/>
  <c r="AT54"/>
  <c r="AV51" i="5"/>
  <c r="AV46"/>
  <c r="AV54"/>
  <c r="AF47" i="3"/>
  <c r="AF48" s="1"/>
  <c r="BZ15" i="8"/>
  <c r="CG14" s="1"/>
  <c r="CC15"/>
  <c r="CC8" s="1"/>
  <c r="BZ27"/>
  <c r="M14" i="90"/>
  <c r="N29"/>
  <c r="N14"/>
  <c r="N17"/>
  <c r="N23"/>
  <c r="M17"/>
  <c r="M23"/>
  <c r="M29"/>
  <c r="M14" i="89"/>
  <c r="M13" i="85"/>
  <c r="M23" i="89"/>
  <c r="M29"/>
  <c r="N13" i="85"/>
  <c r="N17" i="89"/>
  <c r="N15" s="1"/>
  <c r="N14"/>
  <c r="M17"/>
  <c r="M15" s="1"/>
  <c r="N23"/>
  <c r="N29"/>
  <c r="M37"/>
  <c r="L37"/>
  <c r="M38"/>
  <c r="N37"/>
  <c r="L39" i="90"/>
  <c r="M39"/>
  <c r="N39"/>
  <c r="CA82" i="8" l="1"/>
  <c r="BY98"/>
  <c r="BY99" s="1"/>
  <c r="L11" i="87"/>
  <c r="BZ8" i="8"/>
  <c r="CG8"/>
  <c r="CG49" s="1"/>
  <c r="CE14"/>
  <c r="CG82"/>
  <c r="CA85"/>
  <c r="L15" i="88"/>
  <c r="L13" s="1"/>
  <c r="L11"/>
  <c r="CF48" i="7"/>
  <c r="CF121" s="1"/>
  <c r="CE121"/>
  <c r="BZ89" i="8"/>
  <c r="BZ98" s="1"/>
  <c r="BZ99" s="1"/>
  <c r="CA89"/>
  <c r="CA96" s="1"/>
  <c r="E10" i="106"/>
  <c r="D10"/>
  <c r="BY101" i="8" l="1"/>
  <c r="BY102" s="1"/>
  <c r="CG89"/>
  <c r="N11" i="88"/>
  <c r="CG62" i="8"/>
  <c r="CG66"/>
  <c r="CG67" s="1"/>
  <c r="CG60"/>
  <c r="CG63"/>
  <c r="CE82"/>
  <c r="CE89" s="1"/>
  <c r="CE15"/>
  <c r="CE8" s="1"/>
  <c r="CE49" s="1"/>
  <c r="BZ96"/>
  <c r="L11" i="85"/>
  <c r="CA98" i="8"/>
  <c r="CA101" s="1"/>
  <c r="CA102" s="1"/>
  <c r="BZ101"/>
  <c r="BZ102" s="1"/>
  <c r="CA99"/>
  <c r="F20" i="106"/>
  <c r="F17"/>
  <c r="F22" s="1"/>
  <c r="F16"/>
  <c r="F12"/>
  <c r="F11"/>
  <c r="F5"/>
  <c r="F4"/>
  <c r="CE60" i="8" l="1"/>
  <c r="CE63"/>
  <c r="CE62"/>
  <c r="CE96"/>
  <c r="CE98"/>
  <c r="CG98"/>
  <c r="CG96"/>
  <c r="F10" i="106"/>
  <c r="B27" i="105"/>
  <c r="CE99" i="8" l="1"/>
  <c r="CG99"/>
  <c r="CG101"/>
  <c r="CG102" s="1"/>
  <c r="D44" i="105"/>
  <c r="D43"/>
  <c r="E38"/>
  <c r="E36"/>
  <c r="B32"/>
  <c r="D23"/>
  <c r="B23" s="1"/>
  <c r="B33" s="1"/>
  <c r="C33" s="1"/>
  <c r="C34" s="1"/>
  <c r="D18"/>
  <c r="B18" s="1"/>
  <c r="B28" s="1"/>
  <c r="C28" s="1"/>
  <c r="B14"/>
  <c r="B15" s="1"/>
  <c r="C13"/>
  <c r="C14" s="1"/>
  <c r="B13"/>
  <c r="B9"/>
  <c r="B10" s="1"/>
  <c r="C8"/>
  <c r="C9" s="1"/>
  <c r="B8"/>
  <c r="CQ36" i="7"/>
  <c r="CM36"/>
  <c r="CQ29"/>
  <c r="CM29"/>
  <c r="CO29" s="1"/>
  <c r="CS22"/>
  <c r="CQ20"/>
  <c r="CM20"/>
  <c r="CS12"/>
  <c r="CQ10"/>
  <c r="CM10"/>
  <c r="CT56"/>
  <c r="CM56"/>
  <c r="CP56"/>
  <c r="CO56"/>
  <c r="BN45" i="8"/>
  <c r="BN46"/>
  <c r="BR47" i="7"/>
  <c r="BR48"/>
  <c r="BD51" i="19"/>
  <c r="D49" i="102"/>
  <c r="CO45" i="7" s="1"/>
  <c r="C50" i="102"/>
  <c r="C68"/>
  <c r="C59"/>
  <c r="E46" i="104"/>
  <c r="G46" s="1"/>
  <c r="E44"/>
  <c r="G44" s="1"/>
  <c r="B46"/>
  <c r="D46" s="1"/>
  <c r="B45"/>
  <c r="D45" s="1"/>
  <c r="B44"/>
  <c r="D44" s="1"/>
  <c r="F48"/>
  <c r="C48"/>
  <c r="E43"/>
  <c r="D31" i="103"/>
  <c r="C31"/>
  <c r="D33"/>
  <c r="C33"/>
  <c r="E38" i="104"/>
  <c r="I34"/>
  <c r="F34"/>
  <c r="C34"/>
  <c r="E33"/>
  <c r="H33" s="1"/>
  <c r="B33"/>
  <c r="I32"/>
  <c r="I35" s="1"/>
  <c r="F32"/>
  <c r="F35" s="1"/>
  <c r="F38" s="1"/>
  <c r="E32"/>
  <c r="B32"/>
  <c r="D32" s="1"/>
  <c r="E31"/>
  <c r="H31" s="1"/>
  <c r="J31" s="1"/>
  <c r="B31"/>
  <c r="D31" s="1"/>
  <c r="F30"/>
  <c r="E30"/>
  <c r="H30" s="1"/>
  <c r="J30" s="1"/>
  <c r="B30"/>
  <c r="D30" s="1"/>
  <c r="H29"/>
  <c r="B29"/>
  <c r="F24"/>
  <c r="C24"/>
  <c r="E23"/>
  <c r="B23"/>
  <c r="E22"/>
  <c r="G22" s="1"/>
  <c r="B22"/>
  <c r="D22" s="1"/>
  <c r="E21"/>
  <c r="G21" s="1"/>
  <c r="D21"/>
  <c r="E20"/>
  <c r="G20" s="1"/>
  <c r="D20"/>
  <c r="E19"/>
  <c r="B19"/>
  <c r="J16"/>
  <c r="G16"/>
  <c r="C11"/>
  <c r="E10"/>
  <c r="B10"/>
  <c r="E9"/>
  <c r="G9" s="1"/>
  <c r="B9"/>
  <c r="D9" s="1"/>
  <c r="E8"/>
  <c r="G8" s="1"/>
  <c r="B8"/>
  <c r="D8" s="1"/>
  <c r="E7"/>
  <c r="G7" s="1"/>
  <c r="B7"/>
  <c r="D7" s="1"/>
  <c r="E6"/>
  <c r="B6"/>
  <c r="D29" i="103"/>
  <c r="D20"/>
  <c r="C20"/>
  <c r="E12"/>
  <c r="D12"/>
  <c r="C12"/>
  <c r="C29" s="1"/>
  <c r="C9"/>
  <c r="C10" s="1"/>
  <c r="E8"/>
  <c r="E9" s="1"/>
  <c r="E10" s="1"/>
  <c r="D8"/>
  <c r="D9" s="1"/>
  <c r="D10" s="1"/>
  <c r="C8"/>
  <c r="E30" i="102"/>
  <c r="D30"/>
  <c r="C30"/>
  <c r="D21"/>
  <c r="C21"/>
  <c r="E18"/>
  <c r="E21" s="1"/>
  <c r="D12"/>
  <c r="C11"/>
  <c r="E9"/>
  <c r="E12" s="1"/>
  <c r="C9"/>
  <c r="C12" s="1"/>
  <c r="CO36" i="7" l="1"/>
  <c r="D58" i="102"/>
  <c r="CP45" i="7" s="1"/>
  <c r="CM45" s="1"/>
  <c r="C18" i="105"/>
  <c r="C19" s="1"/>
  <c r="B19"/>
  <c r="B20" s="1"/>
  <c r="C23"/>
  <c r="C24" s="1"/>
  <c r="B24"/>
  <c r="B25" s="1"/>
  <c r="B34"/>
  <c r="B35" s="1"/>
  <c r="B29"/>
  <c r="B30" s="1"/>
  <c r="C15"/>
  <c r="D15" s="1"/>
  <c r="D14"/>
  <c r="C35"/>
  <c r="D35" s="1"/>
  <c r="D34"/>
  <c r="C10"/>
  <c r="D10" s="1"/>
  <c r="D9"/>
  <c r="C20"/>
  <c r="D19"/>
  <c r="C25"/>
  <c r="D24"/>
  <c r="C29"/>
  <c r="D28"/>
  <c r="E39"/>
  <c r="D8"/>
  <c r="D13"/>
  <c r="D33"/>
  <c r="C34" i="103"/>
  <c r="C35" s="1"/>
  <c r="C37" s="1"/>
  <c r="G32" i="104"/>
  <c r="E29"/>
  <c r="G31"/>
  <c r="H32"/>
  <c r="J32" s="1"/>
  <c r="D34" i="103"/>
  <c r="D35" s="1"/>
  <c r="D37" s="1"/>
  <c r="G38" i="104"/>
  <c r="E24"/>
  <c r="G24" s="1"/>
  <c r="G30"/>
  <c r="B34"/>
  <c r="B11"/>
  <c r="D11" s="1"/>
  <c r="E11"/>
  <c r="G11" s="1"/>
  <c r="B24"/>
  <c r="D24" s="1"/>
  <c r="D13" i="103"/>
  <c r="D14" s="1"/>
  <c r="D16" s="1"/>
  <c r="D18" s="1"/>
  <c r="C13"/>
  <c r="C14" s="1"/>
  <c r="C16" s="1"/>
  <c r="C18" s="1"/>
  <c r="E13"/>
  <c r="E14" s="1"/>
  <c r="E16" s="1"/>
  <c r="E18" s="1"/>
  <c r="D25" i="105" l="1"/>
  <c r="D20"/>
  <c r="D38" s="1"/>
  <c r="F17" s="1"/>
  <c r="C30"/>
  <c r="D30" s="1"/>
  <c r="D29"/>
  <c r="D39"/>
  <c r="F32" s="1"/>
  <c r="D45" i="102"/>
  <c r="CO47" i="7" s="1"/>
  <c r="D63" i="102"/>
  <c r="E34" i="104"/>
  <c r="D34"/>
  <c r="E25"/>
  <c r="G25" s="1"/>
  <c r="G26" s="1"/>
  <c r="E12"/>
  <c r="G12" s="1"/>
  <c r="G13" s="1"/>
  <c r="B35"/>
  <c r="B25"/>
  <c r="D25" s="1"/>
  <c r="D26" s="1"/>
  <c r="B12"/>
  <c r="D12" s="1"/>
  <c r="D13" s="1"/>
  <c r="D21" i="103"/>
  <c r="D22" s="1"/>
  <c r="D24" s="1"/>
  <c r="C21"/>
  <c r="C22" s="1"/>
  <c r="C24" s="1"/>
  <c r="D54" i="102" l="1"/>
  <c r="CL47" i="8"/>
  <c r="B134" i="93" s="1"/>
  <c r="CJ47" i="8"/>
  <c r="CH47" s="1"/>
  <c r="D68" i="102"/>
  <c r="CJ45" i="8"/>
  <c r="F22" i="105"/>
  <c r="F7"/>
  <c r="F27"/>
  <c r="D36"/>
  <c r="F12"/>
  <c r="D72" i="102"/>
  <c r="CK45" i="8" s="1"/>
  <c r="E35" i="104"/>
  <c r="D35"/>
  <c r="D36" s="1"/>
  <c r="G34"/>
  <c r="H34"/>
  <c r="J34" s="1"/>
  <c r="CH45" i="8" l="1"/>
  <c r="CO49" i="7"/>
  <c r="F36" i="105"/>
  <c r="G35" i="104"/>
  <c r="H35"/>
  <c r="J35" s="1"/>
  <c r="J36" s="1"/>
  <c r="G36"/>
  <c r="G39" s="1"/>
  <c r="J37" l="1"/>
  <c r="BO14" i="8"/>
  <c r="CO100"/>
  <c r="CN100"/>
  <c r="Q24" i="87" s="1"/>
  <c r="CK100" i="8"/>
  <c r="CJ100"/>
  <c r="CO95"/>
  <c r="CL95"/>
  <c r="CK95"/>
  <c r="CH95"/>
  <c r="CO90"/>
  <c r="CN90"/>
  <c r="CL90"/>
  <c r="CO88"/>
  <c r="CN88"/>
  <c r="K20" i="87" s="1"/>
  <c r="CL88" i="8"/>
  <c r="CK88"/>
  <c r="Q20" i="87" s="1"/>
  <c r="Q22" i="90" s="1"/>
  <c r="CH88" i="8"/>
  <c r="CO87"/>
  <c r="CN87"/>
  <c r="CK87"/>
  <c r="CJ87"/>
  <c r="P17" i="87" s="1"/>
  <c r="CH87" i="8"/>
  <c r="CO86"/>
  <c r="CO80"/>
  <c r="CL79"/>
  <c r="CH79"/>
  <c r="CL65"/>
  <c r="CL100" s="1"/>
  <c r="CH65"/>
  <c r="CE65" s="1"/>
  <c r="CJ95"/>
  <c r="CH41"/>
  <c r="CN35"/>
  <c r="CN32"/>
  <c r="CJ12"/>
  <c r="CN10"/>
  <c r="CJ10"/>
  <c r="CT134" i="7"/>
  <c r="CS134"/>
  <c r="Q24" i="85" s="1"/>
  <c r="CQ134" i="7"/>
  <c r="CP134"/>
  <c r="CO134"/>
  <c r="CT129"/>
  <c r="CP129"/>
  <c r="CO129"/>
  <c r="CM129"/>
  <c r="CT123"/>
  <c r="CQ123"/>
  <c r="CP123"/>
  <c r="CM123"/>
  <c r="CT122"/>
  <c r="CS122"/>
  <c r="CP122"/>
  <c r="CO122"/>
  <c r="P17" i="85" s="1"/>
  <c r="CT118" i="7"/>
  <c r="CP118"/>
  <c r="CQ114"/>
  <c r="CM114"/>
  <c r="CM61"/>
  <c r="CM134" s="1"/>
  <c r="CO50"/>
  <c r="CO123" s="1"/>
  <c r="P20" i="85" s="1"/>
  <c r="CQ49" i="7"/>
  <c r="B162" i="91" s="1"/>
  <c r="CM49" i="7"/>
  <c r="CO46"/>
  <c r="CP46" s="1"/>
  <c r="CQ37"/>
  <c r="CM37"/>
  <c r="CJ37" s="1"/>
  <c r="CM30"/>
  <c r="CJ30" s="1"/>
  <c r="CO22"/>
  <c r="CQ21"/>
  <c r="CM21"/>
  <c r="CO12"/>
  <c r="K17" i="87" l="1"/>
  <c r="Q17"/>
  <c r="Q19" i="90" s="1"/>
  <c r="CH100" i="8"/>
  <c r="CE100"/>
  <c r="CE101" s="1"/>
  <c r="CE102" s="1"/>
  <c r="CB65"/>
  <c r="CB100" s="1"/>
  <c r="CE66"/>
  <c r="CE67" s="1"/>
  <c r="CG37" i="7"/>
  <c r="CJ35"/>
  <c r="Q26" i="89"/>
  <c r="Q25" s="1"/>
  <c r="Q23" i="85"/>
  <c r="CG30" i="7"/>
  <c r="CJ27"/>
  <c r="CJ61"/>
  <c r="K17" i="85"/>
  <c r="Q17"/>
  <c r="Q19" i="89" s="1"/>
  <c r="CJ41" i="8"/>
  <c r="L23" i="90"/>
  <c r="CL87" i="8"/>
  <c r="CQ122" i="7"/>
  <c r="CM122"/>
  <c r="CJ20" i="8"/>
  <c r="CJ44"/>
  <c r="CK44" s="1"/>
  <c r="CJ32"/>
  <c r="CJ35"/>
  <c r="CK86"/>
  <c r="CJ48"/>
  <c r="CJ88" s="1"/>
  <c r="P20" i="87" s="1"/>
  <c r="CH42" i="8"/>
  <c r="CO10" i="7"/>
  <c r="CP10" s="1"/>
  <c r="CS36"/>
  <c r="CS50"/>
  <c r="CS123" s="1"/>
  <c r="CO20"/>
  <c r="CP20" s="1"/>
  <c r="CS20"/>
  <c r="CT20" s="1"/>
  <c r="CK13" i="19"/>
  <c r="CJ13"/>
  <c r="CE13"/>
  <c r="CD13"/>
  <c r="BE11"/>
  <c r="BE10"/>
  <c r="BF48"/>
  <c r="BF47"/>
  <c r="BF46"/>
  <c r="BF45"/>
  <c r="BF44"/>
  <c r="BF43"/>
  <c r="BF42"/>
  <c r="BF41"/>
  <c r="BF40"/>
  <c r="BF39"/>
  <c r="BF38"/>
  <c r="BF37"/>
  <c r="BF36"/>
  <c r="BF35"/>
  <c r="BF34"/>
  <c r="BF33"/>
  <c r="BF32"/>
  <c r="BF31"/>
  <c r="BF30"/>
  <c r="BF29"/>
  <c r="BF28"/>
  <c r="BF27"/>
  <c r="BF26"/>
  <c r="BF25"/>
  <c r="BF24"/>
  <c r="BF23"/>
  <c r="BF22"/>
  <c r="BF21"/>
  <c r="BF20"/>
  <c r="BF19"/>
  <c r="BF18"/>
  <c r="BF17"/>
  <c r="BF16"/>
  <c r="BF15"/>
  <c r="BF11"/>
  <c r="BF10"/>
  <c r="BE48"/>
  <c r="BE47"/>
  <c r="BE46"/>
  <c r="BE45"/>
  <c r="BE44"/>
  <c r="BE43"/>
  <c r="BE42"/>
  <c r="BE41"/>
  <c r="BE40"/>
  <c r="BE39"/>
  <c r="BE38"/>
  <c r="BE37"/>
  <c r="BE36"/>
  <c r="BE35"/>
  <c r="BE34"/>
  <c r="BE33"/>
  <c r="BE32"/>
  <c r="BE31"/>
  <c r="BE30"/>
  <c r="BE29"/>
  <c r="BE28"/>
  <c r="BE27"/>
  <c r="BE26"/>
  <c r="BE25"/>
  <c r="BE24"/>
  <c r="BE22"/>
  <c r="BE21"/>
  <c r="BE20"/>
  <c r="BE19"/>
  <c r="BE18"/>
  <c r="BE17"/>
  <c r="BE16"/>
  <c r="BE15"/>
  <c r="BF9"/>
  <c r="BE9"/>
  <c r="BF8"/>
  <c r="BE8"/>
  <c r="BF58"/>
  <c r="AV60"/>
  <c r="AW43" i="6"/>
  <c r="AW42"/>
  <c r="AW40"/>
  <c r="AW39"/>
  <c r="AW38"/>
  <c r="AW37"/>
  <c r="AW35"/>
  <c r="AW33"/>
  <c r="AW32"/>
  <c r="AW30"/>
  <c r="AW29"/>
  <c r="AW28"/>
  <c r="AW27"/>
  <c r="AW26"/>
  <c r="AW24"/>
  <c r="AW23"/>
  <c r="AW22"/>
  <c r="AW21"/>
  <c r="AX19"/>
  <c r="AW19"/>
  <c r="AW18" s="1"/>
  <c r="AW16"/>
  <c r="AW15"/>
  <c r="AW14"/>
  <c r="AW12"/>
  <c r="AY43"/>
  <c r="AY42"/>
  <c r="AY40"/>
  <c r="AY39"/>
  <c r="AY38"/>
  <c r="AY37"/>
  <c r="AY35"/>
  <c r="AY33"/>
  <c r="AY32"/>
  <c r="AY30"/>
  <c r="AY29"/>
  <c r="AY28"/>
  <c r="AY27"/>
  <c r="AY26"/>
  <c r="AY24"/>
  <c r="AY23"/>
  <c r="AY22"/>
  <c r="AY21"/>
  <c r="AY19"/>
  <c r="AY16"/>
  <c r="AY15"/>
  <c r="AY14"/>
  <c r="AY12"/>
  <c r="AY11"/>
  <c r="AY10"/>
  <c r="AY9"/>
  <c r="AW9"/>
  <c r="CJ134" i="7" l="1"/>
  <c r="CJ135" s="1"/>
  <c r="CJ136" s="1"/>
  <c r="CG61"/>
  <c r="CJ62"/>
  <c r="CJ63" s="1"/>
  <c r="CG27"/>
  <c r="CD30"/>
  <c r="CG35"/>
  <c r="CD37"/>
  <c r="K20" i="85"/>
  <c r="Q20"/>
  <c r="Q22" i="89" s="1"/>
  <c r="L17" i="90"/>
  <c r="CH85" i="8"/>
  <c r="CK22"/>
  <c r="CK80" s="1"/>
  <c r="CJ42"/>
  <c r="CJ85" s="1"/>
  <c r="P15" i="87" s="1"/>
  <c r="P13" s="1"/>
  <c r="CK42" i="8"/>
  <c r="CK20"/>
  <c r="CK79" s="1"/>
  <c r="CJ79"/>
  <c r="CP29" i="7"/>
  <c r="CO114"/>
  <c r="CP36"/>
  <c r="CT36"/>
  <c r="BE60" i="19"/>
  <c r="BF57" s="1"/>
  <c r="AW25" i="6"/>
  <c r="AW45" s="1"/>
  <c r="AX13"/>
  <c r="AY13" s="1"/>
  <c r="AX18"/>
  <c r="AY18" s="1"/>
  <c r="AX25"/>
  <c r="AY25" s="1"/>
  <c r="AY44" i="5"/>
  <c r="BA41"/>
  <c r="AY41"/>
  <c r="AY39"/>
  <c r="AY38"/>
  <c r="AY37"/>
  <c r="AY36"/>
  <c r="AY35"/>
  <c r="AY34"/>
  <c r="AY33"/>
  <c r="AY31"/>
  <c r="AY30"/>
  <c r="AY24"/>
  <c r="AY29"/>
  <c r="AY28"/>
  <c r="AY27"/>
  <c r="AY26"/>
  <c r="AY23"/>
  <c r="AY21"/>
  <c r="AY20"/>
  <c r="AY18"/>
  <c r="AY16"/>
  <c r="AY15"/>
  <c r="AY14"/>
  <c r="AY13"/>
  <c r="AY11"/>
  <c r="AY8"/>
  <c r="BA44"/>
  <c r="BA39"/>
  <c r="BA38"/>
  <c r="BA35"/>
  <c r="BA34"/>
  <c r="BA33"/>
  <c r="BA31"/>
  <c r="BA30"/>
  <c r="BA29"/>
  <c r="BA28"/>
  <c r="BA27"/>
  <c r="BA26"/>
  <c r="BA24"/>
  <c r="BA23"/>
  <c r="BA21"/>
  <c r="BA20"/>
  <c r="BA18"/>
  <c r="BA16"/>
  <c r="BA15"/>
  <c r="BA14"/>
  <c r="BA13"/>
  <c r="BA11"/>
  <c r="BA10"/>
  <c r="BA9"/>
  <c r="BA8"/>
  <c r="CG134" i="7" l="1"/>
  <c r="CG135" s="1"/>
  <c r="CG136" s="1"/>
  <c r="CG62"/>
  <c r="CG63" s="1"/>
  <c r="CD61"/>
  <c r="CD134" s="1"/>
  <c r="P21" i="88"/>
  <c r="CK85" i="8"/>
  <c r="P15" i="88"/>
  <c r="P13" s="1"/>
  <c r="CP114" i="7"/>
  <c r="BF56" i="19"/>
  <c r="BF59"/>
  <c r="AW46" i="6"/>
  <c r="AX45"/>
  <c r="AY45" s="1"/>
  <c r="AY17" i="5"/>
  <c r="AZ17"/>
  <c r="BA17" s="1"/>
  <c r="AZ12"/>
  <c r="BA12" s="1"/>
  <c r="P21" i="86" l="1"/>
  <c r="L23" i="89"/>
  <c r="BF60" i="19"/>
  <c r="AX46" i="6"/>
  <c r="AY46" s="1"/>
  <c r="AY45" i="5"/>
  <c r="AZ45"/>
  <c r="BA45" s="1"/>
  <c r="CI28" i="17"/>
  <c r="CI27"/>
  <c r="CI26"/>
  <c r="CI25"/>
  <c r="AL29" i="10"/>
  <c r="AL28"/>
  <c r="AL27"/>
  <c r="AL26"/>
  <c r="AL24"/>
  <c r="AL23"/>
  <c r="AL22"/>
  <c r="AL21"/>
  <c r="AK29"/>
  <c r="AK28"/>
  <c r="AK27"/>
  <c r="AK26"/>
  <c r="AK30" s="1"/>
  <c r="AK24"/>
  <c r="AK23"/>
  <c r="AK22"/>
  <c r="AK21"/>
  <c r="AE21"/>
  <c r="AK25"/>
  <c r="AE22"/>
  <c r="AE23"/>
  <c r="AE24"/>
  <c r="AF25"/>
  <c r="AL25"/>
  <c r="AE26"/>
  <c r="AE27"/>
  <c r="AE28"/>
  <c r="AE29"/>
  <c r="AE30"/>
  <c r="AF30"/>
  <c r="AL30"/>
  <c r="AF31"/>
  <c r="AL31"/>
  <c r="CA42" i="11"/>
  <c r="CA33"/>
  <c r="CA32"/>
  <c r="CA31"/>
  <c r="CA30"/>
  <c r="CA29"/>
  <c r="DE43"/>
  <c r="DE42"/>
  <c r="DE41"/>
  <c r="DE35"/>
  <c r="DE34"/>
  <c r="DE33"/>
  <c r="DE32"/>
  <c r="DE31"/>
  <c r="DE30"/>
  <c r="DE29"/>
  <c r="CZ62" i="72"/>
  <c r="CZ61"/>
  <c r="CZ59"/>
  <c r="CZ57"/>
  <c r="CZ53"/>
  <c r="CW62"/>
  <c r="CW61"/>
  <c r="CW59"/>
  <c r="CW57"/>
  <c r="CW53"/>
  <c r="CW49"/>
  <c r="CO60" i="9"/>
  <c r="CW60" i="72" s="1"/>
  <c r="CZ58"/>
  <c r="CO58" i="9"/>
  <c r="CW58" i="72" s="1"/>
  <c r="CN50" i="9"/>
  <c r="CO50" s="1"/>
  <c r="CM18" i="7" s="1"/>
  <c r="CM54" i="9"/>
  <c r="CM52"/>
  <c r="CM50"/>
  <c r="CM48"/>
  <c r="BS60"/>
  <c r="BS61" s="1"/>
  <c r="BS58"/>
  <c r="BS56"/>
  <c r="BS57" s="1"/>
  <c r="BQ55"/>
  <c r="BQ54"/>
  <c r="BQ50"/>
  <c r="BS59"/>
  <c r="BS55"/>
  <c r="BR55"/>
  <c r="BQ52"/>
  <c r="BS51"/>
  <c r="BR51"/>
  <c r="BQ51"/>
  <c r="BQ48"/>
  <c r="CP62"/>
  <c r="CP61"/>
  <c r="CP60"/>
  <c r="CP59"/>
  <c r="CP57"/>
  <c r="AD47" i="3"/>
  <c r="CP58" i="9" l="1"/>
  <c r="CR50"/>
  <c r="CS50" s="1"/>
  <c r="CQ18" i="7" s="1"/>
  <c r="CS18" s="1"/>
  <c r="CN52" i="9"/>
  <c r="CO52" s="1"/>
  <c r="CN54"/>
  <c r="CV50" i="72"/>
  <c r="CY50"/>
  <c r="CO18" i="7"/>
  <c r="CW50" i="72"/>
  <c r="AY46" i="5"/>
  <c r="AZ46"/>
  <c r="BA46" s="1"/>
  <c r="AE25" i="10"/>
  <c r="AK31"/>
  <c r="AE31"/>
  <c r="BS62" i="9"/>
  <c r="CZ50" i="72" l="1"/>
  <c r="L14" i="90"/>
  <c r="CH9" i="8"/>
  <c r="CW52" i="72"/>
  <c r="CN55" i="9"/>
  <c r="CV52" i="72"/>
  <c r="CU50"/>
  <c r="CO54" i="9"/>
  <c r="CV54" i="72"/>
  <c r="CX50"/>
  <c r="CH18" i="8" l="1"/>
  <c r="CH78" s="1"/>
  <c r="CW54" i="72"/>
  <c r="CW55" s="1"/>
  <c r="CO55" i="9"/>
  <c r="CM55" s="1"/>
  <c r="CU52" i="72"/>
  <c r="CV55"/>
  <c r="CJ9" i="8"/>
  <c r="AJ58" i="3"/>
  <c r="AI58"/>
  <c r="AJ53"/>
  <c r="E45" i="104" s="1"/>
  <c r="G45" s="1"/>
  <c r="AI53" i="3"/>
  <c r="AI49" s="1"/>
  <c r="AJ49"/>
  <c r="AJ44"/>
  <c r="AI44"/>
  <c r="AJ39"/>
  <c r="AI39"/>
  <c r="F49" i="101"/>
  <c r="F46" s="1"/>
  <c r="F48"/>
  <c r="E47"/>
  <c r="D47"/>
  <c r="C47"/>
  <c r="B47"/>
  <c r="E40"/>
  <c r="D40"/>
  <c r="F36"/>
  <c r="F35"/>
  <c r="E34"/>
  <c r="D34"/>
  <c r="C34"/>
  <c r="E26"/>
  <c r="D26"/>
  <c r="C26"/>
  <c r="B26"/>
  <c r="E24"/>
  <c r="D24"/>
  <c r="C24"/>
  <c r="B24"/>
  <c r="F20"/>
  <c r="F19"/>
  <c r="E18"/>
  <c r="D18"/>
  <c r="C18"/>
  <c r="B18"/>
  <c r="F17"/>
  <c r="F15"/>
  <c r="E14"/>
  <c r="D14"/>
  <c r="C14"/>
  <c r="B14"/>
  <c r="F13"/>
  <c r="E7"/>
  <c r="D7"/>
  <c r="E8"/>
  <c r="E11" s="1"/>
  <c r="D9"/>
  <c r="C8"/>
  <c r="C11" s="1"/>
  <c r="B9"/>
  <c r="S23" i="99"/>
  <c r="P23" s="1"/>
  <c r="S22"/>
  <c r="P22" s="1"/>
  <c r="S21"/>
  <c r="P21" s="1"/>
  <c r="N23"/>
  <c r="K23" s="1"/>
  <c r="N22"/>
  <c r="K22" s="1"/>
  <c r="N21"/>
  <c r="K21" s="1"/>
  <c r="I23"/>
  <c r="F23" s="1"/>
  <c r="I22"/>
  <c r="F22" s="1"/>
  <c r="E23"/>
  <c r="B23" s="1"/>
  <c r="C23" s="1"/>
  <c r="E22"/>
  <c r="B22" s="1"/>
  <c r="C22" s="1"/>
  <c r="I21"/>
  <c r="F21" s="1"/>
  <c r="E21"/>
  <c r="B21" s="1"/>
  <c r="S11"/>
  <c r="P11" s="1"/>
  <c r="N11"/>
  <c r="K11" s="1"/>
  <c r="I11"/>
  <c r="F11" s="1"/>
  <c r="E11"/>
  <c r="B11" s="1"/>
  <c r="C11" s="1"/>
  <c r="D25" i="101" l="1"/>
  <c r="B25"/>
  <c r="F18"/>
  <c r="F26"/>
  <c r="C9"/>
  <c r="C10" s="1"/>
  <c r="E9"/>
  <c r="E10" s="1"/>
  <c r="F24"/>
  <c r="F47"/>
  <c r="K34" i="87"/>
  <c r="CN55" i="8"/>
  <c r="P34" i="87"/>
  <c r="E63" i="102"/>
  <c r="CS60" i="9"/>
  <c r="Q33" i="85"/>
  <c r="K33"/>
  <c r="CQ56" i="7"/>
  <c r="CQ129" s="1"/>
  <c r="CS56"/>
  <c r="E49" i="102"/>
  <c r="E45"/>
  <c r="AI47" i="3"/>
  <c r="B47" i="104" s="1"/>
  <c r="B43" s="1"/>
  <c r="AJ47" i="3"/>
  <c r="E47" i="104" s="1"/>
  <c r="B48"/>
  <c r="D48" s="1"/>
  <c r="B49"/>
  <c r="D49" s="1"/>
  <c r="D50" s="1"/>
  <c r="AJ43" i="3"/>
  <c r="CS56" i="9"/>
  <c r="AI43" i="3"/>
  <c r="CO56" i="9"/>
  <c r="CU54" i="72"/>
  <c r="CJ18" i="8"/>
  <c r="CJ78" s="1"/>
  <c r="CU55" i="72"/>
  <c r="AI48" i="3"/>
  <c r="B8" i="101"/>
  <c r="D8"/>
  <c r="D11" s="1"/>
  <c r="D10" s="1"/>
  <c r="F14"/>
  <c r="C25"/>
  <c r="E25"/>
  <c r="Q21" i="99"/>
  <c r="R21"/>
  <c r="P20"/>
  <c r="R22"/>
  <c r="Q22"/>
  <c r="R23"/>
  <c r="Q23"/>
  <c r="L21"/>
  <c r="K20"/>
  <c r="M21"/>
  <c r="M22"/>
  <c r="L22"/>
  <c r="M23"/>
  <c r="L23"/>
  <c r="G21"/>
  <c r="H21"/>
  <c r="F20"/>
  <c r="H22"/>
  <c r="G22"/>
  <c r="H23"/>
  <c r="G23"/>
  <c r="D21"/>
  <c r="B20"/>
  <c r="C21"/>
  <c r="D22"/>
  <c r="D23"/>
  <c r="D11"/>
  <c r="D18" s="1"/>
  <c r="R11"/>
  <c r="Q11"/>
  <c r="Q18" s="1"/>
  <c r="M11"/>
  <c r="L11"/>
  <c r="L18" s="1"/>
  <c r="H11"/>
  <c r="G11"/>
  <c r="G18" s="1"/>
  <c r="D21" i="100"/>
  <c r="C21"/>
  <c r="B21"/>
  <c r="E20"/>
  <c r="E19"/>
  <c r="E18"/>
  <c r="D16"/>
  <c r="C16"/>
  <c r="E16" s="1"/>
  <c r="B16"/>
  <c r="E15"/>
  <c r="E14"/>
  <c r="E13"/>
  <c r="D11"/>
  <c r="C11"/>
  <c r="B11"/>
  <c r="E10"/>
  <c r="E9"/>
  <c r="E8"/>
  <c r="D7"/>
  <c r="D12" s="1"/>
  <c r="D17" s="1"/>
  <c r="D22" s="1"/>
  <c r="C7"/>
  <c r="C12" s="1"/>
  <c r="C17" s="1"/>
  <c r="C22" s="1"/>
  <c r="B7"/>
  <c r="E6"/>
  <c r="E5"/>
  <c r="E4"/>
  <c r="P18" i="99"/>
  <c r="K18"/>
  <c r="F18"/>
  <c r="C18"/>
  <c r="B18"/>
  <c r="F9" i="101" l="1"/>
  <c r="F25"/>
  <c r="CR52" i="9"/>
  <c r="CR54"/>
  <c r="CZ60" i="72"/>
  <c r="P38" i="90"/>
  <c r="P39"/>
  <c r="E68" i="102"/>
  <c r="E72"/>
  <c r="CL45" i="8"/>
  <c r="CN95"/>
  <c r="E58" i="102"/>
  <c r="Q38" i="89"/>
  <c r="Q37"/>
  <c r="E54" i="102"/>
  <c r="CS129" i="7"/>
  <c r="CS46"/>
  <c r="CT46" s="1"/>
  <c r="CS10"/>
  <c r="AJ48" i="3"/>
  <c r="E48" i="104"/>
  <c r="G48" s="1"/>
  <c r="D47" i="102"/>
  <c r="D56"/>
  <c r="CZ56" i="72"/>
  <c r="CR48" i="9"/>
  <c r="CN48"/>
  <c r="CP56"/>
  <c r="CW56" i="72"/>
  <c r="L14" i="89"/>
  <c r="CK18" i="8"/>
  <c r="CK78" s="1"/>
  <c r="B11" i="101"/>
  <c r="B10" s="1"/>
  <c r="F8"/>
  <c r="R20" i="99"/>
  <c r="Q20"/>
  <c r="M20"/>
  <c r="L20"/>
  <c r="H20"/>
  <c r="G20"/>
  <c r="C20"/>
  <c r="D20"/>
  <c r="H18"/>
  <c r="I18" s="1"/>
  <c r="M18"/>
  <c r="N18" s="1"/>
  <c r="R18"/>
  <c r="S18" s="1"/>
  <c r="E19"/>
  <c r="E18"/>
  <c r="J11"/>
  <c r="O11" s="1"/>
  <c r="T11" s="1"/>
  <c r="I19"/>
  <c r="N19"/>
  <c r="S19"/>
  <c r="J21"/>
  <c r="J22"/>
  <c r="O22" s="1"/>
  <c r="T22" s="1"/>
  <c r="J23"/>
  <c r="O23" s="1"/>
  <c r="T23" s="1"/>
  <c r="E7" i="100"/>
  <c r="E11"/>
  <c r="E21"/>
  <c r="B12"/>
  <c r="E38" i="98"/>
  <c r="G38" s="1"/>
  <c r="I38" s="1"/>
  <c r="E37"/>
  <c r="G37" s="1"/>
  <c r="I37" s="1"/>
  <c r="E36"/>
  <c r="G36" s="1"/>
  <c r="H35"/>
  <c r="F35"/>
  <c r="D35"/>
  <c r="C35"/>
  <c r="H33"/>
  <c r="F33"/>
  <c r="D33"/>
  <c r="C33"/>
  <c r="E33"/>
  <c r="P12" i="88" l="1"/>
  <c r="CO79" i="8"/>
  <c r="CN79"/>
  <c r="Q21" i="87" s="1"/>
  <c r="CS52" i="9"/>
  <c r="CY52" i="72"/>
  <c r="CR55" i="9"/>
  <c r="CO42" i="8"/>
  <c r="CN42"/>
  <c r="CL42"/>
  <c r="B124" i="93" s="1"/>
  <c r="CS54" i="9"/>
  <c r="CY54" i="72"/>
  <c r="CT10" i="7"/>
  <c r="CQ45"/>
  <c r="CQ47"/>
  <c r="CP47"/>
  <c r="CM47" s="1"/>
  <c r="E49" i="104"/>
  <c r="G49" s="1"/>
  <c r="G50" s="1"/>
  <c r="E47" i="102" s="1"/>
  <c r="E56" s="1"/>
  <c r="CP44" i="7"/>
  <c r="D59" i="102"/>
  <c r="CO44" i="7"/>
  <c r="D50" i="102"/>
  <c r="CY48" i="72"/>
  <c r="CY51" s="1"/>
  <c r="CR51" i="9"/>
  <c r="CS48"/>
  <c r="CV48" i="72"/>
  <c r="CV51" s="1"/>
  <c r="CO48" i="9"/>
  <c r="CN51"/>
  <c r="F7" i="101"/>
  <c r="F11"/>
  <c r="F10" s="1"/>
  <c r="J19" i="99"/>
  <c r="I20"/>
  <c r="N20"/>
  <c r="S20"/>
  <c r="E20"/>
  <c r="J18"/>
  <c r="O18" s="1"/>
  <c r="T18" s="1"/>
  <c r="O21"/>
  <c r="T21" s="1"/>
  <c r="O19"/>
  <c r="T19" s="1"/>
  <c r="B17" i="100"/>
  <c r="E12"/>
  <c r="E35" i="98"/>
  <c r="I36"/>
  <c r="I35" s="1"/>
  <c r="G35"/>
  <c r="Q15" i="88" l="1"/>
  <c r="D124" i="93"/>
  <c r="CN85" i="8"/>
  <c r="C124" i="93"/>
  <c r="CY55" i="72"/>
  <c r="K21" i="88"/>
  <c r="Q21"/>
  <c r="Q23" i="90" s="1"/>
  <c r="K15" i="87"/>
  <c r="Q15"/>
  <c r="Q13" s="1"/>
  <c r="CL85" i="8"/>
  <c r="CL9"/>
  <c r="CS55" i="9"/>
  <c r="CQ55" s="1"/>
  <c r="CZ52" i="72"/>
  <c r="CL18" i="8"/>
  <c r="CZ54" i="72"/>
  <c r="CX54" s="1"/>
  <c r="CO85" i="8"/>
  <c r="K15" i="88"/>
  <c r="CS43" i="7"/>
  <c r="E50" i="102"/>
  <c r="E59"/>
  <c r="CM44" i="7"/>
  <c r="CQ9"/>
  <c r="CZ48" i="72"/>
  <c r="CS51" i="9"/>
  <c r="CQ51" s="1"/>
  <c r="CM9" i="7"/>
  <c r="CO51" i="9"/>
  <c r="CM51" s="1"/>
  <c r="CW48" i="72"/>
  <c r="J20" i="99"/>
  <c r="O20" s="1"/>
  <c r="T20" s="1"/>
  <c r="B22" i="100"/>
  <c r="E22" s="1"/>
  <c r="E17"/>
  <c r="G33" i="98"/>
  <c r="I33"/>
  <c r="CS120" i="7" l="1"/>
  <c r="C149" i="91"/>
  <c r="CO78" i="8"/>
  <c r="CN18"/>
  <c r="K15" i="85"/>
  <c r="K13" s="1"/>
  <c r="Q15"/>
  <c r="Q13" i="88"/>
  <c r="Q17" i="90"/>
  <c r="Q15" s="1"/>
  <c r="CZ55" i="72"/>
  <c r="CX55" s="1"/>
  <c r="CX52"/>
  <c r="CN9" i="8"/>
  <c r="CL78"/>
  <c r="CQ44" i="7"/>
  <c r="B150" i="91" s="1"/>
  <c r="CT43" i="7"/>
  <c r="CQ113"/>
  <c r="CS9"/>
  <c r="CS113" s="1"/>
  <c r="Q12" i="85" s="1"/>
  <c r="CX48" i="72"/>
  <c r="CZ51"/>
  <c r="CX51" s="1"/>
  <c r="CU48"/>
  <c r="CW51"/>
  <c r="CU51" s="1"/>
  <c r="CM113" i="7"/>
  <c r="CO9"/>
  <c r="CO113" s="1"/>
  <c r="CT120" l="1"/>
  <c r="D149" i="91"/>
  <c r="K12" i="88"/>
  <c r="Q12"/>
  <c r="CN78" i="8"/>
  <c r="Q12" i="87" s="1"/>
  <c r="Q14" i="90"/>
  <c r="K15" i="86"/>
  <c r="K13" s="1"/>
  <c r="Q15"/>
  <c r="CQ43" i="7"/>
  <c r="B149" i="91" s="1"/>
  <c r="CT9" i="7"/>
  <c r="CT113" s="1"/>
  <c r="CP9"/>
  <c r="CP113" s="1"/>
  <c r="K12" i="86" l="1"/>
  <c r="Q12"/>
  <c r="CQ120" i="7"/>
  <c r="P12" i="86"/>
  <c r="Q14" i="89" l="1"/>
  <c r="Q31" i="95" l="1"/>
  <c r="O31"/>
  <c r="M31"/>
  <c r="L31"/>
  <c r="N31" s="1"/>
  <c r="P31" s="1"/>
  <c r="R31" s="1"/>
  <c r="S52" i="96"/>
  <c r="R52"/>
  <c r="P52"/>
  <c r="N52"/>
  <c r="M52"/>
  <c r="G18"/>
  <c r="F18"/>
  <c r="G16"/>
  <c r="F16"/>
  <c r="K15"/>
  <c r="I15"/>
  <c r="H15"/>
  <c r="G15"/>
  <c r="F15"/>
  <c r="Q18" i="95"/>
  <c r="O18"/>
  <c r="M18"/>
  <c r="L18"/>
  <c r="Q15"/>
  <c r="O15"/>
  <c r="M15"/>
  <c r="L15"/>
  <c r="O52" i="96" l="1"/>
  <c r="Q52" s="1"/>
  <c r="D115" i="94" l="1"/>
  <c r="D114"/>
  <c r="D113"/>
  <c r="D112"/>
  <c r="D92"/>
  <c r="D91"/>
  <c r="D90"/>
  <c r="D89"/>
  <c r="E70"/>
  <c r="D70"/>
  <c r="C70"/>
  <c r="D52"/>
  <c r="D51"/>
  <c r="T49"/>
  <c r="S49"/>
  <c r="O49"/>
  <c r="N49"/>
  <c r="J49"/>
  <c r="I49"/>
  <c r="F49"/>
  <c r="E49"/>
  <c r="T48"/>
  <c r="S48"/>
  <c r="O48"/>
  <c r="N48"/>
  <c r="J48"/>
  <c r="I48"/>
  <c r="F48"/>
  <c r="E48"/>
  <c r="T47"/>
  <c r="S47"/>
  <c r="O47"/>
  <c r="N47"/>
  <c r="J47"/>
  <c r="I47"/>
  <c r="F47"/>
  <c r="E47"/>
  <c r="B191" i="93"/>
  <c r="B114" i="94" s="1"/>
  <c r="C91"/>
  <c r="D49"/>
  <c r="C49"/>
  <c r="D48"/>
  <c r="C48"/>
  <c r="D47"/>
  <c r="C114" l="1"/>
  <c r="B168" i="93"/>
  <c r="B91" i="94" s="1"/>
  <c r="D61" l="1"/>
  <c r="D60" s="1"/>
  <c r="C61"/>
  <c r="C60" s="1"/>
  <c r="D56"/>
  <c r="C56"/>
  <c r="C133" i="93"/>
  <c r="C55" i="94" s="1"/>
  <c r="D54"/>
  <c r="BW48" i="8"/>
  <c r="C54" i="94" s="1"/>
  <c r="K25" i="36"/>
  <c r="K18"/>
  <c r="B61" i="94" l="1"/>
  <c r="B60" s="1"/>
  <c r="C50" l="1"/>
  <c r="D109" i="93"/>
  <c r="C109"/>
  <c r="B109"/>
  <c r="D131" l="1"/>
  <c r="D50" i="94"/>
  <c r="D57" i="93"/>
  <c r="C57"/>
  <c r="B57"/>
  <c r="D38" i="94"/>
  <c r="D37" i="93"/>
  <c r="C37"/>
  <c r="B37"/>
  <c r="D127" i="92"/>
  <c r="D126"/>
  <c r="D125"/>
  <c r="D124"/>
  <c r="D104"/>
  <c r="D69"/>
  <c r="D68"/>
  <c r="D67"/>
  <c r="T61"/>
  <c r="S61"/>
  <c r="O61"/>
  <c r="N61"/>
  <c r="J61"/>
  <c r="I61"/>
  <c r="F61"/>
  <c r="E61"/>
  <c r="T60"/>
  <c r="S60"/>
  <c r="O60"/>
  <c r="N60"/>
  <c r="J60"/>
  <c r="I60"/>
  <c r="F60"/>
  <c r="E60"/>
  <c r="T59"/>
  <c r="S59"/>
  <c r="O59"/>
  <c r="N59"/>
  <c r="J59"/>
  <c r="I59"/>
  <c r="F59"/>
  <c r="E59"/>
  <c r="T58"/>
  <c r="S58"/>
  <c r="O58"/>
  <c r="N58"/>
  <c r="J58"/>
  <c r="I58"/>
  <c r="F58"/>
  <c r="E58"/>
  <c r="D34" i="94" l="1"/>
  <c r="D35"/>
  <c r="C103" i="92"/>
  <c r="C126"/>
  <c r="D82"/>
  <c r="C82"/>
  <c r="D70"/>
  <c r="C70"/>
  <c r="D158" i="91"/>
  <c r="D66" i="92" s="1"/>
  <c r="E161" i="91"/>
  <c r="E160"/>
  <c r="C161"/>
  <c r="C69" i="92" s="1"/>
  <c r="B69" s="1"/>
  <c r="C160" i="91"/>
  <c r="C68" i="92" s="1"/>
  <c r="B68" s="1"/>
  <c r="C159" i="91"/>
  <c r="C67" i="92" s="1"/>
  <c r="AT58" i="19"/>
  <c r="T160" i="91" l="1"/>
  <c r="T68" i="92" s="1"/>
  <c r="E68"/>
  <c r="T161" i="91"/>
  <c r="T69" i="92" s="1"/>
  <c r="E69"/>
  <c r="I161" i="91"/>
  <c r="I69" i="92" s="1"/>
  <c r="K161" i="91"/>
  <c r="K69" i="92" s="1"/>
  <c r="O161" i="91"/>
  <c r="O69" i="92" s="1"/>
  <c r="S161" i="91"/>
  <c r="U161"/>
  <c r="U69" i="92" s="1"/>
  <c r="F161" i="91"/>
  <c r="F69" i="92" s="1"/>
  <c r="J161" i="91"/>
  <c r="J69" i="92" s="1"/>
  <c r="N161" i="91"/>
  <c r="N69" i="92" s="1"/>
  <c r="P161" i="91"/>
  <c r="P69" i="92" s="1"/>
  <c r="I160" i="91"/>
  <c r="I68" i="92" s="1"/>
  <c r="K160" i="91"/>
  <c r="K68" i="92" s="1"/>
  <c r="O160" i="91"/>
  <c r="O68" i="92" s="1"/>
  <c r="S160" i="91"/>
  <c r="U160"/>
  <c r="U68" i="92" s="1"/>
  <c r="F160" i="91"/>
  <c r="J160"/>
  <c r="J68" i="92" s="1"/>
  <c r="N160" i="91"/>
  <c r="P160"/>
  <c r="P68" i="92" s="1"/>
  <c r="D62"/>
  <c r="C62"/>
  <c r="G160" i="91" l="1"/>
  <c r="F68" i="92"/>
  <c r="V160" i="91"/>
  <c r="V68" i="92" s="1"/>
  <c r="Q52" i="95" s="1"/>
  <c r="S68" i="92"/>
  <c r="Q160" i="91"/>
  <c r="Q68" i="92" s="1"/>
  <c r="O52" i="95" s="1"/>
  <c r="N68" i="92"/>
  <c r="V161" i="91"/>
  <c r="V69" i="92" s="1"/>
  <c r="Q53" i="95" s="1"/>
  <c r="S69" i="92"/>
  <c r="G161" i="91"/>
  <c r="G69" i="92" s="1"/>
  <c r="W161" i="91"/>
  <c r="Q161"/>
  <c r="Q69" i="92" s="1"/>
  <c r="O53" i="95" s="1"/>
  <c r="H161" i="91"/>
  <c r="L161"/>
  <c r="L69" i="92" s="1"/>
  <c r="M53" i="95" s="1"/>
  <c r="W160" i="91"/>
  <c r="L160"/>
  <c r="D61" i="92"/>
  <c r="C61"/>
  <c r="D59"/>
  <c r="C59"/>
  <c r="D58"/>
  <c r="C58"/>
  <c r="W69" l="1"/>
  <c r="L68"/>
  <c r="M52" i="95" s="1"/>
  <c r="G68" i="92"/>
  <c r="W68" s="1"/>
  <c r="H160" i="91"/>
  <c r="H68" i="92" s="1"/>
  <c r="L52" i="95" s="1"/>
  <c r="M161" i="91"/>
  <c r="H69" i="92"/>
  <c r="L53" i="95" s="1"/>
  <c r="N53" s="1"/>
  <c r="P53" s="1"/>
  <c r="R53" s="1"/>
  <c r="D49" i="92"/>
  <c r="N52" i="95" l="1"/>
  <c r="P52" s="1"/>
  <c r="R52" s="1"/>
  <c r="R161" i="91"/>
  <c r="R69" i="92" s="1"/>
  <c r="M69"/>
  <c r="M160" i="91"/>
  <c r="D48" i="92"/>
  <c r="R160" i="91" l="1"/>
  <c r="R68" i="92" s="1"/>
  <c r="M68"/>
  <c r="K30" i="94"/>
  <c r="L30" s="1"/>
  <c r="M30" s="1"/>
  <c r="J30"/>
  <c r="I30"/>
  <c r="G30"/>
  <c r="H30" s="1"/>
  <c r="F30"/>
  <c r="E28"/>
  <c r="S27"/>
  <c r="P27"/>
  <c r="Q27" s="1"/>
  <c r="R27" s="1"/>
  <c r="O27"/>
  <c r="K27"/>
  <c r="L27" s="1"/>
  <c r="M27" s="1"/>
  <c r="J27"/>
  <c r="I27"/>
  <c r="G27"/>
  <c r="H27" s="1"/>
  <c r="F27"/>
  <c r="Q25"/>
  <c r="L25"/>
  <c r="E25" i="93"/>
  <c r="K41" i="92"/>
  <c r="L41" s="1"/>
  <c r="M41" s="1"/>
  <c r="J41"/>
  <c r="I41"/>
  <c r="G41"/>
  <c r="H41" s="1"/>
  <c r="F41"/>
  <c r="K40"/>
  <c r="L40" s="1"/>
  <c r="M40" s="1"/>
  <c r="J40"/>
  <c r="I40"/>
  <c r="G40"/>
  <c r="H40" s="1"/>
  <c r="F40"/>
  <c r="E39"/>
  <c r="S38"/>
  <c r="T38" s="1"/>
  <c r="P38"/>
  <c r="Q38" s="1"/>
  <c r="R38" s="1"/>
  <c r="O38"/>
  <c r="K38"/>
  <c r="L38" s="1"/>
  <c r="M38" s="1"/>
  <c r="J38"/>
  <c r="I38"/>
  <c r="G38"/>
  <c r="H38" s="1"/>
  <c r="F38"/>
  <c r="F39" s="1"/>
  <c r="CC134" i="9"/>
  <c r="CM134" s="1"/>
  <c r="BO124"/>
  <c r="BO116"/>
  <c r="BO103"/>
  <c r="BJ127"/>
  <c r="BJ122"/>
  <c r="BJ114"/>
  <c r="BJ110"/>
  <c r="BJ106"/>
  <c r="BJ101"/>
  <c r="BO95"/>
  <c r="J39" i="92" l="1"/>
  <c r="H25" i="94"/>
  <c r="V25"/>
  <c r="C25" s="1"/>
  <c r="B25" s="1"/>
  <c r="F28"/>
  <c r="J28"/>
  <c r="T27"/>
  <c r="I28"/>
  <c r="I39" i="92"/>
  <c r="M25" i="94"/>
  <c r="R25" s="1"/>
  <c r="U27"/>
  <c r="G28"/>
  <c r="K28"/>
  <c r="U38" i="92"/>
  <c r="G39"/>
  <c r="K39"/>
  <c r="BJ93" i="9"/>
  <c r="H28" i="94" l="1"/>
  <c r="L28"/>
  <c r="M28" s="1"/>
  <c r="V27"/>
  <c r="H39" i="92"/>
  <c r="L39"/>
  <c r="M39" s="1"/>
  <c r="V38"/>
  <c r="BN119" i="9"/>
  <c r="BN111"/>
  <c r="BN98" l="1"/>
  <c r="D16" i="94" l="1"/>
  <c r="C15"/>
  <c r="D14"/>
  <c r="C16"/>
  <c r="D15"/>
  <c r="C14"/>
  <c r="D24" i="92"/>
  <c r="D23"/>
  <c r="C21"/>
  <c r="D19"/>
  <c r="D16"/>
  <c r="D13"/>
  <c r="C24"/>
  <c r="C23"/>
  <c r="C20"/>
  <c r="C19"/>
  <c r="C13"/>
  <c r="D12"/>
  <c r="C12"/>
  <c r="W68" i="94"/>
  <c r="V68"/>
  <c r="Q68"/>
  <c r="L68"/>
  <c r="H68"/>
  <c r="W36"/>
  <c r="V36"/>
  <c r="R24" i="96" s="1"/>
  <c r="Q36" i="94"/>
  <c r="P24" i="96" s="1"/>
  <c r="L36" i="94"/>
  <c r="N24" i="96" s="1"/>
  <c r="H36" i="94"/>
  <c r="B36"/>
  <c r="D195" i="93"/>
  <c r="D118" i="94" s="1"/>
  <c r="E191" i="93"/>
  <c r="D182"/>
  <c r="D105" i="94" s="1"/>
  <c r="D172" i="93"/>
  <c r="D95" i="94" s="1"/>
  <c r="E168" i="93"/>
  <c r="E91" i="94" s="1"/>
  <c r="W91" s="1"/>
  <c r="D159" i="93"/>
  <c r="D82" i="94" s="1"/>
  <c r="N70"/>
  <c r="E133" i="93"/>
  <c r="D133"/>
  <c r="D55" i="94" s="1"/>
  <c r="G125" i="93"/>
  <c r="G47" i="94" s="1"/>
  <c r="T124" i="93"/>
  <c r="T46" i="94" s="1"/>
  <c r="S124" i="93"/>
  <c r="S46" i="94" s="1"/>
  <c r="O124" i="93"/>
  <c r="O46" i="94" s="1"/>
  <c r="N124" i="93"/>
  <c r="N46" i="94" s="1"/>
  <c r="J124" i="93"/>
  <c r="J46" i="94" s="1"/>
  <c r="I124" i="93"/>
  <c r="I46" i="94" s="1"/>
  <c r="F124" i="93"/>
  <c r="F46" i="94" s="1"/>
  <c r="E124" i="93"/>
  <c r="E46" i="94" s="1"/>
  <c r="E109" i="93"/>
  <c r="P109" s="1"/>
  <c r="A61"/>
  <c r="A92" s="1"/>
  <c r="A113" s="1"/>
  <c r="E57"/>
  <c r="E37"/>
  <c r="P37" s="1"/>
  <c r="E36"/>
  <c r="K30"/>
  <c r="L30" s="1"/>
  <c r="M30" s="1"/>
  <c r="J30"/>
  <c r="I30"/>
  <c r="G30"/>
  <c r="H30" s="1"/>
  <c r="F30"/>
  <c r="E28"/>
  <c r="S27"/>
  <c r="U27" s="1"/>
  <c r="V27" s="1"/>
  <c r="P27"/>
  <c r="O27"/>
  <c r="K27"/>
  <c r="L27" s="1"/>
  <c r="M27" s="1"/>
  <c r="J27"/>
  <c r="I27"/>
  <c r="G27"/>
  <c r="H27" s="1"/>
  <c r="F27"/>
  <c r="B16"/>
  <c r="B15"/>
  <c r="B14"/>
  <c r="D13"/>
  <c r="B82" i="92"/>
  <c r="B67"/>
  <c r="B61"/>
  <c r="B59"/>
  <c r="B58"/>
  <c r="W47"/>
  <c r="B47"/>
  <c r="B218" i="91"/>
  <c r="B126" i="92" s="1"/>
  <c r="D209" i="91"/>
  <c r="D117" i="92" s="1"/>
  <c r="D103"/>
  <c r="D102"/>
  <c r="D101"/>
  <c r="D188" i="91"/>
  <c r="D96" i="92" s="1"/>
  <c r="D187" i="91"/>
  <c r="D95" i="92" s="1"/>
  <c r="D186" i="91"/>
  <c r="D94" i="92" s="1"/>
  <c r="G152" i="91"/>
  <c r="T149"/>
  <c r="T57" i="92" s="1"/>
  <c r="S149" i="91"/>
  <c r="S57" i="92" s="1"/>
  <c r="O149" i="91"/>
  <c r="O57" i="92" s="1"/>
  <c r="N149" i="91"/>
  <c r="N57" i="92" s="1"/>
  <c r="J149" i="91"/>
  <c r="J57" i="92" s="1"/>
  <c r="I149" i="91"/>
  <c r="I57" i="92" s="1"/>
  <c r="F149" i="91"/>
  <c r="F57" i="92" s="1"/>
  <c r="E149" i="91"/>
  <c r="E57" i="92" s="1"/>
  <c r="E135" i="91"/>
  <c r="E131"/>
  <c r="E111"/>
  <c r="E108"/>
  <c r="E76"/>
  <c r="A76"/>
  <c r="A135" s="1"/>
  <c r="E72"/>
  <c r="E51"/>
  <c r="E47"/>
  <c r="T47" s="1"/>
  <c r="K40"/>
  <c r="L40" s="1"/>
  <c r="M40" s="1"/>
  <c r="J40"/>
  <c r="I40"/>
  <c r="G40"/>
  <c r="H40" s="1"/>
  <c r="F40"/>
  <c r="K39"/>
  <c r="L39" s="1"/>
  <c r="M39" s="1"/>
  <c r="J39"/>
  <c r="I39"/>
  <c r="G39"/>
  <c r="H39" s="1"/>
  <c r="E38"/>
  <c r="S37"/>
  <c r="P37"/>
  <c r="Q37" s="1"/>
  <c r="R37" s="1"/>
  <c r="O37"/>
  <c r="K37"/>
  <c r="K38" s="1"/>
  <c r="L38" s="1"/>
  <c r="M38" s="1"/>
  <c r="J37"/>
  <c r="I37"/>
  <c r="I38" s="1"/>
  <c r="G38"/>
  <c r="H38" s="1"/>
  <c r="F38"/>
  <c r="B23"/>
  <c r="S23" s="1"/>
  <c r="S24" i="92" s="1"/>
  <c r="B22" i="91"/>
  <c r="D21"/>
  <c r="D22" i="92" s="1"/>
  <c r="B18" i="91"/>
  <c r="D13"/>
  <c r="D14" i="92" s="1"/>
  <c r="C14" i="91"/>
  <c r="D136" i="93" l="1"/>
  <c r="P14"/>
  <c r="J14"/>
  <c r="J14" i="94" s="1"/>
  <c r="U14" i="93"/>
  <c r="S14"/>
  <c r="S14" i="94" s="1"/>
  <c r="O14" i="93"/>
  <c r="K14"/>
  <c r="K14" i="94" s="1"/>
  <c r="I14" i="93"/>
  <c r="E14"/>
  <c r="E14" i="94" s="1"/>
  <c r="T14" i="93"/>
  <c r="T14" i="94" s="1"/>
  <c r="N14" i="93"/>
  <c r="N14" i="94" s="1"/>
  <c r="G14" i="93"/>
  <c r="M36" i="94"/>
  <c r="R36" s="1"/>
  <c r="M24" i="96"/>
  <c r="O24" s="1"/>
  <c r="Q24" s="1"/>
  <c r="S24" s="1"/>
  <c r="T16" i="93"/>
  <c r="J16"/>
  <c r="U16"/>
  <c r="S16"/>
  <c r="O16"/>
  <c r="K16"/>
  <c r="I16"/>
  <c r="I16" i="94" s="1"/>
  <c r="I23" s="1"/>
  <c r="F16" i="93"/>
  <c r="P16"/>
  <c r="N16"/>
  <c r="N16" i="94" s="1"/>
  <c r="G16" i="93"/>
  <c r="E16"/>
  <c r="B15" i="94"/>
  <c r="E15" i="93"/>
  <c r="B19" i="92"/>
  <c r="K18" i="91"/>
  <c r="K19" i="92" s="1"/>
  <c r="T18" i="91"/>
  <c r="P18"/>
  <c r="N18"/>
  <c r="I18"/>
  <c r="E18"/>
  <c r="U18"/>
  <c r="S18"/>
  <c r="O18"/>
  <c r="J18"/>
  <c r="G18"/>
  <c r="G19" i="92" s="1"/>
  <c r="B23"/>
  <c r="T22" i="91"/>
  <c r="T23" i="92" s="1"/>
  <c r="P22" i="91"/>
  <c r="N22"/>
  <c r="N23" i="92" s="1"/>
  <c r="J22" i="91"/>
  <c r="G22"/>
  <c r="U22"/>
  <c r="S22"/>
  <c r="O22"/>
  <c r="K22"/>
  <c r="I22"/>
  <c r="E22"/>
  <c r="E23" i="92" s="1"/>
  <c r="F47" i="91"/>
  <c r="T133" i="93"/>
  <c r="T55" i="94" s="1"/>
  <c r="E55"/>
  <c r="H152" i="91"/>
  <c r="H60" i="92" s="1"/>
  <c r="L44" i="95" s="1"/>
  <c r="G60" i="92"/>
  <c r="W191" i="93"/>
  <c r="E114" i="94"/>
  <c r="W114" s="1"/>
  <c r="D17" i="91"/>
  <c r="D164" s="1"/>
  <c r="B14" i="94"/>
  <c r="B16"/>
  <c r="D13"/>
  <c r="D58" s="1"/>
  <c r="B48"/>
  <c r="B49"/>
  <c r="B50"/>
  <c r="D21" i="92"/>
  <c r="B20" i="91"/>
  <c r="C15" i="92"/>
  <c r="BN105" i="9"/>
  <c r="BN101" s="1"/>
  <c r="D20" i="92"/>
  <c r="B24"/>
  <c r="B70" i="94"/>
  <c r="J38" i="91"/>
  <c r="E159"/>
  <c r="E67" i="92" s="1"/>
  <c r="W25" i="94"/>
  <c r="D53"/>
  <c r="B56"/>
  <c r="B70" i="92"/>
  <c r="D18"/>
  <c r="D72" s="1"/>
  <c r="B54" i="94"/>
  <c r="M68"/>
  <c r="R68" s="1"/>
  <c r="I28" i="93"/>
  <c r="T27"/>
  <c r="F28"/>
  <c r="J28"/>
  <c r="F37"/>
  <c r="N37"/>
  <c r="T37"/>
  <c r="F109"/>
  <c r="G109" s="1"/>
  <c r="H109" s="1"/>
  <c r="N109"/>
  <c r="T109"/>
  <c r="J37"/>
  <c r="J109"/>
  <c r="C21" i="91"/>
  <c r="N47"/>
  <c r="C13"/>
  <c r="C14" i="92" s="1"/>
  <c r="D14" i="91"/>
  <c r="J47"/>
  <c r="P47"/>
  <c r="P152"/>
  <c r="T37"/>
  <c r="B195"/>
  <c r="E218"/>
  <c r="B55" i="94"/>
  <c r="T182" i="93"/>
  <c r="T105" i="94" s="1"/>
  <c r="T159" i="93"/>
  <c r="T82" i="94" s="1"/>
  <c r="T20" i="93"/>
  <c r="E15" i="94"/>
  <c r="C182" i="93"/>
  <c r="C105" i="94" s="1"/>
  <c r="C159" i="93"/>
  <c r="C82" i="94" s="1"/>
  <c r="N25" i="93"/>
  <c r="D12"/>
  <c r="D12" i="94" s="1"/>
  <c r="C13" i="93"/>
  <c r="F14"/>
  <c r="F14" i="94" s="1"/>
  <c r="P14"/>
  <c r="G28" i="93"/>
  <c r="H28" s="1"/>
  <c r="K28"/>
  <c r="L28" s="1"/>
  <c r="M28" s="1"/>
  <c r="D79" i="94"/>
  <c r="D102"/>
  <c r="B159" i="93"/>
  <c r="B82" i="94" s="1"/>
  <c r="B182" i="93"/>
  <c r="B105" i="94" s="1"/>
  <c r="S16"/>
  <c r="E16"/>
  <c r="E23" s="1"/>
  <c r="Q27" i="93"/>
  <c r="R27" s="1"/>
  <c r="P125"/>
  <c r="P47" i="94" s="1"/>
  <c r="H125" i="93"/>
  <c r="H47" i="94" s="1"/>
  <c r="M35" i="96" s="1"/>
  <c r="U125" i="93"/>
  <c r="U47" i="94" s="1"/>
  <c r="K125" i="93"/>
  <c r="K47" i="94" s="1"/>
  <c r="G14"/>
  <c r="I14"/>
  <c r="O14"/>
  <c r="U14"/>
  <c r="F36" i="93"/>
  <c r="J36"/>
  <c r="N36"/>
  <c r="P36"/>
  <c r="T36"/>
  <c r="G37"/>
  <c r="H37" s="1"/>
  <c r="I37"/>
  <c r="K37"/>
  <c r="O37"/>
  <c r="S37"/>
  <c r="U37"/>
  <c r="F57"/>
  <c r="G57" s="1"/>
  <c r="J57"/>
  <c r="N57"/>
  <c r="P57"/>
  <c r="T57"/>
  <c r="I109"/>
  <c r="K109"/>
  <c r="O109"/>
  <c r="Q109" s="1"/>
  <c r="S109"/>
  <c r="U109"/>
  <c r="P133"/>
  <c r="P55" i="94" s="1"/>
  <c r="F70"/>
  <c r="J70"/>
  <c r="U133" i="93"/>
  <c r="U55" i="94" s="1"/>
  <c r="S133" i="93"/>
  <c r="S55" i="94" s="1"/>
  <c r="O133" i="93"/>
  <c r="O55" i="94" s="1"/>
  <c r="K133" i="93"/>
  <c r="K55" i="94" s="1"/>
  <c r="I133" i="93"/>
  <c r="I55" i="94" s="1"/>
  <c r="T70"/>
  <c r="U70"/>
  <c r="S70"/>
  <c r="O70"/>
  <c r="K70"/>
  <c r="I70"/>
  <c r="G36" i="93"/>
  <c r="I36"/>
  <c r="K36"/>
  <c r="O36"/>
  <c r="S36"/>
  <c r="U36"/>
  <c r="I57"/>
  <c r="K57"/>
  <c r="O57"/>
  <c r="S57"/>
  <c r="U57"/>
  <c r="F133"/>
  <c r="J133"/>
  <c r="J55" i="94" s="1"/>
  <c r="N133" i="93"/>
  <c r="N55" i="94" s="1"/>
  <c r="P70"/>
  <c r="F168" i="93"/>
  <c r="H168"/>
  <c r="J168"/>
  <c r="L168"/>
  <c r="N168"/>
  <c r="P168"/>
  <c r="R168"/>
  <c r="T168"/>
  <c r="V168"/>
  <c r="D183"/>
  <c r="D160"/>
  <c r="D83" i="94" s="1"/>
  <c r="G168" i="93"/>
  <c r="G91" i="94" s="1"/>
  <c r="I168" i="93"/>
  <c r="I91" i="94" s="1"/>
  <c r="K168" i="93"/>
  <c r="K91" i="94" s="1"/>
  <c r="M168" i="93"/>
  <c r="M91" i="94" s="1"/>
  <c r="O168" i="93"/>
  <c r="O91" i="94" s="1"/>
  <c r="Q168" i="93"/>
  <c r="Q91" i="94" s="1"/>
  <c r="S168" i="93"/>
  <c r="S91" i="94" s="1"/>
  <c r="U168" i="93"/>
  <c r="U91" i="94" s="1"/>
  <c r="W168" i="93"/>
  <c r="F191"/>
  <c r="H191"/>
  <c r="J191"/>
  <c r="L191"/>
  <c r="N191"/>
  <c r="P191"/>
  <c r="R191"/>
  <c r="T191"/>
  <c r="V191"/>
  <c r="G191"/>
  <c r="I191"/>
  <c r="I114" i="94" s="1"/>
  <c r="K191" i="93"/>
  <c r="M191"/>
  <c r="M114" i="94" s="1"/>
  <c r="O191" i="93"/>
  <c r="Q191"/>
  <c r="Q114" i="94" s="1"/>
  <c r="S191" i="93"/>
  <c r="U191"/>
  <c r="U114" i="94" s="1"/>
  <c r="B62" i="92"/>
  <c r="U23"/>
  <c r="S23"/>
  <c r="O23"/>
  <c r="K23"/>
  <c r="K33" s="1"/>
  <c r="I23"/>
  <c r="I33" s="1"/>
  <c r="G23"/>
  <c r="G33" s="1"/>
  <c r="B21" i="91"/>
  <c r="B22" i="92" s="1"/>
  <c r="P23"/>
  <c r="J23"/>
  <c r="J33" s="1"/>
  <c r="F22" i="91"/>
  <c r="F23" i="92" s="1"/>
  <c r="F33" s="1"/>
  <c r="B186" i="91"/>
  <c r="B94" i="92" s="1"/>
  <c r="B209" i="91"/>
  <c r="B117" i="92" s="1"/>
  <c r="U19"/>
  <c r="S19"/>
  <c r="O19"/>
  <c r="I19"/>
  <c r="E19"/>
  <c r="T19"/>
  <c r="P19"/>
  <c r="N19"/>
  <c r="J19"/>
  <c r="F18" i="91"/>
  <c r="F19" i="92" s="1"/>
  <c r="D183" i="91"/>
  <c r="D91" i="92" s="1"/>
  <c r="D206" i="91"/>
  <c r="D114" i="92" s="1"/>
  <c r="T51" i="91"/>
  <c r="P51"/>
  <c r="N51"/>
  <c r="J51"/>
  <c r="F51"/>
  <c r="U51"/>
  <c r="S51"/>
  <c r="O51"/>
  <c r="K51"/>
  <c r="I51"/>
  <c r="G51"/>
  <c r="T76"/>
  <c r="P76"/>
  <c r="N76"/>
  <c r="J76"/>
  <c r="F76"/>
  <c r="U76"/>
  <c r="S76"/>
  <c r="O76"/>
  <c r="K76"/>
  <c r="I76"/>
  <c r="G76"/>
  <c r="U159"/>
  <c r="U67" i="92" s="1"/>
  <c r="S159" i="91"/>
  <c r="S67" i="92" s="1"/>
  <c r="O159" i="91"/>
  <c r="O67" i="92" s="1"/>
  <c r="K159" i="91"/>
  <c r="K67" i="92" s="1"/>
  <c r="I159" i="91"/>
  <c r="I67" i="92" s="1"/>
  <c r="N159" i="91"/>
  <c r="N67" i="92" s="1"/>
  <c r="J159" i="91"/>
  <c r="J67" i="92" s="1"/>
  <c r="F159" i="91"/>
  <c r="T159"/>
  <c r="T67" i="92" s="1"/>
  <c r="P159" i="91"/>
  <c r="P67" i="92" s="1"/>
  <c r="B19" i="91"/>
  <c r="E23"/>
  <c r="E24" i="92" s="1"/>
  <c r="E34" s="1"/>
  <c r="G23" i="91"/>
  <c r="K23"/>
  <c r="O23"/>
  <c r="U23"/>
  <c r="B11"/>
  <c r="B14" i="111" s="1"/>
  <c r="B12" i="91"/>
  <c r="B13" i="92" s="1"/>
  <c r="F23" i="91"/>
  <c r="J23"/>
  <c r="N23"/>
  <c r="N24" i="92" s="1"/>
  <c r="P23" i="91"/>
  <c r="T23"/>
  <c r="C209"/>
  <c r="C117" i="92" s="1"/>
  <c r="C186" i="91"/>
  <c r="C94" i="92" s="1"/>
  <c r="T111" i="91"/>
  <c r="P111"/>
  <c r="N111"/>
  <c r="J111"/>
  <c r="F111"/>
  <c r="U111"/>
  <c r="S111"/>
  <c r="O111"/>
  <c r="K111"/>
  <c r="I111"/>
  <c r="G111"/>
  <c r="T135"/>
  <c r="P135"/>
  <c r="N135"/>
  <c r="J135"/>
  <c r="F135"/>
  <c r="U135"/>
  <c r="S135"/>
  <c r="O135"/>
  <c r="K135"/>
  <c r="I135"/>
  <c r="G135"/>
  <c r="I23"/>
  <c r="I24" i="92" s="1"/>
  <c r="I34" s="1"/>
  <c r="U152" i="91"/>
  <c r="K152"/>
  <c r="H37"/>
  <c r="L37"/>
  <c r="M37" s="1"/>
  <c r="U37"/>
  <c r="G47"/>
  <c r="I47"/>
  <c r="K47"/>
  <c r="O47"/>
  <c r="Q47" s="1"/>
  <c r="S47"/>
  <c r="U47"/>
  <c r="F72"/>
  <c r="G72" s="1"/>
  <c r="J72"/>
  <c r="N72"/>
  <c r="P72"/>
  <c r="T72"/>
  <c r="F108"/>
  <c r="G108" s="1"/>
  <c r="J108"/>
  <c r="N108"/>
  <c r="P108"/>
  <c r="T108"/>
  <c r="A111"/>
  <c r="F131"/>
  <c r="G131" s="1"/>
  <c r="J131"/>
  <c r="N131"/>
  <c r="P131"/>
  <c r="T131"/>
  <c r="I72"/>
  <c r="K72"/>
  <c r="O72"/>
  <c r="S72"/>
  <c r="U72"/>
  <c r="I108"/>
  <c r="K108"/>
  <c r="O108"/>
  <c r="S108"/>
  <c r="U108"/>
  <c r="I131"/>
  <c r="K131"/>
  <c r="O131"/>
  <c r="S131"/>
  <c r="U131"/>
  <c r="E195"/>
  <c r="E103" i="92" s="1"/>
  <c r="W103" s="1"/>
  <c r="D210" i="91"/>
  <c r="F218"/>
  <c r="F126" i="92" s="1"/>
  <c r="H218" i="91"/>
  <c r="H126" i="92" s="1"/>
  <c r="J218" i="91"/>
  <c r="J126" i="92" s="1"/>
  <c r="L218" i="91"/>
  <c r="L126" i="92" s="1"/>
  <c r="N218" i="91"/>
  <c r="N126" i="92" s="1"/>
  <c r="P218" i="91"/>
  <c r="P126" i="92" s="1"/>
  <c r="R218" i="91"/>
  <c r="R126" i="92" s="1"/>
  <c r="T218" i="91"/>
  <c r="T126" i="92" s="1"/>
  <c r="V218" i="91"/>
  <c r="V126" i="92" s="1"/>
  <c r="G218" i="91"/>
  <c r="I218"/>
  <c r="K218"/>
  <c r="M218"/>
  <c r="O218"/>
  <c r="Q218"/>
  <c r="S218"/>
  <c r="U218"/>
  <c r="C13" i="94" l="1"/>
  <c r="C58" s="1"/>
  <c r="B58" s="1"/>
  <c r="C136" i="93"/>
  <c r="Q37"/>
  <c r="T20" i="94"/>
  <c r="T15" i="93"/>
  <c r="T15" i="94" s="1"/>
  <c r="J15" i="93"/>
  <c r="U15"/>
  <c r="S15"/>
  <c r="S15" i="94" s="1"/>
  <c r="O15" i="93"/>
  <c r="K15"/>
  <c r="I15"/>
  <c r="I15" i="94" s="1"/>
  <c r="F15" i="93"/>
  <c r="P15"/>
  <c r="N15"/>
  <c r="N15" i="94" s="1"/>
  <c r="G15" i="93"/>
  <c r="G15" i="94" s="1"/>
  <c r="D211" i="91"/>
  <c r="D119" i="92" s="1"/>
  <c r="D118"/>
  <c r="G159" i="91"/>
  <c r="G67" i="92" s="1"/>
  <c r="F67"/>
  <c r="B20"/>
  <c r="U19" i="91"/>
  <c r="S19"/>
  <c r="O19"/>
  <c r="K19"/>
  <c r="I19"/>
  <c r="F19"/>
  <c r="T19"/>
  <c r="P19"/>
  <c r="N19"/>
  <c r="J19"/>
  <c r="G19"/>
  <c r="E19"/>
  <c r="H131"/>
  <c r="W47" i="94"/>
  <c r="V57" i="93"/>
  <c r="G133"/>
  <c r="G55" i="94" s="1"/>
  <c r="F55"/>
  <c r="V152" i="91"/>
  <c r="V60" i="92" s="1"/>
  <c r="Q44" i="95" s="1"/>
  <c r="U60" i="92"/>
  <c r="Q152" i="91"/>
  <c r="Q60" i="92" s="1"/>
  <c r="O44" i="95" s="1"/>
  <c r="P60" i="92"/>
  <c r="L152" i="91"/>
  <c r="K60" i="92"/>
  <c r="W60" s="1"/>
  <c r="S114" i="94"/>
  <c r="O114"/>
  <c r="K114"/>
  <c r="G114"/>
  <c r="V114"/>
  <c r="R114"/>
  <c r="N114"/>
  <c r="J114"/>
  <c r="F114"/>
  <c r="T91"/>
  <c r="P91"/>
  <c r="L91"/>
  <c r="H91"/>
  <c r="T114"/>
  <c r="P114"/>
  <c r="L114"/>
  <c r="H114"/>
  <c r="V91"/>
  <c r="R91"/>
  <c r="N91"/>
  <c r="J91"/>
  <c r="F91"/>
  <c r="U126" i="92"/>
  <c r="Q126"/>
  <c r="M126"/>
  <c r="I126"/>
  <c r="W218" i="91"/>
  <c r="E126" i="92"/>
  <c r="W126" s="1"/>
  <c r="S126"/>
  <c r="O126"/>
  <c r="K126"/>
  <c r="G126"/>
  <c r="B103"/>
  <c r="D184" i="93"/>
  <c r="D107" i="94" s="1"/>
  <c r="D106"/>
  <c r="P16"/>
  <c r="S20"/>
  <c r="K20"/>
  <c r="K21"/>
  <c r="G20"/>
  <c r="G21"/>
  <c r="G23" i="93"/>
  <c r="G16" i="94"/>
  <c r="G23" s="1"/>
  <c r="K23" i="93"/>
  <c r="K16" i="94"/>
  <c r="K23" s="1"/>
  <c r="F23" i="93"/>
  <c r="F16" i="94"/>
  <c r="F23" s="1"/>
  <c r="N20"/>
  <c r="F21"/>
  <c r="F20"/>
  <c r="F15"/>
  <c r="Q133" i="93"/>
  <c r="T16" i="94"/>
  <c r="U20"/>
  <c r="O20"/>
  <c r="I20"/>
  <c r="I21"/>
  <c r="E21"/>
  <c r="E20"/>
  <c r="W14"/>
  <c r="O16"/>
  <c r="U16"/>
  <c r="J23" i="93"/>
  <c r="J16" i="94"/>
  <c r="J23" s="1"/>
  <c r="P20"/>
  <c r="J21"/>
  <c r="J20"/>
  <c r="K15"/>
  <c r="J15"/>
  <c r="V133" i="93"/>
  <c r="T24" i="92"/>
  <c r="F33" i="91"/>
  <c r="F24" i="92"/>
  <c r="F34" s="1"/>
  <c r="F32" s="1"/>
  <c r="BN97" i="9"/>
  <c r="B12" i="92"/>
  <c r="O24"/>
  <c r="G33" i="91"/>
  <c r="G24" i="92"/>
  <c r="G34" s="1"/>
  <c r="H34" s="1"/>
  <c r="F29"/>
  <c r="F28"/>
  <c r="N28"/>
  <c r="T28"/>
  <c r="G28"/>
  <c r="G29"/>
  <c r="K28"/>
  <c r="K29"/>
  <c r="S28"/>
  <c r="P24"/>
  <c r="J33" i="91"/>
  <c r="J24" i="92"/>
  <c r="J34" s="1"/>
  <c r="J32" s="1"/>
  <c r="U24"/>
  <c r="K33" i="91"/>
  <c r="K24" i="92"/>
  <c r="K34" s="1"/>
  <c r="K32" s="1"/>
  <c r="J29"/>
  <c r="J28"/>
  <c r="P28"/>
  <c r="E29"/>
  <c r="E28"/>
  <c r="W19"/>
  <c r="I29"/>
  <c r="I28"/>
  <c r="O28"/>
  <c r="U28"/>
  <c r="E33"/>
  <c r="W23"/>
  <c r="I32"/>
  <c r="L33"/>
  <c r="CN101" i="9"/>
  <c r="CC101"/>
  <c r="CA101"/>
  <c r="BY101"/>
  <c r="BW101"/>
  <c r="BU101"/>
  <c r="BS101"/>
  <c r="BQ101"/>
  <c r="BO101"/>
  <c r="CO101"/>
  <c r="CM101"/>
  <c r="CB101"/>
  <c r="BZ101"/>
  <c r="BX101"/>
  <c r="BV101"/>
  <c r="BT101"/>
  <c r="BR101"/>
  <c r="BP101"/>
  <c r="E20" i="91"/>
  <c r="B21" i="92"/>
  <c r="D16" i="91"/>
  <c r="D17" i="92" s="1"/>
  <c r="D15"/>
  <c r="C17" i="91"/>
  <c r="C22" i="92"/>
  <c r="V37" i="93"/>
  <c r="D161"/>
  <c r="D84" i="94" s="1"/>
  <c r="V109" i="93"/>
  <c r="V108" i="91"/>
  <c r="L131"/>
  <c r="V72"/>
  <c r="Q108"/>
  <c r="H108"/>
  <c r="V47"/>
  <c r="W47"/>
  <c r="B17"/>
  <c r="H159"/>
  <c r="H67" i="92" s="1"/>
  <c r="L51" i="95" s="1"/>
  <c r="B14" i="91"/>
  <c r="B22" i="111" s="1"/>
  <c r="B18" s="1"/>
  <c r="P25" i="93"/>
  <c r="L36"/>
  <c r="L70" i="94"/>
  <c r="N54" i="96" s="1"/>
  <c r="I25" i="93"/>
  <c r="O25"/>
  <c r="U25"/>
  <c r="G70" i="94"/>
  <c r="W70" s="1"/>
  <c r="F25" i="93"/>
  <c r="Q36"/>
  <c r="S182"/>
  <c r="S105" i="94" s="1"/>
  <c r="S159" i="93"/>
  <c r="S82" i="94" s="1"/>
  <c r="S20" i="93"/>
  <c r="V14"/>
  <c r="V14" i="94" s="1"/>
  <c r="R16" i="96" s="1"/>
  <c r="S13" i="93"/>
  <c r="K182"/>
  <c r="K105" i="94" s="1"/>
  <c r="K159" i="93"/>
  <c r="K82" i="94" s="1"/>
  <c r="K20" i="93"/>
  <c r="K21"/>
  <c r="K13"/>
  <c r="G182"/>
  <c r="G105" i="94" s="1"/>
  <c r="G159" i="93"/>
  <c r="G82" i="94" s="1"/>
  <c r="G20" i="93"/>
  <c r="G21"/>
  <c r="L125"/>
  <c r="Q125"/>
  <c r="Q47" i="94" s="1"/>
  <c r="P35" i="96" s="1"/>
  <c r="W16" i="93"/>
  <c r="E23"/>
  <c r="H16"/>
  <c r="H16" i="94" s="1"/>
  <c r="M18" i="96" s="1"/>
  <c r="I23" i="93"/>
  <c r="L16"/>
  <c r="L16" i="94" s="1"/>
  <c r="N18" i="96" s="1"/>
  <c r="B160" i="93"/>
  <c r="D157"/>
  <c r="P182"/>
  <c r="P105" i="94" s="1"/>
  <c r="P159" i="93"/>
  <c r="P82" i="94" s="1"/>
  <c r="P20" i="93"/>
  <c r="J159"/>
  <c r="J82" i="94" s="1"/>
  <c r="J182" i="93"/>
  <c r="J105" i="94" s="1"/>
  <c r="J21" i="93"/>
  <c r="J20"/>
  <c r="J13"/>
  <c r="B13"/>
  <c r="C183"/>
  <c r="C106" i="94" s="1"/>
  <c r="L15" i="93"/>
  <c r="L15" i="94" s="1"/>
  <c r="N17" i="96" s="1"/>
  <c r="T183" i="93"/>
  <c r="L57"/>
  <c r="L133"/>
  <c r="H133"/>
  <c r="B117" i="116" s="1"/>
  <c r="B168" s="1"/>
  <c r="L109" i="93"/>
  <c r="M109" s="1"/>
  <c r="R109" s="1"/>
  <c r="Q57"/>
  <c r="H57"/>
  <c r="L37"/>
  <c r="M37" s="1"/>
  <c r="R37" s="1"/>
  <c r="H36"/>
  <c r="W109"/>
  <c r="W125"/>
  <c r="W36"/>
  <c r="V36"/>
  <c r="K25"/>
  <c r="V70" i="94"/>
  <c r="R54" i="96" s="1"/>
  <c r="S25" i="93"/>
  <c r="T25"/>
  <c r="J25"/>
  <c r="U182"/>
  <c r="U105" i="94" s="1"/>
  <c r="U159" i="93"/>
  <c r="U82" i="94" s="1"/>
  <c r="U20" i="93"/>
  <c r="U13"/>
  <c r="O182"/>
  <c r="O105" i="94" s="1"/>
  <c r="O159" i="93"/>
  <c r="O82" i="94" s="1"/>
  <c r="O20" i="93"/>
  <c r="I182"/>
  <c r="I105" i="94" s="1"/>
  <c r="I159" i="93"/>
  <c r="I82" i="94" s="1"/>
  <c r="I20" i="93"/>
  <c r="I21"/>
  <c r="L14"/>
  <c r="L14" i="94" s="1"/>
  <c r="N16" i="96" s="1"/>
  <c r="E182" i="93"/>
  <c r="E105" i="94" s="1"/>
  <c r="E159" i="93"/>
  <c r="E82" i="94" s="1"/>
  <c r="E20" i="93"/>
  <c r="E21"/>
  <c r="W14"/>
  <c r="H14"/>
  <c r="H14" i="94" s="1"/>
  <c r="M16" i="96" s="1"/>
  <c r="E13" i="93"/>
  <c r="V125"/>
  <c r="V47" i="94" s="1"/>
  <c r="R35" i="96" s="1"/>
  <c r="V16" i="93"/>
  <c r="V16" i="94" s="1"/>
  <c r="R18" i="96" s="1"/>
  <c r="B183" i="93"/>
  <c r="D180"/>
  <c r="N159"/>
  <c r="N82" i="94" s="1"/>
  <c r="N182" i="93"/>
  <c r="N105" i="94" s="1"/>
  <c r="N20" i="93"/>
  <c r="Q14"/>
  <c r="Q14" i="94" s="1"/>
  <c r="P16" i="96" s="1"/>
  <c r="N13" i="93"/>
  <c r="F159"/>
  <c r="F82" i="94" s="1"/>
  <c r="F182" i="93"/>
  <c r="F105" i="94" s="1"/>
  <c r="F21" i="93"/>
  <c r="F20"/>
  <c r="F13"/>
  <c r="C160"/>
  <c r="V15"/>
  <c r="V15" i="94" s="1"/>
  <c r="R17" i="96" s="1"/>
  <c r="Q15" i="93"/>
  <c r="Q15" i="94" s="1"/>
  <c r="P17" i="96" s="1"/>
  <c r="T160" i="93"/>
  <c r="W133"/>
  <c r="W57"/>
  <c r="W37"/>
  <c r="Q70" i="94"/>
  <c r="P54" i="96" s="1"/>
  <c r="Q16" i="93"/>
  <c r="Q16" i="94" s="1"/>
  <c r="P18" i="96" s="1"/>
  <c r="T13" i="93"/>
  <c r="V195" i="91"/>
  <c r="T195"/>
  <c r="R195"/>
  <c r="P195"/>
  <c r="N195"/>
  <c r="L195"/>
  <c r="J195"/>
  <c r="H195"/>
  <c r="F195"/>
  <c r="W195"/>
  <c r="U195"/>
  <c r="S195"/>
  <c r="Q195"/>
  <c r="O195"/>
  <c r="M195"/>
  <c r="K195"/>
  <c r="I195"/>
  <c r="G195"/>
  <c r="C187"/>
  <c r="B13"/>
  <c r="B14" i="92" s="1"/>
  <c r="E12" i="91"/>
  <c r="E13" i="92" s="1"/>
  <c r="E33" i="91"/>
  <c r="W23"/>
  <c r="H23"/>
  <c r="H24" i="92" s="1"/>
  <c r="L25" i="95" s="1"/>
  <c r="D184" i="91"/>
  <c r="J186"/>
  <c r="J94" i="92" s="1"/>
  <c r="J209" i="91"/>
  <c r="J117" i="92" s="1"/>
  <c r="J28" i="91"/>
  <c r="J27"/>
  <c r="P209"/>
  <c r="P117" i="92" s="1"/>
  <c r="P186" i="91"/>
  <c r="P94" i="92" s="1"/>
  <c r="P27" i="91"/>
  <c r="G209"/>
  <c r="G117" i="92" s="1"/>
  <c r="G186" i="91"/>
  <c r="G94" i="92" s="1"/>
  <c r="G28" i="91"/>
  <c r="G27"/>
  <c r="K209"/>
  <c r="K117" i="92" s="1"/>
  <c r="K186" i="91"/>
  <c r="K94" i="92" s="1"/>
  <c r="K28" i="91"/>
  <c r="K27"/>
  <c r="S209"/>
  <c r="S117" i="92" s="1"/>
  <c r="S186" i="91"/>
  <c r="S94" i="92" s="1"/>
  <c r="S27" i="91"/>
  <c r="V18"/>
  <c r="V19" i="92" s="1"/>
  <c r="Q20" i="95" s="1"/>
  <c r="B210" i="91"/>
  <c r="F32"/>
  <c r="F31" s="1"/>
  <c r="F21"/>
  <c r="F22" i="92" s="1"/>
  <c r="Q22" i="91"/>
  <c r="Q23" i="92" s="1"/>
  <c r="O24" i="95" s="1"/>
  <c r="N21" i="91"/>
  <c r="N22" i="92" s="1"/>
  <c r="T21" i="91"/>
  <c r="T22" i="92" s="1"/>
  <c r="E32" i="91"/>
  <c r="H22"/>
  <c r="H23" i="92" s="1"/>
  <c r="L24" i="95" s="1"/>
  <c r="E21" i="91"/>
  <c r="E22" i="92" s="1"/>
  <c r="W22" i="91"/>
  <c r="I32"/>
  <c r="L22"/>
  <c r="L23" i="92" s="1"/>
  <c r="M24" i="95" s="1"/>
  <c r="I21" i="91"/>
  <c r="I22" i="92" s="1"/>
  <c r="O21" i="91"/>
  <c r="O22" i="92" s="1"/>
  <c r="U21" i="91"/>
  <c r="U22" i="92" s="1"/>
  <c r="V131" i="91"/>
  <c r="L108"/>
  <c r="M108" s="1"/>
  <c r="R108" s="1"/>
  <c r="L72"/>
  <c r="Q72"/>
  <c r="H72"/>
  <c r="L47"/>
  <c r="W108"/>
  <c r="W72"/>
  <c r="H47"/>
  <c r="Q159"/>
  <c r="Q67" i="92" s="1"/>
  <c r="O51" i="95" s="1"/>
  <c r="V159" i="91"/>
  <c r="V67" i="92" s="1"/>
  <c r="Q51" i="95" s="1"/>
  <c r="W159" i="91"/>
  <c r="V37"/>
  <c r="I33"/>
  <c r="L33" s="1"/>
  <c r="L23"/>
  <c r="L24" i="92" s="1"/>
  <c r="M25" i="95" s="1"/>
  <c r="C210" i="91"/>
  <c r="Q23"/>
  <c r="Q24" i="92" s="1"/>
  <c r="O25" i="95" s="1"/>
  <c r="S20" i="92"/>
  <c r="I20"/>
  <c r="E20"/>
  <c r="D207" i="91"/>
  <c r="F186"/>
  <c r="F94" i="92" s="1"/>
  <c r="F209" i="91"/>
  <c r="F117" i="92" s="1"/>
  <c r="F27" i="91"/>
  <c r="F28"/>
  <c r="N186"/>
  <c r="N94" i="92" s="1"/>
  <c r="N209" i="91"/>
  <c r="N117" i="92" s="1"/>
  <c r="Q18" i="91"/>
  <c r="Q19" i="92" s="1"/>
  <c r="O20" i="95" s="1"/>
  <c r="N27" i="91"/>
  <c r="T209"/>
  <c r="T117" i="92" s="1"/>
  <c r="T186" i="91"/>
  <c r="T94" i="92" s="1"/>
  <c r="T27" i="91"/>
  <c r="E209"/>
  <c r="E117" i="92" s="1"/>
  <c r="E186" i="91"/>
  <c r="E94" i="92" s="1"/>
  <c r="E27" i="91"/>
  <c r="W18"/>
  <c r="E28"/>
  <c r="H18"/>
  <c r="H19" i="92" s="1"/>
  <c r="L20" i="95" s="1"/>
  <c r="I209" i="91"/>
  <c r="I117" i="92" s="1"/>
  <c r="I186" i="91"/>
  <c r="I94" i="92" s="1"/>
  <c r="I27" i="91"/>
  <c r="I28"/>
  <c r="L18"/>
  <c r="L19" i="92" s="1"/>
  <c r="M20" i="95" s="1"/>
  <c r="O209" i="91"/>
  <c r="O117" i="92" s="1"/>
  <c r="O186" i="91"/>
  <c r="O94" i="92" s="1"/>
  <c r="O27" i="91"/>
  <c r="U209"/>
  <c r="U117" i="92" s="1"/>
  <c r="U186" i="91"/>
  <c r="U94" i="92" s="1"/>
  <c r="U27" i="91"/>
  <c r="B187"/>
  <c r="J32"/>
  <c r="J31" s="1"/>
  <c r="J21"/>
  <c r="J22" i="92" s="1"/>
  <c r="P21" i="91"/>
  <c r="P22" i="92" s="1"/>
  <c r="G32" i="91"/>
  <c r="G31" s="1"/>
  <c r="G21"/>
  <c r="G22" i="92" s="1"/>
  <c r="K32" i="91"/>
  <c r="K31" s="1"/>
  <c r="K21"/>
  <c r="K22" i="92" s="1"/>
  <c r="V22" i="91"/>
  <c r="V23" i="92" s="1"/>
  <c r="Q24" i="95" s="1"/>
  <c r="S21" i="91"/>
  <c r="S22" i="92" s="1"/>
  <c r="Q131" i="91"/>
  <c r="M131"/>
  <c r="W152"/>
  <c r="W131"/>
  <c r="L159"/>
  <c r="V23"/>
  <c r="V24" i="92" s="1"/>
  <c r="Q25" i="95" s="1"/>
  <c r="L55" i="94" l="1"/>
  <c r="N43" i="96" s="1"/>
  <c r="G117" i="116"/>
  <c r="V55" i="94"/>
  <c r="R43" i="96" s="1"/>
  <c r="W117" i="116"/>
  <c r="W168" s="1"/>
  <c r="Q55" i="94"/>
  <c r="P43" i="96" s="1"/>
  <c r="O117" i="116"/>
  <c r="O168" s="1"/>
  <c r="W67" i="92"/>
  <c r="U15" i="94"/>
  <c r="G13" i="93"/>
  <c r="O15" i="94"/>
  <c r="I13" i="93"/>
  <c r="G35" i="111" s="1"/>
  <c r="O13" i="93"/>
  <c r="M35" i="111" s="1"/>
  <c r="W15" i="93"/>
  <c r="H15"/>
  <c r="P13"/>
  <c r="N35" i="111" s="1"/>
  <c r="N43" s="1"/>
  <c r="P15" i="94"/>
  <c r="L35" i="111"/>
  <c r="L43" s="1"/>
  <c r="N136" i="93"/>
  <c r="I136"/>
  <c r="B35" i="111"/>
  <c r="B31" s="1"/>
  <c r="B136" i="93"/>
  <c r="H35" i="111"/>
  <c r="H43" s="1"/>
  <c r="J136" i="93"/>
  <c r="I35" i="111"/>
  <c r="I43" s="1"/>
  <c r="K136" i="93"/>
  <c r="R35" i="111"/>
  <c r="R43" s="1"/>
  <c r="T136" i="93"/>
  <c r="D35" i="111"/>
  <c r="D43" s="1"/>
  <c r="F136" i="93"/>
  <c r="C35" i="111"/>
  <c r="C43" s="1"/>
  <c r="E136" i="93"/>
  <c r="S35" i="111"/>
  <c r="S43" s="1"/>
  <c r="U136" i="93"/>
  <c r="E35" i="111"/>
  <c r="E43" s="1"/>
  <c r="G136" i="93"/>
  <c r="Q35" i="111"/>
  <c r="Q43" s="1"/>
  <c r="T43" s="1"/>
  <c r="S136" i="93"/>
  <c r="V136" s="1"/>
  <c r="B43" i="111"/>
  <c r="F35"/>
  <c r="M159" i="91"/>
  <c r="M67" i="92" s="1"/>
  <c r="L67"/>
  <c r="M51" i="95" s="1"/>
  <c r="N51" s="1"/>
  <c r="P51" s="1"/>
  <c r="R51" s="1"/>
  <c r="S18" i="111"/>
  <c r="O18"/>
  <c r="K18"/>
  <c r="G18"/>
  <c r="C18"/>
  <c r="P18"/>
  <c r="H18"/>
  <c r="R18"/>
  <c r="J18"/>
  <c r="B19"/>
  <c r="B21" s="1"/>
  <c r="Q18"/>
  <c r="M18"/>
  <c r="I18"/>
  <c r="E18"/>
  <c r="T18"/>
  <c r="L18"/>
  <c r="D18"/>
  <c r="N18"/>
  <c r="F18"/>
  <c r="W55" i="94"/>
  <c r="M133" i="93"/>
  <c r="H55" i="94"/>
  <c r="M43" i="96" s="1"/>
  <c r="O43" s="1"/>
  <c r="Q43" s="1"/>
  <c r="S43" s="1"/>
  <c r="M125" i="93"/>
  <c r="M47" i="94" s="1"/>
  <c r="L47"/>
  <c r="N35" i="96" s="1"/>
  <c r="O35" s="1"/>
  <c r="Q35" s="1"/>
  <c r="S35" s="1"/>
  <c r="M152" i="91"/>
  <c r="L60" i="92"/>
  <c r="M44" i="95" s="1"/>
  <c r="N44" s="1"/>
  <c r="P44" s="1"/>
  <c r="R44" s="1"/>
  <c r="I17" i="91"/>
  <c r="I18" i="92" s="1"/>
  <c r="I72" s="1"/>
  <c r="E17" i="91"/>
  <c r="E18" i="92" s="1"/>
  <c r="E72" s="1"/>
  <c r="I103"/>
  <c r="M103"/>
  <c r="Q103"/>
  <c r="U103"/>
  <c r="F103"/>
  <c r="J103"/>
  <c r="N103"/>
  <c r="R103"/>
  <c r="V103"/>
  <c r="G103"/>
  <c r="K103"/>
  <c r="O103"/>
  <c r="S103"/>
  <c r="H103"/>
  <c r="L103"/>
  <c r="P103"/>
  <c r="T103"/>
  <c r="N20" i="95"/>
  <c r="P20" s="1"/>
  <c r="R20" s="1"/>
  <c r="C184" i="93"/>
  <c r="C107" i="94" s="1"/>
  <c r="W24" i="92"/>
  <c r="L23" i="94"/>
  <c r="D115" i="92"/>
  <c r="C211" i="91"/>
  <c r="C119" i="92" s="1"/>
  <c r="C118"/>
  <c r="T161" i="93"/>
  <c r="T84" i="94" s="1"/>
  <c r="T83"/>
  <c r="B184" i="93"/>
  <c r="B107" i="94" s="1"/>
  <c r="B106"/>
  <c r="T184" i="93"/>
  <c r="T107" i="94" s="1"/>
  <c r="T106"/>
  <c r="D80"/>
  <c r="W117" i="92"/>
  <c r="N24" i="95"/>
  <c r="P24" s="1"/>
  <c r="R24" s="1"/>
  <c r="N25"/>
  <c r="P25" s="1"/>
  <c r="R25" s="1"/>
  <c r="O16" i="96"/>
  <c r="Q16" s="1"/>
  <c r="S16" s="1"/>
  <c r="W82" i="94"/>
  <c r="O18" i="96"/>
  <c r="Q18" s="1"/>
  <c r="S18" s="1"/>
  <c r="B188" i="91"/>
  <c r="B96" i="92" s="1"/>
  <c r="B95"/>
  <c r="B211" i="91"/>
  <c r="B119" i="92" s="1"/>
  <c r="B118"/>
  <c r="D92"/>
  <c r="C188" i="91"/>
  <c r="C96" i="92" s="1"/>
  <c r="C95"/>
  <c r="C161" i="93"/>
  <c r="C84" i="94" s="1"/>
  <c r="C83"/>
  <c r="D103"/>
  <c r="B161" i="93"/>
  <c r="B84" i="94" s="1"/>
  <c r="B83"/>
  <c r="W94" i="92"/>
  <c r="W105" i="94"/>
  <c r="CM118" i="9"/>
  <c r="T13" i="94"/>
  <c r="T58" s="1"/>
  <c r="BP118" i="9"/>
  <c r="F13" i="94"/>
  <c r="F58" s="1"/>
  <c r="O13"/>
  <c r="O58" s="1"/>
  <c r="BX118" i="9"/>
  <c r="N13" i="94"/>
  <c r="N58" s="1"/>
  <c r="BO118" i="9"/>
  <c r="E13" i="94"/>
  <c r="E58" s="1"/>
  <c r="CN118" i="9"/>
  <c r="U13" i="94"/>
  <c r="U58" s="1"/>
  <c r="B79"/>
  <c r="BN118" i="9"/>
  <c r="B13" i="94"/>
  <c r="BT118" i="9"/>
  <c r="J13" i="94"/>
  <c r="J58" s="1"/>
  <c r="BZ118" i="9"/>
  <c r="BU118"/>
  <c r="K13" i="94"/>
  <c r="L20"/>
  <c r="Q20"/>
  <c r="M36" i="93"/>
  <c r="R36" s="1"/>
  <c r="M57"/>
  <c r="R57" s="1"/>
  <c r="L23"/>
  <c r="W16" i="94"/>
  <c r="H23"/>
  <c r="H21"/>
  <c r="C19" i="98" s="1"/>
  <c r="L21" i="94"/>
  <c r="BS118" i="9"/>
  <c r="I13" i="94"/>
  <c r="I58" s="1"/>
  <c r="M15" i="93"/>
  <c r="M15" i="94" s="1"/>
  <c r="H15"/>
  <c r="M17" i="96" s="1"/>
  <c r="O17" s="1"/>
  <c r="Q17" s="1"/>
  <c r="S17" s="1"/>
  <c r="BQ118" i="9"/>
  <c r="G13" i="94"/>
  <c r="G58" s="1"/>
  <c r="CC118" i="9"/>
  <c r="S13" i="94"/>
  <c r="S58" s="1"/>
  <c r="H20"/>
  <c r="W20"/>
  <c r="W27" s="1"/>
  <c r="V20"/>
  <c r="L34" i="92"/>
  <c r="M34" s="1"/>
  <c r="G32"/>
  <c r="U20"/>
  <c r="F20"/>
  <c r="T20"/>
  <c r="G20"/>
  <c r="K20"/>
  <c r="J20"/>
  <c r="L28"/>
  <c r="Q28"/>
  <c r="W22"/>
  <c r="L29"/>
  <c r="D17" i="98" s="1"/>
  <c r="H29" i="92"/>
  <c r="C17" i="98" s="1"/>
  <c r="P20" i="92"/>
  <c r="O20"/>
  <c r="N17" i="91"/>
  <c r="N18" i="92" s="1"/>
  <c r="N72" s="1"/>
  <c r="N20"/>
  <c r="E21"/>
  <c r="O20" i="91"/>
  <c r="T20"/>
  <c r="N20"/>
  <c r="F20"/>
  <c r="F29" s="1"/>
  <c r="U20"/>
  <c r="S20"/>
  <c r="K20"/>
  <c r="P20"/>
  <c r="J20"/>
  <c r="E30"/>
  <c r="I20"/>
  <c r="E32" i="92"/>
  <c r="H33"/>
  <c r="H28"/>
  <c r="W28"/>
  <c r="W38" s="1"/>
  <c r="V28"/>
  <c r="L32"/>
  <c r="D208" i="91"/>
  <c r="D116" i="92" s="1"/>
  <c r="L21" i="93"/>
  <c r="D158"/>
  <c r="R125"/>
  <c r="R47" i="94" s="1"/>
  <c r="Q25" i="93"/>
  <c r="R159" i="91"/>
  <c r="R67" i="92" s="1"/>
  <c r="B15"/>
  <c r="B164" i="91"/>
  <c r="B183" s="1"/>
  <c r="B18" i="92"/>
  <c r="C164" i="91"/>
  <c r="C18" i="92"/>
  <c r="C72" s="1"/>
  <c r="B72" s="1"/>
  <c r="T17" i="91"/>
  <c r="T18" i="92" s="1"/>
  <c r="T72" s="1"/>
  <c r="D181" i="93"/>
  <c r="M14"/>
  <c r="R131" i="91"/>
  <c r="U17"/>
  <c r="V21"/>
  <c r="V22" i="92" s="1"/>
  <c r="Q23" i="95" s="1"/>
  <c r="O17" i="91"/>
  <c r="S17"/>
  <c r="M72"/>
  <c r="R72" s="1"/>
  <c r="D185"/>
  <c r="Q21"/>
  <c r="Q22" i="92" s="1"/>
  <c r="O23" i="95" s="1"/>
  <c r="P17" i="91"/>
  <c r="F12" i="93"/>
  <c r="F12" i="94" s="1"/>
  <c r="F160" i="93"/>
  <c r="N160"/>
  <c r="Q159"/>
  <c r="Q82" i="94" s="1"/>
  <c r="H13" i="93"/>
  <c r="H13" i="94" s="1"/>
  <c r="E12" i="93"/>
  <c r="E12" i="94" s="1"/>
  <c r="W13" i="93"/>
  <c r="W20"/>
  <c r="W27" s="1"/>
  <c r="H20"/>
  <c r="E183"/>
  <c r="W182"/>
  <c r="H182"/>
  <c r="H105" i="94" s="1"/>
  <c r="L20" i="93"/>
  <c r="I183"/>
  <c r="L182"/>
  <c r="L105" i="94" s="1"/>
  <c r="O160" i="93"/>
  <c r="U12"/>
  <c r="U12" i="94" s="1"/>
  <c r="U183" i="93"/>
  <c r="B102" i="94"/>
  <c r="J12" i="93"/>
  <c r="J12" i="94" s="1"/>
  <c r="J160" i="93"/>
  <c r="P12"/>
  <c r="P12" i="94" s="1"/>
  <c r="P160" i="93"/>
  <c r="G160"/>
  <c r="K12"/>
  <c r="K12" i="94" s="1"/>
  <c r="K183" i="93"/>
  <c r="V20"/>
  <c r="S183"/>
  <c r="V182"/>
  <c r="V105" i="94" s="1"/>
  <c r="G25" i="93"/>
  <c r="H25" s="1"/>
  <c r="V25"/>
  <c r="M16"/>
  <c r="L25"/>
  <c r="T12"/>
  <c r="T12" i="94" s="1"/>
  <c r="F183" i="93"/>
  <c r="Q13"/>
  <c r="N12"/>
  <c r="N12" i="94" s="1"/>
  <c r="Q20" i="93"/>
  <c r="Q182"/>
  <c r="Q105" i="94" s="1"/>
  <c r="N183" i="93"/>
  <c r="H21"/>
  <c r="H159"/>
  <c r="H82" i="94" s="1"/>
  <c r="E160" i="93"/>
  <c r="W159"/>
  <c r="L13"/>
  <c r="I12"/>
  <c r="I12" i="94" s="1"/>
  <c r="L159" i="93"/>
  <c r="L82" i="94" s="1"/>
  <c r="I160" i="93"/>
  <c r="O12"/>
  <c r="O12" i="94" s="1"/>
  <c r="O183" i="93"/>
  <c r="U160"/>
  <c r="C102" i="94"/>
  <c r="C79"/>
  <c r="J183" i="93"/>
  <c r="P183"/>
  <c r="H23"/>
  <c r="G12"/>
  <c r="G12" i="94" s="1"/>
  <c r="G183" i="93"/>
  <c r="K160"/>
  <c r="V13"/>
  <c r="S12"/>
  <c r="S12" i="94" s="1"/>
  <c r="V159" i="93"/>
  <c r="V82" i="94" s="1"/>
  <c r="S160" i="93"/>
  <c r="R15"/>
  <c r="R15" i="94" s="1"/>
  <c r="O210" i="91"/>
  <c r="L27"/>
  <c r="H28"/>
  <c r="W27"/>
  <c r="W37" s="1"/>
  <c r="H27"/>
  <c r="H186"/>
  <c r="H94" i="92" s="1"/>
  <c r="E187" i="91"/>
  <c r="W186"/>
  <c r="T210"/>
  <c r="N5"/>
  <c r="N11" s="1"/>
  <c r="L14" i="111" s="1"/>
  <c r="N187" i="91"/>
  <c r="Q186"/>
  <c r="Q94" i="92" s="1"/>
  <c r="F210" i="91"/>
  <c r="U210"/>
  <c r="O187"/>
  <c r="I164"/>
  <c r="I5"/>
  <c r="I11" s="1"/>
  <c r="G14" i="111" s="1"/>
  <c r="L186" i="91"/>
  <c r="L94" i="92" s="1"/>
  <c r="I187" i="91"/>
  <c r="E164"/>
  <c r="E5"/>
  <c r="E210"/>
  <c r="W209"/>
  <c r="H209"/>
  <c r="H117" i="92" s="1"/>
  <c r="T187" i="91"/>
  <c r="Q27"/>
  <c r="Q209"/>
  <c r="Q117" i="92" s="1"/>
  <c r="N210" i="91"/>
  <c r="F187"/>
  <c r="E29"/>
  <c r="W19"/>
  <c r="H19"/>
  <c r="H20" i="92" s="1"/>
  <c r="L21" i="95" s="1"/>
  <c r="I29" i="91"/>
  <c r="L19"/>
  <c r="L20" i="92" s="1"/>
  <c r="M21" i="95" s="1"/>
  <c r="Q19" i="91"/>
  <c r="Q20" i="92" s="1"/>
  <c r="O21" i="95" s="1"/>
  <c r="L32" i="91"/>
  <c r="I31"/>
  <c r="L31" s="1"/>
  <c r="W21"/>
  <c r="H21"/>
  <c r="H22" i="92" s="1"/>
  <c r="L23" i="95" s="1"/>
  <c r="H32" i="91"/>
  <c r="E31"/>
  <c r="V186"/>
  <c r="V94" i="92" s="1"/>
  <c r="S187" i="91"/>
  <c r="K210"/>
  <c r="G187"/>
  <c r="P210"/>
  <c r="J210"/>
  <c r="N12"/>
  <c r="N13" i="92" s="1"/>
  <c r="U12" i="91"/>
  <c r="U13" i="92" s="1"/>
  <c r="S12" i="91"/>
  <c r="S13" i="92" s="1"/>
  <c r="O12" i="91"/>
  <c r="O13" i="92" s="1"/>
  <c r="K12" i="91"/>
  <c r="K13" i="92" s="1"/>
  <c r="I12" i="91"/>
  <c r="I13" i="92" s="1"/>
  <c r="T12" i="91"/>
  <c r="T13" i="92" s="1"/>
  <c r="P12" i="91"/>
  <c r="P13" i="92" s="1"/>
  <c r="J12" i="91"/>
  <c r="J13" i="92" s="1"/>
  <c r="F12" i="91"/>
  <c r="F13" i="92" s="1"/>
  <c r="L28" i="91"/>
  <c r="M18"/>
  <c r="F17"/>
  <c r="F18" i="92" s="1"/>
  <c r="F72" s="1"/>
  <c r="M47" i="91"/>
  <c r="R47" s="1"/>
  <c r="L21"/>
  <c r="L22" i="92" s="1"/>
  <c r="M23" i="95" s="1"/>
  <c r="J17" i="91"/>
  <c r="J18" i="92" s="1"/>
  <c r="J72" s="1"/>
  <c r="U187" i="91"/>
  <c r="I210"/>
  <c r="L209"/>
  <c r="L117" i="92" s="1"/>
  <c r="V19" i="91"/>
  <c r="V20" i="92" s="1"/>
  <c r="Q21" i="95" s="1"/>
  <c r="V27" i="91"/>
  <c r="S210"/>
  <c r="V209"/>
  <c r="V117" i="92" s="1"/>
  <c r="K187" i="91"/>
  <c r="G210"/>
  <c r="P5"/>
  <c r="P11" s="1"/>
  <c r="N14" i="111" s="1"/>
  <c r="P187" i="91"/>
  <c r="J187"/>
  <c r="H33"/>
  <c r="M22"/>
  <c r="K17"/>
  <c r="K18" i="92" s="1"/>
  <c r="K72" s="1"/>
  <c r="G17" i="91"/>
  <c r="G18" i="92" s="1"/>
  <c r="G72" s="1"/>
  <c r="M23" i="91"/>
  <c r="L117" i="116" l="1"/>
  <c r="G168"/>
  <c r="W15" i="94"/>
  <c r="K58"/>
  <c r="M15" i="96"/>
  <c r="H58" i="94"/>
  <c r="T35" i="111"/>
  <c r="F43"/>
  <c r="P136" i="93"/>
  <c r="H70" i="94"/>
  <c r="M54" i="96" s="1"/>
  <c r="O54" s="1"/>
  <c r="Q54" s="1"/>
  <c r="S54" s="1"/>
  <c r="P13" i="94"/>
  <c r="W13" s="1"/>
  <c r="BY118" i="9"/>
  <c r="O136" i="93"/>
  <c r="M43" i="111"/>
  <c r="O43" s="1"/>
  <c r="O35"/>
  <c r="G43"/>
  <c r="J43" s="1"/>
  <c r="J35"/>
  <c r="K35" s="1"/>
  <c r="H136" i="93"/>
  <c r="W136"/>
  <c r="L136"/>
  <c r="Q136"/>
  <c r="M20" i="94"/>
  <c r="R20" s="1"/>
  <c r="K43" i="111"/>
  <c r="H31"/>
  <c r="H32" s="1"/>
  <c r="T31"/>
  <c r="T32" s="1"/>
  <c r="I31"/>
  <c r="I32" s="1"/>
  <c r="Q31"/>
  <c r="Q32" s="1"/>
  <c r="B32"/>
  <c r="F31"/>
  <c r="F32" s="1"/>
  <c r="J31"/>
  <c r="N31"/>
  <c r="N32" s="1"/>
  <c r="R31"/>
  <c r="R32" s="1"/>
  <c r="C31"/>
  <c r="C32" s="1"/>
  <c r="G31"/>
  <c r="G32" s="1"/>
  <c r="K31"/>
  <c r="O31"/>
  <c r="O32" s="1"/>
  <c r="S31"/>
  <c r="S32" s="1"/>
  <c r="D31"/>
  <c r="D32" s="1"/>
  <c r="L31"/>
  <c r="L32" s="1"/>
  <c r="P31"/>
  <c r="E31"/>
  <c r="E32" s="1"/>
  <c r="M31"/>
  <c r="M32" s="1"/>
  <c r="U35"/>
  <c r="B39"/>
  <c r="B40" s="1"/>
  <c r="B42" s="1"/>
  <c r="T164" i="91"/>
  <c r="R133" i="93"/>
  <c r="R55" i="94" s="1"/>
  <c r="M55"/>
  <c r="R152" i="91"/>
  <c r="R60" i="92" s="1"/>
  <c r="M60"/>
  <c r="J188" i="91"/>
  <c r="J96" i="92" s="1"/>
  <c r="J95"/>
  <c r="K188" i="91"/>
  <c r="K96" i="92" s="1"/>
  <c r="K95"/>
  <c r="S211" i="91"/>
  <c r="S119" i="92" s="1"/>
  <c r="S118"/>
  <c r="I211" i="91"/>
  <c r="I119" i="92" s="1"/>
  <c r="I118"/>
  <c r="P211" i="91"/>
  <c r="P119" i="92" s="1"/>
  <c r="P118"/>
  <c r="K211" i="91"/>
  <c r="K119" i="92" s="1"/>
  <c r="K118"/>
  <c r="F188" i="91"/>
  <c r="F96" i="92" s="1"/>
  <c r="F95"/>
  <c r="T188" i="91"/>
  <c r="T96" i="92" s="1"/>
  <c r="T95"/>
  <c r="I188" i="91"/>
  <c r="I96" i="92" s="1"/>
  <c r="I95"/>
  <c r="O188" i="91"/>
  <c r="O96" i="92" s="1"/>
  <c r="O95"/>
  <c r="F211" i="91"/>
  <c r="F119" i="92" s="1"/>
  <c r="F118"/>
  <c r="N188" i="91"/>
  <c r="N96" i="92" s="1"/>
  <c r="N95"/>
  <c r="T211" i="91"/>
  <c r="T119" i="92" s="1"/>
  <c r="T118"/>
  <c r="O211" i="91"/>
  <c r="O119" i="92" s="1"/>
  <c r="O118"/>
  <c r="K161" i="93"/>
  <c r="K84" i="94" s="1"/>
  <c r="K83"/>
  <c r="J184" i="93"/>
  <c r="J107" i="94" s="1"/>
  <c r="J106"/>
  <c r="O184" i="93"/>
  <c r="O107" i="94" s="1"/>
  <c r="O106"/>
  <c r="F184" i="93"/>
  <c r="F107" i="94" s="1"/>
  <c r="F106"/>
  <c r="K184" i="93"/>
  <c r="K107" i="94" s="1"/>
  <c r="K106"/>
  <c r="P161" i="93"/>
  <c r="P84" i="94" s="1"/>
  <c r="P83"/>
  <c r="U184" i="93"/>
  <c r="U107" i="94" s="1"/>
  <c r="U106"/>
  <c r="E184" i="93"/>
  <c r="E107" i="94" s="1"/>
  <c r="E106"/>
  <c r="C14" i="98"/>
  <c r="F161" i="93"/>
  <c r="F84" i="94" s="1"/>
  <c r="F83"/>
  <c r="B184" i="91"/>
  <c r="B92" i="92" s="1"/>
  <c r="B91"/>
  <c r="D81" i="94"/>
  <c r="N23" i="95"/>
  <c r="P23" s="1"/>
  <c r="R23" s="1"/>
  <c r="P188" i="91"/>
  <c r="P96" i="92" s="1"/>
  <c r="P95"/>
  <c r="G211" i="91"/>
  <c r="G119" i="92" s="1"/>
  <c r="G118"/>
  <c r="U188" i="91"/>
  <c r="U96" i="92" s="1"/>
  <c r="U95"/>
  <c r="J211" i="91"/>
  <c r="J119" i="92" s="1"/>
  <c r="J118"/>
  <c r="G188" i="91"/>
  <c r="G96" i="92" s="1"/>
  <c r="G95"/>
  <c r="S188" i="91"/>
  <c r="S96" i="92" s="1"/>
  <c r="S95"/>
  <c r="N211" i="91"/>
  <c r="N119" i="92" s="1"/>
  <c r="N118"/>
  <c r="E211" i="91"/>
  <c r="E119" i="92" s="1"/>
  <c r="E118"/>
  <c r="U211" i="91"/>
  <c r="U119" i="92" s="1"/>
  <c r="U118"/>
  <c r="E188" i="91"/>
  <c r="E96" i="92" s="1"/>
  <c r="W96" s="1"/>
  <c r="E95"/>
  <c r="W95" s="1"/>
  <c r="S161" i="93"/>
  <c r="S84" i="94" s="1"/>
  <c r="S83"/>
  <c r="G184" i="93"/>
  <c r="G107" i="94" s="1"/>
  <c r="G106"/>
  <c r="P184" i="93"/>
  <c r="P107" i="94" s="1"/>
  <c r="P106"/>
  <c r="U161" i="93"/>
  <c r="U84" i="94" s="1"/>
  <c r="U83"/>
  <c r="I161" i="93"/>
  <c r="I84" i="94" s="1"/>
  <c r="I83"/>
  <c r="E161" i="93"/>
  <c r="E84" i="94" s="1"/>
  <c r="E83"/>
  <c r="N184" i="93"/>
  <c r="N107" i="94" s="1"/>
  <c r="N106"/>
  <c r="S184" i="93"/>
  <c r="S107" i="94" s="1"/>
  <c r="S106"/>
  <c r="G161" i="93"/>
  <c r="G84" i="94" s="1"/>
  <c r="G83"/>
  <c r="J161" i="93"/>
  <c r="J84" i="94" s="1"/>
  <c r="J83"/>
  <c r="O161" i="93"/>
  <c r="O84" i="94" s="1"/>
  <c r="O83"/>
  <c r="I184" i="93"/>
  <c r="I107" i="94" s="1"/>
  <c r="I106"/>
  <c r="N161" i="93"/>
  <c r="N84" i="94" s="1"/>
  <c r="N83"/>
  <c r="D93" i="92"/>
  <c r="D104" i="94"/>
  <c r="E17" i="98"/>
  <c r="D19"/>
  <c r="E19" s="1"/>
  <c r="N21" i="95"/>
  <c r="P21" s="1"/>
  <c r="R21" s="1"/>
  <c r="L12" i="93"/>
  <c r="L12" i="94" s="1"/>
  <c r="L13"/>
  <c r="Q12" i="93"/>
  <c r="Q12" i="94" s="1"/>
  <c r="Q13"/>
  <c r="R16" i="93"/>
  <c r="R16" i="94" s="1"/>
  <c r="M16"/>
  <c r="C20"/>
  <c r="M21"/>
  <c r="V12" i="93"/>
  <c r="V12" i="94" s="1"/>
  <c r="V13"/>
  <c r="R14" i="93"/>
  <c r="R14" i="94" s="1"/>
  <c r="M14"/>
  <c r="M23"/>
  <c r="W12"/>
  <c r="H32" i="92"/>
  <c r="M32" s="1"/>
  <c r="W20"/>
  <c r="R23" i="91"/>
  <c r="R24" i="92" s="1"/>
  <c r="M24"/>
  <c r="N12"/>
  <c r="BX97" i="9"/>
  <c r="R22" i="91"/>
  <c r="R23" i="92" s="1"/>
  <c r="M23"/>
  <c r="P12"/>
  <c r="BZ97" i="9"/>
  <c r="I12" i="92"/>
  <c r="BS97" i="9"/>
  <c r="P164" i="91"/>
  <c r="P18" i="92"/>
  <c r="U164" i="91"/>
  <c r="U18" i="92"/>
  <c r="M33"/>
  <c r="I21"/>
  <c r="L20" i="91"/>
  <c r="L21" i="92" s="1"/>
  <c r="M22" i="95" s="1"/>
  <c r="I30" i="91"/>
  <c r="J30"/>
  <c r="J21" i="92"/>
  <c r="J31" s="1"/>
  <c r="K30" i="91"/>
  <c r="K21" i="92"/>
  <c r="K31" s="1"/>
  <c r="U21"/>
  <c r="N21"/>
  <c r="Q20" i="91"/>
  <c r="Q21" i="92" s="1"/>
  <c r="O22" i="95" s="1"/>
  <c r="O21" i="92"/>
  <c r="M29"/>
  <c r="N164" i="91"/>
  <c r="T5"/>
  <c r="T11" s="1"/>
  <c r="R14" i="111" s="1"/>
  <c r="J29" i="91"/>
  <c r="K29"/>
  <c r="R18"/>
  <c r="R19" i="92" s="1"/>
  <c r="M19"/>
  <c r="S164" i="91"/>
  <c r="S18" i="92"/>
  <c r="S72" s="1"/>
  <c r="O5" i="91"/>
  <c r="O11" s="1"/>
  <c r="O18" i="92"/>
  <c r="M28"/>
  <c r="R28" s="1"/>
  <c r="C28"/>
  <c r="P21"/>
  <c r="S21"/>
  <c r="V20" i="91"/>
  <c r="V21" i="92" s="1"/>
  <c r="Q22" i="95" s="1"/>
  <c r="F21" i="92"/>
  <c r="F31" s="1"/>
  <c r="F30" i="91"/>
  <c r="F34" s="1"/>
  <c r="F36" s="1"/>
  <c r="G20"/>
  <c r="T21" i="92"/>
  <c r="E31"/>
  <c r="E30"/>
  <c r="K30"/>
  <c r="B206" i="91"/>
  <c r="T6" i="92"/>
  <c r="N6"/>
  <c r="J6"/>
  <c r="F6"/>
  <c r="S6"/>
  <c r="K6"/>
  <c r="I6"/>
  <c r="G6"/>
  <c r="E6"/>
  <c r="C183" i="91"/>
  <c r="C91" i="92" s="1"/>
  <c r="C206" i="91"/>
  <c r="C114" i="92" s="1"/>
  <c r="T13" i="91"/>
  <c r="T14" i="92" s="1"/>
  <c r="O164" i="91"/>
  <c r="O183" s="1"/>
  <c r="O91" i="92" s="1"/>
  <c r="Q17" i="91"/>
  <c r="S5"/>
  <c r="S11" s="1"/>
  <c r="Q14" i="111" s="1"/>
  <c r="V17" i="91"/>
  <c r="W25" i="93"/>
  <c r="B185" i="91"/>
  <c r="B93" i="92" s="1"/>
  <c r="V211" i="91"/>
  <c r="V119" i="92" s="1"/>
  <c r="H17" i="91"/>
  <c r="H18" i="92" s="1"/>
  <c r="U5" i="91"/>
  <c r="U11" s="1"/>
  <c r="P13"/>
  <c r="P14" i="92" s="1"/>
  <c r="M186" i="91"/>
  <c r="C25" i="93"/>
  <c r="B25" s="1"/>
  <c r="M25"/>
  <c r="R25" s="1"/>
  <c r="H161"/>
  <c r="H84" i="94" s="1"/>
  <c r="V160" i="93"/>
  <c r="V83" i="94" s="1"/>
  <c r="M23" i="93"/>
  <c r="C180"/>
  <c r="O102" i="94"/>
  <c r="O79"/>
  <c r="I102"/>
  <c r="I79"/>
  <c r="H160" i="93"/>
  <c r="H83" i="94" s="1"/>
  <c r="W160" i="93"/>
  <c r="M21"/>
  <c r="Q183"/>
  <c r="Q106" i="94" s="1"/>
  <c r="N102"/>
  <c r="N79"/>
  <c r="T79"/>
  <c r="T102"/>
  <c r="V183" i="93"/>
  <c r="V106" i="94" s="1"/>
  <c r="B157" i="93"/>
  <c r="B80" i="94" s="1"/>
  <c r="U102"/>
  <c r="U79"/>
  <c r="L183" i="93"/>
  <c r="L106" i="94" s="1"/>
  <c r="W183" i="93"/>
  <c r="H183"/>
  <c r="H106" i="94" s="1"/>
  <c r="M20" i="93"/>
  <c r="R20" s="1"/>
  <c r="C20"/>
  <c r="E102" i="94"/>
  <c r="E79"/>
  <c r="Q160" i="93"/>
  <c r="Q83" i="94" s="1"/>
  <c r="M159" i="93"/>
  <c r="M182"/>
  <c r="W12"/>
  <c r="S102" i="94"/>
  <c r="S79"/>
  <c r="G102"/>
  <c r="G79"/>
  <c r="C157" i="93"/>
  <c r="L160"/>
  <c r="L83" i="94" s="1"/>
  <c r="K102"/>
  <c r="K79"/>
  <c r="P79"/>
  <c r="P102"/>
  <c r="J102"/>
  <c r="J79"/>
  <c r="B180" i="93"/>
  <c r="B103" i="94" s="1"/>
  <c r="W184" i="93"/>
  <c r="H184"/>
  <c r="H107" i="94" s="1"/>
  <c r="M13" i="93"/>
  <c r="M13" i="94" s="1"/>
  <c r="M58" s="1"/>
  <c r="H12" i="93"/>
  <c r="H12" i="94" s="1"/>
  <c r="F102"/>
  <c r="F79"/>
  <c r="V161" i="93"/>
  <c r="V84" i="94" s="1"/>
  <c r="Q184" i="93"/>
  <c r="Q107" i="94" s="1"/>
  <c r="V184" i="93"/>
  <c r="V107" i="94" s="1"/>
  <c r="L184" i="93"/>
  <c r="L107" i="94" s="1"/>
  <c r="Q161" i="93"/>
  <c r="Q84" i="94" s="1"/>
  <c r="H188" i="91"/>
  <c r="H96" i="92" s="1"/>
  <c r="W188" i="91"/>
  <c r="L211"/>
  <c r="L119" i="92" s="1"/>
  <c r="K164" i="91"/>
  <c r="K5"/>
  <c r="K11" s="1"/>
  <c r="G164"/>
  <c r="G5"/>
  <c r="G11" s="1"/>
  <c r="E14" i="111" s="1"/>
  <c r="O206" i="91"/>
  <c r="O114" i="92" s="1"/>
  <c r="F164" i="91"/>
  <c r="F5"/>
  <c r="F11" s="1"/>
  <c r="V12"/>
  <c r="V13" i="92" s="1"/>
  <c r="Q14" i="95" s="1"/>
  <c r="S13" i="91"/>
  <c r="S14" i="92" s="1"/>
  <c r="V187" i="91"/>
  <c r="V95" i="92" s="1"/>
  <c r="M32" i="91"/>
  <c r="Q210"/>
  <c r="Q118" i="92" s="1"/>
  <c r="W210" i="91"/>
  <c r="H210"/>
  <c r="H118" i="92" s="1"/>
  <c r="E11" i="91"/>
  <c r="C14" i="111" s="1"/>
  <c r="L187" i="91"/>
  <c r="L95" i="92" s="1"/>
  <c r="I14" i="91"/>
  <c r="G22" i="111" s="1"/>
  <c r="N14" i="91"/>
  <c r="L22" i="111" s="1"/>
  <c r="L19" s="1"/>
  <c r="L21" s="1"/>
  <c r="N69" i="91" s="1"/>
  <c r="Q11"/>
  <c r="Q12" i="92" s="1"/>
  <c r="O13" i="95" s="1"/>
  <c r="M27" i="91"/>
  <c r="R27" s="1"/>
  <c r="C27"/>
  <c r="S206"/>
  <c r="S114" i="92" s="1"/>
  <c r="S183" i="91"/>
  <c r="S91" i="92" s="1"/>
  <c r="V164" i="91"/>
  <c r="P14"/>
  <c r="M21"/>
  <c r="M19"/>
  <c r="M209"/>
  <c r="W17"/>
  <c r="W5" s="1"/>
  <c r="T14"/>
  <c r="E34"/>
  <c r="I34"/>
  <c r="M33"/>
  <c r="P183"/>
  <c r="P91" i="92" s="1"/>
  <c r="P206" i="91"/>
  <c r="P114" i="92" s="1"/>
  <c r="V210" i="91"/>
  <c r="V118" i="92" s="1"/>
  <c r="L210" i="91"/>
  <c r="L118" i="92" s="1"/>
  <c r="J164" i="91"/>
  <c r="J5"/>
  <c r="J11" s="1"/>
  <c r="G12"/>
  <c r="G13" i="92" s="1"/>
  <c r="W13" s="1"/>
  <c r="I13" i="91"/>
  <c r="I14" i="92" s="1"/>
  <c r="L12" i="91"/>
  <c r="L13" i="92" s="1"/>
  <c r="M14" i="95" s="1"/>
  <c r="Q12" i="91"/>
  <c r="Q13" i="92" s="1"/>
  <c r="O14" i="95" s="1"/>
  <c r="N13" i="91"/>
  <c r="N14" i="92" s="1"/>
  <c r="H31" i="91"/>
  <c r="H211"/>
  <c r="H119" i="92" s="1"/>
  <c r="H5" i="91"/>
  <c r="E206"/>
  <c r="E114" i="92" s="1"/>
  <c r="E183" i="91"/>
  <c r="E91" i="92" s="1"/>
  <c r="I206" i="91"/>
  <c r="I114" i="92" s="1"/>
  <c r="I183" i="91"/>
  <c r="I91" i="92" s="1"/>
  <c r="U206" i="91"/>
  <c r="U114" i="92" s="1"/>
  <c r="U183" i="91"/>
  <c r="U91" i="92" s="1"/>
  <c r="Q187" i="91"/>
  <c r="N206"/>
  <c r="N114" i="92" s="1"/>
  <c r="N183" i="91"/>
  <c r="N91" i="92" s="1"/>
  <c r="T183" i="91"/>
  <c r="T91" i="92" s="1"/>
  <c r="T206" i="91"/>
  <c r="T114" i="92" s="1"/>
  <c r="H187" i="91"/>
  <c r="H95" i="92" s="1"/>
  <c r="W187" i="91"/>
  <c r="M28"/>
  <c r="O13"/>
  <c r="O14" i="92" s="1"/>
  <c r="V188" i="91"/>
  <c r="V96" i="92" s="1"/>
  <c r="Q211" i="91"/>
  <c r="Q119" i="92" s="1"/>
  <c r="L188" i="91"/>
  <c r="L96" i="92" s="1"/>
  <c r="L17" i="91"/>
  <c r="T117" i="116" l="1"/>
  <c r="N117"/>
  <c r="N168" s="1"/>
  <c r="L168"/>
  <c r="R15" i="96"/>
  <c r="H14" i="98" s="1"/>
  <c r="V58" i="94"/>
  <c r="P15" i="96"/>
  <c r="F14" i="98" s="1"/>
  <c r="Q58" i="94"/>
  <c r="N15" i="96"/>
  <c r="D14" i="98" s="1"/>
  <c r="L58" i="94"/>
  <c r="P58"/>
  <c r="W58" s="1"/>
  <c r="P35" i="111"/>
  <c r="U43"/>
  <c r="P32"/>
  <c r="R70" i="94"/>
  <c r="M70"/>
  <c r="P43" i="111"/>
  <c r="J32"/>
  <c r="J34" s="1"/>
  <c r="M136" i="93"/>
  <c r="R136" s="1"/>
  <c r="W161"/>
  <c r="L161"/>
  <c r="L84" i="94" s="1"/>
  <c r="K32" i="111"/>
  <c r="K34" s="1"/>
  <c r="T39"/>
  <c r="T40" s="1"/>
  <c r="T42" s="1"/>
  <c r="E39"/>
  <c r="E40" s="1"/>
  <c r="E42" s="1"/>
  <c r="G54" i="93" s="1"/>
  <c r="H39" i="111"/>
  <c r="H40" s="1"/>
  <c r="H42" s="1"/>
  <c r="J54" i="93" s="1"/>
  <c r="P39" i="111"/>
  <c r="I39"/>
  <c r="I40" s="1"/>
  <c r="I42" s="1"/>
  <c r="K54" i="93" s="1"/>
  <c r="Q39" i="111"/>
  <c r="Q40" s="1"/>
  <c r="Q42" s="1"/>
  <c r="G39"/>
  <c r="G40" s="1"/>
  <c r="G42" s="1"/>
  <c r="I54" i="93" s="1"/>
  <c r="O39" i="111"/>
  <c r="O40" s="1"/>
  <c r="O42" s="1"/>
  <c r="F39"/>
  <c r="F40" s="1"/>
  <c r="F45" s="1"/>
  <c r="J39"/>
  <c r="J40" s="1"/>
  <c r="J42" s="1"/>
  <c r="N39"/>
  <c r="N40" s="1"/>
  <c r="N42" s="1"/>
  <c r="P54" i="93" s="1"/>
  <c r="R39" i="111"/>
  <c r="R40" s="1"/>
  <c r="R42" s="1"/>
  <c r="T54" i="93" s="1"/>
  <c r="M39" i="111"/>
  <c r="M40" s="1"/>
  <c r="M42" s="1"/>
  <c r="O54" i="93" s="1"/>
  <c r="C39" i="111"/>
  <c r="C40" s="1"/>
  <c r="C42" s="1"/>
  <c r="K39"/>
  <c r="K40" s="1"/>
  <c r="K42" s="1"/>
  <c r="S39"/>
  <c r="S40" s="1"/>
  <c r="S42" s="1"/>
  <c r="U54" i="93" s="1"/>
  <c r="D39" i="111"/>
  <c r="D40" s="1"/>
  <c r="D42" s="1"/>
  <c r="F54" i="93" s="1"/>
  <c r="L39" i="111"/>
  <c r="L40" s="1"/>
  <c r="L42" s="1"/>
  <c r="N54" i="93" s="1"/>
  <c r="P34" i="111"/>
  <c r="M34"/>
  <c r="D34"/>
  <c r="O45"/>
  <c r="O34"/>
  <c r="G34"/>
  <c r="R34"/>
  <c r="R45"/>
  <c r="B34"/>
  <c r="B47" s="1"/>
  <c r="B45"/>
  <c r="I34"/>
  <c r="H34"/>
  <c r="E34"/>
  <c r="L34"/>
  <c r="S34"/>
  <c r="C34"/>
  <c r="N34"/>
  <c r="F34"/>
  <c r="Q34"/>
  <c r="S35" i="93" s="1"/>
  <c r="T34" i="111"/>
  <c r="BT97" i="9"/>
  <c r="H14" i="111"/>
  <c r="CM105" i="9"/>
  <c r="R22" i="111"/>
  <c r="R19" s="1"/>
  <c r="R21" s="1"/>
  <c r="T69" i="91" s="1"/>
  <c r="BZ105" i="9"/>
  <c r="N22" i="111"/>
  <c r="N19" s="1"/>
  <c r="N21" s="1"/>
  <c r="P69" i="91" s="1"/>
  <c r="BU97" i="9"/>
  <c r="I14" i="111"/>
  <c r="BP97" i="9"/>
  <c r="D14" i="111"/>
  <c r="F14" s="1"/>
  <c r="CN97" i="9"/>
  <c r="S14" i="111"/>
  <c r="T14" s="1"/>
  <c r="O14" i="91"/>
  <c r="M14" i="111"/>
  <c r="O14" s="1"/>
  <c r="G19"/>
  <c r="G21" s="1"/>
  <c r="I69" i="91" s="1"/>
  <c r="Q164"/>
  <c r="W211"/>
  <c r="Q188"/>
  <c r="Q96" i="92" s="1"/>
  <c r="K35"/>
  <c r="H9" i="99" s="1"/>
  <c r="V11" i="91"/>
  <c r="V12" i="92" s="1"/>
  <c r="Q13" i="95" s="1"/>
  <c r="Q95" i="92"/>
  <c r="C80" i="94"/>
  <c r="R159" i="93"/>
  <c r="R82" i="94" s="1"/>
  <c r="M82"/>
  <c r="H6" i="92"/>
  <c r="L19" i="95"/>
  <c r="H72" i="92"/>
  <c r="L56" i="95" s="1"/>
  <c r="B207" i="91"/>
  <c r="B115" i="92" s="1"/>
  <c r="B114"/>
  <c r="K37"/>
  <c r="U6"/>
  <c r="U72"/>
  <c r="P6"/>
  <c r="P72"/>
  <c r="W79" i="94"/>
  <c r="W84"/>
  <c r="W119" i="92"/>
  <c r="O15" i="96"/>
  <c r="W106" i="94"/>
  <c r="R209" i="91"/>
  <c r="R117" i="92" s="1"/>
  <c r="M117"/>
  <c r="R182" i="93"/>
  <c r="R105" i="94" s="1"/>
  <c r="M105"/>
  <c r="C103"/>
  <c r="R186" i="91"/>
  <c r="R94" i="92" s="1"/>
  <c r="M94"/>
  <c r="O6"/>
  <c r="O72"/>
  <c r="W102" i="94"/>
  <c r="W83"/>
  <c r="W118" i="92"/>
  <c r="W107" i="94"/>
  <c r="B20"/>
  <c r="C27"/>
  <c r="J30" i="92"/>
  <c r="J35" s="1"/>
  <c r="W18"/>
  <c r="W6" s="1"/>
  <c r="J34" i="91"/>
  <c r="J36" s="1"/>
  <c r="I15" i="92"/>
  <c r="BS105" i="9"/>
  <c r="E12" i="92"/>
  <c r="BO97" i="9"/>
  <c r="V5" i="91"/>
  <c r="V18" i="92"/>
  <c r="S12"/>
  <c r="CC97" i="9"/>
  <c r="G21" i="92"/>
  <c r="G30" i="91"/>
  <c r="G29"/>
  <c r="W20"/>
  <c r="H20"/>
  <c r="B38" i="92"/>
  <c r="C38"/>
  <c r="B28"/>
  <c r="L5" i="91"/>
  <c r="L18" i="92"/>
  <c r="R19" i="91"/>
  <c r="R20" i="92" s="1"/>
  <c r="M20"/>
  <c r="R21" i="91"/>
  <c r="R22" i="92" s="1"/>
  <c r="M22"/>
  <c r="N15"/>
  <c r="BX105" i="9"/>
  <c r="G12" i="92"/>
  <c r="BQ97" i="9"/>
  <c r="Q5" i="91"/>
  <c r="Q18" i="92"/>
  <c r="E35"/>
  <c r="B9" i="99" s="1"/>
  <c r="O12" i="92"/>
  <c r="BY97" i="9"/>
  <c r="T12" i="92"/>
  <c r="CM97" i="9"/>
  <c r="I31" i="92"/>
  <c r="L31" s="1"/>
  <c r="I30"/>
  <c r="S14" i="91"/>
  <c r="F30" i="92"/>
  <c r="F35" s="1"/>
  <c r="K34" i="91"/>
  <c r="K36" s="1"/>
  <c r="L29"/>
  <c r="L30"/>
  <c r="C181" i="93"/>
  <c r="J14" i="91"/>
  <c r="J12" i="92"/>
  <c r="T15" i="91"/>
  <c r="T15" i="92"/>
  <c r="P15" i="91"/>
  <c r="P15" i="92"/>
  <c r="F14" i="91"/>
  <c r="F12" i="92"/>
  <c r="K14" i="91"/>
  <c r="K12" i="92"/>
  <c r="C184" i="91"/>
  <c r="U13"/>
  <c r="U14" i="92" s="1"/>
  <c r="U12"/>
  <c r="O15" i="91"/>
  <c r="O15" i="92"/>
  <c r="C207" i="91"/>
  <c r="M161" i="93"/>
  <c r="M84" i="94" s="1"/>
  <c r="B181" i="93"/>
  <c r="B104" i="94" s="1"/>
  <c r="C158" i="93"/>
  <c r="M211" i="91"/>
  <c r="M119" i="92" s="1"/>
  <c r="H164" i="91"/>
  <c r="F13"/>
  <c r="F14" i="92" s="1"/>
  <c r="L164" i="91"/>
  <c r="G13"/>
  <c r="G14" i="92" s="1"/>
  <c r="U14" i="91"/>
  <c r="B158" i="93"/>
  <c r="B81" i="94" s="1"/>
  <c r="M184" i="93"/>
  <c r="R211" i="91"/>
  <c r="R119" i="92" s="1"/>
  <c r="W164" i="91"/>
  <c r="F180" i="93"/>
  <c r="R13"/>
  <c r="M12"/>
  <c r="J157"/>
  <c r="J80" i="94" s="1"/>
  <c r="P180" i="93"/>
  <c r="K157"/>
  <c r="K80" i="94" s="1"/>
  <c r="G157" i="93"/>
  <c r="G80" i="94" s="1"/>
  <c r="S180" i="93"/>
  <c r="V179"/>
  <c r="V102" i="94" s="1"/>
  <c r="H156" i="93"/>
  <c r="H79" i="94" s="1"/>
  <c r="E157" i="93"/>
  <c r="W156"/>
  <c r="M183"/>
  <c r="M106" i="94" s="1"/>
  <c r="U157" i="93"/>
  <c r="U80" i="94" s="1"/>
  <c r="T157" i="93"/>
  <c r="T80" i="94" s="1"/>
  <c r="N157" i="93"/>
  <c r="Q156"/>
  <c r="Q79" i="94" s="1"/>
  <c r="L156" i="93"/>
  <c r="L79" i="94" s="1"/>
  <c r="I157" i="93"/>
  <c r="O157"/>
  <c r="O80" i="94" s="1"/>
  <c r="F157" i="93"/>
  <c r="F80" i="94" s="1"/>
  <c r="J180" i="93"/>
  <c r="P157"/>
  <c r="P80" i="94" s="1"/>
  <c r="K180" i="93"/>
  <c r="G180"/>
  <c r="V156"/>
  <c r="V79" i="94" s="1"/>
  <c r="S157" i="93"/>
  <c r="E180"/>
  <c r="W179"/>
  <c r="H179"/>
  <c r="H102" i="94" s="1"/>
  <c r="B20" i="93"/>
  <c r="C27"/>
  <c r="U180"/>
  <c r="T180"/>
  <c r="Q179"/>
  <c r="Q102" i="94" s="1"/>
  <c r="N180" i="93"/>
  <c r="M160"/>
  <c r="M83" i="94" s="1"/>
  <c r="I180" i="93"/>
  <c r="L179"/>
  <c r="L102" i="94" s="1"/>
  <c r="O180" i="93"/>
  <c r="T207" i="91"/>
  <c r="Q206"/>
  <c r="Q114" i="92" s="1"/>
  <c r="N207" i="91"/>
  <c r="U184"/>
  <c r="I207"/>
  <c r="E207"/>
  <c r="J206"/>
  <c r="J114" i="92" s="1"/>
  <c r="J183" i="91"/>
  <c r="J91" i="92" s="1"/>
  <c r="P207" i="91"/>
  <c r="E36"/>
  <c r="S207"/>
  <c r="V206"/>
  <c r="V114" i="92" s="1"/>
  <c r="N15" i="91"/>
  <c r="N16" i="92" s="1"/>
  <c r="Q14" i="91"/>
  <c r="Q15" i="92" s="1"/>
  <c r="O16" i="95" s="1"/>
  <c r="I15" i="91"/>
  <c r="I16" i="92" s="1"/>
  <c r="E14" i="91"/>
  <c r="C22" i="111" s="1"/>
  <c r="H11" i="91"/>
  <c r="H12" i="92" s="1"/>
  <c r="L13" i="95" s="1"/>
  <c r="W11" i="91"/>
  <c r="E13"/>
  <c r="E14" i="92" s="1"/>
  <c r="O207" i="91"/>
  <c r="G206"/>
  <c r="G114" i="92" s="1"/>
  <c r="G183" i="91"/>
  <c r="G91" i="92" s="1"/>
  <c r="K206" i="91"/>
  <c r="K114" i="92" s="1"/>
  <c r="K183" i="91"/>
  <c r="Q13"/>
  <c r="Q14" i="92" s="1"/>
  <c r="K13" i="91"/>
  <c r="K14" i="92" s="1"/>
  <c r="H12" i="91"/>
  <c r="H13" i="92" s="1"/>
  <c r="L14" i="95" s="1"/>
  <c r="N14" s="1"/>
  <c r="M187" i="91"/>
  <c r="M95" i="92" s="1"/>
  <c r="T184" i="91"/>
  <c r="N184"/>
  <c r="Q183"/>
  <c r="Q91" i="92" s="1"/>
  <c r="U207" i="91"/>
  <c r="I184"/>
  <c r="E184"/>
  <c r="M31"/>
  <c r="P184"/>
  <c r="I36"/>
  <c r="V183"/>
  <c r="V91" i="92" s="1"/>
  <c r="S184" i="91"/>
  <c r="C37"/>
  <c r="B37"/>
  <c r="B27"/>
  <c r="M210"/>
  <c r="M118" i="92" s="1"/>
  <c r="F206" i="91"/>
  <c r="F114" i="92" s="1"/>
  <c r="F183" i="91"/>
  <c r="F91" i="92" s="1"/>
  <c r="O184" i="91"/>
  <c r="M17"/>
  <c r="M18" i="92" s="1"/>
  <c r="W12" i="91"/>
  <c r="J13"/>
  <c r="J14" i="92" s="1"/>
  <c r="L11" i="91"/>
  <c r="B5"/>
  <c r="V13"/>
  <c r="V14" i="92" s="1"/>
  <c r="G14" i="91"/>
  <c r="M188"/>
  <c r="AB117" i="116" l="1"/>
  <c r="V117"/>
  <c r="V168" s="1"/>
  <c r="T168"/>
  <c r="P40" i="111"/>
  <c r="P42" s="1"/>
  <c r="J47"/>
  <c r="J46" s="1"/>
  <c r="U32"/>
  <c r="L45"/>
  <c r="E45"/>
  <c r="P47"/>
  <c r="M45"/>
  <c r="Q45"/>
  <c r="C45"/>
  <c r="S45"/>
  <c r="J45"/>
  <c r="O47"/>
  <c r="P45"/>
  <c r="T45"/>
  <c r="K47"/>
  <c r="I45"/>
  <c r="T47"/>
  <c r="N45"/>
  <c r="K45"/>
  <c r="H45"/>
  <c r="G45"/>
  <c r="D45"/>
  <c r="O46"/>
  <c r="C47"/>
  <c r="E35" i="93"/>
  <c r="U34" i="111"/>
  <c r="N35" i="93"/>
  <c r="L47" i="111"/>
  <c r="G35" i="93"/>
  <c r="E47" i="111"/>
  <c r="I47"/>
  <c r="K35" i="93"/>
  <c r="T35"/>
  <c r="R47" i="111"/>
  <c r="R46" s="1"/>
  <c r="F35" i="93"/>
  <c r="D47" i="111"/>
  <c r="U40"/>
  <c r="F42"/>
  <c r="F47" s="1"/>
  <c r="B46"/>
  <c r="P35" i="93"/>
  <c r="N47" i="111"/>
  <c r="U35" i="93"/>
  <c r="S47" i="111"/>
  <c r="J35" i="93"/>
  <c r="H47" i="111"/>
  <c r="I35" i="93"/>
  <c r="G47" i="111"/>
  <c r="O35" i="93"/>
  <c r="M47" i="111"/>
  <c r="E54" i="93"/>
  <c r="U42" i="111"/>
  <c r="Q47"/>
  <c r="Q46" s="1"/>
  <c r="S54" i="93"/>
  <c r="C19" i="111"/>
  <c r="C21" s="1"/>
  <c r="S15" i="91"/>
  <c r="S16" i="92" s="1"/>
  <c r="Q22" i="111"/>
  <c r="BY105" i="9"/>
  <c r="M22" i="111"/>
  <c r="BQ105" i="9"/>
  <c r="E22" i="111"/>
  <c r="E19" s="1"/>
  <c r="E21" s="1"/>
  <c r="G69" i="91" s="1"/>
  <c r="CN105" i="9"/>
  <c r="S22" i="111"/>
  <c r="S19" s="1"/>
  <c r="S21" s="1"/>
  <c r="U69" i="91" s="1"/>
  <c r="BU105" i="9"/>
  <c r="I22" i="111"/>
  <c r="I19" s="1"/>
  <c r="I21" s="1"/>
  <c r="K69" i="91" s="1"/>
  <c r="BP105" i="9"/>
  <c r="D22" i="111"/>
  <c r="D19" s="1"/>
  <c r="D21" s="1"/>
  <c r="F69" i="91" s="1"/>
  <c r="BT105" i="9"/>
  <c r="H22" i="111"/>
  <c r="J14"/>
  <c r="K14" s="1"/>
  <c r="P14" s="1"/>
  <c r="L34" i="91"/>
  <c r="L36" s="1"/>
  <c r="B208"/>
  <c r="B116" i="92" s="1"/>
  <c r="W72"/>
  <c r="W114"/>
  <c r="R161" i="93"/>
  <c r="R84" i="94" s="1"/>
  <c r="M6" i="92"/>
  <c r="M72"/>
  <c r="I185" i="91"/>
  <c r="I93" i="92" s="1"/>
  <c r="I92"/>
  <c r="T92"/>
  <c r="P14" i="95"/>
  <c r="L183" i="91"/>
  <c r="L91" i="92" s="1"/>
  <c r="K91"/>
  <c r="W91" s="1"/>
  <c r="O115"/>
  <c r="I208" i="91"/>
  <c r="I116" i="92" s="1"/>
  <c r="I115"/>
  <c r="O103" i="94"/>
  <c r="I181" i="93"/>
  <c r="I104" i="94" s="1"/>
  <c r="I103"/>
  <c r="N181" i="93"/>
  <c r="N104" i="94" s="1"/>
  <c r="N103"/>
  <c r="T103"/>
  <c r="K103"/>
  <c r="J103"/>
  <c r="N158" i="93"/>
  <c r="N81" i="94" s="1"/>
  <c r="N80"/>
  <c r="S181" i="93"/>
  <c r="S104" i="94" s="1"/>
  <c r="S103"/>
  <c r="P103"/>
  <c r="F103"/>
  <c r="R184" i="93"/>
  <c r="R107" i="94" s="1"/>
  <c r="M107"/>
  <c r="C115" i="92"/>
  <c r="F37"/>
  <c r="C9" i="99"/>
  <c r="Q15" i="96"/>
  <c r="E14" i="98"/>
  <c r="R188" i="91"/>
  <c r="R96" i="92" s="1"/>
  <c r="M96"/>
  <c r="O92"/>
  <c r="S185" i="91"/>
  <c r="S93" i="92" s="1"/>
  <c r="S92"/>
  <c r="P92"/>
  <c r="E185" i="91"/>
  <c r="E93" i="92" s="1"/>
  <c r="E92"/>
  <c r="U115"/>
  <c r="N185" i="91"/>
  <c r="N93" i="92" s="1"/>
  <c r="N92"/>
  <c r="S208" i="91"/>
  <c r="S116" i="92" s="1"/>
  <c r="S115"/>
  <c r="P115"/>
  <c r="E208" i="91"/>
  <c r="E116" i="92" s="1"/>
  <c r="E115"/>
  <c r="U92"/>
  <c r="N208" i="91"/>
  <c r="N116" i="92" s="1"/>
  <c r="N115"/>
  <c r="T115"/>
  <c r="U103" i="94"/>
  <c r="E181" i="93"/>
  <c r="E104" i="94" s="1"/>
  <c r="E103"/>
  <c r="S158" i="93"/>
  <c r="S81" i="94" s="1"/>
  <c r="S80"/>
  <c r="G103"/>
  <c r="I158" i="93"/>
  <c r="I81" i="94" s="1"/>
  <c r="I80"/>
  <c r="E158" i="93"/>
  <c r="E81" i="94" s="1"/>
  <c r="E80"/>
  <c r="W80" s="1"/>
  <c r="C81"/>
  <c r="C92" i="92"/>
  <c r="C104" i="94"/>
  <c r="Q6" i="92"/>
  <c r="O19" i="95"/>
  <c r="F13" i="98" s="1"/>
  <c r="Q72" i="92"/>
  <c r="O56" i="95" s="1"/>
  <c r="L6" i="92"/>
  <c r="M19" i="95"/>
  <c r="D13" i="98" s="1"/>
  <c r="L72" i="92"/>
  <c r="M56" i="95" s="1"/>
  <c r="N56" s="1"/>
  <c r="V6" i="92"/>
  <c r="Q19" i="95"/>
  <c r="H13" i="98" s="1"/>
  <c r="V72" i="92"/>
  <c r="Q56" i="95" s="1"/>
  <c r="J37" i="92"/>
  <c r="G9" i="99"/>
  <c r="C13" i="98"/>
  <c r="C12" i="93"/>
  <c r="M12" i="94"/>
  <c r="R12" i="93"/>
  <c r="R12" i="94" s="1"/>
  <c r="R13"/>
  <c r="R58" s="1"/>
  <c r="B27"/>
  <c r="J158" i="93"/>
  <c r="J81" i="94" s="1"/>
  <c r="F181" i="93"/>
  <c r="M164" i="91"/>
  <c r="R164" s="1"/>
  <c r="E15" i="92"/>
  <c r="BO105" i="9"/>
  <c r="L30" i="92"/>
  <c r="I35"/>
  <c r="F9" i="99" s="1"/>
  <c r="M20" i="91"/>
  <c r="H21" i="92"/>
  <c r="L22" i="95" s="1"/>
  <c r="N22" s="1"/>
  <c r="P22" s="1"/>
  <c r="R22" s="1"/>
  <c r="H29" i="91"/>
  <c r="G34"/>
  <c r="G31" i="92"/>
  <c r="G30"/>
  <c r="W21"/>
  <c r="L14" i="91"/>
  <c r="L15" i="92" s="1"/>
  <c r="M16" i="95" s="1"/>
  <c r="C208" i="91"/>
  <c r="C116" i="92" s="1"/>
  <c r="C185" i="91"/>
  <c r="C93" i="92" s="1"/>
  <c r="W12"/>
  <c r="W14" s="1"/>
  <c r="S15"/>
  <c r="CC105" i="9"/>
  <c r="E37" i="92"/>
  <c r="H30" i="91"/>
  <c r="G15"/>
  <c r="G15" i="92"/>
  <c r="L13" i="91"/>
  <c r="L14" i="92" s="1"/>
  <c r="L12"/>
  <c r="M13" i="95" s="1"/>
  <c r="N13" s="1"/>
  <c r="U15" i="91"/>
  <c r="V15" s="1"/>
  <c r="V16" i="92" s="1"/>
  <c r="Q17" i="95" s="1"/>
  <c r="U15" i="92"/>
  <c r="O16" i="91"/>
  <c r="O17" i="92" s="1"/>
  <c r="O16"/>
  <c r="K15" i="91"/>
  <c r="K15" i="92"/>
  <c r="F15" i="91"/>
  <c r="F15" i="92"/>
  <c r="P16" i="91"/>
  <c r="P17" i="92" s="1"/>
  <c r="P16"/>
  <c r="T16" i="91"/>
  <c r="T17" i="92" s="1"/>
  <c r="T16"/>
  <c r="J15" i="91"/>
  <c r="J15" i="92"/>
  <c r="W183" i="91"/>
  <c r="O208"/>
  <c r="O116" i="92" s="1"/>
  <c r="W13" i="91"/>
  <c r="V14"/>
  <c r="V15" i="92" s="1"/>
  <c r="Q16" i="95" s="1"/>
  <c r="O181" i="93"/>
  <c r="O104" i="94" s="1"/>
  <c r="U181" i="93"/>
  <c r="U104" i="94" s="1"/>
  <c r="G181" i="93"/>
  <c r="G104" i="94" s="1"/>
  <c r="K181" i="93"/>
  <c r="K104" i="94" s="1"/>
  <c r="P158" i="93"/>
  <c r="P81" i="94" s="1"/>
  <c r="J181" i="93"/>
  <c r="T181"/>
  <c r="T104" i="94" s="1"/>
  <c r="K158" i="93"/>
  <c r="K81" i="94" s="1"/>
  <c r="H206" i="91"/>
  <c r="H114" i="92" s="1"/>
  <c r="O185" i="91"/>
  <c r="O93" i="92" s="1"/>
  <c r="U208" i="91"/>
  <c r="U116" i="92" s="1"/>
  <c r="L206" i="91"/>
  <c r="L114" i="92" s="1"/>
  <c r="R160" i="93"/>
  <c r="Q180"/>
  <c r="Q103" i="94" s="1"/>
  <c r="B27" i="93"/>
  <c r="W180"/>
  <c r="H180"/>
  <c r="H103" i="94" s="1"/>
  <c r="R183" i="93"/>
  <c r="H157"/>
  <c r="H80" i="94" s="1"/>
  <c r="W157" i="93"/>
  <c r="M179"/>
  <c r="F158"/>
  <c r="O158"/>
  <c r="O81" i="94" s="1"/>
  <c r="T158" i="93"/>
  <c r="T81" i="94" s="1"/>
  <c r="U158" i="93"/>
  <c r="U81" i="94" s="1"/>
  <c r="M156" i="93"/>
  <c r="G158"/>
  <c r="G81" i="94" s="1"/>
  <c r="P181" i="93"/>
  <c r="P104" i="94" s="1"/>
  <c r="L180" i="93"/>
  <c r="L103" i="94" s="1"/>
  <c r="V157" i="93"/>
  <c r="V80" i="94" s="1"/>
  <c r="L157" i="93"/>
  <c r="L80" i="94" s="1"/>
  <c r="Q157" i="93"/>
  <c r="Q80" i="94" s="1"/>
  <c r="V180" i="93"/>
  <c r="V103" i="94" s="1"/>
  <c r="M5" i="91"/>
  <c r="R17"/>
  <c r="F184"/>
  <c r="R187"/>
  <c r="K184"/>
  <c r="G184"/>
  <c r="E15"/>
  <c r="E16" i="92" s="1"/>
  <c r="W14" i="91"/>
  <c r="H14"/>
  <c r="I16"/>
  <c r="I17" i="92" s="1"/>
  <c r="L15" i="91"/>
  <c r="J184"/>
  <c r="P185"/>
  <c r="P93" i="92" s="1"/>
  <c r="H183" i="91"/>
  <c r="T185"/>
  <c r="T93" i="92" s="1"/>
  <c r="P208" i="91"/>
  <c r="P116" i="92" s="1"/>
  <c r="U185" i="91"/>
  <c r="U93" i="92" s="1"/>
  <c r="T208" i="91"/>
  <c r="T116" i="92" s="1"/>
  <c r="F207" i="91"/>
  <c r="R210"/>
  <c r="V184"/>
  <c r="V92" i="92" s="1"/>
  <c r="Q184" i="91"/>
  <c r="Q92" i="92" s="1"/>
  <c r="M12" i="91"/>
  <c r="M13" i="92" s="1"/>
  <c r="H13" i="91"/>
  <c r="H14" i="92" s="1"/>
  <c r="K207" i="91"/>
  <c r="G207"/>
  <c r="N16"/>
  <c r="N17" i="92" s="1"/>
  <c r="Q15" i="91"/>
  <c r="S16"/>
  <c r="S17" i="92" s="1"/>
  <c r="V207" i="91"/>
  <c r="V115" i="92" s="1"/>
  <c r="J207" i="91"/>
  <c r="Q207"/>
  <c r="Q115" i="92" s="1"/>
  <c r="M11" i="91"/>
  <c r="W206"/>
  <c r="AD117" i="116" l="1"/>
  <c r="AD168" s="1"/>
  <c r="AB168"/>
  <c r="D46" i="111"/>
  <c r="L46"/>
  <c r="E46"/>
  <c r="M46"/>
  <c r="G46"/>
  <c r="U45"/>
  <c r="P46"/>
  <c r="H46"/>
  <c r="S46"/>
  <c r="N46"/>
  <c r="I46"/>
  <c r="T46"/>
  <c r="C46"/>
  <c r="K46"/>
  <c r="F46"/>
  <c r="U47"/>
  <c r="F22"/>
  <c r="U14"/>
  <c r="H19"/>
  <c r="H21" s="1"/>
  <c r="J69" i="91" s="1"/>
  <c r="L69" s="1"/>
  <c r="J22" i="111"/>
  <c r="J19" s="1"/>
  <c r="J21" s="1"/>
  <c r="M19"/>
  <c r="M21" s="1"/>
  <c r="O69" i="91" s="1"/>
  <c r="Q69" s="1"/>
  <c r="O22" i="111"/>
  <c r="O19" s="1"/>
  <c r="O21" s="1"/>
  <c r="T22"/>
  <c r="T19" s="1"/>
  <c r="T21" s="1"/>
  <c r="Q19"/>
  <c r="Q21" s="1"/>
  <c r="S69" i="91" s="1"/>
  <c r="V69" s="1"/>
  <c r="E69"/>
  <c r="H69" s="1"/>
  <c r="M69" s="1"/>
  <c r="R69" s="1"/>
  <c r="N19" i="95"/>
  <c r="E13" i="98" s="1"/>
  <c r="P56" i="95"/>
  <c r="R56" s="1"/>
  <c r="L158" i="93"/>
  <c r="L81" i="94" s="1"/>
  <c r="V181" i="93"/>
  <c r="V104" i="94" s="1"/>
  <c r="P13" i="95"/>
  <c r="R13" s="1"/>
  <c r="N15"/>
  <c r="J115" i="92"/>
  <c r="G115"/>
  <c r="R118"/>
  <c r="K92"/>
  <c r="R95"/>
  <c r="F92"/>
  <c r="R106" i="94"/>
  <c r="I9" i="99"/>
  <c r="S15" i="96"/>
  <c r="I14" i="98" s="1"/>
  <c r="G14"/>
  <c r="R14" i="95"/>
  <c r="K115" i="92"/>
  <c r="F115"/>
  <c r="M183" i="91"/>
  <c r="H91" i="92"/>
  <c r="J92"/>
  <c r="G92"/>
  <c r="R156" i="93"/>
  <c r="R79" i="94" s="1"/>
  <c r="M79"/>
  <c r="W158" i="93"/>
  <c r="F81" i="94"/>
  <c r="W81" s="1"/>
  <c r="R179" i="93"/>
  <c r="R102" i="94" s="1"/>
  <c r="M102"/>
  <c r="R83"/>
  <c r="L181" i="93"/>
  <c r="L104" i="94" s="1"/>
  <c r="J104"/>
  <c r="H181" i="93"/>
  <c r="H104" i="94" s="1"/>
  <c r="F104"/>
  <c r="W104" s="1"/>
  <c r="W103"/>
  <c r="B12" i="93"/>
  <c r="B12" i="94" s="1"/>
  <c r="C12"/>
  <c r="Q181" i="93"/>
  <c r="Q104" i="94" s="1"/>
  <c r="W15" i="92"/>
  <c r="R5" i="91"/>
  <c r="R18" i="92"/>
  <c r="M30" i="91"/>
  <c r="H30" i="92"/>
  <c r="G35"/>
  <c r="D9" i="99" s="1"/>
  <c r="M29" i="91"/>
  <c r="R20"/>
  <c r="R21" i="92" s="1"/>
  <c r="M21"/>
  <c r="L207" i="91"/>
  <c r="L115" i="92" s="1"/>
  <c r="M206" i="91"/>
  <c r="H31" i="92"/>
  <c r="G36" i="91"/>
  <c r="H34"/>
  <c r="L35" i="92"/>
  <c r="D16" i="98" s="1"/>
  <c r="I37" i="92"/>
  <c r="R11" i="91"/>
  <c r="R12" i="92" s="1"/>
  <c r="M12"/>
  <c r="L16" i="91"/>
  <c r="L17" i="92" s="1"/>
  <c r="L16"/>
  <c r="M17" i="95" s="1"/>
  <c r="M14" i="91"/>
  <c r="H15" i="92"/>
  <c r="L16" i="95" s="1"/>
  <c r="N16" s="1"/>
  <c r="P16" s="1"/>
  <c r="R16" s="1"/>
  <c r="J16" i="91"/>
  <c r="J17" i="92" s="1"/>
  <c r="J16"/>
  <c r="F16" i="91"/>
  <c r="F17" i="92" s="1"/>
  <c r="F16"/>
  <c r="K16" i="91"/>
  <c r="K17" i="92" s="1"/>
  <c r="K16"/>
  <c r="U16" i="91"/>
  <c r="U17" i="92" s="1"/>
  <c r="U16"/>
  <c r="G16" i="91"/>
  <c r="G17" i="92" s="1"/>
  <c r="G16"/>
  <c r="Q16" i="91"/>
  <c r="Q17" i="92" s="1"/>
  <c r="Q16"/>
  <c r="O17" i="95" s="1"/>
  <c r="W181" i="93"/>
  <c r="Q208" i="91"/>
  <c r="Q116" i="92" s="1"/>
  <c r="V16" i="91"/>
  <c r="V17" i="92" s="1"/>
  <c r="H158" i="93"/>
  <c r="Q158"/>
  <c r="Q81" i="94" s="1"/>
  <c r="M180" i="93"/>
  <c r="V158"/>
  <c r="V81" i="94" s="1"/>
  <c r="V208" i="91"/>
  <c r="V116" i="92" s="1"/>
  <c r="V185" i="91"/>
  <c r="V93" i="92" s="1"/>
  <c r="Q185" i="91"/>
  <c r="Q93" i="92" s="1"/>
  <c r="G185" i="91"/>
  <c r="G93" i="92" s="1"/>
  <c r="K185" i="91"/>
  <c r="K93" i="92" s="1"/>
  <c r="M157" i="93"/>
  <c r="R12" i="91"/>
  <c r="M13"/>
  <c r="M14" i="92" s="1"/>
  <c r="J208" i="91"/>
  <c r="J116" i="92" s="1"/>
  <c r="G208" i="91"/>
  <c r="G116" i="92" s="1"/>
  <c r="K208" i="91"/>
  <c r="K116" i="92" s="1"/>
  <c r="L184" i="91"/>
  <c r="L92" i="92" s="1"/>
  <c r="F208" i="91"/>
  <c r="F116" i="92" s="1"/>
  <c r="H207" i="91"/>
  <c r="W207"/>
  <c r="J185"/>
  <c r="J93" i="92" s="1"/>
  <c r="H184" i="91"/>
  <c r="H92" i="92" s="1"/>
  <c r="F185" i="91"/>
  <c r="F93" i="92" s="1"/>
  <c r="E16" i="91"/>
  <c r="E17" i="92" s="1"/>
  <c r="W15" i="91"/>
  <c r="W16" s="1"/>
  <c r="H15"/>
  <c r="H16" i="92" s="1"/>
  <c r="L17" i="95" s="1"/>
  <c r="N17" s="1"/>
  <c r="W184" i="91"/>
  <c r="P19" i="95" l="1"/>
  <c r="U46" i="111"/>
  <c r="M181" i="93"/>
  <c r="R181" s="1"/>
  <c r="R104" i="94" s="1"/>
  <c r="U21" i="111"/>
  <c r="U22"/>
  <c r="K22"/>
  <c r="F19"/>
  <c r="P15" i="95"/>
  <c r="W92" i="92"/>
  <c r="W115"/>
  <c r="W116"/>
  <c r="W93"/>
  <c r="R15" i="95"/>
  <c r="M207" i="91"/>
  <c r="H115" i="92"/>
  <c r="P17" i="95"/>
  <c r="N18"/>
  <c r="R157" i="93"/>
  <c r="R80" i="94" s="1"/>
  <c r="M80"/>
  <c r="M104"/>
  <c r="M158" i="93"/>
  <c r="M81" i="94" s="1"/>
  <c r="H81"/>
  <c r="E9" i="99"/>
  <c r="J9" s="1"/>
  <c r="R6" i="92"/>
  <c r="R72"/>
  <c r="G13" i="98"/>
  <c r="R19" i="95"/>
  <c r="I13" i="98" s="1"/>
  <c r="R180" i="93"/>
  <c r="R103" i="94" s="1"/>
  <c r="M103"/>
  <c r="L37" i="92"/>
  <c r="R206" i="91"/>
  <c r="R114" i="92" s="1"/>
  <c r="M114"/>
  <c r="R183" i="91"/>
  <c r="R91" i="92" s="1"/>
  <c r="M91"/>
  <c r="R13" i="91"/>
  <c r="R14" i="92" s="1"/>
  <c r="R13"/>
  <c r="G37"/>
  <c r="H35"/>
  <c r="C16" i="98" s="1"/>
  <c r="M30" i="92"/>
  <c r="M34" i="91"/>
  <c r="H36"/>
  <c r="M31" i="92"/>
  <c r="W16"/>
  <c r="W17" s="1"/>
  <c r="R14" i="91"/>
  <c r="R15" i="92" s="1"/>
  <c r="M15"/>
  <c r="M184" i="91"/>
  <c r="L185"/>
  <c r="L93" i="92" s="1"/>
  <c r="H16" i="91"/>
  <c r="H17" i="92" s="1"/>
  <c r="M15" i="91"/>
  <c r="M16" i="92" s="1"/>
  <c r="H185" i="91"/>
  <c r="H93" i="92" s="1"/>
  <c r="W185" i="91"/>
  <c r="W208"/>
  <c r="H208"/>
  <c r="H116" i="92" s="1"/>
  <c r="L208" i="91"/>
  <c r="L116" i="92" s="1"/>
  <c r="R158" i="93" l="1"/>
  <c r="R81" i="94" s="1"/>
  <c r="U19" i="111"/>
  <c r="F21"/>
  <c r="P22"/>
  <c r="P19" s="1"/>
  <c r="P21" s="1"/>
  <c r="K19"/>
  <c r="K21" s="1"/>
  <c r="R17" i="95"/>
  <c r="R18" s="1"/>
  <c r="P18"/>
  <c r="R207" i="91"/>
  <c r="R115" i="92" s="1"/>
  <c r="M115"/>
  <c r="R184" i="91"/>
  <c r="R92" i="92" s="1"/>
  <c r="M92"/>
  <c r="M36" i="91"/>
  <c r="H37" i="92"/>
  <c r="M35"/>
  <c r="E16" i="98" s="1"/>
  <c r="M185" i="91"/>
  <c r="R15"/>
  <c r="M16"/>
  <c r="M17" i="92" s="1"/>
  <c r="M208" i="91"/>
  <c r="R208" l="1"/>
  <c r="R116" i="92" s="1"/>
  <c r="M116"/>
  <c r="R185" i="91"/>
  <c r="R93" i="92" s="1"/>
  <c r="M93"/>
  <c r="M37"/>
  <c r="R16" i="91"/>
  <c r="R17" i="92" s="1"/>
  <c r="R16"/>
  <c r="BN93" i="9" l="1"/>
  <c r="CO93" l="1"/>
  <c r="CM93"/>
  <c r="CB93"/>
  <c r="BZ93"/>
  <c r="BX93"/>
  <c r="BV93"/>
  <c r="BT93"/>
  <c r="BR93"/>
  <c r="BP93"/>
  <c r="CN93"/>
  <c r="CC93"/>
  <c r="CA93"/>
  <c r="BY93"/>
  <c r="BW93"/>
  <c r="BU93"/>
  <c r="BS93"/>
  <c r="BQ93"/>
  <c r="BO93"/>
  <c r="BT124"/>
  <c r="BP124"/>
  <c r="BT120"/>
  <c r="BP120"/>
  <c r="BO119"/>
  <c r="CM119" s="1"/>
  <c r="CN126"/>
  <c r="CM126"/>
  <c r="CC126"/>
  <c r="BZ126"/>
  <c r="BY126"/>
  <c r="BX126"/>
  <c r="BU126"/>
  <c r="BT126"/>
  <c r="BS126"/>
  <c r="BQ126"/>
  <c r="BP126"/>
  <c r="BN126"/>
  <c r="BO111"/>
  <c r="CO105"/>
  <c r="CA105"/>
  <c r="BV105"/>
  <c r="BO98"/>
  <c r="CO97"/>
  <c r="CA97"/>
  <c r="BV97"/>
  <c r="BT91"/>
  <c r="BP91"/>
  <c r="BO90"/>
  <c r="BV126" l="1"/>
  <c r="CO126"/>
  <c r="BR105"/>
  <c r="BW105" s="1"/>
  <c r="CB105" s="1"/>
  <c r="CP118"/>
  <c r="BJ118" s="1"/>
  <c r="CP97"/>
  <c r="BJ97" s="1"/>
  <c r="CM98"/>
  <c r="BX98"/>
  <c r="BT98"/>
  <c r="BP98"/>
  <c r="BO100"/>
  <c r="CN98"/>
  <c r="CC98"/>
  <c r="BY98"/>
  <c r="BU98"/>
  <c r="BS98"/>
  <c r="BQ98"/>
  <c r="BZ98"/>
  <c r="CO94"/>
  <c r="BT103"/>
  <c r="BP103"/>
  <c r="BO113"/>
  <c r="CN111"/>
  <c r="CC111"/>
  <c r="BY111"/>
  <c r="BU111"/>
  <c r="BS111"/>
  <c r="BQ111"/>
  <c r="CM111"/>
  <c r="BZ111"/>
  <c r="BX111"/>
  <c r="BT111"/>
  <c r="BP111"/>
  <c r="BS90"/>
  <c r="CN90"/>
  <c r="BO92"/>
  <c r="BP94"/>
  <c r="BT94"/>
  <c r="BX94"/>
  <c r="BZ94"/>
  <c r="CM94"/>
  <c r="BQ99"/>
  <c r="BU99"/>
  <c r="BX99" s="1"/>
  <c r="BX103" s="1"/>
  <c r="BS103"/>
  <c r="BP90"/>
  <c r="BP92" s="1"/>
  <c r="BT90"/>
  <c r="BT92" s="1"/>
  <c r="BX90"/>
  <c r="BZ90"/>
  <c r="CM90"/>
  <c r="BQ91"/>
  <c r="BR91" s="1"/>
  <c r="BS91"/>
  <c r="BU91"/>
  <c r="BX91" s="1"/>
  <c r="BX95" s="1"/>
  <c r="BO94"/>
  <c r="BQ94"/>
  <c r="BS94"/>
  <c r="BU94"/>
  <c r="BY94"/>
  <c r="CA94"/>
  <c r="CC94"/>
  <c r="CN94"/>
  <c r="BN94"/>
  <c r="BR97"/>
  <c r="BP99"/>
  <c r="BT99"/>
  <c r="BQ103"/>
  <c r="BU103"/>
  <c r="CP105"/>
  <c r="BJ105" s="1"/>
  <c r="CA126"/>
  <c r="BQ90"/>
  <c r="BQ92" s="1"/>
  <c r="BU90"/>
  <c r="BY90"/>
  <c r="CC90"/>
  <c r="BV94"/>
  <c r="BS99"/>
  <c r="BQ112"/>
  <c r="BS112"/>
  <c r="BU112"/>
  <c r="BX112" s="1"/>
  <c r="BX116" s="1"/>
  <c r="BQ116"/>
  <c r="BS116"/>
  <c r="BU116"/>
  <c r="BR118"/>
  <c r="BV118"/>
  <c r="CO118"/>
  <c r="BQ119"/>
  <c r="BS119"/>
  <c r="BU119"/>
  <c r="BY119"/>
  <c r="CC119"/>
  <c r="CN119"/>
  <c r="BO121"/>
  <c r="BO126"/>
  <c r="BP112"/>
  <c r="BT112"/>
  <c r="BP116"/>
  <c r="BT116"/>
  <c r="CA118"/>
  <c r="BP119"/>
  <c r="BP121" s="1"/>
  <c r="BT119"/>
  <c r="BT121" s="1"/>
  <c r="BX119"/>
  <c r="BZ119"/>
  <c r="BQ120"/>
  <c r="BR120" s="1"/>
  <c r="BS120"/>
  <c r="BU120"/>
  <c r="BX120" s="1"/>
  <c r="BX124" s="1"/>
  <c r="BQ124"/>
  <c r="BR124" s="1"/>
  <c r="BS124"/>
  <c r="BU124"/>
  <c r="BR112" l="1"/>
  <c r="BR98"/>
  <c r="BW120"/>
  <c r="BV120"/>
  <c r="BU121"/>
  <c r="BQ121"/>
  <c r="BP113"/>
  <c r="BT113"/>
  <c r="CQ105"/>
  <c r="BW99"/>
  <c r="BQ100"/>
  <c r="BR94"/>
  <c r="BU92"/>
  <c r="BW91"/>
  <c r="BV91"/>
  <c r="CN124"/>
  <c r="CC124"/>
  <c r="BY124"/>
  <c r="CM124"/>
  <c r="BZ124"/>
  <c r="CO119"/>
  <c r="CC99"/>
  <c r="CM99"/>
  <c r="BZ99"/>
  <c r="CN99"/>
  <c r="BY99"/>
  <c r="CB99" s="1"/>
  <c r="CO111"/>
  <c r="CN120"/>
  <c r="CC120"/>
  <c r="BY120"/>
  <c r="BY121" s="1"/>
  <c r="CM120"/>
  <c r="CM121" s="1"/>
  <c r="BZ120"/>
  <c r="BZ121" s="1"/>
  <c r="BX121"/>
  <c r="CA119"/>
  <c r="BR126"/>
  <c r="CP126"/>
  <c r="BJ126" s="1"/>
  <c r="BV119"/>
  <c r="BS121"/>
  <c r="BW118"/>
  <c r="CQ118"/>
  <c r="CO90"/>
  <c r="BW97"/>
  <c r="CB97" s="1"/>
  <c r="CB94" s="1"/>
  <c r="CQ97"/>
  <c r="CN95"/>
  <c r="CN96" s="1"/>
  <c r="CC95"/>
  <c r="BY95"/>
  <c r="BY96" s="1"/>
  <c r="CM95"/>
  <c r="BZ95"/>
  <c r="BZ96" s="1"/>
  <c r="CP94"/>
  <c r="BJ94" s="1"/>
  <c r="CM91"/>
  <c r="CN91"/>
  <c r="CN92" s="1"/>
  <c r="CC91"/>
  <c r="CC92" s="1"/>
  <c r="BY91"/>
  <c r="BZ91"/>
  <c r="CM96"/>
  <c r="BX96"/>
  <c r="BV90"/>
  <c r="BV92" s="1"/>
  <c r="BS92"/>
  <c r="CA111"/>
  <c r="BX113"/>
  <c r="BS113"/>
  <c r="BV111"/>
  <c r="BS100"/>
  <c r="BV98"/>
  <c r="CP119"/>
  <c r="BJ119" s="1"/>
  <c r="CM92"/>
  <c r="BR90"/>
  <c r="BW103"/>
  <c r="BU113"/>
  <c r="CP111"/>
  <c r="BJ111" s="1"/>
  <c r="CP98"/>
  <c r="BJ98" s="1"/>
  <c r="BW124"/>
  <c r="BV124"/>
  <c r="BR119"/>
  <c r="BR116"/>
  <c r="CN121"/>
  <c r="BW116"/>
  <c r="BV116"/>
  <c r="BW112"/>
  <c r="BV112"/>
  <c r="BV99"/>
  <c r="BR99"/>
  <c r="BR100" s="1"/>
  <c r="BV103"/>
  <c r="BR111"/>
  <c r="BR103"/>
  <c r="CP90"/>
  <c r="BJ90" s="1"/>
  <c r="BZ100"/>
  <c r="CN100"/>
  <c r="BT100"/>
  <c r="CM100"/>
  <c r="CM116"/>
  <c r="BZ116"/>
  <c r="CN116"/>
  <c r="CC116"/>
  <c r="BY116"/>
  <c r="CM112"/>
  <c r="CM113" s="1"/>
  <c r="BZ112"/>
  <c r="BZ113" s="1"/>
  <c r="CN112"/>
  <c r="CN113" s="1"/>
  <c r="CC112"/>
  <c r="BY112"/>
  <c r="CB112" s="1"/>
  <c r="CM103"/>
  <c r="BZ103"/>
  <c r="CC103"/>
  <c r="BY103"/>
  <c r="CN103"/>
  <c r="CA103"/>
  <c r="BX92"/>
  <c r="CA90"/>
  <c r="CO98"/>
  <c r="CA98"/>
  <c r="BX100"/>
  <c r="BY92"/>
  <c r="CB120"/>
  <c r="BQ113"/>
  <c r="BU100"/>
  <c r="BP100"/>
  <c r="BY100" l="1"/>
  <c r="BW94"/>
  <c r="CA124"/>
  <c r="CO124"/>
  <c r="CP120"/>
  <c r="BJ120" s="1"/>
  <c r="BV121"/>
  <c r="CO120"/>
  <c r="CO121" s="1"/>
  <c r="CA120"/>
  <c r="CQ120" s="1"/>
  <c r="CO112"/>
  <c r="CO113" s="1"/>
  <c r="CQ94"/>
  <c r="CA95"/>
  <c r="CA96" s="1"/>
  <c r="CP99"/>
  <c r="BJ99" s="1"/>
  <c r="CA99"/>
  <c r="CO99"/>
  <c r="CO100" s="1"/>
  <c r="BV100"/>
  <c r="CB91"/>
  <c r="CO116"/>
  <c r="CO103"/>
  <c r="BW111"/>
  <c r="BR113"/>
  <c r="CQ111"/>
  <c r="BR121"/>
  <c r="CQ119"/>
  <c r="BW119"/>
  <c r="BR92"/>
  <c r="CQ90"/>
  <c r="BW90"/>
  <c r="CP103"/>
  <c r="BJ103" s="1"/>
  <c r="BV113"/>
  <c r="CA91"/>
  <c r="CQ98"/>
  <c r="CP91"/>
  <c r="CA100"/>
  <c r="CC100"/>
  <c r="CA112"/>
  <c r="CA116"/>
  <c r="BY113"/>
  <c r="BZ92"/>
  <c r="CB124"/>
  <c r="CP124"/>
  <c r="BJ124" s="1"/>
  <c r="CP116"/>
  <c r="BJ116" s="1"/>
  <c r="CO91"/>
  <c r="CO92" s="1"/>
  <c r="CO95"/>
  <c r="CO96" s="1"/>
  <c r="BW98"/>
  <c r="CC96"/>
  <c r="CB116"/>
  <c r="CB118"/>
  <c r="CQ126"/>
  <c r="BW126"/>
  <c r="CA121"/>
  <c r="CC113"/>
  <c r="CC121"/>
  <c r="CB103"/>
  <c r="CP112"/>
  <c r="CP100" l="1"/>
  <c r="BJ100" s="1"/>
  <c r="CQ99"/>
  <c r="CP121"/>
  <c r="BJ121" s="1"/>
  <c r="CP113"/>
  <c r="BJ113" s="1"/>
  <c r="BJ112"/>
  <c r="CP92"/>
  <c r="BJ92" s="1"/>
  <c r="BJ91"/>
  <c r="CQ112"/>
  <c r="CQ100"/>
  <c r="CB126"/>
  <c r="CB90"/>
  <c r="CB92" s="1"/>
  <c r="BW92"/>
  <c r="BW113"/>
  <c r="CB111"/>
  <c r="CB113" s="1"/>
  <c r="CA113"/>
  <c r="CQ113" s="1"/>
  <c r="BW100"/>
  <c r="CB98"/>
  <c r="CB100" s="1"/>
  <c r="CB119"/>
  <c r="CB121" s="1"/>
  <c r="BW121"/>
  <c r="CQ91"/>
  <c r="CA92"/>
  <c r="CQ92" s="1"/>
  <c r="CQ121"/>
  <c r="J40" i="90" l="1"/>
  <c r="J33" i="88"/>
  <c r="J35" i="87"/>
  <c r="J34"/>
  <c r="J20"/>
  <c r="J14"/>
  <c r="BX90" i="8" l="1"/>
  <c r="BW90"/>
  <c r="BU46"/>
  <c r="BU50"/>
  <c r="E139" i="93" s="1"/>
  <c r="E138" s="1"/>
  <c r="T139" l="1"/>
  <c r="P139"/>
  <c r="E61" i="94"/>
  <c r="E60" s="1"/>
  <c r="K139" i="93"/>
  <c r="S139"/>
  <c r="S138" s="1"/>
  <c r="F139"/>
  <c r="F138" s="1"/>
  <c r="N139"/>
  <c r="N138" s="1"/>
  <c r="I139"/>
  <c r="I138" s="1"/>
  <c r="O139"/>
  <c r="U139"/>
  <c r="J139"/>
  <c r="BN51" i="19"/>
  <c r="BU90" i="8"/>
  <c r="BU44"/>
  <c r="BX42"/>
  <c r="D46" i="94" s="1"/>
  <c r="BU45" i="8"/>
  <c r="BU35"/>
  <c r="BU32"/>
  <c r="J61" i="94" l="1"/>
  <c r="J138" i="93"/>
  <c r="O61" i="94"/>
  <c r="O138" i="93"/>
  <c r="U61" i="94"/>
  <c r="U138" i="93"/>
  <c r="K61" i="94"/>
  <c r="K138" i="93"/>
  <c r="P61" i="94"/>
  <c r="P138" i="93"/>
  <c r="T61" i="94"/>
  <c r="T138" i="93"/>
  <c r="CI45" i="8"/>
  <c r="CM45"/>
  <c r="G127" i="93"/>
  <c r="CM44" i="8"/>
  <c r="CI44"/>
  <c r="G126" i="93"/>
  <c r="N61" i="94"/>
  <c r="Q139" i="93"/>
  <c r="V139"/>
  <c r="S61" i="94"/>
  <c r="CI90" i="8"/>
  <c r="CM90"/>
  <c r="I61" i="94"/>
  <c r="L139" i="93"/>
  <c r="F61" i="94"/>
  <c r="G139" i="93"/>
  <c r="G138" s="1"/>
  <c r="W138" s="1"/>
  <c r="E108"/>
  <c r="P108" s="1"/>
  <c r="CM35" i="8"/>
  <c r="CI35"/>
  <c r="E93" i="93"/>
  <c r="CM32" i="8"/>
  <c r="CI32"/>
  <c r="BU20"/>
  <c r="T60" i="94" l="1"/>
  <c r="F60"/>
  <c r="I60"/>
  <c r="S60"/>
  <c r="N60"/>
  <c r="P60"/>
  <c r="K60"/>
  <c r="U60"/>
  <c r="O60"/>
  <c r="J60"/>
  <c r="Q61"/>
  <c r="Q138" i="93"/>
  <c r="L61" i="94"/>
  <c r="L138" i="93"/>
  <c r="V61" i="94"/>
  <c r="V138" i="93"/>
  <c r="J108"/>
  <c r="O108"/>
  <c r="F108"/>
  <c r="T108"/>
  <c r="K108"/>
  <c r="G61" i="94"/>
  <c r="W139" i="93"/>
  <c r="G48" i="94"/>
  <c r="P126" i="93"/>
  <c r="U126"/>
  <c r="H126"/>
  <c r="K126"/>
  <c r="G124"/>
  <c r="U108"/>
  <c r="I108"/>
  <c r="L108" s="1"/>
  <c r="N108"/>
  <c r="S108"/>
  <c r="W61" i="94"/>
  <c r="H139" i="93"/>
  <c r="H138" s="1"/>
  <c r="CI20" i="8"/>
  <c r="CM20"/>
  <c r="E56" i="93"/>
  <c r="E35" i="94" s="1"/>
  <c r="G49"/>
  <c r="P127" i="93"/>
  <c r="H127"/>
  <c r="U127"/>
  <c r="K127"/>
  <c r="J93"/>
  <c r="K93"/>
  <c r="T93"/>
  <c r="S93"/>
  <c r="P93"/>
  <c r="O93"/>
  <c r="F93"/>
  <c r="G93" s="1"/>
  <c r="U93"/>
  <c r="I93"/>
  <c r="N93"/>
  <c r="G108"/>
  <c r="Q108"/>
  <c r="BX55" i="8"/>
  <c r="BU18"/>
  <c r="BV64"/>
  <c r="BV59"/>
  <c r="BV58"/>
  <c r="BV57"/>
  <c r="BV56"/>
  <c r="BV43"/>
  <c r="BU9"/>
  <c r="J33" i="86"/>
  <c r="J24" i="85"/>
  <c r="J34"/>
  <c r="J17"/>
  <c r="J16"/>
  <c r="J14"/>
  <c r="BY44" i="7"/>
  <c r="BY45"/>
  <c r="BY47"/>
  <c r="BL20" i="19"/>
  <c r="BL16"/>
  <c r="BY50" i="7"/>
  <c r="CA50" s="1"/>
  <c r="C66" i="92" s="1"/>
  <c r="B66" s="1"/>
  <c r="K14" i="36"/>
  <c r="BY36" i="7"/>
  <c r="BY29"/>
  <c r="BY20"/>
  <c r="BY18"/>
  <c r="BY10"/>
  <c r="CB56"/>
  <c r="BY9"/>
  <c r="V60" i="94" l="1"/>
  <c r="L60"/>
  <c r="Q60"/>
  <c r="G60"/>
  <c r="W60"/>
  <c r="V108" i="93"/>
  <c r="L93"/>
  <c r="W126"/>
  <c r="W127"/>
  <c r="V127"/>
  <c r="V49" i="94" s="1"/>
  <c r="R37" i="96" s="1"/>
  <c r="U49" i="94"/>
  <c r="Q127" i="93"/>
  <c r="Q49" i="94" s="1"/>
  <c r="P37" i="96" s="1"/>
  <c r="P49" i="94"/>
  <c r="T56" i="93"/>
  <c r="T35" i="94" s="1"/>
  <c r="N56" i="93"/>
  <c r="F56"/>
  <c r="G56" s="1"/>
  <c r="S56"/>
  <c r="S35" i="94" s="1"/>
  <c r="K56" i="93"/>
  <c r="K35" i="94" s="1"/>
  <c r="P56" i="93"/>
  <c r="P35" i="94" s="1"/>
  <c r="J56" i="93"/>
  <c r="J35" i="94" s="1"/>
  <c r="U56" i="93"/>
  <c r="U35" i="94" s="1"/>
  <c r="O56" i="93"/>
  <c r="I56"/>
  <c r="H56"/>
  <c r="K48" i="94"/>
  <c r="K124" i="93"/>
  <c r="L126"/>
  <c r="L48" i="94" s="1"/>
  <c r="N36" i="96" s="1"/>
  <c r="V126" i="93"/>
  <c r="V48" i="94" s="1"/>
  <c r="R36" i="96" s="1"/>
  <c r="U48" i="94"/>
  <c r="U124" i="93"/>
  <c r="L127"/>
  <c r="L49" i="94" s="1"/>
  <c r="N37" i="96" s="1"/>
  <c r="K49" i="94"/>
  <c r="H49"/>
  <c r="M37" i="96" s="1"/>
  <c r="O37" s="1"/>
  <c r="M139" i="93"/>
  <c r="M138" s="1"/>
  <c r="H61" i="94"/>
  <c r="H124" i="93"/>
  <c r="G46" i="94"/>
  <c r="H48"/>
  <c r="M36" i="96" s="1"/>
  <c r="M126" i="93"/>
  <c r="Q126"/>
  <c r="Q48" i="94" s="1"/>
  <c r="P36" i="96" s="1"/>
  <c r="P48" i="94"/>
  <c r="W48" s="1"/>
  <c r="P124" i="93"/>
  <c r="N35" i="94"/>
  <c r="O35"/>
  <c r="CR47" i="7"/>
  <c r="G153" i="91"/>
  <c r="CN44" i="7"/>
  <c r="CR44"/>
  <c r="G150" i="91"/>
  <c r="CN45" i="7"/>
  <c r="CR45"/>
  <c r="G151" i="91"/>
  <c r="CA16" i="19"/>
  <c r="CA20"/>
  <c r="Q93" i="93"/>
  <c r="V93"/>
  <c r="CM18" i="8"/>
  <c r="CI18"/>
  <c r="CM9"/>
  <c r="CI9"/>
  <c r="E107" i="91"/>
  <c r="N107" s="1"/>
  <c r="CN29" i="7"/>
  <c r="CR29"/>
  <c r="CR9"/>
  <c r="CN9"/>
  <c r="E46" i="91"/>
  <c r="CR10" i="7"/>
  <c r="CN10"/>
  <c r="CR18"/>
  <c r="CN18"/>
  <c r="E130" i="91"/>
  <c r="J130" s="1"/>
  <c r="CR36" i="7"/>
  <c r="CN36"/>
  <c r="CR50"/>
  <c r="CN50"/>
  <c r="E158" i="91"/>
  <c r="J20" i="85"/>
  <c r="E71" i="91"/>
  <c r="N71" s="1"/>
  <c r="CR20" i="7"/>
  <c r="CN20"/>
  <c r="T107" i="91"/>
  <c r="W108" i="93"/>
  <c r="H108"/>
  <c r="M108" s="1"/>
  <c r="R108" s="1"/>
  <c r="G35" i="94"/>
  <c r="W93" i="93"/>
  <c r="H93"/>
  <c r="CA36" i="7"/>
  <c r="J46" i="91"/>
  <c r="I46"/>
  <c r="O46"/>
  <c r="U46"/>
  <c r="F46"/>
  <c r="N46"/>
  <c r="T46"/>
  <c r="G46"/>
  <c r="K46"/>
  <c r="S46"/>
  <c r="S71"/>
  <c r="P71"/>
  <c r="U71"/>
  <c r="I71"/>
  <c r="BL34" i="19"/>
  <c r="BL33"/>
  <c r="BL24"/>
  <c r="BL21"/>
  <c r="BL9"/>
  <c r="AR44" i="6"/>
  <c r="AS43"/>
  <c r="AR42"/>
  <c r="AR41"/>
  <c r="AR40"/>
  <c r="AR39"/>
  <c r="AS39" s="1"/>
  <c r="AR37"/>
  <c r="AS37" s="1"/>
  <c r="AR36"/>
  <c r="AR35"/>
  <c r="AS35" s="1"/>
  <c r="AR34"/>
  <c r="AR33"/>
  <c r="AS33" s="1"/>
  <c r="AR32"/>
  <c r="AR31"/>
  <c r="AR30"/>
  <c r="AS29"/>
  <c r="AR28"/>
  <c r="AR27"/>
  <c r="AS27" s="1"/>
  <c r="AR26"/>
  <c r="AR24"/>
  <c r="AR22"/>
  <c r="AR21"/>
  <c r="AS21" s="1"/>
  <c r="AR20"/>
  <c r="AS19"/>
  <c r="AR17"/>
  <c r="AR16"/>
  <c r="AR15"/>
  <c r="AR14"/>
  <c r="AR13"/>
  <c r="AR12"/>
  <c r="AR11"/>
  <c r="AS42"/>
  <c r="AS40"/>
  <c r="AS38"/>
  <c r="AS32"/>
  <c r="AS30"/>
  <c r="AS28"/>
  <c r="AS26"/>
  <c r="AS24"/>
  <c r="AS23"/>
  <c r="AS22"/>
  <c r="AS20"/>
  <c r="AS16"/>
  <c r="AS15"/>
  <c r="AS14"/>
  <c r="AS13"/>
  <c r="AS12"/>
  <c r="AS11"/>
  <c r="AS10"/>
  <c r="AS9"/>
  <c r="AR9"/>
  <c r="AQ44" i="5"/>
  <c r="AQ43"/>
  <c r="AR43" s="1"/>
  <c r="AQ42"/>
  <c r="AQ40"/>
  <c r="AQ39"/>
  <c r="AQ38"/>
  <c r="AR38" s="1"/>
  <c r="AQ37"/>
  <c r="AQ36"/>
  <c r="AQ35"/>
  <c r="AR35" s="1"/>
  <c r="AQ34"/>
  <c r="AQ33"/>
  <c r="AR33" s="1"/>
  <c r="AQ32"/>
  <c r="AQ31"/>
  <c r="AR31" s="1"/>
  <c r="AQ29"/>
  <c r="AR29" s="1"/>
  <c r="AQ28"/>
  <c r="AQ27"/>
  <c r="AR27" s="1"/>
  <c r="AQ25"/>
  <c r="AQ23"/>
  <c r="AQ22"/>
  <c r="AQ21"/>
  <c r="AQ20"/>
  <c r="AQ19"/>
  <c r="AQ16"/>
  <c r="AQ15"/>
  <c r="AQ14"/>
  <c r="AQ13"/>
  <c r="AR13" s="1"/>
  <c r="AQ12"/>
  <c r="AQ11"/>
  <c r="AR10"/>
  <c r="AR44"/>
  <c r="AR41"/>
  <c r="AR39"/>
  <c r="AR34"/>
  <c r="AR30"/>
  <c r="AR28"/>
  <c r="AR24"/>
  <c r="AR23"/>
  <c r="AR21"/>
  <c r="AR20"/>
  <c r="AR18"/>
  <c r="AR16"/>
  <c r="AR15"/>
  <c r="AR14"/>
  <c r="AR12"/>
  <c r="AR11"/>
  <c r="AR9"/>
  <c r="AR8"/>
  <c r="AQ8"/>
  <c r="H60" i="94" l="1"/>
  <c r="W49"/>
  <c r="M127" i="93"/>
  <c r="O130" i="91"/>
  <c r="F130"/>
  <c r="O107"/>
  <c r="K130"/>
  <c r="T130"/>
  <c r="P130"/>
  <c r="K107"/>
  <c r="S130"/>
  <c r="N130"/>
  <c r="I130"/>
  <c r="L130" s="1"/>
  <c r="U130"/>
  <c r="I107"/>
  <c r="J107"/>
  <c r="F107"/>
  <c r="U107"/>
  <c r="P107"/>
  <c r="S107"/>
  <c r="V107" s="1"/>
  <c r="O71"/>
  <c r="O46" i="92" s="1"/>
  <c r="J71" i="91"/>
  <c r="G71"/>
  <c r="T71"/>
  <c r="T46" i="92" s="1"/>
  <c r="E46"/>
  <c r="P46" i="91"/>
  <c r="W46" s="1"/>
  <c r="F35" i="94"/>
  <c r="Q37" i="96"/>
  <c r="S37" s="1"/>
  <c r="W124" i="93"/>
  <c r="L56"/>
  <c r="L35" i="94" s="1"/>
  <c r="N23" i="96" s="1"/>
  <c r="R126" i="93"/>
  <c r="R48" i="94" s="1"/>
  <c r="M48"/>
  <c r="H46"/>
  <c r="M34" i="96" s="1"/>
  <c r="M61" i="94"/>
  <c r="M60" s="1"/>
  <c r="R139" i="93"/>
  <c r="I35" i="94"/>
  <c r="O36" i="96"/>
  <c r="Q36" s="1"/>
  <c r="S36" s="1"/>
  <c r="W56" i="93"/>
  <c r="Q124"/>
  <c r="Q46" i="94" s="1"/>
  <c r="P34" i="96" s="1"/>
  <c r="P46" i="94"/>
  <c r="R127" i="93"/>
  <c r="R49" i="94" s="1"/>
  <c r="M49"/>
  <c r="V124" i="93"/>
  <c r="V46" i="94" s="1"/>
  <c r="R34" i="96" s="1"/>
  <c r="U46" i="94"/>
  <c r="L124" i="93"/>
  <c r="L46" i="94" s="1"/>
  <c r="N34" i="96" s="1"/>
  <c r="K46" i="94"/>
  <c r="V56" i="93"/>
  <c r="V35" i="94" s="1"/>
  <c r="R23" i="96" s="1"/>
  <c r="Q56" i="93"/>
  <c r="Q35" i="94" s="1"/>
  <c r="P23" i="96" s="1"/>
  <c r="G58" i="92"/>
  <c r="P150" i="91"/>
  <c r="U150"/>
  <c r="G149"/>
  <c r="H150"/>
  <c r="K150"/>
  <c r="G59" i="92"/>
  <c r="K151" i="91"/>
  <c r="P151"/>
  <c r="H151"/>
  <c r="U151"/>
  <c r="G61" i="92"/>
  <c r="K153" i="91"/>
  <c r="P153"/>
  <c r="H153"/>
  <c r="U153"/>
  <c r="K71"/>
  <c r="K46" i="92" s="1"/>
  <c r="F71" i="91"/>
  <c r="CG9" i="19"/>
  <c r="CA9"/>
  <c r="CA33"/>
  <c r="CK20"/>
  <c r="CK16"/>
  <c r="CJ16"/>
  <c r="CA21"/>
  <c r="CA24"/>
  <c r="CA34"/>
  <c r="CB20"/>
  <c r="CC20"/>
  <c r="CE20" s="1"/>
  <c r="CB16"/>
  <c r="CD16" s="1"/>
  <c r="CC16"/>
  <c r="CE16" s="1"/>
  <c r="N158" i="91"/>
  <c r="E66" i="92"/>
  <c r="J158" i="91"/>
  <c r="J66" i="92" s="1"/>
  <c r="U158" i="91"/>
  <c r="U66" i="92" s="1"/>
  <c r="O158" i="91"/>
  <c r="O66" i="92" s="1"/>
  <c r="I158" i="91"/>
  <c r="P158"/>
  <c r="P66" i="92" s="1"/>
  <c r="F158" i="91"/>
  <c r="S158"/>
  <c r="K158"/>
  <c r="K66" i="92" s="1"/>
  <c r="T158" i="91"/>
  <c r="T66" i="92" s="1"/>
  <c r="V71" i="91"/>
  <c r="H46"/>
  <c r="W71"/>
  <c r="V130"/>
  <c r="Q107"/>
  <c r="S46" i="92"/>
  <c r="V46" i="91"/>
  <c r="N46" i="92"/>
  <c r="U46"/>
  <c r="I46"/>
  <c r="L46" i="91"/>
  <c r="M93" i="93"/>
  <c r="H35" i="94"/>
  <c r="M23" i="96" s="1"/>
  <c r="G130" i="91"/>
  <c r="G107"/>
  <c r="CL37" i="11"/>
  <c r="CL36"/>
  <c r="CK50" i="72"/>
  <c r="BZ58" i="9"/>
  <c r="BX54"/>
  <c r="BX52"/>
  <c r="BX50"/>
  <c r="BN99" s="1"/>
  <c r="BX48"/>
  <c r="H40" i="90"/>
  <c r="H28"/>
  <c r="H27"/>
  <c r="H21"/>
  <c r="H20"/>
  <c r="G40"/>
  <c r="G28"/>
  <c r="G27"/>
  <c r="G21"/>
  <c r="G20"/>
  <c r="F40"/>
  <c r="F28"/>
  <c r="F27"/>
  <c r="F21"/>
  <c r="F20"/>
  <c r="H17" i="87"/>
  <c r="H19" i="90" s="1"/>
  <c r="H16" i="87"/>
  <c r="H18" i="90" s="1"/>
  <c r="H14" i="87"/>
  <c r="H16" i="90" s="1"/>
  <c r="G17" i="87"/>
  <c r="G19" i="90" s="1"/>
  <c r="G14" i="87"/>
  <c r="G16" i="90" s="1"/>
  <c r="F14" i="87"/>
  <c r="F16" i="90" s="1"/>
  <c r="G35" i="87"/>
  <c r="G16"/>
  <c r="G18" i="90" s="1"/>
  <c r="F35" i="87"/>
  <c r="F17"/>
  <c r="F19" i="90" s="1"/>
  <c r="F16" i="87"/>
  <c r="F18" i="90" s="1"/>
  <c r="H23" i="88"/>
  <c r="G33"/>
  <c r="G41" i="90" s="1"/>
  <c r="G23" i="88"/>
  <c r="F33"/>
  <c r="F41" i="90" s="1"/>
  <c r="F23" i="88"/>
  <c r="G46" i="92" l="1"/>
  <c r="L107" i="91"/>
  <c r="W35" i="94"/>
  <c r="R61"/>
  <c r="R60" s="1"/>
  <c r="R138" i="93"/>
  <c r="O23" i="96"/>
  <c r="Q71" i="91"/>
  <c r="H71"/>
  <c r="L71"/>
  <c r="Q130"/>
  <c r="J46" i="92"/>
  <c r="Q46" i="91"/>
  <c r="F46" i="92"/>
  <c r="P46"/>
  <c r="W150" i="91"/>
  <c r="W151"/>
  <c r="W153"/>
  <c r="O34" i="96"/>
  <c r="Q34" s="1"/>
  <c r="S34" s="1"/>
  <c r="W46" i="94"/>
  <c r="Q23" i="96"/>
  <c r="S23" s="1"/>
  <c r="M124" i="93"/>
  <c r="M46" i="94" s="1"/>
  <c r="M56" i="93"/>
  <c r="R56" s="1"/>
  <c r="H61" i="92"/>
  <c r="L45" i="95" s="1"/>
  <c r="L153" i="91"/>
  <c r="L61" i="92" s="1"/>
  <c r="M45" i="95" s="1"/>
  <c r="K61" i="92"/>
  <c r="H59"/>
  <c r="L43" i="95" s="1"/>
  <c r="L151" i="91"/>
  <c r="L59" i="92" s="1"/>
  <c r="M43" i="95" s="1"/>
  <c r="K59" i="92"/>
  <c r="H58"/>
  <c r="L42" i="95" s="1"/>
  <c r="U58" i="92"/>
  <c r="U149" i="91"/>
  <c r="V150"/>
  <c r="V58" i="92" s="1"/>
  <c r="Q42" i="95" s="1"/>
  <c r="U61" i="92"/>
  <c r="V153" i="91"/>
  <c r="V61" i="92" s="1"/>
  <c r="Q45" i="95" s="1"/>
  <c r="Q153" i="91"/>
  <c r="Q61" i="92" s="1"/>
  <c r="O45" i="95" s="1"/>
  <c r="P61" i="92"/>
  <c r="U59"/>
  <c r="V151" i="91"/>
  <c r="V59" i="92" s="1"/>
  <c r="Q43" i="95" s="1"/>
  <c r="Q151" i="91"/>
  <c r="Q59" i="92" s="1"/>
  <c r="O43" i="95" s="1"/>
  <c r="P59" i="92"/>
  <c r="K58"/>
  <c r="K149" i="91"/>
  <c r="L150"/>
  <c r="L58" i="92" s="1"/>
  <c r="M42" i="95" s="1"/>
  <c r="N42" s="1"/>
  <c r="H149" i="91"/>
  <c r="G57" i="92"/>
  <c r="P58"/>
  <c r="P149" i="91"/>
  <c r="Q150"/>
  <c r="Q58" i="92" s="1"/>
  <c r="O42" i="95" s="1"/>
  <c r="W61" i="92"/>
  <c r="CD20" i="19"/>
  <c r="P12" i="85"/>
  <c r="P12" i="87"/>
  <c r="CI34" i="19"/>
  <c r="CH34"/>
  <c r="CI24"/>
  <c r="CH24"/>
  <c r="CI21"/>
  <c r="CH21"/>
  <c r="CI33"/>
  <c r="CH33"/>
  <c r="CI9"/>
  <c r="CH9"/>
  <c r="CB34"/>
  <c r="CC34"/>
  <c r="CB24"/>
  <c r="CC24"/>
  <c r="CC21"/>
  <c r="CB21"/>
  <c r="CJ20"/>
  <c r="K12" i="87"/>
  <c r="K12" i="85"/>
  <c r="CC33" i="19"/>
  <c r="CB33"/>
  <c r="CB9"/>
  <c r="CC9"/>
  <c r="DF36" i="11"/>
  <c r="DF37"/>
  <c r="BZ59" i="9"/>
  <c r="S66" i="92"/>
  <c r="V158" i="91"/>
  <c r="V66" i="92" s="1"/>
  <c r="Q50" i="95" s="1"/>
  <c r="N66" i="92"/>
  <c r="Q158" i="91"/>
  <c r="Q66" i="92" s="1"/>
  <c r="O50" i="95" s="1"/>
  <c r="V46" i="92"/>
  <c r="Q30" i="95" s="1"/>
  <c r="M71" i="91"/>
  <c r="R71" s="1"/>
  <c r="G158"/>
  <c r="H158" s="1"/>
  <c r="F66" i="92"/>
  <c r="I66"/>
  <c r="L158" i="91"/>
  <c r="L66" i="92" s="1"/>
  <c r="M50" i="95" s="1"/>
  <c r="L46" i="92"/>
  <c r="M30" i="95" s="1"/>
  <c r="W46" i="92"/>
  <c r="H107" i="91"/>
  <c r="W130"/>
  <c r="R93" i="93"/>
  <c r="Q46" i="92"/>
  <c r="O30" i="95" s="1"/>
  <c r="H130" i="91"/>
  <c r="M46"/>
  <c r="W107"/>
  <c r="BN95" i="9"/>
  <c r="BN96" s="1"/>
  <c r="BN91"/>
  <c r="BN92" s="1"/>
  <c r="BN116"/>
  <c r="BN112"/>
  <c r="BN113" s="1"/>
  <c r="BN103"/>
  <c r="BN100"/>
  <c r="BN120"/>
  <c r="BN121" s="1"/>
  <c r="BN124"/>
  <c r="H29" i="89"/>
  <c r="H28"/>
  <c r="H27"/>
  <c r="H21"/>
  <c r="H20"/>
  <c r="G29"/>
  <c r="G28"/>
  <c r="G27"/>
  <c r="G21"/>
  <c r="G20"/>
  <c r="F29"/>
  <c r="F28"/>
  <c r="F27"/>
  <c r="F21"/>
  <c r="F20"/>
  <c r="H24" i="85"/>
  <c r="H23" s="1"/>
  <c r="H17"/>
  <c r="H19" i="89" s="1"/>
  <c r="H16" i="85"/>
  <c r="H18" i="89" s="1"/>
  <c r="H14" i="85"/>
  <c r="H16" i="89" s="1"/>
  <c r="G24" i="85"/>
  <c r="G26" i="89" s="1"/>
  <c r="G17" i="85"/>
  <c r="G19" i="89" s="1"/>
  <c r="G34" i="85"/>
  <c r="G39" i="89" s="1"/>
  <c r="G23" i="85"/>
  <c r="G16"/>
  <c r="G18" i="89" s="1"/>
  <c r="G14" i="85"/>
  <c r="G16" i="89" s="1"/>
  <c r="F17" i="85"/>
  <c r="F19" i="89" s="1"/>
  <c r="F34" i="85"/>
  <c r="F39" i="89" s="1"/>
  <c r="F16" i="85"/>
  <c r="F18" i="89" s="1"/>
  <c r="F14" i="85"/>
  <c r="F16" i="89" s="1"/>
  <c r="I16" i="85"/>
  <c r="F24"/>
  <c r="F23" s="1"/>
  <c r="G33" i="86"/>
  <c r="G40" i="89" s="1"/>
  <c r="F33" i="86"/>
  <c r="F40" i="89" s="1"/>
  <c r="H23" i="86"/>
  <c r="G23"/>
  <c r="F23"/>
  <c r="BK41" i="8"/>
  <c r="BN38"/>
  <c r="BK38"/>
  <c r="BK37"/>
  <c r="BN35"/>
  <c r="BK35"/>
  <c r="BK33"/>
  <c r="BN32"/>
  <c r="BK32"/>
  <c r="BN29"/>
  <c r="BK29"/>
  <c r="BN28"/>
  <c r="BK26"/>
  <c r="BN23"/>
  <c r="BK23"/>
  <c r="BK16"/>
  <c r="BN20"/>
  <c r="BK20"/>
  <c r="BK18"/>
  <c r="BL14"/>
  <c r="BO13"/>
  <c r="BN13" s="1"/>
  <c r="BL13"/>
  <c r="BK13" s="1"/>
  <c r="BK10"/>
  <c r="BK9"/>
  <c r="R124" i="93" l="1"/>
  <c r="R46" i="94" s="1"/>
  <c r="M35"/>
  <c r="N45" i="95"/>
  <c r="N43"/>
  <c r="P43" s="1"/>
  <c r="R43" s="1"/>
  <c r="M151" i="91"/>
  <c r="M153"/>
  <c r="R153" s="1"/>
  <c r="R61" i="92" s="1"/>
  <c r="W58"/>
  <c r="R35" i="94"/>
  <c r="P42" i="95"/>
  <c r="R42" s="1"/>
  <c r="W59" i="92"/>
  <c r="P45" i="95"/>
  <c r="R45" s="1"/>
  <c r="P57" i="92"/>
  <c r="Q149" i="91"/>
  <c r="Q57" i="92" s="1"/>
  <c r="O41" i="95" s="1"/>
  <c r="H57" i="92"/>
  <c r="L41" i="95" s="1"/>
  <c r="K57" i="92"/>
  <c r="L149" i="91"/>
  <c r="L57" i="92" s="1"/>
  <c r="M41" i="95" s="1"/>
  <c r="U57" i="92"/>
  <c r="V149" i="91"/>
  <c r="V57" i="92" s="1"/>
  <c r="Q41" i="95" s="1"/>
  <c r="M59" i="92"/>
  <c r="R151" i="91"/>
  <c r="R59" i="92" s="1"/>
  <c r="W149" i="91"/>
  <c r="M150"/>
  <c r="H66" i="92"/>
  <c r="L50" i="95" s="1"/>
  <c r="N50" s="1"/>
  <c r="P50" s="1"/>
  <c r="R50" s="1"/>
  <c r="M158" i="91"/>
  <c r="G66" i="92"/>
  <c r="W66" s="1"/>
  <c r="W158" i="91"/>
  <c r="G25" i="89"/>
  <c r="F26"/>
  <c r="F25" s="1"/>
  <c r="H26"/>
  <c r="H25" s="1"/>
  <c r="R46" i="91"/>
  <c r="M130"/>
  <c r="M107"/>
  <c r="H46" i="92"/>
  <c r="L30" i="95" s="1"/>
  <c r="N30" s="1"/>
  <c r="P30" s="1"/>
  <c r="R30" s="1"/>
  <c r="BO42" i="7"/>
  <c r="BR39"/>
  <c r="BO39"/>
  <c r="BR38"/>
  <c r="BO38"/>
  <c r="BR36"/>
  <c r="BO36"/>
  <c r="BO34"/>
  <c r="BR31"/>
  <c r="BO31"/>
  <c r="BR29"/>
  <c r="BO29"/>
  <c r="BO28"/>
  <c r="BR28"/>
  <c r="BP26"/>
  <c r="BO26" s="1"/>
  <c r="BR24"/>
  <c r="BO24"/>
  <c r="BS23"/>
  <c r="BR23" s="1"/>
  <c r="BP23"/>
  <c r="BO23" s="1"/>
  <c r="BO22"/>
  <c r="BR22"/>
  <c r="BS20"/>
  <c r="BR20" s="1"/>
  <c r="BP20"/>
  <c r="BO20" s="1"/>
  <c r="BP18"/>
  <c r="BO18" s="1"/>
  <c r="BO16"/>
  <c r="BQ56"/>
  <c r="BR13"/>
  <c r="BO13"/>
  <c r="M61" i="92" l="1"/>
  <c r="W57"/>
  <c r="M58"/>
  <c r="R150" i="91"/>
  <c r="R58" i="92" s="1"/>
  <c r="N41" i="95"/>
  <c r="P41" s="1"/>
  <c r="R41" s="1"/>
  <c r="M149" i="91"/>
  <c r="R158"/>
  <c r="R66" i="92" s="1"/>
  <c r="M66"/>
  <c r="R107" i="91"/>
  <c r="R130"/>
  <c r="M46" i="92"/>
  <c r="BR10" i="7"/>
  <c r="BO10"/>
  <c r="BO9"/>
  <c r="BC26" i="19"/>
  <c r="BB26"/>
  <c r="BC15"/>
  <c r="BB15"/>
  <c r="AO54" i="6"/>
  <c r="AO53"/>
  <c r="AO52"/>
  <c r="AO51"/>
  <c r="AP43"/>
  <c r="AP11"/>
  <c r="AO11"/>
  <c r="R46" i="92" l="1"/>
  <c r="M57"/>
  <c r="R149" i="91"/>
  <c r="R57" i="92" s="1"/>
  <c r="AN54" i="5"/>
  <c r="AN53"/>
  <c r="AN52"/>
  <c r="AN51"/>
  <c r="AO30"/>
  <c r="AO41"/>
  <c r="AO13"/>
  <c r="AO10"/>
  <c r="AN10"/>
  <c r="BY34" i="11"/>
  <c r="CA34" s="1"/>
  <c r="BV40"/>
  <c r="BV34" s="1"/>
  <c r="BX35"/>
  <c r="BX34"/>
  <c r="BR65" i="9"/>
  <c r="BS65"/>
  <c r="BQ65" s="1"/>
  <c r="H33" i="88" l="1"/>
  <c r="H41" i="90" s="1"/>
  <c r="H35" i="87"/>
  <c r="AB58" i="3"/>
  <c r="BT56" i="7"/>
  <c r="H34" i="85"/>
  <c r="H39" i="89" s="1"/>
  <c r="H33" i="86"/>
  <c r="H40" i="89" s="1"/>
  <c r="BZ40" i="11"/>
  <c r="AC58" i="3" l="1"/>
  <c r="G34" i="87"/>
  <c r="BV46" i="11"/>
  <c r="BP60" i="9"/>
  <c r="BH41" i="8"/>
  <c r="BH38"/>
  <c r="BH35"/>
  <c r="BH33"/>
  <c r="BH32"/>
  <c r="BH29"/>
  <c r="BH26"/>
  <c r="BH23"/>
  <c r="BH20"/>
  <c r="BH18"/>
  <c r="BH16"/>
  <c r="BI13"/>
  <c r="BH13" s="1"/>
  <c r="BH10"/>
  <c r="BH9"/>
  <c r="BN56" i="7"/>
  <c r="BL42"/>
  <c r="BL39"/>
  <c r="BL38"/>
  <c r="BL36"/>
  <c r="BL34"/>
  <c r="BL31"/>
  <c r="BL29"/>
  <c r="BL28"/>
  <c r="BM26"/>
  <c r="BL26" s="1"/>
  <c r="BL24"/>
  <c r="BM23"/>
  <c r="BL23" s="1"/>
  <c r="BL22"/>
  <c r="BM20"/>
  <c r="BL20" s="1"/>
  <c r="BM18"/>
  <c r="BL18" s="1"/>
  <c r="BL16"/>
  <c r="BL13"/>
  <c r="BL10"/>
  <c r="BL9"/>
  <c r="AZ15" i="19"/>
  <c r="AY15"/>
  <c r="BC14"/>
  <c r="BB14"/>
  <c r="AZ14"/>
  <c r="AY14"/>
  <c r="AN16" i="6"/>
  <c r="AN36"/>
  <c r="AN11"/>
  <c r="H34" i="87" l="1"/>
  <c r="BZ46" i="11"/>
  <c r="BZ42" s="1"/>
  <c r="G38" i="90"/>
  <c r="G39"/>
  <c r="AM31" i="5"/>
  <c r="H38" i="90" l="1"/>
  <c r="H39"/>
  <c r="AM16" i="5"/>
  <c r="AM10"/>
  <c r="CA33" i="17" l="1"/>
  <c r="CA32"/>
  <c r="CA31"/>
  <c r="CA30"/>
  <c r="CA28"/>
  <c r="CA27"/>
  <c r="CA26"/>
  <c r="CA25"/>
  <c r="BR40" i="11"/>
  <c r="BR34" s="1"/>
  <c r="AM11" i="6"/>
  <c r="L10" i="67"/>
  <c r="K10"/>
  <c r="J10"/>
  <c r="I10"/>
  <c r="J8"/>
  <c r="I8"/>
  <c r="J7"/>
  <c r="I7"/>
  <c r="J5"/>
  <c r="I5"/>
  <c r="J6"/>
  <c r="I6"/>
  <c r="L15"/>
  <c r="L8"/>
  <c r="J15"/>
  <c r="K8"/>
  <c r="K15" s="1"/>
  <c r="I15"/>
  <c r="P59" i="90"/>
  <c r="P41"/>
  <c r="P22"/>
  <c r="P21"/>
  <c r="P20"/>
  <c r="P22" i="89"/>
  <c r="P21"/>
  <c r="P20"/>
  <c r="O33" i="86"/>
  <c r="P40" i="89" s="1"/>
  <c r="O40"/>
  <c r="O39"/>
  <c r="O18"/>
  <c r="O16"/>
  <c r="P58" l="1"/>
  <c r="O34" i="85"/>
  <c r="P39" i="89" s="1"/>
  <c r="O24" i="85"/>
  <c r="O23" s="1"/>
  <c r="O16"/>
  <c r="P18" i="89" s="1"/>
  <c r="O14" i="85"/>
  <c r="O26" i="89"/>
  <c r="O25" s="1"/>
  <c r="O33" i="88"/>
  <c r="O16" i="87"/>
  <c r="P18" i="90" s="1"/>
  <c r="O14" i="87"/>
  <c r="P16" i="90" s="1"/>
  <c r="O58"/>
  <c r="O57"/>
  <c r="O41"/>
  <c r="O40"/>
  <c r="P40" s="1"/>
  <c r="O39"/>
  <c r="O18"/>
  <c r="O16"/>
  <c r="O59"/>
  <c r="O35" i="87"/>
  <c r="O23" i="86"/>
  <c r="D166" i="56"/>
  <c r="D155"/>
  <c r="D144"/>
  <c r="D133"/>
  <c r="F165"/>
  <c r="E165"/>
  <c r="D165"/>
  <c r="F154"/>
  <c r="E154"/>
  <c r="D154"/>
  <c r="F143"/>
  <c r="D143"/>
  <c r="F132"/>
  <c r="D132"/>
  <c r="I155"/>
  <c r="S155" s="1"/>
  <c r="S144"/>
  <c r="K132"/>
  <c r="BQ33" i="8"/>
  <c r="BR64"/>
  <c r="BR59"/>
  <c r="BR58"/>
  <c r="BR57"/>
  <c r="BR56"/>
  <c r="BR36"/>
  <c r="BT87"/>
  <c r="BT55"/>
  <c r="BQ48"/>
  <c r="BS48" s="1"/>
  <c r="BQ44"/>
  <c r="BQ43"/>
  <c r="BS43" s="1"/>
  <c r="BQ35"/>
  <c r="BQ32"/>
  <c r="BQ26"/>
  <c r="BQ22"/>
  <c r="BQ20"/>
  <c r="BQ16"/>
  <c r="BQ12"/>
  <c r="BS12" s="1"/>
  <c r="BQ10"/>
  <c r="BU38" i="7"/>
  <c r="BU22"/>
  <c r="BX122"/>
  <c r="BX56"/>
  <c r="BU50"/>
  <c r="BU123" s="1"/>
  <c r="O22" i="89" s="1"/>
  <c r="BR43" i="8" l="1"/>
  <c r="P16" i="89"/>
  <c r="K143" i="56"/>
  <c r="J154"/>
  <c r="D167"/>
  <c r="P132"/>
  <c r="I132"/>
  <c r="N132" s="1"/>
  <c r="D134"/>
  <c r="I143"/>
  <c r="N143" s="1"/>
  <c r="J165"/>
  <c r="D156"/>
  <c r="C154"/>
  <c r="I154"/>
  <c r="K154"/>
  <c r="C165"/>
  <c r="I165"/>
  <c r="N165" s="1"/>
  <c r="K165"/>
  <c r="S166"/>
  <c r="I133"/>
  <c r="D145"/>
  <c r="J18" i="36"/>
  <c r="J13"/>
  <c r="J14" s="1"/>
  <c r="J10"/>
  <c r="J7"/>
  <c r="BU47" i="7"/>
  <c r="BU42"/>
  <c r="BU36"/>
  <c r="BU34"/>
  <c r="BU29"/>
  <c r="BU26"/>
  <c r="BW22"/>
  <c r="BU20"/>
  <c r="BU16"/>
  <c r="BU10"/>
  <c r="BI46" i="19"/>
  <c r="BI45"/>
  <c r="BI44"/>
  <c r="BI43"/>
  <c r="BI42"/>
  <c r="BI33"/>
  <c r="BI23"/>
  <c r="BH46"/>
  <c r="BH45"/>
  <c r="BH44"/>
  <c r="BH43"/>
  <c r="BH42"/>
  <c r="BH33"/>
  <c r="BH23"/>
  <c r="BG13"/>
  <c r="AQ43" i="6"/>
  <c r="AQ42"/>
  <c r="AQ41"/>
  <c r="AQ40"/>
  <c r="AQ39"/>
  <c r="AQ38"/>
  <c r="AQ37"/>
  <c r="AQ35"/>
  <c r="AQ34"/>
  <c r="AQ33"/>
  <c r="AQ32"/>
  <c r="AQ30"/>
  <c r="AQ29"/>
  <c r="AQ28"/>
  <c r="AQ27"/>
  <c r="AQ26"/>
  <c r="AQ24"/>
  <c r="AQ22"/>
  <c r="AQ21"/>
  <c r="AQ19"/>
  <c r="AQ16"/>
  <c r="AQ15"/>
  <c r="AQ14"/>
  <c r="AQ9"/>
  <c r="AQ11"/>
  <c r="AP54" i="5"/>
  <c r="AP53"/>
  <c r="AP52"/>
  <c r="AP51"/>
  <c r="AP44"/>
  <c r="AP43"/>
  <c r="AP41"/>
  <c r="AP39"/>
  <c r="AP38"/>
  <c r="AP35"/>
  <c r="AP34"/>
  <c r="AP33"/>
  <c r="AP32"/>
  <c r="AP31"/>
  <c r="AP30"/>
  <c r="AP29"/>
  <c r="AP28"/>
  <c r="AP27"/>
  <c r="AP24"/>
  <c r="AP23"/>
  <c r="AP21"/>
  <c r="AP20"/>
  <c r="AP18"/>
  <c r="AP16"/>
  <c r="AP15"/>
  <c r="AP14"/>
  <c r="AP13"/>
  <c r="AP8"/>
  <c r="AP10"/>
  <c r="P143" i="56" l="1"/>
  <c r="N154"/>
  <c r="I145"/>
  <c r="N145" s="1"/>
  <c r="N144" s="1"/>
  <c r="O165"/>
  <c r="I156"/>
  <c r="N156" s="1"/>
  <c r="O154"/>
  <c r="I167"/>
  <c r="N167" s="1"/>
  <c r="N166" s="1"/>
  <c r="H165"/>
  <c r="M165" s="1"/>
  <c r="H154"/>
  <c r="P154"/>
  <c r="P165"/>
  <c r="S133"/>
  <c r="I134"/>
  <c r="N134" s="1"/>
  <c r="N133" s="1"/>
  <c r="J25" i="36"/>
  <c r="CG38" i="11"/>
  <c r="CG44"/>
  <c r="CD40"/>
  <c r="AD44" i="3"/>
  <c r="BV58" i="9" s="1"/>
  <c r="AD39" i="3"/>
  <c r="BV56" i="9" s="1"/>
  <c r="BU48" s="1"/>
  <c r="N155" i="56" l="1"/>
  <c r="M154"/>
  <c r="BG24" i="19"/>
  <c r="BG21"/>
  <c r="BD13"/>
  <c r="BF12"/>
  <c r="BA48"/>
  <c r="BA47"/>
  <c r="BA46"/>
  <c r="BA45"/>
  <c r="BA44"/>
  <c r="BA43"/>
  <c r="BA42"/>
  <c r="BA41"/>
  <c r="BA40"/>
  <c r="BA39"/>
  <c r="BA37"/>
  <c r="BA36"/>
  <c r="BA35"/>
  <c r="BA34"/>
  <c r="BA33"/>
  <c r="BA31"/>
  <c r="BA30"/>
  <c r="BA29"/>
  <c r="BA28"/>
  <c r="BA27"/>
  <c r="BA26"/>
  <c r="BA24"/>
  <c r="BA23"/>
  <c r="BA22"/>
  <c r="BA21"/>
  <c r="BA20"/>
  <c r="BA19"/>
  <c r="BA18"/>
  <c r="BA17"/>
  <c r="BA16"/>
  <c r="BA15"/>
  <c r="BA13"/>
  <c r="BC12"/>
  <c r="BC49" s="1"/>
  <c r="BK46" i="8" s="1"/>
  <c r="BB12" i="19"/>
  <c r="BB49" s="1"/>
  <c r="BO48" i="7" s="1"/>
  <c r="BA11" i="19"/>
  <c r="BA10"/>
  <c r="BA14" s="1"/>
  <c r="BA9"/>
  <c r="BA8"/>
  <c r="AX48"/>
  <c r="AX47"/>
  <c r="AX46"/>
  <c r="AX45"/>
  <c r="AX44"/>
  <c r="AX43"/>
  <c r="AX42"/>
  <c r="AX41"/>
  <c r="AX40"/>
  <c r="AX39"/>
  <c r="AX37"/>
  <c r="AX36"/>
  <c r="AX35"/>
  <c r="AX34"/>
  <c r="AX33"/>
  <c r="AX32"/>
  <c r="AX31"/>
  <c r="AX30"/>
  <c r="AX29"/>
  <c r="AX28"/>
  <c r="AX27"/>
  <c r="AX26"/>
  <c r="AX24"/>
  <c r="AX23"/>
  <c r="AX22"/>
  <c r="AX21"/>
  <c r="AX20"/>
  <c r="AX19"/>
  <c r="AX18"/>
  <c r="AX17"/>
  <c r="AX16"/>
  <c r="AX13"/>
  <c r="AZ12"/>
  <c r="AY12"/>
  <c r="AX11"/>
  <c r="AX10"/>
  <c r="AX9"/>
  <c r="AX8"/>
  <c r="AP25" i="6"/>
  <c r="AP18"/>
  <c r="AO25"/>
  <c r="AO18"/>
  <c r="AN25"/>
  <c r="AN18"/>
  <c r="AQ36"/>
  <c r="AQ31"/>
  <c r="AQ20"/>
  <c r="AQ12"/>
  <c r="AO17" i="5"/>
  <c r="AO26"/>
  <c r="AP37"/>
  <c r="AP36"/>
  <c r="AP25"/>
  <c r="AP22"/>
  <c r="AP19"/>
  <c r="AP17"/>
  <c r="AP11"/>
  <c r="AQ9"/>
  <c r="AN26"/>
  <c r="AM26"/>
  <c r="AN17"/>
  <c r="AM17"/>
  <c r="N45" i="68"/>
  <c r="H45"/>
  <c r="F45"/>
  <c r="BH24" i="19" l="1"/>
  <c r="BI24"/>
  <c r="BI21"/>
  <c r="BH21"/>
  <c r="AP45" i="6"/>
  <c r="AX14" i="19"/>
  <c r="AX25"/>
  <c r="BA25"/>
  <c r="BA32"/>
  <c r="BA38"/>
  <c r="AQ60"/>
  <c r="BA12"/>
  <c r="BA49" s="1"/>
  <c r="AZ49"/>
  <c r="BH46" i="8" s="1"/>
  <c r="AX15" i="19"/>
  <c r="AX38"/>
  <c r="AX12"/>
  <c r="AY49"/>
  <c r="BL48" i="7" s="1"/>
  <c r="AR18" i="6"/>
  <c r="AS18" s="1"/>
  <c r="AR25"/>
  <c r="AS25" s="1"/>
  <c r="AQ18"/>
  <c r="AQ25"/>
  <c r="AQ26" i="5"/>
  <c r="AR26" s="1"/>
  <c r="AQ17"/>
  <c r="AR17" s="1"/>
  <c r="AP26"/>
  <c r="AP45" s="1"/>
  <c r="CI33" i="17"/>
  <c r="CE33"/>
  <c r="CI32"/>
  <c r="CE32"/>
  <c r="CI31"/>
  <c r="CE31"/>
  <c r="CI30"/>
  <c r="CE30"/>
  <c r="CJ29"/>
  <c r="CH29"/>
  <c r="CF29"/>
  <c r="CD29"/>
  <c r="CB29"/>
  <c r="CA29" s="1"/>
  <c r="BZ29"/>
  <c r="CE28"/>
  <c r="CE27"/>
  <c r="CE26"/>
  <c r="CE25"/>
  <c r="CJ24"/>
  <c r="CI24" s="1"/>
  <c r="CH24"/>
  <c r="CF24"/>
  <c r="CD24"/>
  <c r="CB24"/>
  <c r="BZ24"/>
  <c r="AC30" i="10"/>
  <c r="AB30"/>
  <c r="BN10" i="8"/>
  <c r="BO10" s="1"/>
  <c r="AC25" i="10"/>
  <c r="AB25"/>
  <c r="BZ43" i="11"/>
  <c r="BX43"/>
  <c r="BV43"/>
  <c r="BT43"/>
  <c r="BX42"/>
  <c r="BV42"/>
  <c r="BT42"/>
  <c r="CB41"/>
  <c r="CB45" s="1"/>
  <c r="BN19" i="8" s="1"/>
  <c r="BN83" s="1"/>
  <c r="BZ41" i="11"/>
  <c r="BX41"/>
  <c r="BX45" s="1"/>
  <c r="BK19" i="8" s="1"/>
  <c r="BV41" i="11"/>
  <c r="BT41"/>
  <c r="CB39"/>
  <c r="BS19" i="7" s="1"/>
  <c r="BR19" s="1"/>
  <c r="BT35" i="11"/>
  <c r="BT34"/>
  <c r="BZ33"/>
  <c r="BX33"/>
  <c r="BV33"/>
  <c r="BT33"/>
  <c r="BR33"/>
  <c r="BZ32"/>
  <c r="BX32"/>
  <c r="BV32"/>
  <c r="BT32"/>
  <c r="BR32"/>
  <c r="BZ31"/>
  <c r="BX31"/>
  <c r="BV31"/>
  <c r="BT31"/>
  <c r="BR31"/>
  <c r="BZ30"/>
  <c r="BX30"/>
  <c r="BV30"/>
  <c r="BT30"/>
  <c r="BR30"/>
  <c r="BZ29"/>
  <c r="BX29"/>
  <c r="BV29"/>
  <c r="BT29"/>
  <c r="BR29"/>
  <c r="BX100" i="8"/>
  <c r="BW100"/>
  <c r="BX97"/>
  <c r="J27" i="88" s="1"/>
  <c r="BX95" i="8"/>
  <c r="BX88"/>
  <c r="BX87"/>
  <c r="BW87"/>
  <c r="J17" i="87" s="1"/>
  <c r="BX86" i="8"/>
  <c r="BX80"/>
  <c r="BT100"/>
  <c r="P24" i="87" s="1"/>
  <c r="P23" s="1"/>
  <c r="BS100" i="8"/>
  <c r="BT88"/>
  <c r="BS88"/>
  <c r="O20" i="87" s="1"/>
  <c r="BQ88" i="8"/>
  <c r="BS86"/>
  <c r="BQ79"/>
  <c r="BT95"/>
  <c r="BP55"/>
  <c r="BP95" s="1"/>
  <c r="BN55"/>
  <c r="BO61"/>
  <c r="BN61" s="1"/>
  <c r="BN97" s="1"/>
  <c r="BN48"/>
  <c r="BO43"/>
  <c r="BN42"/>
  <c r="BN40"/>
  <c r="BO39"/>
  <c r="BO38"/>
  <c r="BN37"/>
  <c r="BO35"/>
  <c r="BP34"/>
  <c r="BO32"/>
  <c r="BN31"/>
  <c r="BO30"/>
  <c r="BO29"/>
  <c r="BN25"/>
  <c r="BN22"/>
  <c r="BN12"/>
  <c r="BP8"/>
  <c r="BM55"/>
  <c r="BL61"/>
  <c r="BK61" s="1"/>
  <c r="BK97" s="1"/>
  <c r="BK48"/>
  <c r="BL43"/>
  <c r="BK42"/>
  <c r="BK85" s="1"/>
  <c r="BL41"/>
  <c r="BK40"/>
  <c r="BL39"/>
  <c r="BL38"/>
  <c r="BL35"/>
  <c r="BM34"/>
  <c r="BK34"/>
  <c r="BL32"/>
  <c r="BK31"/>
  <c r="BL30"/>
  <c r="BL29"/>
  <c r="BK28"/>
  <c r="BK25"/>
  <c r="BK22"/>
  <c r="BK17" s="1"/>
  <c r="BL16"/>
  <c r="BK15"/>
  <c r="BL15"/>
  <c r="BK12"/>
  <c r="BK8" s="1"/>
  <c r="BL10"/>
  <c r="BL9"/>
  <c r="BM8"/>
  <c r="BP100"/>
  <c r="BO100"/>
  <c r="H24" i="87" s="1"/>
  <c r="BN100" i="8"/>
  <c r="BP97"/>
  <c r="BO97"/>
  <c r="H27" i="87" s="1"/>
  <c r="H29" i="90" s="1"/>
  <c r="BP88" i="8"/>
  <c r="BO88"/>
  <c r="H20" i="87" s="1"/>
  <c r="H22" i="90" s="1"/>
  <c r="BN88" i="8"/>
  <c r="BN86"/>
  <c r="BN85"/>
  <c r="BN81"/>
  <c r="BP80"/>
  <c r="BO80"/>
  <c r="BN79"/>
  <c r="BJ55"/>
  <c r="BJ95" s="1"/>
  <c r="BU21" i="7"/>
  <c r="BU30"/>
  <c r="BU37"/>
  <c r="BU61"/>
  <c r="BW20"/>
  <c r="BX20" s="1"/>
  <c r="BW26"/>
  <c r="BW50"/>
  <c r="BS58"/>
  <c r="BR43"/>
  <c r="BR41"/>
  <c r="BR33"/>
  <c r="BR25"/>
  <c r="BS25"/>
  <c r="BS21"/>
  <c r="BT17"/>
  <c r="BR15"/>
  <c r="BR12"/>
  <c r="BP58"/>
  <c r="BO43"/>
  <c r="BO41"/>
  <c r="BO35" s="1"/>
  <c r="BO33"/>
  <c r="BO27" s="1"/>
  <c r="BO25"/>
  <c r="BP25"/>
  <c r="BP21"/>
  <c r="BQ17"/>
  <c r="BO15"/>
  <c r="BO12"/>
  <c r="BM100" i="8"/>
  <c r="BL100"/>
  <c r="G24" i="87" s="1"/>
  <c r="BK100" i="8"/>
  <c r="BM97"/>
  <c r="BM95"/>
  <c r="BM88"/>
  <c r="BL88"/>
  <c r="G20" i="87" s="1"/>
  <c r="G22" i="90" s="1"/>
  <c r="BK88" i="8"/>
  <c r="BK86"/>
  <c r="BK84"/>
  <c r="BK83"/>
  <c r="BK82"/>
  <c r="BK81"/>
  <c r="BM80"/>
  <c r="BL80"/>
  <c r="BK79"/>
  <c r="BK78"/>
  <c r="BJ100"/>
  <c r="BI100"/>
  <c r="F24" i="87" s="1"/>
  <c r="BH100" i="8"/>
  <c r="BJ97"/>
  <c r="BJ88"/>
  <c r="BI88"/>
  <c r="F20" i="87" s="1"/>
  <c r="F22" i="90" s="1"/>
  <c r="BH86" i="8"/>
  <c r="BH84"/>
  <c r="BH82"/>
  <c r="BH81"/>
  <c r="BJ80"/>
  <c r="BI80"/>
  <c r="BH79"/>
  <c r="BH78"/>
  <c r="CJ54" i="72"/>
  <c r="CJ52"/>
  <c r="CJ50"/>
  <c r="CI50" s="1"/>
  <c r="CJ48"/>
  <c r="CK58"/>
  <c r="CK54"/>
  <c r="CK52"/>
  <c r="CH56"/>
  <c r="CH53"/>
  <c r="CH49"/>
  <c r="CG48"/>
  <c r="CE60"/>
  <c r="CD54"/>
  <c r="CE53"/>
  <c r="CD52"/>
  <c r="CD55" s="1"/>
  <c r="CD50"/>
  <c r="CE49"/>
  <c r="CD48"/>
  <c r="CD51" s="1"/>
  <c r="CB60"/>
  <c r="CB54"/>
  <c r="CA54"/>
  <c r="CB53"/>
  <c r="CB52"/>
  <c r="CA52"/>
  <c r="CB50"/>
  <c r="CA50"/>
  <c r="CB49"/>
  <c r="CB48"/>
  <c r="CA48"/>
  <c r="BY54"/>
  <c r="BX54"/>
  <c r="BY53"/>
  <c r="BY52"/>
  <c r="BX52"/>
  <c r="BY50"/>
  <c r="BX50"/>
  <c r="BY49"/>
  <c r="BY48"/>
  <c r="BX48"/>
  <c r="G26" i="90" l="1"/>
  <c r="G25" s="1"/>
  <c r="G23" i="87"/>
  <c r="F23"/>
  <c r="F26" i="90"/>
  <c r="F25" s="1"/>
  <c r="H26"/>
  <c r="H25" s="1"/>
  <c r="H23" i="87"/>
  <c r="BX39" i="11"/>
  <c r="BP19" i="7" s="1"/>
  <c r="BO19" s="1"/>
  <c r="BO17" s="1"/>
  <c r="BT45" i="11"/>
  <c r="BH19" i="8" s="1"/>
  <c r="BH83" s="1"/>
  <c r="AP51" i="6"/>
  <c r="BN16" i="8"/>
  <c r="AP54" i="6"/>
  <c r="BN41" i="8"/>
  <c r="BO41" s="1"/>
  <c r="BO34" s="1"/>
  <c r="AP52" i="6"/>
  <c r="BN26" i="8"/>
  <c r="AP53" i="6"/>
  <c r="BN33" i="8"/>
  <c r="BN27" s="1"/>
  <c r="AC31" i="10"/>
  <c r="BL34" i="8"/>
  <c r="BW54" i="72"/>
  <c r="BO55" i="8"/>
  <c r="BO46" s="1"/>
  <c r="O22" i="90"/>
  <c r="O23"/>
  <c r="CK59" i="72"/>
  <c r="CI54"/>
  <c r="CK55"/>
  <c r="CI52"/>
  <c r="CJ51"/>
  <c r="BO40" i="8"/>
  <c r="BL40"/>
  <c r="BL31"/>
  <c r="BK27"/>
  <c r="BK49" s="1"/>
  <c r="BL8"/>
  <c r="BO8" i="7"/>
  <c r="BO51" s="1"/>
  <c r="BO59" s="1"/>
  <c r="BC50" i="19"/>
  <c r="CE62" i="72"/>
  <c r="CB62"/>
  <c r="CA55"/>
  <c r="CA51"/>
  <c r="AQ45" i="6"/>
  <c r="AQ50" s="1"/>
  <c r="BQ41" i="8" s="1"/>
  <c r="BQ84" s="1"/>
  <c r="AX49" i="19"/>
  <c r="AZ50" s="1"/>
  <c r="BB50"/>
  <c r="AR45" i="6"/>
  <c r="AS45" s="1"/>
  <c r="AP46" i="5"/>
  <c r="AP50"/>
  <c r="AP49"/>
  <c r="AP48"/>
  <c r="AP47"/>
  <c r="AQ45"/>
  <c r="AR45" s="1"/>
  <c r="CI29" i="17"/>
  <c r="CI37" s="1"/>
  <c r="CE24"/>
  <c r="CE29"/>
  <c r="CA35"/>
  <c r="CE35"/>
  <c r="CI35"/>
  <c r="CA24"/>
  <c r="CE36"/>
  <c r="AD30" i="10"/>
  <c r="AD25"/>
  <c r="AB31"/>
  <c r="BT39" i="11"/>
  <c r="BM19" i="7" s="1"/>
  <c r="BL19" s="1"/>
  <c r="BX51" i="72"/>
  <c r="BX55"/>
  <c r="CB51"/>
  <c r="BW48"/>
  <c r="BY51"/>
  <c r="BW51" s="1"/>
  <c r="BW50"/>
  <c r="BW52"/>
  <c r="BY55"/>
  <c r="BZ50"/>
  <c r="CB55"/>
  <c r="BZ55" s="1"/>
  <c r="BO31" i="8"/>
  <c r="BN80"/>
  <c r="BN95"/>
  <c r="BK80"/>
  <c r="BK89" s="1"/>
  <c r="BL97"/>
  <c r="G27" i="87" s="1"/>
  <c r="G29" i="90" s="1"/>
  <c r="CJ55" i="72"/>
  <c r="CI55" s="1"/>
  <c r="CH57"/>
  <c r="CE61"/>
  <c r="CB61"/>
  <c r="BZ48"/>
  <c r="BZ52"/>
  <c r="BZ54"/>
  <c r="BW62" i="9"/>
  <c r="BW61"/>
  <c r="BY55"/>
  <c r="BY51"/>
  <c r="BP61"/>
  <c r="BP62"/>
  <c r="BP55"/>
  <c r="BO55"/>
  <c r="BN54"/>
  <c r="CP54" s="1"/>
  <c r="CB17" i="8" s="1"/>
  <c r="BN52" i="9"/>
  <c r="CP52" s="1"/>
  <c r="BP51"/>
  <c r="BO51"/>
  <c r="BN50"/>
  <c r="CP50" s="1"/>
  <c r="BN48"/>
  <c r="CP48" s="1"/>
  <c r="BM55"/>
  <c r="BL55"/>
  <c r="BK54"/>
  <c r="BK52"/>
  <c r="BM51"/>
  <c r="BL51"/>
  <c r="BK50"/>
  <c r="BK48"/>
  <c r="BU54" i="72"/>
  <c r="BV54"/>
  <c r="BV53"/>
  <c r="BU52"/>
  <c r="BV52"/>
  <c r="BU50"/>
  <c r="BV50"/>
  <c r="BV49"/>
  <c r="BV48"/>
  <c r="BU48"/>
  <c r="BU51" s="1"/>
  <c r="BU65" i="8"/>
  <c r="BQ65"/>
  <c r="BW88"/>
  <c r="BU47"/>
  <c r="BW43"/>
  <c r="C47" i="94" s="1"/>
  <c r="B47" s="1"/>
  <c r="BS41" i="8"/>
  <c r="BS35"/>
  <c r="BW32"/>
  <c r="BS16"/>
  <c r="BU12"/>
  <c r="E38" i="93" s="1"/>
  <c r="BG46" i="8"/>
  <c r="BI61"/>
  <c r="BH48"/>
  <c r="BH88" s="1"/>
  <c r="BI43"/>
  <c r="BH42"/>
  <c r="BH85" s="1"/>
  <c r="BI41"/>
  <c r="BI39"/>
  <c r="BI38"/>
  <c r="BH40"/>
  <c r="BH37"/>
  <c r="BH34" s="1"/>
  <c r="BI35"/>
  <c r="BJ34"/>
  <c r="BI32"/>
  <c r="BI30"/>
  <c r="BI29"/>
  <c r="BH31"/>
  <c r="BH28"/>
  <c r="BH25"/>
  <c r="BH22"/>
  <c r="BI16"/>
  <c r="BI14"/>
  <c r="BI15" s="1"/>
  <c r="BH12"/>
  <c r="BI10"/>
  <c r="BI9"/>
  <c r="BJ8"/>
  <c r="AE58" i="3"/>
  <c r="AE53"/>
  <c r="E143" i="56" s="1"/>
  <c r="AE44" i="3"/>
  <c r="AE39"/>
  <c r="AD53"/>
  <c r="AC53"/>
  <c r="AB53"/>
  <c r="AB49" s="1"/>
  <c r="AC49"/>
  <c r="AC45"/>
  <c r="CE58" i="72" s="1"/>
  <c r="CE59" s="1"/>
  <c r="AB45" i="3"/>
  <c r="AC44"/>
  <c r="AD43"/>
  <c r="AC39"/>
  <c r="AB39"/>
  <c r="AA53"/>
  <c r="AA49" s="1"/>
  <c r="AA39"/>
  <c r="D11"/>
  <c r="G11"/>
  <c r="AA11"/>
  <c r="G12"/>
  <c r="D14"/>
  <c r="G14"/>
  <c r="B16"/>
  <c r="B13" s="1"/>
  <c r="C16"/>
  <c r="C13" s="1"/>
  <c r="E16"/>
  <c r="E13" s="1"/>
  <c r="F16"/>
  <c r="F13" s="1"/>
  <c r="H16"/>
  <c r="H13" s="1"/>
  <c r="J16"/>
  <c r="J13" s="1"/>
  <c r="K16"/>
  <c r="K13" s="1"/>
  <c r="K10" s="1"/>
  <c r="K28" s="1"/>
  <c r="AA16"/>
  <c r="AA13" s="1"/>
  <c r="D18"/>
  <c r="G18"/>
  <c r="D19"/>
  <c r="G19"/>
  <c r="D20"/>
  <c r="G20"/>
  <c r="B22"/>
  <c r="C22"/>
  <c r="E22"/>
  <c r="F22"/>
  <c r="H22"/>
  <c r="J22"/>
  <c r="K22"/>
  <c r="D24"/>
  <c r="G24"/>
  <c r="D25"/>
  <c r="G25"/>
  <c r="D26"/>
  <c r="G26"/>
  <c r="AA26"/>
  <c r="AA22" s="1"/>
  <c r="D27"/>
  <c r="G27"/>
  <c r="AD58"/>
  <c r="BX129" i="7"/>
  <c r="BK55" i="8"/>
  <c r="AA58" i="3"/>
  <c r="BQ129" i="7"/>
  <c r="BN129"/>
  <c r="AA45" i="3"/>
  <c r="BM58" i="9" s="1"/>
  <c r="BY58" i="72" s="1"/>
  <c r="BY59" s="1"/>
  <c r="CB134" i="7"/>
  <c r="BX134"/>
  <c r="BW134"/>
  <c r="CB131"/>
  <c r="CB123"/>
  <c r="BX123"/>
  <c r="BW123"/>
  <c r="O20" i="85" s="1"/>
  <c r="O20" i="86" s="1"/>
  <c r="CB122" i="7"/>
  <c r="CA122"/>
  <c r="BU119"/>
  <c r="CB118"/>
  <c r="BX118"/>
  <c r="CB115"/>
  <c r="BU114"/>
  <c r="CA134"/>
  <c r="CA123"/>
  <c r="BY49"/>
  <c r="BY37"/>
  <c r="BY30"/>
  <c r="BY114"/>
  <c r="BY21"/>
  <c r="CA20"/>
  <c r="BT134"/>
  <c r="BS134"/>
  <c r="BR134"/>
  <c r="BQ134"/>
  <c r="BP134"/>
  <c r="BO134"/>
  <c r="BN134"/>
  <c r="BM134"/>
  <c r="BL134"/>
  <c r="BT131"/>
  <c r="BS131"/>
  <c r="BR131"/>
  <c r="BQ131"/>
  <c r="BP131"/>
  <c r="BO131"/>
  <c r="BN131"/>
  <c r="BL131"/>
  <c r="BT123"/>
  <c r="BS123"/>
  <c r="H20" i="85" s="1"/>
  <c r="H22" i="89" s="1"/>
  <c r="BR123" i="7"/>
  <c r="BQ123"/>
  <c r="BP123"/>
  <c r="G20" i="85" s="1"/>
  <c r="G22" i="89" s="1"/>
  <c r="BO123" i="7"/>
  <c r="BN123"/>
  <c r="BM123"/>
  <c r="F20" i="85" s="1"/>
  <c r="F22" i="89" s="1"/>
  <c r="BL123" i="7"/>
  <c r="BO121"/>
  <c r="BL121"/>
  <c r="BR120"/>
  <c r="BO120"/>
  <c r="BO119"/>
  <c r="BL119"/>
  <c r="BT118"/>
  <c r="BS118"/>
  <c r="BR118"/>
  <c r="BQ118"/>
  <c r="BP118"/>
  <c r="BO118"/>
  <c r="BN118"/>
  <c r="BR117"/>
  <c r="BO117"/>
  <c r="BL117"/>
  <c r="BR116"/>
  <c r="BO116"/>
  <c r="BL116"/>
  <c r="BT115"/>
  <c r="BS115"/>
  <c r="BR115"/>
  <c r="BQ115"/>
  <c r="BP115"/>
  <c r="BO115"/>
  <c r="BN115"/>
  <c r="BM115"/>
  <c r="BR114"/>
  <c r="BO114"/>
  <c r="BL114"/>
  <c r="BM58"/>
  <c r="BM131" s="1"/>
  <c r="BL43"/>
  <c r="BL120" s="1"/>
  <c r="BL41"/>
  <c r="BL35" s="1"/>
  <c r="BL33"/>
  <c r="BL27" s="1"/>
  <c r="BL25"/>
  <c r="BM25"/>
  <c r="BM21"/>
  <c r="BN17"/>
  <c r="BL12"/>
  <c r="BL115" s="1"/>
  <c r="BO113"/>
  <c r="BL113"/>
  <c r="AK15" i="19"/>
  <c r="AL15"/>
  <c r="AK32"/>
  <c r="E33" i="88"/>
  <c r="D33"/>
  <c r="E19"/>
  <c r="E18"/>
  <c r="D19"/>
  <c r="D18"/>
  <c r="E35" i="87"/>
  <c r="E17"/>
  <c r="E17" i="88" s="1"/>
  <c r="D17" i="87"/>
  <c r="D17" i="88" s="1"/>
  <c r="E16" i="87"/>
  <c r="D16"/>
  <c r="E14"/>
  <c r="D14"/>
  <c r="E40" i="90"/>
  <c r="AL61" i="8"/>
  <c r="F71" i="56"/>
  <c r="E18" i="90"/>
  <c r="D18"/>
  <c r="E16"/>
  <c r="D16"/>
  <c r="D46" i="87"/>
  <c r="D59" i="90"/>
  <c r="BH17" i="8" l="1"/>
  <c r="BH61"/>
  <c r="BH97" s="1"/>
  <c r="BI97"/>
  <c r="F27" i="87" s="1"/>
  <c r="F29" i="90" s="1"/>
  <c r="BU100" i="8"/>
  <c r="P38" i="93"/>
  <c r="J38"/>
  <c r="U38"/>
  <c r="O38"/>
  <c r="I38"/>
  <c r="T38"/>
  <c r="N38"/>
  <c r="F38"/>
  <c r="G38" s="1"/>
  <c r="S38"/>
  <c r="K38"/>
  <c r="CI47" i="8"/>
  <c r="CM47"/>
  <c r="E134" i="93"/>
  <c r="BQ100" i="8"/>
  <c r="CR49" i="7"/>
  <c r="CN49"/>
  <c r="E162" i="91"/>
  <c r="BP17" i="7"/>
  <c r="BZ51" i="72"/>
  <c r="BU55"/>
  <c r="BT54"/>
  <c r="CN114" i="7"/>
  <c r="CR114"/>
  <c r="BO23" i="8"/>
  <c r="BP23" s="1"/>
  <c r="BP81" s="1"/>
  <c r="BO95"/>
  <c r="BO19"/>
  <c r="BP19" s="1"/>
  <c r="BP83" s="1"/>
  <c r="AR54" i="6"/>
  <c r="AY54"/>
  <c r="AW54"/>
  <c r="AW50" s="1"/>
  <c r="AR53"/>
  <c r="AS53" s="1"/>
  <c r="AY53"/>
  <c r="AW53"/>
  <c r="AW49" s="1"/>
  <c r="CH33" i="8" s="1"/>
  <c r="AR52" i="6"/>
  <c r="AS52" s="1"/>
  <c r="AY52"/>
  <c r="AW52"/>
  <c r="AW48" s="1"/>
  <c r="CH26" i="8" s="1"/>
  <c r="AR51" i="6"/>
  <c r="AS51" s="1"/>
  <c r="AY51"/>
  <c r="AW51"/>
  <c r="AW47" s="1"/>
  <c r="CH16" i="8" s="1"/>
  <c r="BO33"/>
  <c r="BP33" s="1"/>
  <c r="BP27" s="1"/>
  <c r="BN34"/>
  <c r="AX49" i="6"/>
  <c r="CL33" i="8" s="1"/>
  <c r="AX48" i="6"/>
  <c r="CL26" i="8" s="1"/>
  <c r="BO16"/>
  <c r="BN84"/>
  <c r="O23" i="89"/>
  <c r="BO20" i="8"/>
  <c r="BO24"/>
  <c r="BO26"/>
  <c r="BO84" s="1"/>
  <c r="BO44"/>
  <c r="BO45"/>
  <c r="BP45" s="1"/>
  <c r="BR9" i="7"/>
  <c r="CE48" i="72"/>
  <c r="BN9" i="8"/>
  <c r="CE52" i="72"/>
  <c r="BV51"/>
  <c r="BT51" s="1"/>
  <c r="BT50"/>
  <c r="BV55"/>
  <c r="BT55" s="1"/>
  <c r="BN55" i="9"/>
  <c r="CP55" s="1"/>
  <c r="BS18" i="7"/>
  <c r="CE50" i="72"/>
  <c r="CC50" s="1"/>
  <c r="BN18" i="8"/>
  <c r="CE54" i="72"/>
  <c r="CC54" s="1"/>
  <c r="BH55" i="8"/>
  <c r="BH95" s="1"/>
  <c r="F34" i="87"/>
  <c r="BR46" i="11"/>
  <c r="BM60" i="9"/>
  <c r="AB43" i="3"/>
  <c r="BP56" i="9"/>
  <c r="H33" i="85"/>
  <c r="BS56" i="7"/>
  <c r="BS129" s="1"/>
  <c r="O38" i="90"/>
  <c r="B154" i="56"/>
  <c r="BQ55" i="8"/>
  <c r="BQ95" s="1"/>
  <c r="O34" i="87"/>
  <c r="CD46" i="11"/>
  <c r="F33" i="85"/>
  <c r="BM56" i="7"/>
  <c r="BM14" s="1"/>
  <c r="AC43" i="3"/>
  <c r="G33" i="85"/>
  <c r="BP56" i="7"/>
  <c r="AD49" i="3"/>
  <c r="E132" i="56"/>
  <c r="B165"/>
  <c r="G165" s="1"/>
  <c r="L165" s="1"/>
  <c r="BW55" i="8"/>
  <c r="BZ60" i="9"/>
  <c r="AC47" i="3"/>
  <c r="AC48" s="1"/>
  <c r="BM59" i="9"/>
  <c r="AA43" i="3"/>
  <c r="BM56" i="9"/>
  <c r="AB44" i="3"/>
  <c r="AB47" s="1"/>
  <c r="AB48" s="1"/>
  <c r="BP58" i="9"/>
  <c r="AE43" i="3"/>
  <c r="BZ56" i="9"/>
  <c r="E16" i="88"/>
  <c r="BU87" i="8"/>
  <c r="BY122" i="7"/>
  <c r="C143" i="56"/>
  <c r="J143"/>
  <c r="O143" s="1"/>
  <c r="AE49" i="3"/>
  <c r="BO124" i="7"/>
  <c r="AD31" i="10"/>
  <c r="BK95" i="8"/>
  <c r="BK96" s="1"/>
  <c r="BL55"/>
  <c r="BI34"/>
  <c r="BH80"/>
  <c r="BH27"/>
  <c r="BH89"/>
  <c r="BH98" s="1"/>
  <c r="BH101" s="1"/>
  <c r="AY50" i="19"/>
  <c r="CA37" i="17"/>
  <c r="BK55" i="9"/>
  <c r="BK51"/>
  <c r="BU42" i="8"/>
  <c r="BU48"/>
  <c r="AQ46" i="6"/>
  <c r="AQ49"/>
  <c r="AQ48"/>
  <c r="AQ47"/>
  <c r="CC58" i="9"/>
  <c r="BV60"/>
  <c r="CH58" i="72"/>
  <c r="AD48" i="3"/>
  <c r="BW86" i="8"/>
  <c r="BU86"/>
  <c r="AR46" i="6"/>
  <c r="AS46" s="1"/>
  <c r="AR50"/>
  <c r="AR49"/>
  <c r="AR48"/>
  <c r="AR47"/>
  <c r="AQ46" i="5"/>
  <c r="AR46" s="1"/>
  <c r="CE37" i="17"/>
  <c r="CI36"/>
  <c r="CA36"/>
  <c r="BW10" i="8"/>
  <c r="BU79"/>
  <c r="BT52" i="72"/>
  <c r="BW55"/>
  <c r="BT48"/>
  <c r="BO25" i="8"/>
  <c r="BP24"/>
  <c r="BP26"/>
  <c r="BP84" s="1"/>
  <c r="BP44"/>
  <c r="BP46"/>
  <c r="BP86" s="1"/>
  <c r="BO86"/>
  <c r="BO81"/>
  <c r="BK98"/>
  <c r="BK101" s="1"/>
  <c r="BK66"/>
  <c r="BK67" s="1"/>
  <c r="BK62"/>
  <c r="BK63"/>
  <c r="BK60"/>
  <c r="BI40"/>
  <c r="CO39" s="1"/>
  <c r="BI31"/>
  <c r="BY61" i="7"/>
  <c r="BU134"/>
  <c r="BN51" i="9"/>
  <c r="CP51" s="1"/>
  <c r="BW57"/>
  <c r="CK48" i="72"/>
  <c r="CB48" i="9"/>
  <c r="BI8" i="8"/>
  <c r="BM62" i="9"/>
  <c r="E14" i="88"/>
  <c r="BS10" i="8"/>
  <c r="BS32"/>
  <c r="BW35"/>
  <c r="C35" i="94" s="1"/>
  <c r="B35" s="1"/>
  <c r="BS55" i="8"/>
  <c r="BH15"/>
  <c r="BH8" s="1"/>
  <c r="B10" i="3"/>
  <c r="B15"/>
  <c r="G22"/>
  <c r="D22"/>
  <c r="J10"/>
  <c r="J28" s="1"/>
  <c r="J15"/>
  <c r="H10"/>
  <c r="H28" s="1"/>
  <c r="H15"/>
  <c r="E10"/>
  <c r="E15"/>
  <c r="AA10"/>
  <c r="AA28" s="1"/>
  <c r="AA15"/>
  <c r="F10"/>
  <c r="G13"/>
  <c r="F15"/>
  <c r="C10"/>
  <c r="D13"/>
  <c r="C15"/>
  <c r="G16"/>
  <c r="D16"/>
  <c r="K15"/>
  <c r="AA44"/>
  <c r="AA47" s="1"/>
  <c r="AA48" s="1"/>
  <c r="BM10" i="7"/>
  <c r="BN10" s="1"/>
  <c r="CB129"/>
  <c r="BM9"/>
  <c r="BM113" s="1"/>
  <c r="F12" i="85" s="1"/>
  <c r="BP129" i="7"/>
  <c r="BL56"/>
  <c r="BM29" s="1"/>
  <c r="D14" i="88"/>
  <c r="D16"/>
  <c r="CB20" i="7"/>
  <c r="BO132"/>
  <c r="BL15"/>
  <c r="BL8" s="1"/>
  <c r="BM16"/>
  <c r="BM44"/>
  <c r="BM46"/>
  <c r="BN46" s="1"/>
  <c r="D54" i="90"/>
  <c r="E33" i="86"/>
  <c r="E23"/>
  <c r="E34" i="85"/>
  <c r="E27"/>
  <c r="E16"/>
  <c r="E14"/>
  <c r="E24"/>
  <c r="E23" s="1"/>
  <c r="E40" i="89"/>
  <c r="E39"/>
  <c r="E25"/>
  <c r="E18"/>
  <c r="E16"/>
  <c r="AM48" i="6"/>
  <c r="AM16"/>
  <c r="AM36"/>
  <c r="AM25" s="1"/>
  <c r="AM18"/>
  <c r="AM13"/>
  <c r="AL48" i="5"/>
  <c r="AL31"/>
  <c r="AL16"/>
  <c r="CN33" i="8" l="1"/>
  <c r="CO33" s="1"/>
  <c r="BO83"/>
  <c r="BO42"/>
  <c r="BO85" s="1"/>
  <c r="H15" i="87" s="1"/>
  <c r="H13" s="1"/>
  <c r="BI55" i="8"/>
  <c r="W38" i="93"/>
  <c r="E56" i="94"/>
  <c r="N134" i="93"/>
  <c r="S134"/>
  <c r="K134"/>
  <c r="K56" i="94" s="1"/>
  <c r="T134" i="93"/>
  <c r="T56" i="94" s="1"/>
  <c r="J134" i="93"/>
  <c r="J56" i="94" s="1"/>
  <c r="F134" i="93"/>
  <c r="U134"/>
  <c r="U56" i="94" s="1"/>
  <c r="O134" i="93"/>
  <c r="O56" i="94" s="1"/>
  <c r="I134" i="93"/>
  <c r="P134"/>
  <c r="P56" i="94" s="1"/>
  <c r="CM100" i="8"/>
  <c r="CI100"/>
  <c r="H38" i="93"/>
  <c r="V38"/>
  <c r="Q38"/>
  <c r="L38"/>
  <c r="CI42" i="8"/>
  <c r="CM42"/>
  <c r="CI87"/>
  <c r="CM87"/>
  <c r="O26" i="90"/>
  <c r="O25" s="1"/>
  <c r="CN122" i="7"/>
  <c r="CR122"/>
  <c r="E70" i="92"/>
  <c r="S162" i="91"/>
  <c r="K162"/>
  <c r="K70" i="92" s="1"/>
  <c r="P162" i="91"/>
  <c r="P70" i="92" s="1"/>
  <c r="J162" i="91"/>
  <c r="J70" i="92" s="1"/>
  <c r="F162" i="91"/>
  <c r="N162"/>
  <c r="U162"/>
  <c r="U70" i="92" s="1"/>
  <c r="O162" i="91"/>
  <c r="O70" i="92" s="1"/>
  <c r="I162" i="91"/>
  <c r="T162"/>
  <c r="T70" i="92" s="1"/>
  <c r="CR61" i="7"/>
  <c r="CN61"/>
  <c r="E174" i="91"/>
  <c r="BM32" i="7"/>
  <c r="BN32" s="1"/>
  <c r="BK99" i="8"/>
  <c r="CM48"/>
  <c r="CI48"/>
  <c r="E132" i="93"/>
  <c r="CO34" i="8"/>
  <c r="CI79"/>
  <c r="CM79"/>
  <c r="BM45" i="7"/>
  <c r="BN45" s="1"/>
  <c r="BM34"/>
  <c r="BN34" s="1"/>
  <c r="BM47"/>
  <c r="BN47" s="1"/>
  <c r="BM42"/>
  <c r="BN42" s="1"/>
  <c r="BM13"/>
  <c r="BK102" i="8"/>
  <c r="BH102"/>
  <c r="CJ26"/>
  <c r="CH84"/>
  <c r="CJ16"/>
  <c r="CJ33"/>
  <c r="BP42"/>
  <c r="H15" i="88" s="1"/>
  <c r="H13" s="1"/>
  <c r="AX50" i="6"/>
  <c r="AY49"/>
  <c r="AY48"/>
  <c r="AX47"/>
  <c r="BO27" i="8"/>
  <c r="AS47" i="6"/>
  <c r="V197"/>
  <c r="BU16" i="8"/>
  <c r="CI16" s="1"/>
  <c r="AS49" i="6"/>
  <c r="V234"/>
  <c r="BU33" i="8"/>
  <c r="CM33" s="1"/>
  <c r="AS48" i="6"/>
  <c r="V208"/>
  <c r="BU26" i="8"/>
  <c r="CI26" s="1"/>
  <c r="V247" i="6"/>
  <c r="BU41" i="8"/>
  <c r="BH49"/>
  <c r="BH62" s="1"/>
  <c r="BP20"/>
  <c r="BP79" s="1"/>
  <c r="H21" i="88" s="1"/>
  <c r="BO79" i="8"/>
  <c r="BO9"/>
  <c r="BN78"/>
  <c r="BO18"/>
  <c r="BN17"/>
  <c r="BR18" i="7"/>
  <c r="BR113" s="1"/>
  <c r="CE55" i="72"/>
  <c r="CC55" s="1"/>
  <c r="CC52"/>
  <c r="CE51"/>
  <c r="CC51" s="1"/>
  <c r="CC48"/>
  <c r="B143" i="56"/>
  <c r="G143" s="1"/>
  <c r="L143" s="1"/>
  <c r="CA56" i="7"/>
  <c r="J33" i="85"/>
  <c r="CK56" i="72"/>
  <c r="CK57" s="1"/>
  <c r="CC56" i="9"/>
  <c r="CB58" i="72"/>
  <c r="CB59" s="1"/>
  <c r="BP59" i="9"/>
  <c r="BY56" i="72"/>
  <c r="BY57" s="1"/>
  <c r="BM57" i="9"/>
  <c r="BU55" i="8"/>
  <c r="BW95"/>
  <c r="C132" i="56"/>
  <c r="H132" s="1"/>
  <c r="M132" s="1"/>
  <c r="J132"/>
  <c r="O132" s="1"/>
  <c r="BP14" i="7"/>
  <c r="BO56"/>
  <c r="BP39" s="1"/>
  <c r="BP45"/>
  <c r="BQ45" s="1"/>
  <c r="BP10"/>
  <c r="BQ10" s="1"/>
  <c r="BP32"/>
  <c r="BP47"/>
  <c r="BQ47" s="1"/>
  <c r="BP9"/>
  <c r="BP13"/>
  <c r="BQ13" s="1"/>
  <c r="BP16"/>
  <c r="BQ16" s="1"/>
  <c r="BP34"/>
  <c r="BQ34" s="1"/>
  <c r="BP42"/>
  <c r="BQ42" s="1"/>
  <c r="BP44"/>
  <c r="BP46"/>
  <c r="BQ46" s="1"/>
  <c r="F38" i="89"/>
  <c r="F37"/>
  <c r="G154" i="56"/>
  <c r="L154" s="1"/>
  <c r="H38" i="89"/>
  <c r="H37"/>
  <c r="BR43" i="11"/>
  <c r="BR42"/>
  <c r="BR41"/>
  <c r="BM129" i="7"/>
  <c r="BZ62" i="9"/>
  <c r="BZ61"/>
  <c r="CK60" i="72"/>
  <c r="O37" i="89"/>
  <c r="O38"/>
  <c r="B132" i="56"/>
  <c r="G132" s="1"/>
  <c r="L132" s="1"/>
  <c r="O33" i="85"/>
  <c r="BU56" i="7"/>
  <c r="BW56"/>
  <c r="G38" i="89"/>
  <c r="G37"/>
  <c r="CE56" i="72"/>
  <c r="CE57" s="1"/>
  <c r="BS14" i="7"/>
  <c r="BS45"/>
  <c r="BT45" s="1"/>
  <c r="BS10"/>
  <c r="BT10" s="1"/>
  <c r="BS9"/>
  <c r="BT9" s="1"/>
  <c r="BS13"/>
  <c r="BT13" s="1"/>
  <c r="BS46"/>
  <c r="BT46" s="1"/>
  <c r="BS44"/>
  <c r="BS32"/>
  <c r="BT32" s="1"/>
  <c r="BR56"/>
  <c r="BS47"/>
  <c r="BT47" s="1"/>
  <c r="CB56" i="72"/>
  <c r="CB57" s="1"/>
  <c r="BP57" i="9"/>
  <c r="BY60" i="72"/>
  <c r="BM61" i="9"/>
  <c r="F38" i="90"/>
  <c r="F39"/>
  <c r="BU88" i="8"/>
  <c r="H143" i="56"/>
  <c r="M143" s="1"/>
  <c r="AE47" i="3"/>
  <c r="CK51" i="72"/>
  <c r="CI51" s="1"/>
  <c r="CI48"/>
  <c r="BL46" i="8"/>
  <c r="BL23"/>
  <c r="BL24"/>
  <c r="BL19"/>
  <c r="BL33"/>
  <c r="BL45"/>
  <c r="BM45" s="1"/>
  <c r="BL95"/>
  <c r="BL18"/>
  <c r="BL20"/>
  <c r="BL26"/>
  <c r="BL44"/>
  <c r="BH96"/>
  <c r="BI46"/>
  <c r="BI44"/>
  <c r="BI26"/>
  <c r="BI45"/>
  <c r="BJ45" s="1"/>
  <c r="BI24"/>
  <c r="BU85"/>
  <c r="BS95"/>
  <c r="BS22"/>
  <c r="BY123" i="7"/>
  <c r="BU54" i="9"/>
  <c r="BU52"/>
  <c r="CH60" i="72"/>
  <c r="CC60" i="9"/>
  <c r="BH99" i="8"/>
  <c r="BP25"/>
  <c r="BP82"/>
  <c r="H11" i="88" s="1"/>
  <c r="BY134" i="7"/>
  <c r="BZ55" i="9"/>
  <c r="BZ51"/>
  <c r="CC57"/>
  <c r="BW33" i="8"/>
  <c r="X234" i="6" s="1"/>
  <c r="BW26" i="8"/>
  <c r="BX79"/>
  <c r="J21" i="88" s="1"/>
  <c r="BS33" i="8"/>
  <c r="BT33" s="1"/>
  <c r="BS26"/>
  <c r="BS44"/>
  <c r="BS20"/>
  <c r="BH66"/>
  <c r="BH67" s="1"/>
  <c r="D10" i="3"/>
  <c r="D15"/>
  <c r="E28"/>
  <c r="G10"/>
  <c r="F28"/>
  <c r="BN13" i="7"/>
  <c r="BO129"/>
  <c r="BO130" s="1"/>
  <c r="BN9"/>
  <c r="BN113" s="1"/>
  <c r="F12" i="86" s="1"/>
  <c r="F14" i="89" s="1"/>
  <c r="BN16" i="7"/>
  <c r="BN119" s="1"/>
  <c r="BM119"/>
  <c r="BM48"/>
  <c r="BL129"/>
  <c r="BM31"/>
  <c r="BQ119"/>
  <c r="BP119"/>
  <c r="BM40"/>
  <c r="BM39"/>
  <c r="BN39" s="1"/>
  <c r="BM36"/>
  <c r="BN36" s="1"/>
  <c r="BO135"/>
  <c r="BM43"/>
  <c r="BM120" s="1"/>
  <c r="F15" i="85" s="1"/>
  <c r="BN44" i="7"/>
  <c r="BN43" s="1"/>
  <c r="BN120" s="1"/>
  <c r="F15" i="86" s="1"/>
  <c r="F13" s="1"/>
  <c r="BN29" i="7"/>
  <c r="D40" i="88"/>
  <c r="D64" i="90"/>
  <c r="D65"/>
  <c r="AM45" i="6"/>
  <c r="AM46" s="1"/>
  <c r="AM53" s="1"/>
  <c r="AM52"/>
  <c r="AL10" i="5"/>
  <c r="AL26"/>
  <c r="AL17"/>
  <c r="AL12"/>
  <c r="BN33" i="17"/>
  <c r="BN32"/>
  <c r="BN31"/>
  <c r="BN30"/>
  <c r="BN28"/>
  <c r="BN27"/>
  <c r="BN26"/>
  <c r="BN25"/>
  <c r="BJ25"/>
  <c r="BJ26"/>
  <c r="BJ27"/>
  <c r="BJ28"/>
  <c r="BJ30"/>
  <c r="BJ31"/>
  <c r="BJ32"/>
  <c r="BJ33"/>
  <c r="BO29"/>
  <c r="BN29" s="1"/>
  <c r="BM29"/>
  <c r="BO24"/>
  <c r="BM24"/>
  <c r="T30" i="10"/>
  <c r="T25"/>
  <c r="T31" s="1"/>
  <c r="BA42" i="11"/>
  <c r="AY50" i="6" l="1"/>
  <c r="CL41" i="8"/>
  <c r="CN41" s="1"/>
  <c r="BP85"/>
  <c r="BH63"/>
  <c r="BI95"/>
  <c r="BI33"/>
  <c r="BI19"/>
  <c r="BI23"/>
  <c r="BI18"/>
  <c r="BI20"/>
  <c r="M38" i="93"/>
  <c r="BI25" i="8"/>
  <c r="CI85"/>
  <c r="CM85"/>
  <c r="F56" i="94"/>
  <c r="G134" i="93"/>
  <c r="S56" i="94"/>
  <c r="V134" i="93"/>
  <c r="Q23" i="87"/>
  <c r="Q26" i="90"/>
  <c r="Q25" s="1"/>
  <c r="I56" i="94"/>
  <c r="L134" i="93"/>
  <c r="N56" i="94"/>
  <c r="Q134" i="93"/>
  <c r="R38"/>
  <c r="CN134" i="7"/>
  <c r="CR134"/>
  <c r="E82" i="92"/>
  <c r="N174" i="91"/>
  <c r="F174"/>
  <c r="U174"/>
  <c r="O174"/>
  <c r="I174"/>
  <c r="T174"/>
  <c r="E35"/>
  <c r="J174"/>
  <c r="S174"/>
  <c r="K174"/>
  <c r="P174"/>
  <c r="N70" i="92"/>
  <c r="Q162" i="91"/>
  <c r="Q70" i="92" s="1"/>
  <c r="O54" i="95" s="1"/>
  <c r="I70" i="92"/>
  <c r="L162" i="91"/>
  <c r="L70" i="92" s="1"/>
  <c r="M54" i="95" s="1"/>
  <c r="G162" i="91"/>
  <c r="F70" i="92"/>
  <c r="S70"/>
  <c r="V162" i="91"/>
  <c r="V70" i="92" s="1"/>
  <c r="Q54" i="95" s="1"/>
  <c r="BH60" i="8"/>
  <c r="CI33"/>
  <c r="CM88"/>
  <c r="CI88"/>
  <c r="N132" i="93"/>
  <c r="E54" i="94"/>
  <c r="F132" i="93"/>
  <c r="U132"/>
  <c r="U54" i="94" s="1"/>
  <c r="O132" i="93"/>
  <c r="O54" i="94" s="1"/>
  <c r="I132" i="93"/>
  <c r="P132"/>
  <c r="P54" i="94" s="1"/>
  <c r="J132" i="93"/>
  <c r="J54" i="94" s="1"/>
  <c r="S132" i="93"/>
  <c r="K132"/>
  <c r="K54" i="94" s="1"/>
  <c r="T132" i="93"/>
  <c r="T54" i="94" s="1"/>
  <c r="CM26" i="8"/>
  <c r="BW41"/>
  <c r="CI41"/>
  <c r="CM41"/>
  <c r="CN123" i="7"/>
  <c r="CR123"/>
  <c r="BU95" i="8"/>
  <c r="CM55"/>
  <c r="CI55"/>
  <c r="CJ84"/>
  <c r="CK26"/>
  <c r="CK33"/>
  <c r="CK27" s="1"/>
  <c r="CO27"/>
  <c r="AY47" i="6"/>
  <c r="CL16" i="8"/>
  <c r="V246" i="6"/>
  <c r="BU84" i="8"/>
  <c r="CI84" s="1"/>
  <c r="BW16"/>
  <c r="BO17"/>
  <c r="BP18"/>
  <c r="BO78"/>
  <c r="H12" i="87" s="1"/>
  <c r="BI17" i="8"/>
  <c r="BP36" i="7"/>
  <c r="BQ36" s="1"/>
  <c r="BQ39"/>
  <c r="BS39"/>
  <c r="BT39" s="1"/>
  <c r="BS40"/>
  <c r="BS31"/>
  <c r="BS29"/>
  <c r="BT29" s="1"/>
  <c r="BS36"/>
  <c r="BT36" s="1"/>
  <c r="BS43"/>
  <c r="BT44"/>
  <c r="BT43" s="1"/>
  <c r="BT14"/>
  <c r="BT15" s="1"/>
  <c r="BS15"/>
  <c r="BN114" i="9"/>
  <c r="CC61"/>
  <c r="BQ9" i="7"/>
  <c r="BQ113" s="1"/>
  <c r="G12" i="86" s="1"/>
  <c r="BP113" i="7"/>
  <c r="G12" i="85" s="1"/>
  <c r="BQ32" i="7"/>
  <c r="BQ14"/>
  <c r="BP15"/>
  <c r="BP8" s="1"/>
  <c r="BP48"/>
  <c r="BP31"/>
  <c r="BQ31" s="1"/>
  <c r="AE48" i="3"/>
  <c r="BY61" i="72"/>
  <c r="BY62"/>
  <c r="BW42" i="7"/>
  <c r="BX42" s="1"/>
  <c r="BW34"/>
  <c r="BX34" s="1"/>
  <c r="BW46"/>
  <c r="BX46" s="1"/>
  <c r="BW10"/>
  <c r="BX10" s="1"/>
  <c r="BW16"/>
  <c r="BX16" s="1"/>
  <c r="BW47"/>
  <c r="BX47" s="1"/>
  <c r="BW38"/>
  <c r="BX38" s="1"/>
  <c r="BW129"/>
  <c r="P38" i="89"/>
  <c r="P37"/>
  <c r="CK62" i="72"/>
  <c r="CK61"/>
  <c r="BN122" i="9"/>
  <c r="CC62"/>
  <c r="BP43" i="7"/>
  <c r="BP120" s="1"/>
  <c r="G15" i="85" s="1"/>
  <c r="BQ44" i="7"/>
  <c r="BQ43" s="1"/>
  <c r="BQ120" s="1"/>
  <c r="G15" i="86" s="1"/>
  <c r="G13" s="1"/>
  <c r="BO60" i="7"/>
  <c r="BO57"/>
  <c r="BP40"/>
  <c r="BP29"/>
  <c r="BQ15"/>
  <c r="F13" i="85"/>
  <c r="F17" i="89"/>
  <c r="F15" s="1"/>
  <c r="BX26" i="8"/>
  <c r="CO26" s="1"/>
  <c r="CN26" s="1"/>
  <c r="X208" i="6"/>
  <c r="H17" i="90"/>
  <c r="H15" s="1"/>
  <c r="BM33" i="8"/>
  <c r="BL27"/>
  <c r="BM44"/>
  <c r="BM42" s="1"/>
  <c r="BL42"/>
  <c r="BL85" s="1"/>
  <c r="G15" i="87" s="1"/>
  <c r="BL79" i="8"/>
  <c r="G21" i="87" s="1"/>
  <c r="BM20" i="8"/>
  <c r="BM79" s="1"/>
  <c r="G21" i="88" s="1"/>
  <c r="BM24" i="8"/>
  <c r="BL25"/>
  <c r="BL82"/>
  <c r="BM46"/>
  <c r="BM86" s="1"/>
  <c r="BL86"/>
  <c r="BL84"/>
  <c r="BM26"/>
  <c r="BL17"/>
  <c r="BL78"/>
  <c r="G12" i="87" s="1"/>
  <c r="BM18" i="8"/>
  <c r="BL83"/>
  <c r="BM19"/>
  <c r="BM83" s="1"/>
  <c r="BM23"/>
  <c r="BM81" s="1"/>
  <c r="BL81"/>
  <c r="BI82"/>
  <c r="BJ24"/>
  <c r="BJ26"/>
  <c r="BI84"/>
  <c r="BI86"/>
  <c r="BJ46"/>
  <c r="BJ86" s="1"/>
  <c r="BJ44"/>
  <c r="BJ42" s="1"/>
  <c r="BI42"/>
  <c r="BI85" s="1"/>
  <c r="F15" i="87" s="1"/>
  <c r="BT22" i="8"/>
  <c r="BT80" s="1"/>
  <c r="CG52" i="72"/>
  <c r="BU55" i="9"/>
  <c r="CB55" s="1"/>
  <c r="CB52"/>
  <c r="CG54" i="72"/>
  <c r="CH62" s="1"/>
  <c r="CB54" i="9"/>
  <c r="BT20" i="8"/>
  <c r="BT79" s="1"/>
  <c r="BS79"/>
  <c r="O21" i="87" s="1"/>
  <c r="BT26" i="8"/>
  <c r="BT84" s="1"/>
  <c r="BS84"/>
  <c r="BW79"/>
  <c r="J21" i="87" s="1"/>
  <c r="BX51" i="9"/>
  <c r="BX55"/>
  <c r="BX30" i="8"/>
  <c r="BW42"/>
  <c r="BX85"/>
  <c r="J15" i="88" s="1"/>
  <c r="BT44" i="8"/>
  <c r="BX14"/>
  <c r="BX39"/>
  <c r="BX33"/>
  <c r="BO136" i="7"/>
  <c r="BO133"/>
  <c r="BM41"/>
  <c r="BM35" s="1"/>
  <c r="BT129"/>
  <c r="BM116"/>
  <c r="BM33"/>
  <c r="BM27" s="1"/>
  <c r="BN31"/>
  <c r="BN48"/>
  <c r="BN121" s="1"/>
  <c r="BM121"/>
  <c r="BQ116"/>
  <c r="BN40"/>
  <c r="BM114"/>
  <c r="F21" i="85" s="1"/>
  <c r="BN114" i="7"/>
  <c r="F21" i="86" s="1"/>
  <c r="AM51" i="6"/>
  <c r="AM54"/>
  <c r="AL45" i="5"/>
  <c r="AL53"/>
  <c r="AL51"/>
  <c r="AL54"/>
  <c r="AL52"/>
  <c r="AL46"/>
  <c r="BN35" i="17"/>
  <c r="BN24"/>
  <c r="BN36" s="1"/>
  <c r="BA29" i="11"/>
  <c r="AZ40"/>
  <c r="AZ33" s="1"/>
  <c r="BB41"/>
  <c r="AZ30"/>
  <c r="CD30" s="1"/>
  <c r="AV37" i="8"/>
  <c r="BQ37" s="1"/>
  <c r="BS37" s="1"/>
  <c r="AW30"/>
  <c r="AW22"/>
  <c r="AW12"/>
  <c r="AX100"/>
  <c r="AW100"/>
  <c r="E24" i="87" s="1"/>
  <c r="E23" s="1"/>
  <c r="AV100" i="8"/>
  <c r="E26" i="90" s="1"/>
  <c r="AX97" i="8"/>
  <c r="AX88"/>
  <c r="AW88"/>
  <c r="E20" i="87" s="1"/>
  <c r="AV86" i="8"/>
  <c r="AV84"/>
  <c r="AV83"/>
  <c r="AV82"/>
  <c r="AV81"/>
  <c r="AV79"/>
  <c r="E23" i="90" s="1"/>
  <c r="AV78" i="8"/>
  <c r="E14" i="90" s="1"/>
  <c r="AW61" i="8"/>
  <c r="AV61" s="1"/>
  <c r="AV97" s="1"/>
  <c r="E29" i="90" s="1"/>
  <c r="AV48" i="8"/>
  <c r="AV88" s="1"/>
  <c r="E22" i="90" s="1"/>
  <c r="AW43" i="8"/>
  <c r="AV42"/>
  <c r="AV85" s="1"/>
  <c r="E17" i="90" s="1"/>
  <c r="AW41" i="8"/>
  <c r="AV40"/>
  <c r="AW39"/>
  <c r="AW38"/>
  <c r="AW35"/>
  <c r="AX34"/>
  <c r="AW32"/>
  <c r="AV31"/>
  <c r="AW29"/>
  <c r="AV28"/>
  <c r="BQ28" s="1"/>
  <c r="AV25"/>
  <c r="AV17"/>
  <c r="AW16"/>
  <c r="AV15"/>
  <c r="AW14"/>
  <c r="AW13"/>
  <c r="AW10"/>
  <c r="AW9"/>
  <c r="AX8"/>
  <c r="S58" i="3"/>
  <c r="E41" i="90" s="1"/>
  <c r="R58" i="3"/>
  <c r="BJ56" i="9"/>
  <c r="BJ55"/>
  <c r="BI55"/>
  <c r="BH54"/>
  <c r="BH52"/>
  <c r="BJ51"/>
  <c r="BI51"/>
  <c r="BH50"/>
  <c r="BH48"/>
  <c r="BA38" i="7"/>
  <c r="BA21"/>
  <c r="BA22"/>
  <c r="S44" i="3"/>
  <c r="R44"/>
  <c r="S49"/>
  <c r="BB56" i="7" s="1"/>
  <c r="R53" i="3"/>
  <c r="R49" s="1"/>
  <c r="BA56" i="7" s="1"/>
  <c r="BA129" s="1"/>
  <c r="R45" i="3"/>
  <c r="S43"/>
  <c r="R43"/>
  <c r="AZ61" i="7"/>
  <c r="BA58"/>
  <c r="AZ58"/>
  <c r="E29" i="89" s="1"/>
  <c r="E27" i="86" s="1"/>
  <c r="AZ43" i="7"/>
  <c r="AZ120" s="1"/>
  <c r="E17" i="89" s="1"/>
  <c r="AZ41" i="7"/>
  <c r="AZ35"/>
  <c r="AZ33"/>
  <c r="BA26"/>
  <c r="AZ25"/>
  <c r="BA24"/>
  <c r="BA23"/>
  <c r="BA20"/>
  <c r="BA19"/>
  <c r="BA18"/>
  <c r="BB17"/>
  <c r="AZ15"/>
  <c r="AZ12"/>
  <c r="BU12" s="1"/>
  <c r="BB134"/>
  <c r="BA134"/>
  <c r="AZ134"/>
  <c r="BB131"/>
  <c r="BA131"/>
  <c r="AZ131"/>
  <c r="BB123"/>
  <c r="BA123"/>
  <c r="E20" i="85" s="1"/>
  <c r="AZ123" i="7"/>
  <c r="E22" i="89" s="1"/>
  <c r="E20" i="86" s="1"/>
  <c r="AZ121" i="7"/>
  <c r="AZ119"/>
  <c r="BB118"/>
  <c r="BA118"/>
  <c r="AZ118"/>
  <c r="AZ117"/>
  <c r="AZ116"/>
  <c r="BB115"/>
  <c r="AZ113"/>
  <c r="E14" i="89" s="1"/>
  <c r="D37" i="86"/>
  <c r="I39" s="1"/>
  <c r="D36"/>
  <c r="D33"/>
  <c r="D44" i="85"/>
  <c r="D43"/>
  <c r="D58" i="89"/>
  <c r="D50"/>
  <c r="D49"/>
  <c r="AN105" i="7"/>
  <c r="D43" i="89" s="1"/>
  <c r="D23" i="86"/>
  <c r="D34" i="85"/>
  <c r="D39" i="89"/>
  <c r="D40"/>
  <c r="D24" i="85"/>
  <c r="D23"/>
  <c r="D16"/>
  <c r="D18" i="89"/>
  <c r="D14" i="85"/>
  <c r="D16" i="89"/>
  <c r="AJ48" i="19"/>
  <c r="AJ47"/>
  <c r="AJ46"/>
  <c r="AJ45"/>
  <c r="AJ44"/>
  <c r="AJ43"/>
  <c r="AJ42"/>
  <c r="AJ41"/>
  <c r="BG41" s="1"/>
  <c r="AJ40"/>
  <c r="BG40" s="1"/>
  <c r="AJ39"/>
  <c r="AJ37"/>
  <c r="AJ36"/>
  <c r="AJ35"/>
  <c r="AJ34"/>
  <c r="AJ33"/>
  <c r="AJ31"/>
  <c r="BG31" s="1"/>
  <c r="AJ30"/>
  <c r="AJ29"/>
  <c r="BG29" s="1"/>
  <c r="AJ28"/>
  <c r="BG28" s="1"/>
  <c r="AJ27"/>
  <c r="BG27" s="1"/>
  <c r="AJ24"/>
  <c r="AJ23"/>
  <c r="AJ22"/>
  <c r="AJ21"/>
  <c r="AJ20"/>
  <c r="BG20" s="1"/>
  <c r="AJ19"/>
  <c r="BG19" s="1"/>
  <c r="AJ18"/>
  <c r="BG18" s="1"/>
  <c r="AJ17"/>
  <c r="AJ16"/>
  <c r="AJ15"/>
  <c r="AJ13"/>
  <c r="AJ11"/>
  <c r="AJ10"/>
  <c r="AJ9"/>
  <c r="AJ8"/>
  <c r="BG8" s="1"/>
  <c r="AK25"/>
  <c r="AJ25" s="1"/>
  <c r="BG25" s="1"/>
  <c r="AL25"/>
  <c r="AL32"/>
  <c r="AJ32" s="1"/>
  <c r="AK38"/>
  <c r="AL38"/>
  <c r="AK26"/>
  <c r="AL26"/>
  <c r="AL14"/>
  <c r="AK14"/>
  <c r="AL12"/>
  <c r="AK12"/>
  <c r="I44" i="90"/>
  <c r="I47" s="1"/>
  <c r="K28"/>
  <c r="J28"/>
  <c r="I28"/>
  <c r="K27"/>
  <c r="J27"/>
  <c r="I27"/>
  <c r="K26"/>
  <c r="J26"/>
  <c r="K22"/>
  <c r="J22"/>
  <c r="K21"/>
  <c r="J21"/>
  <c r="I21"/>
  <c r="K20"/>
  <c r="J20"/>
  <c r="I20"/>
  <c r="K28" i="89"/>
  <c r="J28"/>
  <c r="I28"/>
  <c r="K27"/>
  <c r="J27"/>
  <c r="I27"/>
  <c r="K26"/>
  <c r="J26"/>
  <c r="K22"/>
  <c r="J22"/>
  <c r="K21"/>
  <c r="J21"/>
  <c r="I21"/>
  <c r="K20"/>
  <c r="J20"/>
  <c r="I20"/>
  <c r="J16"/>
  <c r="I58" i="90"/>
  <c r="I59" s="1"/>
  <c r="I57" i="89"/>
  <c r="I43"/>
  <c r="I46" s="1"/>
  <c r="J34" i="88"/>
  <c r="K34" s="1"/>
  <c r="K23"/>
  <c r="J23"/>
  <c r="I23"/>
  <c r="J16"/>
  <c r="K16" s="1"/>
  <c r="J14"/>
  <c r="K14" s="1"/>
  <c r="Q56" i="94" l="1"/>
  <c r="P44" i="96" s="1"/>
  <c r="O118" i="116"/>
  <c r="L56" i="94"/>
  <c r="N44" i="96" s="1"/>
  <c r="G118" i="116"/>
  <c r="V56" i="94"/>
  <c r="R44" i="96" s="1"/>
  <c r="W118" i="116"/>
  <c r="BW84" i="8"/>
  <c r="E20" i="88"/>
  <c r="BX119" i="7"/>
  <c r="BI78" i="8"/>
  <c r="F12" i="87" s="1"/>
  <c r="BJ18" i="8"/>
  <c r="BJ19"/>
  <c r="BJ83" s="1"/>
  <c r="BI83"/>
  <c r="BJ20"/>
  <c r="BJ79" s="1"/>
  <c r="F21" i="88" s="1"/>
  <c r="BI79" i="8"/>
  <c r="F21" i="87" s="1"/>
  <c r="BJ23" i="8"/>
  <c r="BJ81" s="1"/>
  <c r="BI81"/>
  <c r="BJ33"/>
  <c r="BJ84" s="1"/>
  <c r="BI27"/>
  <c r="BI49" s="1"/>
  <c r="AW15"/>
  <c r="BT14" s="1"/>
  <c r="BT8" s="1"/>
  <c r="AW80"/>
  <c r="AV27"/>
  <c r="BS28"/>
  <c r="BS80" s="1"/>
  <c r="BQ80"/>
  <c r="E25" i="90"/>
  <c r="E24" i="88"/>
  <c r="E23" s="1"/>
  <c r="BW85" i="8"/>
  <c r="J15" i="87" s="1"/>
  <c r="C46" i="94"/>
  <c r="B46" s="1"/>
  <c r="AV80" i="8"/>
  <c r="E13" i="90"/>
  <c r="AW97" i="8"/>
  <c r="G56" i="94"/>
  <c r="W56" s="1"/>
  <c r="W134" i="93"/>
  <c r="H134"/>
  <c r="B118" i="116" s="1"/>
  <c r="B169" s="1"/>
  <c r="P82" i="92"/>
  <c r="P35" i="91"/>
  <c r="P36" i="92" s="1"/>
  <c r="S82"/>
  <c r="V174" i="91"/>
  <c r="V82" i="92" s="1"/>
  <c r="Q63" i="95" s="1"/>
  <c r="H24" i="98" s="1"/>
  <c r="S35" i="91"/>
  <c r="E36" i="92"/>
  <c r="I82"/>
  <c r="L174" i="91"/>
  <c r="L82" i="92" s="1"/>
  <c r="M63" i="95" s="1"/>
  <c r="D24" i="98" s="1"/>
  <c r="I35" i="91"/>
  <c r="U82" i="92"/>
  <c r="U35" i="91"/>
  <c r="U36" i="92" s="1"/>
  <c r="N82"/>
  <c r="N35" i="91"/>
  <c r="Q174"/>
  <c r="Q82" i="92" s="1"/>
  <c r="O63" i="95" s="1"/>
  <c r="F24" i="98" s="1"/>
  <c r="BW12" i="7"/>
  <c r="AZ17"/>
  <c r="BX24"/>
  <c r="BX17" s="1"/>
  <c r="W162" i="91"/>
  <c r="G70" i="92"/>
  <c r="W70" s="1"/>
  <c r="H162" i="91"/>
  <c r="K82" i="92"/>
  <c r="K35" i="91"/>
  <c r="K36" i="92" s="1"/>
  <c r="J82"/>
  <c r="J35" i="91"/>
  <c r="J36" i="92" s="1"/>
  <c r="T82"/>
  <c r="T35" i="91"/>
  <c r="T36" i="92" s="1"/>
  <c r="O82"/>
  <c r="O35" i="91"/>
  <c r="O36" i="92" s="1"/>
  <c r="F82"/>
  <c r="G174" i="91"/>
  <c r="H174" s="1"/>
  <c r="F35"/>
  <c r="F36" i="92" s="1"/>
  <c r="BI25" i="19"/>
  <c r="BH25"/>
  <c r="BI19"/>
  <c r="BH19"/>
  <c r="BI27"/>
  <c r="BH27"/>
  <c r="BI29"/>
  <c r="BH29"/>
  <c r="BI31"/>
  <c r="BH31"/>
  <c r="BI41"/>
  <c r="BH41"/>
  <c r="BH8"/>
  <c r="BI8"/>
  <c r="BI18"/>
  <c r="BH18"/>
  <c r="BH20"/>
  <c r="BI20"/>
  <c r="BH28"/>
  <c r="BI28"/>
  <c r="BH40"/>
  <c r="BI40"/>
  <c r="BX84" i="8"/>
  <c r="K16" i="90"/>
  <c r="I54" i="94"/>
  <c r="L132" i="93"/>
  <c r="S54" i="94"/>
  <c r="V132" i="93"/>
  <c r="V54" i="94" s="1"/>
  <c r="R42" i="96" s="1"/>
  <c r="G132" i="93"/>
  <c r="F54" i="94"/>
  <c r="N54"/>
  <c r="Q132" i="93"/>
  <c r="Q54" i="94" s="1"/>
  <c r="P42" i="96" s="1"/>
  <c r="BP116" i="7"/>
  <c r="BW119"/>
  <c r="BQ8"/>
  <c r="I58" i="89"/>
  <c r="O56"/>
  <c r="O57" s="1"/>
  <c r="O58" s="1"/>
  <c r="G17"/>
  <c r="G15" s="1"/>
  <c r="CI95" i="8"/>
  <c r="CM95"/>
  <c r="G13" i="85"/>
  <c r="CK84" i="8"/>
  <c r="CM16"/>
  <c r="CL84"/>
  <c r="CM84" s="1"/>
  <c r="CN16"/>
  <c r="CO84"/>
  <c r="BP17"/>
  <c r="BP49" s="1"/>
  <c r="BP78"/>
  <c r="F23" i="89"/>
  <c r="BQ33" i="7"/>
  <c r="BP41"/>
  <c r="BQ40"/>
  <c r="BP117"/>
  <c r="BP122" i="9"/>
  <c r="BP123" s="1"/>
  <c r="BP125" s="1"/>
  <c r="BX122"/>
  <c r="BX123" s="1"/>
  <c r="BX125" s="1"/>
  <c r="CO122"/>
  <c r="CO123" s="1"/>
  <c r="CO125" s="1"/>
  <c r="BU122"/>
  <c r="BU123" s="1"/>
  <c r="BU125" s="1"/>
  <c r="CC122"/>
  <c r="CC123" s="1"/>
  <c r="CC125" s="1"/>
  <c r="BW122"/>
  <c r="BW123" s="1"/>
  <c r="BW125" s="1"/>
  <c r="BR122"/>
  <c r="BR123" s="1"/>
  <c r="BZ122"/>
  <c r="BZ123" s="1"/>
  <c r="BZ125" s="1"/>
  <c r="BS122"/>
  <c r="BS123" s="1"/>
  <c r="BS125" s="1"/>
  <c r="BN123"/>
  <c r="BN125" s="1"/>
  <c r="BT122"/>
  <c r="BT123" s="1"/>
  <c r="BT125" s="1"/>
  <c r="CB122"/>
  <c r="CB123" s="1"/>
  <c r="CB125" s="1"/>
  <c r="BQ122"/>
  <c r="BQ123" s="1"/>
  <c r="BQ125" s="1"/>
  <c r="BY122"/>
  <c r="BY123" s="1"/>
  <c r="BY125" s="1"/>
  <c r="BO122"/>
  <c r="BO123" s="1"/>
  <c r="CA122"/>
  <c r="CA123" s="1"/>
  <c r="CA125" s="1"/>
  <c r="BV122"/>
  <c r="BV123" s="1"/>
  <c r="BV125" s="1"/>
  <c r="CM122"/>
  <c r="CM123" s="1"/>
  <c r="CM125" s="1"/>
  <c r="CN122"/>
  <c r="CN123" s="1"/>
  <c r="CN125" s="1"/>
  <c r="C16" i="92"/>
  <c r="B15" i="91"/>
  <c r="C16"/>
  <c r="C17" i="92" s="1"/>
  <c r="CA114" i="9"/>
  <c r="CA115" s="1"/>
  <c r="BS114"/>
  <c r="BS115" s="1"/>
  <c r="CC114"/>
  <c r="CC115" s="1"/>
  <c r="BU114"/>
  <c r="BU115" s="1"/>
  <c r="CO114"/>
  <c r="CO115" s="1"/>
  <c r="BV114"/>
  <c r="BV115" s="1"/>
  <c r="CM114"/>
  <c r="CM115" s="1"/>
  <c r="CB114"/>
  <c r="CB115" s="1"/>
  <c r="BP114"/>
  <c r="BP115" s="1"/>
  <c r="CN114"/>
  <c r="CN115" s="1"/>
  <c r="BW114"/>
  <c r="BW115" s="1"/>
  <c r="BO114"/>
  <c r="BO115" s="1"/>
  <c r="BY114"/>
  <c r="BY115" s="1"/>
  <c r="BQ114"/>
  <c r="BQ115" s="1"/>
  <c r="BR114"/>
  <c r="BR115" s="1"/>
  <c r="BZ114"/>
  <c r="BZ115" s="1"/>
  <c r="BT114"/>
  <c r="BT115" s="1"/>
  <c r="BN115"/>
  <c r="BX114"/>
  <c r="BX115" s="1"/>
  <c r="BT40" i="7"/>
  <c r="BS41"/>
  <c r="BP33"/>
  <c r="BP27" s="1"/>
  <c r="G14" i="89"/>
  <c r="BQ29" i="7"/>
  <c r="BP114"/>
  <c r="G21" i="85" s="1"/>
  <c r="BQ48" i="7"/>
  <c r="BQ121" s="1"/>
  <c r="BP121"/>
  <c r="BS33"/>
  <c r="BT31"/>
  <c r="BP35"/>
  <c r="BM84" i="8"/>
  <c r="BJ57" i="9"/>
  <c r="BV56" i="72"/>
  <c r="BV57" s="1"/>
  <c r="G11" i="87"/>
  <c r="F11"/>
  <c r="BJ85" i="8"/>
  <c r="F15" i="88"/>
  <c r="F13" s="1"/>
  <c r="BM85" i="8"/>
  <c r="G15" i="88"/>
  <c r="G13" s="1"/>
  <c r="G23" i="90"/>
  <c r="F13" i="87"/>
  <c r="G13"/>
  <c r="BL49" i="8"/>
  <c r="BL60" s="1"/>
  <c r="BM82"/>
  <c r="BM25"/>
  <c r="BL89"/>
  <c r="BM78"/>
  <c r="G12" i="88" s="1"/>
  <c r="G14" i="90" s="1"/>
  <c r="BM17" i="8"/>
  <c r="BM49" s="1"/>
  <c r="BI89"/>
  <c r="BI96" s="1"/>
  <c r="BJ82"/>
  <c r="BJ25"/>
  <c r="D53" i="89"/>
  <c r="D40" i="86"/>
  <c r="CG55" i="72"/>
  <c r="CH61"/>
  <c r="AJ26" i="19"/>
  <c r="AJ38"/>
  <c r="AJ14"/>
  <c r="BX8" i="8"/>
  <c r="BX34"/>
  <c r="BX27"/>
  <c r="AX55"/>
  <c r="AX95" s="1"/>
  <c r="AZ46" i="11"/>
  <c r="AZ42" s="1"/>
  <c r="CD42" s="1"/>
  <c r="CC42" s="1"/>
  <c r="R47" i="3"/>
  <c r="AV55" i="8"/>
  <c r="AZ32" i="11"/>
  <c r="E37" i="89"/>
  <c r="E38"/>
  <c r="E33" i="85"/>
  <c r="BJ60" i="9"/>
  <c r="E34" i="87"/>
  <c r="E39" i="90"/>
  <c r="E38"/>
  <c r="AZ29" i="11"/>
  <c r="AZ31"/>
  <c r="BR129" i="7"/>
  <c r="BS117"/>
  <c r="BS120"/>
  <c r="H15" i="85" s="1"/>
  <c r="BT120" i="7"/>
  <c r="H15" i="86" s="1"/>
  <c r="H13" s="1"/>
  <c r="BT113" i="7"/>
  <c r="H12" i="86" s="1"/>
  <c r="BS113" i="7"/>
  <c r="H12" i="85" s="1"/>
  <c r="BN33" i="7"/>
  <c r="BN27" s="1"/>
  <c r="BN116"/>
  <c r="BN41"/>
  <c r="BN35" s="1"/>
  <c r="D45" i="85"/>
  <c r="J56" i="89"/>
  <c r="K56" s="1"/>
  <c r="K58" s="1"/>
  <c r="J16" i="90"/>
  <c r="J57"/>
  <c r="J59" s="1"/>
  <c r="E15"/>
  <c r="E12" s="1"/>
  <c r="E15" i="89"/>
  <c r="AL49" i="19"/>
  <c r="AK49"/>
  <c r="AJ12"/>
  <c r="AJ49" s="1"/>
  <c r="BJ58" i="9"/>
  <c r="BN37" i="17"/>
  <c r="AW34" i="8"/>
  <c r="AW40"/>
  <c r="BT39" s="1"/>
  <c r="BT34" s="1"/>
  <c r="AW31"/>
  <c r="BT30" s="1"/>
  <c r="BT27" s="1"/>
  <c r="AX22"/>
  <c r="AX80" s="1"/>
  <c r="AV89"/>
  <c r="AV98"/>
  <c r="AW8"/>
  <c r="AV8"/>
  <c r="AV34"/>
  <c r="BH55" i="9"/>
  <c r="BH51"/>
  <c r="BA25" i="7"/>
  <c r="BA17" s="1"/>
  <c r="BA9"/>
  <c r="BA113" s="1"/>
  <c r="E12" i="85" s="1"/>
  <c r="E12" i="86" s="1"/>
  <c r="BA13" i="7"/>
  <c r="BB13" s="1"/>
  <c r="BA34"/>
  <c r="BB34" s="1"/>
  <c r="BB129"/>
  <c r="AZ56"/>
  <c r="BA48" s="1"/>
  <c r="BA14"/>
  <c r="BB14" s="1"/>
  <c r="BA42"/>
  <c r="BB42" s="1"/>
  <c r="BA47"/>
  <c r="BB47" s="1"/>
  <c r="BB9"/>
  <c r="AZ8"/>
  <c r="BA10"/>
  <c r="BA16"/>
  <c r="BA32"/>
  <c r="BA44"/>
  <c r="BA45"/>
  <c r="BB45" s="1"/>
  <c r="BA46"/>
  <c r="BB46" s="1"/>
  <c r="D36" i="85"/>
  <c r="D46" i="89"/>
  <c r="J25" i="90"/>
  <c r="K25"/>
  <c r="K25" i="89"/>
  <c r="J25"/>
  <c r="K57" i="90"/>
  <c r="K58" s="1"/>
  <c r="K59" s="1"/>
  <c r="J58" i="89"/>
  <c r="I45" i="87"/>
  <c r="K23"/>
  <c r="J23"/>
  <c r="I16"/>
  <c r="I14"/>
  <c r="J23" i="86"/>
  <c r="I23"/>
  <c r="J16"/>
  <c r="K16" i="89"/>
  <c r="I44" i="85"/>
  <c r="J43"/>
  <c r="I36"/>
  <c r="K23"/>
  <c r="J23"/>
  <c r="I14"/>
  <c r="I16" i="89" s="1"/>
  <c r="W169" i="116" l="1"/>
  <c r="W170" s="1"/>
  <c r="W172" s="1"/>
  <c r="W119"/>
  <c r="G169"/>
  <c r="G170" s="1"/>
  <c r="G172" s="1"/>
  <c r="G119"/>
  <c r="L118"/>
  <c r="O169"/>
  <c r="O170" s="1"/>
  <c r="O172" s="1"/>
  <c r="O119"/>
  <c r="F23" i="90"/>
  <c r="BJ17" i="8"/>
  <c r="BJ49" s="1"/>
  <c r="BJ78"/>
  <c r="F11" i="88"/>
  <c r="E27"/>
  <c r="E27" i="87"/>
  <c r="H56" i="94"/>
  <c r="M44" i="96" s="1"/>
  <c r="O44" s="1"/>
  <c r="Q44" s="1"/>
  <c r="S44" s="1"/>
  <c r="M134" i="93"/>
  <c r="M174" i="91"/>
  <c r="H82" i="92"/>
  <c r="L63" i="95" s="1"/>
  <c r="C24" i="98" s="1"/>
  <c r="E24" s="1"/>
  <c r="G24" s="1"/>
  <c r="I24" s="1"/>
  <c r="G82" i="92"/>
  <c r="W82" s="1"/>
  <c r="G35" i="91"/>
  <c r="G36" i="92" s="1"/>
  <c r="W174" i="91"/>
  <c r="H70" i="92"/>
  <c r="L54" i="95" s="1"/>
  <c r="N54" s="1"/>
  <c r="P54" s="1"/>
  <c r="R54" s="1"/>
  <c r="M162" i="91"/>
  <c r="N36" i="92"/>
  <c r="Q35" i="91"/>
  <c r="Q36" i="92" s="1"/>
  <c r="I36"/>
  <c r="L35" i="91"/>
  <c r="L36" i="92" s="1"/>
  <c r="S36"/>
  <c r="V35" i="91"/>
  <c r="V36" i="92" s="1"/>
  <c r="H35" i="91"/>
  <c r="CA27" i="8"/>
  <c r="G54" i="94"/>
  <c r="W54" s="1"/>
  <c r="W132" i="93"/>
  <c r="L54" i="94"/>
  <c r="N42" i="96" s="1"/>
  <c r="L16" i="90"/>
  <c r="L15" s="1"/>
  <c r="H132" i="93"/>
  <c r="H54" i="94" s="1"/>
  <c r="M42" i="96" s="1"/>
  <c r="O42" s="1"/>
  <c r="Q42" s="1"/>
  <c r="S42" s="1"/>
  <c r="G11" i="85"/>
  <c r="G10" s="1"/>
  <c r="G11" i="88"/>
  <c r="G13" i="90" s="1"/>
  <c r="F17"/>
  <c r="F15" s="1"/>
  <c r="CN84" i="8"/>
  <c r="I45" i="85"/>
  <c r="O43"/>
  <c r="O44" s="1"/>
  <c r="G10" i="87"/>
  <c r="G22" s="1"/>
  <c r="BP66" i="8"/>
  <c r="BP67" s="1"/>
  <c r="BP63"/>
  <c r="BP62"/>
  <c r="BP60"/>
  <c r="BP89"/>
  <c r="H12" i="88"/>
  <c r="BP124" i="7"/>
  <c r="BP51"/>
  <c r="BP59" s="1"/>
  <c r="BT33"/>
  <c r="BQ27"/>
  <c r="BQ114"/>
  <c r="BT41"/>
  <c r="BN128" i="9"/>
  <c r="BN117"/>
  <c r="BZ117"/>
  <c r="BZ128"/>
  <c r="BQ117"/>
  <c r="BQ128"/>
  <c r="BO117"/>
  <c r="CP115"/>
  <c r="BJ115" s="1"/>
  <c r="BO128"/>
  <c r="CN117"/>
  <c r="CN128"/>
  <c r="CB117"/>
  <c r="CB128"/>
  <c r="BV117"/>
  <c r="BV128"/>
  <c r="BU117"/>
  <c r="BU128"/>
  <c r="BS117"/>
  <c r="BS128"/>
  <c r="BX128"/>
  <c r="BX117"/>
  <c r="BT117"/>
  <c r="BT128"/>
  <c r="BR117"/>
  <c r="BR128"/>
  <c r="CQ115"/>
  <c r="BY128"/>
  <c r="BY117"/>
  <c r="BW128"/>
  <c r="BW117"/>
  <c r="BP117"/>
  <c r="BP128"/>
  <c r="CM128"/>
  <c r="CM117"/>
  <c r="CO128"/>
  <c r="CO117"/>
  <c r="CC117"/>
  <c r="CC128"/>
  <c r="CA128"/>
  <c r="CA117"/>
  <c r="B16" i="92"/>
  <c r="B16" i="91"/>
  <c r="B17" i="92" s="1"/>
  <c r="CP123" i="9"/>
  <c r="BJ123" s="1"/>
  <c r="BO125"/>
  <c r="CQ123"/>
  <c r="BR125"/>
  <c r="BQ41" i="7"/>
  <c r="BQ35" s="1"/>
  <c r="BQ117"/>
  <c r="G11" i="86" s="1"/>
  <c r="G10" s="1"/>
  <c r="H14" i="89"/>
  <c r="BJ59" i="9"/>
  <c r="BV58" i="72"/>
  <c r="BV59" s="1"/>
  <c r="H17" i="89"/>
  <c r="H15" s="1"/>
  <c r="H13" i="85"/>
  <c r="BJ61" i="9"/>
  <c r="BV60" i="72"/>
  <c r="I46" i="87"/>
  <c r="O44"/>
  <c r="O45" s="1"/>
  <c r="F10"/>
  <c r="F22" s="1"/>
  <c r="I16" i="90"/>
  <c r="G17"/>
  <c r="G15" s="1"/>
  <c r="F13"/>
  <c r="BL66" i="8"/>
  <c r="BL67" s="1"/>
  <c r="BL62"/>
  <c r="BL63"/>
  <c r="BM89"/>
  <c r="BM98" s="1"/>
  <c r="BM66"/>
  <c r="BM67" s="1"/>
  <c r="BM63"/>
  <c r="BM62"/>
  <c r="BM60"/>
  <c r="BL98"/>
  <c r="BL96"/>
  <c r="BI98"/>
  <c r="BI101" s="1"/>
  <c r="BI102" s="1"/>
  <c r="BI63"/>
  <c r="BI66"/>
  <c r="BI67" s="1"/>
  <c r="BI60"/>
  <c r="BI62"/>
  <c r="BX78"/>
  <c r="J12" i="88" s="1"/>
  <c r="BU78" i="8"/>
  <c r="BW9"/>
  <c r="C34" i="94" s="1"/>
  <c r="B34" s="1"/>
  <c r="BS116" i="7"/>
  <c r="BA39"/>
  <c r="BB39" s="1"/>
  <c r="BJ62" i="9"/>
  <c r="AZ43" i="11"/>
  <c r="CD43" s="1"/>
  <c r="CC43" s="1"/>
  <c r="BS114" i="7"/>
  <c r="AZ41" i="11"/>
  <c r="AW55" i="8"/>
  <c r="AV95"/>
  <c r="AV96" s="1"/>
  <c r="AZ129" i="7"/>
  <c r="BA29"/>
  <c r="BB29" s="1"/>
  <c r="BT114"/>
  <c r="H21" i="86" s="1"/>
  <c r="BT116" i="7"/>
  <c r="J44" i="87"/>
  <c r="E24" i="90"/>
  <c r="E9"/>
  <c r="E42" s="1"/>
  <c r="AL50" i="19"/>
  <c r="AK50"/>
  <c r="AV101" i="8"/>
  <c r="AV49"/>
  <c r="J16" i="87"/>
  <c r="I18" i="90"/>
  <c r="BA15" i="7"/>
  <c r="BA8" s="1"/>
  <c r="BB48"/>
  <c r="BB121" s="1"/>
  <c r="BA121"/>
  <c r="BA40"/>
  <c r="BA36"/>
  <c r="BA31"/>
  <c r="BB31" s="1"/>
  <c r="BA43"/>
  <c r="BA120" s="1"/>
  <c r="E15" i="85" s="1"/>
  <c r="BB44" i="7"/>
  <c r="BB43" s="1"/>
  <c r="BB120" s="1"/>
  <c r="BB32"/>
  <c r="BA119"/>
  <c r="BB16"/>
  <c r="BB119" s="1"/>
  <c r="BB10"/>
  <c r="BB15"/>
  <c r="BB113"/>
  <c r="J18" i="89"/>
  <c r="I18"/>
  <c r="J46" i="87"/>
  <c r="K43" i="85"/>
  <c r="K45" s="1"/>
  <c r="J45"/>
  <c r="G125" i="116" l="1"/>
  <c r="G176" s="1"/>
  <c r="G121"/>
  <c r="O125"/>
  <c r="O176" s="1"/>
  <c r="O121"/>
  <c r="L169"/>
  <c r="T118"/>
  <c r="N118"/>
  <c r="N169" s="1"/>
  <c r="W125"/>
  <c r="W121"/>
  <c r="BJ62" i="8"/>
  <c r="BJ66"/>
  <c r="BJ67" s="1"/>
  <c r="BJ63"/>
  <c r="BJ60"/>
  <c r="F12" i="88"/>
  <c r="BJ89" i="8"/>
  <c r="M56" i="94"/>
  <c r="R134" i="93"/>
  <c r="R56" i="94" s="1"/>
  <c r="R162" i="91"/>
  <c r="R70" i="92" s="1"/>
  <c r="M70"/>
  <c r="M82"/>
  <c r="R174" i="91"/>
  <c r="R82" i="92" s="1"/>
  <c r="H36"/>
  <c r="C36" s="1"/>
  <c r="B36" s="1"/>
  <c r="M35" i="91"/>
  <c r="C35"/>
  <c r="B35" s="1"/>
  <c r="N63" i="95"/>
  <c r="W35" i="91"/>
  <c r="W36" i="92"/>
  <c r="G10" i="88"/>
  <c r="G9" s="1"/>
  <c r="G9" i="87"/>
  <c r="G36" s="1"/>
  <c r="F9"/>
  <c r="F36" s="1"/>
  <c r="M132" i="93"/>
  <c r="M54" i="94" s="1"/>
  <c r="CM78" i="8"/>
  <c r="CI78"/>
  <c r="M16" i="90"/>
  <c r="M15" s="1"/>
  <c r="R132" i="93"/>
  <c r="R54" i="94" s="1"/>
  <c r="G12" i="90"/>
  <c r="G9" s="1"/>
  <c r="G42" s="1"/>
  <c r="K44" i="87"/>
  <c r="K46" s="1"/>
  <c r="AV99" i="8"/>
  <c r="C102" i="92"/>
  <c r="B194" i="91"/>
  <c r="C196"/>
  <c r="C104" i="92" s="1"/>
  <c r="C193" i="91"/>
  <c r="C101" i="92" s="1"/>
  <c r="C125"/>
  <c r="C219" i="91"/>
  <c r="C127" i="92" s="1"/>
  <c r="B217" i="91"/>
  <c r="C216"/>
  <c r="C124" i="92" s="1"/>
  <c r="O45" i="85"/>
  <c r="G13" i="89"/>
  <c r="G12" s="1"/>
  <c r="BP62" i="7"/>
  <c r="BP57"/>
  <c r="BP60" s="1"/>
  <c r="BP98" i="8"/>
  <c r="BP96"/>
  <c r="H14" i="90"/>
  <c r="H10" i="88"/>
  <c r="BP132" i="7"/>
  <c r="BP130"/>
  <c r="W54" i="93"/>
  <c r="CP125" i="9"/>
  <c r="CA130"/>
  <c r="CA129" s="1"/>
  <c r="Q34" i="94"/>
  <c r="P22" i="96" s="1"/>
  <c r="CO130" i="9"/>
  <c r="CO129" s="1"/>
  <c r="V34" i="94"/>
  <c r="R22" i="96" s="1"/>
  <c r="CM130" i="9"/>
  <c r="CM129" s="1"/>
  <c r="M34" i="94"/>
  <c r="BW130" i="9"/>
  <c r="BW129" s="1"/>
  <c r="BY130"/>
  <c r="BY129" s="1"/>
  <c r="H34" i="94"/>
  <c r="M22" i="96" s="1"/>
  <c r="BR130" i="9"/>
  <c r="BT130"/>
  <c r="BT129" s="1"/>
  <c r="BP63" i="7"/>
  <c r="BO130" i="9"/>
  <c r="CP117"/>
  <c r="BJ117" s="1"/>
  <c r="BQ130"/>
  <c r="BQ129" s="1"/>
  <c r="BZ130"/>
  <c r="BZ129" s="1"/>
  <c r="CP128"/>
  <c r="BJ128" s="1"/>
  <c r="BQ51" i="7"/>
  <c r="CC130" i="9"/>
  <c r="CC129" s="1"/>
  <c r="BP130"/>
  <c r="BP129" s="1"/>
  <c r="BX130"/>
  <c r="BX129" s="1"/>
  <c r="BS130"/>
  <c r="BS129" s="1"/>
  <c r="BU130"/>
  <c r="BU129" s="1"/>
  <c r="BV130"/>
  <c r="BV129" s="1"/>
  <c r="L34" i="94"/>
  <c r="N22" i="96" s="1"/>
  <c r="CB130" i="9"/>
  <c r="CB129" s="1"/>
  <c r="R34" i="94"/>
  <c r="CN130" i="9"/>
  <c r="CN129" s="1"/>
  <c r="BN130"/>
  <c r="BN129" s="1"/>
  <c r="G21" i="86"/>
  <c r="G23" i="89" s="1"/>
  <c r="G24" s="1"/>
  <c r="BQ124" i="7"/>
  <c r="CQ128" i="9"/>
  <c r="BV62" i="72"/>
  <c r="BV61"/>
  <c r="G9" i="85"/>
  <c r="G22"/>
  <c r="P46" i="87"/>
  <c r="O46"/>
  <c r="BM96" i="8"/>
  <c r="BM101"/>
  <c r="BM102" s="1"/>
  <c r="BM99"/>
  <c r="BL101"/>
  <c r="BL102" s="1"/>
  <c r="BL99"/>
  <c r="BI99"/>
  <c r="BW78"/>
  <c r="J12" i="87" s="1"/>
  <c r="BA41" i="7"/>
  <c r="BA35" s="1"/>
  <c r="BA116"/>
  <c r="BA33"/>
  <c r="AW46" i="8"/>
  <c r="AW20"/>
  <c r="AW23"/>
  <c r="AW24"/>
  <c r="AW44"/>
  <c r="AW26"/>
  <c r="AW95"/>
  <c r="AW19"/>
  <c r="AW33"/>
  <c r="AW18"/>
  <c r="AW45"/>
  <c r="AX45" s="1"/>
  <c r="AV102"/>
  <c r="BA117" i="7"/>
  <c r="BB40"/>
  <c r="BB41" s="1"/>
  <c r="BT117"/>
  <c r="E13" i="85"/>
  <c r="E15" i="86"/>
  <c r="E13" s="1"/>
  <c r="AV66" i="8"/>
  <c r="AV67" s="1"/>
  <c r="AV62"/>
  <c r="AV63"/>
  <c r="AV60"/>
  <c r="K18" i="90"/>
  <c r="J18"/>
  <c r="BB36" i="7"/>
  <c r="BB8"/>
  <c r="BB33"/>
  <c r="BB116"/>
  <c r="W176" i="116" l="1"/>
  <c r="T169"/>
  <c r="V118"/>
  <c r="V169" s="1"/>
  <c r="AB118"/>
  <c r="F10" i="90"/>
  <c r="F43" s="1"/>
  <c r="G22" i="88"/>
  <c r="BJ98" i="8"/>
  <c r="BJ96"/>
  <c r="F14" i="90"/>
  <c r="F12" s="1"/>
  <c r="F10" i="88"/>
  <c r="P63" i="95"/>
  <c r="M36" i="92"/>
  <c r="R35" i="91"/>
  <c r="R36" i="92" s="1"/>
  <c r="G10" i="90"/>
  <c r="G43" s="1"/>
  <c r="G24"/>
  <c r="N16"/>
  <c r="N15" s="1"/>
  <c r="C113" i="94"/>
  <c r="B190" i="93"/>
  <c r="E190"/>
  <c r="C192"/>
  <c r="C115" i="94" s="1"/>
  <c r="C189" i="93"/>
  <c r="C112" i="94" s="1"/>
  <c r="C90"/>
  <c r="B167" i="93"/>
  <c r="C169"/>
  <c r="C92" i="94" s="1"/>
  <c r="E167" i="93"/>
  <c r="C166"/>
  <c r="C89" i="94" s="1"/>
  <c r="G9" i="89"/>
  <c r="G41" s="1"/>
  <c r="B125" i="92"/>
  <c r="B219" i="91"/>
  <c r="B127" i="92" s="1"/>
  <c r="E217" i="91"/>
  <c r="B216"/>
  <c r="B124" i="92" s="1"/>
  <c r="B102"/>
  <c r="E194" i="91"/>
  <c r="B196"/>
  <c r="B104" i="92" s="1"/>
  <c r="B193" i="91"/>
  <c r="B101" i="92" s="1"/>
  <c r="BP101" i="8"/>
  <c r="BP102" s="1"/>
  <c r="BP99"/>
  <c r="H22" i="88"/>
  <c r="H9"/>
  <c r="BP133" i="7"/>
  <c r="BP135"/>
  <c r="BP136" s="1"/>
  <c r="CQ117" i="9"/>
  <c r="U34" i="94"/>
  <c r="K34"/>
  <c r="I34"/>
  <c r="S34"/>
  <c r="P34"/>
  <c r="BO129" i="9"/>
  <c r="CP130"/>
  <c r="BJ130" s="1"/>
  <c r="O34" i="94"/>
  <c r="T34"/>
  <c r="CP129" i="9"/>
  <c r="BJ129" s="1"/>
  <c r="O22" i="96"/>
  <c r="Q22" s="1"/>
  <c r="S22" s="1"/>
  <c r="G9" i="86"/>
  <c r="BQ130" i="7"/>
  <c r="BQ132"/>
  <c r="N34" i="94"/>
  <c r="F34"/>
  <c r="BQ59" i="7"/>
  <c r="BQ60"/>
  <c r="BQ62"/>
  <c r="BQ57"/>
  <c r="G34" i="94"/>
  <c r="E34"/>
  <c r="W35" i="93"/>
  <c r="J34" i="94"/>
  <c r="BR129" i="9"/>
  <c r="CQ129" s="1"/>
  <c r="CQ130"/>
  <c r="BJ125"/>
  <c r="CQ125"/>
  <c r="G22" i="86"/>
  <c r="G35" i="85"/>
  <c r="G10" i="89"/>
  <c r="G42" s="1"/>
  <c r="G35" i="88"/>
  <c r="G11" i="90"/>
  <c r="G49" s="1"/>
  <c r="BB117" i="7"/>
  <c r="AW27" i="8"/>
  <c r="AX27" s="1"/>
  <c r="AX33"/>
  <c r="AX44"/>
  <c r="AX42" s="1"/>
  <c r="AX85" s="1"/>
  <c r="AW42"/>
  <c r="AW85" s="1"/>
  <c r="E15" i="87" s="1"/>
  <c r="AW81" i="8"/>
  <c r="AX23"/>
  <c r="AX81" s="1"/>
  <c r="AW86"/>
  <c r="AX46"/>
  <c r="AX86" s="1"/>
  <c r="AW78"/>
  <c r="AX18"/>
  <c r="AW17"/>
  <c r="AX19"/>
  <c r="AX83" s="1"/>
  <c r="AW83"/>
  <c r="AW84"/>
  <c r="AX26"/>
  <c r="AX24"/>
  <c r="AW82"/>
  <c r="AW25"/>
  <c r="AW79"/>
  <c r="E21" i="87" s="1"/>
  <c r="E21" i="88" s="1"/>
  <c r="AX20" i="8"/>
  <c r="AX79" s="1"/>
  <c r="BB35" i="7"/>
  <c r="K18" i="89"/>
  <c r="AB169" i="116" l="1"/>
  <c r="AD118"/>
  <c r="AD169" s="1"/>
  <c r="F9" i="90"/>
  <c r="F42" s="1"/>
  <c r="F24"/>
  <c r="BJ99" i="8"/>
  <c r="BJ101"/>
  <c r="BJ102" s="1"/>
  <c r="F9" i="88"/>
  <c r="F22"/>
  <c r="R63" i="95"/>
  <c r="E90" i="94"/>
  <c r="W90" s="1"/>
  <c r="F167" i="93"/>
  <c r="N167"/>
  <c r="V167"/>
  <c r="H167"/>
  <c r="P167"/>
  <c r="E169"/>
  <c r="E92" i="94" s="1"/>
  <c r="G167" i="93"/>
  <c r="K167"/>
  <c r="O167"/>
  <c r="S167"/>
  <c r="W167"/>
  <c r="J167"/>
  <c r="R167"/>
  <c r="L167"/>
  <c r="T167"/>
  <c r="I167"/>
  <c r="M167"/>
  <c r="Q167"/>
  <c r="U167"/>
  <c r="E166"/>
  <c r="E89" i="94" s="1"/>
  <c r="B90"/>
  <c r="B169" i="93"/>
  <c r="B92" i="94" s="1"/>
  <c r="B166" i="93"/>
  <c r="B89" i="94" s="1"/>
  <c r="E113"/>
  <c r="W113" s="1"/>
  <c r="N190" i="93"/>
  <c r="R190"/>
  <c r="L190"/>
  <c r="T190"/>
  <c r="I190"/>
  <c r="M190"/>
  <c r="Q190"/>
  <c r="U190"/>
  <c r="E192"/>
  <c r="E115" i="94" s="1"/>
  <c r="W190" i="93"/>
  <c r="F190"/>
  <c r="V190"/>
  <c r="J190"/>
  <c r="H190"/>
  <c r="P190"/>
  <c r="G190"/>
  <c r="K190"/>
  <c r="O190"/>
  <c r="S190"/>
  <c r="E189"/>
  <c r="E112" i="94" s="1"/>
  <c r="B113"/>
  <c r="B192" i="93"/>
  <c r="B115" i="94" s="1"/>
  <c r="B189" i="93"/>
  <c r="B112" i="94" s="1"/>
  <c r="F217" i="91"/>
  <c r="J217"/>
  <c r="N217"/>
  <c r="R217"/>
  <c r="V217"/>
  <c r="I217"/>
  <c r="M217"/>
  <c r="Q217"/>
  <c r="H217"/>
  <c r="L217"/>
  <c r="P217"/>
  <c r="T217"/>
  <c r="G217"/>
  <c r="K217"/>
  <c r="O217"/>
  <c r="S217"/>
  <c r="E219"/>
  <c r="E127" i="92" s="1"/>
  <c r="U217" i="91"/>
  <c r="W217"/>
  <c r="E125" i="92"/>
  <c r="W125" s="1"/>
  <c r="E216" i="91"/>
  <c r="E124" i="92" s="1"/>
  <c r="E102"/>
  <c r="W102" s="1"/>
  <c r="V194" i="91"/>
  <c r="R194"/>
  <c r="N194"/>
  <c r="J194"/>
  <c r="F194"/>
  <c r="U194"/>
  <c r="Q194"/>
  <c r="M194"/>
  <c r="I194"/>
  <c r="T194"/>
  <c r="P194"/>
  <c r="L194"/>
  <c r="H194"/>
  <c r="W194"/>
  <c r="S194"/>
  <c r="O194"/>
  <c r="K194"/>
  <c r="G194"/>
  <c r="E196"/>
  <c r="E104" i="92" s="1"/>
  <c r="E193" i="91"/>
  <c r="E101" i="92" s="1"/>
  <c r="H35" i="88"/>
  <c r="H11" i="90"/>
  <c r="H49" s="1"/>
  <c r="BQ135" i="7"/>
  <c r="BQ136" s="1"/>
  <c r="BQ133"/>
  <c r="G35" i="86"/>
  <c r="G11" i="89"/>
  <c r="G48" s="1"/>
  <c r="BQ63" i="7"/>
  <c r="BO62"/>
  <c r="BO63" s="1"/>
  <c r="W34" i="94"/>
  <c r="AX84" i="8"/>
  <c r="AW49"/>
  <c r="AW60" s="1"/>
  <c r="AX82"/>
  <c r="AX25"/>
  <c r="AX78"/>
  <c r="AX17"/>
  <c r="AX49" s="1"/>
  <c r="E11" i="87"/>
  <c r="AW63" i="8"/>
  <c r="E12" i="87"/>
  <c r="E12" i="88" s="1"/>
  <c r="AW89" i="8"/>
  <c r="E13" i="87"/>
  <c r="E15" i="88"/>
  <c r="E13" s="1"/>
  <c r="F35" l="1"/>
  <c r="F11" i="90"/>
  <c r="F49" s="1"/>
  <c r="O113" i="94"/>
  <c r="O192" i="93"/>
  <c r="O115" i="94" s="1"/>
  <c r="O189" i="93"/>
  <c r="O112" i="94" s="1"/>
  <c r="G113"/>
  <c r="G192" i="93"/>
  <c r="G115" i="94" s="1"/>
  <c r="G189" i="93"/>
  <c r="G112" i="94" s="1"/>
  <c r="H113"/>
  <c r="H192" i="93"/>
  <c r="H115" i="94" s="1"/>
  <c r="H189" i="93"/>
  <c r="H112" i="94" s="1"/>
  <c r="V113"/>
  <c r="V192" i="93"/>
  <c r="V115" i="94" s="1"/>
  <c r="V189" i="93"/>
  <c r="V112" i="94" s="1"/>
  <c r="W192" i="93"/>
  <c r="W189"/>
  <c r="U113" i="94"/>
  <c r="U192" i="93"/>
  <c r="U115" i="94" s="1"/>
  <c r="U189" i="93"/>
  <c r="U112" i="94" s="1"/>
  <c r="M113"/>
  <c r="M192" i="93"/>
  <c r="M115" i="94" s="1"/>
  <c r="M189" i="93"/>
  <c r="M112" i="94" s="1"/>
  <c r="T113"/>
  <c r="T192" i="93"/>
  <c r="T115" i="94" s="1"/>
  <c r="T189" i="93"/>
  <c r="T112" i="94" s="1"/>
  <c r="R113"/>
  <c r="R192" i="93"/>
  <c r="R115" i="94" s="1"/>
  <c r="R189" i="93"/>
  <c r="R112" i="94" s="1"/>
  <c r="W115"/>
  <c r="W112"/>
  <c r="Q90"/>
  <c r="Q169" i="93"/>
  <c r="Q92" i="94" s="1"/>
  <c r="Q166" i="93"/>
  <c r="Q89" i="94" s="1"/>
  <c r="I90"/>
  <c r="I169" i="93"/>
  <c r="I92" i="94" s="1"/>
  <c r="I166" i="93"/>
  <c r="I89" i="94" s="1"/>
  <c r="L90"/>
  <c r="L169" i="93"/>
  <c r="L92" i="94" s="1"/>
  <c r="L166" i="93"/>
  <c r="L89" i="94" s="1"/>
  <c r="J90"/>
  <c r="J169" i="93"/>
  <c r="J92" i="94" s="1"/>
  <c r="J166" i="93"/>
  <c r="J89" i="94" s="1"/>
  <c r="S90"/>
  <c r="S169" i="93"/>
  <c r="S92" i="94" s="1"/>
  <c r="S166" i="93"/>
  <c r="S89" i="94" s="1"/>
  <c r="K90"/>
  <c r="K169" i="93"/>
  <c r="K92" i="94" s="1"/>
  <c r="K166" i="93"/>
  <c r="K89" i="94" s="1"/>
  <c r="H90"/>
  <c r="H169" i="93"/>
  <c r="H92" i="94" s="1"/>
  <c r="H166" i="93"/>
  <c r="H89" i="94" s="1"/>
  <c r="N90"/>
  <c r="N169" i="93"/>
  <c r="N92" i="94" s="1"/>
  <c r="N166" i="93"/>
  <c r="N89" i="94" s="1"/>
  <c r="W92"/>
  <c r="W89"/>
  <c r="S113"/>
  <c r="S192" i="93"/>
  <c r="S115" i="94" s="1"/>
  <c r="S189" i="93"/>
  <c r="S112" i="94" s="1"/>
  <c r="K113"/>
  <c r="K192" i="93"/>
  <c r="K115" i="94" s="1"/>
  <c r="K189" i="93"/>
  <c r="K112" i="94" s="1"/>
  <c r="P113"/>
  <c r="P192" i="93"/>
  <c r="P115" i="94" s="1"/>
  <c r="P189" i="93"/>
  <c r="P112" i="94" s="1"/>
  <c r="J113"/>
  <c r="J192" i="93"/>
  <c r="J115" i="94" s="1"/>
  <c r="J189" i="93"/>
  <c r="J112" i="94" s="1"/>
  <c r="F113"/>
  <c r="F192" i="93"/>
  <c r="F115" i="94" s="1"/>
  <c r="F189" i="93"/>
  <c r="F112" i="94" s="1"/>
  <c r="Q113"/>
  <c r="Q192" i="93"/>
  <c r="Q115" i="94" s="1"/>
  <c r="Q189" i="93"/>
  <c r="Q112" i="94" s="1"/>
  <c r="I113"/>
  <c r="I192" i="93"/>
  <c r="I115" i="94" s="1"/>
  <c r="I189" i="93"/>
  <c r="I112" i="94" s="1"/>
  <c r="L113"/>
  <c r="L192" i="93"/>
  <c r="L115" i="94" s="1"/>
  <c r="L189" i="93"/>
  <c r="L112" i="94" s="1"/>
  <c r="N113"/>
  <c r="N192" i="93"/>
  <c r="N115" i="94" s="1"/>
  <c r="N189" i="93"/>
  <c r="N112" i="94" s="1"/>
  <c r="U90"/>
  <c r="U169" i="93"/>
  <c r="U92" i="94" s="1"/>
  <c r="U166" i="93"/>
  <c r="U89" i="94" s="1"/>
  <c r="M90"/>
  <c r="M169" i="93"/>
  <c r="M92" i="94" s="1"/>
  <c r="M166" i="93"/>
  <c r="M89" i="94" s="1"/>
  <c r="T90"/>
  <c r="T169" i="93"/>
  <c r="T92" i="94" s="1"/>
  <c r="T166" i="93"/>
  <c r="T89" i="94" s="1"/>
  <c r="R90"/>
  <c r="R169" i="93"/>
  <c r="R92" i="94" s="1"/>
  <c r="R166" i="93"/>
  <c r="R89" i="94" s="1"/>
  <c r="W169" i="93"/>
  <c r="W166"/>
  <c r="O90" i="94"/>
  <c r="O169" i="93"/>
  <c r="O92" i="94" s="1"/>
  <c r="O166" i="93"/>
  <c r="O89" i="94" s="1"/>
  <c r="G90"/>
  <c r="G169" i="93"/>
  <c r="G92" i="94" s="1"/>
  <c r="G166" i="93"/>
  <c r="G89" i="94" s="1"/>
  <c r="P90"/>
  <c r="P169" i="93"/>
  <c r="P92" i="94" s="1"/>
  <c r="P166" i="93"/>
  <c r="P89" i="94" s="1"/>
  <c r="V90"/>
  <c r="V169" i="93"/>
  <c r="V92" i="94" s="1"/>
  <c r="V166" i="93"/>
  <c r="V89" i="94" s="1"/>
  <c r="F90"/>
  <c r="F169" i="93"/>
  <c r="F92" i="94" s="1"/>
  <c r="F166" i="93"/>
  <c r="F89" i="94" s="1"/>
  <c r="O102" i="92"/>
  <c r="O196" i="91"/>
  <c r="O104" i="92" s="1"/>
  <c r="O193" i="91"/>
  <c r="O101" i="92" s="1"/>
  <c r="K102"/>
  <c r="K196" i="91"/>
  <c r="K104" i="92" s="1"/>
  <c r="K193" i="91"/>
  <c r="K101" i="92" s="1"/>
  <c r="S102"/>
  <c r="S196" i="91"/>
  <c r="S104" i="92" s="1"/>
  <c r="S193" i="91"/>
  <c r="S101" i="92" s="1"/>
  <c r="H102"/>
  <c r="H196" i="91"/>
  <c r="H104" i="92" s="1"/>
  <c r="H193" i="91"/>
  <c r="H101" i="92" s="1"/>
  <c r="P102"/>
  <c r="P196" i="91"/>
  <c r="P104" i="92" s="1"/>
  <c r="P193" i="91"/>
  <c r="P101" i="92" s="1"/>
  <c r="I102"/>
  <c r="I196" i="91"/>
  <c r="I104" i="92" s="1"/>
  <c r="I193" i="91"/>
  <c r="I101" i="92" s="1"/>
  <c r="Q102"/>
  <c r="Q196" i="91"/>
  <c r="Q104" i="92" s="1"/>
  <c r="Q193" i="91"/>
  <c r="Q101" i="92" s="1"/>
  <c r="F102"/>
  <c r="F196" i="91"/>
  <c r="F104" i="92" s="1"/>
  <c r="F193" i="91"/>
  <c r="F101" i="92" s="1"/>
  <c r="N102"/>
  <c r="N196" i="91"/>
  <c r="N104" i="92" s="1"/>
  <c r="N193" i="91"/>
  <c r="N101" i="92" s="1"/>
  <c r="V102"/>
  <c r="V196" i="91"/>
  <c r="V104" i="92" s="1"/>
  <c r="V193" i="91"/>
  <c r="V101" i="92" s="1"/>
  <c r="W219" i="91"/>
  <c r="W216"/>
  <c r="O125" i="92"/>
  <c r="O219" i="91"/>
  <c r="O127" i="92" s="1"/>
  <c r="O216" i="91"/>
  <c r="O124" i="92" s="1"/>
  <c r="G125"/>
  <c r="G219" i="91"/>
  <c r="G127" i="92" s="1"/>
  <c r="G216" i="91"/>
  <c r="G124" i="92" s="1"/>
  <c r="P125"/>
  <c r="P219" i="91"/>
  <c r="P127" i="92" s="1"/>
  <c r="P216" i="91"/>
  <c r="P124" i="92" s="1"/>
  <c r="H125"/>
  <c r="H219" i="91"/>
  <c r="H127" i="92" s="1"/>
  <c r="H216" i="91"/>
  <c r="H124" i="92" s="1"/>
  <c r="M125"/>
  <c r="M219" i="91"/>
  <c r="M127" i="92" s="1"/>
  <c r="M216" i="91"/>
  <c r="M124" i="92" s="1"/>
  <c r="V125"/>
  <c r="V219" i="91"/>
  <c r="V127" i="92" s="1"/>
  <c r="V216" i="91"/>
  <c r="V124" i="92" s="1"/>
  <c r="N125"/>
  <c r="N219" i="91"/>
  <c r="N127" i="92" s="1"/>
  <c r="N216" i="91"/>
  <c r="N124" i="92" s="1"/>
  <c r="F125"/>
  <c r="F219" i="91"/>
  <c r="F127" i="92" s="1"/>
  <c r="F216" i="91"/>
  <c r="F124" i="92" s="1"/>
  <c r="G102"/>
  <c r="G196" i="91"/>
  <c r="G104" i="92" s="1"/>
  <c r="G193" i="91"/>
  <c r="G101" i="92" s="1"/>
  <c r="W196" i="91"/>
  <c r="W193"/>
  <c r="L102" i="92"/>
  <c r="L196" i="91"/>
  <c r="L104" i="92" s="1"/>
  <c r="L193" i="91"/>
  <c r="L101" i="92" s="1"/>
  <c r="T102"/>
  <c r="T196" i="91"/>
  <c r="T104" i="92" s="1"/>
  <c r="T193" i="91"/>
  <c r="T101" i="92" s="1"/>
  <c r="M102"/>
  <c r="M196" i="91"/>
  <c r="M104" i="92" s="1"/>
  <c r="M193" i="91"/>
  <c r="M101" i="92" s="1"/>
  <c r="U102"/>
  <c r="U196" i="91"/>
  <c r="U104" i="92" s="1"/>
  <c r="U193" i="91"/>
  <c r="U101" i="92" s="1"/>
  <c r="J102"/>
  <c r="J196" i="91"/>
  <c r="J104" i="92" s="1"/>
  <c r="J193" i="91"/>
  <c r="J101" i="92" s="1"/>
  <c r="R102"/>
  <c r="R196" i="91"/>
  <c r="R104" i="92" s="1"/>
  <c r="R193" i="91"/>
  <c r="R101" i="92" s="1"/>
  <c r="W104"/>
  <c r="W101"/>
  <c r="W127"/>
  <c r="W124"/>
  <c r="U125"/>
  <c r="U219" i="91"/>
  <c r="U127" i="92" s="1"/>
  <c r="U216" i="91"/>
  <c r="U124" i="92" s="1"/>
  <c r="S125"/>
  <c r="S219" i="91"/>
  <c r="S127" i="92" s="1"/>
  <c r="S216" i="91"/>
  <c r="S124" i="92" s="1"/>
  <c r="K125"/>
  <c r="K219" i="91"/>
  <c r="K127" i="92" s="1"/>
  <c r="K216" i="91"/>
  <c r="K124" i="92" s="1"/>
  <c r="T125"/>
  <c r="T219" i="91"/>
  <c r="T127" i="92" s="1"/>
  <c r="T216" i="91"/>
  <c r="T124" i="92" s="1"/>
  <c r="L125"/>
  <c r="L219" i="91"/>
  <c r="L127" i="92" s="1"/>
  <c r="L216" i="91"/>
  <c r="L124" i="92" s="1"/>
  <c r="Q125"/>
  <c r="Q219" i="91"/>
  <c r="Q127" i="92" s="1"/>
  <c r="Q216" i="91"/>
  <c r="Q124" i="92" s="1"/>
  <c r="I125"/>
  <c r="I219" i="91"/>
  <c r="I127" i="92" s="1"/>
  <c r="I216" i="91"/>
  <c r="I124" i="92" s="1"/>
  <c r="R125"/>
  <c r="R219" i="91"/>
  <c r="R127" i="92" s="1"/>
  <c r="R216" i="91"/>
  <c r="R124" i="92" s="1"/>
  <c r="J125"/>
  <c r="J219" i="91"/>
  <c r="J127" i="92" s="1"/>
  <c r="J216" i="91"/>
  <c r="J124" i="92" s="1"/>
  <c r="AX89" i="8"/>
  <c r="AW62"/>
  <c r="AW66"/>
  <c r="E10" i="90" s="1"/>
  <c r="E43" s="1"/>
  <c r="AW98" i="8"/>
  <c r="AW96"/>
  <c r="E11" i="88"/>
  <c r="E10" s="1"/>
  <c r="E10" i="87"/>
  <c r="AX60" i="8"/>
  <c r="AX63"/>
  <c r="AX62"/>
  <c r="AX66"/>
  <c r="AW67" l="1"/>
  <c r="AX98"/>
  <c r="AX96"/>
  <c r="E22" i="88"/>
  <c r="E9"/>
  <c r="E35" s="1"/>
  <c r="AW99" i="8"/>
  <c r="AW101"/>
  <c r="AW102" s="1"/>
  <c r="E11" i="90"/>
  <c r="E49" s="1"/>
  <c r="AX67" i="8"/>
  <c r="E22" i="87"/>
  <c r="E9"/>
  <c r="E36" s="1"/>
  <c r="AX101" i="8" l="1"/>
  <c r="AX102" s="1"/>
  <c r="AX99"/>
  <c r="V200" i="6" l="1"/>
  <c r="V199"/>
  <c r="V198"/>
  <c r="V207"/>
  <c r="V205"/>
  <c r="V204"/>
  <c r="V202"/>
  <c r="V201"/>
  <c r="AB202" l="1"/>
  <c r="AB198"/>
  <c r="AR202"/>
  <c r="AM202"/>
  <c r="AG202"/>
  <c r="AQ202"/>
  <c r="AK202"/>
  <c r="AC202"/>
  <c r="X202"/>
  <c r="AD202"/>
  <c r="AF202"/>
  <c r="AH202"/>
  <c r="AL202"/>
  <c r="AP202"/>
  <c r="AN202" l="1"/>
  <c r="AI202"/>
  <c r="AA202"/>
  <c r="AS202"/>
  <c r="AE202"/>
  <c r="AW202"/>
  <c r="W47" i="93" l="1"/>
  <c r="AJ202" i="6"/>
  <c r="AK207"/>
  <c r="AB222"/>
  <c r="AB221"/>
  <c r="AB216"/>
  <c r="AB207"/>
  <c r="AB205"/>
  <c r="AB204"/>
  <c r="AB201"/>
  <c r="AB200"/>
  <c r="AB199"/>
  <c r="AB206"/>
  <c r="AO202" l="1"/>
  <c r="AB203"/>
  <c r="X247"/>
  <c r="Z237"/>
  <c r="V216"/>
  <c r="Z222"/>
  <c r="Z221"/>
  <c r="AH237"/>
  <c r="AG237"/>
  <c r="AF237"/>
  <c r="AD237"/>
  <c r="AC237"/>
  <c r="AH236"/>
  <c r="AG236"/>
  <c r="AF236"/>
  <c r="AD236"/>
  <c r="AC236"/>
  <c r="AP222"/>
  <c r="AR221"/>
  <c r="AQ205"/>
  <c r="AM205"/>
  <c r="AK205"/>
  <c r="AG205"/>
  <c r="AC205"/>
  <c r="AR205"/>
  <c r="AQ201"/>
  <c r="AM201"/>
  <c r="AK201"/>
  <c r="AG201"/>
  <c r="AC201"/>
  <c r="AR201"/>
  <c r="AP200"/>
  <c r="AF198"/>
  <c r="X207"/>
  <c r="X205"/>
  <c r="X204"/>
  <c r="X201"/>
  <c r="X200"/>
  <c r="X199"/>
  <c r="X198"/>
  <c r="X197"/>
  <c r="AQ207" l="1"/>
  <c r="AI236"/>
  <c r="AE237"/>
  <c r="AA197"/>
  <c r="AA199"/>
  <c r="AA201"/>
  <c r="AE236"/>
  <c r="AI237"/>
  <c r="AA247"/>
  <c r="AB197"/>
  <c r="AQ206"/>
  <c r="AD207"/>
  <c r="AG207"/>
  <c r="AL207"/>
  <c r="AP207"/>
  <c r="AR207"/>
  <c r="AA207"/>
  <c r="AC207"/>
  <c r="AF207"/>
  <c r="AH207"/>
  <c r="AM207"/>
  <c r="AA205"/>
  <c r="AA204"/>
  <c r="AA200"/>
  <c r="AA198"/>
  <c r="AG221"/>
  <c r="AM221"/>
  <c r="AC221"/>
  <c r="AK221"/>
  <c r="AQ221"/>
  <c r="AQ204"/>
  <c r="AM204"/>
  <c r="AK204"/>
  <c r="AG204"/>
  <c r="AC204"/>
  <c r="AK206"/>
  <c r="AD198"/>
  <c r="AH198"/>
  <c r="AD200"/>
  <c r="AH200"/>
  <c r="AR200"/>
  <c r="AC198"/>
  <c r="AG198"/>
  <c r="AC200"/>
  <c r="AG200"/>
  <c r="AK200"/>
  <c r="AM200"/>
  <c r="AQ200"/>
  <c r="AD201"/>
  <c r="AF201"/>
  <c r="AH201"/>
  <c r="AL201"/>
  <c r="AP201"/>
  <c r="AD204"/>
  <c r="AH204"/>
  <c r="AL204"/>
  <c r="AP204"/>
  <c r="AE207"/>
  <c r="AS207"/>
  <c r="AD222"/>
  <c r="AH222"/>
  <c r="AL222"/>
  <c r="AQ222"/>
  <c r="AM222"/>
  <c r="AK222"/>
  <c r="AG222"/>
  <c r="AC222"/>
  <c r="AF200"/>
  <c r="AL200"/>
  <c r="AF204"/>
  <c r="AR204"/>
  <c r="AW207"/>
  <c r="AF222"/>
  <c r="AR222"/>
  <c r="AD205"/>
  <c r="AF205"/>
  <c r="AH205"/>
  <c r="AL205"/>
  <c r="AP205"/>
  <c r="AD221"/>
  <c r="AF221"/>
  <c r="AH221"/>
  <c r="AL221"/>
  <c r="AP221"/>
  <c r="AJ237"/>
  <c r="W50" i="93" l="1"/>
  <c r="AI207" i="6"/>
  <c r="W46" i="93"/>
  <c r="AN207" i="6"/>
  <c r="AJ236"/>
  <c r="W75" i="93"/>
  <c r="W52"/>
  <c r="AK237" i="6"/>
  <c r="W76" i="93"/>
  <c r="W45"/>
  <c r="W49"/>
  <c r="C42" i="94"/>
  <c r="AM206" i="6"/>
  <c r="AF206"/>
  <c r="AR206"/>
  <c r="AL206"/>
  <c r="AD206"/>
  <c r="AH206"/>
  <c r="AC206"/>
  <c r="AP206"/>
  <c r="AG206"/>
  <c r="AI222"/>
  <c r="AS222"/>
  <c r="AS221"/>
  <c r="AE221"/>
  <c r="AN205"/>
  <c r="AE200"/>
  <c r="AS205"/>
  <c r="AE205"/>
  <c r="AJ207"/>
  <c r="AL203"/>
  <c r="AW201"/>
  <c r="AI201"/>
  <c r="AS200"/>
  <c r="AC203"/>
  <c r="AQ203"/>
  <c r="AS201"/>
  <c r="AG203"/>
  <c r="AM203"/>
  <c r="AE201"/>
  <c r="AE198"/>
  <c r="AN221"/>
  <c r="AE222"/>
  <c r="AI204"/>
  <c r="AF203"/>
  <c r="AS204"/>
  <c r="AP203"/>
  <c r="AK203"/>
  <c r="AN204"/>
  <c r="AI221"/>
  <c r="AI205"/>
  <c r="AW222"/>
  <c r="AW221"/>
  <c r="AI200"/>
  <c r="AN222"/>
  <c r="AH203"/>
  <c r="AW200"/>
  <c r="AE204"/>
  <c r="AN201"/>
  <c r="AI198"/>
  <c r="AR203"/>
  <c r="AW204"/>
  <c r="AG199"/>
  <c r="AH199"/>
  <c r="AF199"/>
  <c r="AD199"/>
  <c r="AC199"/>
  <c r="AD203"/>
  <c r="AN200"/>
  <c r="AW205"/>
  <c r="AJ201" l="1"/>
  <c r="AJ205"/>
  <c r="W48" i="93"/>
  <c r="AH197" i="6"/>
  <c r="AC197"/>
  <c r="AF197"/>
  <c r="AG197"/>
  <c r="AD197"/>
  <c r="AW206"/>
  <c r="W51" i="93"/>
  <c r="AE206" i="6"/>
  <c r="AN206"/>
  <c r="AS206"/>
  <c r="AI206"/>
  <c r="AJ222"/>
  <c r="AJ221"/>
  <c r="AJ198"/>
  <c r="AJ200"/>
  <c r="AN203"/>
  <c r="AO201"/>
  <c r="AO205"/>
  <c r="AO207"/>
  <c r="AE203"/>
  <c r="AI199"/>
  <c r="AR237"/>
  <c r="AP237"/>
  <c r="AL237"/>
  <c r="AQ237"/>
  <c r="AM237"/>
  <c r="AE199"/>
  <c r="AW203"/>
  <c r="AJ204"/>
  <c r="AS203"/>
  <c r="AI203"/>
  <c r="W97" i="93" l="1"/>
  <c r="AJ206" i="6"/>
  <c r="AK198"/>
  <c r="AO222"/>
  <c r="AO221"/>
  <c r="AJ203"/>
  <c r="AO204"/>
  <c r="AO200"/>
  <c r="AE197"/>
  <c r="AJ199"/>
  <c r="AN237"/>
  <c r="AI197"/>
  <c r="AP198"/>
  <c r="AS237"/>
  <c r="AW237"/>
  <c r="AO203" l="1"/>
  <c r="AO237"/>
  <c r="AO206"/>
  <c r="AM198"/>
  <c r="AK199"/>
  <c r="AL198"/>
  <c r="AR198"/>
  <c r="AQ198"/>
  <c r="AJ197"/>
  <c r="AN198" l="1"/>
  <c r="AK197"/>
  <c r="W43" i="93"/>
  <c r="AM199" i="6"/>
  <c r="AL199"/>
  <c r="AR199"/>
  <c r="AS198"/>
  <c r="AQ199"/>
  <c r="AP199"/>
  <c r="AW198"/>
  <c r="AO198" l="1"/>
  <c r="AQ197"/>
  <c r="AP197"/>
  <c r="AL197"/>
  <c r="AR197"/>
  <c r="AM197"/>
  <c r="AW199"/>
  <c r="AN199"/>
  <c r="AS199"/>
  <c r="W44" i="93" l="1"/>
  <c r="AW197" i="6"/>
  <c r="AN197"/>
  <c r="AO197" s="1"/>
  <c r="W42" i="93"/>
  <c r="AS197" i="6"/>
  <c r="AO199"/>
  <c r="AD146" i="5"/>
  <c r="AC146"/>
  <c r="AB146"/>
  <c r="AA146"/>
  <c r="Z146"/>
  <c r="Y146"/>
  <c r="U146"/>
  <c r="AG145"/>
  <c r="AG146" s="1"/>
  <c r="AF145"/>
  <c r="AF146" s="1"/>
  <c r="AE145"/>
  <c r="AE146" s="1"/>
  <c r="X145"/>
  <c r="X146" s="1"/>
  <c r="W145"/>
  <c r="W146" s="1"/>
  <c r="X318" i="6"/>
  <c r="W318"/>
  <c r="V318"/>
  <c r="Y317"/>
  <c r="Y316"/>
  <c r="Y315"/>
  <c r="Y314"/>
  <c r="Y313"/>
  <c r="Y312"/>
  <c r="Y311"/>
  <c r="X309"/>
  <c r="W309"/>
  <c r="V309"/>
  <c r="Y308"/>
  <c r="Y307"/>
  <c r="Y306"/>
  <c r="Y305"/>
  <c r="Y304"/>
  <c r="Y303"/>
  <c r="Y302"/>
  <c r="Y301"/>
  <c r="Y300"/>
  <c r="X298"/>
  <c r="W298"/>
  <c r="V298"/>
  <c r="Y297"/>
  <c r="Y296"/>
  <c r="Y295"/>
  <c r="Y294"/>
  <c r="Y293"/>
  <c r="Y292"/>
  <c r="Y291"/>
  <c r="Y289"/>
  <c r="Y288"/>
  <c r="Y287"/>
  <c r="Y286"/>
  <c r="Y285"/>
  <c r="Y284"/>
  <c r="Y282"/>
  <c r="Y281"/>
  <c r="Y280"/>
  <c r="Y279"/>
  <c r="Y278"/>
  <c r="Y277"/>
  <c r="Y276"/>
  <c r="X274"/>
  <c r="V274"/>
  <c r="Y273"/>
  <c r="Y272"/>
  <c r="Y271"/>
  <c r="Y270"/>
  <c r="Y269"/>
  <c r="Y268"/>
  <c r="Y267"/>
  <c r="V236"/>
  <c r="V257"/>
  <c r="V258" s="1"/>
  <c r="Y309" l="1"/>
  <c r="Z304"/>
  <c r="Y318"/>
  <c r="Z302"/>
  <c r="Z306"/>
  <c r="Z308"/>
  <c r="Z301"/>
  <c r="Z303"/>
  <c r="Z305"/>
  <c r="Z307"/>
  <c r="Y298"/>
  <c r="Z277" s="1"/>
  <c r="Z300"/>
  <c r="Z279"/>
  <c r="Z295"/>
  <c r="AK236"/>
  <c r="Z236"/>
  <c r="AH146" i="5"/>
  <c r="AI145"/>
  <c r="V233" i="6"/>
  <c r="V232"/>
  <c r="V231"/>
  <c r="V230"/>
  <c r="V228"/>
  <c r="V227"/>
  <c r="V226"/>
  <c r="V209"/>
  <c r="V210"/>
  <c r="Y197"/>
  <c r="V223"/>
  <c r="V225"/>
  <c r="V211"/>
  <c r="V212"/>
  <c r="V213"/>
  <c r="V214"/>
  <c r="V215"/>
  <c r="V217"/>
  <c r="V218"/>
  <c r="V219"/>
  <c r="V220"/>
  <c r="Y247"/>
  <c r="V256"/>
  <c r="V255"/>
  <c r="V253"/>
  <c r="V251"/>
  <c r="V250"/>
  <c r="V249"/>
  <c r="Z290"/>
  <c r="Z289"/>
  <c r="Z288"/>
  <c r="Z287"/>
  <c r="Z286"/>
  <c r="Z285"/>
  <c r="Z284"/>
  <c r="Z283"/>
  <c r="V235"/>
  <c r="V238"/>
  <c r="V239"/>
  <c r="V240"/>
  <c r="V241"/>
  <c r="V242"/>
  <c r="V244"/>
  <c r="V248"/>
  <c r="Z278"/>
  <c r="Z280"/>
  <c r="Z282"/>
  <c r="Z292"/>
  <c r="Z294"/>
  <c r="Z296"/>
  <c r="Z312"/>
  <c r="Z314"/>
  <c r="Z316"/>
  <c r="Z313"/>
  <c r="Z315"/>
  <c r="Z317"/>
  <c r="Y274"/>
  <c r="Z269" s="1"/>
  <c r="Z276"/>
  <c r="Z311"/>
  <c r="Z318" l="1"/>
  <c r="Z291"/>
  <c r="X239"/>
  <c r="Z210"/>
  <c r="X241"/>
  <c r="X235"/>
  <c r="AB248"/>
  <c r="X242"/>
  <c r="X240"/>
  <c r="X238"/>
  <c r="AP225"/>
  <c r="AG225"/>
  <c r="AD225"/>
  <c r="AB225"/>
  <c r="AQ225"/>
  <c r="AM225"/>
  <c r="AF225"/>
  <c r="AC225"/>
  <c r="AB209"/>
  <c r="X209"/>
  <c r="Z297"/>
  <c r="Z293"/>
  <c r="Z281"/>
  <c r="Z309"/>
  <c r="X248"/>
  <c r="AB249"/>
  <c r="AA248"/>
  <c r="X249"/>
  <c r="X251"/>
  <c r="AB251"/>
  <c r="AA251"/>
  <c r="X255"/>
  <c r="AK255"/>
  <c r="AB255"/>
  <c r="X250"/>
  <c r="AB250"/>
  <c r="AA250"/>
  <c r="X253"/>
  <c r="AB253"/>
  <c r="AA253"/>
  <c r="X256"/>
  <c r="AB256"/>
  <c r="AA256"/>
  <c r="AB246"/>
  <c r="Z246"/>
  <c r="AB242"/>
  <c r="Z242"/>
  <c r="AB238"/>
  <c r="Z238"/>
  <c r="AB244"/>
  <c r="Z244"/>
  <c r="AB241"/>
  <c r="Z241"/>
  <c r="AB239"/>
  <c r="Z239"/>
  <c r="AB235"/>
  <c r="Z235"/>
  <c r="AB240"/>
  <c r="Z240"/>
  <c r="AB220"/>
  <c r="Z220"/>
  <c r="AB218"/>
  <c r="Z218"/>
  <c r="AB215"/>
  <c r="Z215"/>
  <c r="AB213"/>
  <c r="Z213"/>
  <c r="AB211"/>
  <c r="Z211"/>
  <c r="AB223"/>
  <c r="Z223"/>
  <c r="AB226"/>
  <c r="Z226"/>
  <c r="AB228"/>
  <c r="Z228"/>
  <c r="AB231"/>
  <c r="Z231"/>
  <c r="AB233"/>
  <c r="Z233"/>
  <c r="AB219"/>
  <c r="Z219"/>
  <c r="AB217"/>
  <c r="Z217"/>
  <c r="AB214"/>
  <c r="Z214"/>
  <c r="AB212"/>
  <c r="Z212"/>
  <c r="AB227"/>
  <c r="Z227"/>
  <c r="AQ230"/>
  <c r="AM230"/>
  <c r="AH230"/>
  <c r="AF230"/>
  <c r="AC230"/>
  <c r="AR230"/>
  <c r="AP230"/>
  <c r="AL230"/>
  <c r="AG230"/>
  <c r="AD230"/>
  <c r="AK230"/>
  <c r="AB230"/>
  <c r="AB232"/>
  <c r="Z232"/>
  <c r="AQ255"/>
  <c r="AM255"/>
  <c r="AG255"/>
  <c r="AD255"/>
  <c r="AR255"/>
  <c r="AP255"/>
  <c r="AL255"/>
  <c r="AH255"/>
  <c r="AF255"/>
  <c r="AC255"/>
  <c r="AP236"/>
  <c r="AQ236"/>
  <c r="AR236"/>
  <c r="AL236"/>
  <c r="AM236"/>
  <c r="V243"/>
  <c r="Y249"/>
  <c r="Z251"/>
  <c r="Y251"/>
  <c r="Z255"/>
  <c r="Y255"/>
  <c r="V254"/>
  <c r="Z205"/>
  <c r="Y205"/>
  <c r="Y199"/>
  <c r="V245"/>
  <c r="Z250"/>
  <c r="Y250"/>
  <c r="Z253"/>
  <c r="Y253"/>
  <c r="Y252" s="1"/>
  <c r="V252"/>
  <c r="Z256"/>
  <c r="Y256"/>
  <c r="Z207"/>
  <c r="Y207"/>
  <c r="V206"/>
  <c r="Z200"/>
  <c r="Y200"/>
  <c r="Z225"/>
  <c r="V224"/>
  <c r="Z209"/>
  <c r="Z201"/>
  <c r="Y201"/>
  <c r="Z198"/>
  <c r="Y198"/>
  <c r="Z273"/>
  <c r="Z270"/>
  <c r="Z298"/>
  <c r="Z271"/>
  <c r="Z267"/>
  <c r="Z272"/>
  <c r="Z268"/>
  <c r="Z248"/>
  <c r="Y248"/>
  <c r="Z204"/>
  <c r="Y204"/>
  <c r="V203"/>
  <c r="V229"/>
  <c r="Z230"/>
  <c r="C43" i="94" l="1"/>
  <c r="W96" i="93"/>
  <c r="Z243" i="6"/>
  <c r="X243"/>
  <c r="E43" i="94"/>
  <c r="W84" i="93"/>
  <c r="AB210" i="6"/>
  <c r="AA255"/>
  <c r="AA249"/>
  <c r="W122" i="93"/>
  <c r="X254" i="6"/>
  <c r="X252"/>
  <c r="Z245"/>
  <c r="X206"/>
  <c r="X203"/>
  <c r="AQ256"/>
  <c r="AD256"/>
  <c r="AH256"/>
  <c r="AP256"/>
  <c r="AK256"/>
  <c r="AF256"/>
  <c r="AL256"/>
  <c r="AR256"/>
  <c r="AC256"/>
  <c r="AG256"/>
  <c r="AM256"/>
  <c r="AQ250"/>
  <c r="AF250"/>
  <c r="AL250"/>
  <c r="AR250"/>
  <c r="AC250"/>
  <c r="AK250"/>
  <c r="AD250"/>
  <c r="AH250"/>
  <c r="AP250"/>
  <c r="AG250"/>
  <c r="AM250"/>
  <c r="AI255"/>
  <c r="AF254"/>
  <c r="AW255"/>
  <c r="AR254"/>
  <c r="AB254"/>
  <c r="AE255"/>
  <c r="AD248"/>
  <c r="AH248"/>
  <c r="AF248"/>
  <c r="AC248"/>
  <c r="AG248"/>
  <c r="AR253"/>
  <c r="AQ253"/>
  <c r="AK253"/>
  <c r="AC253"/>
  <c r="AB252"/>
  <c r="AM253"/>
  <c r="AG253"/>
  <c r="AD253"/>
  <c r="AH253"/>
  <c r="AP253"/>
  <c r="AF253"/>
  <c r="AL253"/>
  <c r="AS255"/>
  <c r="AN255"/>
  <c r="AK254"/>
  <c r="AR251"/>
  <c r="AM251"/>
  <c r="AG251"/>
  <c r="AQ251"/>
  <c r="AK251"/>
  <c r="AC251"/>
  <c r="AD251"/>
  <c r="AH251"/>
  <c r="AP251"/>
  <c r="AF251"/>
  <c r="AL251"/>
  <c r="AQ254"/>
  <c r="AQ240"/>
  <c r="AD240"/>
  <c r="AH240"/>
  <c r="AP240"/>
  <c r="AC240"/>
  <c r="AG240"/>
  <c r="AM240"/>
  <c r="AF240"/>
  <c r="AL240"/>
  <c r="AR240"/>
  <c r="AK240"/>
  <c r="AQ244"/>
  <c r="AD244"/>
  <c r="AH244"/>
  <c r="AP244"/>
  <c r="AC244"/>
  <c r="AG244"/>
  <c r="AM244"/>
  <c r="AF244"/>
  <c r="AL244"/>
  <c r="AR244"/>
  <c r="AB243"/>
  <c r="AK244"/>
  <c r="AR239"/>
  <c r="AQ239"/>
  <c r="AK239"/>
  <c r="AC239"/>
  <c r="AG239"/>
  <c r="AM239"/>
  <c r="AF239"/>
  <c r="AL239"/>
  <c r="AD239"/>
  <c r="AH239"/>
  <c r="AP239"/>
  <c r="AR241"/>
  <c r="AM241"/>
  <c r="AG241"/>
  <c r="AQ241"/>
  <c r="AK241"/>
  <c r="AC241"/>
  <c r="AF241"/>
  <c r="AL241"/>
  <c r="AD241"/>
  <c r="AH241"/>
  <c r="AP241"/>
  <c r="AN236"/>
  <c r="AQ238"/>
  <c r="AD238"/>
  <c r="AH238"/>
  <c r="AP238"/>
  <c r="AC238"/>
  <c r="AG238"/>
  <c r="AM238"/>
  <c r="AF238"/>
  <c r="AL238"/>
  <c r="AR238"/>
  <c r="AK238"/>
  <c r="AQ242"/>
  <c r="AD242"/>
  <c r="AH242"/>
  <c r="AP242"/>
  <c r="AC242"/>
  <c r="AG242"/>
  <c r="AM242"/>
  <c r="AF242"/>
  <c r="AL242"/>
  <c r="AR242"/>
  <c r="AK242"/>
  <c r="AQ246"/>
  <c r="AD246"/>
  <c r="AH246"/>
  <c r="AP246"/>
  <c r="AC246"/>
  <c r="AG246"/>
  <c r="AM246"/>
  <c r="AF246"/>
  <c r="AL246"/>
  <c r="AR246"/>
  <c r="AB245"/>
  <c r="AK246"/>
  <c r="AH235"/>
  <c r="AC235"/>
  <c r="AG235"/>
  <c r="AD235"/>
  <c r="AF235"/>
  <c r="AW236"/>
  <c r="AS236"/>
  <c r="AB224"/>
  <c r="AP232"/>
  <c r="AH232"/>
  <c r="AD232"/>
  <c r="AL232"/>
  <c r="AM232"/>
  <c r="AG232"/>
  <c r="AC232"/>
  <c r="AR232"/>
  <c r="AQ232"/>
  <c r="AK232"/>
  <c r="AE232"/>
  <c r="AF232"/>
  <c r="AS230"/>
  <c r="AI230"/>
  <c r="AE230"/>
  <c r="AB229"/>
  <c r="AR227"/>
  <c r="AL227"/>
  <c r="AC227"/>
  <c r="AG227"/>
  <c r="AM227"/>
  <c r="AD227"/>
  <c r="AH227"/>
  <c r="AP227"/>
  <c r="AK227"/>
  <c r="AQ227"/>
  <c r="AF227"/>
  <c r="AH209"/>
  <c r="AG209"/>
  <c r="J43" i="94" s="1"/>
  <c r="AC209" i="6"/>
  <c r="AD209"/>
  <c r="AF209"/>
  <c r="AE225"/>
  <c r="AR231"/>
  <c r="AM231"/>
  <c r="AG231"/>
  <c r="AK231"/>
  <c r="AQ231"/>
  <c r="AC231"/>
  <c r="AH231"/>
  <c r="AF231"/>
  <c r="AL231"/>
  <c r="AD231"/>
  <c r="AP231"/>
  <c r="AR228"/>
  <c r="AM228"/>
  <c r="AG228"/>
  <c r="AQ228"/>
  <c r="AC228"/>
  <c r="AK228"/>
  <c r="AL228"/>
  <c r="AD228"/>
  <c r="AH228"/>
  <c r="AP228"/>
  <c r="AF228"/>
  <c r="AR226"/>
  <c r="AQ226"/>
  <c r="AK226"/>
  <c r="AC226"/>
  <c r="AM226"/>
  <c r="AG226"/>
  <c r="AD226"/>
  <c r="AF226"/>
  <c r="AL226"/>
  <c r="AH226"/>
  <c r="AP226"/>
  <c r="AR223"/>
  <c r="AM223"/>
  <c r="AG223"/>
  <c r="AK223"/>
  <c r="AQ223"/>
  <c r="AC223"/>
  <c r="AL223"/>
  <c r="AD223"/>
  <c r="AH223"/>
  <c r="AP223"/>
  <c r="AF223"/>
  <c r="AR211"/>
  <c r="AM211"/>
  <c r="AG211"/>
  <c r="AQ211"/>
  <c r="AC211"/>
  <c r="AK211"/>
  <c r="AF211"/>
  <c r="AD211"/>
  <c r="AH211"/>
  <c r="AP211"/>
  <c r="AL211"/>
  <c r="AR215"/>
  <c r="AM215"/>
  <c r="AG215"/>
  <c r="AK215"/>
  <c r="AC215"/>
  <c r="AQ215"/>
  <c r="AD215"/>
  <c r="AH215"/>
  <c r="AP215"/>
  <c r="AF215"/>
  <c r="AL215"/>
  <c r="AG220"/>
  <c r="AQ220"/>
  <c r="AK220"/>
  <c r="AC220"/>
  <c r="AR220"/>
  <c r="AH220"/>
  <c r="AP220"/>
  <c r="AF220"/>
  <c r="AM220"/>
  <c r="AD220"/>
  <c r="AL220"/>
  <c r="AP212"/>
  <c r="AR212"/>
  <c r="AH212"/>
  <c r="AQ212"/>
  <c r="AK212"/>
  <c r="AC212"/>
  <c r="AF212"/>
  <c r="AD212"/>
  <c r="AL212"/>
  <c r="AM212"/>
  <c r="AG212"/>
  <c r="AR219"/>
  <c r="AM219"/>
  <c r="AG219"/>
  <c r="AQ219"/>
  <c r="AC219"/>
  <c r="AK219"/>
  <c r="AL219"/>
  <c r="AD219"/>
  <c r="AH219"/>
  <c r="AP219"/>
  <c r="AF219"/>
  <c r="AW230"/>
  <c r="AN230"/>
  <c r="AN225"/>
  <c r="AM224"/>
  <c r="AI225"/>
  <c r="AR217"/>
  <c r="AQ217"/>
  <c r="AK217"/>
  <c r="AC217"/>
  <c r="AM217"/>
  <c r="AG217"/>
  <c r="AD217"/>
  <c r="AF217"/>
  <c r="AL217"/>
  <c r="AH217"/>
  <c r="AP217"/>
  <c r="AR233"/>
  <c r="AQ233"/>
  <c r="AK233"/>
  <c r="AC233"/>
  <c r="AM233"/>
  <c r="AG233"/>
  <c r="AF233"/>
  <c r="AD233"/>
  <c r="AH233"/>
  <c r="AP233"/>
  <c r="AL233"/>
  <c r="AR213"/>
  <c r="AQ213"/>
  <c r="AK213"/>
  <c r="AC213"/>
  <c r="AM213"/>
  <c r="AG213"/>
  <c r="AF213"/>
  <c r="AL213"/>
  <c r="AD213"/>
  <c r="AH213"/>
  <c r="AP213"/>
  <c r="AP218"/>
  <c r="AD218"/>
  <c r="AL218"/>
  <c r="AM218"/>
  <c r="AG218"/>
  <c r="AF218"/>
  <c r="AH218"/>
  <c r="AQ218"/>
  <c r="AK218"/>
  <c r="AC218"/>
  <c r="AR218"/>
  <c r="AQ214"/>
  <c r="AK214"/>
  <c r="AC214"/>
  <c r="AR214"/>
  <c r="AD214"/>
  <c r="AL214"/>
  <c r="AM214"/>
  <c r="AG214"/>
  <c r="AF214"/>
  <c r="AH214"/>
  <c r="AP214"/>
  <c r="Y203"/>
  <c r="Z249"/>
  <c r="Z224"/>
  <c r="Y206"/>
  <c r="Z206"/>
  <c r="Z252"/>
  <c r="Y254"/>
  <c r="Z229"/>
  <c r="Z203"/>
  <c r="Z199"/>
  <c r="Z254"/>
  <c r="Z234"/>
  <c r="Z274"/>
  <c r="I43" i="94" l="1"/>
  <c r="K43"/>
  <c r="AP254" i="6"/>
  <c r="W68" i="93"/>
  <c r="W72"/>
  <c r="W87"/>
  <c r="W73"/>
  <c r="W66"/>
  <c r="W65"/>
  <c r="W77"/>
  <c r="W101"/>
  <c r="AE244" i="6"/>
  <c r="W118" i="93"/>
  <c r="AA203" i="6"/>
  <c r="W67" i="93"/>
  <c r="W71"/>
  <c r="W74"/>
  <c r="W69"/>
  <c r="W80"/>
  <c r="W85"/>
  <c r="W81"/>
  <c r="W86"/>
  <c r="W99"/>
  <c r="AE235" i="6"/>
  <c r="AG245"/>
  <c r="AD245"/>
  <c r="AN242"/>
  <c r="W102" i="93"/>
  <c r="AO236" i="6"/>
  <c r="AG243"/>
  <c r="AD243"/>
  <c r="AN240"/>
  <c r="W100" i="93"/>
  <c r="AH252" i="6"/>
  <c r="AG252"/>
  <c r="AG254"/>
  <c r="AD254"/>
  <c r="E44" i="94"/>
  <c r="G43"/>
  <c r="AB234" i="6"/>
  <c r="AA252"/>
  <c r="AA254"/>
  <c r="AE228"/>
  <c r="W82" i="93"/>
  <c r="AE209" i="6"/>
  <c r="AL245"/>
  <c r="AM245"/>
  <c r="AC245"/>
  <c r="AH245"/>
  <c r="AQ245"/>
  <c r="AN238"/>
  <c r="W98" i="93"/>
  <c r="AL243" i="6"/>
  <c r="AM243"/>
  <c r="AC243"/>
  <c r="AH243"/>
  <c r="AQ243"/>
  <c r="AL252"/>
  <c r="AD252"/>
  <c r="AM252"/>
  <c r="AC252"/>
  <c r="AQ252"/>
  <c r="AN250"/>
  <c r="W117" i="93"/>
  <c r="AM254" i="6"/>
  <c r="AC254"/>
  <c r="AL254"/>
  <c r="AH254"/>
  <c r="AS251"/>
  <c r="AB247"/>
  <c r="AI251"/>
  <c r="AE252"/>
  <c r="AI240"/>
  <c r="AA206"/>
  <c r="AS256"/>
  <c r="AE251"/>
  <c r="AE240"/>
  <c r="AS233"/>
  <c r="AE233"/>
  <c r="AK229"/>
  <c r="AR229"/>
  <c r="AI232"/>
  <c r="AM229"/>
  <c r="AJ230"/>
  <c r="AI228"/>
  <c r="AI227"/>
  <c r="AN227"/>
  <c r="AP224"/>
  <c r="AL224"/>
  <c r="AD224"/>
  <c r="AH224"/>
  <c r="AF224"/>
  <c r="AG224"/>
  <c r="AC224"/>
  <c r="AQ224"/>
  <c r="AE223"/>
  <c r="AI223"/>
  <c r="AI220"/>
  <c r="AI219"/>
  <c r="AS219"/>
  <c r="AE219"/>
  <c r="AE218"/>
  <c r="AS218"/>
  <c r="AS217"/>
  <c r="AN217"/>
  <c r="AE217"/>
  <c r="AN215"/>
  <c r="AS215"/>
  <c r="AE215"/>
  <c r="AS214"/>
  <c r="AI214"/>
  <c r="AS211"/>
  <c r="AF252"/>
  <c r="AI253"/>
  <c r="AK252"/>
  <c r="AN253"/>
  <c r="AR252"/>
  <c r="AW253"/>
  <c r="AI248"/>
  <c r="AN251"/>
  <c r="AN254"/>
  <c r="AS254"/>
  <c r="AE253"/>
  <c r="AJ255"/>
  <c r="AW254"/>
  <c r="AS250"/>
  <c r="AE250"/>
  <c r="AW256"/>
  <c r="AI256"/>
  <c r="AE256"/>
  <c r="AS253"/>
  <c r="AP252"/>
  <c r="AH249"/>
  <c r="AD249"/>
  <c r="AF249"/>
  <c r="AG249"/>
  <c r="AC249"/>
  <c r="AW251"/>
  <c r="AC247"/>
  <c r="AE248"/>
  <c r="AW250"/>
  <c r="AI250"/>
  <c r="AE254"/>
  <c r="AN256"/>
  <c r="AE246"/>
  <c r="AH234"/>
  <c r="AI238"/>
  <c r="AE238"/>
  <c r="AN241"/>
  <c r="AS239"/>
  <c r="AE239"/>
  <c r="AI239"/>
  <c r="AN239"/>
  <c r="AI242"/>
  <c r="AE242"/>
  <c r="AJ240"/>
  <c r="AR245"/>
  <c r="AW246"/>
  <c r="AS246"/>
  <c r="AP245"/>
  <c r="AK245"/>
  <c r="AN246"/>
  <c r="AN244"/>
  <c r="AK243"/>
  <c r="AE245"/>
  <c r="AC234"/>
  <c r="AS241"/>
  <c r="AE241"/>
  <c r="AI241"/>
  <c r="AW241"/>
  <c r="AE243"/>
  <c r="AI235"/>
  <c r="AI246"/>
  <c r="AF245"/>
  <c r="AR243"/>
  <c r="AW244"/>
  <c r="AI244"/>
  <c r="AF243"/>
  <c r="AS244"/>
  <c r="AP243"/>
  <c r="AW242"/>
  <c r="AS242"/>
  <c r="AW238"/>
  <c r="AS238"/>
  <c r="AW239"/>
  <c r="AW240"/>
  <c r="AS240"/>
  <c r="AD229"/>
  <c r="AC229"/>
  <c r="AL229"/>
  <c r="AH229"/>
  <c r="AQ229"/>
  <c r="AG229"/>
  <c r="AN232"/>
  <c r="AS231"/>
  <c r="AE231"/>
  <c r="AI231"/>
  <c r="AP229"/>
  <c r="AS232"/>
  <c r="AF229"/>
  <c r="AE227"/>
  <c r="AN223"/>
  <c r="AI218"/>
  <c r="AS213"/>
  <c r="AE213"/>
  <c r="AI213"/>
  <c r="AE211"/>
  <c r="AN226"/>
  <c r="AK224"/>
  <c r="AI209"/>
  <c r="AW213"/>
  <c r="AW214"/>
  <c r="AN214"/>
  <c r="AW218"/>
  <c r="AN218"/>
  <c r="AN213"/>
  <c r="AI233"/>
  <c r="AN233"/>
  <c r="AW233"/>
  <c r="AI217"/>
  <c r="AN219"/>
  <c r="AW219"/>
  <c r="AE212"/>
  <c r="AS212"/>
  <c r="AW212"/>
  <c r="AS220"/>
  <c r="AW220"/>
  <c r="AN220"/>
  <c r="AI215"/>
  <c r="AN211"/>
  <c r="AI211"/>
  <c r="AW211"/>
  <c r="AS223"/>
  <c r="AS226"/>
  <c r="AE226"/>
  <c r="AW226"/>
  <c r="AS228"/>
  <c r="AN228"/>
  <c r="AW228"/>
  <c r="AN231"/>
  <c r="AW231"/>
  <c r="AJ225"/>
  <c r="AW227"/>
  <c r="AS227"/>
  <c r="AJ232"/>
  <c r="AG210"/>
  <c r="AF210"/>
  <c r="AH210"/>
  <c r="AC210"/>
  <c r="AD210"/>
  <c r="AE214"/>
  <c r="AJ218"/>
  <c r="AW217"/>
  <c r="AI212"/>
  <c r="AN212"/>
  <c r="AE220"/>
  <c r="AW215"/>
  <c r="AW223"/>
  <c r="AI226"/>
  <c r="AJ228"/>
  <c r="AJ209"/>
  <c r="AW232"/>
  <c r="Z197"/>
  <c r="Z247"/>
  <c r="W121" i="93" l="1"/>
  <c r="AJ211" i="6"/>
  <c r="AJ215"/>
  <c r="F44" i="94"/>
  <c r="I44"/>
  <c r="AJ223" i="6"/>
  <c r="AD234"/>
  <c r="AG234"/>
  <c r="AO230"/>
  <c r="W83" i="93"/>
  <c r="AJ244" i="6"/>
  <c r="AJ246"/>
  <c r="AN243"/>
  <c r="AO240"/>
  <c r="AH247"/>
  <c r="AN252"/>
  <c r="AI252"/>
  <c r="W119" i="93"/>
  <c r="AJ251" i="6"/>
  <c r="F43" i="94"/>
  <c r="K44"/>
  <c r="AJ227" i="6"/>
  <c r="AN229"/>
  <c r="AI254"/>
  <c r="W123" i="93"/>
  <c r="W120"/>
  <c r="W104"/>
  <c r="W106"/>
  <c r="AK209" i="6"/>
  <c r="AI243"/>
  <c r="W103" i="93"/>
  <c r="AI245" i="6"/>
  <c r="AJ235"/>
  <c r="L43" i="94"/>
  <c r="N31" i="96" s="1"/>
  <c r="AE234" i="6"/>
  <c r="AN245"/>
  <c r="AG247"/>
  <c r="J44" i="94"/>
  <c r="AD247" i="6"/>
  <c r="G44" i="94"/>
  <c r="AO255" i="6"/>
  <c r="AI224"/>
  <c r="H43" i="94"/>
  <c r="M31" i="96" s="1"/>
  <c r="AJ253" i="6"/>
  <c r="AW252"/>
  <c r="AJ238"/>
  <c r="AS245"/>
  <c r="AS229"/>
  <c r="AW229"/>
  <c r="AE229"/>
  <c r="AJ250"/>
  <c r="AE249"/>
  <c r="AJ242"/>
  <c r="AJ233"/>
  <c r="AO232"/>
  <c r="AO228"/>
  <c r="AJ226"/>
  <c r="AN224"/>
  <c r="AE224"/>
  <c r="AO225"/>
  <c r="AO223"/>
  <c r="AJ220"/>
  <c r="AJ219"/>
  <c r="AO218"/>
  <c r="AJ217"/>
  <c r="AO215"/>
  <c r="AJ214"/>
  <c r="AJ213"/>
  <c r="AO211"/>
  <c r="AE247"/>
  <c r="AI249"/>
  <c r="AS252"/>
  <c r="AJ256"/>
  <c r="AF247"/>
  <c r="AJ248"/>
  <c r="AW243"/>
  <c r="AF234"/>
  <c r="AJ239"/>
  <c r="AS243"/>
  <c r="AJ241"/>
  <c r="AW245"/>
  <c r="AI229"/>
  <c r="AJ231"/>
  <c r="AJ212"/>
  <c r="AI210"/>
  <c r="AP209"/>
  <c r="AR209"/>
  <c r="AQ209"/>
  <c r="AE210"/>
  <c r="H44" i="94" l="1"/>
  <c r="M32" i="96" s="1"/>
  <c r="AL209" i="6"/>
  <c r="W63" i="93" s="1"/>
  <c r="AM209" i="6"/>
  <c r="AO213"/>
  <c r="AJ245"/>
  <c r="AJ243"/>
  <c r="AJ249"/>
  <c r="AO214"/>
  <c r="AO233"/>
  <c r="AO227"/>
  <c r="AJ252"/>
  <c r="AO245"/>
  <c r="AO241"/>
  <c r="AO239"/>
  <c r="AK248"/>
  <c r="AI247"/>
  <c r="AR225"/>
  <c r="W79" i="93" s="1"/>
  <c r="AO242" i="6"/>
  <c r="AO250"/>
  <c r="AO253"/>
  <c r="AK235"/>
  <c r="L44" i="94"/>
  <c r="N32" i="96" s="1"/>
  <c r="O31"/>
  <c r="AO251" i="6"/>
  <c r="AI234"/>
  <c r="AK249"/>
  <c r="AO256"/>
  <c r="AO238"/>
  <c r="AO246"/>
  <c r="AO244"/>
  <c r="W105" i="93"/>
  <c r="M43" i="94"/>
  <c r="AJ254" i="6"/>
  <c r="AJ229"/>
  <c r="AO231"/>
  <c r="AO229"/>
  <c r="AJ224"/>
  <c r="AO226"/>
  <c r="AO220"/>
  <c r="AO219"/>
  <c r="AO217"/>
  <c r="AO212"/>
  <c r="AJ210"/>
  <c r="AQ248"/>
  <c r="AS209"/>
  <c r="AW209"/>
  <c r="O32" i="96" l="1"/>
  <c r="AL248" i="6"/>
  <c r="AM248"/>
  <c r="AO243"/>
  <c r="AR248"/>
  <c r="AP248"/>
  <c r="AM249"/>
  <c r="AN209"/>
  <c r="AJ247"/>
  <c r="AO252"/>
  <c r="AQ249"/>
  <c r="AP249"/>
  <c r="AK210"/>
  <c r="M44" i="94"/>
  <c r="AO254" i="6"/>
  <c r="AK247"/>
  <c r="AR249"/>
  <c r="AL249"/>
  <c r="AJ234"/>
  <c r="AP235"/>
  <c r="AL235"/>
  <c r="AK234"/>
  <c r="AR235"/>
  <c r="AQ235"/>
  <c r="AM235"/>
  <c r="W115" i="93"/>
  <c r="AM247" i="6"/>
  <c r="AO224"/>
  <c r="AW225"/>
  <c r="AR224"/>
  <c r="W78" i="93" s="1"/>
  <c r="AS225" i="6"/>
  <c r="AO209"/>
  <c r="AS248"/>
  <c r="AN248"/>
  <c r="Y135" i="5"/>
  <c r="Y128"/>
  <c r="AH128" s="1"/>
  <c r="Y122"/>
  <c r="Y115"/>
  <c r="Z115" s="1"/>
  <c r="Y114"/>
  <c r="AI114" s="1"/>
  <c r="Y92"/>
  <c r="W92"/>
  <c r="Y91"/>
  <c r="AH91" s="1"/>
  <c r="W91"/>
  <c r="Y74"/>
  <c r="Y71"/>
  <c r="I94" i="58"/>
  <c r="V97"/>
  <c r="I97"/>
  <c r="AS249" i="6" l="1"/>
  <c r="AW248"/>
  <c r="AP247"/>
  <c r="AN249"/>
  <c r="AL247"/>
  <c r="AQ247"/>
  <c r="W116" i="93"/>
  <c r="AA114" i="5"/>
  <c r="AH115"/>
  <c r="Z128"/>
  <c r="AW249" i="6"/>
  <c r="AO249"/>
  <c r="AM234"/>
  <c r="P43" i="94"/>
  <c r="AL234" i="6"/>
  <c r="O43" i="94"/>
  <c r="AO248" i="6"/>
  <c r="AN247"/>
  <c r="AQ234"/>
  <c r="T43" i="94"/>
  <c r="S43"/>
  <c r="AP234" i="6"/>
  <c r="AS235"/>
  <c r="V43" i="94" s="1"/>
  <c r="R31" i="96" s="1"/>
  <c r="AR247" i="6"/>
  <c r="AN235"/>
  <c r="U43" i="94"/>
  <c r="AW235" i="6"/>
  <c r="AR234"/>
  <c r="N43" i="94"/>
  <c r="N44"/>
  <c r="AN74" i="5"/>
  <c r="AO74"/>
  <c r="AM74"/>
  <c r="AN71"/>
  <c r="AO71"/>
  <c r="AM71"/>
  <c r="AN92"/>
  <c r="AO92"/>
  <c r="AM92"/>
  <c r="AN114"/>
  <c r="AO114"/>
  <c r="AM114"/>
  <c r="AN115"/>
  <c r="AO115"/>
  <c r="AM115"/>
  <c r="AN128"/>
  <c r="AO128"/>
  <c r="AM128"/>
  <c r="AD74"/>
  <c r="AD91"/>
  <c r="Z74"/>
  <c r="AH74"/>
  <c r="X91"/>
  <c r="Z91"/>
  <c r="AE114"/>
  <c r="AD115"/>
  <c r="AJ115"/>
  <c r="AD128"/>
  <c r="AJ128"/>
  <c r="AN91"/>
  <c r="AO91"/>
  <c r="AM91"/>
  <c r="X92"/>
  <c r="AN122"/>
  <c r="AO122"/>
  <c r="AM122"/>
  <c r="AN135"/>
  <c r="AO135"/>
  <c r="AM135"/>
  <c r="AJ74"/>
  <c r="AS224" i="6"/>
  <c r="AW224"/>
  <c r="AQ210"/>
  <c r="T44" i="94" s="1"/>
  <c r="AP210" i="6"/>
  <c r="S44" i="94" s="1"/>
  <c r="AM210" i="6"/>
  <c r="P44" i="94" s="1"/>
  <c r="AR210" i="6"/>
  <c r="U44" i="94" s="1"/>
  <c r="AL210" i="6"/>
  <c r="O44" i="94" s="1"/>
  <c r="AS247" i="6"/>
  <c r="AI91" i="5"/>
  <c r="AE91"/>
  <c r="AA71"/>
  <c r="AE71"/>
  <c r="Z71"/>
  <c r="AD71"/>
  <c r="AH71"/>
  <c r="AJ71"/>
  <c r="AA74"/>
  <c r="AC74"/>
  <c r="AE74"/>
  <c r="AI74"/>
  <c r="AA91"/>
  <c r="AC91"/>
  <c r="AJ91"/>
  <c r="AA92"/>
  <c r="AE92"/>
  <c r="AI92"/>
  <c r="AJ92"/>
  <c r="AH92"/>
  <c r="AD92"/>
  <c r="Z92"/>
  <c r="AC71"/>
  <c r="AI71"/>
  <c r="AK91"/>
  <c r="AC92"/>
  <c r="AJ114"/>
  <c r="AH114"/>
  <c r="AD114"/>
  <c r="Z114"/>
  <c r="AC114"/>
  <c r="AA122"/>
  <c r="AC122"/>
  <c r="AE122"/>
  <c r="AI122"/>
  <c r="AA135"/>
  <c r="AC135"/>
  <c r="AE135"/>
  <c r="AI135"/>
  <c r="AA115"/>
  <c r="AC115"/>
  <c r="AE115"/>
  <c r="AI115"/>
  <c r="Z122"/>
  <c r="AD122"/>
  <c r="AH122"/>
  <c r="AJ122"/>
  <c r="AA128"/>
  <c r="AC128"/>
  <c r="AE128"/>
  <c r="AI128"/>
  <c r="Z135"/>
  <c r="AD135"/>
  <c r="AH135"/>
  <c r="AJ135"/>
  <c r="U98" i="58"/>
  <c r="S98"/>
  <c r="Q98"/>
  <c r="O98"/>
  <c r="M98"/>
  <c r="K98"/>
  <c r="V98"/>
  <c r="T98"/>
  <c r="R98"/>
  <c r="P98"/>
  <c r="N98"/>
  <c r="L98"/>
  <c r="J98"/>
  <c r="AW247" i="6" l="1"/>
  <c r="W43" i="94"/>
  <c r="W114" i="93"/>
  <c r="AO235" i="6"/>
  <c r="R43" i="94" s="1"/>
  <c r="Q43"/>
  <c r="P31" i="96" s="1"/>
  <c r="Q31" s="1"/>
  <c r="S31" s="1"/>
  <c r="AS234" i="6"/>
  <c r="W44" i="94"/>
  <c r="W95" i="93"/>
  <c r="AN234" i="6"/>
  <c r="AW234"/>
  <c r="AO247"/>
  <c r="W64" i="93"/>
  <c r="AK135" i="5"/>
  <c r="AK128"/>
  <c r="AK122"/>
  <c r="AB92"/>
  <c r="AB91"/>
  <c r="AB74"/>
  <c r="AP135"/>
  <c r="AP122"/>
  <c r="AP91"/>
  <c r="AQ128"/>
  <c r="AQ115"/>
  <c r="AQ114"/>
  <c r="AQ92"/>
  <c r="AQ71"/>
  <c r="AQ74"/>
  <c r="AB135"/>
  <c r="AB122"/>
  <c r="AK115"/>
  <c r="AB128"/>
  <c r="AB115"/>
  <c r="AB114"/>
  <c r="AF91"/>
  <c r="AF74"/>
  <c r="AB71"/>
  <c r="AQ135"/>
  <c r="W148" i="91"/>
  <c r="AQ122" i="5"/>
  <c r="W128" i="91"/>
  <c r="AQ91" i="5"/>
  <c r="AP128"/>
  <c r="W141" i="91"/>
  <c r="AP115" i="5"/>
  <c r="AP114"/>
  <c r="W120" i="91"/>
  <c r="AP92" i="5"/>
  <c r="W91" i="91"/>
  <c r="AP71" i="5"/>
  <c r="AP74"/>
  <c r="AW210" i="6"/>
  <c r="AS210"/>
  <c r="V44" i="94" s="1"/>
  <c r="R32" i="96" s="1"/>
  <c r="AN210" i="6"/>
  <c r="Q44" i="94" s="1"/>
  <c r="P32" i="96" s="1"/>
  <c r="Q32" s="1"/>
  <c r="AK74" i="5"/>
  <c r="AF128"/>
  <c r="AF115"/>
  <c r="AF135"/>
  <c r="AF122"/>
  <c r="AF114"/>
  <c r="AK114"/>
  <c r="AF92"/>
  <c r="AF71"/>
  <c r="AK92"/>
  <c r="AK71"/>
  <c r="W90" i="91" l="1"/>
  <c r="W60"/>
  <c r="W63"/>
  <c r="W121"/>
  <c r="W94" i="93"/>
  <c r="S32" i="96"/>
  <c r="AO234" i="6"/>
  <c r="AG114" i="5"/>
  <c r="AG128"/>
  <c r="AG71"/>
  <c r="AG122"/>
  <c r="AG115"/>
  <c r="AG74"/>
  <c r="AG91"/>
  <c r="AG92"/>
  <c r="AG135"/>
  <c r="AO210" i="6"/>
  <c r="R44" i="94" s="1"/>
  <c r="AL92" i="5" l="1"/>
  <c r="AL91"/>
  <c r="AL74"/>
  <c r="AL135"/>
  <c r="AL115"/>
  <c r="AL122"/>
  <c r="AL71"/>
  <c r="AL128"/>
  <c r="AL114"/>
  <c r="I200" i="57" l="1"/>
  <c r="V201"/>
  <c r="U201"/>
  <c r="T201"/>
  <c r="S201"/>
  <c r="R201"/>
  <c r="Q201"/>
  <c r="P201"/>
  <c r="O201"/>
  <c r="N201"/>
  <c r="M201"/>
  <c r="L201"/>
  <c r="K201"/>
  <c r="J201"/>
  <c r="V200"/>
  <c r="AL74" i="9" l="1"/>
  <c r="AJ74"/>
  <c r="AI74"/>
  <c r="AM74" s="1"/>
  <c r="L74" l="1"/>
  <c r="M74"/>
  <c r="AH74" s="1"/>
  <c r="O74"/>
  <c r="O75"/>
  <c r="L76"/>
  <c r="AI76" s="1"/>
  <c r="M76"/>
  <c r="L77"/>
  <c r="AI77" s="1"/>
  <c r="L78"/>
  <c r="M78"/>
  <c r="AJ78" s="1"/>
  <c r="O78"/>
  <c r="AL78" s="1"/>
  <c r="L79"/>
  <c r="AI79" s="1"/>
  <c r="M79"/>
  <c r="AJ79" s="1"/>
  <c r="M80" l="1"/>
  <c r="AJ80" s="1"/>
  <c r="O79"/>
  <c r="AL79" s="1"/>
  <c r="P74"/>
  <c r="P78"/>
  <c r="AM78" s="1"/>
  <c r="AI78"/>
  <c r="K76"/>
  <c r="AH76" s="1"/>
  <c r="AJ76"/>
  <c r="P76"/>
  <c r="AM76" s="1"/>
  <c r="AL75"/>
  <c r="P79"/>
  <c r="AM79" s="1"/>
  <c r="L80"/>
  <c r="K79"/>
  <c r="AH79" s="1"/>
  <c r="K78"/>
  <c r="AH78" s="1"/>
  <c r="M77"/>
  <c r="K74"/>
  <c r="K80" l="1"/>
  <c r="AH80" s="1"/>
  <c r="AI80"/>
  <c r="K77"/>
  <c r="AH77" s="1"/>
  <c r="AJ77"/>
  <c r="Y52" i="3" l="1"/>
  <c r="BS62" i="72" l="1"/>
  <c r="BS61"/>
  <c r="BS59"/>
  <c r="BS57"/>
  <c r="BM62"/>
  <c r="BM61"/>
  <c r="BM59"/>
  <c r="BM57"/>
  <c r="M78"/>
  <c r="L78"/>
  <c r="K78"/>
  <c r="AL54" s="1"/>
  <c r="O77"/>
  <c r="O78" s="1"/>
  <c r="M77"/>
  <c r="M79" s="1"/>
  <c r="L77"/>
  <c r="M75"/>
  <c r="L75"/>
  <c r="K75"/>
  <c r="AL50" s="1"/>
  <c r="O74"/>
  <c r="O73"/>
  <c r="M73"/>
  <c r="L73"/>
  <c r="AW72"/>
  <c r="AV72"/>
  <c r="AU72" s="1"/>
  <c r="BB54" s="1"/>
  <c r="BH54" s="1"/>
  <c r="AW71"/>
  <c r="AV71"/>
  <c r="AU71"/>
  <c r="AW70"/>
  <c r="AV70"/>
  <c r="AW66"/>
  <c r="AV66"/>
  <c r="AU66"/>
  <c r="BB50" s="1"/>
  <c r="BH50" s="1"/>
  <c r="AW65"/>
  <c r="AV65"/>
  <c r="AW64"/>
  <c r="AV64"/>
  <c r="AV67" s="1"/>
  <c r="AD62"/>
  <c r="Z62"/>
  <c r="AD61"/>
  <c r="Z61"/>
  <c r="Q61"/>
  <c r="AN61" s="1"/>
  <c r="AW60"/>
  <c r="AW62" s="1"/>
  <c r="AT60"/>
  <c r="AN60"/>
  <c r="AG60"/>
  <c r="Q60"/>
  <c r="M60"/>
  <c r="AD59"/>
  <c r="Z59"/>
  <c r="AW58"/>
  <c r="AW59" s="1"/>
  <c r="AD57"/>
  <c r="Z57"/>
  <c r="AY55"/>
  <c r="AW55"/>
  <c r="AV55"/>
  <c r="AT55"/>
  <c r="AS55"/>
  <c r="AV73" s="1"/>
  <c r="AJ55"/>
  <c r="AH55" s="1"/>
  <c r="AI55"/>
  <c r="AG55"/>
  <c r="AE55" s="1"/>
  <c r="AF55"/>
  <c r="AD55"/>
  <c r="AC55"/>
  <c r="AB55"/>
  <c r="Z55"/>
  <c r="Y55"/>
  <c r="X55" s="1"/>
  <c r="M55"/>
  <c r="L55"/>
  <c r="K55" s="1"/>
  <c r="AU54"/>
  <c r="AR54"/>
  <c r="AE54"/>
  <c r="AB54"/>
  <c r="AA54"/>
  <c r="S54"/>
  <c r="N54"/>
  <c r="AU52"/>
  <c r="AR52"/>
  <c r="AE52"/>
  <c r="AB52"/>
  <c r="AA52"/>
  <c r="AA55" s="1"/>
  <c r="S52"/>
  <c r="P52"/>
  <c r="T52" s="1"/>
  <c r="N52"/>
  <c r="N55" s="1"/>
  <c r="AY51"/>
  <c r="AW51"/>
  <c r="AV51"/>
  <c r="AU51" s="1"/>
  <c r="AT51"/>
  <c r="AS51"/>
  <c r="AR51" s="1"/>
  <c r="AI51"/>
  <c r="AG51"/>
  <c r="AF51"/>
  <c r="AE51" s="1"/>
  <c r="AD51"/>
  <c r="AB51" s="1"/>
  <c r="AC51"/>
  <c r="Z51"/>
  <c r="X51" s="1"/>
  <c r="Y51"/>
  <c r="L51"/>
  <c r="AU50"/>
  <c r="AR50"/>
  <c r="AE50"/>
  <c r="AB50"/>
  <c r="AA50"/>
  <c r="S50"/>
  <c r="M50"/>
  <c r="N50" s="1"/>
  <c r="AU48"/>
  <c r="AR48"/>
  <c r="AJ48"/>
  <c r="AJ51" s="1"/>
  <c r="AH51" s="1"/>
  <c r="AE48"/>
  <c r="AB48"/>
  <c r="AA48"/>
  <c r="S48"/>
  <c r="M48"/>
  <c r="T37"/>
  <c r="S37"/>
  <c r="S38" s="1"/>
  <c r="T36"/>
  <c r="S36"/>
  <c r="R36" s="1"/>
  <c r="T33"/>
  <c r="S33"/>
  <c r="R33"/>
  <c r="R32"/>
  <c r="T31"/>
  <c r="S31"/>
  <c r="R31"/>
  <c r="AN26"/>
  <c r="X26"/>
  <c r="L26"/>
  <c r="AN25"/>
  <c r="X25"/>
  <c r="L25"/>
  <c r="AK24"/>
  <c r="AN22"/>
  <c r="AK21"/>
  <c r="AH21"/>
  <c r="S21"/>
  <c r="L21"/>
  <c r="L22" s="1"/>
  <c r="I21"/>
  <c r="AN20"/>
  <c r="S20"/>
  <c r="L20"/>
  <c r="AK19"/>
  <c r="AH19"/>
  <c r="AO17"/>
  <c r="AN17"/>
  <c r="X17"/>
  <c r="Q17"/>
  <c r="P17"/>
  <c r="L17"/>
  <c r="J17"/>
  <c r="D17"/>
  <c r="C17"/>
  <c r="B17"/>
  <c r="AL16"/>
  <c r="AL17" s="1"/>
  <c r="AK16"/>
  <c r="AI16"/>
  <c r="AI17" s="1"/>
  <c r="AH16"/>
  <c r="M16"/>
  <c r="AK15"/>
  <c r="AK26" s="1"/>
  <c r="AH15"/>
  <c r="AH26" s="1"/>
  <c r="Q62" s="1"/>
  <c r="AN62" s="1"/>
  <c r="Y15"/>
  <c r="R15"/>
  <c r="W15" s="1"/>
  <c r="M15"/>
  <c r="N15" s="1"/>
  <c r="I15"/>
  <c r="I26" s="1"/>
  <c r="H15"/>
  <c r="B15"/>
  <c r="AK14"/>
  <c r="AK25" s="1"/>
  <c r="AH14"/>
  <c r="AH25" s="1"/>
  <c r="Z14"/>
  <c r="AA14" s="1"/>
  <c r="Y14"/>
  <c r="Y17" s="1"/>
  <c r="W14"/>
  <c r="R14"/>
  <c r="M14"/>
  <c r="M17" s="1"/>
  <c r="I14"/>
  <c r="I25" s="1"/>
  <c r="B14"/>
  <c r="AO13"/>
  <c r="AN13"/>
  <c r="AL13"/>
  <c r="AI13"/>
  <c r="X13"/>
  <c r="P13"/>
  <c r="L13"/>
  <c r="J13"/>
  <c r="F13"/>
  <c r="D13"/>
  <c r="C13"/>
  <c r="B13"/>
  <c r="AK12"/>
  <c r="AH12"/>
  <c r="Q12"/>
  <c r="M12"/>
  <c r="AK11"/>
  <c r="AK22" s="1"/>
  <c r="AH11"/>
  <c r="Y11"/>
  <c r="T11"/>
  <c r="S11"/>
  <c r="S22" s="1"/>
  <c r="Q11"/>
  <c r="M11"/>
  <c r="N11" s="1"/>
  <c r="I11"/>
  <c r="I22" s="1"/>
  <c r="B11"/>
  <c r="AK10"/>
  <c r="AH10"/>
  <c r="Q10"/>
  <c r="AK9"/>
  <c r="AH9"/>
  <c r="AH13" s="1"/>
  <c r="Y9"/>
  <c r="Y13" s="1"/>
  <c r="W9"/>
  <c r="R9"/>
  <c r="Q9"/>
  <c r="Q13" s="1"/>
  <c r="O13" s="1"/>
  <c r="M9"/>
  <c r="M13" s="1"/>
  <c r="I9"/>
  <c r="I13" s="1"/>
  <c r="H13" s="1"/>
  <c r="H9"/>
  <c r="B9"/>
  <c r="Y60" i="3"/>
  <c r="Y59"/>
  <c r="Y50"/>
  <c r="X53"/>
  <c r="X49" s="1"/>
  <c r="Y46"/>
  <c r="X46"/>
  <c r="X45"/>
  <c r="X39"/>
  <c r="X43" s="1"/>
  <c r="E29" i="61" l="1"/>
  <c r="X44" i="3"/>
  <c r="X48" s="1"/>
  <c r="V60" i="72"/>
  <c r="BK50"/>
  <c r="BN50"/>
  <c r="BN54"/>
  <c r="AM52"/>
  <c r="AP52" s="1"/>
  <c r="L68"/>
  <c r="P78"/>
  <c r="N9"/>
  <c r="I17"/>
  <c r="H17" s="1"/>
  <c r="AK17"/>
  <c r="I20"/>
  <c r="AA51"/>
  <c r="Q52"/>
  <c r="V52" s="1"/>
  <c r="AW61"/>
  <c r="AU65"/>
  <c r="AU70"/>
  <c r="BB52" s="1"/>
  <c r="BH52" s="1"/>
  <c r="P75"/>
  <c r="AH20"/>
  <c r="Q57" s="1"/>
  <c r="N13"/>
  <c r="K13"/>
  <c r="K17"/>
  <c r="N17"/>
  <c r="L69"/>
  <c r="AM54"/>
  <c r="AP54" s="1"/>
  <c r="AO54"/>
  <c r="AX54"/>
  <c r="AZ54" s="1"/>
  <c r="AK20"/>
  <c r="AK13"/>
  <c r="M51"/>
  <c r="K51" s="1"/>
  <c r="N48"/>
  <c r="N51" s="1"/>
  <c r="AG61"/>
  <c r="AG62"/>
  <c r="N14"/>
  <c r="AH22"/>
  <c r="Q59" s="1"/>
  <c r="R37"/>
  <c r="AH17"/>
  <c r="O17"/>
  <c r="T38"/>
  <c r="R38" s="1"/>
  <c r="AR55"/>
  <c r="AT61"/>
  <c r="AT62"/>
  <c r="BE54"/>
  <c r="K73"/>
  <c r="AL48" s="1"/>
  <c r="AX50"/>
  <c r="AO50"/>
  <c r="P77"/>
  <c r="L79"/>
  <c r="P54"/>
  <c r="K79"/>
  <c r="AW73"/>
  <c r="AU73" s="1"/>
  <c r="AU55"/>
  <c r="R11"/>
  <c r="AW67"/>
  <c r="AU67" s="1"/>
  <c r="P73"/>
  <c r="L76"/>
  <c r="H11"/>
  <c r="H14"/>
  <c r="M61"/>
  <c r="V61" s="1"/>
  <c r="M76"/>
  <c r="K76" s="1"/>
  <c r="M62"/>
  <c r="V62" s="1"/>
  <c r="AU64"/>
  <c r="BB48" s="1"/>
  <c r="BH48" s="1"/>
  <c r="K77"/>
  <c r="AL52" s="1"/>
  <c r="Y58" i="3"/>
  <c r="D39" i="61"/>
  <c r="D39" i="65"/>
  <c r="V61" i="3"/>
  <c r="V51"/>
  <c r="AH40" i="6"/>
  <c r="AH15"/>
  <c r="AG15" i="5"/>
  <c r="AE10"/>
  <c r="AF10" i="6"/>
  <c r="AF11" s="1"/>
  <c r="Z61" i="3" l="1"/>
  <c r="T61"/>
  <c r="Z51"/>
  <c r="Z49" s="1"/>
  <c r="Z41" s="1"/>
  <c r="Z39" s="1"/>
  <c r="F48" i="56"/>
  <c r="J39" i="89"/>
  <c r="K39"/>
  <c r="BK48" i="72"/>
  <c r="BN48"/>
  <c r="BN52"/>
  <c r="Z46" i="3"/>
  <c r="Z44" s="1"/>
  <c r="AZ50" i="72"/>
  <c r="BE50"/>
  <c r="AM55"/>
  <c r="AP55" s="1"/>
  <c r="AO48"/>
  <c r="AX48"/>
  <c r="AZ48" s="1"/>
  <c r="T54"/>
  <c r="Q54"/>
  <c r="AX52"/>
  <c r="AO52"/>
  <c r="AN52"/>
  <c r="W11"/>
  <c r="AA11"/>
  <c r="P55"/>
  <c r="AN54"/>
  <c r="AQ54" s="1"/>
  <c r="Z58" i="3" l="1"/>
  <c r="BJ60" i="72" s="1"/>
  <c r="BM60" s="1"/>
  <c r="X61" i="3"/>
  <c r="X58" s="1"/>
  <c r="BE48" i="72"/>
  <c r="AZ52"/>
  <c r="BE52"/>
  <c r="V54"/>
  <c r="Q55"/>
  <c r="BA54"/>
  <c r="AN55"/>
  <c r="AQ52"/>
  <c r="U55"/>
  <c r="T55"/>
  <c r="AZ51"/>
  <c r="BI52" l="1"/>
  <c r="BL52" s="1"/>
  <c r="BI54"/>
  <c r="BJ54" s="1"/>
  <c r="BP60"/>
  <c r="BO54" s="1"/>
  <c r="AX51"/>
  <c r="V55"/>
  <c r="O55"/>
  <c r="S55" s="1"/>
  <c r="AQ55"/>
  <c r="AL55"/>
  <c r="AO55" s="1"/>
  <c r="AZ55"/>
  <c r="BA52"/>
  <c r="BS60" l="1"/>
  <c r="BJ52"/>
  <c r="BQ52" s="1"/>
  <c r="BO52"/>
  <c r="BO55" s="1"/>
  <c r="BI55"/>
  <c r="BL54"/>
  <c r="BJ55"/>
  <c r="BP54"/>
  <c r="BQ54"/>
  <c r="AX55"/>
  <c r="BA55"/>
  <c r="BP52" l="1"/>
  <c r="BS54"/>
  <c r="BP55"/>
  <c r="BS52"/>
  <c r="BH55"/>
  <c r="BN55" l="1"/>
  <c r="BQ55" s="1"/>
  <c r="S27" i="10"/>
  <c r="S28"/>
  <c r="S29"/>
  <c r="S26"/>
  <c r="S22"/>
  <c r="V22" s="1"/>
  <c r="AG22" s="1"/>
  <c r="S23"/>
  <c r="V23" s="1"/>
  <c r="AG23" s="1"/>
  <c r="S24"/>
  <c r="V24" s="1"/>
  <c r="AG24" s="1"/>
  <c r="S21"/>
  <c r="I91" i="58"/>
  <c r="BT32" i="71"/>
  <c r="BO32"/>
  <c r="BM32"/>
  <c r="BJ32"/>
  <c r="BF32"/>
  <c r="AZ32"/>
  <c r="AV32"/>
  <c r="BA32" s="1"/>
  <c r="AR32"/>
  <c r="AM32"/>
  <c r="Y32"/>
  <c r="N32"/>
  <c r="BT31"/>
  <c r="BO31"/>
  <c r="BN31"/>
  <c r="BU31" s="1"/>
  <c r="BY31" s="1"/>
  <c r="BM31"/>
  <c r="BJ31"/>
  <c r="BF31"/>
  <c r="AZ31"/>
  <c r="AV31"/>
  <c r="BA31" s="1"/>
  <c r="AR31"/>
  <c r="AM31"/>
  <c r="Y31"/>
  <c r="N31"/>
  <c r="BT30"/>
  <c r="BO30"/>
  <c r="BM30"/>
  <c r="BJ30"/>
  <c r="BF30"/>
  <c r="AZ30"/>
  <c r="AV30"/>
  <c r="BA30" s="1"/>
  <c r="BB30" s="1"/>
  <c r="AR30"/>
  <c r="AM30"/>
  <c r="Y30"/>
  <c r="N30"/>
  <c r="K30"/>
  <c r="H30"/>
  <c r="BT29"/>
  <c r="BO29"/>
  <c r="BM29"/>
  <c r="BJ29"/>
  <c r="BF29"/>
  <c r="AZ29"/>
  <c r="AV29"/>
  <c r="BH29" s="1"/>
  <c r="AR29"/>
  <c r="AM29"/>
  <c r="Y29"/>
  <c r="N29"/>
  <c r="K29"/>
  <c r="H29"/>
  <c r="BP28"/>
  <c r="BK28"/>
  <c r="BI28"/>
  <c r="BG28"/>
  <c r="BE28"/>
  <c r="BM28" s="1"/>
  <c r="AW28"/>
  <c r="AV28"/>
  <c r="AU28"/>
  <c r="AS28"/>
  <c r="AR28" s="1"/>
  <c r="AQ28"/>
  <c r="AN28"/>
  <c r="AM28" s="1"/>
  <c r="AM36" s="1"/>
  <c r="AL28"/>
  <c r="Z28"/>
  <c r="X28"/>
  <c r="S28"/>
  <c r="O28"/>
  <c r="N28" s="1"/>
  <c r="M28"/>
  <c r="H28"/>
  <c r="G28"/>
  <c r="K28" s="1"/>
  <c r="F28"/>
  <c r="BT27"/>
  <c r="BO27"/>
  <c r="BM27"/>
  <c r="BJ27"/>
  <c r="BF27"/>
  <c r="AZ27"/>
  <c r="AV27"/>
  <c r="BA27" s="1"/>
  <c r="AR27"/>
  <c r="AM27"/>
  <c r="Y27"/>
  <c r="AB27" s="1"/>
  <c r="S27"/>
  <c r="N27"/>
  <c r="BT26"/>
  <c r="BO26"/>
  <c r="BM26"/>
  <c r="BN26" s="1"/>
  <c r="BU26" s="1"/>
  <c r="BJ26"/>
  <c r="BF26"/>
  <c r="AZ26"/>
  <c r="AV26"/>
  <c r="BA26" s="1"/>
  <c r="AR26"/>
  <c r="AM26"/>
  <c r="Y26"/>
  <c r="AB26" s="1"/>
  <c r="S26"/>
  <c r="N26"/>
  <c r="BT25"/>
  <c r="BO25"/>
  <c r="BM25"/>
  <c r="BJ25"/>
  <c r="BF25"/>
  <c r="AZ25"/>
  <c r="AV25"/>
  <c r="BA25" s="1"/>
  <c r="AR25"/>
  <c r="AM25"/>
  <c r="Y25"/>
  <c r="AB25" s="1"/>
  <c r="S25"/>
  <c r="N25"/>
  <c r="K25"/>
  <c r="H25"/>
  <c r="BT24"/>
  <c r="BO24"/>
  <c r="BM24"/>
  <c r="BJ24"/>
  <c r="BF24"/>
  <c r="AZ24"/>
  <c r="AV24"/>
  <c r="BA24" s="1"/>
  <c r="BL24" s="1"/>
  <c r="AR24"/>
  <c r="AM24"/>
  <c r="Y24"/>
  <c r="AB24" s="1"/>
  <c r="S24"/>
  <c r="N24"/>
  <c r="K24"/>
  <c r="H24"/>
  <c r="BP23"/>
  <c r="BK23"/>
  <c r="BI23"/>
  <c r="BG23"/>
  <c r="BE23"/>
  <c r="AW23"/>
  <c r="AV34" s="1"/>
  <c r="AU23"/>
  <c r="AS23"/>
  <c r="AQ23"/>
  <c r="AN23"/>
  <c r="AL23"/>
  <c r="Z23"/>
  <c r="X23"/>
  <c r="S23"/>
  <c r="O23"/>
  <c r="M23"/>
  <c r="H23"/>
  <c r="G23"/>
  <c r="K23" s="1"/>
  <c r="F23"/>
  <c r="BD17"/>
  <c r="BB17"/>
  <c r="AA32" s="1"/>
  <c r="AY17"/>
  <c r="AV17"/>
  <c r="AM17"/>
  <c r="T32" s="1"/>
  <c r="V32" s="1"/>
  <c r="AF17"/>
  <c r="AD17"/>
  <c r="Z17"/>
  <c r="AE17" s="1"/>
  <c r="W17"/>
  <c r="U17"/>
  <c r="R17"/>
  <c r="O17"/>
  <c r="BD16"/>
  <c r="BB16"/>
  <c r="AY16"/>
  <c r="AV16"/>
  <c r="AN16"/>
  <c r="AM16"/>
  <c r="AF16"/>
  <c r="AD16"/>
  <c r="Z16"/>
  <c r="AE16" s="1"/>
  <c r="W16"/>
  <c r="U16"/>
  <c r="Q16"/>
  <c r="N16"/>
  <c r="BD15"/>
  <c r="BB15"/>
  <c r="AO30" s="1"/>
  <c r="AY15"/>
  <c r="AV15"/>
  <c r="AM15"/>
  <c r="AF15"/>
  <c r="AD15"/>
  <c r="Z15"/>
  <c r="AE15" s="1"/>
  <c r="W15"/>
  <c r="U15"/>
  <c r="R15"/>
  <c r="R13" s="1"/>
  <c r="O15"/>
  <c r="K15"/>
  <c r="H15"/>
  <c r="BD14"/>
  <c r="BB14"/>
  <c r="AO29" s="1"/>
  <c r="AY14"/>
  <c r="AV14"/>
  <c r="AF14"/>
  <c r="AD14"/>
  <c r="Z14"/>
  <c r="AE14" s="1"/>
  <c r="W14"/>
  <c r="T14"/>
  <c r="AM14" s="1"/>
  <c r="Q14"/>
  <c r="N14"/>
  <c r="K14"/>
  <c r="H14"/>
  <c r="BC13"/>
  <c r="BA13"/>
  <c r="AZ13"/>
  <c r="AX13"/>
  <c r="AW13"/>
  <c r="AV13" s="1"/>
  <c r="AU13"/>
  <c r="AL13"/>
  <c r="AF13"/>
  <c r="AB13"/>
  <c r="AA13"/>
  <c r="Y13"/>
  <c r="X13"/>
  <c r="W13" s="1"/>
  <c r="V13"/>
  <c r="S13"/>
  <c r="P13"/>
  <c r="O13"/>
  <c r="M13"/>
  <c r="BD13" s="1"/>
  <c r="H13"/>
  <c r="G13"/>
  <c r="K13" s="1"/>
  <c r="F13"/>
  <c r="BD11"/>
  <c r="BB11"/>
  <c r="AY11"/>
  <c r="AV11"/>
  <c r="AM11"/>
  <c r="T27" s="1"/>
  <c r="AT27" s="1"/>
  <c r="AF11"/>
  <c r="AE11"/>
  <c r="AD11"/>
  <c r="X11"/>
  <c r="U11"/>
  <c r="R11"/>
  <c r="O11"/>
  <c r="BD10"/>
  <c r="BB10"/>
  <c r="AY10"/>
  <c r="AV10"/>
  <c r="AM10"/>
  <c r="T26" s="1"/>
  <c r="V26" s="1"/>
  <c r="AF10"/>
  <c r="AE10"/>
  <c r="AD10"/>
  <c r="X10"/>
  <c r="U10"/>
  <c r="R10"/>
  <c r="O10"/>
  <c r="O7" s="1"/>
  <c r="BD9"/>
  <c r="BB9"/>
  <c r="AY9"/>
  <c r="AV9"/>
  <c r="AG9"/>
  <c r="AF9"/>
  <c r="AE9"/>
  <c r="Z9"/>
  <c r="AH9" s="1"/>
  <c r="AI9" s="1"/>
  <c r="W9"/>
  <c r="U9"/>
  <c r="T9" s="1"/>
  <c r="AM9" s="1"/>
  <c r="Q9"/>
  <c r="N9"/>
  <c r="K9"/>
  <c r="H9"/>
  <c r="BD8"/>
  <c r="BB8"/>
  <c r="AY24" s="1"/>
  <c r="AY8"/>
  <c r="AV8"/>
  <c r="AG8"/>
  <c r="AF8"/>
  <c r="AF7" s="1"/>
  <c r="Z8"/>
  <c r="AH8" s="1"/>
  <c r="AJ8" s="1"/>
  <c r="W8"/>
  <c r="U8"/>
  <c r="T8" s="1"/>
  <c r="AM8" s="1"/>
  <c r="R8"/>
  <c r="N8"/>
  <c r="K8"/>
  <c r="H8"/>
  <c r="BC7"/>
  <c r="BA7"/>
  <c r="BB7" s="1"/>
  <c r="AZ7"/>
  <c r="AX7"/>
  <c r="AY7" s="1"/>
  <c r="AW7"/>
  <c r="AU7"/>
  <c r="AL7"/>
  <c r="AG7"/>
  <c r="AB7"/>
  <c r="AA7"/>
  <c r="Y7"/>
  <c r="X7"/>
  <c r="V7"/>
  <c r="S7"/>
  <c r="P7"/>
  <c r="M7"/>
  <c r="G7"/>
  <c r="K7" s="1"/>
  <c r="F7"/>
  <c r="S25" i="10" l="1"/>
  <c r="S30"/>
  <c r="V21"/>
  <c r="AG21" s="1"/>
  <c r="AE8" i="71"/>
  <c r="AP10"/>
  <c r="W26"/>
  <c r="BJ34"/>
  <c r="P26"/>
  <c r="Y28"/>
  <c r="BJ28"/>
  <c r="BN30"/>
  <c r="BU30" s="1"/>
  <c r="BV27" i="17"/>
  <c r="BY26" i="71"/>
  <c r="AN10"/>
  <c r="N13"/>
  <c r="BB13"/>
  <c r="AO16"/>
  <c r="AM23"/>
  <c r="AR23"/>
  <c r="BH26"/>
  <c r="U7"/>
  <c r="T7" s="1"/>
  <c r="S31" i="10"/>
  <c r="H7" i="71"/>
  <c r="N7"/>
  <c r="R7"/>
  <c r="Q7" s="1"/>
  <c r="AP11"/>
  <c r="Q13"/>
  <c r="BH24"/>
  <c r="AO25"/>
  <c r="BL25"/>
  <c r="AO26"/>
  <c r="AT26"/>
  <c r="BB26"/>
  <c r="W27"/>
  <c r="BB27"/>
  <c r="BH27"/>
  <c r="BN27"/>
  <c r="BU27" s="1"/>
  <c r="BN29"/>
  <c r="BU29" s="1"/>
  <c r="AY30"/>
  <c r="BH30"/>
  <c r="BQ30"/>
  <c r="P31"/>
  <c r="AO31"/>
  <c r="BB32"/>
  <c r="BH32"/>
  <c r="BN32"/>
  <c r="BU32" s="1"/>
  <c r="BD7"/>
  <c r="W7"/>
  <c r="Z7"/>
  <c r="AV7"/>
  <c r="AC7"/>
  <c r="AO10"/>
  <c r="AO11"/>
  <c r="Z13"/>
  <c r="AC13"/>
  <c r="AY13"/>
  <c r="U13"/>
  <c r="T13" s="1"/>
  <c r="AO17"/>
  <c r="N23"/>
  <c r="Y34"/>
  <c r="AV23"/>
  <c r="BF23"/>
  <c r="BJ23"/>
  <c r="AA24"/>
  <c r="BN24"/>
  <c r="BU24" s="1"/>
  <c r="BY24" s="1"/>
  <c r="BB25"/>
  <c r="BH25"/>
  <c r="BN25"/>
  <c r="BU25" s="1"/>
  <c r="BW25" s="1"/>
  <c r="CA25" s="1"/>
  <c r="BL26"/>
  <c r="V27"/>
  <c r="BL27"/>
  <c r="BO28"/>
  <c r="BA29"/>
  <c r="BL30"/>
  <c r="BX31"/>
  <c r="BV31"/>
  <c r="AO32"/>
  <c r="BL32"/>
  <c r="BV32" i="17"/>
  <c r="AO23" i="71"/>
  <c r="AM35"/>
  <c r="BQ31"/>
  <c r="BB31"/>
  <c r="AK8"/>
  <c r="AD13"/>
  <c r="AE13"/>
  <c r="BJ35"/>
  <c r="BX25"/>
  <c r="BV25"/>
  <c r="Y36"/>
  <c r="AA28"/>
  <c r="BW30"/>
  <c r="CA30" s="1"/>
  <c r="BX30"/>
  <c r="AP8"/>
  <c r="AO8"/>
  <c r="T24"/>
  <c r="AT24" s="1"/>
  <c r="AN8"/>
  <c r="T25"/>
  <c r="AX25" s="1"/>
  <c r="AO9"/>
  <c r="AP9"/>
  <c r="P25"/>
  <c r="AN9"/>
  <c r="AR35"/>
  <c r="BX26"/>
  <c r="BV26"/>
  <c r="BW26"/>
  <c r="CA26" s="1"/>
  <c r="BZ26" s="1"/>
  <c r="BX27"/>
  <c r="BV27"/>
  <c r="BW27"/>
  <c r="CA27" s="1"/>
  <c r="BX29"/>
  <c r="BW29"/>
  <c r="CA29" s="1"/>
  <c r="BX32"/>
  <c r="BW32"/>
  <c r="CA32" s="1"/>
  <c r="BV32"/>
  <c r="AD7"/>
  <c r="AE7"/>
  <c r="T29"/>
  <c r="AN14"/>
  <c r="AP14"/>
  <c r="AO14"/>
  <c r="N35"/>
  <c r="BF35"/>
  <c r="BH23"/>
  <c r="BN28"/>
  <c r="BN36" s="1"/>
  <c r="AX29"/>
  <c r="AD8"/>
  <c r="T30"/>
  <c r="AP15"/>
  <c r="BB24"/>
  <c r="BB23" s="1"/>
  <c r="AO27"/>
  <c r="AY28"/>
  <c r="BJ36"/>
  <c r="AA31"/>
  <c r="AI8"/>
  <c r="AN15"/>
  <c r="BC24"/>
  <c r="BQ25"/>
  <c r="N36"/>
  <c r="AT29"/>
  <c r="BL29"/>
  <c r="BS30"/>
  <c r="BR30"/>
  <c r="U32"/>
  <c r="BQ32"/>
  <c r="BC32"/>
  <c r="BF34"/>
  <c r="BH34" s="1"/>
  <c r="AJ9"/>
  <c r="AK9" s="1"/>
  <c r="P32"/>
  <c r="AP17"/>
  <c r="N34"/>
  <c r="AY23"/>
  <c r="BM23"/>
  <c r="AO24"/>
  <c r="AA25"/>
  <c r="AA26"/>
  <c r="P27"/>
  <c r="AA27"/>
  <c r="AO28"/>
  <c r="AZ28"/>
  <c r="AA29"/>
  <c r="AN11"/>
  <c r="T31"/>
  <c r="AP16"/>
  <c r="AN17"/>
  <c r="Y23"/>
  <c r="AM34"/>
  <c r="AZ23"/>
  <c r="P24"/>
  <c r="BQ24"/>
  <c r="AY25"/>
  <c r="U26"/>
  <c r="AY26"/>
  <c r="AX26"/>
  <c r="U27"/>
  <c r="AY27"/>
  <c r="AX27"/>
  <c r="P29"/>
  <c r="BC30"/>
  <c r="BL31"/>
  <c r="AY32"/>
  <c r="AX32"/>
  <c r="AV35"/>
  <c r="AV36"/>
  <c r="AD9"/>
  <c r="BT23"/>
  <c r="BV24"/>
  <c r="P30"/>
  <c r="AY31"/>
  <c r="BW24"/>
  <c r="CA24" s="1"/>
  <c r="BZ24" s="1"/>
  <c r="BQ26"/>
  <c r="BC26"/>
  <c r="BQ27"/>
  <c r="BC27"/>
  <c r="AR36"/>
  <c r="BF28"/>
  <c r="BQ29"/>
  <c r="BC29"/>
  <c r="BW31"/>
  <c r="CA31" s="1"/>
  <c r="BZ31" s="1"/>
  <c r="AO15"/>
  <c r="AR34"/>
  <c r="AY29"/>
  <c r="BB29"/>
  <c r="BB28" s="1"/>
  <c r="BA28" s="1"/>
  <c r="BV29"/>
  <c r="BV28" s="1"/>
  <c r="BU28" s="1"/>
  <c r="BY28" s="1"/>
  <c r="BT28"/>
  <c r="AA30"/>
  <c r="BV30"/>
  <c r="BH31"/>
  <c r="AT32"/>
  <c r="BO23"/>
  <c r="CM32" i="17" l="1"/>
  <c r="CK32"/>
  <c r="CC32"/>
  <c r="CG32"/>
  <c r="BV28"/>
  <c r="BY27" i="71"/>
  <c r="CM27" i="17"/>
  <c r="CC27"/>
  <c r="CG27"/>
  <c r="CK27"/>
  <c r="BV26"/>
  <c r="BY25" i="71"/>
  <c r="BZ25" s="1"/>
  <c r="BV33" i="17"/>
  <c r="BY32" i="71"/>
  <c r="BZ32" s="1"/>
  <c r="BV30" i="17"/>
  <c r="BY29" i="71"/>
  <c r="BV31" i="17"/>
  <c r="BY30" i="71"/>
  <c r="BZ30" s="1"/>
  <c r="BZ29"/>
  <c r="BZ27"/>
  <c r="AP7"/>
  <c r="AM7" s="1"/>
  <c r="AN7" s="1"/>
  <c r="BX24"/>
  <c r="BV25" i="17"/>
  <c r="AJ7" i="71"/>
  <c r="BU36"/>
  <c r="BW28"/>
  <c r="CA28" s="1"/>
  <c r="BZ28" s="1"/>
  <c r="BR29"/>
  <c r="BS29"/>
  <c r="Y35"/>
  <c r="AA23"/>
  <c r="AO7"/>
  <c r="BR31"/>
  <c r="BS31"/>
  <c r="BA36"/>
  <c r="BS27"/>
  <c r="BR27"/>
  <c r="BL28"/>
  <c r="BH35"/>
  <c r="BS26"/>
  <c r="BR26"/>
  <c r="BV23"/>
  <c r="BS24"/>
  <c r="BR24"/>
  <c r="AT31"/>
  <c r="U31"/>
  <c r="V31"/>
  <c r="AX31"/>
  <c r="BS25"/>
  <c r="BR25"/>
  <c r="P35"/>
  <c r="V29"/>
  <c r="U29"/>
  <c r="BC31"/>
  <c r="U30"/>
  <c r="AX30"/>
  <c r="V30"/>
  <c r="AT25"/>
  <c r="V25"/>
  <c r="W25"/>
  <c r="AH7"/>
  <c r="AI7" s="1"/>
  <c r="AK7"/>
  <c r="BH28"/>
  <c r="BF36"/>
  <c r="BH36" s="1"/>
  <c r="BR32"/>
  <c r="BS32"/>
  <c r="BA34"/>
  <c r="BA23"/>
  <c r="AP13"/>
  <c r="AM13" s="1"/>
  <c r="BN34"/>
  <c r="BN23"/>
  <c r="BN35" s="1"/>
  <c r="AT30"/>
  <c r="U25"/>
  <c r="BC25"/>
  <c r="P23"/>
  <c r="W24"/>
  <c r="V24"/>
  <c r="U24"/>
  <c r="AX24"/>
  <c r="CM25" i="17" l="1"/>
  <c r="CC25"/>
  <c r="CK25"/>
  <c r="CG25"/>
  <c r="CM31"/>
  <c r="CC31"/>
  <c r="CK31"/>
  <c r="CG31"/>
  <c r="CM30"/>
  <c r="CC30"/>
  <c r="CK30"/>
  <c r="CG30"/>
  <c r="CM33"/>
  <c r="CC33"/>
  <c r="CG33"/>
  <c r="CK33"/>
  <c r="CM26"/>
  <c r="CC26"/>
  <c r="CK26"/>
  <c r="CG26"/>
  <c r="CO27"/>
  <c r="CM28"/>
  <c r="CK28"/>
  <c r="CC28"/>
  <c r="CG28"/>
  <c r="CO32"/>
  <c r="U23" i="71"/>
  <c r="T23" s="1"/>
  <c r="AN13"/>
  <c r="AO13"/>
  <c r="P28"/>
  <c r="BA35"/>
  <c r="BL23"/>
  <c r="U28"/>
  <c r="T28" s="1"/>
  <c r="BL36"/>
  <c r="BR23"/>
  <c r="BR28"/>
  <c r="BQ28" s="1"/>
  <c r="T34"/>
  <c r="AT34" s="1"/>
  <c r="BL34"/>
  <c r="BU34"/>
  <c r="BU23"/>
  <c r="BY23" s="1"/>
  <c r="P36"/>
  <c r="BX36"/>
  <c r="BW36"/>
  <c r="CO26" i="17" l="1"/>
  <c r="CO30"/>
  <c r="CO25"/>
  <c r="CO28"/>
  <c r="CO33"/>
  <c r="CO31"/>
  <c r="BC34" i="71"/>
  <c r="BQ34"/>
  <c r="BS34" s="1"/>
  <c r="BQ23"/>
  <c r="BU35"/>
  <c r="BW23"/>
  <c r="CA23" s="1"/>
  <c r="BZ23" s="1"/>
  <c r="BX34"/>
  <c r="BW34"/>
  <c r="BS28"/>
  <c r="BQ36"/>
  <c r="BS36" s="1"/>
  <c r="BL35"/>
  <c r="V23"/>
  <c r="T35"/>
  <c r="BC35" s="1"/>
  <c r="AT23"/>
  <c r="AX23"/>
  <c r="V28"/>
  <c r="T36"/>
  <c r="AX28"/>
  <c r="AT28"/>
  <c r="BC28"/>
  <c r="BC23"/>
  <c r="BS23" l="1"/>
  <c r="BQ35"/>
  <c r="BS35" s="1"/>
  <c r="V36"/>
  <c r="AO36"/>
  <c r="AT36"/>
  <c r="AA36"/>
  <c r="AX36"/>
  <c r="BC36"/>
  <c r="V35"/>
  <c r="AX35"/>
  <c r="AT35"/>
  <c r="AO35"/>
  <c r="AA35"/>
  <c r="BX35"/>
  <c r="BW35"/>
  <c r="K64" i="11" l="1"/>
  <c r="K65"/>
  <c r="AB65" i="8" l="1"/>
  <c r="AC65" s="1"/>
  <c r="AF61" i="7"/>
  <c r="AE61" s="1"/>
  <c r="BE104" i="8" l="1"/>
  <c r="BA104" s="1"/>
  <c r="BE137" i="7"/>
  <c r="E36" i="63" l="1"/>
  <c r="D44"/>
  <c r="D43"/>
  <c r="AR29" i="19"/>
  <c r="BL29" s="1"/>
  <c r="AR26"/>
  <c r="AR22"/>
  <c r="AR40"/>
  <c r="BL40" s="1"/>
  <c r="AJ10" i="6"/>
  <c r="AJ11"/>
  <c r="W14" i="70"/>
  <c r="H14"/>
  <c r="W25"/>
  <c r="U24"/>
  <c r="T24"/>
  <c r="W24" s="1"/>
  <c r="W16"/>
  <c r="J19"/>
  <c r="L19"/>
  <c r="M19"/>
  <c r="N19"/>
  <c r="P19"/>
  <c r="Q19"/>
  <c r="S19"/>
  <c r="T19"/>
  <c r="U19"/>
  <c r="V19"/>
  <c r="I15"/>
  <c r="I19" s="1"/>
  <c r="L10"/>
  <c r="L12" s="1"/>
  <c r="I10"/>
  <c r="I12" s="1"/>
  <c r="P9"/>
  <c r="J12"/>
  <c r="M12"/>
  <c r="S12"/>
  <c r="V12"/>
  <c r="Q11"/>
  <c r="K15"/>
  <c r="K10"/>
  <c r="K12" s="1"/>
  <c r="N10"/>
  <c r="H15"/>
  <c r="H19" s="1"/>
  <c r="H10"/>
  <c r="H12" s="1"/>
  <c r="E15"/>
  <c r="E19" s="1"/>
  <c r="B15"/>
  <c r="B19" s="1"/>
  <c r="G19"/>
  <c r="F19"/>
  <c r="D19"/>
  <c r="C19"/>
  <c r="G12"/>
  <c r="F12"/>
  <c r="E12"/>
  <c r="D12"/>
  <c r="C12"/>
  <c r="B12"/>
  <c r="B9"/>
  <c r="T8"/>
  <c r="R8"/>
  <c r="Q8"/>
  <c r="O8"/>
  <c r="N8"/>
  <c r="CA40" i="19" l="1"/>
  <c r="BL26"/>
  <c r="BG26"/>
  <c r="BL22"/>
  <c r="BG22"/>
  <c r="CA29"/>
  <c r="Q12" i="70"/>
  <c r="Q20" s="1"/>
  <c r="E38" i="63"/>
  <c r="E39" s="1"/>
  <c r="K19" i="70"/>
  <c r="H20"/>
  <c r="J20"/>
  <c r="L20"/>
  <c r="V20"/>
  <c r="S20"/>
  <c r="M20"/>
  <c r="I20"/>
  <c r="E7" i="67"/>
  <c r="D7"/>
  <c r="C7"/>
  <c r="CC29" i="19" l="1"/>
  <c r="CE29" s="1"/>
  <c r="CB29"/>
  <c r="CD29" s="1"/>
  <c r="BH22"/>
  <c r="BI22"/>
  <c r="BH26"/>
  <c r="BI26"/>
  <c r="CB40"/>
  <c r="CD40" s="1"/>
  <c r="CC40"/>
  <c r="CE40" s="1"/>
  <c r="CI29"/>
  <c r="CK29" s="1"/>
  <c r="CH29"/>
  <c r="CJ29" s="1"/>
  <c r="CA22"/>
  <c r="CA26"/>
  <c r="CI40"/>
  <c r="CK40" s="1"/>
  <c r="CH40"/>
  <c r="CJ40" s="1"/>
  <c r="K20" i="70"/>
  <c r="CB22" i="19" l="1"/>
  <c r="CD22" s="1"/>
  <c r="CC22"/>
  <c r="CE22" s="1"/>
  <c r="CI26"/>
  <c r="CK26" s="1"/>
  <c r="CH26"/>
  <c r="CJ26" s="1"/>
  <c r="CI22"/>
  <c r="CK22" s="1"/>
  <c r="CH22"/>
  <c r="CJ22" s="1"/>
  <c r="CB26"/>
  <c r="CD26" s="1"/>
  <c r="CC26"/>
  <c r="CE26" s="1"/>
  <c r="E8" i="67"/>
  <c r="E9" s="1"/>
  <c r="D8"/>
  <c r="D9" s="1"/>
  <c r="C8"/>
  <c r="AG9" i="5"/>
  <c r="AD10"/>
  <c r="AG10" s="1"/>
  <c r="AH10" i="6"/>
  <c r="AE11"/>
  <c r="AH11" s="1"/>
  <c r="AN59" i="19"/>
  <c r="E331" i="69" l="1"/>
  <c r="E330"/>
  <c r="E328"/>
  <c r="D328"/>
  <c r="E318"/>
  <c r="E311"/>
  <c r="D311"/>
  <c r="D329" s="1"/>
  <c r="E288"/>
  <c r="D288"/>
  <c r="E278"/>
  <c r="D278"/>
  <c r="E275"/>
  <c r="D275"/>
  <c r="E270"/>
  <c r="D270"/>
  <c r="E265"/>
  <c r="D265"/>
  <c r="E259"/>
  <c r="D259"/>
  <c r="E252"/>
  <c r="D252"/>
  <c r="E248"/>
  <c r="E253" s="1"/>
  <c r="E266" s="1"/>
  <c r="E279" s="1"/>
  <c r="D248"/>
  <c r="D289" s="1"/>
  <c r="E235"/>
  <c r="D235"/>
  <c r="E230"/>
  <c r="D230"/>
  <c r="E223"/>
  <c r="D223"/>
  <c r="E217"/>
  <c r="D217"/>
  <c r="E207"/>
  <c r="D207"/>
  <c r="E202"/>
  <c r="D202"/>
  <c r="G191"/>
  <c r="E189"/>
  <c r="D189"/>
  <c r="E171"/>
  <c r="D171"/>
  <c r="E168"/>
  <c r="D168"/>
  <c r="E165"/>
  <c r="D165"/>
  <c r="E162"/>
  <c r="D162"/>
  <c r="E155"/>
  <c r="D155"/>
  <c r="E147"/>
  <c r="D147"/>
  <c r="E130"/>
  <c r="E148" s="1"/>
  <c r="E164" s="1"/>
  <c r="E173" s="1"/>
  <c r="D130"/>
  <c r="E111"/>
  <c r="D111"/>
  <c r="E89"/>
  <c r="D89"/>
  <c r="E64"/>
  <c r="D64"/>
  <c r="E35"/>
  <c r="E65" s="1"/>
  <c r="E90" s="1"/>
  <c r="E112" s="1"/>
  <c r="D35"/>
  <c r="D209" l="1"/>
  <c r="E209"/>
  <c r="E224" s="1"/>
  <c r="E236" s="1"/>
  <c r="D65"/>
  <c r="D90" s="1"/>
  <c r="D112" s="1"/>
  <c r="D148"/>
  <c r="D164" s="1"/>
  <c r="D173" s="1"/>
  <c r="E329"/>
  <c r="D224"/>
  <c r="D236" s="1"/>
  <c r="E332"/>
  <c r="E289"/>
  <c r="D253"/>
  <c r="D266" s="1"/>
  <c r="D279" s="1"/>
  <c r="D9" i="68"/>
  <c r="D43" s="1"/>
  <c r="N8"/>
  <c r="H8"/>
  <c r="F8"/>
  <c r="F6"/>
  <c r="H6" s="1"/>
  <c r="F43" l="1"/>
  <c r="D46"/>
  <c r="E333" i="69"/>
  <c r="E334"/>
  <c r="J6" i="68"/>
  <c r="H9"/>
  <c r="D13"/>
  <c r="F9"/>
  <c r="D10"/>
  <c r="D11"/>
  <c r="D12"/>
  <c r="AV73" i="9"/>
  <c r="AV71"/>
  <c r="AW72"/>
  <c r="AW73"/>
  <c r="AW71"/>
  <c r="AV67"/>
  <c r="AW67"/>
  <c r="AU67" s="1"/>
  <c r="AW66"/>
  <c r="AW65"/>
  <c r="AU65" s="1"/>
  <c r="AV65"/>
  <c r="BG45" i="7"/>
  <c r="BC44" i="8"/>
  <c r="C9" i="67"/>
  <c r="AV14" i="7"/>
  <c r="AX56"/>
  <c r="N49" i="3"/>
  <c r="BV44" i="8" l="1"/>
  <c r="BR44"/>
  <c r="BZ45" i="7"/>
  <c r="BU45"/>
  <c r="F46" i="68"/>
  <c r="H43"/>
  <c r="D50"/>
  <c r="D49"/>
  <c r="D48"/>
  <c r="D47"/>
  <c r="D51" s="1"/>
  <c r="BB50" i="9"/>
  <c r="BT50" s="1"/>
  <c r="CA50" s="1"/>
  <c r="BB48"/>
  <c r="BT48" s="1"/>
  <c r="AU73"/>
  <c r="AV68"/>
  <c r="AU71"/>
  <c r="AW68"/>
  <c r="D15" i="68"/>
  <c r="D14"/>
  <c r="H10"/>
  <c r="H13"/>
  <c r="H12"/>
  <c r="H11"/>
  <c r="F11"/>
  <c r="F10"/>
  <c r="F13"/>
  <c r="F12"/>
  <c r="J9"/>
  <c r="L6"/>
  <c r="BV45" i="7" l="1"/>
  <c r="BW45"/>
  <c r="BX45" s="1"/>
  <c r="BV48" i="9"/>
  <c r="CA48"/>
  <c r="F50" i="68"/>
  <c r="F49"/>
  <c r="F48"/>
  <c r="F51" s="1"/>
  <c r="F53" s="1"/>
  <c r="F47"/>
  <c r="F52"/>
  <c r="F15"/>
  <c r="J43"/>
  <c r="H46"/>
  <c r="D52"/>
  <c r="D53" s="1"/>
  <c r="H15"/>
  <c r="BB52" i="9"/>
  <c r="BT52" s="1"/>
  <c r="BB54"/>
  <c r="BT54" s="1"/>
  <c r="AU68"/>
  <c r="D16" i="68"/>
  <c r="H14"/>
  <c r="H16" s="1"/>
  <c r="F14"/>
  <c r="F16" s="1"/>
  <c r="N6"/>
  <c r="L9"/>
  <c r="J13"/>
  <c r="J12"/>
  <c r="J11"/>
  <c r="J10"/>
  <c r="CA54" i="9" l="1"/>
  <c r="BV54"/>
  <c r="CA52"/>
  <c r="BV52"/>
  <c r="CH48" i="72"/>
  <c r="CC48" i="9"/>
  <c r="J46" i="68"/>
  <c r="L43"/>
  <c r="H47"/>
  <c r="H48"/>
  <c r="H52" s="1"/>
  <c r="H53" s="1"/>
  <c r="H49"/>
  <c r="H50"/>
  <c r="H51"/>
  <c r="BB59" i="9"/>
  <c r="J15" i="68"/>
  <c r="L12"/>
  <c r="L11"/>
  <c r="L10"/>
  <c r="L13"/>
  <c r="P6"/>
  <c r="N9"/>
  <c r="J14"/>
  <c r="CM55" i="72" l="1"/>
  <c r="BU9" i="7"/>
  <c r="CF48" i="72"/>
  <c r="BV55" i="9"/>
  <c r="CH52" i="72"/>
  <c r="CC52" i="9"/>
  <c r="CC54"/>
  <c r="CH54" i="72"/>
  <c r="L46" i="68"/>
  <c r="N43"/>
  <c r="J48"/>
  <c r="J47"/>
  <c r="J52" s="1"/>
  <c r="J50"/>
  <c r="J49"/>
  <c r="J51"/>
  <c r="L15"/>
  <c r="J16"/>
  <c r="N11"/>
  <c r="N10"/>
  <c r="N13"/>
  <c r="N12"/>
  <c r="L14"/>
  <c r="L16" s="1"/>
  <c r="R6"/>
  <c r="P9"/>
  <c r="BQ9" i="8" l="1"/>
  <c r="CF52" i="72"/>
  <c r="CH55"/>
  <c r="CF55" s="1"/>
  <c r="CF54"/>
  <c r="BQ18" i="8"/>
  <c r="CC55" i="9"/>
  <c r="BT55"/>
  <c r="CA55" s="1"/>
  <c r="BW9" i="7"/>
  <c r="P43" i="68"/>
  <c r="N46"/>
  <c r="L49"/>
  <c r="L50"/>
  <c r="L47"/>
  <c r="L48"/>
  <c r="L52" s="1"/>
  <c r="L53" s="1"/>
  <c r="L51"/>
  <c r="J53"/>
  <c r="N15"/>
  <c r="N14"/>
  <c r="P10"/>
  <c r="P13"/>
  <c r="P12"/>
  <c r="P11"/>
  <c r="R9"/>
  <c r="T6"/>
  <c r="T9" s="1"/>
  <c r="BQ78" i="8" l="1"/>
  <c r="BS18"/>
  <c r="BT18" s="1"/>
  <c r="BT78" s="1"/>
  <c r="BS9"/>
  <c r="BX9" i="7"/>
  <c r="N50" i="68"/>
  <c r="N49"/>
  <c r="N48"/>
  <c r="N47"/>
  <c r="N52" s="1"/>
  <c r="P46"/>
  <c r="R43"/>
  <c r="N16"/>
  <c r="P14"/>
  <c r="P15"/>
  <c r="T12"/>
  <c r="T11"/>
  <c r="T10"/>
  <c r="T13"/>
  <c r="R13"/>
  <c r="R12"/>
  <c r="R11"/>
  <c r="R15" s="1"/>
  <c r="R10"/>
  <c r="BX113" i="7" l="1"/>
  <c r="BS78" i="8"/>
  <c r="P49" i="68"/>
  <c r="P50"/>
  <c r="P47"/>
  <c r="P48"/>
  <c r="P51" s="1"/>
  <c r="P52"/>
  <c r="T43"/>
  <c r="T46" s="1"/>
  <c r="R46"/>
  <c r="N51"/>
  <c r="N53" s="1"/>
  <c r="P16"/>
  <c r="T15"/>
  <c r="R14"/>
  <c r="R16" s="1"/>
  <c r="T14"/>
  <c r="R48" l="1"/>
  <c r="R47"/>
  <c r="R50"/>
  <c r="R49"/>
  <c r="T47"/>
  <c r="T52" s="1"/>
  <c r="T53" s="1"/>
  <c r="T48"/>
  <c r="T49"/>
  <c r="T50"/>
  <c r="T51"/>
  <c r="P53"/>
  <c r="T16"/>
  <c r="AW60" i="9"/>
  <c r="AW58"/>
  <c r="AR27" i="19"/>
  <c r="BL27" s="1"/>
  <c r="AR18"/>
  <c r="BL18" s="1"/>
  <c r="AR8"/>
  <c r="BL8" s="1"/>
  <c r="CA8" l="1"/>
  <c r="CA27"/>
  <c r="CA18"/>
  <c r="R52" i="68"/>
  <c r="R51"/>
  <c r="R53" s="1"/>
  <c r="AH43" i="6"/>
  <c r="AH37"/>
  <c r="AH9"/>
  <c r="AG41" i="5"/>
  <c r="AG38"/>
  <c r="AG30"/>
  <c r="AG8"/>
  <c r="CC27" i="19" l="1"/>
  <c r="CE27" s="1"/>
  <c r="CB27"/>
  <c r="CD27" s="1"/>
  <c r="CI8"/>
  <c r="CK8" s="1"/>
  <c r="CH8"/>
  <c r="CJ8" s="1"/>
  <c r="CI18"/>
  <c r="CK18" s="1"/>
  <c r="CH18"/>
  <c r="CJ18" s="1"/>
  <c r="CI27"/>
  <c r="CK27" s="1"/>
  <c r="CH27"/>
  <c r="CJ27" s="1"/>
  <c r="CC8"/>
  <c r="CE8" s="1"/>
  <c r="CB8"/>
  <c r="CD8" s="1"/>
  <c r="CB18"/>
  <c r="CD18" s="1"/>
  <c r="CC18"/>
  <c r="CE18" s="1"/>
  <c r="P58" i="3"/>
  <c r="P48"/>
  <c r="P43"/>
  <c r="AD46" i="11" l="1"/>
  <c r="BL44"/>
  <c r="CL44" s="1"/>
  <c r="DF44" l="1"/>
  <c r="AR28" i="19"/>
  <c r="BL28" s="1"/>
  <c r="AR17"/>
  <c r="AR15"/>
  <c r="AH16" i="6"/>
  <c r="BL17" i="19" l="1"/>
  <c r="BG17"/>
  <c r="BL15"/>
  <c r="BG15"/>
  <c r="CA28"/>
  <c r="E29" i="66"/>
  <c r="F29" s="1"/>
  <c r="F23"/>
  <c r="E23"/>
  <c r="D23"/>
  <c r="E16"/>
  <c r="F16" s="1"/>
  <c r="E14"/>
  <c r="F14" s="1"/>
  <c r="BF87" i="8"/>
  <c r="D14" i="65"/>
  <c r="D40"/>
  <c r="E38"/>
  <c r="F23"/>
  <c r="E23"/>
  <c r="D40" i="64"/>
  <c r="F38"/>
  <c r="F40" s="1"/>
  <c r="E38"/>
  <c r="E40" s="1"/>
  <c r="F29"/>
  <c r="D23"/>
  <c r="F23"/>
  <c r="E23"/>
  <c r="E16"/>
  <c r="F14"/>
  <c r="BI15" i="19" l="1"/>
  <c r="BH15"/>
  <c r="BI17"/>
  <c r="BH17"/>
  <c r="CI28"/>
  <c r="CK28" s="1"/>
  <c r="CH28"/>
  <c r="CJ28" s="1"/>
  <c r="CA15"/>
  <c r="CA17"/>
  <c r="CB28"/>
  <c r="CD28" s="1"/>
  <c r="CC28"/>
  <c r="CE28" s="1"/>
  <c r="E39" i="65"/>
  <c r="F38" s="1"/>
  <c r="F16" i="64"/>
  <c r="B32" i="63"/>
  <c r="B27"/>
  <c r="B18"/>
  <c r="C18" s="1"/>
  <c r="E23" i="61"/>
  <c r="F23"/>
  <c r="D16"/>
  <c r="BJ122" i="7"/>
  <c r="CC17" i="19" l="1"/>
  <c r="CE17" s="1"/>
  <c r="CB17"/>
  <c r="CD17" s="1"/>
  <c r="CI17"/>
  <c r="CK17" s="1"/>
  <c r="CH17"/>
  <c r="CJ17" s="1"/>
  <c r="CI15"/>
  <c r="CK15" s="1"/>
  <c r="CH15"/>
  <c r="CJ15" s="1"/>
  <c r="CC15"/>
  <c r="CE15" s="1"/>
  <c r="CB15"/>
  <c r="CD15" s="1"/>
  <c r="E40" i="65"/>
  <c r="F39"/>
  <c r="F40" s="1"/>
  <c r="B19" i="63"/>
  <c r="B20" s="1"/>
  <c r="C19"/>
  <c r="C20" s="1"/>
  <c r="D18"/>
  <c r="B13"/>
  <c r="C13" s="1"/>
  <c r="B8"/>
  <c r="C8" s="1"/>
  <c r="C24" i="36"/>
  <c r="G24" s="1"/>
  <c r="G7"/>
  <c r="AR19" i="19"/>
  <c r="BL19" s="1"/>
  <c r="AG21" i="5"/>
  <c r="U52" i="3"/>
  <c r="B14" i="63"/>
  <c r="B15" s="1"/>
  <c r="BK19" i="7"/>
  <c r="E16" i="61"/>
  <c r="F16" s="1"/>
  <c r="D31"/>
  <c r="D15" i="62"/>
  <c r="E15"/>
  <c r="C15"/>
  <c r="E14"/>
  <c r="D14"/>
  <c r="C14"/>
  <c r="E13"/>
  <c r="I13" s="1"/>
  <c r="I16" s="1"/>
  <c r="F15"/>
  <c r="F14"/>
  <c r="D13"/>
  <c r="H13" s="1"/>
  <c r="C13"/>
  <c r="C16" s="1"/>
  <c r="B15"/>
  <c r="B14"/>
  <c r="B13"/>
  <c r="F12"/>
  <c r="E12"/>
  <c r="D12"/>
  <c r="C12"/>
  <c r="B12"/>
  <c r="B16" s="1"/>
  <c r="E9"/>
  <c r="I9" s="1"/>
  <c r="I10" s="1"/>
  <c r="D9"/>
  <c r="E8"/>
  <c r="D8"/>
  <c r="C9"/>
  <c r="C8"/>
  <c r="E7"/>
  <c r="E10" s="1"/>
  <c r="D7"/>
  <c r="C7"/>
  <c r="H9"/>
  <c r="H10" s="1"/>
  <c r="G9"/>
  <c r="F8"/>
  <c r="F7"/>
  <c r="C10"/>
  <c r="B9"/>
  <c r="B8"/>
  <c r="B7"/>
  <c r="B10" s="1"/>
  <c r="D40" i="61"/>
  <c r="F38"/>
  <c r="E38"/>
  <c r="E39" s="1"/>
  <c r="E40" s="1"/>
  <c r="AR23" i="19"/>
  <c r="BL23" s="1"/>
  <c r="BJ35" i="11"/>
  <c r="CE35" s="1"/>
  <c r="CF35" s="1"/>
  <c r="BJ34"/>
  <c r="CE34" s="1"/>
  <c r="CF34" s="1"/>
  <c r="BI35"/>
  <c r="CD35" s="1"/>
  <c r="BI34"/>
  <c r="CD34" s="1"/>
  <c r="AT35"/>
  <c r="AT34"/>
  <c r="AT60" i="9"/>
  <c r="AN60"/>
  <c r="AG60"/>
  <c r="Q60"/>
  <c r="AF18" i="5"/>
  <c r="AG18" s="1"/>
  <c r="CA23" i="19" l="1"/>
  <c r="CA19"/>
  <c r="D20" i="63"/>
  <c r="H16" i="62"/>
  <c r="E11" i="67"/>
  <c r="E12" s="1"/>
  <c r="E13" s="1"/>
  <c r="E15" s="1"/>
  <c r="AR48" i="19" s="1"/>
  <c r="G13" i="62"/>
  <c r="F13" s="1"/>
  <c r="F16" s="1"/>
  <c r="D10"/>
  <c r="F39" i="61"/>
  <c r="F40" s="1"/>
  <c r="B9" i="63"/>
  <c r="B10" s="1"/>
  <c r="D19"/>
  <c r="D13"/>
  <c r="C14"/>
  <c r="C15" s="1"/>
  <c r="D15" s="1"/>
  <c r="D8"/>
  <c r="C9"/>
  <c r="D16" i="62"/>
  <c r="E16"/>
  <c r="F9"/>
  <c r="G10"/>
  <c r="BI38" i="7" s="1"/>
  <c r="F10" i="62"/>
  <c r="CC19" i="19" l="1"/>
  <c r="CB19"/>
  <c r="CI19"/>
  <c r="CH19"/>
  <c r="CI23"/>
  <c r="CK23" s="1"/>
  <c r="CC23"/>
  <c r="CE23" s="1"/>
  <c r="CB23"/>
  <c r="BG48"/>
  <c r="BH48" s="1"/>
  <c r="BL48"/>
  <c r="BI48"/>
  <c r="BG38" i="7"/>
  <c r="BE37" i="8"/>
  <c r="G16" i="62"/>
  <c r="D14" i="63"/>
  <c r="C10"/>
  <c r="D10" s="1"/>
  <c r="D9"/>
  <c r="O58" i="3"/>
  <c r="O49"/>
  <c r="AV56" i="7" s="1"/>
  <c r="O39" i="3"/>
  <c r="O43" s="1"/>
  <c r="K21" i="87" l="1"/>
  <c r="P21" i="85"/>
  <c r="P21" i="87"/>
  <c r="CD23" i="19"/>
  <c r="CA48"/>
  <c r="BY38" i="7"/>
  <c r="BV38"/>
  <c r="O46" i="3"/>
  <c r="O44" s="1"/>
  <c r="O48" s="1"/>
  <c r="E25" i="60"/>
  <c r="E26" s="1"/>
  <c r="E14"/>
  <c r="E6"/>
  <c r="C18" i="36"/>
  <c r="CC48" i="19" l="1"/>
  <c r="CB48"/>
  <c r="CI48"/>
  <c r="CH48"/>
  <c r="CM38" i="7"/>
  <c r="E132" i="91"/>
  <c r="CA38" i="7"/>
  <c r="BZ38"/>
  <c r="Q58" i="59"/>
  <c r="F58"/>
  <c r="AC54"/>
  <c r="AC55" s="1"/>
  <c r="AC56" s="1"/>
  <c r="T42"/>
  <c r="D43"/>
  <c r="D47" s="1"/>
  <c r="D38"/>
  <c r="D42" s="1"/>
  <c r="F48"/>
  <c r="H47"/>
  <c r="J47"/>
  <c r="L47"/>
  <c r="F43"/>
  <c r="F47" s="1"/>
  <c r="F41"/>
  <c r="F42" s="1"/>
  <c r="F38"/>
  <c r="H42"/>
  <c r="L42"/>
  <c r="CJ48" i="19" l="1"/>
  <c r="CD48"/>
  <c r="CE48"/>
  <c r="CK48"/>
  <c r="CO38" i="7"/>
  <c r="CN38"/>
  <c r="CP38"/>
  <c r="F132" i="91"/>
  <c r="G132" s="1"/>
  <c r="N132"/>
  <c r="T132"/>
  <c r="I132"/>
  <c r="O132"/>
  <c r="U132"/>
  <c r="J132"/>
  <c r="P132"/>
  <c r="K132"/>
  <c r="S132"/>
  <c r="CR38" i="7"/>
  <c r="CS38"/>
  <c r="M59" i="59"/>
  <c r="O58"/>
  <c r="C26" i="60"/>
  <c r="B26"/>
  <c r="C14"/>
  <c r="B14"/>
  <c r="J42" i="59"/>
  <c r="AH70"/>
  <c r="V70"/>
  <c r="AH69"/>
  <c r="V69"/>
  <c r="AH68"/>
  <c r="V68"/>
  <c r="AE62"/>
  <c r="O62"/>
  <c r="AC61"/>
  <c r="W61"/>
  <c r="O61"/>
  <c r="AC60"/>
  <c r="W60"/>
  <c r="O60"/>
  <c r="AD59"/>
  <c r="AD58" s="1"/>
  <c r="AA59"/>
  <c r="Z59"/>
  <c r="Z58" s="1"/>
  <c r="Y59"/>
  <c r="Y58" s="1"/>
  <c r="X59"/>
  <c r="X58" s="1"/>
  <c r="V59"/>
  <c r="V58" s="1"/>
  <c r="U59"/>
  <c r="S59"/>
  <c r="S58" s="1"/>
  <c r="R59"/>
  <c r="R58" s="1"/>
  <c r="O59"/>
  <c r="AE53"/>
  <c r="AE52"/>
  <c r="AC51"/>
  <c r="AA51"/>
  <c r="W51"/>
  <c r="W48" s="1"/>
  <c r="W43" s="1"/>
  <c r="W47" s="1"/>
  <c r="AE50"/>
  <c r="O50"/>
  <c r="AC49"/>
  <c r="AE49" s="1"/>
  <c r="R49"/>
  <c r="R48" s="1"/>
  <c r="R43" s="1"/>
  <c r="R47" s="1"/>
  <c r="O49"/>
  <c r="AD48"/>
  <c r="AA48"/>
  <c r="Z48"/>
  <c r="Y48"/>
  <c r="V48"/>
  <c r="V43" s="1"/>
  <c r="V47" s="1"/>
  <c r="S48"/>
  <c r="S43" s="1"/>
  <c r="S47" s="1"/>
  <c r="N48"/>
  <c r="O48" s="1"/>
  <c r="AE46"/>
  <c r="P46"/>
  <c r="O46"/>
  <c r="AC45"/>
  <c r="AE45" s="1"/>
  <c r="AA45"/>
  <c r="Z45"/>
  <c r="Y45"/>
  <c r="U45"/>
  <c r="AA44"/>
  <c r="Z44"/>
  <c r="Z43" s="1"/>
  <c r="Z47" s="1"/>
  <c r="Y44"/>
  <c r="U44"/>
  <c r="AD43"/>
  <c r="S42"/>
  <c r="R42"/>
  <c r="P42"/>
  <c r="AE41"/>
  <c r="R41"/>
  <c r="O41"/>
  <c r="AE40"/>
  <c r="AD38"/>
  <c r="AA38"/>
  <c r="AA42" s="1"/>
  <c r="Z38"/>
  <c r="Z42" s="1"/>
  <c r="Y38"/>
  <c r="Y42" s="1"/>
  <c r="W38"/>
  <c r="W42" s="1"/>
  <c r="V38"/>
  <c r="V42" s="1"/>
  <c r="AG26"/>
  <c r="R26"/>
  <c r="O26"/>
  <c r="M26"/>
  <c r="AH25"/>
  <c r="AG25"/>
  <c r="R25"/>
  <c r="O25"/>
  <c r="M25"/>
  <c r="R24"/>
  <c r="O24"/>
  <c r="M24"/>
  <c r="AG23"/>
  <c r="R23"/>
  <c r="O23"/>
  <c r="M23"/>
  <c r="AH21"/>
  <c r="AF21"/>
  <c r="W21"/>
  <c r="V21"/>
  <c r="S21"/>
  <c r="P21"/>
  <c r="N21"/>
  <c r="J21"/>
  <c r="B21"/>
  <c r="AG19"/>
  <c r="R19"/>
  <c r="O19"/>
  <c r="M19"/>
  <c r="AG18"/>
  <c r="R18"/>
  <c r="O18"/>
  <c r="M18"/>
  <c r="AG17"/>
  <c r="R17"/>
  <c r="O17"/>
  <c r="M17"/>
  <c r="AH15"/>
  <c r="AH12" s="1"/>
  <c r="AH14" s="1"/>
  <c r="AF15"/>
  <c r="W15"/>
  <c r="W12" s="1"/>
  <c r="V15"/>
  <c r="V12" s="1"/>
  <c r="V9" s="1"/>
  <c r="V27" s="1"/>
  <c r="S15"/>
  <c r="S12" s="1"/>
  <c r="S14" s="1"/>
  <c r="P15"/>
  <c r="P12" s="1"/>
  <c r="P9" s="1"/>
  <c r="N15"/>
  <c r="J15"/>
  <c r="B15"/>
  <c r="B12" s="1"/>
  <c r="AG13"/>
  <c r="R13"/>
  <c r="O13"/>
  <c r="M13"/>
  <c r="AF12"/>
  <c r="AF14" s="1"/>
  <c r="N12"/>
  <c r="J12"/>
  <c r="J9" s="1"/>
  <c r="AG11"/>
  <c r="R11"/>
  <c r="AH10"/>
  <c r="AG10"/>
  <c r="R10"/>
  <c r="O10"/>
  <c r="M10"/>
  <c r="BC28" i="8"/>
  <c r="I158" i="57"/>
  <c r="I197" s="1"/>
  <c r="BG28" i="7" s="1"/>
  <c r="I55" i="57"/>
  <c r="K194"/>
  <c r="BI61" i="7"/>
  <c r="AR42" i="19"/>
  <c r="BL42" s="1"/>
  <c r="AR43"/>
  <c r="BL43" s="1"/>
  <c r="AR44"/>
  <c r="BL44" s="1"/>
  <c r="AR45"/>
  <c r="BL45" s="1"/>
  <c r="AR46"/>
  <c r="BL46" s="1"/>
  <c r="BU31" i="17"/>
  <c r="CL31" s="1"/>
  <c r="CN31" s="1"/>
  <c r="BQ23" i="8" s="1"/>
  <c r="BS23" s="1"/>
  <c r="BU32" i="17"/>
  <c r="CL32" s="1"/>
  <c r="CN32" s="1"/>
  <c r="BQ29" i="8" s="1"/>
  <c r="BU33" i="17"/>
  <c r="CL33" s="1"/>
  <c r="CN33" s="1"/>
  <c r="BQ38" i="8" s="1"/>
  <c r="BU30" i="17"/>
  <c r="CL30" s="1"/>
  <c r="BU26"/>
  <c r="CL26" s="1"/>
  <c r="CN26" s="1"/>
  <c r="BU23" i="7" s="1"/>
  <c r="BW23" s="1"/>
  <c r="BW24" s="1"/>
  <c r="BU24" s="1"/>
  <c r="BU27" i="17"/>
  <c r="CL27" s="1"/>
  <c r="CN27" s="1"/>
  <c r="BU31" i="7" s="1"/>
  <c r="BU28" i="17"/>
  <c r="CL28" s="1"/>
  <c r="CN28" s="1"/>
  <c r="BU39" i="7" s="1"/>
  <c r="BU25" i="17"/>
  <c r="CL25" s="1"/>
  <c r="I34" i="32"/>
  <c r="I32"/>
  <c r="I35" s="1"/>
  <c r="F32"/>
  <c r="F35" s="1"/>
  <c r="F30"/>
  <c r="F34" s="1"/>
  <c r="B33"/>
  <c r="E33" s="1"/>
  <c r="H33" s="1"/>
  <c r="B32"/>
  <c r="H29"/>
  <c r="C34"/>
  <c r="E29"/>
  <c r="B29"/>
  <c r="BL38" i="11"/>
  <c r="CL38" s="1"/>
  <c r="H62"/>
  <c r="K62" s="1"/>
  <c r="F65"/>
  <c r="F64"/>
  <c r="L65"/>
  <c r="L64"/>
  <c r="L63"/>
  <c r="L62"/>
  <c r="K61"/>
  <c r="G61"/>
  <c r="L61" s="1"/>
  <c r="V27" i="10"/>
  <c r="AG27" s="1"/>
  <c r="V28"/>
  <c r="AG28" s="1"/>
  <c r="V29"/>
  <c r="AG29" s="1"/>
  <c r="V26"/>
  <c r="AG26" s="1"/>
  <c r="U60" i="3"/>
  <c r="U59"/>
  <c r="V58"/>
  <c r="U50"/>
  <c r="V49"/>
  <c r="L58"/>
  <c r="D41" i="90" s="1"/>
  <c r="X82" i="6"/>
  <c r="Z87"/>
  <c r="AB87" s="1"/>
  <c r="AX87"/>
  <c r="Z88"/>
  <c r="AB88" s="1"/>
  <c r="AC88"/>
  <c r="AJ88"/>
  <c r="AK88"/>
  <c r="AL88"/>
  <c r="AO88"/>
  <c r="AP88"/>
  <c r="AQ88"/>
  <c r="AX88"/>
  <c r="AY88"/>
  <c r="AB102"/>
  <c r="AD102" s="1"/>
  <c r="AC102"/>
  <c r="AJ102"/>
  <c r="AK102"/>
  <c r="AL102"/>
  <c r="AB103"/>
  <c r="AC103"/>
  <c r="AD103" s="1"/>
  <c r="AJ103"/>
  <c r="AK103"/>
  <c r="AL103"/>
  <c r="Y133"/>
  <c r="Y134"/>
  <c r="Y135"/>
  <c r="Y136"/>
  <c r="Y137"/>
  <c r="Y138"/>
  <c r="Y139"/>
  <c r="V140"/>
  <c r="X140"/>
  <c r="Y142"/>
  <c r="Y143"/>
  <c r="Y144"/>
  <c r="Y145"/>
  <c r="Y146"/>
  <c r="Y147"/>
  <c r="Y148"/>
  <c r="Y150"/>
  <c r="Y151"/>
  <c r="Y152"/>
  <c r="Y153"/>
  <c r="Y154"/>
  <c r="Y155"/>
  <c r="Y157"/>
  <c r="Y158"/>
  <c r="Y159"/>
  <c r="Y160"/>
  <c r="Y161"/>
  <c r="Y162"/>
  <c r="Y163"/>
  <c r="V164"/>
  <c r="W164"/>
  <c r="X164"/>
  <c r="Y166"/>
  <c r="Y167"/>
  <c r="Y168"/>
  <c r="Y169"/>
  <c r="Y170"/>
  <c r="Y171"/>
  <c r="Y172"/>
  <c r="Y173"/>
  <c r="Y174"/>
  <c r="V175"/>
  <c r="W175"/>
  <c r="X175"/>
  <c r="Y177"/>
  <c r="Y178"/>
  <c r="Y179"/>
  <c r="Y180"/>
  <c r="Y181"/>
  <c r="Y182"/>
  <c r="Y183"/>
  <c r="V184"/>
  <c r="W184"/>
  <c r="X184"/>
  <c r="F92" i="56"/>
  <c r="F91"/>
  <c r="E91"/>
  <c r="E101" s="1"/>
  <c r="D91"/>
  <c r="F122"/>
  <c r="F112"/>
  <c r="F102"/>
  <c r="T82"/>
  <c r="D102"/>
  <c r="T72"/>
  <c r="D112"/>
  <c r="AO87" i="6" l="1"/>
  <c r="AQ87"/>
  <c r="AL87"/>
  <c r="W132" i="91"/>
  <c r="D24" i="61"/>
  <c r="D23" s="1"/>
  <c r="I24" i="85"/>
  <c r="CA45" i="19"/>
  <c r="CA43"/>
  <c r="CA46"/>
  <c r="CA44"/>
  <c r="CA42"/>
  <c r="DF38" i="11"/>
  <c r="H132" i="91"/>
  <c r="V132"/>
  <c r="L132"/>
  <c r="Q132"/>
  <c r="BY28" i="7"/>
  <c r="AJ87" i="6"/>
  <c r="BS38" i="8"/>
  <c r="BT23"/>
  <c r="BS24"/>
  <c r="CL24" i="17"/>
  <c r="CN25"/>
  <c r="CL29"/>
  <c r="CN30"/>
  <c r="BS29" i="8"/>
  <c r="BU28"/>
  <c r="CL28" s="1"/>
  <c r="BR28"/>
  <c r="E111" i="56"/>
  <c r="J111" s="1"/>
  <c r="J121" s="1"/>
  <c r="I34" i="85"/>
  <c r="I39" i="89" s="1"/>
  <c r="I40" i="90"/>
  <c r="K40" s="1"/>
  <c r="L40" s="1"/>
  <c r="M40" s="1"/>
  <c r="N40" s="1"/>
  <c r="I35" i="87"/>
  <c r="D28" i="66"/>
  <c r="E28" s="1"/>
  <c r="F28" s="1"/>
  <c r="I33" i="88"/>
  <c r="F111" i="56"/>
  <c r="F121" s="1"/>
  <c r="F123" s="1"/>
  <c r="BI28" i="7"/>
  <c r="AM102" i="6"/>
  <c r="AN102" s="1"/>
  <c r="AM88"/>
  <c r="M62" i="11"/>
  <c r="BJ29" s="1"/>
  <c r="O21" i="59"/>
  <c r="AE56"/>
  <c r="AM103" i="6"/>
  <c r="AD88"/>
  <c r="AC87"/>
  <c r="H63" i="11"/>
  <c r="K63" s="1"/>
  <c r="M63" s="1"/>
  <c r="BJ56" i="7"/>
  <c r="BJ44" s="1"/>
  <c r="V41" i="3"/>
  <c r="V39" s="1"/>
  <c r="V46"/>
  <c r="D28" i="64"/>
  <c r="E28" s="1"/>
  <c r="F28" s="1"/>
  <c r="BE28" i="8"/>
  <c r="D29" i="65"/>
  <c r="E29" s="1"/>
  <c r="F29" s="1"/>
  <c r="B33" i="63"/>
  <c r="BF55" i="8"/>
  <c r="B28" i="63"/>
  <c r="D29" i="61"/>
  <c r="F29" s="1"/>
  <c r="D111" i="56"/>
  <c r="D121" s="1"/>
  <c r="B30" i="32"/>
  <c r="D30" s="1"/>
  <c r="D32"/>
  <c r="E32"/>
  <c r="H32" s="1"/>
  <c r="J32" s="1"/>
  <c r="M64" i="11"/>
  <c r="BJ32" s="1"/>
  <c r="CE32" s="1"/>
  <c r="CF32" s="1"/>
  <c r="M61"/>
  <c r="BJ30" s="1"/>
  <c r="R21" i="59"/>
  <c r="O12"/>
  <c r="O15"/>
  <c r="AG21"/>
  <c r="AA43"/>
  <c r="AA47" s="1"/>
  <c r="Y43"/>
  <c r="Y47" s="1"/>
  <c r="AH9"/>
  <c r="AH27" s="1"/>
  <c r="AE51"/>
  <c r="N43"/>
  <c r="R38"/>
  <c r="R39" s="1"/>
  <c r="AG15"/>
  <c r="R15"/>
  <c r="V44"/>
  <c r="P59"/>
  <c r="AE61"/>
  <c r="M21"/>
  <c r="AE60"/>
  <c r="P27"/>
  <c r="B9"/>
  <c r="M9" s="1"/>
  <c r="B14"/>
  <c r="W14"/>
  <c r="W9"/>
  <c r="W27" s="1"/>
  <c r="AG14"/>
  <c r="N14"/>
  <c r="M15"/>
  <c r="N9"/>
  <c r="R9" s="1"/>
  <c r="S9"/>
  <c r="S27" s="1"/>
  <c r="AF9"/>
  <c r="M12"/>
  <c r="R12"/>
  <c r="V14"/>
  <c r="AC48"/>
  <c r="AE48" s="1"/>
  <c r="AC59"/>
  <c r="AC58" s="1"/>
  <c r="J14"/>
  <c r="M14" s="1"/>
  <c r="P14"/>
  <c r="R44"/>
  <c r="W44"/>
  <c r="AG12"/>
  <c r="S38"/>
  <c r="S39" s="1"/>
  <c r="S44"/>
  <c r="P48"/>
  <c r="W59"/>
  <c r="W58" s="1"/>
  <c r="J91" i="56"/>
  <c r="F93"/>
  <c r="AW88" i="6"/>
  <c r="AZ88" s="1"/>
  <c r="AN103"/>
  <c r="AO103" s="1"/>
  <c r="AN88"/>
  <c r="AR88"/>
  <c r="AY87"/>
  <c r="AW87"/>
  <c r="AP87"/>
  <c r="AR87" s="1"/>
  <c r="AK87"/>
  <c r="AD87"/>
  <c r="Y175"/>
  <c r="Z166" s="1"/>
  <c r="Y140"/>
  <c r="Z136" s="1"/>
  <c r="Y82"/>
  <c r="V82" s="1"/>
  <c r="Z82" s="1"/>
  <c r="Z138"/>
  <c r="Z137"/>
  <c r="Y184"/>
  <c r="Z182" s="1"/>
  <c r="Y164"/>
  <c r="Z157" s="1"/>
  <c r="Z167"/>
  <c r="S72" i="56"/>
  <c r="I102"/>
  <c r="S112"/>
  <c r="S82"/>
  <c r="C91"/>
  <c r="I91"/>
  <c r="I101" s="1"/>
  <c r="K91"/>
  <c r="K101" s="1"/>
  <c r="D92"/>
  <c r="D101"/>
  <c r="D103" s="1"/>
  <c r="F101"/>
  <c r="F103" s="1"/>
  <c r="C111"/>
  <c r="I111"/>
  <c r="N111" s="1"/>
  <c r="N121" s="1"/>
  <c r="O111"/>
  <c r="O121" s="1"/>
  <c r="D122"/>
  <c r="F39"/>
  <c r="F29"/>
  <c r="K48"/>
  <c r="K58" s="1"/>
  <c r="F28"/>
  <c r="D48"/>
  <c r="D58" s="1"/>
  <c r="D28"/>
  <c r="F58"/>
  <c r="T19"/>
  <c r="T9"/>
  <c r="D8"/>
  <c r="F8"/>
  <c r="K8" s="1"/>
  <c r="BF100" i="8"/>
  <c r="BE100"/>
  <c r="BF88"/>
  <c r="BF80"/>
  <c r="BB100"/>
  <c r="BA100"/>
  <c r="BB88"/>
  <c r="BA88"/>
  <c r="BB80"/>
  <c r="AU100"/>
  <c r="AT100"/>
  <c r="AS100"/>
  <c r="AR100"/>
  <c r="AQ100"/>
  <c r="AP100"/>
  <c r="AL100"/>
  <c r="AU97"/>
  <c r="AR97"/>
  <c r="AN97"/>
  <c r="AM97"/>
  <c r="AL97"/>
  <c r="AU88"/>
  <c r="AT88"/>
  <c r="AR88"/>
  <c r="AQ88"/>
  <c r="AO88"/>
  <c r="AN88"/>
  <c r="AM88"/>
  <c r="AL88"/>
  <c r="AP86"/>
  <c r="AS82"/>
  <c r="AP82"/>
  <c r="AU80"/>
  <c r="AT80"/>
  <c r="AR80"/>
  <c r="AQ80"/>
  <c r="AK100"/>
  <c r="D24" i="87" s="1"/>
  <c r="D23" s="1"/>
  <c r="AK88" i="8"/>
  <c r="D20" i="87" s="1"/>
  <c r="AH100" i="8"/>
  <c r="AH97"/>
  <c r="AG97"/>
  <c r="AH95"/>
  <c r="AG95"/>
  <c r="AH88"/>
  <c r="AG88"/>
  <c r="AH86"/>
  <c r="AG86"/>
  <c r="AH85"/>
  <c r="AG85"/>
  <c r="AH84"/>
  <c r="AG84"/>
  <c r="AH83"/>
  <c r="AG83"/>
  <c r="AH82"/>
  <c r="AG82"/>
  <c r="AH81"/>
  <c r="AG81"/>
  <c r="AH80"/>
  <c r="AG80"/>
  <c r="AH79"/>
  <c r="AG79"/>
  <c r="AH78"/>
  <c r="AG78"/>
  <c r="AG89" s="1"/>
  <c r="AE100"/>
  <c r="AD100"/>
  <c r="AC100"/>
  <c r="AB100"/>
  <c r="AA100"/>
  <c r="AE97"/>
  <c r="AD97"/>
  <c r="AA97"/>
  <c r="AE95"/>
  <c r="AE88"/>
  <c r="AD88"/>
  <c r="AC88"/>
  <c r="AB88"/>
  <c r="AA88"/>
  <c r="Z88"/>
  <c r="Y88"/>
  <c r="AE86"/>
  <c r="AA86"/>
  <c r="Y86"/>
  <c r="AE85"/>
  <c r="AE84"/>
  <c r="AE83"/>
  <c r="AE82"/>
  <c r="AB82"/>
  <c r="AE81"/>
  <c r="AB81"/>
  <c r="AE80"/>
  <c r="AD80"/>
  <c r="AC80"/>
  <c r="AA80"/>
  <c r="AE79"/>
  <c r="AE78"/>
  <c r="W100"/>
  <c r="W97"/>
  <c r="W79"/>
  <c r="W88"/>
  <c r="W86"/>
  <c r="W84"/>
  <c r="W83"/>
  <c r="W82"/>
  <c r="W81"/>
  <c r="W80"/>
  <c r="W78"/>
  <c r="BJ134" i="7"/>
  <c r="BI134"/>
  <c r="BJ131"/>
  <c r="BJ123"/>
  <c r="BJ118"/>
  <c r="BJ115"/>
  <c r="BI115"/>
  <c r="BF134"/>
  <c r="BE134"/>
  <c r="BF123"/>
  <c r="BF118"/>
  <c r="BF115"/>
  <c r="AY134"/>
  <c r="AY131"/>
  <c r="AY123"/>
  <c r="AX123"/>
  <c r="AW123"/>
  <c r="AW121"/>
  <c r="AY118"/>
  <c r="AW117"/>
  <c r="AY115"/>
  <c r="AX115"/>
  <c r="AV134"/>
  <c r="AV131"/>
  <c r="AV123"/>
  <c r="AU123"/>
  <c r="AT123"/>
  <c r="AT121"/>
  <c r="AV118"/>
  <c r="AT117"/>
  <c r="AV115"/>
  <c r="AU115"/>
  <c r="AO134"/>
  <c r="AN134"/>
  <c r="AO123"/>
  <c r="AN123"/>
  <c r="D20" i="85" s="1"/>
  <c r="AO118" i="7"/>
  <c r="AO115"/>
  <c r="AK134"/>
  <c r="AJ134"/>
  <c r="AK131"/>
  <c r="AJ131"/>
  <c r="AK129"/>
  <c r="AJ129"/>
  <c r="AK123"/>
  <c r="AJ123"/>
  <c r="AK121"/>
  <c r="AJ121"/>
  <c r="AK119"/>
  <c r="AJ119"/>
  <c r="AK118"/>
  <c r="AJ118"/>
  <c r="AK117"/>
  <c r="AK116"/>
  <c r="AJ116"/>
  <c r="AK115"/>
  <c r="AJ115"/>
  <c r="AK114"/>
  <c r="AJ114"/>
  <c r="AK113"/>
  <c r="AJ113"/>
  <c r="AG134"/>
  <c r="AF134"/>
  <c r="AG131"/>
  <c r="AF131"/>
  <c r="AG123"/>
  <c r="AF123"/>
  <c r="AG118"/>
  <c r="AG115"/>
  <c r="AE134"/>
  <c r="AE131"/>
  <c r="AE123"/>
  <c r="AE119"/>
  <c r="AE117"/>
  <c r="AD134"/>
  <c r="AB134"/>
  <c r="AD131"/>
  <c r="AD123"/>
  <c r="AC123"/>
  <c r="AB123"/>
  <c r="AA123"/>
  <c r="AD121"/>
  <c r="AA121"/>
  <c r="AD118"/>
  <c r="Y134"/>
  <c r="Y123"/>
  <c r="Y121"/>
  <c r="Y119"/>
  <c r="Y118"/>
  <c r="Y117"/>
  <c r="Y116"/>
  <c r="Y115"/>
  <c r="Y114"/>
  <c r="Y113"/>
  <c r="X112"/>
  <c r="W112"/>
  <c r="AL110"/>
  <c r="AH110"/>
  <c r="BC65" i="8"/>
  <c r="BD64"/>
  <c r="BD59"/>
  <c r="BD58"/>
  <c r="BD57"/>
  <c r="BD56"/>
  <c r="AY65"/>
  <c r="AY100" s="1"/>
  <c r="AT61"/>
  <c r="AS61" s="1"/>
  <c r="AS97" s="1"/>
  <c r="AQ61"/>
  <c r="AQ97" s="1"/>
  <c r="AS48"/>
  <c r="AS88" s="1"/>
  <c r="AP48"/>
  <c r="AP88" s="1"/>
  <c r="AP42"/>
  <c r="AP85" s="1"/>
  <c r="AU34"/>
  <c r="AR34"/>
  <c r="AU8"/>
  <c r="AR8"/>
  <c r="AY88"/>
  <c r="AD45"/>
  <c r="AW43" i="7"/>
  <c r="AW120" s="1"/>
  <c r="AT43"/>
  <c r="AT120" s="1"/>
  <c r="AV17"/>
  <c r="AY17"/>
  <c r="AE43"/>
  <c r="AE120" s="1"/>
  <c r="AG17"/>
  <c r="AF38"/>
  <c r="AF115" s="1"/>
  <c r="BE43" i="8"/>
  <c r="BA43"/>
  <c r="AT43"/>
  <c r="AQ43"/>
  <c r="BC45" i="7"/>
  <c r="Z133" i="6" l="1"/>
  <c r="Z134"/>
  <c r="AM87"/>
  <c r="BV65" i="8"/>
  <c r="BR65"/>
  <c r="D24" i="65"/>
  <c r="D23" s="1"/>
  <c r="I24" i="87"/>
  <c r="I23" i="85"/>
  <c r="I26" i="89"/>
  <c r="I25" s="1"/>
  <c r="CI42" i="19"/>
  <c r="CH42"/>
  <c r="CI44"/>
  <c r="CH44"/>
  <c r="CI46"/>
  <c r="CH46"/>
  <c r="CI43"/>
  <c r="CH43"/>
  <c r="CI45"/>
  <c r="CH45"/>
  <c r="CB42"/>
  <c r="CC42"/>
  <c r="CB44"/>
  <c r="CC44"/>
  <c r="CB46"/>
  <c r="CC46"/>
  <c r="CC43"/>
  <c r="CB43"/>
  <c r="CC45"/>
  <c r="CB45"/>
  <c r="CH28" i="8"/>
  <c r="E89" i="93"/>
  <c r="M132" i="91"/>
  <c r="R132" s="1"/>
  <c r="CM28" i="7"/>
  <c r="E106" i="91"/>
  <c r="BZ28" i="7"/>
  <c r="CA28"/>
  <c r="K111" i="56"/>
  <c r="K121" s="1"/>
  <c r="F113"/>
  <c r="E121"/>
  <c r="BA88" i="6"/>
  <c r="CN29" i="17"/>
  <c r="CM29" s="1"/>
  <c r="CM37" s="1"/>
  <c r="BQ13" i="8"/>
  <c r="BU13" i="7"/>
  <c r="CN24" i="17"/>
  <c r="BS30" i="8"/>
  <c r="BQ30" s="1"/>
  <c r="BQ27" s="1"/>
  <c r="BT24"/>
  <c r="BT82" s="1"/>
  <c r="BT81"/>
  <c r="BS39"/>
  <c r="BQ39" s="1"/>
  <c r="BQ34" s="1"/>
  <c r="BJ42" i="11"/>
  <c r="CE42" s="1"/>
  <c r="CE30"/>
  <c r="CF30" s="1"/>
  <c r="BJ41"/>
  <c r="CE41" s="1"/>
  <c r="CF41" s="1"/>
  <c r="CE29"/>
  <c r="CF29" s="1"/>
  <c r="BV28" i="8"/>
  <c r="BW28"/>
  <c r="D113" i="56"/>
  <c r="I33" i="86"/>
  <c r="V44" i="3"/>
  <c r="I41" i="90"/>
  <c r="BE80" i="8"/>
  <c r="F60" i="56"/>
  <c r="BJ33" i="11"/>
  <c r="CE33" s="1"/>
  <c r="CF33" s="1"/>
  <c r="BJ43"/>
  <c r="CE43" s="1"/>
  <c r="Z169" i="6"/>
  <c r="BC100" i="8"/>
  <c r="U11" i="70"/>
  <c r="G32" i="32"/>
  <c r="E30"/>
  <c r="H30" s="1"/>
  <c r="J30" s="1"/>
  <c r="C33" i="63"/>
  <c r="B34"/>
  <c r="B35" s="1"/>
  <c r="C28"/>
  <c r="B29"/>
  <c r="B30" s="1"/>
  <c r="H65" i="11"/>
  <c r="M65" s="1"/>
  <c r="N38" i="59"/>
  <c r="N44"/>
  <c r="N47"/>
  <c r="O43"/>
  <c r="O14"/>
  <c r="AE59"/>
  <c r="P43"/>
  <c r="P47" s="1"/>
  <c r="AG9"/>
  <c r="AF27"/>
  <c r="AC44"/>
  <c r="N27"/>
  <c r="O9"/>
  <c r="O27" s="1"/>
  <c r="I48" i="56"/>
  <c r="I58" s="1"/>
  <c r="Z171" i="6"/>
  <c r="AN87"/>
  <c r="BA87"/>
  <c r="J101" i="56"/>
  <c r="O91"/>
  <c r="O101" s="1"/>
  <c r="Z173" i="6"/>
  <c r="Z135"/>
  <c r="Z139"/>
  <c r="AZ87"/>
  <c r="AS88"/>
  <c r="AB82"/>
  <c r="AK82"/>
  <c r="AO82"/>
  <c r="AQ82"/>
  <c r="AX82"/>
  <c r="AC82"/>
  <c r="AL82"/>
  <c r="AP82"/>
  <c r="AW82"/>
  <c r="AJ82"/>
  <c r="AY82"/>
  <c r="AQ103"/>
  <c r="AX103"/>
  <c r="AP103"/>
  <c r="AR103" s="1"/>
  <c r="AS103" s="1"/>
  <c r="AW103"/>
  <c r="AY103"/>
  <c r="Z142"/>
  <c r="Z145"/>
  <c r="Z168"/>
  <c r="Z170"/>
  <c r="Z172"/>
  <c r="Z174"/>
  <c r="Z158"/>
  <c r="Z161"/>
  <c r="AS87"/>
  <c r="Z146"/>
  <c r="Z162"/>
  <c r="Z149"/>
  <c r="Z150"/>
  <c r="Z151"/>
  <c r="Z152"/>
  <c r="Z153"/>
  <c r="Z154"/>
  <c r="Z155"/>
  <c r="Z156"/>
  <c r="Z179"/>
  <c r="Z183"/>
  <c r="Z180"/>
  <c r="Z144"/>
  <c r="Z148"/>
  <c r="Z160"/>
  <c r="Z177"/>
  <c r="Z181"/>
  <c r="Z143"/>
  <c r="Z147"/>
  <c r="Z159"/>
  <c r="Z163"/>
  <c r="Z178"/>
  <c r="AE89" i="8"/>
  <c r="AE96" s="1"/>
  <c r="AF88"/>
  <c r="D123" i="56"/>
  <c r="S122"/>
  <c r="I103"/>
  <c r="N103" s="1"/>
  <c r="S102"/>
  <c r="I113"/>
  <c r="N113" s="1"/>
  <c r="N112" s="1"/>
  <c r="I121"/>
  <c r="I123" s="1"/>
  <c r="H111"/>
  <c r="H121" s="1"/>
  <c r="C121"/>
  <c r="I92"/>
  <c r="D93"/>
  <c r="C101"/>
  <c r="H91"/>
  <c r="H101" s="1"/>
  <c r="P91"/>
  <c r="P111"/>
  <c r="N91"/>
  <c r="N101" s="1"/>
  <c r="F30"/>
  <c r="P48"/>
  <c r="I28"/>
  <c r="N28" s="1"/>
  <c r="N38" s="1"/>
  <c r="K28"/>
  <c r="D38"/>
  <c r="F38"/>
  <c r="F40" s="1"/>
  <c r="K18"/>
  <c r="D18"/>
  <c r="F18"/>
  <c r="F20" s="1"/>
  <c r="P8"/>
  <c r="D11"/>
  <c r="F10"/>
  <c r="I8"/>
  <c r="I18" s="1"/>
  <c r="D10"/>
  <c r="I9"/>
  <c r="AF86" i="8"/>
  <c r="AT97"/>
  <c r="AP61"/>
  <c r="AP97" s="1"/>
  <c r="AH89"/>
  <c r="AH98" s="1"/>
  <c r="AG98"/>
  <c r="AG96"/>
  <c r="AS42"/>
  <c r="AS85" s="1"/>
  <c r="BC47" i="7"/>
  <c r="G16" i="32"/>
  <c r="AS46" i="8"/>
  <c r="AS86" s="1"/>
  <c r="AB46"/>
  <c r="AB86" s="1"/>
  <c r="AE48" i="7"/>
  <c r="AE121" s="1"/>
  <c r="AS41" i="8"/>
  <c r="AT41" s="1"/>
  <c r="AP41"/>
  <c r="AQ41" s="1"/>
  <c r="AS33"/>
  <c r="AP33"/>
  <c r="AS26"/>
  <c r="AP26"/>
  <c r="AS16"/>
  <c r="AT16" s="1"/>
  <c r="AP16"/>
  <c r="AQ16" s="1"/>
  <c r="AX26" i="7"/>
  <c r="AU26"/>
  <c r="AF26"/>
  <c r="BB39" i="8"/>
  <c r="BB34" s="1"/>
  <c r="AT39"/>
  <c r="AQ39"/>
  <c r="AZ64"/>
  <c r="AZ59"/>
  <c r="AZ58"/>
  <c r="AZ57"/>
  <c r="AZ56"/>
  <c r="AT30"/>
  <c r="AQ30"/>
  <c r="BB14"/>
  <c r="AT14"/>
  <c r="AQ14"/>
  <c r="AS38"/>
  <c r="AS40" s="1"/>
  <c r="AP38"/>
  <c r="AQ38" s="1"/>
  <c r="AS29"/>
  <c r="AP29"/>
  <c r="AQ29" s="1"/>
  <c r="AS23"/>
  <c r="AS25" s="1"/>
  <c r="AP23"/>
  <c r="AP25" s="1"/>
  <c r="AS13"/>
  <c r="AP13"/>
  <c r="AB40"/>
  <c r="AC39"/>
  <c r="AB31"/>
  <c r="BC31" s="1"/>
  <c r="AC30"/>
  <c r="AC14"/>
  <c r="AC38"/>
  <c r="AC29"/>
  <c r="AC13"/>
  <c r="AX24" i="7"/>
  <c r="AU24"/>
  <c r="BF24"/>
  <c r="AF24"/>
  <c r="AW41"/>
  <c r="AT39"/>
  <c r="AE39"/>
  <c r="AW33"/>
  <c r="AT31"/>
  <c r="AE31"/>
  <c r="Z140" i="6" l="1"/>
  <c r="BE31" i="8"/>
  <c r="BR31"/>
  <c r="BR100"/>
  <c r="BV100"/>
  <c r="I23" i="87"/>
  <c r="I26" i="90"/>
  <c r="I25" s="1"/>
  <c r="BQ24" i="8"/>
  <c r="U89" i="93"/>
  <c r="T89"/>
  <c r="N89"/>
  <c r="F89"/>
  <c r="P89"/>
  <c r="J89"/>
  <c r="I89"/>
  <c r="O89"/>
  <c r="K89"/>
  <c r="S89"/>
  <c r="CM28" i="8"/>
  <c r="CN28"/>
  <c r="BS34"/>
  <c r="CI28"/>
  <c r="CJ28"/>
  <c r="CA115" i="7"/>
  <c r="C48" i="92"/>
  <c r="B48" s="1"/>
  <c r="CR28" i="7"/>
  <c r="CQ115"/>
  <c r="U106" i="91"/>
  <c r="G106"/>
  <c r="F106"/>
  <c r="T106"/>
  <c r="P106"/>
  <c r="I106"/>
  <c r="O106"/>
  <c r="N106"/>
  <c r="J106"/>
  <c r="K106"/>
  <c r="S106"/>
  <c r="CN28" i="7"/>
  <c r="CM115"/>
  <c r="CO28"/>
  <c r="CO115" s="1"/>
  <c r="BW13"/>
  <c r="BX13" s="1"/>
  <c r="BU116"/>
  <c r="BS27" i="8"/>
  <c r="CM24" i="17"/>
  <c r="CM36" s="1"/>
  <c r="CM35"/>
  <c r="BQ81" i="8"/>
  <c r="BS13"/>
  <c r="CF42" i="11"/>
  <c r="CG42"/>
  <c r="CF43"/>
  <c r="CG43"/>
  <c r="AD82" i="6"/>
  <c r="W166" i="56"/>
  <c r="W155"/>
  <c r="K33" i="88"/>
  <c r="J41" i="90"/>
  <c r="I40" i="89"/>
  <c r="BC43" i="7"/>
  <c r="BC120" s="1"/>
  <c r="G30" i="32"/>
  <c r="D28" i="63"/>
  <c r="C29"/>
  <c r="D33"/>
  <c r="C34"/>
  <c r="BJ31" i="11"/>
  <c r="CE31" s="1"/>
  <c r="CF31" s="1"/>
  <c r="AE98" i="8"/>
  <c r="AE101" s="1"/>
  <c r="N48" i="56"/>
  <c r="N58" s="1"/>
  <c r="AR82" i="6"/>
  <c r="AE58" i="59"/>
  <c r="O38"/>
  <c r="N39"/>
  <c r="N42"/>
  <c r="AC43"/>
  <c r="AC47" s="1"/>
  <c r="AE44"/>
  <c r="P44"/>
  <c r="P38"/>
  <c r="BA103" i="6"/>
  <c r="M111" i="56"/>
  <c r="M121" s="1"/>
  <c r="BA82" i="6"/>
  <c r="AZ82"/>
  <c r="Z175"/>
  <c r="AZ103"/>
  <c r="AM82"/>
  <c r="AN82" s="1"/>
  <c r="Z164"/>
  <c r="Z184"/>
  <c r="AS84" i="8"/>
  <c r="AH96"/>
  <c r="AT119" i="7"/>
  <c r="M91" i="56"/>
  <c r="N102"/>
  <c r="P121"/>
  <c r="P101"/>
  <c r="M101"/>
  <c r="I93"/>
  <c r="N93" s="1"/>
  <c r="N92" s="1"/>
  <c r="S92"/>
  <c r="N123"/>
  <c r="N122" s="1"/>
  <c r="D29"/>
  <c r="I38"/>
  <c r="P58"/>
  <c r="K38"/>
  <c r="P28"/>
  <c r="P18"/>
  <c r="N8"/>
  <c r="I10"/>
  <c r="N10" s="1"/>
  <c r="S9"/>
  <c r="AT38" i="8"/>
  <c r="AT40" s="1"/>
  <c r="AQ40"/>
  <c r="AT13"/>
  <c r="AT15" s="1"/>
  <c r="AS81"/>
  <c r="BB8"/>
  <c r="AQ13"/>
  <c r="AP81"/>
  <c r="AC31"/>
  <c r="AC40"/>
  <c r="AP84"/>
  <c r="AH101"/>
  <c r="AH102" s="1"/>
  <c r="AH99"/>
  <c r="AG99"/>
  <c r="AS15"/>
  <c r="AQ31"/>
  <c r="AS31"/>
  <c r="AP40"/>
  <c r="AT29"/>
  <c r="AT31" s="1"/>
  <c r="AP15"/>
  <c r="AP31"/>
  <c r="AW119" i="7"/>
  <c r="AT33"/>
  <c r="AT41"/>
  <c r="AW25"/>
  <c r="AT23"/>
  <c r="AT25" s="1"/>
  <c r="AE23"/>
  <c r="AF23" s="1"/>
  <c r="AT13"/>
  <c r="AE13"/>
  <c r="BC37" i="8"/>
  <c r="AS37"/>
  <c r="AP37"/>
  <c r="AB37"/>
  <c r="BA28"/>
  <c r="AY28" s="1"/>
  <c r="AS28"/>
  <c r="AP28"/>
  <c r="AB28"/>
  <c r="BC22"/>
  <c r="BU22" s="1"/>
  <c r="E58" i="93" s="1"/>
  <c r="BA22" i="8"/>
  <c r="AY22" s="1"/>
  <c r="AS22"/>
  <c r="AP22"/>
  <c r="AB22"/>
  <c r="BA12"/>
  <c r="BC12"/>
  <c r="AS12"/>
  <c r="AP12"/>
  <c r="AB12"/>
  <c r="AW28" i="7"/>
  <c r="AE28"/>
  <c r="BU28" s="1"/>
  <c r="BE22"/>
  <c r="BC22" s="1"/>
  <c r="BE12"/>
  <c r="AE22"/>
  <c r="BG12"/>
  <c r="BY12" s="1"/>
  <c r="AW12"/>
  <c r="AT12"/>
  <c r="AE11"/>
  <c r="AE12"/>
  <c r="BC35" i="8"/>
  <c r="AY35"/>
  <c r="BA35" s="1"/>
  <c r="AS35"/>
  <c r="AP35"/>
  <c r="AB35"/>
  <c r="AC35" s="1"/>
  <c r="BC32"/>
  <c r="AY32"/>
  <c r="BC36" i="7"/>
  <c r="AS32" i="8"/>
  <c r="AT32" s="1"/>
  <c r="AP32"/>
  <c r="AQ32" s="1"/>
  <c r="AB32"/>
  <c r="AC32" s="1"/>
  <c r="BC20"/>
  <c r="AY20"/>
  <c r="AS20"/>
  <c r="AP20"/>
  <c r="AB20"/>
  <c r="BC10"/>
  <c r="AY10"/>
  <c r="AS10"/>
  <c r="AP10"/>
  <c r="AB10"/>
  <c r="BG36" i="7"/>
  <c r="BG29"/>
  <c r="BC29"/>
  <c r="BG20"/>
  <c r="BC20"/>
  <c r="BG10"/>
  <c r="BC10"/>
  <c r="AX20"/>
  <c r="AT36"/>
  <c r="AT29"/>
  <c r="AT20"/>
  <c r="AU20" s="1"/>
  <c r="AT10"/>
  <c r="AE36"/>
  <c r="AE29"/>
  <c r="AE20"/>
  <c r="AF20" s="1"/>
  <c r="AE10"/>
  <c r="AS18" i="8"/>
  <c r="AP18"/>
  <c r="AB18"/>
  <c r="AS9"/>
  <c r="AP9"/>
  <c r="AB9"/>
  <c r="AC9" s="1"/>
  <c r="BF95"/>
  <c r="BB55"/>
  <c r="BB95" s="1"/>
  <c r="AU55"/>
  <c r="AU95" s="1"/>
  <c r="AR55"/>
  <c r="AR95" s="1"/>
  <c r="AD55"/>
  <c r="AD95" s="1"/>
  <c r="AC61"/>
  <c r="AC43"/>
  <c r="AB41"/>
  <c r="AC41" s="1"/>
  <c r="AD34"/>
  <c r="AB33"/>
  <c r="AB26"/>
  <c r="AB25"/>
  <c r="AB16"/>
  <c r="AD8"/>
  <c r="AX18" i="7"/>
  <c r="AW9"/>
  <c r="AU18"/>
  <c r="AT9"/>
  <c r="AE18"/>
  <c r="AF18" s="1"/>
  <c r="AE9"/>
  <c r="BJ129"/>
  <c r="BF56"/>
  <c r="BF129" s="1"/>
  <c r="AG56"/>
  <c r="AG129" s="1"/>
  <c r="AV129"/>
  <c r="BG61"/>
  <c r="BG37"/>
  <c r="BG30"/>
  <c r="BG22"/>
  <c r="BY22" s="1"/>
  <c r="E73" i="91" s="1"/>
  <c r="BG21" i="7"/>
  <c r="BC61"/>
  <c r="BC134" s="1"/>
  <c r="BC38"/>
  <c r="BC37"/>
  <c r="BC30"/>
  <c r="BC21"/>
  <c r="AX134"/>
  <c r="AW61"/>
  <c r="AW134" s="1"/>
  <c r="AX58"/>
  <c r="AX131" s="1"/>
  <c r="AW58"/>
  <c r="AW131" s="1"/>
  <c r="AX21"/>
  <c r="AU134"/>
  <c r="AT134"/>
  <c r="AU58"/>
  <c r="AU131" s="1"/>
  <c r="AT131"/>
  <c r="AE33"/>
  <c r="AF21"/>
  <c r="BU29" i="17"/>
  <c r="BU24"/>
  <c r="BQ29"/>
  <c r="BQ24"/>
  <c r="BY33"/>
  <c r="BY32"/>
  <c r="BY31"/>
  <c r="BY30"/>
  <c r="BY28"/>
  <c r="BY27"/>
  <c r="BY26"/>
  <c r="BY25"/>
  <c r="BK29"/>
  <c r="BJ29" s="1"/>
  <c r="BI29"/>
  <c r="BK24"/>
  <c r="BJ35" s="1"/>
  <c r="BI24"/>
  <c r="BF33"/>
  <c r="BF32"/>
  <c r="BF31"/>
  <c r="BF30"/>
  <c r="BF28"/>
  <c r="BF27"/>
  <c r="BF26"/>
  <c r="BF25"/>
  <c r="BG29"/>
  <c r="BE29"/>
  <c r="BG24"/>
  <c r="BE24"/>
  <c r="AR33"/>
  <c r="AR32"/>
  <c r="AR31"/>
  <c r="AR30"/>
  <c r="AR28"/>
  <c r="AR27"/>
  <c r="AR26"/>
  <c r="AR25"/>
  <c r="AS29"/>
  <c r="AS24"/>
  <c r="AQ29"/>
  <c r="AQ24"/>
  <c r="G25" i="36"/>
  <c r="BE48" i="8" s="1"/>
  <c r="G14" i="36"/>
  <c r="BI50" i="7" s="1"/>
  <c r="AG39" i="6"/>
  <c r="AH39" s="1"/>
  <c r="AG37"/>
  <c r="AG36"/>
  <c r="AG35"/>
  <c r="AH35" s="1"/>
  <c r="AG32"/>
  <c r="AH32" s="1"/>
  <c r="AG30"/>
  <c r="AH30" s="1"/>
  <c r="AG27"/>
  <c r="AH27" s="1"/>
  <c r="AG26"/>
  <c r="AH26" s="1"/>
  <c r="AG21"/>
  <c r="AG19"/>
  <c r="AH19" s="1"/>
  <c r="AI44"/>
  <c r="AI41"/>
  <c r="AI39"/>
  <c r="AI36"/>
  <c r="AI35"/>
  <c r="AI34"/>
  <c r="AI23"/>
  <c r="AF25"/>
  <c r="AE25"/>
  <c r="AF18"/>
  <c r="AF45" s="1"/>
  <c r="AE18"/>
  <c r="AF13"/>
  <c r="AE13"/>
  <c r="AA25"/>
  <c r="AA18"/>
  <c r="AA13"/>
  <c r="AH13" s="1"/>
  <c r="AH12" s="1"/>
  <c r="AF44" i="5"/>
  <c r="AG44" s="1"/>
  <c r="AF43"/>
  <c r="AG43" s="1"/>
  <c r="AF39"/>
  <c r="AG39" s="1"/>
  <c r="AF38"/>
  <c r="AF37"/>
  <c r="AF36"/>
  <c r="AF35"/>
  <c r="AG35" s="1"/>
  <c r="AF34"/>
  <c r="AG34" s="1"/>
  <c r="AH34" s="1"/>
  <c r="AF33"/>
  <c r="AF31"/>
  <c r="AG31" s="1"/>
  <c r="AF29"/>
  <c r="AG29" s="1"/>
  <c r="AH29" s="1"/>
  <c r="AF28"/>
  <c r="AG28" s="1"/>
  <c r="AH28" s="1"/>
  <c r="AF27"/>
  <c r="AG27" s="1"/>
  <c r="AH27" s="1"/>
  <c r="AF25"/>
  <c r="AG25" s="1"/>
  <c r="AF24"/>
  <c r="AF23"/>
  <c r="AF21"/>
  <c r="AF20"/>
  <c r="AF16"/>
  <c r="AG16" s="1"/>
  <c r="AE26"/>
  <c r="AD26"/>
  <c r="AE17"/>
  <c r="AD17"/>
  <c r="AE12"/>
  <c r="AD12"/>
  <c r="AA26"/>
  <c r="Y26"/>
  <c r="X26"/>
  <c r="U26"/>
  <c r="Z26"/>
  <c r="Z17"/>
  <c r="Z12"/>
  <c r="AW55" i="9"/>
  <c r="AV55"/>
  <c r="AU54"/>
  <c r="AU52"/>
  <c r="AW51"/>
  <c r="AV51"/>
  <c r="AU50"/>
  <c r="AU48"/>
  <c r="AR54"/>
  <c r="AR52"/>
  <c r="AR50"/>
  <c r="AR48"/>
  <c r="AT55"/>
  <c r="AS55"/>
  <c r="AS51"/>
  <c r="AT51"/>
  <c r="W55" i="3"/>
  <c r="W54"/>
  <c r="U53"/>
  <c r="T53"/>
  <c r="K53"/>
  <c r="E8" i="56" s="1"/>
  <c r="AJ48" i="9"/>
  <c r="AY55"/>
  <c r="AY51"/>
  <c r="AG62"/>
  <c r="AE54"/>
  <c r="AE52"/>
  <c r="AE50"/>
  <c r="AE48"/>
  <c r="BK43" i="11"/>
  <c r="BK41"/>
  <c r="BK30"/>
  <c r="BG31"/>
  <c r="BG38"/>
  <c r="BD40"/>
  <c r="BD30" s="1"/>
  <c r="AV40"/>
  <c r="AV32" s="1"/>
  <c r="AR40"/>
  <c r="AR32" s="1"/>
  <c r="AX43"/>
  <c r="AT43"/>
  <c r="AX42"/>
  <c r="AT42"/>
  <c r="AX41"/>
  <c r="AT41"/>
  <c r="AX33"/>
  <c r="AT33"/>
  <c r="AX32"/>
  <c r="AT32"/>
  <c r="AX31"/>
  <c r="AT31"/>
  <c r="AX30"/>
  <c r="AT30"/>
  <c r="AX29"/>
  <c r="AT29"/>
  <c r="AD43"/>
  <c r="BI43" s="1"/>
  <c r="AD40"/>
  <c r="AF43"/>
  <c r="AF42"/>
  <c r="AF41"/>
  <c r="AF33"/>
  <c r="AF32"/>
  <c r="AF31"/>
  <c r="AF30"/>
  <c r="AF29"/>
  <c r="V30" i="10"/>
  <c r="V25"/>
  <c r="U30"/>
  <c r="U25"/>
  <c r="R30"/>
  <c r="Q30"/>
  <c r="R25"/>
  <c r="Q25"/>
  <c r="N31"/>
  <c r="K31"/>
  <c r="L30"/>
  <c r="L25"/>
  <c r="K191" i="52"/>
  <c r="BE28" i="7" s="1"/>
  <c r="E22" i="32"/>
  <c r="G22" s="1"/>
  <c r="E23"/>
  <c r="E20"/>
  <c r="G20" s="1"/>
  <c r="E10"/>
  <c r="E9"/>
  <c r="G9" s="1"/>
  <c r="E7"/>
  <c r="G7" s="1"/>
  <c r="F24"/>
  <c r="U58" i="3"/>
  <c r="T58"/>
  <c r="B111" i="56" s="1"/>
  <c r="Q58" i="3"/>
  <c r="N58"/>
  <c r="I58"/>
  <c r="AB55" i="8" s="1"/>
  <c r="AB95" s="1"/>
  <c r="W51" i="3"/>
  <c r="W47"/>
  <c r="W42"/>
  <c r="W41"/>
  <c r="U46"/>
  <c r="W46" s="1"/>
  <c r="T46"/>
  <c r="T45"/>
  <c r="T39"/>
  <c r="AZ56" i="72" s="1"/>
  <c r="Q49" i="3"/>
  <c r="AU56" i="7"/>
  <c r="AU129" s="1"/>
  <c r="Q46" i="3"/>
  <c r="N46"/>
  <c r="Q45"/>
  <c r="N45"/>
  <c r="Q39"/>
  <c r="N39"/>
  <c r="I49"/>
  <c r="AF56" i="7" s="1"/>
  <c r="AF129" s="1"/>
  <c r="I46" i="3"/>
  <c r="I45"/>
  <c r="I39"/>
  <c r="AO48" i="19"/>
  <c r="AO46"/>
  <c r="AO45"/>
  <c r="AO44"/>
  <c r="AO43"/>
  <c r="AO42"/>
  <c r="AO23"/>
  <c r="AO9"/>
  <c r="AN48"/>
  <c r="AN46"/>
  <c r="AN45"/>
  <c r="AN44"/>
  <c r="AN43"/>
  <c r="AN42"/>
  <c r="AN23"/>
  <c r="AN9"/>
  <c r="W106" i="91" l="1"/>
  <c r="CP28" i="7"/>
  <c r="CP115" s="1"/>
  <c r="O15" i="70"/>
  <c r="F58" i="93"/>
  <c r="G58" s="1"/>
  <c r="N58"/>
  <c r="T58"/>
  <c r="K58"/>
  <c r="S58"/>
  <c r="J58"/>
  <c r="P58"/>
  <c r="I58"/>
  <c r="L58" s="1"/>
  <c r="O58"/>
  <c r="U58"/>
  <c r="J73" i="91"/>
  <c r="P73"/>
  <c r="I73"/>
  <c r="O73"/>
  <c r="U73"/>
  <c r="F73"/>
  <c r="G73" s="1"/>
  <c r="N73"/>
  <c r="T73"/>
  <c r="K73"/>
  <c r="S73"/>
  <c r="BV61" i="7"/>
  <c r="BZ61"/>
  <c r="E48" i="91"/>
  <c r="BY115" i="7"/>
  <c r="CR115" s="1"/>
  <c r="BW28"/>
  <c r="BX28" s="1"/>
  <c r="BU115"/>
  <c r="BV28"/>
  <c r="CN115"/>
  <c r="V89" i="93"/>
  <c r="L89"/>
  <c r="Q89"/>
  <c r="G89"/>
  <c r="H89" s="1"/>
  <c r="Q106" i="91"/>
  <c r="L106"/>
  <c r="H106"/>
  <c r="V106"/>
  <c r="CT115" i="7"/>
  <c r="CS115"/>
  <c r="K41" i="90"/>
  <c r="BS81" i="8"/>
  <c r="BS14"/>
  <c r="BS8" s="1"/>
  <c r="BW14" i="7"/>
  <c r="BW8" s="1"/>
  <c r="BX14"/>
  <c r="BX8" s="1"/>
  <c r="D11" i="67"/>
  <c r="D12" s="1"/>
  <c r="D13" s="1"/>
  <c r="D15" s="1"/>
  <c r="BC45" i="8" s="1"/>
  <c r="BV45" s="1"/>
  <c r="AG30" i="10"/>
  <c r="C11" i="67"/>
  <c r="C12" s="1"/>
  <c r="C13" s="1"/>
  <c r="C15" s="1"/>
  <c r="BG47" i="7" s="1"/>
  <c r="BZ47" s="1"/>
  <c r="AG25" i="10"/>
  <c r="BZ36" i="7"/>
  <c r="BV36"/>
  <c r="BZ10"/>
  <c r="BV10"/>
  <c r="BZ20"/>
  <c r="BV20"/>
  <c r="BZ29"/>
  <c r="BV29"/>
  <c r="BV10" i="8"/>
  <c r="BR10"/>
  <c r="BV35"/>
  <c r="BR35"/>
  <c r="BU37"/>
  <c r="CL37" s="1"/>
  <c r="BR37"/>
  <c r="BQ45"/>
  <c r="BQ42" s="1"/>
  <c r="BV20"/>
  <c r="BR20"/>
  <c r="BV32"/>
  <c r="BR32"/>
  <c r="BD60" i="72"/>
  <c r="BC52" s="1"/>
  <c r="I34" i="87"/>
  <c r="K40" i="89"/>
  <c r="J40"/>
  <c r="BE32" i="8"/>
  <c r="BE35"/>
  <c r="Q43" i="3"/>
  <c r="AW56" i="72"/>
  <c r="AW57" s="1"/>
  <c r="AW56" i="9"/>
  <c r="AW57" s="1"/>
  <c r="AX129" i="7"/>
  <c r="AY56"/>
  <c r="AY129" s="1"/>
  <c r="B91" i="56"/>
  <c r="G91" s="1"/>
  <c r="G101" s="1"/>
  <c r="AZ60" i="72"/>
  <c r="BG60" s="1"/>
  <c r="BE88" i="8"/>
  <c r="BC48"/>
  <c r="BD46" i="11"/>
  <c r="BD41" s="1"/>
  <c r="AV74" i="9"/>
  <c r="BJ24" i="17"/>
  <c r="U10" i="70"/>
  <c r="U12" s="1"/>
  <c r="U20" s="1"/>
  <c r="I43" i="3"/>
  <c r="AG56" i="72"/>
  <c r="AG57" s="1"/>
  <c r="N43" i="3"/>
  <c r="AT56" i="72"/>
  <c r="AT57" s="1"/>
  <c r="AZ57"/>
  <c r="AW61" i="9"/>
  <c r="AS55" i="8"/>
  <c r="AS95" s="1"/>
  <c r="BC54" i="72"/>
  <c r="B31" i="32"/>
  <c r="E31" s="1"/>
  <c r="Y53" i="3"/>
  <c r="O19" i="70"/>
  <c r="AS80" i="8"/>
  <c r="R15" i="70"/>
  <c r="R19" s="1"/>
  <c r="AW74" i="9"/>
  <c r="R31" i="10"/>
  <c r="S49" i="56"/>
  <c r="AY79" i="8"/>
  <c r="T10" i="70"/>
  <c r="BG134" i="7"/>
  <c r="T11" i="70"/>
  <c r="AC12" i="5"/>
  <c r="AG12"/>
  <c r="AE99" i="8"/>
  <c r="AF46" i="6"/>
  <c r="AF51" s="1"/>
  <c r="AE45" i="5"/>
  <c r="AE46" s="1"/>
  <c r="C35" i="63"/>
  <c r="D35" s="1"/>
  <c r="D34"/>
  <c r="D29"/>
  <c r="C30"/>
  <c r="D30" s="1"/>
  <c r="B121" i="56"/>
  <c r="BC55" i="8"/>
  <c r="D28" i="65"/>
  <c r="E28" s="1"/>
  <c r="F28" s="1"/>
  <c r="BD60" i="9"/>
  <c r="AZ60"/>
  <c r="AZ61" s="1"/>
  <c r="Q44" i="3"/>
  <c r="AS82" i="6"/>
  <c r="BG50" i="7"/>
  <c r="AD45" i="5"/>
  <c r="AD46" s="1"/>
  <c r="Q31" i="10"/>
  <c r="AV33" i="11"/>
  <c r="AT56" i="9"/>
  <c r="AT57" s="1"/>
  <c r="AV29" i="11"/>
  <c r="AV31"/>
  <c r="P39" i="59"/>
  <c r="AE47"/>
  <c r="AE43"/>
  <c r="AC39"/>
  <c r="V31" i="10"/>
  <c r="AG31" s="1"/>
  <c r="E48" i="56"/>
  <c r="U49" i="3"/>
  <c r="I33" i="85" s="1"/>
  <c r="E21" i="32"/>
  <c r="G21" s="1"/>
  <c r="U31" i="10"/>
  <c r="W53" i="3"/>
  <c r="BJ37" i="17"/>
  <c r="T43" i="3"/>
  <c r="AZ56" i="9"/>
  <c r="AZ57" s="1"/>
  <c r="BG57" s="1"/>
  <c r="AT62"/>
  <c r="AR46" i="11"/>
  <c r="AR43" s="1"/>
  <c r="AP55" i="8"/>
  <c r="AP95" s="1"/>
  <c r="AV46" i="11"/>
  <c r="BF35" i="17"/>
  <c r="BJ36"/>
  <c r="E28" i="56"/>
  <c r="E8" i="32"/>
  <c r="G8" s="1"/>
  <c r="T49" i="3"/>
  <c r="B48" i="56" s="1"/>
  <c r="AW59" i="9"/>
  <c r="N44" i="3"/>
  <c r="AT58" i="72" s="1"/>
  <c r="AT59" s="1"/>
  <c r="B101" i="56"/>
  <c r="L31" i="10"/>
  <c r="BI46" i="11"/>
  <c r="J8" i="56"/>
  <c r="E18"/>
  <c r="E10"/>
  <c r="C8"/>
  <c r="BI123" i="7"/>
  <c r="AR24" i="17"/>
  <c r="AY55" i="8"/>
  <c r="AY95" s="1"/>
  <c r="BC114" i="7"/>
  <c r="AB80" i="8"/>
  <c r="BA80"/>
  <c r="AW115" i="7"/>
  <c r="AG56" i="9"/>
  <c r="AG57" s="1"/>
  <c r="K49" i="3"/>
  <c r="AR29" i="17"/>
  <c r="AT116" i="7"/>
  <c r="AU51" i="9"/>
  <c r="AE45" i="6"/>
  <c r="AE46" s="1"/>
  <c r="AE54" s="1"/>
  <c r="AA45"/>
  <c r="AA46" s="1"/>
  <c r="AA51" s="1"/>
  <c r="AG51" s="1"/>
  <c r="AH51" s="1"/>
  <c r="AU55" i="9"/>
  <c r="AA52" i="6"/>
  <c r="AG52" s="1"/>
  <c r="AH52" s="1"/>
  <c r="AA53"/>
  <c r="AG53" s="1"/>
  <c r="AH53" s="1"/>
  <c r="Z45" i="5"/>
  <c r="AW114" i="7"/>
  <c r="I29" i="56"/>
  <c r="D30"/>
  <c r="D50"/>
  <c r="P38"/>
  <c r="N18"/>
  <c r="I19"/>
  <c r="N9"/>
  <c r="W9" s="1"/>
  <c r="AS34" i="8"/>
  <c r="AS8"/>
  <c r="AS78"/>
  <c r="AC10"/>
  <c r="AB79"/>
  <c r="AT10"/>
  <c r="AS79"/>
  <c r="BE10"/>
  <c r="BC79"/>
  <c r="BC80"/>
  <c r="BR80" s="1"/>
  <c r="AQ15"/>
  <c r="AB78"/>
  <c r="AP80"/>
  <c r="AY12"/>
  <c r="AP27"/>
  <c r="AS27"/>
  <c r="AC16"/>
  <c r="AB84"/>
  <c r="AB61"/>
  <c r="AB97" s="1"/>
  <c r="AC97"/>
  <c r="AP8"/>
  <c r="AP78"/>
  <c r="AQ10"/>
  <c r="AP79"/>
  <c r="AE102"/>
  <c r="AQ9"/>
  <c r="AT9"/>
  <c r="BA10"/>
  <c r="AT35"/>
  <c r="AT34" s="1"/>
  <c r="AQ35"/>
  <c r="AQ34" s="1"/>
  <c r="AP34"/>
  <c r="BC12" i="7"/>
  <c r="BC115" s="1"/>
  <c r="BE115"/>
  <c r="AE15"/>
  <c r="AE116"/>
  <c r="AE113"/>
  <c r="AT113"/>
  <c r="AW113"/>
  <c r="AE114"/>
  <c r="AT114"/>
  <c r="BG114"/>
  <c r="AE115"/>
  <c r="AT115"/>
  <c r="BG115"/>
  <c r="AW116"/>
  <c r="AW27"/>
  <c r="AE56"/>
  <c r="AU9"/>
  <c r="AF9"/>
  <c r="AF13"/>
  <c r="AU45"/>
  <c r="AV45" s="1"/>
  <c r="AU47"/>
  <c r="AV47" s="1"/>
  <c r="AU46"/>
  <c r="AV46" s="1"/>
  <c r="AU44"/>
  <c r="AU16"/>
  <c r="AU32"/>
  <c r="AV32" s="1"/>
  <c r="AX46"/>
  <c r="AY46" s="1"/>
  <c r="AX14"/>
  <c r="AY14" s="1"/>
  <c r="AX32"/>
  <c r="AY32" s="1"/>
  <c r="BI20"/>
  <c r="AU10"/>
  <c r="AU13"/>
  <c r="AU23"/>
  <c r="AU25" s="1"/>
  <c r="AX23"/>
  <c r="AX25" s="1"/>
  <c r="AU42"/>
  <c r="AV42" s="1"/>
  <c r="AT27"/>
  <c r="AW35"/>
  <c r="AF46"/>
  <c r="AG46" s="1"/>
  <c r="AF34"/>
  <c r="AG34" s="1"/>
  <c r="AF42"/>
  <c r="AG42" s="1"/>
  <c r="AF16"/>
  <c r="AF14"/>
  <c r="BE20"/>
  <c r="BF20" s="1"/>
  <c r="BF17" s="1"/>
  <c r="AX13"/>
  <c r="AW15"/>
  <c r="AW8" s="1"/>
  <c r="AT56"/>
  <c r="AF10"/>
  <c r="AT35"/>
  <c r="AU34"/>
  <c r="AV34" s="1"/>
  <c r="BA32" i="8"/>
  <c r="AC55"/>
  <c r="AC95" s="1"/>
  <c r="AB15"/>
  <c r="AB8" s="1"/>
  <c r="AC15"/>
  <c r="AB34"/>
  <c r="AC34"/>
  <c r="AB42"/>
  <c r="AB85" s="1"/>
  <c r="AF25" i="7"/>
  <c r="BG25" s="1"/>
  <c r="BV25" s="1"/>
  <c r="AR35" i="17"/>
  <c r="BF29"/>
  <c r="BF24"/>
  <c r="F14" i="36"/>
  <c r="AF53" i="6"/>
  <c r="AF52"/>
  <c r="AD54" i="5"/>
  <c r="AD53"/>
  <c r="AD51"/>
  <c r="AW62" i="9"/>
  <c r="AR55"/>
  <c r="AR51"/>
  <c r="BD33" i="11"/>
  <c r="AV30"/>
  <c r="BD31"/>
  <c r="BD42"/>
  <c r="AG61" i="9"/>
  <c r="AF51"/>
  <c r="AG51"/>
  <c r="AR33" i="11"/>
  <c r="AT45"/>
  <c r="AP19" i="8" s="1"/>
  <c r="AP83" s="1"/>
  <c r="AX45" i="11"/>
  <c r="AS19" i="8" s="1"/>
  <c r="AS83" s="1"/>
  <c r="BD29" i="11"/>
  <c r="BD32"/>
  <c r="AT39"/>
  <c r="AT19" i="7" s="1"/>
  <c r="AX39" i="11"/>
  <c r="AF45"/>
  <c r="AB19" i="8" s="1"/>
  <c r="AB83" s="1"/>
  <c r="AR30" i="11"/>
  <c r="AR31"/>
  <c r="AD41"/>
  <c r="BI41" s="1"/>
  <c r="CD41" s="1"/>
  <c r="CC41" s="1"/>
  <c r="CG41" s="1"/>
  <c r="CG45" s="1"/>
  <c r="BQ19" i="8" s="1"/>
  <c r="AD42" i="11"/>
  <c r="BI42" s="1"/>
  <c r="AR29"/>
  <c r="AF39"/>
  <c r="AE19" i="7" s="1"/>
  <c r="I44" i="3"/>
  <c r="AG58" i="72" s="1"/>
  <c r="AG59" s="1"/>
  <c r="T44" i="3"/>
  <c r="AZ58" i="72" s="1"/>
  <c r="E6" i="32"/>
  <c r="AA14" i="19"/>
  <c r="AM20"/>
  <c r="AR20" s="1"/>
  <c r="AM16"/>
  <c r="AR16" s="1"/>
  <c r="BG16" s="1"/>
  <c r="AM47"/>
  <c r="AR47" s="1"/>
  <c r="AM41"/>
  <c r="AR41" s="1"/>
  <c r="BL41" s="1"/>
  <c r="AM40"/>
  <c r="AM39"/>
  <c r="AR39" s="1"/>
  <c r="AM38"/>
  <c r="AR38" s="1"/>
  <c r="AM37"/>
  <c r="AR37" s="1"/>
  <c r="AM36"/>
  <c r="AR36" s="1"/>
  <c r="AM35"/>
  <c r="AR35" s="1"/>
  <c r="AM34"/>
  <c r="AM33"/>
  <c r="AM32"/>
  <c r="AR32" s="1"/>
  <c r="AM31"/>
  <c r="AR31" s="1"/>
  <c r="BL31" s="1"/>
  <c r="AM30"/>
  <c r="AR30" s="1"/>
  <c r="AM29"/>
  <c r="AM28"/>
  <c r="AM27"/>
  <c r="AM26"/>
  <c r="AM25"/>
  <c r="AR25" s="1"/>
  <c r="BL25" s="1"/>
  <c r="AM24"/>
  <c r="AM22"/>
  <c r="AM21"/>
  <c r="AM19"/>
  <c r="AM18"/>
  <c r="AM17"/>
  <c r="AM15"/>
  <c r="AM13"/>
  <c r="AG58"/>
  <c r="AO58" s="1"/>
  <c r="AF60"/>
  <c r="AE59" s="1"/>
  <c r="AG59" s="1"/>
  <c r="AI14"/>
  <c r="AH14"/>
  <c r="AI12"/>
  <c r="AH12"/>
  <c r="V73" i="91" l="1"/>
  <c r="W73"/>
  <c r="W58" i="93"/>
  <c r="V58"/>
  <c r="H58"/>
  <c r="M58" s="1"/>
  <c r="Q58"/>
  <c r="H73" i="91"/>
  <c r="Q73"/>
  <c r="L73"/>
  <c r="BV134" i="7"/>
  <c r="BZ134"/>
  <c r="P48" i="91"/>
  <c r="P48" i="92" s="1"/>
  <c r="J48" i="91"/>
  <c r="J48" i="92" s="1"/>
  <c r="U48" i="91"/>
  <c r="U48" i="92" s="1"/>
  <c r="O48" i="91"/>
  <c r="O48" i="92" s="1"/>
  <c r="I48" i="91"/>
  <c r="T48"/>
  <c r="T48" i="92" s="1"/>
  <c r="N48" i="91"/>
  <c r="F48"/>
  <c r="S48"/>
  <c r="K48"/>
  <c r="K48" i="92" s="1"/>
  <c r="E48"/>
  <c r="CA25" i="19"/>
  <c r="CA31"/>
  <c r="BL35"/>
  <c r="BG35"/>
  <c r="BL37"/>
  <c r="BG37"/>
  <c r="BL39"/>
  <c r="BG39"/>
  <c r="CA41"/>
  <c r="BI16"/>
  <c r="BH16"/>
  <c r="BL30"/>
  <c r="BG30"/>
  <c r="BL32"/>
  <c r="BG32"/>
  <c r="BL36"/>
  <c r="BG36"/>
  <c r="BL38"/>
  <c r="BG38"/>
  <c r="BL47"/>
  <c r="BG47"/>
  <c r="BS45" i="8"/>
  <c r="BT45" s="1"/>
  <c r="BR45"/>
  <c r="BC42"/>
  <c r="BV42" s="1"/>
  <c r="CH37"/>
  <c r="E110" i="93"/>
  <c r="W89"/>
  <c r="M89"/>
  <c r="BV47" i="7"/>
  <c r="BZ50"/>
  <c r="BV50"/>
  <c r="M106" i="91"/>
  <c r="BV115" i="7"/>
  <c r="BZ115"/>
  <c r="L41" i="90"/>
  <c r="L38"/>
  <c r="BS82" i="8"/>
  <c r="BQ14"/>
  <c r="BU14" i="7"/>
  <c r="BU8" s="1"/>
  <c r="BV114"/>
  <c r="BZ114"/>
  <c r="BR79" i="8"/>
  <c r="BV79"/>
  <c r="BQ83"/>
  <c r="BS19"/>
  <c r="BT19" s="1"/>
  <c r="BQ17"/>
  <c r="BC54" i="9"/>
  <c r="BF54" s="1"/>
  <c r="BW60"/>
  <c r="BC95" i="8"/>
  <c r="BV55"/>
  <c r="BR55"/>
  <c r="BR48"/>
  <c r="BV48"/>
  <c r="BW37"/>
  <c r="C38" i="94" s="1"/>
  <c r="B38" s="1"/>
  <c r="BV37" i="8"/>
  <c r="BU80"/>
  <c r="BV80" s="1"/>
  <c r="BR42"/>
  <c r="BQ85"/>
  <c r="AX42" i="7"/>
  <c r="AY42" s="1"/>
  <c r="AW56"/>
  <c r="AX31" s="1"/>
  <c r="AY31" s="1"/>
  <c r="AX34"/>
  <c r="AY34" s="1"/>
  <c r="AX16"/>
  <c r="AY16" s="1"/>
  <c r="AX10"/>
  <c r="AX44"/>
  <c r="AX45"/>
  <c r="AY45" s="1"/>
  <c r="AX47"/>
  <c r="AY47" s="1"/>
  <c r="AX9"/>
  <c r="AX113" s="1"/>
  <c r="BD43" i="11"/>
  <c r="I37" i="89"/>
  <c r="I38"/>
  <c r="B8" i="56"/>
  <c r="D38" i="89"/>
  <c r="D33" i="85"/>
  <c r="D37" i="89"/>
  <c r="I38" i="90"/>
  <c r="I39"/>
  <c r="D31" i="32"/>
  <c r="D20" i="65"/>
  <c r="I20" i="87"/>
  <c r="I22" i="90" s="1"/>
  <c r="W15" i="70"/>
  <c r="BC88" i="8"/>
  <c r="B34" i="32"/>
  <c r="BJ20" i="7"/>
  <c r="BG123"/>
  <c r="BI25"/>
  <c r="CP24" s="1"/>
  <c r="D20" i="61"/>
  <c r="I20" i="85"/>
  <c r="I22" i="89" s="1"/>
  <c r="AU74" i="9"/>
  <c r="AZ59" i="72"/>
  <c r="AG11" i="5"/>
  <c r="Y49" i="3"/>
  <c r="BC55" i="72"/>
  <c r="BF55" s="1"/>
  <c r="BM55" s="1"/>
  <c r="BD52"/>
  <c r="BF52"/>
  <c r="BM52" s="1"/>
  <c r="BF54"/>
  <c r="BM54" s="1"/>
  <c r="BD54"/>
  <c r="BG57"/>
  <c r="AZ61"/>
  <c r="BA60"/>
  <c r="AZ62"/>
  <c r="AE57" i="19"/>
  <c r="AG57" s="1"/>
  <c r="W19" i="70"/>
  <c r="Q48" i="3"/>
  <c r="G111" i="56"/>
  <c r="G121" s="1"/>
  <c r="T12" i="70"/>
  <c r="T20" s="1"/>
  <c r="D38" i="63"/>
  <c r="F27" s="1"/>
  <c r="AF54" i="6"/>
  <c r="AE51" i="5"/>
  <c r="AE52"/>
  <c r="AE53"/>
  <c r="AE54"/>
  <c r="AZ62" i="9"/>
  <c r="BH41" i="11"/>
  <c r="BL41" s="1"/>
  <c r="CL41" s="1"/>
  <c r="AT55" i="8"/>
  <c r="AT26" s="1"/>
  <c r="BH42" i="11"/>
  <c r="BL42" s="1"/>
  <c r="CL42" s="1"/>
  <c r="BC52" i="9"/>
  <c r="L91" i="56"/>
  <c r="L101" s="1"/>
  <c r="BH43" i="11"/>
  <c r="BL43" s="1"/>
  <c r="CL43" s="1"/>
  <c r="D34" i="32"/>
  <c r="E34"/>
  <c r="B35"/>
  <c r="U45" i="3"/>
  <c r="W45" s="1"/>
  <c r="D28" i="61"/>
  <c r="H31" i="32"/>
  <c r="J31" s="1"/>
  <c r="G31"/>
  <c r="AH49" i="19"/>
  <c r="AE51" i="6"/>
  <c r="AE52"/>
  <c r="AE53"/>
  <c r="AD52" i="5"/>
  <c r="AP17" i="8"/>
  <c r="AP49" s="1"/>
  <c r="AP66" s="1"/>
  <c r="AP67" s="1"/>
  <c r="AQ55"/>
  <c r="AQ95" s="1"/>
  <c r="AE39" i="59"/>
  <c r="AC38"/>
  <c r="BE55" i="8"/>
  <c r="AY9" i="7"/>
  <c r="AY113" s="1"/>
  <c r="AR41" i="11"/>
  <c r="AR42"/>
  <c r="BA55" i="8"/>
  <c r="BA44" s="1"/>
  <c r="BB44" s="1"/>
  <c r="BB42" s="1"/>
  <c r="BB85" s="1"/>
  <c r="E24" i="32"/>
  <c r="G24" s="1"/>
  <c r="AT61" i="9"/>
  <c r="AM8" i="19"/>
  <c r="AO13"/>
  <c r="AN13"/>
  <c r="AO25"/>
  <c r="AN25"/>
  <c r="AW118" i="7"/>
  <c r="AW124" s="1"/>
  <c r="AX19"/>
  <c r="AX118" s="1"/>
  <c r="BF37" i="17"/>
  <c r="B28" i="56"/>
  <c r="BE56" i="7"/>
  <c r="AV43" i="11"/>
  <c r="AV42"/>
  <c r="AO21" i="19"/>
  <c r="AN21"/>
  <c r="AO30"/>
  <c r="AN30"/>
  <c r="AN47"/>
  <c r="AO47"/>
  <c r="T48" i="3"/>
  <c r="AZ58" i="9"/>
  <c r="AZ59" s="1"/>
  <c r="AT118" i="7"/>
  <c r="AT124" s="1"/>
  <c r="AU19"/>
  <c r="AU118" s="1"/>
  <c r="AI49" i="19"/>
  <c r="AO17"/>
  <c r="AN17"/>
  <c r="AO22"/>
  <c r="AN22"/>
  <c r="AN27"/>
  <c r="AO27"/>
  <c r="AN31"/>
  <c r="AO31"/>
  <c r="AN35"/>
  <c r="AO35"/>
  <c r="AN39"/>
  <c r="AO39"/>
  <c r="AO16"/>
  <c r="AN16"/>
  <c r="E11" i="32"/>
  <c r="G11" s="1"/>
  <c r="AR37" i="17"/>
  <c r="AW17" i="7"/>
  <c r="AW51" s="1"/>
  <c r="AA54" i="6"/>
  <c r="AG54" s="1"/>
  <c r="AH54" s="1"/>
  <c r="AS54" s="1"/>
  <c r="B18" i="56"/>
  <c r="G8"/>
  <c r="G18" s="1"/>
  <c r="J18"/>
  <c r="O8"/>
  <c r="O18" s="1"/>
  <c r="E38"/>
  <c r="C28"/>
  <c r="J28"/>
  <c r="BI56" i="7"/>
  <c r="AN19" i="19"/>
  <c r="AO19"/>
  <c r="AO29"/>
  <c r="AN29"/>
  <c r="AO33"/>
  <c r="AN33"/>
  <c r="AO37"/>
  <c r="AN37"/>
  <c r="AO41"/>
  <c r="AN41"/>
  <c r="AF19" i="7"/>
  <c r="AF118" s="1"/>
  <c r="AE118"/>
  <c r="AE124" s="1"/>
  <c r="N48" i="3"/>
  <c r="AT58" i="9"/>
  <c r="AT59" s="1"/>
  <c r="AN15" i="19"/>
  <c r="AO15"/>
  <c r="AO26"/>
  <c r="AN26"/>
  <c r="AO34"/>
  <c r="AN34"/>
  <c r="AO38"/>
  <c r="AN38"/>
  <c r="AV41" i="11"/>
  <c r="AO18" i="19"/>
  <c r="AN18"/>
  <c r="AN24"/>
  <c r="AO24"/>
  <c r="AO28"/>
  <c r="AN28"/>
  <c r="AN32"/>
  <c r="AO32"/>
  <c r="AO36"/>
  <c r="AN36"/>
  <c r="AN40"/>
  <c r="AO40"/>
  <c r="AO20"/>
  <c r="AN20"/>
  <c r="I48" i="3"/>
  <c r="AG58" i="9"/>
  <c r="AG59" s="1"/>
  <c r="BC123" i="7"/>
  <c r="BE50"/>
  <c r="BE123" s="1"/>
  <c r="BF36" i="17"/>
  <c r="AB17" i="8"/>
  <c r="AT17" i="7"/>
  <c r="AS17" i="8"/>
  <c r="AS49" s="1"/>
  <c r="AS66" s="1"/>
  <c r="AS67" s="1"/>
  <c r="C18" i="56"/>
  <c r="H8"/>
  <c r="E58"/>
  <c r="C48"/>
  <c r="J48"/>
  <c r="J58" s="1"/>
  <c r="Z54" i="5"/>
  <c r="AF54" s="1"/>
  <c r="AG54" s="1"/>
  <c r="Z52"/>
  <c r="AF52" s="1"/>
  <c r="AG52" s="1"/>
  <c r="Z46"/>
  <c r="Z53"/>
  <c r="AF53" s="1"/>
  <c r="AG53" s="1"/>
  <c r="Z51"/>
  <c r="AF51" s="1"/>
  <c r="AG51" s="1"/>
  <c r="S19" i="56"/>
  <c r="D39"/>
  <c r="D59"/>
  <c r="S29"/>
  <c r="I30"/>
  <c r="N30" s="1"/>
  <c r="N29" s="1"/>
  <c r="W29" s="1"/>
  <c r="I50"/>
  <c r="N50" s="1"/>
  <c r="N49" s="1"/>
  <c r="D60"/>
  <c r="D20"/>
  <c r="I20"/>
  <c r="AB89" i="8"/>
  <c r="AB96" s="1"/>
  <c r="AS89"/>
  <c r="AS98" s="1"/>
  <c r="AQ8"/>
  <c r="AT8"/>
  <c r="AY80"/>
  <c r="AC8"/>
  <c r="AP89"/>
  <c r="AC44"/>
  <c r="AC19"/>
  <c r="AC33"/>
  <c r="AD33" s="1"/>
  <c r="AC26"/>
  <c r="AD26" s="1"/>
  <c r="AC23"/>
  <c r="AC46"/>
  <c r="AC24"/>
  <c r="AC82" s="1"/>
  <c r="AC20"/>
  <c r="AD20" s="1"/>
  <c r="AD79" s="1"/>
  <c r="AC18"/>
  <c r="AU29" i="7"/>
  <c r="AV29" s="1"/>
  <c r="AT129"/>
  <c r="AV10"/>
  <c r="AV16"/>
  <c r="AV119" s="1"/>
  <c r="AU119"/>
  <c r="AG9"/>
  <c r="AG113" s="1"/>
  <c r="AF113"/>
  <c r="AG10"/>
  <c r="AW129"/>
  <c r="AG16"/>
  <c r="AG119" s="1"/>
  <c r="AF119"/>
  <c r="AX119"/>
  <c r="AV13"/>
  <c r="AY10"/>
  <c r="AG13"/>
  <c r="AV9"/>
  <c r="AV113" s="1"/>
  <c r="AU113"/>
  <c r="AY13"/>
  <c r="AG14"/>
  <c r="AF44"/>
  <c r="AG44" s="1"/>
  <c r="AE129"/>
  <c r="AF29"/>
  <c r="AG29" s="1"/>
  <c r="AF31"/>
  <c r="AG31" s="1"/>
  <c r="AF40"/>
  <c r="AG40" s="1"/>
  <c r="AF48"/>
  <c r="AF45"/>
  <c r="AG45" s="1"/>
  <c r="AF36"/>
  <c r="AG36" s="1"/>
  <c r="AF39"/>
  <c r="AG39" s="1"/>
  <c r="AF32"/>
  <c r="AG32" s="1"/>
  <c r="AX36"/>
  <c r="AY36" s="1"/>
  <c r="AX40"/>
  <c r="AY40" s="1"/>
  <c r="AX39"/>
  <c r="AY39" s="1"/>
  <c r="AX15"/>
  <c r="AX8" s="1"/>
  <c r="AU39"/>
  <c r="AV39" s="1"/>
  <c r="AU36"/>
  <c r="AV36" s="1"/>
  <c r="AX48"/>
  <c r="AU15"/>
  <c r="AU8" s="1"/>
  <c r="AU40"/>
  <c r="AU117" s="1"/>
  <c r="AU48"/>
  <c r="AX43"/>
  <c r="AX120" s="1"/>
  <c r="AY44"/>
  <c r="AY43" s="1"/>
  <c r="AY120" s="1"/>
  <c r="AU43"/>
  <c r="AU120" s="1"/>
  <c r="AV44"/>
  <c r="AV43" s="1"/>
  <c r="AV120" s="1"/>
  <c r="AU31"/>
  <c r="AV31" s="1"/>
  <c r="AB27" i="8"/>
  <c r="AF15" i="7"/>
  <c r="BW32" i="17"/>
  <c r="CR32" s="1"/>
  <c r="AR36"/>
  <c r="BW27"/>
  <c r="CR27" s="1"/>
  <c r="BW33"/>
  <c r="CR33" s="1"/>
  <c r="BW28"/>
  <c r="CR28" s="1"/>
  <c r="BW31"/>
  <c r="CR31" s="1"/>
  <c r="BW26"/>
  <c r="CR26" s="1"/>
  <c r="BW30"/>
  <c r="CR30" s="1"/>
  <c r="BW25"/>
  <c r="CR25" s="1"/>
  <c r="AE51" i="9"/>
  <c r="AF55"/>
  <c r="AG55"/>
  <c r="AD33" i="11"/>
  <c r="BI33" s="1"/>
  <c r="CD33" s="1"/>
  <c r="AD32"/>
  <c r="BI32" s="1"/>
  <c r="CD32" s="1"/>
  <c r="AD31"/>
  <c r="BI31" s="1"/>
  <c r="CD31" s="1"/>
  <c r="AD30"/>
  <c r="BI30" s="1"/>
  <c r="AD29"/>
  <c r="BI29" s="1"/>
  <c r="CD29" s="1"/>
  <c r="AI60" i="19"/>
  <c r="AE39"/>
  <c r="AE33"/>
  <c r="AE31"/>
  <c r="AE21"/>
  <c r="AE19"/>
  <c r="AE20"/>
  <c r="AE56"/>
  <c r="AG56" s="1"/>
  <c r="AB60"/>
  <c r="AA12"/>
  <c r="M8"/>
  <c r="K9"/>
  <c r="M9" s="1"/>
  <c r="M10"/>
  <c r="I11"/>
  <c r="I12" s="1"/>
  <c r="M11"/>
  <c r="J12"/>
  <c r="K12"/>
  <c r="L12"/>
  <c r="N12"/>
  <c r="O12"/>
  <c r="P12"/>
  <c r="Q12"/>
  <c r="N14"/>
  <c r="O14"/>
  <c r="P14"/>
  <c r="Q14"/>
  <c r="J15"/>
  <c r="K15" s="1"/>
  <c r="O15"/>
  <c r="P15"/>
  <c r="K16"/>
  <c r="M16" s="1"/>
  <c r="K17"/>
  <c r="M17" s="1"/>
  <c r="M18"/>
  <c r="I19"/>
  <c r="M19"/>
  <c r="K20"/>
  <c r="M20" s="1"/>
  <c r="M21"/>
  <c r="K22"/>
  <c r="M22" s="1"/>
  <c r="K23"/>
  <c r="M23" s="1"/>
  <c r="M25"/>
  <c r="J26"/>
  <c r="O26"/>
  <c r="P26"/>
  <c r="K27"/>
  <c r="M28"/>
  <c r="M30"/>
  <c r="M31"/>
  <c r="M32"/>
  <c r="M33"/>
  <c r="K34"/>
  <c r="M34" s="1"/>
  <c r="M35"/>
  <c r="M36"/>
  <c r="M37"/>
  <c r="M38"/>
  <c r="O38"/>
  <c r="P38"/>
  <c r="M39"/>
  <c r="K40"/>
  <c r="M40" s="1"/>
  <c r="K41"/>
  <c r="M41" s="1"/>
  <c r="M44"/>
  <c r="M47"/>
  <c r="L49"/>
  <c r="N49"/>
  <c r="Q49"/>
  <c r="O52"/>
  <c r="I60"/>
  <c r="J60"/>
  <c r="K60"/>
  <c r="M60"/>
  <c r="N60"/>
  <c r="L57" s="1"/>
  <c r="P60"/>
  <c r="P56" s="1"/>
  <c r="BD54" i="9" l="1"/>
  <c r="R58" i="93"/>
  <c r="V48" i="91"/>
  <c r="V48" i="92" s="1"/>
  <c r="Q32" i="95" s="1"/>
  <c r="S48" i="92"/>
  <c r="Q48" i="91"/>
  <c r="Q48" i="92" s="1"/>
  <c r="O32" i="95" s="1"/>
  <c r="N48" i="92"/>
  <c r="L48" i="91"/>
  <c r="L48" i="92" s="1"/>
  <c r="M32" i="95" s="1"/>
  <c r="I48" i="92"/>
  <c r="G48" i="91"/>
  <c r="H48" s="1"/>
  <c r="F48" i="92"/>
  <c r="M73" i="91"/>
  <c r="R73" s="1"/>
  <c r="CA47" i="19"/>
  <c r="CA38"/>
  <c r="CA36"/>
  <c r="CA32"/>
  <c r="CA30"/>
  <c r="O14" i="90"/>
  <c r="O12" i="87"/>
  <c r="CI41" i="19"/>
  <c r="CK41" s="1"/>
  <c r="CH41"/>
  <c r="CJ41" s="1"/>
  <c r="CA39"/>
  <c r="CA37"/>
  <c r="CA35"/>
  <c r="CI31"/>
  <c r="CH31"/>
  <c r="CI25"/>
  <c r="CK25" s="1"/>
  <c r="CH25"/>
  <c r="CJ25" s="1"/>
  <c r="BI47"/>
  <c r="BH47"/>
  <c r="BH38"/>
  <c r="BI38"/>
  <c r="BH36"/>
  <c r="BI36"/>
  <c r="BH32"/>
  <c r="BI32"/>
  <c r="BH30"/>
  <c r="BI30"/>
  <c r="CC41"/>
  <c r="CE41" s="1"/>
  <c r="CB41"/>
  <c r="CD41" s="1"/>
  <c r="BI39"/>
  <c r="BH39"/>
  <c r="BI37"/>
  <c r="BH37"/>
  <c r="BI35"/>
  <c r="BH35"/>
  <c r="CC31"/>
  <c r="CB31"/>
  <c r="CC25"/>
  <c r="CE25" s="1"/>
  <c r="CB25"/>
  <c r="CD25" s="1"/>
  <c r="DE30" i="17"/>
  <c r="DE31"/>
  <c r="DE33"/>
  <c r="DE25"/>
  <c r="DE26"/>
  <c r="DE28"/>
  <c r="DE27"/>
  <c r="DE32"/>
  <c r="BC85" i="8"/>
  <c r="BV85" s="1"/>
  <c r="BR88"/>
  <c r="BV88"/>
  <c r="P110" i="93"/>
  <c r="P38" i="94" s="1"/>
  <c r="J110" i="93"/>
  <c r="J38" i="94" s="1"/>
  <c r="U110" i="93"/>
  <c r="U38" i="94" s="1"/>
  <c r="O110" i="93"/>
  <c r="O38" i="94" s="1"/>
  <c r="I110" i="93"/>
  <c r="T110"/>
  <c r="T38" i="94" s="1"/>
  <c r="N110" i="93"/>
  <c r="F110"/>
  <c r="S110"/>
  <c r="K110"/>
  <c r="K38" i="94" s="1"/>
  <c r="E38"/>
  <c r="CM37" i="8"/>
  <c r="CN37"/>
  <c r="CL80"/>
  <c r="CM80" s="1"/>
  <c r="R89" i="93"/>
  <c r="CI37" i="8"/>
  <c r="CJ37"/>
  <c r="CH80"/>
  <c r="CI80" s="1"/>
  <c r="AY119" i="7"/>
  <c r="BV123"/>
  <c r="BZ123"/>
  <c r="R106" i="91"/>
  <c r="CP17" i="7"/>
  <c r="M41" i="90"/>
  <c r="M38"/>
  <c r="DF42" i="11"/>
  <c r="DF41"/>
  <c r="DF43"/>
  <c r="BY13" i="7"/>
  <c r="CS25" i="17"/>
  <c r="CR24"/>
  <c r="BY23" i="7"/>
  <c r="CS26" i="17"/>
  <c r="BY39" i="7"/>
  <c r="CS28" i="17"/>
  <c r="BY31" i="7"/>
  <c r="CS27" i="17"/>
  <c r="BU29" i="8"/>
  <c r="CS32" i="17"/>
  <c r="BU13" i="8"/>
  <c r="CS30" i="17"/>
  <c r="CR29"/>
  <c r="BU23" i="8"/>
  <c r="CS31" i="17"/>
  <c r="BU38" i="8"/>
  <c r="CS33" i="17"/>
  <c r="BQ82" i="8"/>
  <c r="BQ8"/>
  <c r="BT83"/>
  <c r="BT17"/>
  <c r="BC18"/>
  <c r="BR18" s="1"/>
  <c r="BW54" i="9"/>
  <c r="BR95" i="8"/>
  <c r="BV95"/>
  <c r="W49" i="56"/>
  <c r="W133"/>
  <c r="W144"/>
  <c r="BS83" i="8"/>
  <c r="O11" i="87" s="1"/>
  <c r="BS17" i="8"/>
  <c r="CL45" i="11"/>
  <c r="BU19" i="8" s="1"/>
  <c r="BV18"/>
  <c r="BW80"/>
  <c r="O17" i="90"/>
  <c r="BR85" i="8"/>
  <c r="L111" i="56"/>
  <c r="L121" s="1"/>
  <c r="U44" i="3"/>
  <c r="BD58" i="72" s="1"/>
  <c r="J38" i="89"/>
  <c r="J37"/>
  <c r="J38" i="90"/>
  <c r="J39"/>
  <c r="BC23" i="8"/>
  <c r="BC38"/>
  <c r="BV38" s="1"/>
  <c r="BG23" i="7"/>
  <c r="BG39"/>
  <c r="BG31"/>
  <c r="BC29" i="8"/>
  <c r="BV29" s="1"/>
  <c r="BE45"/>
  <c r="X236" i="6"/>
  <c r="X233"/>
  <c r="X231"/>
  <c r="X230"/>
  <c r="X227"/>
  <c r="X223"/>
  <c r="X216"/>
  <c r="X221"/>
  <c r="X218"/>
  <c r="X217"/>
  <c r="X215"/>
  <c r="X212"/>
  <c r="X210"/>
  <c r="C44" i="94" s="1"/>
  <c r="X237" i="6"/>
  <c r="X232"/>
  <c r="X228"/>
  <c r="X226"/>
  <c r="X225"/>
  <c r="X222"/>
  <c r="X220"/>
  <c r="X219"/>
  <c r="X214"/>
  <c r="X213"/>
  <c r="X211"/>
  <c r="F17" i="61"/>
  <c r="BK54" i="72"/>
  <c r="BR54" s="1"/>
  <c r="BG54"/>
  <c r="BG59"/>
  <c r="BC50"/>
  <c r="BG58"/>
  <c r="BG62"/>
  <c r="BA62"/>
  <c r="BG61"/>
  <c r="BA61"/>
  <c r="BK52"/>
  <c r="BR52" s="1"/>
  <c r="BD55"/>
  <c r="BG52"/>
  <c r="E28" i="61"/>
  <c r="F28" s="1"/>
  <c r="Y45" i="3"/>
  <c r="AT18" i="8"/>
  <c r="AT78" s="1"/>
  <c r="AQ19"/>
  <c r="AQ83" s="1"/>
  <c r="AQ46"/>
  <c r="AR46" s="1"/>
  <c r="AR86" s="1"/>
  <c r="F7" i="63"/>
  <c r="BI49" i="7" s="1"/>
  <c r="F17" i="63"/>
  <c r="BW49" i="7" s="1"/>
  <c r="S59" i="56"/>
  <c r="AM12" i="19"/>
  <c r="AN12" s="1"/>
  <c r="AR12"/>
  <c r="AS12" s="1"/>
  <c r="AT44" i="8"/>
  <c r="AU44" s="1"/>
  <c r="BC55" i="9"/>
  <c r="BF55" s="1"/>
  <c r="BD52"/>
  <c r="BF52"/>
  <c r="AQ44" i="8"/>
  <c r="AR44" s="1"/>
  <c r="AQ45"/>
  <c r="AR45" s="1"/>
  <c r="AT24"/>
  <c r="AT82" s="1"/>
  <c r="AT20"/>
  <c r="AU20" s="1"/>
  <c r="AU79" s="1"/>
  <c r="AX33" i="7"/>
  <c r="AT19" i="8"/>
  <c r="AT83" s="1"/>
  <c r="BA95"/>
  <c r="BL45" i="11"/>
  <c r="AT23" i="8"/>
  <c r="AU23" s="1"/>
  <c r="AU81" s="1"/>
  <c r="AT45"/>
  <c r="AU45" s="1"/>
  <c r="AT95"/>
  <c r="AT46"/>
  <c r="AT86" s="1"/>
  <c r="AT33"/>
  <c r="BG64" i="7"/>
  <c r="BI64" s="1"/>
  <c r="BI106" s="1"/>
  <c r="U40" i="3"/>
  <c r="BI40" i="11" s="1"/>
  <c r="CC32" s="1"/>
  <c r="CG32" s="1"/>
  <c r="BD58" i="9"/>
  <c r="BW58" s="1"/>
  <c r="D35" i="32"/>
  <c r="D36" s="1"/>
  <c r="BI44" i="7" s="1"/>
  <c r="E35" i="32"/>
  <c r="H34"/>
  <c r="J34" s="1"/>
  <c r="G34"/>
  <c r="U48" i="3"/>
  <c r="BE44" i="8"/>
  <c r="BC68"/>
  <c r="AX17" i="7"/>
  <c r="BG59" i="9"/>
  <c r="AQ24" i="8"/>
  <c r="AQ82" s="1"/>
  <c r="AQ23"/>
  <c r="AR23" s="1"/>
  <c r="AR81" s="1"/>
  <c r="AQ18"/>
  <c r="AQ78" s="1"/>
  <c r="AQ26"/>
  <c r="AR26" s="1"/>
  <c r="AQ20"/>
  <c r="AR20" s="1"/>
  <c r="AR79" s="1"/>
  <c r="AQ33"/>
  <c r="AC42" i="59"/>
  <c r="AE42" s="1"/>
  <c r="AE38"/>
  <c r="E12" i="32"/>
  <c r="G12" s="1"/>
  <c r="G13" s="1"/>
  <c r="E25"/>
  <c r="G25" s="1"/>
  <c r="G26" s="1"/>
  <c r="BE95" i="8"/>
  <c r="BE18"/>
  <c r="BE20"/>
  <c r="BA20"/>
  <c r="AG15" i="7"/>
  <c r="AF117"/>
  <c r="M8" i="56"/>
  <c r="M18" s="1"/>
  <c r="H18"/>
  <c r="AO8" i="19"/>
  <c r="AN8"/>
  <c r="AE60"/>
  <c r="BW29" i="17"/>
  <c r="BV29" s="1"/>
  <c r="BC13" i="8"/>
  <c r="BV13" s="1"/>
  <c r="G48" i="56"/>
  <c r="G58" s="1"/>
  <c r="B58"/>
  <c r="C38"/>
  <c r="H28"/>
  <c r="H38" s="1"/>
  <c r="L8"/>
  <c r="L18" s="1"/>
  <c r="BE129" i="7"/>
  <c r="BC56"/>
  <c r="BE10"/>
  <c r="BF10" s="1"/>
  <c r="BE44"/>
  <c r="BE46"/>
  <c r="BF46" s="1"/>
  <c r="BE45"/>
  <c r="BF45" s="1"/>
  <c r="BG61" i="9"/>
  <c r="BG62"/>
  <c r="BG60"/>
  <c r="AA49" i="19"/>
  <c r="BW24" i="17"/>
  <c r="BV24" s="1"/>
  <c r="BG13" i="7"/>
  <c r="BZ13" s="1"/>
  <c r="AB49" i="8"/>
  <c r="AB63" s="1"/>
  <c r="C58" i="56"/>
  <c r="H48"/>
  <c r="BI129" i="7"/>
  <c r="BI46"/>
  <c r="BI45"/>
  <c r="BG56"/>
  <c r="BI10"/>
  <c r="O28" i="56"/>
  <c r="O38" s="1"/>
  <c r="J38"/>
  <c r="AX117" i="7"/>
  <c r="O48" i="56"/>
  <c r="O58" s="1"/>
  <c r="AF17" i="7"/>
  <c r="B38" i="56"/>
  <c r="G28"/>
  <c r="G38" s="1"/>
  <c r="AP60" i="8"/>
  <c r="AS63"/>
  <c r="AB98"/>
  <c r="AB99" s="1"/>
  <c r="AU18"/>
  <c r="AU78" s="1"/>
  <c r="AS60"/>
  <c r="AS62"/>
  <c r="AS96"/>
  <c r="E122" i="56"/>
  <c r="E102"/>
  <c r="I39"/>
  <c r="D40"/>
  <c r="N20"/>
  <c r="N19" s="1"/>
  <c r="W19" s="1"/>
  <c r="E20"/>
  <c r="D21"/>
  <c r="B21" s="1"/>
  <c r="AP63" i="8"/>
  <c r="AD84"/>
  <c r="AD19"/>
  <c r="AD83" s="1"/>
  <c r="AC83"/>
  <c r="AQ86"/>
  <c r="AD18"/>
  <c r="AD78" s="1"/>
  <c r="AC78"/>
  <c r="AD23"/>
  <c r="AD81" s="1"/>
  <c r="AC81"/>
  <c r="AU26"/>
  <c r="AS101"/>
  <c r="AS102" s="1"/>
  <c r="AS99"/>
  <c r="AP96"/>
  <c r="AP98"/>
  <c r="BF86"/>
  <c r="AP62"/>
  <c r="AC79"/>
  <c r="AC84"/>
  <c r="AD46"/>
  <c r="AD86" s="1"/>
  <c r="AC86"/>
  <c r="AC17"/>
  <c r="AD24"/>
  <c r="AC25"/>
  <c r="AD44"/>
  <c r="AD42" s="1"/>
  <c r="AD85" s="1"/>
  <c r="AC42"/>
  <c r="AC85" s="1"/>
  <c r="AY48" i="7"/>
  <c r="AY121" s="1"/>
  <c r="AX121"/>
  <c r="AE132"/>
  <c r="AE130"/>
  <c r="AG117"/>
  <c r="AY116"/>
  <c r="AF116"/>
  <c r="AX114"/>
  <c r="AU116"/>
  <c r="AF114"/>
  <c r="AU114"/>
  <c r="AV48"/>
  <c r="AV121" s="1"/>
  <c r="AU121"/>
  <c r="AG48"/>
  <c r="AG121" s="1"/>
  <c r="AF121"/>
  <c r="AW132"/>
  <c r="AW130"/>
  <c r="AT132"/>
  <c r="AT130"/>
  <c r="AX116"/>
  <c r="AG116"/>
  <c r="AY114"/>
  <c r="AV116"/>
  <c r="AG114"/>
  <c r="AV114"/>
  <c r="AF43"/>
  <c r="AF120" s="1"/>
  <c r="AG43"/>
  <c r="AG120" s="1"/>
  <c r="AY41"/>
  <c r="AY35" s="1"/>
  <c r="AU33"/>
  <c r="AU27" s="1"/>
  <c r="AX41"/>
  <c r="AX35" s="1"/>
  <c r="AU41"/>
  <c r="AU35" s="1"/>
  <c r="AV40"/>
  <c r="AV41" s="1"/>
  <c r="AV35" s="1"/>
  <c r="AE55" i="9"/>
  <c r="AD19" i="19"/>
  <c r="AD20"/>
  <c r="AD39"/>
  <c r="AD33"/>
  <c r="AD31"/>
  <c r="AD21"/>
  <c r="I49"/>
  <c r="O49"/>
  <c r="P57"/>
  <c r="J49"/>
  <c r="M12"/>
  <c r="P49"/>
  <c r="K49"/>
  <c r="L58"/>
  <c r="L56"/>
  <c r="P58"/>
  <c r="M48" i="91" l="1"/>
  <c r="H48" i="92"/>
  <c r="L32" i="95" s="1"/>
  <c r="N32" s="1"/>
  <c r="P32" s="1"/>
  <c r="R32" s="1"/>
  <c r="G48" i="92"/>
  <c r="W48" s="1"/>
  <c r="W48" i="91"/>
  <c r="CI35" i="19"/>
  <c r="CK35" s="1"/>
  <c r="CH35"/>
  <c r="CJ35" s="1"/>
  <c r="CI37"/>
  <c r="CK37" s="1"/>
  <c r="CH37"/>
  <c r="CJ37" s="1"/>
  <c r="CI39"/>
  <c r="CK39" s="1"/>
  <c r="CH39"/>
  <c r="CJ39" s="1"/>
  <c r="CI30"/>
  <c r="CK30" s="1"/>
  <c r="CH30"/>
  <c r="CJ30" s="1"/>
  <c r="CI32"/>
  <c r="CK32" s="1"/>
  <c r="CH32"/>
  <c r="CJ32" s="1"/>
  <c r="CI36"/>
  <c r="CK36" s="1"/>
  <c r="CH36"/>
  <c r="CJ36" s="1"/>
  <c r="CI38"/>
  <c r="CK38" s="1"/>
  <c r="CH38"/>
  <c r="CJ38" s="1"/>
  <c r="CI47"/>
  <c r="CK47" s="1"/>
  <c r="CH47"/>
  <c r="CJ47" s="1"/>
  <c r="CC35"/>
  <c r="CE35" s="1"/>
  <c r="CB35"/>
  <c r="CD35" s="1"/>
  <c r="CC37"/>
  <c r="CE37" s="1"/>
  <c r="CB37"/>
  <c r="CD37" s="1"/>
  <c r="CC39"/>
  <c r="CE39" s="1"/>
  <c r="CB39"/>
  <c r="CD39" s="1"/>
  <c r="CB30"/>
  <c r="CD30" s="1"/>
  <c r="CC30"/>
  <c r="CE30" s="1"/>
  <c r="CB32"/>
  <c r="CD32" s="1"/>
  <c r="CC32"/>
  <c r="CE32" s="1"/>
  <c r="CB36"/>
  <c r="CD36" s="1"/>
  <c r="CC36"/>
  <c r="CE36" s="1"/>
  <c r="CB38"/>
  <c r="CD38" s="1"/>
  <c r="CC38"/>
  <c r="CE38" s="1"/>
  <c r="CC47"/>
  <c r="CE47" s="1"/>
  <c r="CB47"/>
  <c r="CD47" s="1"/>
  <c r="CL29" i="8"/>
  <c r="DJ32" i="17"/>
  <c r="CM31" i="7"/>
  <c r="DF27" i="17"/>
  <c r="CQ39" i="7"/>
  <c r="DJ28" i="17"/>
  <c r="CM23" i="7"/>
  <c r="CO23" s="1"/>
  <c r="CO24" s="1"/>
  <c r="CM24" s="1"/>
  <c r="DF26" i="17"/>
  <c r="CQ13" i="7"/>
  <c r="DI24" i="17"/>
  <c r="DJ24" s="1"/>
  <c r="DJ25"/>
  <c r="CL38" i="8"/>
  <c r="DJ33" i="17"/>
  <c r="CH23" i="8"/>
  <c r="CI23" s="1"/>
  <c r="DF31" i="17"/>
  <c r="DI29"/>
  <c r="DJ29" s="1"/>
  <c r="CL13" i="8"/>
  <c r="DJ30" i="17"/>
  <c r="BY27" i="8"/>
  <c r="CH29"/>
  <c r="DF32" i="17"/>
  <c r="CQ31" i="7"/>
  <c r="CR31" s="1"/>
  <c r="DJ27" i="17"/>
  <c r="CM39" i="7"/>
  <c r="DF28" i="17"/>
  <c r="CQ23" i="7"/>
  <c r="CS23" s="1"/>
  <c r="CS24" s="1"/>
  <c r="DJ26" i="17"/>
  <c r="DE24"/>
  <c r="DF24" s="1"/>
  <c r="CM13" i="7"/>
  <c r="DF25" i="17"/>
  <c r="CH38" i="8"/>
  <c r="CJ38" s="1"/>
  <c r="CJ39" s="1"/>
  <c r="DF33" i="17"/>
  <c r="CL23" i="8"/>
  <c r="DJ31" i="17"/>
  <c r="DE29"/>
  <c r="DF29" s="1"/>
  <c r="CH13" i="8"/>
  <c r="CI13" s="1"/>
  <c r="DF30" i="17"/>
  <c r="AR19" i="8"/>
  <c r="AR83" s="1"/>
  <c r="BV23"/>
  <c r="CM38"/>
  <c r="CI38"/>
  <c r="CI29"/>
  <c r="CM29"/>
  <c r="CJ80"/>
  <c r="V110" i="93"/>
  <c r="V38" i="94" s="1"/>
  <c r="R26" i="96" s="1"/>
  <c r="S38" i="94"/>
  <c r="Q110" i="93"/>
  <c r="Q38" i="94" s="1"/>
  <c r="P26" i="96" s="1"/>
  <c r="N38" i="94"/>
  <c r="L110" i="93"/>
  <c r="L38" i="94" s="1"/>
  <c r="N26" i="96" s="1"/>
  <c r="I38" i="94"/>
  <c r="CM23" i="8"/>
  <c r="CM13"/>
  <c r="CN80"/>
  <c r="G110" i="93"/>
  <c r="H110" s="1"/>
  <c r="F38" i="94"/>
  <c r="BZ39" i="7"/>
  <c r="BZ31"/>
  <c r="BZ23"/>
  <c r="CR39"/>
  <c r="CN39"/>
  <c r="CM25"/>
  <c r="CN31"/>
  <c r="CN23"/>
  <c r="CR13"/>
  <c r="CN13"/>
  <c r="N41" i="90"/>
  <c r="N38"/>
  <c r="DK45" i="11"/>
  <c r="CL19" i="8" s="1"/>
  <c r="DF45" i="11"/>
  <c r="CH19" i="8" s="1"/>
  <c r="BW38"/>
  <c r="F59" i="93"/>
  <c r="I59"/>
  <c r="J59"/>
  <c r="G59"/>
  <c r="K59"/>
  <c r="F90"/>
  <c r="J90"/>
  <c r="G90"/>
  <c r="K90"/>
  <c r="H90"/>
  <c r="I90"/>
  <c r="L90" s="1"/>
  <c r="F133" i="91"/>
  <c r="I133"/>
  <c r="E134"/>
  <c r="J133"/>
  <c r="G133"/>
  <c r="K133"/>
  <c r="H133"/>
  <c r="CA23" i="7"/>
  <c r="AS56" i="19"/>
  <c r="CS24" i="17"/>
  <c r="BY116" i="7"/>
  <c r="E50" i="92"/>
  <c r="E50" i="91"/>
  <c r="G49"/>
  <c r="K49"/>
  <c r="F49"/>
  <c r="H49" s="1"/>
  <c r="J49"/>
  <c r="I49"/>
  <c r="F111" i="93"/>
  <c r="J111"/>
  <c r="G111"/>
  <c r="K111"/>
  <c r="I111"/>
  <c r="BW23" i="8"/>
  <c r="AS57" i="19"/>
  <c r="CS29" i="17"/>
  <c r="BU81" i="8"/>
  <c r="BW13"/>
  <c r="E39" i="94"/>
  <c r="F39" i="93"/>
  <c r="J39"/>
  <c r="J39" i="94" s="1"/>
  <c r="I39" i="93"/>
  <c r="G39"/>
  <c r="K39"/>
  <c r="BW29" i="8"/>
  <c r="F109" i="91"/>
  <c r="G109"/>
  <c r="K109"/>
  <c r="E110"/>
  <c r="J109"/>
  <c r="I109"/>
  <c r="E75"/>
  <c r="J74"/>
  <c r="J75" s="1"/>
  <c r="G74"/>
  <c r="G75" s="1"/>
  <c r="K74"/>
  <c r="K75" s="1"/>
  <c r="F74"/>
  <c r="F75" s="1"/>
  <c r="I74"/>
  <c r="H74"/>
  <c r="BE23" i="8"/>
  <c r="BI23" i="7"/>
  <c r="BI24" s="1"/>
  <c r="C45" i="94"/>
  <c r="CC33" i="11"/>
  <c r="CG33" s="1"/>
  <c r="CC29"/>
  <c r="CG29" s="1"/>
  <c r="BI47" i="7"/>
  <c r="BJ47" s="1"/>
  <c r="BV56"/>
  <c r="BH31" i="11"/>
  <c r="BL31" s="1"/>
  <c r="CL31" s="1"/>
  <c r="CC35"/>
  <c r="CG35" s="1"/>
  <c r="CC34"/>
  <c r="CG34" s="1"/>
  <c r="CC30"/>
  <c r="CG30" s="1"/>
  <c r="BC9" i="8"/>
  <c r="BR9" s="1"/>
  <c r="BW52" i="9"/>
  <c r="BW122" i="7"/>
  <c r="O17" i="85" s="1"/>
  <c r="BU49" i="7"/>
  <c r="K19" i="89"/>
  <c r="P19"/>
  <c r="E55" i="93"/>
  <c r="BW19" i="8"/>
  <c r="BU83"/>
  <c r="CC31" i="11"/>
  <c r="CG31" s="1"/>
  <c r="BV9" i="8"/>
  <c r="CK24" i="17"/>
  <c r="CC24"/>
  <c r="CG24"/>
  <c r="CO24"/>
  <c r="BR13" i="8"/>
  <c r="BE38"/>
  <c r="BR38"/>
  <c r="BR23"/>
  <c r="BV13" i="7"/>
  <c r="BV37" i="17"/>
  <c r="CC29"/>
  <c r="CK29"/>
  <c r="CG29"/>
  <c r="CO29"/>
  <c r="BE29" i="8"/>
  <c r="BE30" s="1"/>
  <c r="BR29"/>
  <c r="BV31" i="7"/>
  <c r="BV39"/>
  <c r="BV23"/>
  <c r="BB20" i="8"/>
  <c r="BB79" s="1"/>
  <c r="CA13" i="7"/>
  <c r="CA10"/>
  <c r="C46" i="92" s="1"/>
  <c r="CA129" i="7"/>
  <c r="BY56"/>
  <c r="CA9"/>
  <c r="CA46"/>
  <c r="K38" i="90"/>
  <c r="K39"/>
  <c r="K38" i="89"/>
  <c r="K37"/>
  <c r="AX27" i="7"/>
  <c r="BF18" i="8"/>
  <c r="BE42"/>
  <c r="BF20"/>
  <c r="E17" i="61"/>
  <c r="J19" i="89"/>
  <c r="AA209" i="6"/>
  <c r="Y209"/>
  <c r="AA213"/>
  <c r="Y213"/>
  <c r="AA219"/>
  <c r="Y219"/>
  <c r="AA222"/>
  <c r="Y222"/>
  <c r="AA226"/>
  <c r="Y226"/>
  <c r="AA232"/>
  <c r="Y232"/>
  <c r="AA237"/>
  <c r="Y237"/>
  <c r="AA241"/>
  <c r="Y241"/>
  <c r="AA208"/>
  <c r="X257"/>
  <c r="X258" s="1"/>
  <c r="Y208"/>
  <c r="AA212"/>
  <c r="Y212"/>
  <c r="AA217"/>
  <c r="Y217"/>
  <c r="AA221"/>
  <c r="Y221"/>
  <c r="AA223"/>
  <c r="Y223"/>
  <c r="AA230"/>
  <c r="X229"/>
  <c r="Y230"/>
  <c r="AA233"/>
  <c r="Y233"/>
  <c r="AA236"/>
  <c r="Y236"/>
  <c r="AA240"/>
  <c r="Y240"/>
  <c r="BF45" i="8"/>
  <c r="AA211" i="6"/>
  <c r="Y211"/>
  <c r="AA214"/>
  <c r="Y214"/>
  <c r="AA220"/>
  <c r="Y220"/>
  <c r="AA225"/>
  <c r="X224"/>
  <c r="Y225"/>
  <c r="AA228"/>
  <c r="Y228"/>
  <c r="AA235"/>
  <c r="Y235"/>
  <c r="AA239"/>
  <c r="Y239"/>
  <c r="AA243"/>
  <c r="Y243"/>
  <c r="AA210"/>
  <c r="D44" i="94" s="1"/>
  <c r="B44" s="1"/>
  <c r="Y210" i="6"/>
  <c r="AA215"/>
  <c r="Y215"/>
  <c r="AA218"/>
  <c r="Y218"/>
  <c r="AA216"/>
  <c r="AA227"/>
  <c r="Y227"/>
  <c r="AA231"/>
  <c r="Y231"/>
  <c r="AA234"/>
  <c r="Y234"/>
  <c r="AA238"/>
  <c r="Y238"/>
  <c r="AA242"/>
  <c r="Y242"/>
  <c r="BJ46" i="7"/>
  <c r="BG44"/>
  <c r="BZ44" s="1"/>
  <c r="BJ45"/>
  <c r="AT12" i="19"/>
  <c r="BF50" i="72"/>
  <c r="BD50"/>
  <c r="BG50" s="1"/>
  <c r="Y44" i="3"/>
  <c r="BB55" i="72"/>
  <c r="BE55" s="1"/>
  <c r="BL55" s="1"/>
  <c r="BS55" s="1"/>
  <c r="BG55"/>
  <c r="BK55"/>
  <c r="BR55" s="1"/>
  <c r="AU42" i="8"/>
  <c r="AU85" s="1"/>
  <c r="AG140" i="7"/>
  <c r="BC19" i="8"/>
  <c r="BL51" i="11"/>
  <c r="BI122" i="7"/>
  <c r="BG49"/>
  <c r="BZ49" s="1"/>
  <c r="I60" i="56"/>
  <c r="N60" s="1"/>
  <c r="N59" s="1"/>
  <c r="AU46" i="8"/>
  <c r="AU86" s="1"/>
  <c r="AU33"/>
  <c r="AU84" s="1"/>
  <c r="AT27"/>
  <c r="AR42"/>
  <c r="AR85" s="1"/>
  <c r="AT81"/>
  <c r="BJ64" i="7"/>
  <c r="AO12" i="19"/>
  <c r="BF23" i="8"/>
  <c r="BD55" i="9"/>
  <c r="BW55" s="1"/>
  <c r="AT84" i="8"/>
  <c r="AT42"/>
  <c r="AT85" s="1"/>
  <c r="AU19"/>
  <c r="AU83" s="1"/>
  <c r="AX124" i="7"/>
  <c r="AT79" i="8"/>
  <c r="AU24"/>
  <c r="AU82" s="1"/>
  <c r="AQ42"/>
  <c r="AQ85" s="1"/>
  <c r="W40" i="3"/>
  <c r="AT25" i="8"/>
  <c r="AT17"/>
  <c r="BH33" i="11"/>
  <c r="BL33" s="1"/>
  <c r="CL33" s="1"/>
  <c r="BF44" i="8"/>
  <c r="AR24"/>
  <c r="AR82" s="1"/>
  <c r="BH30" i="11"/>
  <c r="BL30" s="1"/>
  <c r="CL30" s="1"/>
  <c r="H35" i="32"/>
  <c r="J35" s="1"/>
  <c r="J36" s="1"/>
  <c r="G35"/>
  <c r="G36" s="1"/>
  <c r="BU44" i="7" s="1"/>
  <c r="BH32" i="11"/>
  <c r="BL32" s="1"/>
  <c r="CL32" s="1"/>
  <c r="BJ10" i="7"/>
  <c r="BH29" i="11"/>
  <c r="BL29" s="1"/>
  <c r="CL29" s="1"/>
  <c r="U39" i="3"/>
  <c r="BD56" i="9" s="1"/>
  <c r="BW56" s="1"/>
  <c r="BH35" i="11"/>
  <c r="BL35" s="1"/>
  <c r="CL35" s="1"/>
  <c r="BH34"/>
  <c r="BL34" s="1"/>
  <c r="CL34" s="1"/>
  <c r="AB60" i="8"/>
  <c r="AQ79"/>
  <c r="AB62"/>
  <c r="AR33"/>
  <c r="AR84" s="1"/>
  <c r="AQ27"/>
  <c r="AB66"/>
  <c r="AB67" s="1"/>
  <c r="AB101"/>
  <c r="AB102" s="1"/>
  <c r="BV35" i="17"/>
  <c r="AU124" i="7"/>
  <c r="AU132" s="1"/>
  <c r="AU135" s="1"/>
  <c r="AU136" s="1"/>
  <c r="AR18" i="8"/>
  <c r="AR78" s="1"/>
  <c r="AQ25"/>
  <c r="BA79"/>
  <c r="AQ17"/>
  <c r="AQ84"/>
  <c r="AQ81"/>
  <c r="BE9"/>
  <c r="BC78"/>
  <c r="E19" i="32"/>
  <c r="BC50" i="9"/>
  <c r="BG58"/>
  <c r="BE79" i="8"/>
  <c r="AF124" i="7"/>
  <c r="AF130" s="1"/>
  <c r="AG124"/>
  <c r="AG132" s="1"/>
  <c r="M28" i="56"/>
  <c r="M38" s="1"/>
  <c r="BG129" i="7"/>
  <c r="BI31"/>
  <c r="BI29"/>
  <c r="BG116"/>
  <c r="BI13"/>
  <c r="BI36"/>
  <c r="M48" i="56"/>
  <c r="M58" s="1"/>
  <c r="H58"/>
  <c r="BE43" i="7"/>
  <c r="BF44"/>
  <c r="BF43" s="1"/>
  <c r="BC81" i="8"/>
  <c r="BE13"/>
  <c r="L28" i="56"/>
  <c r="L38" s="1"/>
  <c r="BI39" i="7"/>
  <c r="BE29"/>
  <c r="BE36"/>
  <c r="BF36" s="1"/>
  <c r="BC129"/>
  <c r="L48" i="56"/>
  <c r="L58" s="1"/>
  <c r="E123"/>
  <c r="D124"/>
  <c r="B124" s="1"/>
  <c r="E103"/>
  <c r="D104"/>
  <c r="B104" s="1"/>
  <c r="S39"/>
  <c r="I40"/>
  <c r="N40" s="1"/>
  <c r="N39" s="1"/>
  <c r="W39" s="1"/>
  <c r="W59"/>
  <c r="C20"/>
  <c r="AD25" i="8"/>
  <c r="AD82"/>
  <c r="AD89" s="1"/>
  <c r="AP101"/>
  <c r="AP102" s="1"/>
  <c r="AP99"/>
  <c r="AC89"/>
  <c r="AD17"/>
  <c r="AE135" i="7"/>
  <c r="AE136" s="1"/>
  <c r="AE133"/>
  <c r="AT135"/>
  <c r="AT136" s="1"/>
  <c r="AT133"/>
  <c r="AW135"/>
  <c r="AW136" s="1"/>
  <c r="AW133"/>
  <c r="AX51"/>
  <c r="BV36" i="17"/>
  <c r="AD60" i="19"/>
  <c r="F39" i="94" l="1"/>
  <c r="H111" i="93"/>
  <c r="H39" i="94" s="1"/>
  <c r="M27" i="96" s="1"/>
  <c r="H39" i="93"/>
  <c r="G39" i="94"/>
  <c r="H59" i="93"/>
  <c r="K39" i="94"/>
  <c r="H109" i="91"/>
  <c r="CJ34" i="8"/>
  <c r="R48" i="91"/>
  <c r="R48" i="92" s="1"/>
  <c r="M48"/>
  <c r="CR23" i="7"/>
  <c r="CH81" i="8"/>
  <c r="CI81" s="1"/>
  <c r="CJ13"/>
  <c r="CM116" i="7"/>
  <c r="CO13"/>
  <c r="CP13" s="1"/>
  <c r="CJ23" i="8"/>
  <c r="CJ24" s="1"/>
  <c r="CQ116" i="7"/>
  <c r="CR116" s="1"/>
  <c r="CS40"/>
  <c r="CO31"/>
  <c r="CO32" s="1"/>
  <c r="CN29" i="8"/>
  <c r="BY15"/>
  <c r="BY8" s="1"/>
  <c r="CO39" i="7"/>
  <c r="CO40" s="1"/>
  <c r="CS32"/>
  <c r="CJ29" i="8"/>
  <c r="CL81"/>
  <c r="CM81" s="1"/>
  <c r="CN13"/>
  <c r="BY17"/>
  <c r="CN38"/>
  <c r="L59" i="93"/>
  <c r="M59" s="1"/>
  <c r="N59" s="1"/>
  <c r="CN55" i="72"/>
  <c r="CL55" s="1"/>
  <c r="M110" i="93"/>
  <c r="H38" i="94"/>
  <c r="M26" i="96" s="1"/>
  <c r="O26" s="1"/>
  <c r="Q26" s="1"/>
  <c r="S26" s="1"/>
  <c r="G38" i="94"/>
  <c r="W38" s="1"/>
  <c r="W110" i="93"/>
  <c r="BJ43" i="7"/>
  <c r="BI43"/>
  <c r="CN116"/>
  <c r="DF35" i="11"/>
  <c r="DF29"/>
  <c r="DF32"/>
  <c r="DF33"/>
  <c r="CR56" i="7"/>
  <c r="CN56"/>
  <c r="DF31" i="11"/>
  <c r="CM19" i="8"/>
  <c r="CL83"/>
  <c r="BX23"/>
  <c r="CO23" s="1"/>
  <c r="CN23" s="1"/>
  <c r="CN24" s="1"/>
  <c r="DF34" i="11"/>
  <c r="DF30"/>
  <c r="CI19" i="8"/>
  <c r="CH83"/>
  <c r="CJ19"/>
  <c r="CK19" s="1"/>
  <c r="H50" i="92"/>
  <c r="L34" i="95" s="1"/>
  <c r="H75" i="91"/>
  <c r="I110"/>
  <c r="L109"/>
  <c r="M109" s="1"/>
  <c r="N109" s="1"/>
  <c r="G110"/>
  <c r="L39" i="93"/>
  <c r="I39" i="94"/>
  <c r="C39"/>
  <c r="BW81" i="8"/>
  <c r="J50" i="92"/>
  <c r="J50" i="91"/>
  <c r="K50" i="92"/>
  <c r="K50" i="91"/>
  <c r="E51" i="92"/>
  <c r="G134" i="91"/>
  <c r="F134"/>
  <c r="L111" i="93"/>
  <c r="M90"/>
  <c r="N90" s="1"/>
  <c r="L74" i="91"/>
  <c r="M74" s="1"/>
  <c r="N74" s="1"/>
  <c r="I75"/>
  <c r="L75" s="1"/>
  <c r="J110"/>
  <c r="K110"/>
  <c r="F110"/>
  <c r="M39" i="93"/>
  <c r="N39" s="1"/>
  <c r="D39" i="94"/>
  <c r="L49" i="91"/>
  <c r="M49" s="1"/>
  <c r="N49" s="1"/>
  <c r="I50" i="92"/>
  <c r="I50" i="91"/>
  <c r="F50" i="92"/>
  <c r="F50" i="91"/>
  <c r="G50" i="92"/>
  <c r="G50" i="91"/>
  <c r="AS60" i="19"/>
  <c r="AT59" s="1"/>
  <c r="AU59" s="1"/>
  <c r="K134" i="91"/>
  <c r="J134"/>
  <c r="I134"/>
  <c r="L133"/>
  <c r="M133" s="1"/>
  <c r="N133" s="1"/>
  <c r="M111" i="93"/>
  <c r="N111" s="1"/>
  <c r="BR81" i="8"/>
  <c r="BV81"/>
  <c r="BV116" i="7"/>
  <c r="BZ116"/>
  <c r="BR78" i="8"/>
  <c r="BV78"/>
  <c r="E37" i="94"/>
  <c r="P55" i="93"/>
  <c r="P37" i="94" s="1"/>
  <c r="J55" i="93"/>
  <c r="J37" i="94" s="1"/>
  <c r="U55" i="93"/>
  <c r="U37" i="94" s="1"/>
  <c r="O55" i="93"/>
  <c r="I55"/>
  <c r="T55"/>
  <c r="T37" i="94" s="1"/>
  <c r="N55" i="93"/>
  <c r="F55"/>
  <c r="S55"/>
  <c r="K55"/>
  <c r="CL39" i="11"/>
  <c r="BY19" i="7" s="1"/>
  <c r="BV44"/>
  <c r="BU43"/>
  <c r="BW44"/>
  <c r="BX44" s="1"/>
  <c r="CB46"/>
  <c r="D60" i="92" s="1"/>
  <c r="C60"/>
  <c r="BZ56" i="7"/>
  <c r="W135" i="5"/>
  <c r="W115"/>
  <c r="W71"/>
  <c r="W122"/>
  <c r="W74"/>
  <c r="W128"/>
  <c r="W114"/>
  <c r="BX19" i="8"/>
  <c r="CO19" s="1"/>
  <c r="CN19" s="1"/>
  <c r="C37" i="94"/>
  <c r="BW83" i="8"/>
  <c r="O19" i="89"/>
  <c r="BU122" i="7"/>
  <c r="BV49"/>
  <c r="D42" i="94"/>
  <c r="D43"/>
  <c r="B43" s="1"/>
  <c r="CG39" i="11"/>
  <c r="BU19" i="7" s="1"/>
  <c r="BV19" i="8"/>
  <c r="BR19"/>
  <c r="BY35" i="17"/>
  <c r="CC35"/>
  <c r="CG35"/>
  <c r="CK35"/>
  <c r="CO35"/>
  <c r="BY36"/>
  <c r="CG36"/>
  <c r="CK36"/>
  <c r="CC36"/>
  <c r="CO36"/>
  <c r="BY37"/>
  <c r="CK37"/>
  <c r="CG37"/>
  <c r="CC37"/>
  <c r="CO37"/>
  <c r="CA39" i="7"/>
  <c r="CB9"/>
  <c r="CB13"/>
  <c r="CB29"/>
  <c r="CB39"/>
  <c r="CT39" s="1"/>
  <c r="CB36"/>
  <c r="BY129"/>
  <c r="CB10"/>
  <c r="CA31"/>
  <c r="BE78" i="8"/>
  <c r="AA229" i="6"/>
  <c r="BF79" i="8"/>
  <c r="BE85"/>
  <c r="BF78"/>
  <c r="I12" i="88" s="1"/>
  <c r="BG43" i="7"/>
  <c r="BF42" i="8"/>
  <c r="D15" i="66" s="1"/>
  <c r="E15" s="1"/>
  <c r="AA224" i="6"/>
  <c r="Y229"/>
  <c r="Y224"/>
  <c r="Y257"/>
  <c r="Y258" s="1"/>
  <c r="BJ39" i="7"/>
  <c r="BJ36"/>
  <c r="BG122"/>
  <c r="BZ122" s="1"/>
  <c r="X122" i="5"/>
  <c r="X128"/>
  <c r="BJ13" i="7"/>
  <c r="D17" i="61"/>
  <c r="I17" i="85"/>
  <c r="I19" i="89" s="1"/>
  <c r="X135" i="5"/>
  <c r="X115"/>
  <c r="BF50" i="9"/>
  <c r="BC48"/>
  <c r="BD56" i="72"/>
  <c r="BJ58"/>
  <c r="Y40" i="3"/>
  <c r="Y48"/>
  <c r="AU25" i="8"/>
  <c r="BC83"/>
  <c r="BR83" s="1"/>
  <c r="BE19"/>
  <c r="BB55" i="9"/>
  <c r="BJ120" i="7"/>
  <c r="BF120"/>
  <c r="BE120"/>
  <c r="U43" i="3"/>
  <c r="BJ31" i="7"/>
  <c r="BF81" i="8"/>
  <c r="AT49"/>
  <c r="AT62" s="1"/>
  <c r="AT89"/>
  <c r="AT98" s="1"/>
  <c r="AU89"/>
  <c r="AU96" s="1"/>
  <c r="AU17"/>
  <c r="AU49" s="1"/>
  <c r="AU62" s="1"/>
  <c r="AX132" i="7"/>
  <c r="AX130"/>
  <c r="BF83" i="8"/>
  <c r="E15" i="61"/>
  <c r="G37" i="32"/>
  <c r="F15" i="61"/>
  <c r="J37" i="32"/>
  <c r="AR25" i="8"/>
  <c r="BL39" i="11"/>
  <c r="BI120" i="7"/>
  <c r="I15" i="85" s="1"/>
  <c r="AQ49" i="8"/>
  <c r="AQ62" s="1"/>
  <c r="AG130" i="7"/>
  <c r="AR17" i="8"/>
  <c r="AR49" s="1"/>
  <c r="AR66" s="1"/>
  <c r="AR67" s="1"/>
  <c r="AR89"/>
  <c r="AR98" s="1"/>
  <c r="AR101" s="1"/>
  <c r="AR102" s="1"/>
  <c r="AU130" i="7"/>
  <c r="AQ89" i="8"/>
  <c r="AQ98" s="1"/>
  <c r="AU133" i="7"/>
  <c r="BD50" i="9"/>
  <c r="BG18" i="7" s="1"/>
  <c r="BZ18" s="1"/>
  <c r="AF132"/>
  <c r="AF135" s="1"/>
  <c r="AF136" s="1"/>
  <c r="BJ29"/>
  <c r="BI114"/>
  <c r="BF29"/>
  <c r="BF114" s="1"/>
  <c r="BE114"/>
  <c r="BI116"/>
  <c r="BE81" i="8"/>
  <c r="C123" i="56"/>
  <c r="C103"/>
  <c r="C19"/>
  <c r="B20"/>
  <c r="AC98" i="8"/>
  <c r="AC96"/>
  <c r="AD98"/>
  <c r="AD96"/>
  <c r="AG135" i="7"/>
  <c r="AG136" s="1"/>
  <c r="AG133"/>
  <c r="AC56" i="19"/>
  <c r="AC57"/>
  <c r="F51" i="92" l="1"/>
  <c r="X74" i="5"/>
  <c r="G51" i="92"/>
  <c r="X71" i="5"/>
  <c r="X114"/>
  <c r="BY49" i="8"/>
  <c r="BY62" s="1"/>
  <c r="BY60"/>
  <c r="BY63"/>
  <c r="CP31" i="7"/>
  <c r="CP32" s="1"/>
  <c r="CT13"/>
  <c r="CP39"/>
  <c r="CP40" s="1"/>
  <c r="CM40" s="1"/>
  <c r="CO24" i="8"/>
  <c r="S59" i="93"/>
  <c r="U59"/>
  <c r="P59"/>
  <c r="T59"/>
  <c r="W59" s="1"/>
  <c r="O59"/>
  <c r="CP14" i="7"/>
  <c r="BX81" i="8"/>
  <c r="CN39"/>
  <c r="CL39" s="1"/>
  <c r="CJ30"/>
  <c r="CH30" s="1"/>
  <c r="CN30"/>
  <c r="CL30" s="1"/>
  <c r="CD25" i="7"/>
  <c r="CS14"/>
  <c r="CS116"/>
  <c r="AT56" i="19"/>
  <c r="G52" i="92"/>
  <c r="F52"/>
  <c r="CM32" i="7"/>
  <c r="CK23" i="8"/>
  <c r="CN14"/>
  <c r="CN81"/>
  <c r="CN8"/>
  <c r="CO116" i="7"/>
  <c r="CO14"/>
  <c r="CJ14" i="8"/>
  <c r="CJ81"/>
  <c r="CJ8"/>
  <c r="R110" i="93"/>
  <c r="R38" i="94" s="1"/>
  <c r="M38"/>
  <c r="B60" i="92"/>
  <c r="BZ129" i="7"/>
  <c r="CR129"/>
  <c r="CN129"/>
  <c r="CJ83" i="8"/>
  <c r="CJ17"/>
  <c r="CN83"/>
  <c r="CN17"/>
  <c r="DK39" i="11"/>
  <c r="CQ19" i="7" s="1"/>
  <c r="CK83" i="8"/>
  <c r="CI83"/>
  <c r="CO83"/>
  <c r="CM83"/>
  <c r="DF39" i="11"/>
  <c r="CM19" i="7" s="1"/>
  <c r="M50" i="92"/>
  <c r="U74" i="91"/>
  <c r="U75" s="1"/>
  <c r="O74"/>
  <c r="O75" s="1"/>
  <c r="T74"/>
  <c r="T75" s="1"/>
  <c r="S74"/>
  <c r="N75"/>
  <c r="P74"/>
  <c r="P75" s="1"/>
  <c r="T111" i="93"/>
  <c r="U111"/>
  <c r="O111"/>
  <c r="P111"/>
  <c r="S111"/>
  <c r="L134" i="91"/>
  <c r="P90" i="93"/>
  <c r="S90"/>
  <c r="T90"/>
  <c r="U90"/>
  <c r="O90"/>
  <c r="Q90" s="1"/>
  <c r="R90" s="1"/>
  <c r="M75" i="91"/>
  <c r="H76"/>
  <c r="L76"/>
  <c r="H50"/>
  <c r="K51" i="92"/>
  <c r="K52" s="1"/>
  <c r="J51"/>
  <c r="J52" s="1"/>
  <c r="L110" i="91"/>
  <c r="V59" i="93"/>
  <c r="I51" i="92"/>
  <c r="I52" s="1"/>
  <c r="L50" i="91"/>
  <c r="M39" i="94"/>
  <c r="E52" i="92"/>
  <c r="L50"/>
  <c r="M34" i="95" s="1"/>
  <c r="N34" s="1"/>
  <c r="B39" i="94"/>
  <c r="AT57" i="19"/>
  <c r="H134" i="91"/>
  <c r="L39" i="94"/>
  <c r="N27" i="96" s="1"/>
  <c r="O27" s="1"/>
  <c r="H110" i="91"/>
  <c r="BF85" i="8"/>
  <c r="CB114" i="7"/>
  <c r="J21" i="86" s="1"/>
  <c r="D46" i="92"/>
  <c r="B46" s="1"/>
  <c r="CB113" i="7"/>
  <c r="J12" i="86" s="1"/>
  <c r="D45" i="92"/>
  <c r="BW19" i="7"/>
  <c r="BW118" s="1"/>
  <c r="BU118"/>
  <c r="D45" i="94"/>
  <c r="B45" s="1"/>
  <c r="B42"/>
  <c r="D37"/>
  <c r="B37" s="1"/>
  <c r="BX83" i="8"/>
  <c r="E70" i="91"/>
  <c r="CA19" i="7"/>
  <c r="BY118"/>
  <c r="K37" i="94"/>
  <c r="F37"/>
  <c r="G55" i="93"/>
  <c r="O37" i="94"/>
  <c r="BV122" i="7"/>
  <c r="BV83" i="8"/>
  <c r="CB31" i="7"/>
  <c r="S37" i="94"/>
  <c r="V55" i="93"/>
  <c r="V37" i="94" s="1"/>
  <c r="R25" i="96" s="1"/>
  <c r="N37" i="94"/>
  <c r="Q55" i="93"/>
  <c r="Q37" i="94" s="1"/>
  <c r="P25" i="96" s="1"/>
  <c r="I37" i="94"/>
  <c r="L55" i="93"/>
  <c r="L37" i="94" s="1"/>
  <c r="N25" i="96" s="1"/>
  <c r="BV43" i="7"/>
  <c r="CA114"/>
  <c r="J21" i="85" s="1"/>
  <c r="BG120" i="7"/>
  <c r="CA121"/>
  <c r="CB121"/>
  <c r="CA116"/>
  <c r="BG19"/>
  <c r="BG118" s="1"/>
  <c r="BD48" i="9"/>
  <c r="BG56"/>
  <c r="D13" i="66"/>
  <c r="I15" i="88"/>
  <c r="I13" s="1"/>
  <c r="D12" i="66"/>
  <c r="E12" s="1"/>
  <c r="F12" s="1"/>
  <c r="I15" i="87"/>
  <c r="D15" i="65"/>
  <c r="E15" s="1"/>
  <c r="F15" s="1"/>
  <c r="D21" i="66"/>
  <c r="E21" s="1"/>
  <c r="F21" s="1"/>
  <c r="I21" i="88"/>
  <c r="BE83" i="8"/>
  <c r="BJ114" i="7"/>
  <c r="D15" i="61"/>
  <c r="BI18" i="7"/>
  <c r="BJ116"/>
  <c r="D15" i="64"/>
  <c r="E15" s="1"/>
  <c r="E13" s="1"/>
  <c r="I15" i="86"/>
  <c r="BF48" i="9"/>
  <c r="BC51"/>
  <c r="BF51" s="1"/>
  <c r="Y39" i="3"/>
  <c r="BC48" i="72"/>
  <c r="BG56"/>
  <c r="BP58"/>
  <c r="BI50"/>
  <c r="BM58"/>
  <c r="AT63" i="8"/>
  <c r="AT60"/>
  <c r="AT66"/>
  <c r="AT67" s="1"/>
  <c r="AT96"/>
  <c r="AU60"/>
  <c r="AT101"/>
  <c r="AT102" s="1"/>
  <c r="AT99"/>
  <c r="AU98"/>
  <c r="AU101" s="1"/>
  <c r="AU102" s="1"/>
  <c r="AU63"/>
  <c r="AU66"/>
  <c r="AU67" s="1"/>
  <c r="AX133" i="7"/>
  <c r="AX135"/>
  <c r="AX136" s="1"/>
  <c r="F15" i="66"/>
  <c r="F13" s="1"/>
  <c r="E13"/>
  <c r="AQ66" i="8"/>
  <c r="AQ67" s="1"/>
  <c r="AQ60"/>
  <c r="AR99"/>
  <c r="AQ63"/>
  <c r="AR60"/>
  <c r="AR63"/>
  <c r="AR62"/>
  <c r="AR96"/>
  <c r="AQ96"/>
  <c r="AQ101"/>
  <c r="AQ102" s="1"/>
  <c r="AQ99"/>
  <c r="AF133" i="7"/>
  <c r="BG9"/>
  <c r="BZ9" s="1"/>
  <c r="C122" i="56"/>
  <c r="B123"/>
  <c r="B103"/>
  <c r="C102"/>
  <c r="B19"/>
  <c r="AD101" i="8"/>
  <c r="AD102" s="1"/>
  <c r="AD99"/>
  <c r="AC101"/>
  <c r="AC102" s="1"/>
  <c r="AC99"/>
  <c r="AC60" i="19"/>
  <c r="W111" i="93" l="1"/>
  <c r="W74" i="91"/>
  <c r="W90" i="93"/>
  <c r="CP116" i="7"/>
  <c r="BY66" i="8"/>
  <c r="BY67" s="1"/>
  <c r="CO81"/>
  <c r="CN82"/>
  <c r="CT31" i="7"/>
  <c r="CT116" s="1"/>
  <c r="CL24" i="8"/>
  <c r="CL17" s="1"/>
  <c r="CO17"/>
  <c r="CB116" i="7"/>
  <c r="CP117"/>
  <c r="CL25" i="8"/>
  <c r="CK81"/>
  <c r="CK24"/>
  <c r="CM41" i="7"/>
  <c r="CS117"/>
  <c r="V111" i="93"/>
  <c r="Q111"/>
  <c r="R111" s="1"/>
  <c r="CJ82" i="8"/>
  <c r="CN27"/>
  <c r="CJ27"/>
  <c r="CN34"/>
  <c r="Q59" i="93"/>
  <c r="R59" s="1"/>
  <c r="CM14" i="7"/>
  <c r="CO117"/>
  <c r="CM33"/>
  <c r="CL31" i="8"/>
  <c r="CL27" s="1"/>
  <c r="CH31"/>
  <c r="CH27" s="1"/>
  <c r="CL40"/>
  <c r="CL34"/>
  <c r="CN19" i="7"/>
  <c r="CM118"/>
  <c r="CN118" s="1"/>
  <c r="CO19"/>
  <c r="CO118" s="1"/>
  <c r="CR19"/>
  <c r="CQ118"/>
  <c r="CR118" s="1"/>
  <c r="CS19"/>
  <c r="CS118" s="1"/>
  <c r="H111" i="91"/>
  <c r="M134"/>
  <c r="H135"/>
  <c r="N39" i="94"/>
  <c r="T39" i="93"/>
  <c r="T39" i="94" s="1"/>
  <c r="U39" i="93"/>
  <c r="U39" i="94" s="1"/>
  <c r="O39" i="93"/>
  <c r="O39" i="94" s="1"/>
  <c r="P39" i="93"/>
  <c r="P39" i="94" s="1"/>
  <c r="S39" i="93"/>
  <c r="M110" i="91"/>
  <c r="L111"/>
  <c r="M76"/>
  <c r="L135"/>
  <c r="V90" i="93"/>
  <c r="Q74" i="91"/>
  <c r="R74" s="1"/>
  <c r="Q75"/>
  <c r="U109"/>
  <c r="O109"/>
  <c r="T109"/>
  <c r="S109"/>
  <c r="N110"/>
  <c r="P109"/>
  <c r="L51"/>
  <c r="L51" i="92"/>
  <c r="H51" i="91"/>
  <c r="M50"/>
  <c r="H51" i="92"/>
  <c r="S75" i="91"/>
  <c r="V74"/>
  <c r="N50" i="92"/>
  <c r="N50" i="91"/>
  <c r="P49"/>
  <c r="S49"/>
  <c r="T49"/>
  <c r="U49"/>
  <c r="O49"/>
  <c r="Q49" s="1"/>
  <c r="U133"/>
  <c r="O133"/>
  <c r="T133"/>
  <c r="S133"/>
  <c r="N134"/>
  <c r="P133"/>
  <c r="AT60" i="19"/>
  <c r="D50" i="92"/>
  <c r="C50"/>
  <c r="G37" i="94"/>
  <c r="W37" s="1"/>
  <c r="H55" i="93"/>
  <c r="W55"/>
  <c r="F15" i="64"/>
  <c r="F13" s="1"/>
  <c r="BZ118" i="7"/>
  <c r="BZ19"/>
  <c r="BV118"/>
  <c r="BV19"/>
  <c r="CA118"/>
  <c r="C49" i="92"/>
  <c r="E49"/>
  <c r="T70" i="91"/>
  <c r="T49" i="92" s="1"/>
  <c r="N70" i="91"/>
  <c r="F70"/>
  <c r="F49" i="92" s="1"/>
  <c r="S70" i="91"/>
  <c r="K70"/>
  <c r="K49" i="92" s="1"/>
  <c r="G70" i="91"/>
  <c r="G49" i="92" s="1"/>
  <c r="P70" i="91"/>
  <c r="P49" i="92" s="1"/>
  <c r="J70" i="91"/>
  <c r="J49" i="92" s="1"/>
  <c r="U70" i="91"/>
  <c r="U49" i="92" s="1"/>
  <c r="O70" i="91"/>
  <c r="O49" i="92" s="1"/>
  <c r="I70" i="91"/>
  <c r="BW48" i="9"/>
  <c r="BV9" i="7"/>
  <c r="D13" i="64"/>
  <c r="BD51" i="9"/>
  <c r="BI19" i="7"/>
  <c r="BI118" s="1"/>
  <c r="BL118"/>
  <c r="BL124" s="1"/>
  <c r="BL17"/>
  <c r="BL51" s="1"/>
  <c r="I17" i="90"/>
  <c r="I13" i="86"/>
  <c r="I17" i="89"/>
  <c r="I15" s="1"/>
  <c r="I13" i="85"/>
  <c r="D21" i="64"/>
  <c r="E21" s="1"/>
  <c r="F21" s="1"/>
  <c r="I21" i="86"/>
  <c r="BJ50" i="72"/>
  <c r="BL50"/>
  <c r="BF48"/>
  <c r="BC51"/>
  <c r="BF51" s="1"/>
  <c r="BD48"/>
  <c r="BO50"/>
  <c r="BS58"/>
  <c r="BJ56"/>
  <c r="Y43" i="3"/>
  <c r="AU99" i="8"/>
  <c r="BG113" i="7"/>
  <c r="BI9"/>
  <c r="B122" i="56"/>
  <c r="B102"/>
  <c r="W49" i="91" l="1"/>
  <c r="Q39" i="93"/>
  <c r="Q39" i="94" s="1"/>
  <c r="P27" i="96" s="1"/>
  <c r="Q27" s="1"/>
  <c r="S27" s="1"/>
  <c r="CM15" i="7"/>
  <c r="CM117"/>
  <c r="Q133" i="91"/>
  <c r="Q109"/>
  <c r="R109" s="1"/>
  <c r="Q76"/>
  <c r="CH24" i="8"/>
  <c r="CK17"/>
  <c r="R133" i="91"/>
  <c r="P134"/>
  <c r="U50" i="92"/>
  <c r="U50" i="91"/>
  <c r="N51" i="92"/>
  <c r="T134" i="91"/>
  <c r="U134"/>
  <c r="O50"/>
  <c r="O50" i="92"/>
  <c r="T50" i="91"/>
  <c r="T50" i="92"/>
  <c r="P50"/>
  <c r="P50" i="91"/>
  <c r="V75"/>
  <c r="V76" s="1"/>
  <c r="W75"/>
  <c r="W76" s="1"/>
  <c r="M51" i="92"/>
  <c r="M52" s="1"/>
  <c r="M51" i="91"/>
  <c r="L52" i="92"/>
  <c r="M36" i="95" s="1"/>
  <c r="M35"/>
  <c r="T110" i="91"/>
  <c r="U110"/>
  <c r="V39" i="93"/>
  <c r="V39" i="94" s="1"/>
  <c r="R27" i="96" s="1"/>
  <c r="S39" i="94"/>
  <c r="W39" s="1"/>
  <c r="M135" i="91"/>
  <c r="W133"/>
  <c r="W109"/>
  <c r="R75"/>
  <c r="R76" s="1"/>
  <c r="W39" i="93"/>
  <c r="V133" i="91"/>
  <c r="S134"/>
  <c r="O134"/>
  <c r="Q50" i="92"/>
  <c r="O34" i="95" s="1"/>
  <c r="P34" s="1"/>
  <c r="R49" i="91"/>
  <c r="S50" i="92"/>
  <c r="S50" i="91"/>
  <c r="V49"/>
  <c r="H52" i="92"/>
  <c r="L36" i="95" s="1"/>
  <c r="L35"/>
  <c r="P110" i="91"/>
  <c r="S110"/>
  <c r="V109"/>
  <c r="O110"/>
  <c r="M111"/>
  <c r="H70"/>
  <c r="H49" i="92" s="1"/>
  <c r="L33" i="95" s="1"/>
  <c r="I49" i="92"/>
  <c r="L70" i="91"/>
  <c r="L49" i="92" s="1"/>
  <c r="M33" i="95" s="1"/>
  <c r="B49" i="92"/>
  <c r="W70" i="91"/>
  <c r="S49" i="92"/>
  <c r="V70" i="91"/>
  <c r="V49" i="92" s="1"/>
  <c r="Q33" i="95" s="1"/>
  <c r="N49" i="92"/>
  <c r="Q70" i="91"/>
  <c r="Q49" i="92" s="1"/>
  <c r="O33" i="95" s="1"/>
  <c r="M55" i="93"/>
  <c r="H37" i="94"/>
  <c r="M25" i="96" s="1"/>
  <c r="O25" s="1"/>
  <c r="Q25" s="1"/>
  <c r="S25" s="1"/>
  <c r="BB51" i="9"/>
  <c r="BU61" i="8"/>
  <c r="BW97"/>
  <c r="BM118" i="7"/>
  <c r="BM17"/>
  <c r="BL60"/>
  <c r="BL57"/>
  <c r="BL59"/>
  <c r="BL132"/>
  <c r="BL130"/>
  <c r="J17" i="90"/>
  <c r="K13" i="88"/>
  <c r="J13"/>
  <c r="BM56" i="72"/>
  <c r="BP56"/>
  <c r="BI48"/>
  <c r="BD51"/>
  <c r="BG48"/>
  <c r="BQ50"/>
  <c r="BM50"/>
  <c r="BP50"/>
  <c r="BS50" s="1"/>
  <c r="BR50"/>
  <c r="BI113" i="7"/>
  <c r="BJ9"/>
  <c r="P25" i="35"/>
  <c r="R39" i="93" l="1"/>
  <c r="R39" i="94" s="1"/>
  <c r="W50" i="92"/>
  <c r="X244" i="6"/>
  <c r="V110" i="91"/>
  <c r="V111" s="1"/>
  <c r="N35" i="95"/>
  <c r="N36" s="1"/>
  <c r="W110" i="91"/>
  <c r="W111" s="1"/>
  <c r="V50" i="92"/>
  <c r="Q34" i="95" s="1"/>
  <c r="R50" i="92"/>
  <c r="CH25" i="8"/>
  <c r="CH17"/>
  <c r="T51" i="92"/>
  <c r="T52" s="1"/>
  <c r="CL48" i="72"/>
  <c r="W49" i="92"/>
  <c r="S51"/>
  <c r="S52" s="1"/>
  <c r="V50" i="91"/>
  <c r="N52" i="92"/>
  <c r="Q110" i="91"/>
  <c r="O51" i="92"/>
  <c r="O52" s="1"/>
  <c r="Q134" i="91"/>
  <c r="W50"/>
  <c r="W51" s="1"/>
  <c r="U51" i="92"/>
  <c r="U52" s="1"/>
  <c r="V134" i="91"/>
  <c r="R34" i="95"/>
  <c r="P51" i="92"/>
  <c r="P52" s="1"/>
  <c r="W134" i="91"/>
  <c r="W135" s="1"/>
  <c r="Q50"/>
  <c r="N33" i="95"/>
  <c r="P33" s="1"/>
  <c r="R33" s="1"/>
  <c r="M70" i="91"/>
  <c r="R55" i="93"/>
  <c r="R37" i="94" s="1"/>
  <c r="M37"/>
  <c r="BU97" i="8"/>
  <c r="BL135" i="7"/>
  <c r="BL136" s="1"/>
  <c r="BL133"/>
  <c r="K17" i="90"/>
  <c r="BJ113" i="7"/>
  <c r="BJ48" i="72"/>
  <c r="BI51"/>
  <c r="BL48"/>
  <c r="BB51"/>
  <c r="BE51" s="1"/>
  <c r="BG51"/>
  <c r="BS56"/>
  <c r="BO48"/>
  <c r="Q51" i="91" l="1"/>
  <c r="Q51" i="92"/>
  <c r="R50" i="91"/>
  <c r="V135"/>
  <c r="V51" i="92"/>
  <c r="V51" i="91"/>
  <c r="W51" i="92"/>
  <c r="W52" s="1"/>
  <c r="Q135" i="91"/>
  <c r="R134"/>
  <c r="Q111"/>
  <c r="R110"/>
  <c r="M49" i="92"/>
  <c r="R70" i="91"/>
  <c r="R49" i="92" s="1"/>
  <c r="BL51" i="72"/>
  <c r="D12" i="64"/>
  <c r="E12" s="1"/>
  <c r="F12" s="1"/>
  <c r="I12" i="86"/>
  <c r="BP48" i="72"/>
  <c r="BR48"/>
  <c r="BO51"/>
  <c r="BM48"/>
  <c r="BQ48"/>
  <c r="BJ51"/>
  <c r="P56" i="34"/>
  <c r="R135" i="91" l="1"/>
  <c r="V52" i="92"/>
  <c r="Q36" i="95" s="1"/>
  <c r="Q35"/>
  <c r="O35"/>
  <c r="P35" s="1"/>
  <c r="Q52" i="92"/>
  <c r="O36" i="95" s="1"/>
  <c r="R51" i="91"/>
  <c r="R51" i="92"/>
  <c r="R52" s="1"/>
  <c r="R111" i="91"/>
  <c r="BP51" i="72"/>
  <c r="BS48"/>
  <c r="BH51"/>
  <c r="BK51" s="1"/>
  <c r="BR51" s="1"/>
  <c r="BM51"/>
  <c r="Z10" i="10"/>
  <c r="AA10"/>
  <c r="Z15"/>
  <c r="AA15"/>
  <c r="AE66" i="8"/>
  <c r="AE67" s="1"/>
  <c r="AE62"/>
  <c r="AG62"/>
  <c r="AH62"/>
  <c r="AJ64"/>
  <c r="AJ59"/>
  <c r="AJ58"/>
  <c r="AJ57"/>
  <c r="AJ56"/>
  <c r="AI48"/>
  <c r="AE31"/>
  <c r="AE25"/>
  <c r="AF64"/>
  <c r="AF59"/>
  <c r="AF58"/>
  <c r="AF57"/>
  <c r="AF56"/>
  <c r="AF46"/>
  <c r="AF45"/>
  <c r="AL61" i="7"/>
  <c r="AL50"/>
  <c r="AL123" s="1"/>
  <c r="AL46"/>
  <c r="AL38"/>
  <c r="AL37"/>
  <c r="AL30"/>
  <c r="AL22"/>
  <c r="AL21"/>
  <c r="AL12"/>
  <c r="AK33"/>
  <c r="AK27" s="1"/>
  <c r="AJ33"/>
  <c r="AJ27" s="1"/>
  <c r="AK15"/>
  <c r="AK8" s="1"/>
  <c r="AJ15"/>
  <c r="AH61"/>
  <c r="AH134" s="1"/>
  <c r="AH58"/>
  <c r="AH131" s="1"/>
  <c r="AH56"/>
  <c r="AH50"/>
  <c r="AH123" s="1"/>
  <c r="AI123" s="1"/>
  <c r="AH48"/>
  <c r="AH47"/>
  <c r="AH46"/>
  <c r="AH45"/>
  <c r="AH44"/>
  <c r="AH42"/>
  <c r="AH39"/>
  <c r="AH38"/>
  <c r="AH37"/>
  <c r="AH36"/>
  <c r="AH34"/>
  <c r="AH32"/>
  <c r="AH31"/>
  <c r="AH30"/>
  <c r="AH29"/>
  <c r="AH28"/>
  <c r="AH26"/>
  <c r="AH24"/>
  <c r="AH23"/>
  <c r="AH22"/>
  <c r="AH21"/>
  <c r="AH20"/>
  <c r="AH19"/>
  <c r="AH118" s="1"/>
  <c r="AH18"/>
  <c r="AH16"/>
  <c r="AH14"/>
  <c r="AH13"/>
  <c r="AH12"/>
  <c r="AH115" s="1"/>
  <c r="AH10"/>
  <c r="AH9"/>
  <c r="AH40" i="11"/>
  <c r="AH33" s="1"/>
  <c r="AM40"/>
  <c r="AO56" i="7"/>
  <c r="M46" i="3"/>
  <c r="M42"/>
  <c r="M41"/>
  <c r="Z68" i="7"/>
  <c r="Z70" s="1"/>
  <c r="O72"/>
  <c r="R72"/>
  <c r="L73"/>
  <c r="R73"/>
  <c r="O74"/>
  <c r="R74"/>
  <c r="Z75"/>
  <c r="Z77" s="1"/>
  <c r="AB81"/>
  <c r="AD81" s="1"/>
  <c r="U82"/>
  <c r="U83"/>
  <c r="Q84"/>
  <c r="R84"/>
  <c r="S84"/>
  <c r="T84"/>
  <c r="R89"/>
  <c r="S89"/>
  <c r="Q91"/>
  <c r="Q92"/>
  <c r="R93"/>
  <c r="S93"/>
  <c r="E96"/>
  <c r="K39" i="3"/>
  <c r="AN56" i="72" s="1"/>
  <c r="J39" i="3"/>
  <c r="V55" i="8"/>
  <c r="V56" i="7"/>
  <c r="U55" i="8"/>
  <c r="B55"/>
  <c r="C23" i="11"/>
  <c r="E55" i="8"/>
  <c r="J55"/>
  <c r="N55"/>
  <c r="C25" i="36"/>
  <c r="C14"/>
  <c r="B25"/>
  <c r="B14"/>
  <c r="A48" i="8"/>
  <c r="G19" i="35"/>
  <c r="P24" s="1"/>
  <c r="G31" i="34"/>
  <c r="G48"/>
  <c r="AI65" i="8"/>
  <c r="R11" i="70" s="1"/>
  <c r="AG65" i="8"/>
  <c r="U9" i="17"/>
  <c r="T9" s="1"/>
  <c r="AD9" s="1"/>
  <c r="N47" i="5"/>
  <c r="U10" i="17"/>
  <c r="T10" s="1"/>
  <c r="AM10" s="1"/>
  <c r="AP10" s="1"/>
  <c r="Q23" i="7" s="1"/>
  <c r="N48" i="5"/>
  <c r="N49"/>
  <c r="B22" i="32"/>
  <c r="D22" s="1"/>
  <c r="B23"/>
  <c r="AA55" i="8"/>
  <c r="H116" s="1"/>
  <c r="AH66"/>
  <c r="AH63"/>
  <c r="AH60"/>
  <c r="AG63"/>
  <c r="AG60"/>
  <c r="AE63"/>
  <c r="Z11"/>
  <c r="AK11" s="1"/>
  <c r="AM11"/>
  <c r="AO11" s="1"/>
  <c r="AM56"/>
  <c r="AC32" i="6"/>
  <c r="AI32" s="1"/>
  <c r="AC28"/>
  <c r="AH28" s="1"/>
  <c r="AC21"/>
  <c r="AC9"/>
  <c r="AB35" i="5"/>
  <c r="AH35" s="1"/>
  <c r="AB32"/>
  <c r="AH32" s="1"/>
  <c r="AB23"/>
  <c r="AG23" s="1"/>
  <c r="AH23" s="1"/>
  <c r="AB16"/>
  <c r="AH16" s="1"/>
  <c r="AO45" i="7"/>
  <c r="AB41" i="5"/>
  <c r="AH41" s="1"/>
  <c r="AB18"/>
  <c r="AH18" s="1"/>
  <c r="AK12" i="8"/>
  <c r="AK22"/>
  <c r="AK37"/>
  <c r="AM37"/>
  <c r="AO37" s="1"/>
  <c r="AC27" i="19"/>
  <c r="D25" i="21"/>
  <c r="D26"/>
  <c r="D27"/>
  <c r="D28"/>
  <c r="D30"/>
  <c r="D31"/>
  <c r="G27"/>
  <c r="G30"/>
  <c r="G31"/>
  <c r="C27"/>
  <c r="E27" s="1"/>
  <c r="C30"/>
  <c r="C31"/>
  <c r="E31" s="1"/>
  <c r="C25"/>
  <c r="E25" s="1"/>
  <c r="L26"/>
  <c r="Y14" i="19"/>
  <c r="Z14"/>
  <c r="Z12"/>
  <c r="AC12" s="1"/>
  <c r="AM33" i="17"/>
  <c r="AM32"/>
  <c r="AM31"/>
  <c r="AM30"/>
  <c r="AM28"/>
  <c r="AM27"/>
  <c r="AM26"/>
  <c r="AM25"/>
  <c r="Y33"/>
  <c r="Y32"/>
  <c r="Y31"/>
  <c r="Y30"/>
  <c r="Y28"/>
  <c r="Y27"/>
  <c r="AB27" s="1"/>
  <c r="Y26"/>
  <c r="AB26" s="1"/>
  <c r="Y25"/>
  <c r="AN29"/>
  <c r="AL29"/>
  <c r="Z29"/>
  <c r="X29"/>
  <c r="AN24"/>
  <c r="AM35" s="1"/>
  <c r="AL24"/>
  <c r="Z24"/>
  <c r="X24"/>
  <c r="K53" i="11"/>
  <c r="L53"/>
  <c r="K54"/>
  <c r="L54"/>
  <c r="K55"/>
  <c r="L55"/>
  <c r="L56"/>
  <c r="K52"/>
  <c r="F56"/>
  <c r="K56" s="1"/>
  <c r="G52"/>
  <c r="L52" s="1"/>
  <c r="U33"/>
  <c r="W43"/>
  <c r="U43"/>
  <c r="W42"/>
  <c r="U42"/>
  <c r="W41"/>
  <c r="W45" s="1"/>
  <c r="U41"/>
  <c r="W33"/>
  <c r="W32"/>
  <c r="U32"/>
  <c r="W31"/>
  <c r="U31"/>
  <c r="W30"/>
  <c r="U30"/>
  <c r="W29"/>
  <c r="U29"/>
  <c r="I30" i="10"/>
  <c r="I25"/>
  <c r="AB54" i="9"/>
  <c r="AB52"/>
  <c r="AB50"/>
  <c r="AB48"/>
  <c r="AD62"/>
  <c r="AD61"/>
  <c r="AD59"/>
  <c r="AD57"/>
  <c r="AD55"/>
  <c r="AC55"/>
  <c r="AD51"/>
  <c r="AC51"/>
  <c r="Z37" i="8"/>
  <c r="C9" i="21"/>
  <c r="E9" s="1"/>
  <c r="I9"/>
  <c r="L9"/>
  <c r="G25" s="1"/>
  <c r="L25" s="1"/>
  <c r="C10"/>
  <c r="E10" s="1"/>
  <c r="G10"/>
  <c r="L10"/>
  <c r="G26" s="1"/>
  <c r="E11"/>
  <c r="I11"/>
  <c r="M11"/>
  <c r="H27" s="1"/>
  <c r="E12"/>
  <c r="G12"/>
  <c r="L12" s="1"/>
  <c r="M12"/>
  <c r="H28" s="1"/>
  <c r="C13"/>
  <c r="D13"/>
  <c r="G13"/>
  <c r="H13"/>
  <c r="D29" s="1"/>
  <c r="E14"/>
  <c r="I14"/>
  <c r="K14" s="1"/>
  <c r="M14"/>
  <c r="H30" s="1"/>
  <c r="E15"/>
  <c r="I15"/>
  <c r="M15"/>
  <c r="H31" s="1"/>
  <c r="M31" s="1"/>
  <c r="N31" s="1"/>
  <c r="D8" i="19"/>
  <c r="F8"/>
  <c r="H8"/>
  <c r="S8"/>
  <c r="T8" s="1"/>
  <c r="U8"/>
  <c r="V8"/>
  <c r="D9"/>
  <c r="F9"/>
  <c r="H9"/>
  <c r="S9"/>
  <c r="T9" s="1"/>
  <c r="U9"/>
  <c r="V9"/>
  <c r="AC9"/>
  <c r="D10"/>
  <c r="F10"/>
  <c r="H10"/>
  <c r="S10"/>
  <c r="U10"/>
  <c r="V10"/>
  <c r="D11"/>
  <c r="F11"/>
  <c r="H11"/>
  <c r="U11"/>
  <c r="V11"/>
  <c r="R12"/>
  <c r="U12" s="1"/>
  <c r="S12"/>
  <c r="Y12"/>
  <c r="Y49" s="1"/>
  <c r="AB12"/>
  <c r="U13"/>
  <c r="V13"/>
  <c r="R14"/>
  <c r="AB14"/>
  <c r="D15"/>
  <c r="F15"/>
  <c r="G15"/>
  <c r="M15" s="1"/>
  <c r="S15"/>
  <c r="T15" s="1"/>
  <c r="U15"/>
  <c r="V15"/>
  <c r="AC15"/>
  <c r="D16"/>
  <c r="F16"/>
  <c r="H16"/>
  <c r="S16"/>
  <c r="T16" s="1"/>
  <c r="U16"/>
  <c r="V16"/>
  <c r="AC16"/>
  <c r="D17"/>
  <c r="F17"/>
  <c r="H17"/>
  <c r="S17"/>
  <c r="U17"/>
  <c r="V17"/>
  <c r="AC17"/>
  <c r="D18"/>
  <c r="F18"/>
  <c r="H18"/>
  <c r="S18"/>
  <c r="T18" s="1"/>
  <c r="U18"/>
  <c r="V18"/>
  <c r="AC18"/>
  <c r="D19"/>
  <c r="H19"/>
  <c r="S19"/>
  <c r="U19"/>
  <c r="V19"/>
  <c r="D20"/>
  <c r="F20"/>
  <c r="H20"/>
  <c r="S20"/>
  <c r="T20" s="1"/>
  <c r="U20"/>
  <c r="V20"/>
  <c r="D21"/>
  <c r="F21"/>
  <c r="H21"/>
  <c r="S21"/>
  <c r="T21" s="1"/>
  <c r="U21"/>
  <c r="V21"/>
  <c r="D22"/>
  <c r="F22"/>
  <c r="H22"/>
  <c r="S22"/>
  <c r="T22" s="1"/>
  <c r="U22"/>
  <c r="V22"/>
  <c r="AC22"/>
  <c r="D23"/>
  <c r="F23"/>
  <c r="H23"/>
  <c r="S23"/>
  <c r="T23" s="1"/>
  <c r="U23"/>
  <c r="V23"/>
  <c r="AC23"/>
  <c r="D24"/>
  <c r="F24"/>
  <c r="H24"/>
  <c r="S24"/>
  <c r="U24"/>
  <c r="V24"/>
  <c r="AC24"/>
  <c r="S25"/>
  <c r="U25"/>
  <c r="V25"/>
  <c r="AC25"/>
  <c r="D26"/>
  <c r="F26"/>
  <c r="G26"/>
  <c r="M26" s="1"/>
  <c r="S26"/>
  <c r="U26"/>
  <c r="V26"/>
  <c r="AC26"/>
  <c r="D27"/>
  <c r="F27"/>
  <c r="H27"/>
  <c r="S27"/>
  <c r="T27" s="1"/>
  <c r="U27"/>
  <c r="V27"/>
  <c r="D28"/>
  <c r="F28"/>
  <c r="H28"/>
  <c r="S28"/>
  <c r="T28" s="1"/>
  <c r="U28"/>
  <c r="V28"/>
  <c r="AC28"/>
  <c r="D29"/>
  <c r="F29"/>
  <c r="G29"/>
  <c r="S29"/>
  <c r="T29" s="1"/>
  <c r="U29"/>
  <c r="V29"/>
  <c r="AC29"/>
  <c r="D30"/>
  <c r="F30"/>
  <c r="H30"/>
  <c r="S30"/>
  <c r="U30"/>
  <c r="V30"/>
  <c r="AC30"/>
  <c r="D31"/>
  <c r="F31"/>
  <c r="H31"/>
  <c r="S31"/>
  <c r="T31" s="1"/>
  <c r="U31"/>
  <c r="V31"/>
  <c r="D32"/>
  <c r="F32"/>
  <c r="H32"/>
  <c r="S32"/>
  <c r="T32" s="1"/>
  <c r="U32"/>
  <c r="V32"/>
  <c r="AC32"/>
  <c r="D33"/>
  <c r="F33"/>
  <c r="H33"/>
  <c r="U33"/>
  <c r="V33"/>
  <c r="D34"/>
  <c r="F34"/>
  <c r="H34"/>
  <c r="S34"/>
  <c r="T34" s="1"/>
  <c r="U34"/>
  <c r="V34"/>
  <c r="AC34"/>
  <c r="D35"/>
  <c r="F35"/>
  <c r="H35"/>
  <c r="S35"/>
  <c r="T35" s="1"/>
  <c r="U35"/>
  <c r="V35"/>
  <c r="AC35"/>
  <c r="B36"/>
  <c r="B49" s="1"/>
  <c r="F36"/>
  <c r="H36"/>
  <c r="S36"/>
  <c r="T36" s="1"/>
  <c r="U36"/>
  <c r="V36"/>
  <c r="AC36"/>
  <c r="D37"/>
  <c r="F37"/>
  <c r="H37"/>
  <c r="S37"/>
  <c r="T37" s="1"/>
  <c r="U37"/>
  <c r="V37"/>
  <c r="D38"/>
  <c r="F38"/>
  <c r="H38"/>
  <c r="S38"/>
  <c r="U38"/>
  <c r="V38"/>
  <c r="AC38"/>
  <c r="D39"/>
  <c r="U39"/>
  <c r="V39"/>
  <c r="S40"/>
  <c r="AC40" s="1"/>
  <c r="U40"/>
  <c r="V40"/>
  <c r="D41"/>
  <c r="S41"/>
  <c r="AC41" s="1"/>
  <c r="U41"/>
  <c r="V41"/>
  <c r="U42"/>
  <c r="V42"/>
  <c r="U43"/>
  <c r="V43"/>
  <c r="D44"/>
  <c r="U44"/>
  <c r="V44"/>
  <c r="U45"/>
  <c r="V45"/>
  <c r="U46"/>
  <c r="V46"/>
  <c r="D47"/>
  <c r="U47"/>
  <c r="V47"/>
  <c r="C49"/>
  <c r="E49"/>
  <c r="R49"/>
  <c r="AB49"/>
  <c r="Y58"/>
  <c r="C60"/>
  <c r="B59" s="1"/>
  <c r="D60"/>
  <c r="E60"/>
  <c r="F60"/>
  <c r="G60"/>
  <c r="H59" s="1"/>
  <c r="R60"/>
  <c r="V60"/>
  <c r="U56" s="1"/>
  <c r="X60"/>
  <c r="W58" s="1"/>
  <c r="B7" i="32"/>
  <c r="D7" s="1"/>
  <c r="B8"/>
  <c r="D8" s="1"/>
  <c r="B9"/>
  <c r="D9" s="1"/>
  <c r="B10"/>
  <c r="C11"/>
  <c r="C24"/>
  <c r="F8" i="17"/>
  <c r="G8"/>
  <c r="K8" s="1"/>
  <c r="M8"/>
  <c r="P8"/>
  <c r="S8"/>
  <c r="V8"/>
  <c r="X8"/>
  <c r="Y8"/>
  <c r="AA8"/>
  <c r="AB8"/>
  <c r="AL8"/>
  <c r="AU8"/>
  <c r="AW8"/>
  <c r="AX8"/>
  <c r="AZ8"/>
  <c r="BA8"/>
  <c r="BC8"/>
  <c r="H9"/>
  <c r="K9"/>
  <c r="N9"/>
  <c r="R9"/>
  <c r="W9"/>
  <c r="Z9"/>
  <c r="AF9"/>
  <c r="AG9"/>
  <c r="AV9"/>
  <c r="AY9"/>
  <c r="BB9"/>
  <c r="BD9"/>
  <c r="H10"/>
  <c r="H8" s="1"/>
  <c r="K10"/>
  <c r="N10"/>
  <c r="Q10"/>
  <c r="W10"/>
  <c r="Z10"/>
  <c r="AE10" s="1"/>
  <c r="AF10"/>
  <c r="AG10"/>
  <c r="AV10"/>
  <c r="AY10"/>
  <c r="BB10"/>
  <c r="BD10"/>
  <c r="O11"/>
  <c r="R11"/>
  <c r="U11"/>
  <c r="X11"/>
  <c r="AD11"/>
  <c r="AE11"/>
  <c r="AF11"/>
  <c r="AM11"/>
  <c r="AN11" s="1"/>
  <c r="AV11"/>
  <c r="AY11"/>
  <c r="BB11"/>
  <c r="AA27" s="1"/>
  <c r="BD11"/>
  <c r="O12"/>
  <c r="R12"/>
  <c r="R8" s="1"/>
  <c r="U12"/>
  <c r="X12"/>
  <c r="AD12"/>
  <c r="AE12"/>
  <c r="AF12"/>
  <c r="O39" i="7" s="1"/>
  <c r="AM12" i="17"/>
  <c r="AV12"/>
  <c r="AY12"/>
  <c r="BB12"/>
  <c r="BD12"/>
  <c r="F14"/>
  <c r="G14"/>
  <c r="K14" s="1"/>
  <c r="M14"/>
  <c r="P14"/>
  <c r="S14"/>
  <c r="V14"/>
  <c r="X14"/>
  <c r="Y14"/>
  <c r="AA14"/>
  <c r="AB14"/>
  <c r="AL14"/>
  <c r="AU14"/>
  <c r="AW14"/>
  <c r="AX14"/>
  <c r="AZ14"/>
  <c r="BA14"/>
  <c r="BC14"/>
  <c r="H15"/>
  <c r="K15"/>
  <c r="N15"/>
  <c r="Q15"/>
  <c r="T15"/>
  <c r="AM15" s="1"/>
  <c r="AN15" s="1"/>
  <c r="W15"/>
  <c r="Z15"/>
  <c r="AE15" s="1"/>
  <c r="AF15"/>
  <c r="AV15"/>
  <c r="AY15"/>
  <c r="BB15"/>
  <c r="BD15"/>
  <c r="H16"/>
  <c r="H14" s="1"/>
  <c r="K16"/>
  <c r="O16"/>
  <c r="R16"/>
  <c r="U16"/>
  <c r="W16"/>
  <c r="Z16"/>
  <c r="AE16" s="1"/>
  <c r="AD16"/>
  <c r="AF16"/>
  <c r="AM16"/>
  <c r="T31" s="1"/>
  <c r="AT31" s="1"/>
  <c r="AV16"/>
  <c r="AY16"/>
  <c r="BB16"/>
  <c r="BD16"/>
  <c r="N17"/>
  <c r="Q17"/>
  <c r="U17"/>
  <c r="W17"/>
  <c r="Z17"/>
  <c r="AE17" s="1"/>
  <c r="AD17"/>
  <c r="AF17"/>
  <c r="AM17"/>
  <c r="AP17" s="1"/>
  <c r="P29" i="8" s="1"/>
  <c r="P30" s="1"/>
  <c r="R30" s="1"/>
  <c r="AV17" i="17"/>
  <c r="AY17"/>
  <c r="BB17"/>
  <c r="BD17"/>
  <c r="O18"/>
  <c r="R18"/>
  <c r="U18"/>
  <c r="W18"/>
  <c r="Z18"/>
  <c r="AE18" s="1"/>
  <c r="AD18"/>
  <c r="AF18"/>
  <c r="AM18"/>
  <c r="AP18" s="1"/>
  <c r="P38" i="8" s="1"/>
  <c r="P39" s="1"/>
  <c r="R39" s="1"/>
  <c r="AV18" i="17"/>
  <c r="AY18"/>
  <c r="BB18"/>
  <c r="AA33" s="1"/>
  <c r="BD18"/>
  <c r="F24"/>
  <c r="G24"/>
  <c r="K24" s="1"/>
  <c r="M24"/>
  <c r="O24"/>
  <c r="AU24"/>
  <c r="AW24"/>
  <c r="H25"/>
  <c r="K25"/>
  <c r="N25"/>
  <c r="S25"/>
  <c r="AV25"/>
  <c r="BH25" s="1"/>
  <c r="AZ25"/>
  <c r="H26"/>
  <c r="K26"/>
  <c r="N26"/>
  <c r="S26"/>
  <c r="AV26"/>
  <c r="BH26" s="1"/>
  <c r="AZ26"/>
  <c r="N27"/>
  <c r="P27" s="1"/>
  <c r="S27"/>
  <c r="T27"/>
  <c r="AV27"/>
  <c r="BH27" s="1"/>
  <c r="AZ27"/>
  <c r="N28"/>
  <c r="S28"/>
  <c r="AV28"/>
  <c r="BH28" s="1"/>
  <c r="AZ28"/>
  <c r="F29"/>
  <c r="G29"/>
  <c r="K29" s="1"/>
  <c r="M29"/>
  <c r="O29"/>
  <c r="S29"/>
  <c r="AU29"/>
  <c r="AW29"/>
  <c r="H30"/>
  <c r="K30"/>
  <c r="N30"/>
  <c r="AV30"/>
  <c r="AZ30"/>
  <c r="H31"/>
  <c r="K31"/>
  <c r="N31"/>
  <c r="AV31"/>
  <c r="AY31" s="1"/>
  <c r="AZ31"/>
  <c r="N32"/>
  <c r="AV32"/>
  <c r="AZ32"/>
  <c r="N33"/>
  <c r="AV33"/>
  <c r="BH33" s="1"/>
  <c r="AZ33"/>
  <c r="F9" i="33"/>
  <c r="H9"/>
  <c r="G10"/>
  <c r="I10"/>
  <c r="G11"/>
  <c r="I11" s="1"/>
  <c r="G12"/>
  <c r="I12" s="1"/>
  <c r="G13"/>
  <c r="I13" s="1"/>
  <c r="F15"/>
  <c r="H15"/>
  <c r="G15" s="1"/>
  <c r="I15" s="1"/>
  <c r="G16"/>
  <c r="I16" s="1"/>
  <c r="G17"/>
  <c r="I17" s="1"/>
  <c r="G18"/>
  <c r="I18" s="1"/>
  <c r="G19"/>
  <c r="I19"/>
  <c r="D7" i="11"/>
  <c r="H7"/>
  <c r="N7" s="1"/>
  <c r="O7"/>
  <c r="S7"/>
  <c r="U7"/>
  <c r="W7"/>
  <c r="AA7"/>
  <c r="AB7"/>
  <c r="AI7"/>
  <c r="AJ7" s="1"/>
  <c r="AM7"/>
  <c r="AN7"/>
  <c r="M29" s="1"/>
  <c r="N29" s="1"/>
  <c r="BN7"/>
  <c r="BO7"/>
  <c r="D8"/>
  <c r="H8"/>
  <c r="O8"/>
  <c r="S8"/>
  <c r="U8"/>
  <c r="W8"/>
  <c r="AB8"/>
  <c r="AM8"/>
  <c r="AN8"/>
  <c r="BN8"/>
  <c r="BO8"/>
  <c r="AO30" s="1"/>
  <c r="D9"/>
  <c r="H9"/>
  <c r="M9"/>
  <c r="S9"/>
  <c r="U9"/>
  <c r="W9"/>
  <c r="AA9"/>
  <c r="AB9"/>
  <c r="AI9"/>
  <c r="AJ9" s="1"/>
  <c r="AM9"/>
  <c r="AN9"/>
  <c r="M31" s="1"/>
  <c r="N31" s="1"/>
  <c r="BN9"/>
  <c r="BO9"/>
  <c r="D10"/>
  <c r="H10"/>
  <c r="N10" s="1"/>
  <c r="O10"/>
  <c r="S10"/>
  <c r="U10"/>
  <c r="W10"/>
  <c r="AA10"/>
  <c r="AB10"/>
  <c r="AI10"/>
  <c r="AJ10" s="1"/>
  <c r="AM10"/>
  <c r="AN10"/>
  <c r="M32" s="1"/>
  <c r="N32" s="1"/>
  <c r="BN10"/>
  <c r="BO10"/>
  <c r="D11"/>
  <c r="H11"/>
  <c r="I11" s="1"/>
  <c r="O11"/>
  <c r="S11"/>
  <c r="U11"/>
  <c r="W11"/>
  <c r="AA11"/>
  <c r="AB11"/>
  <c r="AI11"/>
  <c r="AJ11" s="1"/>
  <c r="AM11"/>
  <c r="AN11"/>
  <c r="M33" s="1"/>
  <c r="N33" s="1"/>
  <c r="BN11"/>
  <c r="BO11"/>
  <c r="D12"/>
  <c r="U13"/>
  <c r="W13"/>
  <c r="AM13"/>
  <c r="BN13"/>
  <c r="E15"/>
  <c r="J15"/>
  <c r="AO15"/>
  <c r="BP15"/>
  <c r="O19"/>
  <c r="O22" s="1"/>
  <c r="S19"/>
  <c r="AB19"/>
  <c r="AB22" s="1"/>
  <c r="AI19"/>
  <c r="AJ19" s="1"/>
  <c r="AM19"/>
  <c r="AN19"/>
  <c r="M42" s="1"/>
  <c r="E22"/>
  <c r="J22"/>
  <c r="W22"/>
  <c r="AO22"/>
  <c r="BP22"/>
  <c r="BN23"/>
  <c r="BN19" s="1"/>
  <c r="I29"/>
  <c r="J29"/>
  <c r="S29"/>
  <c r="AI29"/>
  <c r="J30"/>
  <c r="S30"/>
  <c r="I31"/>
  <c r="J31"/>
  <c r="S31"/>
  <c r="AI31"/>
  <c r="I32"/>
  <c r="J32"/>
  <c r="S32"/>
  <c r="X32"/>
  <c r="AI32"/>
  <c r="I33"/>
  <c r="J33"/>
  <c r="S33"/>
  <c r="AI33"/>
  <c r="AJ33" s="1"/>
  <c r="AP38"/>
  <c r="AK39"/>
  <c r="Q40"/>
  <c r="Q29" s="1"/>
  <c r="S41"/>
  <c r="J42"/>
  <c r="J45" s="1"/>
  <c r="K42"/>
  <c r="O42" s="1"/>
  <c r="S42"/>
  <c r="X42"/>
  <c r="AJ42"/>
  <c r="AK42"/>
  <c r="AK45" s="1"/>
  <c r="AN42"/>
  <c r="S43"/>
  <c r="AP44"/>
  <c r="BG44" s="1"/>
  <c r="G46"/>
  <c r="Q46"/>
  <c r="B6" i="10"/>
  <c r="C6"/>
  <c r="F6" s="1"/>
  <c r="H6"/>
  <c r="N6"/>
  <c r="P6"/>
  <c r="X6"/>
  <c r="X7"/>
  <c r="X8"/>
  <c r="X9"/>
  <c r="B7"/>
  <c r="B8"/>
  <c r="B9"/>
  <c r="C7"/>
  <c r="F7" s="1"/>
  <c r="H7"/>
  <c r="N7"/>
  <c r="P7"/>
  <c r="C8"/>
  <c r="F8" s="1"/>
  <c r="H8"/>
  <c r="N8"/>
  <c r="P8"/>
  <c r="C9"/>
  <c r="H9"/>
  <c r="N9"/>
  <c r="P9"/>
  <c r="E10"/>
  <c r="G10"/>
  <c r="I10"/>
  <c r="J10"/>
  <c r="K10"/>
  <c r="M10"/>
  <c r="N10" s="1"/>
  <c r="O10"/>
  <c r="P10" s="1"/>
  <c r="Y10"/>
  <c r="B11"/>
  <c r="C11"/>
  <c r="F11" s="1"/>
  <c r="C12"/>
  <c r="F12" s="1"/>
  <c r="C13"/>
  <c r="C14"/>
  <c r="F14" s="1"/>
  <c r="H11"/>
  <c r="N11"/>
  <c r="P11"/>
  <c r="X11"/>
  <c r="B12"/>
  <c r="H12"/>
  <c r="N12"/>
  <c r="P12"/>
  <c r="X12"/>
  <c r="B13"/>
  <c r="H13"/>
  <c r="N13"/>
  <c r="P13"/>
  <c r="X13"/>
  <c r="B14"/>
  <c r="H14"/>
  <c r="N14"/>
  <c r="P14"/>
  <c r="X14"/>
  <c r="E15"/>
  <c r="G15"/>
  <c r="I15"/>
  <c r="J15"/>
  <c r="K15"/>
  <c r="M15"/>
  <c r="O15"/>
  <c r="P15" s="1"/>
  <c r="Y15"/>
  <c r="F21"/>
  <c r="G21"/>
  <c r="O21"/>
  <c r="W21" s="1"/>
  <c r="F22"/>
  <c r="G22"/>
  <c r="AA20" i="7" s="1"/>
  <c r="AI20" s="1"/>
  <c r="O22" i="10"/>
  <c r="W22" s="1"/>
  <c r="F23"/>
  <c r="G23"/>
  <c r="AA29" i="7" s="1"/>
  <c r="AP29" s="1"/>
  <c r="O23" i="10"/>
  <c r="W23" s="1"/>
  <c r="F24"/>
  <c r="G24"/>
  <c r="AA36" i="7" s="1"/>
  <c r="O24" i="10"/>
  <c r="W24" s="1"/>
  <c r="E25"/>
  <c r="F25" s="1"/>
  <c r="H25"/>
  <c r="J25"/>
  <c r="M25"/>
  <c r="F26"/>
  <c r="G26"/>
  <c r="Y10" i="8" s="1"/>
  <c r="Z10" s="1"/>
  <c r="O26" i="10"/>
  <c r="F27"/>
  <c r="G27"/>
  <c r="Y20" i="8" s="1"/>
  <c r="AF20" s="1"/>
  <c r="O27" i="10"/>
  <c r="F28"/>
  <c r="G28"/>
  <c r="Y32" i="8" s="1"/>
  <c r="AF32" s="1"/>
  <c r="O28" i="10"/>
  <c r="F29"/>
  <c r="G29"/>
  <c r="Y35" i="8" s="1"/>
  <c r="Z35" s="1"/>
  <c r="O29" i="10"/>
  <c r="E30"/>
  <c r="H30"/>
  <c r="H31" s="1"/>
  <c r="J30"/>
  <c r="J31" s="1"/>
  <c r="M30"/>
  <c r="M31" s="1"/>
  <c r="B9" i="9"/>
  <c r="I9"/>
  <c r="I20" s="1"/>
  <c r="M9"/>
  <c r="N9" s="1"/>
  <c r="Q9"/>
  <c r="R9"/>
  <c r="W9" s="1"/>
  <c r="Y9"/>
  <c r="AH9"/>
  <c r="AK9"/>
  <c r="Q10"/>
  <c r="AH10"/>
  <c r="AK10"/>
  <c r="B11"/>
  <c r="I11"/>
  <c r="H11" s="1"/>
  <c r="M11"/>
  <c r="N11" s="1"/>
  <c r="Q11"/>
  <c r="S11"/>
  <c r="T11"/>
  <c r="Y11"/>
  <c r="AH11"/>
  <c r="AK11"/>
  <c r="M12"/>
  <c r="Q12"/>
  <c r="AH12"/>
  <c r="AK12"/>
  <c r="C13"/>
  <c r="D13"/>
  <c r="F13"/>
  <c r="J13"/>
  <c r="L13"/>
  <c r="P13"/>
  <c r="X13"/>
  <c r="AI13"/>
  <c r="AL13"/>
  <c r="AN13"/>
  <c r="AO13"/>
  <c r="B14"/>
  <c r="I14"/>
  <c r="I25" s="1"/>
  <c r="M14"/>
  <c r="N14" s="1"/>
  <c r="R14"/>
  <c r="W14" s="1"/>
  <c r="Y14"/>
  <c r="AH14"/>
  <c r="AH25" s="1"/>
  <c r="AK14"/>
  <c r="B15"/>
  <c r="I15"/>
  <c r="H15" s="1"/>
  <c r="M15"/>
  <c r="N15" s="1"/>
  <c r="R15"/>
  <c r="W15" s="1"/>
  <c r="Y15"/>
  <c r="AH15"/>
  <c r="AH26" s="1"/>
  <c r="Q62" s="1"/>
  <c r="AK15"/>
  <c r="M16"/>
  <c r="AH16"/>
  <c r="AI16"/>
  <c r="AI17" s="1"/>
  <c r="AK16"/>
  <c r="AL16"/>
  <c r="AL17" s="1"/>
  <c r="C17"/>
  <c r="D17"/>
  <c r="J17"/>
  <c r="L17"/>
  <c r="P17"/>
  <c r="Q17"/>
  <c r="X17"/>
  <c r="AN17"/>
  <c r="AO17"/>
  <c r="AH19"/>
  <c r="AK19"/>
  <c r="L20"/>
  <c r="S20"/>
  <c r="AN20"/>
  <c r="I21"/>
  <c r="L21"/>
  <c r="L22" s="1"/>
  <c r="S21"/>
  <c r="AH21"/>
  <c r="AK21"/>
  <c r="AN22"/>
  <c r="AK24"/>
  <c r="L25"/>
  <c r="X25"/>
  <c r="AN25"/>
  <c r="L26"/>
  <c r="X26"/>
  <c r="AN26"/>
  <c r="S31"/>
  <c r="T31"/>
  <c r="R32"/>
  <c r="S33"/>
  <c r="T33"/>
  <c r="S36"/>
  <c r="T36"/>
  <c r="S37"/>
  <c r="S38" s="1"/>
  <c r="T37"/>
  <c r="T38" s="1"/>
  <c r="M48"/>
  <c r="N48" s="1"/>
  <c r="S48"/>
  <c r="AA48"/>
  <c r="M50"/>
  <c r="S50"/>
  <c r="AA50"/>
  <c r="L51"/>
  <c r="Y51"/>
  <c r="Z51"/>
  <c r="AI51"/>
  <c r="AJ51"/>
  <c r="N52"/>
  <c r="S52"/>
  <c r="AA52"/>
  <c r="N54"/>
  <c r="S54"/>
  <c r="AA54"/>
  <c r="L55"/>
  <c r="M55"/>
  <c r="Y55"/>
  <c r="Z55"/>
  <c r="AI55"/>
  <c r="AJ55"/>
  <c r="Z57"/>
  <c r="Z59"/>
  <c r="M60"/>
  <c r="M61" s="1"/>
  <c r="Q61"/>
  <c r="AN61" s="1"/>
  <c r="L69" s="1"/>
  <c r="Z61"/>
  <c r="Z62"/>
  <c r="D9" i="6"/>
  <c r="F9"/>
  <c r="H9"/>
  <c r="M9"/>
  <c r="O9"/>
  <c r="Q9"/>
  <c r="R9"/>
  <c r="W9"/>
  <c r="X9"/>
  <c r="AJ9"/>
  <c r="D12"/>
  <c r="F12"/>
  <c r="F13" s="1"/>
  <c r="H12"/>
  <c r="H13" s="1"/>
  <c r="I12"/>
  <c r="M12"/>
  <c r="P12"/>
  <c r="R12" s="1"/>
  <c r="E13"/>
  <c r="G13"/>
  <c r="J13"/>
  <c r="K13"/>
  <c r="L13"/>
  <c r="N13"/>
  <c r="S13"/>
  <c r="T13"/>
  <c r="U13"/>
  <c r="AC13" s="1"/>
  <c r="AI13" s="1"/>
  <c r="V13"/>
  <c r="AB13"/>
  <c r="D14"/>
  <c r="F14"/>
  <c r="H14"/>
  <c r="M14"/>
  <c r="O14"/>
  <c r="Q14"/>
  <c r="R14"/>
  <c r="W14"/>
  <c r="X14"/>
  <c r="AC14" s="1"/>
  <c r="AJ14"/>
  <c r="D15"/>
  <c r="F15"/>
  <c r="H15"/>
  <c r="M15"/>
  <c r="O15"/>
  <c r="Q15"/>
  <c r="R15"/>
  <c r="W15"/>
  <c r="X15"/>
  <c r="AC15"/>
  <c r="D16"/>
  <c r="F16"/>
  <c r="H16"/>
  <c r="M16"/>
  <c r="O16"/>
  <c r="Q16"/>
  <c r="R16"/>
  <c r="U16"/>
  <c r="W16"/>
  <c r="X16"/>
  <c r="AB16"/>
  <c r="AC16" s="1"/>
  <c r="B18"/>
  <c r="C18"/>
  <c r="E18"/>
  <c r="G18"/>
  <c r="I18"/>
  <c r="J18"/>
  <c r="K18"/>
  <c r="L18"/>
  <c r="M18" s="1"/>
  <c r="N18"/>
  <c r="P18"/>
  <c r="S18"/>
  <c r="T18"/>
  <c r="U18"/>
  <c r="V18"/>
  <c r="W18" s="1"/>
  <c r="AB18"/>
  <c r="D19"/>
  <c r="F19"/>
  <c r="H19"/>
  <c r="M19"/>
  <c r="O19"/>
  <c r="Q19"/>
  <c r="R19"/>
  <c r="W19"/>
  <c r="X19"/>
  <c r="AC19" s="1"/>
  <c r="AI19" s="1"/>
  <c r="D20"/>
  <c r="F20"/>
  <c r="H20"/>
  <c r="M20"/>
  <c r="O20"/>
  <c r="Q20"/>
  <c r="R20"/>
  <c r="W20"/>
  <c r="X20"/>
  <c r="AC20" s="1"/>
  <c r="D21"/>
  <c r="F21"/>
  <c r="H21"/>
  <c r="M21"/>
  <c r="O21"/>
  <c r="Q21"/>
  <c r="R21"/>
  <c r="W21"/>
  <c r="X21"/>
  <c r="AD21" s="1"/>
  <c r="D22"/>
  <c r="F22"/>
  <c r="H22"/>
  <c r="M22"/>
  <c r="O22"/>
  <c r="Q22"/>
  <c r="R22"/>
  <c r="W22"/>
  <c r="X22"/>
  <c r="AC22"/>
  <c r="P23"/>
  <c r="Q23" s="1"/>
  <c r="AD23"/>
  <c r="D24"/>
  <c r="F24"/>
  <c r="H24"/>
  <c r="M24"/>
  <c r="O24"/>
  <c r="Q24"/>
  <c r="R24"/>
  <c r="W24"/>
  <c r="X24"/>
  <c r="AC24"/>
  <c r="B25"/>
  <c r="C25"/>
  <c r="G25"/>
  <c r="J25"/>
  <c r="J45" s="1"/>
  <c r="K25"/>
  <c r="L25"/>
  <c r="N25"/>
  <c r="N45" s="1"/>
  <c r="N46" s="1"/>
  <c r="S25"/>
  <c r="T25"/>
  <c r="U25"/>
  <c r="V25"/>
  <c r="AB25"/>
  <c r="D26"/>
  <c r="F26"/>
  <c r="H26"/>
  <c r="M26"/>
  <c r="O26"/>
  <c r="Q26"/>
  <c r="R26"/>
  <c r="W26"/>
  <c r="X26"/>
  <c r="AC26"/>
  <c r="AI26" s="1"/>
  <c r="D27"/>
  <c r="F27"/>
  <c r="H27"/>
  <c r="M27"/>
  <c r="O27"/>
  <c r="Q27"/>
  <c r="R27"/>
  <c r="W27"/>
  <c r="X27"/>
  <c r="AC27"/>
  <c r="AI27" s="1"/>
  <c r="D28"/>
  <c r="F28"/>
  <c r="H28"/>
  <c r="M28"/>
  <c r="O28"/>
  <c r="Q28"/>
  <c r="R28"/>
  <c r="W28"/>
  <c r="X28"/>
  <c r="D29"/>
  <c r="F29"/>
  <c r="H29"/>
  <c r="I29"/>
  <c r="Q29" s="1"/>
  <c r="M29"/>
  <c r="R29"/>
  <c r="W29"/>
  <c r="X29"/>
  <c r="AC29"/>
  <c r="D30"/>
  <c r="F30"/>
  <c r="H30"/>
  <c r="M30"/>
  <c r="O30"/>
  <c r="Q30"/>
  <c r="R30"/>
  <c r="W30"/>
  <c r="X30"/>
  <c r="AC30"/>
  <c r="AI30" s="1"/>
  <c r="D31"/>
  <c r="F31"/>
  <c r="H31"/>
  <c r="M31"/>
  <c r="O31"/>
  <c r="Q31"/>
  <c r="R31"/>
  <c r="W31"/>
  <c r="X31"/>
  <c r="AC31" s="1"/>
  <c r="D32"/>
  <c r="F32"/>
  <c r="H32"/>
  <c r="M32"/>
  <c r="O32"/>
  <c r="Q32"/>
  <c r="R32"/>
  <c r="W32"/>
  <c r="X32"/>
  <c r="D33"/>
  <c r="F33"/>
  <c r="H33"/>
  <c r="M33"/>
  <c r="O33"/>
  <c r="Q33"/>
  <c r="R33"/>
  <c r="W33"/>
  <c r="X33"/>
  <c r="AC33"/>
  <c r="D34"/>
  <c r="F34"/>
  <c r="H34"/>
  <c r="M34"/>
  <c r="R34"/>
  <c r="X34"/>
  <c r="F35"/>
  <c r="H35"/>
  <c r="M35"/>
  <c r="R35"/>
  <c r="X35"/>
  <c r="D36"/>
  <c r="F36"/>
  <c r="H36"/>
  <c r="M36"/>
  <c r="R36"/>
  <c r="X36"/>
  <c r="F37"/>
  <c r="I37"/>
  <c r="M37"/>
  <c r="R37"/>
  <c r="X37"/>
  <c r="AC37"/>
  <c r="AI37" s="1"/>
  <c r="D38"/>
  <c r="F38"/>
  <c r="H38"/>
  <c r="M38"/>
  <c r="O38"/>
  <c r="Q38"/>
  <c r="R38"/>
  <c r="W38"/>
  <c r="X38"/>
  <c r="AC38" s="1"/>
  <c r="M39"/>
  <c r="O39"/>
  <c r="Q39"/>
  <c r="R39"/>
  <c r="W39"/>
  <c r="X39"/>
  <c r="AD39" s="1"/>
  <c r="D40"/>
  <c r="F40"/>
  <c r="H40"/>
  <c r="I40"/>
  <c r="O40" s="1"/>
  <c r="M40"/>
  <c r="R40"/>
  <c r="W40"/>
  <c r="X40"/>
  <c r="AC40"/>
  <c r="E41"/>
  <c r="E25" s="1"/>
  <c r="M41"/>
  <c r="O41"/>
  <c r="Q41"/>
  <c r="X41"/>
  <c r="M42"/>
  <c r="W42"/>
  <c r="X42"/>
  <c r="AC42" s="1"/>
  <c r="M43"/>
  <c r="X43"/>
  <c r="AC43"/>
  <c r="M44"/>
  <c r="P44"/>
  <c r="P25" s="1"/>
  <c r="B45"/>
  <c r="N47"/>
  <c r="N48"/>
  <c r="N49"/>
  <c r="D8" i="5"/>
  <c r="F8"/>
  <c r="H8"/>
  <c r="M8"/>
  <c r="O8"/>
  <c r="Q8"/>
  <c r="R8"/>
  <c r="V8"/>
  <c r="W8"/>
  <c r="AB8"/>
  <c r="D11"/>
  <c r="F11"/>
  <c r="H11"/>
  <c r="I11"/>
  <c r="M11"/>
  <c r="O11"/>
  <c r="R11"/>
  <c r="V11"/>
  <c r="E12"/>
  <c r="G12"/>
  <c r="J12"/>
  <c r="K12"/>
  <c r="L12"/>
  <c r="N12"/>
  <c r="P12"/>
  <c r="S12"/>
  <c r="T12"/>
  <c r="U12"/>
  <c r="X12"/>
  <c r="AA12" s="1"/>
  <c r="Y12"/>
  <c r="AB12" s="1"/>
  <c r="AH12" s="1"/>
  <c r="F13"/>
  <c r="H13"/>
  <c r="M13"/>
  <c r="O13"/>
  <c r="Q13"/>
  <c r="R13"/>
  <c r="V13"/>
  <c r="D14"/>
  <c r="F14"/>
  <c r="H14"/>
  <c r="M14"/>
  <c r="O14"/>
  <c r="Q14"/>
  <c r="R14"/>
  <c r="V14"/>
  <c r="W14"/>
  <c r="AB14"/>
  <c r="D15"/>
  <c r="F15"/>
  <c r="H15"/>
  <c r="M15"/>
  <c r="O15"/>
  <c r="Q15"/>
  <c r="R15"/>
  <c r="V15"/>
  <c r="W15"/>
  <c r="AB15"/>
  <c r="AH15" s="1"/>
  <c r="D16"/>
  <c r="F16"/>
  <c r="H16"/>
  <c r="M16"/>
  <c r="O16"/>
  <c r="Q16"/>
  <c r="R16"/>
  <c r="V16"/>
  <c r="W16"/>
  <c r="B17"/>
  <c r="C17"/>
  <c r="E17"/>
  <c r="G17"/>
  <c r="I17"/>
  <c r="J17"/>
  <c r="K17"/>
  <c r="L17"/>
  <c r="N17"/>
  <c r="P17"/>
  <c r="R17" s="1"/>
  <c r="S17"/>
  <c r="T17"/>
  <c r="U17"/>
  <c r="X17"/>
  <c r="Y17"/>
  <c r="AA17"/>
  <c r="D18"/>
  <c r="F18"/>
  <c r="H18"/>
  <c r="M18"/>
  <c r="O18"/>
  <c r="Q18"/>
  <c r="R18"/>
  <c r="V18"/>
  <c r="W18"/>
  <c r="D19"/>
  <c r="F19"/>
  <c r="H19"/>
  <c r="M19"/>
  <c r="O19"/>
  <c r="Q19"/>
  <c r="R19"/>
  <c r="V19"/>
  <c r="W19"/>
  <c r="AB19"/>
  <c r="AH19" s="1"/>
  <c r="D20"/>
  <c r="F20"/>
  <c r="H20"/>
  <c r="M20"/>
  <c r="O20"/>
  <c r="Q20"/>
  <c r="R20"/>
  <c r="V20"/>
  <c r="W20"/>
  <c r="AB20" s="1"/>
  <c r="AG20" s="1"/>
  <c r="D21"/>
  <c r="F21"/>
  <c r="H21"/>
  <c r="M21"/>
  <c r="O21"/>
  <c r="Q21"/>
  <c r="R21"/>
  <c r="V21"/>
  <c r="W21"/>
  <c r="AB21"/>
  <c r="AH21" s="1"/>
  <c r="D22"/>
  <c r="F22"/>
  <c r="H22"/>
  <c r="M22"/>
  <c r="Q22"/>
  <c r="W22"/>
  <c r="AB22"/>
  <c r="AH22" s="1"/>
  <c r="D23"/>
  <c r="F23"/>
  <c r="H23"/>
  <c r="M23"/>
  <c r="O23"/>
  <c r="Q23"/>
  <c r="R23"/>
  <c r="V23"/>
  <c r="W23"/>
  <c r="AC23" s="1"/>
  <c r="W24"/>
  <c r="AB24"/>
  <c r="AH24" s="1"/>
  <c r="D25"/>
  <c r="F25"/>
  <c r="H25"/>
  <c r="M25"/>
  <c r="O25"/>
  <c r="Q25"/>
  <c r="R25"/>
  <c r="V25"/>
  <c r="B26"/>
  <c r="C26"/>
  <c r="E26"/>
  <c r="G26"/>
  <c r="J26"/>
  <c r="L26"/>
  <c r="N26"/>
  <c r="P26"/>
  <c r="R26" s="1"/>
  <c r="S26"/>
  <c r="T26"/>
  <c r="D27"/>
  <c r="F27"/>
  <c r="H27"/>
  <c r="M27"/>
  <c r="O27"/>
  <c r="Q27"/>
  <c r="R27"/>
  <c r="V27"/>
  <c r="W27"/>
  <c r="D28"/>
  <c r="F28"/>
  <c r="H28"/>
  <c r="M28"/>
  <c r="O28"/>
  <c r="Q28"/>
  <c r="R28"/>
  <c r="V28"/>
  <c r="W28"/>
  <c r="AC28" s="1"/>
  <c r="D29"/>
  <c r="F29"/>
  <c r="H29"/>
  <c r="M29"/>
  <c r="Q29"/>
  <c r="V29"/>
  <c r="W29"/>
  <c r="AC29" s="1"/>
  <c r="D30"/>
  <c r="F30"/>
  <c r="H30"/>
  <c r="M30"/>
  <c r="O30"/>
  <c r="Q30"/>
  <c r="R30"/>
  <c r="V30"/>
  <c r="W30"/>
  <c r="AB30"/>
  <c r="AH30" s="1"/>
  <c r="D31"/>
  <c r="F31"/>
  <c r="H31"/>
  <c r="M31"/>
  <c r="O31"/>
  <c r="Q31"/>
  <c r="R31"/>
  <c r="V31"/>
  <c r="W31"/>
  <c r="AB31"/>
  <c r="AH31" s="1"/>
  <c r="D32"/>
  <c r="F32"/>
  <c r="H32"/>
  <c r="M32"/>
  <c r="O32"/>
  <c r="Q32"/>
  <c r="R32"/>
  <c r="V32"/>
  <c r="W32"/>
  <c r="D33"/>
  <c r="F33"/>
  <c r="H33"/>
  <c r="M33"/>
  <c r="O33"/>
  <c r="Q33"/>
  <c r="R33"/>
  <c r="V33"/>
  <c r="W33"/>
  <c r="AB33"/>
  <c r="AH33" s="1"/>
  <c r="D34"/>
  <c r="F34"/>
  <c r="H34"/>
  <c r="M34"/>
  <c r="O34"/>
  <c r="Q34"/>
  <c r="R34"/>
  <c r="V34"/>
  <c r="W34"/>
  <c r="AC34" s="1"/>
  <c r="D35"/>
  <c r="F35"/>
  <c r="H35"/>
  <c r="M35"/>
  <c r="O35"/>
  <c r="Q35"/>
  <c r="R35"/>
  <c r="V35"/>
  <c r="W35"/>
  <c r="AC35" s="1"/>
  <c r="D36"/>
  <c r="F36"/>
  <c r="H36"/>
  <c r="M36"/>
  <c r="O36"/>
  <c r="R36"/>
  <c r="W36"/>
  <c r="D38"/>
  <c r="F38"/>
  <c r="H38"/>
  <c r="M38"/>
  <c r="O38"/>
  <c r="Q38"/>
  <c r="R38"/>
  <c r="V38"/>
  <c r="W38"/>
  <c r="AB38" s="1"/>
  <c r="AH38" s="1"/>
  <c r="D39"/>
  <c r="F39"/>
  <c r="H39"/>
  <c r="M39"/>
  <c r="O39"/>
  <c r="Q39"/>
  <c r="R39"/>
  <c r="V39"/>
  <c r="W39"/>
  <c r="AB39" s="1"/>
  <c r="AH39" s="1"/>
  <c r="D40"/>
  <c r="F40"/>
  <c r="M40"/>
  <c r="Q40"/>
  <c r="R40"/>
  <c r="W40"/>
  <c r="I41"/>
  <c r="I26" s="1"/>
  <c r="R41"/>
  <c r="W41"/>
  <c r="K42"/>
  <c r="K26" s="1"/>
  <c r="R42"/>
  <c r="W42"/>
  <c r="U47"/>
  <c r="U48"/>
  <c r="U49"/>
  <c r="U50"/>
  <c r="B8" i="8"/>
  <c r="C8"/>
  <c r="L16"/>
  <c r="M16" s="1"/>
  <c r="T8"/>
  <c r="V8"/>
  <c r="AA8"/>
  <c r="D9"/>
  <c r="F9"/>
  <c r="H9"/>
  <c r="I9"/>
  <c r="O9" s="1"/>
  <c r="M9"/>
  <c r="AL9"/>
  <c r="D10"/>
  <c r="F10"/>
  <c r="H10"/>
  <c r="M10"/>
  <c r="O10"/>
  <c r="Q10"/>
  <c r="R10"/>
  <c r="BG10"/>
  <c r="BG20" s="1"/>
  <c r="BG32" s="1"/>
  <c r="BG35" s="1"/>
  <c r="AI11"/>
  <c r="AL11"/>
  <c r="D12"/>
  <c r="F12"/>
  <c r="H12"/>
  <c r="M12"/>
  <c r="O12"/>
  <c r="Q12"/>
  <c r="R12"/>
  <c r="Y12"/>
  <c r="Z12" s="1"/>
  <c r="AL12"/>
  <c r="BG12"/>
  <c r="BG22" s="1"/>
  <c r="BG28" s="1"/>
  <c r="BG37" s="1"/>
  <c r="D13"/>
  <c r="F13"/>
  <c r="H13"/>
  <c r="M13"/>
  <c r="O13"/>
  <c r="AL13"/>
  <c r="BG13"/>
  <c r="BG23" s="1"/>
  <c r="BG29" s="1"/>
  <c r="BG38" s="1"/>
  <c r="D14"/>
  <c r="F14"/>
  <c r="H14"/>
  <c r="I14"/>
  <c r="O14" s="1"/>
  <c r="M14"/>
  <c r="M15" s="1"/>
  <c r="S14"/>
  <c r="S15" s="1"/>
  <c r="S8" s="1"/>
  <c r="AL14"/>
  <c r="BG14"/>
  <c r="BG30"/>
  <c r="E15"/>
  <c r="E8" s="1"/>
  <c r="G15"/>
  <c r="G8" s="1"/>
  <c r="H8" s="1"/>
  <c r="J15"/>
  <c r="J8" s="1"/>
  <c r="K15"/>
  <c r="L15"/>
  <c r="N15"/>
  <c r="N8" s="1"/>
  <c r="U15"/>
  <c r="U8" s="1"/>
  <c r="W15"/>
  <c r="W8" s="1"/>
  <c r="D16"/>
  <c r="F16"/>
  <c r="H16"/>
  <c r="O16"/>
  <c r="P16"/>
  <c r="Q16" s="1"/>
  <c r="B17"/>
  <c r="D17" s="1"/>
  <c r="C17"/>
  <c r="U17"/>
  <c r="V17"/>
  <c r="W17"/>
  <c r="D18"/>
  <c r="F18"/>
  <c r="H18"/>
  <c r="M18"/>
  <c r="O18"/>
  <c r="P18"/>
  <c r="R18" s="1"/>
  <c r="BG18"/>
  <c r="D19"/>
  <c r="F19"/>
  <c r="H19"/>
  <c r="M19"/>
  <c r="O19"/>
  <c r="BG19"/>
  <c r="D20"/>
  <c r="F20"/>
  <c r="H20"/>
  <c r="M20"/>
  <c r="O20"/>
  <c r="Q20"/>
  <c r="R20"/>
  <c r="D21"/>
  <c r="F21"/>
  <c r="H21"/>
  <c r="T21"/>
  <c r="D22"/>
  <c r="F22"/>
  <c r="H22"/>
  <c r="M22"/>
  <c r="O22"/>
  <c r="Q22"/>
  <c r="R22"/>
  <c r="Y22"/>
  <c r="AF22" s="1"/>
  <c r="D23"/>
  <c r="F23"/>
  <c r="H23"/>
  <c r="M23"/>
  <c r="O23"/>
  <c r="D24"/>
  <c r="F24"/>
  <c r="H24"/>
  <c r="I24"/>
  <c r="O24" s="1"/>
  <c r="O25" s="1"/>
  <c r="M24"/>
  <c r="A25"/>
  <c r="A31" s="1"/>
  <c r="A40" s="1"/>
  <c r="E25"/>
  <c r="E17" s="1"/>
  <c r="G25"/>
  <c r="G17" s="1"/>
  <c r="J25"/>
  <c r="J17" s="1"/>
  <c r="K25"/>
  <c r="L25"/>
  <c r="L17" s="1"/>
  <c r="N25"/>
  <c r="N17" s="1"/>
  <c r="U25"/>
  <c r="W25"/>
  <c r="D26"/>
  <c r="F26"/>
  <c r="H26"/>
  <c r="M26"/>
  <c r="O26"/>
  <c r="P26"/>
  <c r="Q26" s="1"/>
  <c r="B27"/>
  <c r="C27"/>
  <c r="L33"/>
  <c r="M33" s="1"/>
  <c r="T27"/>
  <c r="V27"/>
  <c r="AA27"/>
  <c r="D28"/>
  <c r="F28"/>
  <c r="H28"/>
  <c r="M28"/>
  <c r="O28"/>
  <c r="Q28"/>
  <c r="R28"/>
  <c r="Y28"/>
  <c r="Z28" s="1"/>
  <c r="AL28"/>
  <c r="AN28" s="1"/>
  <c r="D29"/>
  <c r="F29"/>
  <c r="H29"/>
  <c r="M29"/>
  <c r="O29"/>
  <c r="AL29"/>
  <c r="D30"/>
  <c r="F30"/>
  <c r="H30"/>
  <c r="M30"/>
  <c r="O30"/>
  <c r="AL30"/>
  <c r="E31"/>
  <c r="E27"/>
  <c r="G31"/>
  <c r="G27"/>
  <c r="I31"/>
  <c r="I27"/>
  <c r="J31"/>
  <c r="J27"/>
  <c r="K31"/>
  <c r="L31"/>
  <c r="N31"/>
  <c r="N27"/>
  <c r="O27" s="1"/>
  <c r="S31"/>
  <c r="S27" s="1"/>
  <c r="U31"/>
  <c r="U27" s="1"/>
  <c r="W31"/>
  <c r="W27" s="1"/>
  <c r="D32"/>
  <c r="H32"/>
  <c r="M32"/>
  <c r="O32"/>
  <c r="Q32"/>
  <c r="R32"/>
  <c r="D33"/>
  <c r="F33"/>
  <c r="H33"/>
  <c r="O33"/>
  <c r="P33"/>
  <c r="Q33" s="1"/>
  <c r="B34"/>
  <c r="C34"/>
  <c r="C49" s="1"/>
  <c r="S34"/>
  <c r="T34"/>
  <c r="U34"/>
  <c r="V34"/>
  <c r="W34"/>
  <c r="AA34"/>
  <c r="D35"/>
  <c r="F35"/>
  <c r="G35"/>
  <c r="M35" s="1"/>
  <c r="N35"/>
  <c r="O35" s="1"/>
  <c r="Q35"/>
  <c r="R35"/>
  <c r="D36"/>
  <c r="F36"/>
  <c r="H36"/>
  <c r="R36"/>
  <c r="Z36"/>
  <c r="AI36"/>
  <c r="AM36"/>
  <c r="AO36" s="1"/>
  <c r="D37"/>
  <c r="F37"/>
  <c r="P37"/>
  <c r="Q37" s="1"/>
  <c r="D38"/>
  <c r="F38"/>
  <c r="H38"/>
  <c r="M38"/>
  <c r="N38"/>
  <c r="N39" s="1"/>
  <c r="N40" s="1"/>
  <c r="AL38"/>
  <c r="D39"/>
  <c r="F39"/>
  <c r="G39"/>
  <c r="H39" s="1"/>
  <c r="I39"/>
  <c r="I40" s="1"/>
  <c r="AL39"/>
  <c r="E40"/>
  <c r="E34" s="1"/>
  <c r="J40"/>
  <c r="J34" s="1"/>
  <c r="K40"/>
  <c r="L40"/>
  <c r="S40"/>
  <c r="U40"/>
  <c r="W40"/>
  <c r="D41"/>
  <c r="F41"/>
  <c r="L41"/>
  <c r="L34" s="1"/>
  <c r="M34" s="1"/>
  <c r="Q41"/>
  <c r="D42"/>
  <c r="F42"/>
  <c r="H42"/>
  <c r="L42"/>
  <c r="M42" s="1"/>
  <c r="O42"/>
  <c r="P42"/>
  <c r="Q42" s="1"/>
  <c r="S42"/>
  <c r="U42"/>
  <c r="W42"/>
  <c r="W85" s="1"/>
  <c r="W89" s="1"/>
  <c r="AA42"/>
  <c r="AA85" s="1"/>
  <c r="Y43"/>
  <c r="AF43" s="1"/>
  <c r="AL43"/>
  <c r="AI44"/>
  <c r="Z45"/>
  <c r="AI45"/>
  <c r="AL45"/>
  <c r="D46"/>
  <c r="F46"/>
  <c r="H46"/>
  <c r="M46"/>
  <c r="O46"/>
  <c r="Q46"/>
  <c r="R46"/>
  <c r="S46"/>
  <c r="Z46"/>
  <c r="Z86" s="1"/>
  <c r="AL46"/>
  <c r="W55"/>
  <c r="M56"/>
  <c r="P56"/>
  <c r="Q56" s="1"/>
  <c r="I57"/>
  <c r="M57"/>
  <c r="M58"/>
  <c r="P58"/>
  <c r="Q58" s="1"/>
  <c r="M59"/>
  <c r="P61"/>
  <c r="Z61"/>
  <c r="AO61"/>
  <c r="AO97" s="1"/>
  <c r="Z65"/>
  <c r="Z100" s="1"/>
  <c r="O110"/>
  <c r="O112" s="1"/>
  <c r="R110"/>
  <c r="R111"/>
  <c r="R112"/>
  <c r="X114"/>
  <c r="T127" s="1"/>
  <c r="Y115"/>
  <c r="Y117" s="1"/>
  <c r="BG115"/>
  <c r="T126"/>
  <c r="U126" s="1"/>
  <c r="Y126"/>
  <c r="E130"/>
  <c r="AH5" i="7"/>
  <c r="AL5"/>
  <c r="W7"/>
  <c r="X7"/>
  <c r="O8"/>
  <c r="D9"/>
  <c r="F9"/>
  <c r="H9"/>
  <c r="M9"/>
  <c r="N9"/>
  <c r="P9"/>
  <c r="Q9"/>
  <c r="Z9" s="1"/>
  <c r="D10"/>
  <c r="F10"/>
  <c r="H10"/>
  <c r="M10"/>
  <c r="N10"/>
  <c r="P10"/>
  <c r="R10"/>
  <c r="S10"/>
  <c r="Z10"/>
  <c r="AA10"/>
  <c r="S11"/>
  <c r="U11"/>
  <c r="AP11"/>
  <c r="AS11"/>
  <c r="D12"/>
  <c r="F12"/>
  <c r="H12"/>
  <c r="M12"/>
  <c r="N12"/>
  <c r="P12"/>
  <c r="R12"/>
  <c r="S12"/>
  <c r="Z12"/>
  <c r="AB12"/>
  <c r="AP12"/>
  <c r="D13"/>
  <c r="F13"/>
  <c r="H13"/>
  <c r="M13"/>
  <c r="N13"/>
  <c r="P13"/>
  <c r="D14"/>
  <c r="F14"/>
  <c r="H14"/>
  <c r="I14"/>
  <c r="M14" s="1"/>
  <c r="N14"/>
  <c r="E15"/>
  <c r="E8" s="1"/>
  <c r="G15"/>
  <c r="G8" s="1"/>
  <c r="J15"/>
  <c r="J8" s="1"/>
  <c r="K15"/>
  <c r="L15"/>
  <c r="L8" s="1"/>
  <c r="V15"/>
  <c r="V8" s="1"/>
  <c r="Y15"/>
  <c r="Y8" s="1"/>
  <c r="D16"/>
  <c r="F16"/>
  <c r="H16"/>
  <c r="M16"/>
  <c r="N16"/>
  <c r="P16"/>
  <c r="B17"/>
  <c r="C17"/>
  <c r="U17"/>
  <c r="AD17"/>
  <c r="AK17"/>
  <c r="AO17"/>
  <c r="D18"/>
  <c r="F18"/>
  <c r="H18"/>
  <c r="M18"/>
  <c r="N18"/>
  <c r="P18"/>
  <c r="BK18"/>
  <c r="D19"/>
  <c r="F19"/>
  <c r="H19"/>
  <c r="I19"/>
  <c r="M19" s="1"/>
  <c r="N19"/>
  <c r="D20"/>
  <c r="F20"/>
  <c r="H20"/>
  <c r="M20"/>
  <c r="N20"/>
  <c r="P20"/>
  <c r="R20"/>
  <c r="S20"/>
  <c r="T20"/>
  <c r="Z20"/>
  <c r="BK29"/>
  <c r="BK36" s="1"/>
  <c r="D21"/>
  <c r="F21"/>
  <c r="H21"/>
  <c r="S21"/>
  <c r="T21"/>
  <c r="AC21"/>
  <c r="AP21"/>
  <c r="AS21"/>
  <c r="AU21" s="1"/>
  <c r="AU17" s="1"/>
  <c r="AU51" s="1"/>
  <c r="AU62" s="1"/>
  <c r="D22"/>
  <c r="F22"/>
  <c r="H22"/>
  <c r="M22"/>
  <c r="N22"/>
  <c r="P22"/>
  <c r="R22"/>
  <c r="S22"/>
  <c r="T22"/>
  <c r="V22"/>
  <c r="AC22"/>
  <c r="AP22"/>
  <c r="AQ22" s="1"/>
  <c r="AR22" s="1"/>
  <c r="AS22" s="1"/>
  <c r="D23"/>
  <c r="F23"/>
  <c r="H23"/>
  <c r="M23"/>
  <c r="N23"/>
  <c r="P23"/>
  <c r="W23"/>
  <c r="W17" s="1"/>
  <c r="BK23"/>
  <c r="BK31" s="1"/>
  <c r="BK39" s="1"/>
  <c r="D24"/>
  <c r="F24"/>
  <c r="F25" s="1"/>
  <c r="H24"/>
  <c r="I24"/>
  <c r="M24" s="1"/>
  <c r="M25" s="1"/>
  <c r="N24"/>
  <c r="N25" s="1"/>
  <c r="A25"/>
  <c r="A41" s="1"/>
  <c r="E25"/>
  <c r="E17" s="1"/>
  <c r="G25"/>
  <c r="G17" s="1"/>
  <c r="J25"/>
  <c r="J17" s="1"/>
  <c r="K25"/>
  <c r="L25"/>
  <c r="L17" s="1"/>
  <c r="O25"/>
  <c r="V25"/>
  <c r="Y25"/>
  <c r="Y17" s="1"/>
  <c r="D26"/>
  <c r="F26"/>
  <c r="H26"/>
  <c r="M26"/>
  <c r="N26"/>
  <c r="P26"/>
  <c r="BK26"/>
  <c r="BK34" s="1"/>
  <c r="B27"/>
  <c r="C27"/>
  <c r="D28"/>
  <c r="F28"/>
  <c r="H28"/>
  <c r="M28"/>
  <c r="N28"/>
  <c r="P28"/>
  <c r="R28"/>
  <c r="S28"/>
  <c r="AA28"/>
  <c r="D29"/>
  <c r="F29"/>
  <c r="H29"/>
  <c r="M29"/>
  <c r="N29"/>
  <c r="P29"/>
  <c r="R29"/>
  <c r="S29"/>
  <c r="Z29"/>
  <c r="D30"/>
  <c r="H30"/>
  <c r="U30"/>
  <c r="AP30"/>
  <c r="AS30"/>
  <c r="D31"/>
  <c r="F31"/>
  <c r="H31"/>
  <c r="M31"/>
  <c r="N31"/>
  <c r="P31"/>
  <c r="D32"/>
  <c r="F32"/>
  <c r="H32"/>
  <c r="I32"/>
  <c r="I33" s="1"/>
  <c r="I27" s="1"/>
  <c r="N32"/>
  <c r="E33"/>
  <c r="E27" s="1"/>
  <c r="G33"/>
  <c r="G27" s="1"/>
  <c r="J33"/>
  <c r="J27" s="1"/>
  <c r="K33"/>
  <c r="L33"/>
  <c r="L27" s="1"/>
  <c r="O33"/>
  <c r="O27" s="1"/>
  <c r="V33"/>
  <c r="V27" s="1"/>
  <c r="Y33"/>
  <c r="Y27" s="1"/>
  <c r="D34"/>
  <c r="F34"/>
  <c r="H34"/>
  <c r="M34"/>
  <c r="N34"/>
  <c r="P34"/>
  <c r="B35"/>
  <c r="C35"/>
  <c r="AK35"/>
  <c r="D36"/>
  <c r="F36"/>
  <c r="H36"/>
  <c r="M36"/>
  <c r="N36"/>
  <c r="P36"/>
  <c r="R36"/>
  <c r="S36"/>
  <c r="Z36"/>
  <c r="D37"/>
  <c r="F37"/>
  <c r="H37"/>
  <c r="L37"/>
  <c r="U37"/>
  <c r="AP37"/>
  <c r="AS37"/>
  <c r="D38"/>
  <c r="F38"/>
  <c r="M38"/>
  <c r="R38"/>
  <c r="S38"/>
  <c r="W38"/>
  <c r="Z38"/>
  <c r="AB38"/>
  <c r="AP38"/>
  <c r="AQ38" s="1"/>
  <c r="D39"/>
  <c r="F39"/>
  <c r="H39"/>
  <c r="M39"/>
  <c r="N39"/>
  <c r="N41" s="1"/>
  <c r="D40"/>
  <c r="F40"/>
  <c r="G40"/>
  <c r="H40" s="1"/>
  <c r="I40"/>
  <c r="I41" s="1"/>
  <c r="I35" s="1"/>
  <c r="AJ40"/>
  <c r="AH40" s="1"/>
  <c r="E41"/>
  <c r="E35" s="1"/>
  <c r="J41"/>
  <c r="J35" s="1"/>
  <c r="K41"/>
  <c r="L41"/>
  <c r="V41"/>
  <c r="V35" s="1"/>
  <c r="Y41"/>
  <c r="Y35" s="1"/>
  <c r="D42"/>
  <c r="F42"/>
  <c r="M42"/>
  <c r="D43"/>
  <c r="F43"/>
  <c r="H43"/>
  <c r="I43"/>
  <c r="P43" s="1"/>
  <c r="N43"/>
  <c r="Q43"/>
  <c r="S43"/>
  <c r="W43"/>
  <c r="X43"/>
  <c r="Y43"/>
  <c r="AJ43"/>
  <c r="AJ120" s="1"/>
  <c r="AK43"/>
  <c r="AK120" s="1"/>
  <c r="AK124" s="1"/>
  <c r="M44"/>
  <c r="P44"/>
  <c r="R44"/>
  <c r="Z44"/>
  <c r="M45"/>
  <c r="P45"/>
  <c r="R45"/>
  <c r="Z45"/>
  <c r="AA45"/>
  <c r="M46"/>
  <c r="U46"/>
  <c r="AP46"/>
  <c r="AS46"/>
  <c r="V47"/>
  <c r="V43" s="1"/>
  <c r="Z47"/>
  <c r="AA47"/>
  <c r="AB47" s="1"/>
  <c r="AN47"/>
  <c r="AO47"/>
  <c r="D48"/>
  <c r="F48"/>
  <c r="H48"/>
  <c r="M48"/>
  <c r="N48"/>
  <c r="P48"/>
  <c r="AC48"/>
  <c r="AC121" s="1"/>
  <c r="AP48"/>
  <c r="T56"/>
  <c r="U56"/>
  <c r="X56"/>
  <c r="M58"/>
  <c r="Q58"/>
  <c r="AC58"/>
  <c r="AC61"/>
  <c r="AC134" s="1"/>
  <c r="Y58"/>
  <c r="Y131" s="1"/>
  <c r="G23" i="11"/>
  <c r="G19" s="1"/>
  <c r="F60" i="3"/>
  <c r="G42"/>
  <c r="F43"/>
  <c r="G43"/>
  <c r="H43"/>
  <c r="F47"/>
  <c r="M47" s="1"/>
  <c r="E49"/>
  <c r="H49"/>
  <c r="H44" s="1"/>
  <c r="H39" s="1"/>
  <c r="H40" s="1"/>
  <c r="J49"/>
  <c r="J44" s="1"/>
  <c r="F50"/>
  <c r="G50"/>
  <c r="G49" s="1"/>
  <c r="G44" s="1"/>
  <c r="F51"/>
  <c r="M51" s="1"/>
  <c r="F52"/>
  <c r="W52"/>
  <c r="G58"/>
  <c r="H58"/>
  <c r="J58"/>
  <c r="F59"/>
  <c r="AA74" i="7" s="1"/>
  <c r="K59" i="3"/>
  <c r="K60"/>
  <c r="E71" i="56" s="1"/>
  <c r="T32" i="17"/>
  <c r="V32" s="1"/>
  <c r="AP12"/>
  <c r="Q39" i="7" s="1"/>
  <c r="AO11" i="17"/>
  <c r="AO28"/>
  <c r="AM29"/>
  <c r="AM37" s="1"/>
  <c r="AP11"/>
  <c r="Q31" i="7" s="1"/>
  <c r="AO32" i="17"/>
  <c r="AA28"/>
  <c r="AA31"/>
  <c r="AB25"/>
  <c r="AB28"/>
  <c r="AN17"/>
  <c r="BA28"/>
  <c r="BP28" s="1"/>
  <c r="BA25"/>
  <c r="BP25" s="1"/>
  <c r="AO17"/>
  <c r="AN12"/>
  <c r="AN18"/>
  <c r="P32"/>
  <c r="AM21" i="8"/>
  <c r="AN21" s="1"/>
  <c r="AO21" s="1"/>
  <c r="AM44"/>
  <c r="AN44" s="1"/>
  <c r="AO44" s="1"/>
  <c r="AM59"/>
  <c r="X29" i="11"/>
  <c r="X33"/>
  <c r="X31"/>
  <c r="Y29"/>
  <c r="AC15" i="5"/>
  <c r="I25" i="8"/>
  <c r="I17"/>
  <c r="AQ12" i="7"/>
  <c r="AR12" s="1"/>
  <c r="AS12" s="1"/>
  <c r="O12" i="6"/>
  <c r="I13"/>
  <c r="H57" i="19"/>
  <c r="H58"/>
  <c r="B57"/>
  <c r="T17"/>
  <c r="S14"/>
  <c r="AC14" s="1"/>
  <c r="AR14" s="1"/>
  <c r="BG14" s="1"/>
  <c r="BG10" s="1"/>
  <c r="N11" i="21"/>
  <c r="P11" s="1"/>
  <c r="AO18" i="17"/>
  <c r="H29" i="19"/>
  <c r="N50" i="9"/>
  <c r="I56" i="7"/>
  <c r="M56" s="1"/>
  <c r="O18" i="6"/>
  <c r="N55" i="9"/>
  <c r="P27" i="10"/>
  <c r="W56" i="19"/>
  <c r="W57"/>
  <c r="W59"/>
  <c r="AC13"/>
  <c r="T30"/>
  <c r="T26"/>
  <c r="X12"/>
  <c r="AK25" i="9"/>
  <c r="AJ32" i="11"/>
  <c r="T60" i="19"/>
  <c r="V14"/>
  <c r="U14"/>
  <c r="X14"/>
  <c r="AM24" i="17"/>
  <c r="AM58" i="8"/>
  <c r="AM57"/>
  <c r="AV35" i="17"/>
  <c r="BH35" s="1"/>
  <c r="AO33"/>
  <c r="AJ17" i="7"/>
  <c r="I13" i="9"/>
  <c r="H9"/>
  <c r="BA26" i="17"/>
  <c r="BP26" s="1"/>
  <c r="Q23" i="11"/>
  <c r="Q19" s="1"/>
  <c r="M17" i="5"/>
  <c r="AE9" i="17"/>
  <c r="AH9"/>
  <c r="AI9" s="1"/>
  <c r="C45" i="6"/>
  <c r="BA33" i="17"/>
  <c r="BP33" s="1"/>
  <c r="AO16"/>
  <c r="T10" i="19"/>
  <c r="AY28" i="17"/>
  <c r="AO12"/>
  <c r="P28"/>
  <c r="T28"/>
  <c r="AT28" s="1"/>
  <c r="AJ8" i="7"/>
  <c r="Y31" i="11"/>
  <c r="H26" i="19"/>
  <c r="C26" i="21"/>
  <c r="I10"/>
  <c r="AG8" i="17"/>
  <c r="V28"/>
  <c r="BC28"/>
  <c r="AJ9"/>
  <c r="M30" i="21"/>
  <c r="N30" s="1"/>
  <c r="AO15" i="17"/>
  <c r="Q48" i="7"/>
  <c r="R48" s="1"/>
  <c r="M32"/>
  <c r="AM35" i="8"/>
  <c r="AO35" s="1"/>
  <c r="AI43"/>
  <c r="W12" i="6"/>
  <c r="I22" i="9"/>
  <c r="U57" i="19"/>
  <c r="V12"/>
  <c r="AM12" i="8"/>
  <c r="AO12" s="1"/>
  <c r="AM13"/>
  <c r="AP47" i="7"/>
  <c r="AQ47" s="1"/>
  <c r="X23"/>
  <c r="X17" s="1"/>
  <c r="M40"/>
  <c r="Q16" i="11"/>
  <c r="AM55" i="8"/>
  <c r="AM95" s="1"/>
  <c r="G40"/>
  <c r="AM38"/>
  <c r="AO38" s="1"/>
  <c r="AM32"/>
  <c r="AO32" s="1"/>
  <c r="AO28"/>
  <c r="AF12"/>
  <c r="AM29"/>
  <c r="AO29" s="1"/>
  <c r="AM9"/>
  <c r="AO9" s="1"/>
  <c r="AM43"/>
  <c r="AN43" s="1"/>
  <c r="AO43" s="1"/>
  <c r="AM31"/>
  <c r="AO31" s="1"/>
  <c r="AM30"/>
  <c r="AO30" s="1"/>
  <c r="AM39"/>
  <c r="AO39" s="1"/>
  <c r="AM40"/>
  <c r="AO40" s="1"/>
  <c r="AO16"/>
  <c r="AM46"/>
  <c r="AM10"/>
  <c r="Q93" i="7"/>
  <c r="L35"/>
  <c r="N35" s="1"/>
  <c r="AM45" i="8"/>
  <c r="AN45" s="1"/>
  <c r="AO45" s="1"/>
  <c r="AM41"/>
  <c r="AO41" s="1"/>
  <c r="AM34"/>
  <c r="AO34" s="1"/>
  <c r="AM27"/>
  <c r="AO27" s="1"/>
  <c r="AM33"/>
  <c r="AO33" s="1"/>
  <c r="AM15"/>
  <c r="AO15" s="1"/>
  <c r="AM14"/>
  <c r="AO14" s="1"/>
  <c r="AN25"/>
  <c r="AO25" s="1"/>
  <c r="AM8"/>
  <c r="AO8" s="1"/>
  <c r="AM60"/>
  <c r="AN60" s="1"/>
  <c r="AM63"/>
  <c r="AN63" s="1"/>
  <c r="AO63" s="1"/>
  <c r="AE60"/>
  <c r="Z121"/>
  <c r="AB48" i="7"/>
  <c r="AB121" s="1"/>
  <c r="AX32" i="17"/>
  <c r="AV29"/>
  <c r="BH29" s="1"/>
  <c r="AM9"/>
  <c r="T25" s="1"/>
  <c r="BD14"/>
  <c r="Y42" i="11"/>
  <c r="Y45" s="1"/>
  <c r="N42"/>
  <c r="O45"/>
  <c r="Y19" i="8" s="1"/>
  <c r="Y83" s="1"/>
  <c r="AF83" s="1"/>
  <c r="AK9" i="11"/>
  <c r="M55"/>
  <c r="AN32" s="1"/>
  <c r="O15"/>
  <c r="P22" i="10"/>
  <c r="AN20" i="7"/>
  <c r="N15" i="10"/>
  <c r="AK26" i="9"/>
  <c r="AN55" i="8" l="1"/>
  <c r="BH123" i="7"/>
  <c r="D22" i="89"/>
  <c r="D20" i="86" s="1"/>
  <c r="AL134" i="7"/>
  <c r="BH134" s="1"/>
  <c r="D26" i="89"/>
  <c r="D25" s="1"/>
  <c r="BH10" i="19"/>
  <c r="BI10"/>
  <c r="P36" i="95"/>
  <c r="R35"/>
  <c r="R36" s="1"/>
  <c r="O14" i="17"/>
  <c r="N14" s="1"/>
  <c r="AY14"/>
  <c r="AV8"/>
  <c r="Z8"/>
  <c r="BB8"/>
  <c r="D34" i="87"/>
  <c r="D40" i="90"/>
  <c r="D35" i="87"/>
  <c r="R33" i="9"/>
  <c r="AK13"/>
  <c r="R31"/>
  <c r="Z14" s="1"/>
  <c r="R39" i="7"/>
  <c r="Z39"/>
  <c r="AH20" i="5"/>
  <c r="AG17"/>
  <c r="AH21" i="6"/>
  <c r="AI21" s="1"/>
  <c r="P24" i="9"/>
  <c r="P25" s="1"/>
  <c r="P24" i="72"/>
  <c r="BA56"/>
  <c r="BN51"/>
  <c r="BQ51" s="1"/>
  <c r="BS51"/>
  <c r="D27" i="7"/>
  <c r="W11" i="5"/>
  <c r="P13" i="6"/>
  <c r="W13" s="1"/>
  <c r="AA55" i="9"/>
  <c r="AH22"/>
  <c r="Q59" s="1"/>
  <c r="O17"/>
  <c r="B17"/>
  <c r="S22"/>
  <c r="N11" i="11"/>
  <c r="I9"/>
  <c r="AJ29"/>
  <c r="I7"/>
  <c r="N29" i="17"/>
  <c r="N37" s="1"/>
  <c r="AZ24"/>
  <c r="AF14"/>
  <c r="AC14" s="1"/>
  <c r="U14"/>
  <c r="T14" s="1"/>
  <c r="AD14" s="1"/>
  <c r="W28"/>
  <c r="BD8"/>
  <c r="N15" i="21"/>
  <c r="P15" s="1"/>
  <c r="I13"/>
  <c r="N12"/>
  <c r="K11"/>
  <c r="AA25" i="17"/>
  <c r="AO30"/>
  <c r="AH46" i="11"/>
  <c r="AJ60" i="72"/>
  <c r="AJ58" i="9"/>
  <c r="AJ59" s="1"/>
  <c r="AJ58" i="72"/>
  <c r="AJ59" s="1"/>
  <c r="AB24" i="9"/>
  <c r="AB15" s="1"/>
  <c r="Z15" s="1"/>
  <c r="AB24" i="72"/>
  <c r="K55" i="8"/>
  <c r="S24" i="72"/>
  <c r="J43" i="3"/>
  <c r="AJ56" i="72"/>
  <c r="AJ57" s="1"/>
  <c r="O10" i="70"/>
  <c r="AO31" i="17"/>
  <c r="Z32" i="8"/>
  <c r="H35"/>
  <c r="D14" i="10"/>
  <c r="L8" i="8"/>
  <c r="AF10"/>
  <c r="M43" i="7"/>
  <c r="V17"/>
  <c r="C51"/>
  <c r="P25" i="17"/>
  <c r="D9" i="10"/>
  <c r="F12" i="5"/>
  <c r="AG26"/>
  <c r="AC21"/>
  <c r="W17"/>
  <c r="Q17"/>
  <c r="D17"/>
  <c r="M26"/>
  <c r="D14" i="61"/>
  <c r="AS14" i="19"/>
  <c r="BH14" s="1"/>
  <c r="BJ14" s="1"/>
  <c r="AR10"/>
  <c r="BL10" s="1"/>
  <c r="T41"/>
  <c r="T40"/>
  <c r="W14"/>
  <c r="AD14" s="1"/>
  <c r="AF14" s="1"/>
  <c r="U58"/>
  <c r="R26" i="8"/>
  <c r="D71" i="56"/>
  <c r="C71" s="1"/>
  <c r="B23" i="63"/>
  <c r="G55" i="8"/>
  <c r="M55" s="1"/>
  <c r="AF35"/>
  <c r="S39" i="7"/>
  <c r="F31" i="8"/>
  <c r="M31"/>
  <c r="C15" i="10"/>
  <c r="D11"/>
  <c r="O31" i="8"/>
  <c r="F25"/>
  <c r="F17" s="1"/>
  <c r="AI45" i="7"/>
  <c r="AH114"/>
  <c r="AH119"/>
  <c r="AH33"/>
  <c r="AO10" i="17"/>
  <c r="W15" i="11"/>
  <c r="B15" i="10"/>
  <c r="Y114" i="8"/>
  <c r="Y116" s="1"/>
  <c r="BG114"/>
  <c r="BG116" s="1"/>
  <c r="X116"/>
  <c r="D12" i="10"/>
  <c r="D13"/>
  <c r="Q10" i="11"/>
  <c r="Q8"/>
  <c r="Q11"/>
  <c r="Q9"/>
  <c r="Q7"/>
  <c r="AD12" i="19"/>
  <c r="AE12"/>
  <c r="AV12" s="1"/>
  <c r="I31" i="21"/>
  <c r="P31" s="1"/>
  <c r="D17" i="7"/>
  <c r="AO24" i="17"/>
  <c r="AM36"/>
  <c r="O13" i="6"/>
  <c r="BX28" i="17"/>
  <c r="BR28"/>
  <c r="BL28"/>
  <c r="U32"/>
  <c r="Y29" i="8" s="1"/>
  <c r="Z29" s="1"/>
  <c r="AT32" i="17"/>
  <c r="P27" i="7"/>
  <c r="P31" i="17"/>
  <c r="I31" i="10"/>
  <c r="Y35" i="17"/>
  <c r="AN10"/>
  <c r="AO9"/>
  <c r="R41" i="8"/>
  <c r="AF28"/>
  <c r="Z22"/>
  <c r="AM22" s="1"/>
  <c r="AN22" s="1"/>
  <c r="AN80" s="1"/>
  <c r="G41" i="7"/>
  <c r="M62" i="9"/>
  <c r="V62" s="1"/>
  <c r="V49" i="19"/>
  <c r="Y65" i="8"/>
  <c r="AX28" i="17"/>
  <c r="I26" i="9"/>
  <c r="N14" i="21"/>
  <c r="P14" s="1"/>
  <c r="BX33" i="17"/>
  <c r="BR33"/>
  <c r="BL33"/>
  <c r="O38" i="8"/>
  <c r="AA26" i="17"/>
  <c r="C55" i="8"/>
  <c r="C60" s="1"/>
  <c r="I12" i="21"/>
  <c r="P12" s="1"/>
  <c r="O25" i="10"/>
  <c r="W25" s="1"/>
  <c r="AC8" i="19"/>
  <c r="AE8" s="1"/>
  <c r="AQ8" s="1"/>
  <c r="L13" i="21"/>
  <c r="G29" s="1"/>
  <c r="L29" s="1"/>
  <c r="B58" i="19"/>
  <c r="P21" i="10"/>
  <c r="Q31" i="11"/>
  <c r="BA27" i="17"/>
  <c r="BP27" s="1"/>
  <c r="F81" i="56"/>
  <c r="F83" s="1"/>
  <c r="K71"/>
  <c r="F73"/>
  <c r="K56" i="7"/>
  <c r="F33"/>
  <c r="F15"/>
  <c r="F8" s="1"/>
  <c r="F40" i="8"/>
  <c r="F34" s="1"/>
  <c r="M25"/>
  <c r="H12" i="5"/>
  <c r="AD32" i="6"/>
  <c r="M51" i="9"/>
  <c r="AI20" i="8"/>
  <c r="AJ20" s="1"/>
  <c r="W27" i="10"/>
  <c r="H15"/>
  <c r="N9" i="11"/>
  <c r="I8"/>
  <c r="W27" i="17"/>
  <c r="AT27"/>
  <c r="AV24"/>
  <c r="AV14"/>
  <c r="Z14"/>
  <c r="AE14" s="1"/>
  <c r="AY8"/>
  <c r="W8"/>
  <c r="K15" i="21"/>
  <c r="E13"/>
  <c r="E30"/>
  <c r="U84" i="7"/>
  <c r="AH116"/>
  <c r="AI29"/>
  <c r="AK51"/>
  <c r="AK57" s="1"/>
  <c r="BX25" i="17"/>
  <c r="BR25"/>
  <c r="BL25"/>
  <c r="J71" i="56"/>
  <c r="J81" s="1"/>
  <c r="J83" s="1"/>
  <c r="E81"/>
  <c r="E83" s="1"/>
  <c r="E73"/>
  <c r="AI35" i="8"/>
  <c r="AJ35" s="1"/>
  <c r="W29" i="10"/>
  <c r="BA31" i="17"/>
  <c r="BP31" s="1"/>
  <c r="BH31"/>
  <c r="AR56" i="7"/>
  <c r="P32"/>
  <c r="P33" s="1"/>
  <c r="AP16" i="17"/>
  <c r="P23" i="8" s="1"/>
  <c r="C28" i="21"/>
  <c r="E28" s="1"/>
  <c r="H13" i="9"/>
  <c r="F9" i="10"/>
  <c r="F10" s="1"/>
  <c r="AI10" i="8"/>
  <c r="AK10" s="1"/>
  <c r="W26" i="10"/>
  <c r="AO42" i="11"/>
  <c r="BE42"/>
  <c r="BK42"/>
  <c r="AJ31"/>
  <c r="BA32" i="17"/>
  <c r="BP32" s="1"/>
  <c r="BH32"/>
  <c r="AY30"/>
  <c r="BH30"/>
  <c r="Q8"/>
  <c r="K31" i="21"/>
  <c r="AO32" i="11"/>
  <c r="BK32"/>
  <c r="BE32"/>
  <c r="AD10" i="17"/>
  <c r="AA61" i="7"/>
  <c r="AP61" s="1"/>
  <c r="AQ61" s="1"/>
  <c r="Y42" i="8"/>
  <c r="G28" i="21"/>
  <c r="L28" s="1"/>
  <c r="AC37" i="19"/>
  <c r="AE37" s="1"/>
  <c r="AQ37" s="1"/>
  <c r="BA30" i="17"/>
  <c r="BP30" s="1"/>
  <c r="AY27"/>
  <c r="I34" i="8"/>
  <c r="O34" s="1"/>
  <c r="AD15" i="17"/>
  <c r="BX26"/>
  <c r="BR26"/>
  <c r="BL26"/>
  <c r="O30" i="10"/>
  <c r="C29" i="21"/>
  <c r="H56" i="19"/>
  <c r="Q12" i="6"/>
  <c r="Q13" s="1"/>
  <c r="M10" i="21"/>
  <c r="N10" s="1"/>
  <c r="P10" s="1"/>
  <c r="N33" i="7"/>
  <c r="F27"/>
  <c r="H8"/>
  <c r="O15" i="8"/>
  <c r="T45" i="6"/>
  <c r="AI32" i="8"/>
  <c r="AK32" s="1"/>
  <c r="W28" i="10"/>
  <c r="G9" i="33"/>
  <c r="I9" s="1"/>
  <c r="P33" i="17"/>
  <c r="H24"/>
  <c r="M56" i="11"/>
  <c r="AN31" s="1"/>
  <c r="AH113" i="7"/>
  <c r="BA61" i="9"/>
  <c r="AG42" i="6"/>
  <c r="AH42" s="1"/>
  <c r="AI42"/>
  <c r="AG40"/>
  <c r="AI40"/>
  <c r="AD31"/>
  <c r="AI31"/>
  <c r="AG31"/>
  <c r="AD20"/>
  <c r="AG20"/>
  <c r="AI20"/>
  <c r="AG14"/>
  <c r="AH14" s="1"/>
  <c r="AI14"/>
  <c r="AI43"/>
  <c r="AG43"/>
  <c r="AD38"/>
  <c r="AG38"/>
  <c r="AI38"/>
  <c r="AI33"/>
  <c r="AG33"/>
  <c r="AH33" s="1"/>
  <c r="AI29"/>
  <c r="AG29"/>
  <c r="AH29" s="1"/>
  <c r="D16" i="65" s="1"/>
  <c r="E16" s="1"/>
  <c r="F16" s="1"/>
  <c r="AG24" i="6"/>
  <c r="AH24" s="1"/>
  <c r="AI24" s="1"/>
  <c r="AG22"/>
  <c r="AH22" s="1"/>
  <c r="AI22" s="1"/>
  <c r="AG16"/>
  <c r="AI16"/>
  <c r="AG15"/>
  <c r="AI15"/>
  <c r="AG9"/>
  <c r="AG12" s="1"/>
  <c r="AI9"/>
  <c r="AG28"/>
  <c r="AI28"/>
  <c r="AB11" i="5"/>
  <c r="AH11" s="1"/>
  <c r="AF8"/>
  <c r="AH8"/>
  <c r="AF41"/>
  <c r="AC38"/>
  <c r="AF30"/>
  <c r="AF22"/>
  <c r="AF19"/>
  <c r="AF15"/>
  <c r="AF14"/>
  <c r="AF32"/>
  <c r="BB86" i="8"/>
  <c r="AP9" i="17"/>
  <c r="Q13" i="7" s="1"/>
  <c r="Z13" s="1"/>
  <c r="AN9" i="17"/>
  <c r="Z48" i="7"/>
  <c r="AH15"/>
  <c r="Z58"/>
  <c r="M41"/>
  <c r="AH8"/>
  <c r="M9" i="21"/>
  <c r="N9" s="1"/>
  <c r="P9" s="1"/>
  <c r="I25" i="7"/>
  <c r="M25" i="21"/>
  <c r="M29" s="1"/>
  <c r="N29" s="1"/>
  <c r="D27" i="8"/>
  <c r="H17"/>
  <c r="AN46"/>
  <c r="AM86"/>
  <c r="AO55"/>
  <c r="AO95" s="1"/>
  <c r="AN95"/>
  <c r="AF42"/>
  <c r="Y85"/>
  <c r="AF85" s="1"/>
  <c r="AO13"/>
  <c r="BD43"/>
  <c r="AZ43"/>
  <c r="W95"/>
  <c r="W96" s="1"/>
  <c r="AL86"/>
  <c r="W98"/>
  <c r="AL80"/>
  <c r="AI100"/>
  <c r="D26" i="90" s="1"/>
  <c r="BD65" i="8"/>
  <c r="AI88"/>
  <c r="D22" i="90" s="1"/>
  <c r="D20" i="88" s="1"/>
  <c r="BD48" i="8"/>
  <c r="AZ48"/>
  <c r="AO60"/>
  <c r="Z80"/>
  <c r="AK45"/>
  <c r="O17"/>
  <c r="F15"/>
  <c r="F8" s="1"/>
  <c r="H15"/>
  <c r="V49"/>
  <c r="D8"/>
  <c r="AO10"/>
  <c r="Y61"/>
  <c r="Y97" s="1"/>
  <c r="AF97" s="1"/>
  <c r="Z97"/>
  <c r="BD45"/>
  <c r="BA42"/>
  <c r="BA85" s="1"/>
  <c r="AL79"/>
  <c r="E116"/>
  <c r="E118" s="1"/>
  <c r="AA95"/>
  <c r="AG66"/>
  <c r="AG100"/>
  <c r="AG101" s="1"/>
  <c r="AG102" s="1"/>
  <c r="BB30"/>
  <c r="F27"/>
  <c r="Y80"/>
  <c r="AF80" s="1"/>
  <c r="Y79"/>
  <c r="AF79" s="1"/>
  <c r="AN56"/>
  <c r="AO56" s="1"/>
  <c r="AH67"/>
  <c r="AZ10"/>
  <c r="AA134" i="7"/>
  <c r="AM134" s="1"/>
  <c r="AA58"/>
  <c r="AA131" s="1"/>
  <c r="AI131" s="1"/>
  <c r="AC131"/>
  <c r="AJ35"/>
  <c r="AJ117"/>
  <c r="AJ124" s="1"/>
  <c r="AB10"/>
  <c r="AA114"/>
  <c r="BD134"/>
  <c r="AB115"/>
  <c r="AH117"/>
  <c r="AK132"/>
  <c r="AK130"/>
  <c r="AP28"/>
  <c r="AA115"/>
  <c r="AI115" s="1"/>
  <c r="AO129"/>
  <c r="AI48"/>
  <c r="AH121"/>
  <c r="AI121" s="1"/>
  <c r="AH129"/>
  <c r="AM123"/>
  <c r="BD123"/>
  <c r="AI134"/>
  <c r="R43"/>
  <c r="N17"/>
  <c r="B51"/>
  <c r="AH27"/>
  <c r="H27"/>
  <c r="Z43"/>
  <c r="Y120"/>
  <c r="Y124" s="1"/>
  <c r="S48"/>
  <c r="AB45"/>
  <c r="I17"/>
  <c r="AI47"/>
  <c r="AP45"/>
  <c r="AB29"/>
  <c r="C10" i="10"/>
  <c r="AH17" i="7"/>
  <c r="U8" i="17"/>
  <c r="T8" s="1"/>
  <c r="P24" i="7"/>
  <c r="P25" s="1"/>
  <c r="H41"/>
  <c r="D35"/>
  <c r="BH50"/>
  <c r="BD50"/>
  <c r="BD61"/>
  <c r="BH61"/>
  <c r="BK42"/>
  <c r="BG16" i="8"/>
  <c r="BG26" s="1"/>
  <c r="BG33" s="1"/>
  <c r="AQ48" i="7"/>
  <c r="F41"/>
  <c r="M8"/>
  <c r="N8"/>
  <c r="D6" i="10"/>
  <c r="AX25" i="17"/>
  <c r="AT25"/>
  <c r="R31" i="7"/>
  <c r="Z31"/>
  <c r="S31"/>
  <c r="O40"/>
  <c r="P39"/>
  <c r="U28" i="17"/>
  <c r="AA39" i="7" s="1"/>
  <c r="AA40" s="1"/>
  <c r="AP40" s="1"/>
  <c r="BB27" i="17"/>
  <c r="BB26"/>
  <c r="AN23" i="7" s="1"/>
  <c r="BB25" i="17"/>
  <c r="S24"/>
  <c r="O8"/>
  <c r="N8" s="1"/>
  <c r="AY26"/>
  <c r="AY25"/>
  <c r="AF8"/>
  <c r="AC8" s="1"/>
  <c r="AE8" s="1"/>
  <c r="BB33"/>
  <c r="AI38" i="8" s="1"/>
  <c r="AK38" s="1"/>
  <c r="AZ29" i="17"/>
  <c r="H29"/>
  <c r="W14"/>
  <c r="AA30"/>
  <c r="AA32"/>
  <c r="AO25"/>
  <c r="AO27"/>
  <c r="V25"/>
  <c r="W25"/>
  <c r="S13" i="7"/>
  <c r="BC25" i="17"/>
  <c r="AC27" i="5"/>
  <c r="W26"/>
  <c r="AB26"/>
  <c r="V26"/>
  <c r="Y45"/>
  <c r="U45"/>
  <c r="U54" s="1"/>
  <c r="AA54" s="1"/>
  <c r="S45"/>
  <c r="S46" s="1"/>
  <c r="N45"/>
  <c r="N46" s="1"/>
  <c r="K45"/>
  <c r="K46" s="1"/>
  <c r="E45"/>
  <c r="B45"/>
  <c r="I12"/>
  <c r="I45"/>
  <c r="AA45"/>
  <c r="AA46" s="1"/>
  <c r="X45"/>
  <c r="X46" s="1"/>
  <c r="T45"/>
  <c r="T46" s="1"/>
  <c r="P45"/>
  <c r="P47" s="1"/>
  <c r="Q16" i="7" s="1"/>
  <c r="S16" s="1"/>
  <c r="L45" i="5"/>
  <c r="J45"/>
  <c r="G45"/>
  <c r="C45"/>
  <c r="V17"/>
  <c r="AC8"/>
  <c r="F26"/>
  <c r="F17"/>
  <c r="H17"/>
  <c r="AC18"/>
  <c r="AC16"/>
  <c r="K55" i="9"/>
  <c r="Y127" i="8"/>
  <c r="Q32" i="11"/>
  <c r="Y32"/>
  <c r="W39"/>
  <c r="M54"/>
  <c r="AN33" s="1"/>
  <c r="AN56" i="9"/>
  <c r="BA56" s="1"/>
  <c r="W39" i="3"/>
  <c r="W61"/>
  <c r="W60"/>
  <c r="W59"/>
  <c r="W50"/>
  <c r="S39" i="11"/>
  <c r="J39"/>
  <c r="AB15"/>
  <c r="O19" i="7" s="1"/>
  <c r="O17" s="1"/>
  <c r="O51" s="1"/>
  <c r="S15" i="11"/>
  <c r="AO31"/>
  <c r="M53"/>
  <c r="AN29" s="1"/>
  <c r="S45"/>
  <c r="I10"/>
  <c r="F30" i="10"/>
  <c r="E31"/>
  <c r="F31" s="1"/>
  <c r="P23"/>
  <c r="D7"/>
  <c r="G25"/>
  <c r="P25" s="1"/>
  <c r="H10"/>
  <c r="X15"/>
  <c r="X10"/>
  <c r="Q13" i="11"/>
  <c r="AD40" i="19"/>
  <c r="AP40" s="1"/>
  <c r="AE40"/>
  <c r="AQ40" s="1"/>
  <c r="AD38"/>
  <c r="AP38" s="1"/>
  <c r="AE38"/>
  <c r="AQ38" s="1"/>
  <c r="AE35"/>
  <c r="AQ35" s="1"/>
  <c r="AD35"/>
  <c r="AP35" s="1"/>
  <c r="AE29"/>
  <c r="AQ29" s="1"/>
  <c r="AD29"/>
  <c r="AP29" s="1"/>
  <c r="AD26"/>
  <c r="AP26" s="1"/>
  <c r="AE26"/>
  <c r="AQ26" s="1"/>
  <c r="AE23"/>
  <c r="AQ23" s="1"/>
  <c r="AD23"/>
  <c r="AP23" s="1"/>
  <c r="AE17"/>
  <c r="AQ17" s="1"/>
  <c r="AD17"/>
  <c r="AP17" s="1"/>
  <c r="AE15"/>
  <c r="AQ15" s="1"/>
  <c r="AD15"/>
  <c r="AP15" s="1"/>
  <c r="AE9"/>
  <c r="AQ9" s="1"/>
  <c r="AD9"/>
  <c r="AP9" s="1"/>
  <c r="AD37"/>
  <c r="AP37" s="1"/>
  <c r="AE41"/>
  <c r="AQ41" s="1"/>
  <c r="AD41"/>
  <c r="AP41" s="1"/>
  <c r="AD8"/>
  <c r="AP8" s="1"/>
  <c r="AD13"/>
  <c r="AP13" s="1"/>
  <c r="AE13"/>
  <c r="AQ13" s="1"/>
  <c r="AD36"/>
  <c r="AP36" s="1"/>
  <c r="AE36"/>
  <c r="AQ36" s="1"/>
  <c r="AD34"/>
  <c r="AP34" s="1"/>
  <c r="AE34"/>
  <c r="AQ34" s="1"/>
  <c r="AD32"/>
  <c r="AP32" s="1"/>
  <c r="AE32"/>
  <c r="AQ32" s="1"/>
  <c r="AD30"/>
  <c r="AP30" s="1"/>
  <c r="AE30"/>
  <c r="AQ30" s="1"/>
  <c r="AD28"/>
  <c r="AP28" s="1"/>
  <c r="AE28"/>
  <c r="AQ28" s="1"/>
  <c r="AE25"/>
  <c r="AQ25" s="1"/>
  <c r="AD25"/>
  <c r="AP25" s="1"/>
  <c r="AD24"/>
  <c r="AE24"/>
  <c r="AD22"/>
  <c r="AP22" s="1"/>
  <c r="AE22"/>
  <c r="AQ22" s="1"/>
  <c r="AD18"/>
  <c r="AP18" s="1"/>
  <c r="AE18"/>
  <c r="AQ18" s="1"/>
  <c r="AD16"/>
  <c r="AP16" s="1"/>
  <c r="AE16"/>
  <c r="AQ16" s="1"/>
  <c r="AE27"/>
  <c r="AQ27" s="1"/>
  <c r="AD27"/>
  <c r="AP27" s="1"/>
  <c r="AA59"/>
  <c r="AA56"/>
  <c r="AA57"/>
  <c r="S11"/>
  <c r="S49" s="1"/>
  <c r="D36"/>
  <c r="H15"/>
  <c r="Q57"/>
  <c r="Y57" s="1"/>
  <c r="X16" s="1"/>
  <c r="Q59"/>
  <c r="Y59" s="1"/>
  <c r="Q56"/>
  <c r="Y56" s="1"/>
  <c r="W21" s="1"/>
  <c r="Q58"/>
  <c r="G49"/>
  <c r="M29"/>
  <c r="AC10"/>
  <c r="AC11" s="1"/>
  <c r="D49"/>
  <c r="F49"/>
  <c r="Z49"/>
  <c r="F25" i="6"/>
  <c r="R18"/>
  <c r="K45"/>
  <c r="K46" s="1"/>
  <c r="AD9"/>
  <c r="AD28"/>
  <c r="Y13" i="9"/>
  <c r="AI42" i="8"/>
  <c r="AK43"/>
  <c r="R23" i="7"/>
  <c r="T23"/>
  <c r="AL20"/>
  <c r="Q29" i="8"/>
  <c r="R29"/>
  <c r="R31" s="1"/>
  <c r="AV37" i="17"/>
  <c r="BH37" s="1"/>
  <c r="AK59" i="7"/>
  <c r="AK60"/>
  <c r="AK62"/>
  <c r="AE14" i="19"/>
  <c r="W8"/>
  <c r="W42"/>
  <c r="W20"/>
  <c r="W39"/>
  <c r="W19"/>
  <c r="W18"/>
  <c r="W44"/>
  <c r="AP36" i="7"/>
  <c r="AI36"/>
  <c r="AB36"/>
  <c r="AP20"/>
  <c r="AB20"/>
  <c r="AC20"/>
  <c r="V31" i="17"/>
  <c r="BC31"/>
  <c r="U31"/>
  <c r="Y23" i="8" s="1"/>
  <c r="AX31" i="17"/>
  <c r="P31" i="8"/>
  <c r="P27" s="1"/>
  <c r="P34"/>
  <c r="AJ43"/>
  <c r="X44" i="19"/>
  <c r="H17" i="7"/>
  <c r="N49" i="8"/>
  <c r="AK9" i="17"/>
  <c r="X40" i="19"/>
  <c r="X25"/>
  <c r="BB32" i="17"/>
  <c r="R38" i="8"/>
  <c r="R40" s="1"/>
  <c r="Q38"/>
  <c r="T30" i="17"/>
  <c r="AT30" s="1"/>
  <c r="AP15"/>
  <c r="P30"/>
  <c r="T38" i="19"/>
  <c r="W38"/>
  <c r="M27" i="21"/>
  <c r="N27" s="1"/>
  <c r="I27"/>
  <c r="P26" i="17"/>
  <c r="T26"/>
  <c r="AT26" s="1"/>
  <c r="K13" i="21"/>
  <c r="I30"/>
  <c r="P30" s="1"/>
  <c r="J51" i="7"/>
  <c r="O8" i="8"/>
  <c r="M52" i="11"/>
  <c r="AA15" i="9"/>
  <c r="AN59" i="8"/>
  <c r="AO59" s="1"/>
  <c r="AN58"/>
  <c r="AO58" s="1"/>
  <c r="Y51" i="7"/>
  <c r="Y59" s="1"/>
  <c r="E51"/>
  <c r="W49" i="8"/>
  <c r="W62" s="1"/>
  <c r="G49"/>
  <c r="N35" i="17"/>
  <c r="U25"/>
  <c r="AA13" i="7" s="1"/>
  <c r="AP13" s="1"/>
  <c r="R37" i="9"/>
  <c r="Y33" i="11"/>
  <c r="Y39" s="1"/>
  <c r="AK10"/>
  <c r="Q32" i="7"/>
  <c r="O39" i="8"/>
  <c r="AH10" i="17"/>
  <c r="Q40" i="7"/>
  <c r="AY32" i="17"/>
  <c r="AI28" i="7"/>
  <c r="H26" i="21"/>
  <c r="I26" s="1"/>
  <c r="K26" s="1"/>
  <c r="A33" i="7"/>
  <c r="D34" i="8"/>
  <c r="Z43"/>
  <c r="Z42" s="1"/>
  <c r="R42"/>
  <c r="B49"/>
  <c r="B60" s="1"/>
  <c r="R37"/>
  <c r="AI10" i="7"/>
  <c r="B10" i="10"/>
  <c r="F17" i="7"/>
  <c r="V27" i="17"/>
  <c r="M13" i="9"/>
  <c r="I15" i="8"/>
  <c r="I8" s="1"/>
  <c r="I49" s="1"/>
  <c r="I59" s="1"/>
  <c r="AP10" i="7"/>
  <c r="M33"/>
  <c r="W9" i="19"/>
  <c r="W35"/>
  <c r="E26" i="21"/>
  <c r="AX27" i="17"/>
  <c r="I15" i="7"/>
  <c r="I8" s="1"/>
  <c r="I51" s="1"/>
  <c r="P14"/>
  <c r="P8" s="1"/>
  <c r="W40" i="19"/>
  <c r="Y29" i="17"/>
  <c r="Y37" s="1"/>
  <c r="AN16"/>
  <c r="AY33"/>
  <c r="D45" i="6"/>
  <c r="M39" i="8"/>
  <c r="M40" s="1"/>
  <c r="AO26" i="17"/>
  <c r="D8" i="10"/>
  <c r="P24"/>
  <c r="P26"/>
  <c r="AC12" i="6"/>
  <c r="AI12" s="1"/>
  <c r="AN57" i="8"/>
  <c r="AO57" s="1"/>
  <c r="Q18"/>
  <c r="W12" i="19"/>
  <c r="T12"/>
  <c r="P29" i="10"/>
  <c r="T33" i="17"/>
  <c r="AT33" s="1"/>
  <c r="G30" i="10"/>
  <c r="P28"/>
  <c r="X18" i="6"/>
  <c r="Q33" i="11"/>
  <c r="O17" i="5"/>
  <c r="Q30" i="11"/>
  <c r="BB28" i="17"/>
  <c r="BB24" s="1"/>
  <c r="BA24" s="1"/>
  <c r="BP24" s="1"/>
  <c r="Y24"/>
  <c r="N24"/>
  <c r="N36" s="1"/>
  <c r="U27"/>
  <c r="AA31" i="7" s="1"/>
  <c r="P55" i="8"/>
  <c r="S55" s="1"/>
  <c r="AH43" i="7"/>
  <c r="AH120" s="1"/>
  <c r="M17"/>
  <c r="G51"/>
  <c r="M17" i="8"/>
  <c r="AC32" i="5"/>
  <c r="AB45" i="6"/>
  <c r="AB46" s="1"/>
  <c r="AD15"/>
  <c r="R13"/>
  <c r="AH55" i="9"/>
  <c r="X55"/>
  <c r="K51"/>
  <c r="Y17"/>
  <c r="I17"/>
  <c r="R14" i="17"/>
  <c r="Q14" s="1"/>
  <c r="BB14"/>
  <c r="W60" i="19"/>
  <c r="U49"/>
  <c r="E29" i="21"/>
  <c r="E32" s="1"/>
  <c r="AB55" i="9"/>
  <c r="G49" i="34"/>
  <c r="P55" s="1"/>
  <c r="V60" i="8"/>
  <c r="S24" i="9"/>
  <c r="S26" s="1"/>
  <c r="M52" i="3"/>
  <c r="B11" i="32"/>
  <c r="D11" s="1"/>
  <c r="AH29" i="11"/>
  <c r="B19" i="32"/>
  <c r="F58" i="3"/>
  <c r="P52" i="9" s="1"/>
  <c r="T52" s="1"/>
  <c r="D20" i="32"/>
  <c r="W60" i="8"/>
  <c r="AH31" i="11"/>
  <c r="O56" i="7"/>
  <c r="P56" s="1"/>
  <c r="G56"/>
  <c r="N56" s="1"/>
  <c r="AH23" i="11"/>
  <c r="AG19" s="1"/>
  <c r="AK19" s="1"/>
  <c r="AK22" s="1"/>
  <c r="P19" i="8" s="1"/>
  <c r="W56" i="7"/>
  <c r="H48" i="3"/>
  <c r="H45"/>
  <c r="AJ60" i="9"/>
  <c r="AJ62" s="1"/>
  <c r="AD56" i="7"/>
  <c r="C56"/>
  <c r="C57" s="1"/>
  <c r="V63" i="8"/>
  <c r="AH32" i="11"/>
  <c r="F49" i="3"/>
  <c r="AA56" i="7" s="1"/>
  <c r="AA129" s="1"/>
  <c r="E56"/>
  <c r="K58" i="3"/>
  <c r="AC56" i="7"/>
  <c r="AC129" s="1"/>
  <c r="Y23" i="11"/>
  <c r="Y19" s="1"/>
  <c r="P26" i="9"/>
  <c r="O55" i="8"/>
  <c r="N60"/>
  <c r="J45" i="3"/>
  <c r="H72" i="7"/>
  <c r="J48" i="3"/>
  <c r="G18" i="11"/>
  <c r="E44" i="3"/>
  <c r="M58" i="72" s="1"/>
  <c r="M59" s="1"/>
  <c r="V59" s="1"/>
  <c r="Q56" i="7"/>
  <c r="J56"/>
  <c r="N63" i="8"/>
  <c r="Y56" i="7"/>
  <c r="Y129" s="1"/>
  <c r="B6" i="32"/>
  <c r="L23" i="11"/>
  <c r="L19" s="1"/>
  <c r="AP19" s="1"/>
  <c r="AM42" s="1"/>
  <c r="B56" i="7"/>
  <c r="AF19" i="8"/>
  <c r="Y74" i="7"/>
  <c r="Y76" s="1"/>
  <c r="Z74"/>
  <c r="Z76" s="1"/>
  <c r="H35"/>
  <c r="F35"/>
  <c r="P35"/>
  <c r="M35"/>
  <c r="N27"/>
  <c r="M27"/>
  <c r="I28" i="21"/>
  <c r="M28"/>
  <c r="P19" i="72"/>
  <c r="Q30" i="8"/>
  <c r="L51" i="7"/>
  <c r="U49" i="8"/>
  <c r="J49"/>
  <c r="J60" s="1"/>
  <c r="E49"/>
  <c r="H49" s="1"/>
  <c r="G45" i="3"/>
  <c r="G39"/>
  <c r="G40" s="1"/>
  <c r="G48"/>
  <c r="AR48" i="7"/>
  <c r="AS48" s="1"/>
  <c r="AH35"/>
  <c r="AJ51"/>
  <c r="AR38"/>
  <c r="AS38" s="1"/>
  <c r="W63" i="8"/>
  <c r="M26" i="21"/>
  <c r="N26" s="1"/>
  <c r="K10"/>
  <c r="K9"/>
  <c r="E16"/>
  <c r="F9" s="1"/>
  <c r="AN28" i="7"/>
  <c r="AB19" i="72"/>
  <c r="N24" i="35"/>
  <c r="M24"/>
  <c r="I24"/>
  <c r="E24"/>
  <c r="O24"/>
  <c r="K24"/>
  <c r="G24"/>
  <c r="D24"/>
  <c r="H24"/>
  <c r="L24"/>
  <c r="F24"/>
  <c r="J24"/>
  <c r="AL47" i="7"/>
  <c r="B56" i="19"/>
  <c r="B60" s="1"/>
  <c r="AA67" i="7"/>
  <c r="M50" i="3"/>
  <c r="M61"/>
  <c r="AJ56" i="9"/>
  <c r="AJ57" s="1"/>
  <c r="D51" i="7"/>
  <c r="V51"/>
  <c r="AJ45" i="8"/>
  <c r="AK42"/>
  <c r="AL42"/>
  <c r="L27"/>
  <c r="M27" s="1"/>
  <c r="M8"/>
  <c r="O26" i="5"/>
  <c r="M12"/>
  <c r="F15" i="10"/>
  <c r="AB51" i="9"/>
  <c r="AK28" i="8"/>
  <c r="AK80" s="1"/>
  <c r="K43" i="3"/>
  <c r="M59"/>
  <c r="M60"/>
  <c r="AR47" i="7"/>
  <c r="AS47" s="1"/>
  <c r="AD29" i="6"/>
  <c r="D25"/>
  <c r="N50"/>
  <c r="N41" i="8" s="1"/>
  <c r="O41" s="1"/>
  <c r="R25" i="6"/>
  <c r="R45" s="1"/>
  <c r="R46" s="1"/>
  <c r="R33" i="8"/>
  <c r="D18" i="6"/>
  <c r="I25"/>
  <c r="I45" s="1"/>
  <c r="H41"/>
  <c r="V45"/>
  <c r="V46" s="1"/>
  <c r="Q40"/>
  <c r="Q25" s="1"/>
  <c r="H25"/>
  <c r="E45"/>
  <c r="F45" s="1"/>
  <c r="X44"/>
  <c r="X25" s="1"/>
  <c r="AD40"/>
  <c r="P45"/>
  <c r="W25"/>
  <c r="G45"/>
  <c r="G41" i="8" s="1"/>
  <c r="S45" i="6"/>
  <c r="S46" s="1"/>
  <c r="AD33"/>
  <c r="AD26"/>
  <c r="U45"/>
  <c r="W23"/>
  <c r="AD22"/>
  <c r="H18"/>
  <c r="M13"/>
  <c r="AD19"/>
  <c r="AC18"/>
  <c r="L45"/>
  <c r="L46" s="1"/>
  <c r="AB47"/>
  <c r="AB50"/>
  <c r="AB48"/>
  <c r="AB49"/>
  <c r="AD30"/>
  <c r="AD27"/>
  <c r="M25"/>
  <c r="AD24"/>
  <c r="Q18"/>
  <c r="F18"/>
  <c r="AD16"/>
  <c r="X12"/>
  <c r="X13" s="1"/>
  <c r="AD13" s="1"/>
  <c r="AD14"/>
  <c r="AC25"/>
  <c r="AD42"/>
  <c r="R16" i="8"/>
  <c r="O29" i="6"/>
  <c r="V12" i="5"/>
  <c r="Q11"/>
  <c r="Q12" s="1"/>
  <c r="AC14"/>
  <c r="AC33"/>
  <c r="H26"/>
  <c r="D26"/>
  <c r="AC24"/>
  <c r="R12"/>
  <c r="O12"/>
  <c r="AC31"/>
  <c r="AC30"/>
  <c r="AB17"/>
  <c r="AC19"/>
  <c r="AC11"/>
  <c r="Q26"/>
  <c r="AC39"/>
  <c r="P48"/>
  <c r="Q26" i="7" s="1"/>
  <c r="S26" s="1"/>
  <c r="AC20" i="5"/>
  <c r="W12"/>
  <c r="AH20" i="9"/>
  <c r="Q57" s="1"/>
  <c r="S9" i="7"/>
  <c r="AH13" i="9"/>
  <c r="AH17"/>
  <c r="H14"/>
  <c r="M17"/>
  <c r="R9" i="7"/>
  <c r="X51" i="9"/>
  <c r="AK17"/>
  <c r="B13"/>
  <c r="AA51"/>
  <c r="N51"/>
  <c r="H17"/>
  <c r="AK22"/>
  <c r="AK20"/>
  <c r="V61"/>
  <c r="AH51"/>
  <c r="R36"/>
  <c r="R11"/>
  <c r="W11" s="1"/>
  <c r="Q13"/>
  <c r="O13" s="1"/>
  <c r="AA14"/>
  <c r="AN62"/>
  <c r="L70" s="1"/>
  <c r="R38"/>
  <c r="AB14"/>
  <c r="AB17" s="1"/>
  <c r="Q24" i="7"/>
  <c r="S23"/>
  <c r="Z23"/>
  <c r="P40" i="8"/>
  <c r="Q39"/>
  <c r="D25" i="90" l="1"/>
  <c r="D24" i="88"/>
  <c r="D23" s="1"/>
  <c r="W43" i="19"/>
  <c r="W41"/>
  <c r="AF41" s="1"/>
  <c r="W13"/>
  <c r="CA10"/>
  <c r="BL14"/>
  <c r="BM10"/>
  <c r="BN10"/>
  <c r="D74" i="56"/>
  <c r="K81"/>
  <c r="K73"/>
  <c r="I71"/>
  <c r="N71" s="1"/>
  <c r="N81" s="1"/>
  <c r="D39" i="90"/>
  <c r="D38"/>
  <c r="G60" i="8"/>
  <c r="D73" i="56"/>
  <c r="D81"/>
  <c r="AB9" i="72"/>
  <c r="AB21"/>
  <c r="AB11" s="1"/>
  <c r="AC11" s="1"/>
  <c r="AC13" s="1"/>
  <c r="AG14" i="5"/>
  <c r="AH14" s="1"/>
  <c r="S25" i="72"/>
  <c r="S26"/>
  <c r="AB14"/>
  <c r="AB15"/>
  <c r="Z15" s="1"/>
  <c r="AA15" s="1"/>
  <c r="AJ62"/>
  <c r="AQ62" s="1"/>
  <c r="AJ61"/>
  <c r="AQ61" s="1"/>
  <c r="AQ60"/>
  <c r="AA29" i="17"/>
  <c r="P27" i="21"/>
  <c r="X34" i="19"/>
  <c r="X24"/>
  <c r="W15"/>
  <c r="AF15" s="1"/>
  <c r="W28"/>
  <c r="W32"/>
  <c r="W36"/>
  <c r="W31"/>
  <c r="W46"/>
  <c r="W17"/>
  <c r="W47"/>
  <c r="AD47" s="1"/>
  <c r="AP47" s="1"/>
  <c r="W34"/>
  <c r="W25"/>
  <c r="AF17" i="5"/>
  <c r="AH45" i="6"/>
  <c r="AQ56" i="72"/>
  <c r="P20"/>
  <c r="AP20" s="1"/>
  <c r="AN57" s="1"/>
  <c r="P21"/>
  <c r="P22" s="1"/>
  <c r="AP22" s="1"/>
  <c r="AN59" s="1"/>
  <c r="AJ65" i="8"/>
  <c r="O11" i="70"/>
  <c r="O12" s="1"/>
  <c r="O20" s="1"/>
  <c r="AP12" i="19"/>
  <c r="AU12"/>
  <c r="AT14"/>
  <c r="AU14"/>
  <c r="P26" i="72"/>
  <c r="P25"/>
  <c r="AH26" i="5"/>
  <c r="AH25" i="6"/>
  <c r="AI25" s="1"/>
  <c r="AH18"/>
  <c r="AH17" i="5"/>
  <c r="AJ32" i="8"/>
  <c r="D10" i="10"/>
  <c r="D15"/>
  <c r="H51" i="7"/>
  <c r="AB58"/>
  <c r="AB131" s="1"/>
  <c r="AP58"/>
  <c r="AQ58" s="1"/>
  <c r="AR58" s="1"/>
  <c r="AS58" s="1"/>
  <c r="J57"/>
  <c r="AM61"/>
  <c r="N11" i="70"/>
  <c r="AI61" i="7"/>
  <c r="AB13"/>
  <c r="P46" i="5"/>
  <c r="U51"/>
  <c r="AA51" s="1"/>
  <c r="AA47" s="1"/>
  <c r="D13" i="61"/>
  <c r="U53" i="5"/>
  <c r="AA53" s="1"/>
  <c r="AA49" s="1"/>
  <c r="U52"/>
  <c r="AA52" s="1"/>
  <c r="AA48" s="1"/>
  <c r="Z16" i="7"/>
  <c r="R16"/>
  <c r="X38" i="19"/>
  <c r="X23"/>
  <c r="AR11"/>
  <c r="BL11" s="1"/>
  <c r="X28"/>
  <c r="X39"/>
  <c r="W29"/>
  <c r="W26"/>
  <c r="AF26" s="1"/>
  <c r="W23"/>
  <c r="P8" i="70" s="1"/>
  <c r="W22" i="19"/>
  <c r="AF22" s="1"/>
  <c r="W33"/>
  <c r="AF33" s="1"/>
  <c r="H55" i="8"/>
  <c r="C23" i="63"/>
  <c r="B24"/>
  <c r="B25" s="1"/>
  <c r="G116" i="8"/>
  <c r="S25" i="9"/>
  <c r="AF29" i="8"/>
  <c r="BD10"/>
  <c r="AZ32"/>
  <c r="AJ10"/>
  <c r="BD20"/>
  <c r="V26" i="17"/>
  <c r="Y118" i="8"/>
  <c r="F49"/>
  <c r="AR61" i="7"/>
  <c r="AS61" s="1"/>
  <c r="M51"/>
  <c r="AI114"/>
  <c r="AP25" i="9"/>
  <c r="D55" i="8"/>
  <c r="D60"/>
  <c r="B12" i="32"/>
  <c r="D12" s="1"/>
  <c r="D13" s="1"/>
  <c r="F55" i="8"/>
  <c r="F60" s="1"/>
  <c r="Y30"/>
  <c r="AF30" s="1"/>
  <c r="U127"/>
  <c r="BD32"/>
  <c r="Z60" i="19"/>
  <c r="T49"/>
  <c r="BA36" i="17"/>
  <c r="BP36" s="1"/>
  <c r="BL24"/>
  <c r="BX24"/>
  <c r="AO29" i="11"/>
  <c r="BK29"/>
  <c r="BE29"/>
  <c r="T13" i="7"/>
  <c r="U13" s="1"/>
  <c r="X9" i="19"/>
  <c r="AK20" i="8"/>
  <c r="X27" i="19"/>
  <c r="X18"/>
  <c r="X21"/>
  <c r="W11"/>
  <c r="AZ20" i="8"/>
  <c r="Y100"/>
  <c r="AF100" s="1"/>
  <c r="AO22"/>
  <c r="AO80" s="1"/>
  <c r="BG32" i="11"/>
  <c r="BF32"/>
  <c r="BR32" i="17"/>
  <c r="BC32"/>
  <c r="BX32"/>
  <c r="BL32"/>
  <c r="O83" i="56"/>
  <c r="AV36" i="17"/>
  <c r="BH36" s="1"/>
  <c r="BH24"/>
  <c r="AY24"/>
  <c r="H71" i="56"/>
  <c r="H81" s="1"/>
  <c r="C81"/>
  <c r="AA14" i="7"/>
  <c r="Q52" i="9"/>
  <c r="Y9" i="8" s="1"/>
  <c r="Q14" i="7"/>
  <c r="T14" s="1"/>
  <c r="U14" s="1"/>
  <c r="AF12" i="19"/>
  <c r="X36"/>
  <c r="O40" i="8"/>
  <c r="BC30" i="17"/>
  <c r="AK35" i="8"/>
  <c r="X29" i="19"/>
  <c r="X26"/>
  <c r="X13"/>
  <c r="X42"/>
  <c r="X43"/>
  <c r="X15"/>
  <c r="T11"/>
  <c r="AC49"/>
  <c r="AH59" s="1"/>
  <c r="D45" i="5"/>
  <c r="BD35" i="8"/>
  <c r="AF65"/>
  <c r="BT26" i="17"/>
  <c r="BS26"/>
  <c r="BE23" i="7" s="1"/>
  <c r="BE24" s="1"/>
  <c r="O71" i="56"/>
  <c r="O81" s="1"/>
  <c r="I81"/>
  <c r="I73"/>
  <c r="N73" s="1"/>
  <c r="N72" s="1"/>
  <c r="B74"/>
  <c r="C73"/>
  <c r="K12" i="21"/>
  <c r="I16"/>
  <c r="J12" s="1"/>
  <c r="W58" i="3"/>
  <c r="B71" i="56"/>
  <c r="AO33" i="11"/>
  <c r="BK33"/>
  <c r="BE33"/>
  <c r="O31" i="10"/>
  <c r="W30"/>
  <c r="BF42" i="11"/>
  <c r="BE30"/>
  <c r="BG42"/>
  <c r="BT28" i="17"/>
  <c r="BS28"/>
  <c r="BC39" i="7" s="1"/>
  <c r="BE39" s="1"/>
  <c r="R13"/>
  <c r="X32" i="19"/>
  <c r="X31"/>
  <c r="AI79" i="8"/>
  <c r="BF31" i="11"/>
  <c r="BK31"/>
  <c r="AD12" i="6"/>
  <c r="O25"/>
  <c r="AD8" i="17"/>
  <c r="Y57" i="7"/>
  <c r="AY29" i="17"/>
  <c r="AP8"/>
  <c r="AM8" s="1"/>
  <c r="AN8" s="1"/>
  <c r="N28" i="21"/>
  <c r="P28" s="1"/>
  <c r="Y55" i="8"/>
  <c r="Y95" s="1"/>
  <c r="AF95" s="1"/>
  <c r="AA24" i="17"/>
  <c r="Y36"/>
  <c r="X10" i="19"/>
  <c r="X19"/>
  <c r="X22"/>
  <c r="X46"/>
  <c r="X33"/>
  <c r="X11"/>
  <c r="AZ35" i="8"/>
  <c r="AM65"/>
  <c r="AG25" i="6"/>
  <c r="BX30" i="17"/>
  <c r="BR30"/>
  <c r="BL30"/>
  <c r="BB30"/>
  <c r="Q23" i="8"/>
  <c r="P24"/>
  <c r="S24" s="1"/>
  <c r="T24" s="1"/>
  <c r="R23"/>
  <c r="BX31" i="17"/>
  <c r="BR31"/>
  <c r="BL31"/>
  <c r="BB31"/>
  <c r="AI23" i="8" s="1"/>
  <c r="BT25" i="17"/>
  <c r="BS25"/>
  <c r="D83" i="56"/>
  <c r="D84"/>
  <c r="P71"/>
  <c r="P81" s="1"/>
  <c r="BX27" i="17"/>
  <c r="BR27"/>
  <c r="BL27"/>
  <c r="BC27"/>
  <c r="BT33"/>
  <c r="BS33"/>
  <c r="AY38" i="8" s="1"/>
  <c r="BA38" s="1"/>
  <c r="AG12" i="19"/>
  <c r="AQ12"/>
  <c r="AD18" i="6"/>
  <c r="AI18"/>
  <c r="K48"/>
  <c r="K26" i="8" s="1"/>
  <c r="K17" s="1"/>
  <c r="AG18" i="6"/>
  <c r="AG45" s="1"/>
  <c r="AC17" i="5"/>
  <c r="AF11"/>
  <c r="AF26"/>
  <c r="P57" i="8"/>
  <c r="Q57" s="1"/>
  <c r="M13" i="21"/>
  <c r="H25"/>
  <c r="I25" s="1"/>
  <c r="N25"/>
  <c r="W66" i="8"/>
  <c r="W67" s="1"/>
  <c r="AL85"/>
  <c r="AL95"/>
  <c r="AM42"/>
  <c r="AM85" s="1"/>
  <c r="Z85"/>
  <c r="AI85"/>
  <c r="D17" i="90" s="1"/>
  <c r="BD42" i="8"/>
  <c r="AY42"/>
  <c r="AZ45"/>
  <c r="AJ88"/>
  <c r="AZ88"/>
  <c r="BD88"/>
  <c r="W101"/>
  <c r="W102" s="1"/>
  <c r="W99"/>
  <c r="E60"/>
  <c r="H60" s="1"/>
  <c r="D49"/>
  <c r="AK85"/>
  <c r="D15" i="87" s="1"/>
  <c r="D13" s="1"/>
  <c r="AG67" i="8"/>
  <c r="AJ100"/>
  <c r="BD100"/>
  <c r="O24" i="87" s="1"/>
  <c r="O23" s="1"/>
  <c r="AZ100" i="8"/>
  <c r="AO46"/>
  <c r="AO86" s="1"/>
  <c r="AN86"/>
  <c r="S22"/>
  <c r="T22" s="1"/>
  <c r="L49"/>
  <c r="L60" s="1"/>
  <c r="M60" s="1"/>
  <c r="Q55"/>
  <c r="N37"/>
  <c r="O37" s="1"/>
  <c r="BD38"/>
  <c r="AD129" i="7"/>
  <c r="AI13"/>
  <c r="AI129"/>
  <c r="AH124"/>
  <c r="AB114"/>
  <c r="AL28"/>
  <c r="AM28" s="1"/>
  <c r="AN115"/>
  <c r="Y132"/>
  <c r="Y130"/>
  <c r="AK135"/>
  <c r="AK136" s="1"/>
  <c r="AK133"/>
  <c r="AJ130"/>
  <c r="AJ132"/>
  <c r="F51"/>
  <c r="Y60"/>
  <c r="BH47"/>
  <c r="BD47"/>
  <c r="P26" i="21"/>
  <c r="BC26" i="17"/>
  <c r="AQ20" i="7"/>
  <c r="AR20" s="1"/>
  <c r="AS20" s="1"/>
  <c r="BD28"/>
  <c r="AM20"/>
  <c r="BH20"/>
  <c r="BD20"/>
  <c r="BG41" i="8"/>
  <c r="G57" i="7"/>
  <c r="S23" i="8"/>
  <c r="T23" s="1"/>
  <c r="S18"/>
  <c r="T18" s="1"/>
  <c r="S20"/>
  <c r="T20" s="1"/>
  <c r="S19"/>
  <c r="T19" s="1"/>
  <c r="R55"/>
  <c r="R27"/>
  <c r="Y62" i="7"/>
  <c r="Y63" s="1"/>
  <c r="P51"/>
  <c r="AC30"/>
  <c r="AD30" s="1"/>
  <c r="AI39"/>
  <c r="P19"/>
  <c r="P17" s="1"/>
  <c r="AB40"/>
  <c r="AL23"/>
  <c r="AB39"/>
  <c r="AP39"/>
  <c r="P40"/>
  <c r="P41" s="1"/>
  <c r="O41"/>
  <c r="F45" i="5"/>
  <c r="R45"/>
  <c r="R46" s="1"/>
  <c r="Q45"/>
  <c r="H45"/>
  <c r="G42" i="7"/>
  <c r="V45" i="5"/>
  <c r="V46" s="1"/>
  <c r="U46"/>
  <c r="AB45"/>
  <c r="M45"/>
  <c r="M46" s="1"/>
  <c r="W45"/>
  <c r="W46" s="1"/>
  <c r="O45"/>
  <c r="O46" s="1"/>
  <c r="N50"/>
  <c r="P49"/>
  <c r="Q34" i="7" s="1"/>
  <c r="T34" s="1"/>
  <c r="U34" s="1"/>
  <c r="BA62" i="9"/>
  <c r="AC38" i="7"/>
  <c r="AD38" s="1"/>
  <c r="M43" i="3"/>
  <c r="W43"/>
  <c r="W49"/>
  <c r="Q19" i="8"/>
  <c r="P30" i="10"/>
  <c r="G31"/>
  <c r="Z59" i="19"/>
  <c r="AF47"/>
  <c r="H49"/>
  <c r="M49"/>
  <c r="W30"/>
  <c r="AF30" s="1"/>
  <c r="W24"/>
  <c r="W37"/>
  <c r="AF37" s="1"/>
  <c r="W16"/>
  <c r="AF16" s="1"/>
  <c r="W10"/>
  <c r="W45"/>
  <c r="W27"/>
  <c r="X47"/>
  <c r="AE47" s="1"/>
  <c r="X20"/>
  <c r="X37"/>
  <c r="X41"/>
  <c r="X45"/>
  <c r="X8"/>
  <c r="X17"/>
  <c r="X30"/>
  <c r="X35"/>
  <c r="AF40"/>
  <c r="AF8"/>
  <c r="AF38"/>
  <c r="U33" i="17"/>
  <c r="Y38" i="8" s="1"/>
  <c r="AX33" i="17"/>
  <c r="V33"/>
  <c r="N13" i="9"/>
  <c r="K13"/>
  <c r="AN42" i="8"/>
  <c r="AI10" i="17"/>
  <c r="AJ10"/>
  <c r="R32" i="7"/>
  <c r="R33" s="1"/>
  <c r="Z32"/>
  <c r="S32"/>
  <c r="S33" s="1"/>
  <c r="Q33"/>
  <c r="AX26" i="17"/>
  <c r="U26"/>
  <c r="W26"/>
  <c r="J27" i="21"/>
  <c r="K27"/>
  <c r="AP14" i="17"/>
  <c r="AM14" s="1"/>
  <c r="P13" i="8"/>
  <c r="AF23"/>
  <c r="Y24"/>
  <c r="AI40" i="7"/>
  <c r="AA41"/>
  <c r="AA11" i="9"/>
  <c r="H45" i="6"/>
  <c r="R19" i="8"/>
  <c r="BC33" i="17"/>
  <c r="AF17" i="19"/>
  <c r="AF25"/>
  <c r="AF29"/>
  <c r="O49" i="8"/>
  <c r="AA32" i="7"/>
  <c r="AC32" s="1"/>
  <c r="AD32" s="1"/>
  <c r="AP31"/>
  <c r="AB31"/>
  <c r="AI31"/>
  <c r="I60" i="8"/>
  <c r="I63"/>
  <c r="N64" s="1"/>
  <c r="R40" i="7"/>
  <c r="R41" s="1"/>
  <c r="Q41"/>
  <c r="S40"/>
  <c r="S41" s="1"/>
  <c r="Z40"/>
  <c r="J30" i="21"/>
  <c r="K30"/>
  <c r="V30" i="17"/>
  <c r="AX30"/>
  <c r="U30"/>
  <c r="AI29" i="8"/>
  <c r="AF32" i="19"/>
  <c r="AF28"/>
  <c r="AF20"/>
  <c r="AF21"/>
  <c r="AF34"/>
  <c r="AF19"/>
  <c r="AF27"/>
  <c r="AF36"/>
  <c r="AF18"/>
  <c r="AF31"/>
  <c r="AF35"/>
  <c r="AG14"/>
  <c r="AK63" i="7"/>
  <c r="AJ42" i="8"/>
  <c r="R34"/>
  <c r="AO29" i="17"/>
  <c r="AF23" i="19"/>
  <c r="AI56" i="7"/>
  <c r="F44" i="3"/>
  <c r="P54" i="9"/>
  <c r="T54" s="1"/>
  <c r="T16" i="7"/>
  <c r="U16" s="1"/>
  <c r="AC37"/>
  <c r="AD37" s="1"/>
  <c r="D56"/>
  <c r="AJ61" i="9"/>
  <c r="AQ61" s="1"/>
  <c r="L46" i="11"/>
  <c r="O57" i="7"/>
  <c r="AC40"/>
  <c r="AD40" s="1"/>
  <c r="V60" i="9"/>
  <c r="S66" i="7"/>
  <c r="P66" s="1"/>
  <c r="AC36"/>
  <c r="AP56"/>
  <c r="AQ56" s="1"/>
  <c r="AS56" s="1"/>
  <c r="AP26" i="9"/>
  <c r="AC10" i="7"/>
  <c r="AQ10" s="1"/>
  <c r="AR10" s="1"/>
  <c r="AS10" s="1"/>
  <c r="AC39"/>
  <c r="O60"/>
  <c r="AC28"/>
  <c r="AC11"/>
  <c r="AD11" s="1"/>
  <c r="AC46"/>
  <c r="AD46" s="1"/>
  <c r="Q88"/>
  <c r="AC45"/>
  <c r="AQ45" s="1"/>
  <c r="M58" i="3"/>
  <c r="AM46" i="11"/>
  <c r="AL42" s="1"/>
  <c r="AP42" s="1"/>
  <c r="AP45" s="1"/>
  <c r="AI19" i="8" s="1"/>
  <c r="AI83" s="1"/>
  <c r="H56" i="7"/>
  <c r="F56"/>
  <c r="AN56"/>
  <c r="AL64" s="1"/>
  <c r="AN64" s="1"/>
  <c r="K44" i="3"/>
  <c r="W36" i="7"/>
  <c r="W39"/>
  <c r="X39" s="1"/>
  <c r="W13"/>
  <c r="X13" s="1"/>
  <c r="W31"/>
  <c r="X31" s="1"/>
  <c r="W10"/>
  <c r="X10" s="1"/>
  <c r="W48"/>
  <c r="X48" s="1"/>
  <c r="W29"/>
  <c r="W9"/>
  <c r="AC31"/>
  <c r="BA60" i="9"/>
  <c r="E57" i="7"/>
  <c r="T9"/>
  <c r="U9" s="1"/>
  <c r="M49" i="3"/>
  <c r="AC29" i="7"/>
  <c r="AQ29" s="1"/>
  <c r="AC12"/>
  <c r="AB56"/>
  <c r="AB129" s="1"/>
  <c r="L42" i="11"/>
  <c r="AC13" i="7"/>
  <c r="AQ13" s="1"/>
  <c r="AK55" i="8"/>
  <c r="AI55" s="1"/>
  <c r="AI95" s="1"/>
  <c r="F45" i="3"/>
  <c r="E72" i="7"/>
  <c r="E74" s="1"/>
  <c r="T10"/>
  <c r="U10" s="1"/>
  <c r="T44"/>
  <c r="T45"/>
  <c r="U45" s="1"/>
  <c r="T40"/>
  <c r="T32"/>
  <c r="T29"/>
  <c r="U29" s="1"/>
  <c r="T36"/>
  <c r="U36" s="1"/>
  <c r="T28"/>
  <c r="U28" s="1"/>
  <c r="T12"/>
  <c r="U12" s="1"/>
  <c r="S56"/>
  <c r="T47"/>
  <c r="U47" s="1"/>
  <c r="R56"/>
  <c r="T48"/>
  <c r="U48" s="1"/>
  <c r="T39"/>
  <c r="U39" s="1"/>
  <c r="T31"/>
  <c r="U31" s="1"/>
  <c r="D21" i="32"/>
  <c r="B24"/>
  <c r="Z56" i="7"/>
  <c r="E45" i="3"/>
  <c r="E39"/>
  <c r="M56" i="72" s="1"/>
  <c r="M57" s="1"/>
  <c r="V57" s="1"/>
  <c r="M58" i="9"/>
  <c r="M59" s="1"/>
  <c r="V59" s="1"/>
  <c r="E48" i="3"/>
  <c r="G40" i="11"/>
  <c r="B57" i="7"/>
  <c r="D57" s="1"/>
  <c r="N32" i="21"/>
  <c r="AC50" i="19"/>
  <c r="AI28" i="8"/>
  <c r="AM28"/>
  <c r="AM80" s="1"/>
  <c r="V60" i="7"/>
  <c r="V57"/>
  <c r="AM47"/>
  <c r="Q24" i="35"/>
  <c r="G16" i="11"/>
  <c r="AH16"/>
  <c r="AB19" i="9"/>
  <c r="AJ62" i="7"/>
  <c r="AJ60"/>
  <c r="AH51"/>
  <c r="AJ57"/>
  <c r="AJ59"/>
  <c r="U60" i="8"/>
  <c r="U63"/>
  <c r="L57" i="7"/>
  <c r="N51"/>
  <c r="Q31" i="8"/>
  <c r="Q27" s="1"/>
  <c r="C16" i="11"/>
  <c r="P19" i="9"/>
  <c r="L16" i="11"/>
  <c r="K28" i="21"/>
  <c r="F28"/>
  <c r="AQ56" i="9"/>
  <c r="AL52"/>
  <c r="AL54"/>
  <c r="Y67" i="7"/>
  <c r="Z67"/>
  <c r="Z69" s="1"/>
  <c r="N55" i="34"/>
  <c r="L55"/>
  <c r="J55"/>
  <c r="H55"/>
  <c r="F55"/>
  <c r="O55"/>
  <c r="M55"/>
  <c r="K55"/>
  <c r="I55"/>
  <c r="G55"/>
  <c r="E55"/>
  <c r="F27" i="21"/>
  <c r="F14"/>
  <c r="F31"/>
  <c r="F12"/>
  <c r="F11"/>
  <c r="F13"/>
  <c r="F30"/>
  <c r="F15"/>
  <c r="F25"/>
  <c r="Z57" i="19"/>
  <c r="F23" i="36" s="1"/>
  <c r="F25" s="1"/>
  <c r="Z58" i="19"/>
  <c r="Z56"/>
  <c r="I57" i="7"/>
  <c r="I60"/>
  <c r="M60" s="1"/>
  <c r="Y16" i="11"/>
  <c r="F10" i="21"/>
  <c r="F29"/>
  <c r="F26"/>
  <c r="Q15" i="7"/>
  <c r="K47" i="6"/>
  <c r="K16" i="8" s="1"/>
  <c r="K8" s="1"/>
  <c r="K50" i="6"/>
  <c r="K41" i="8" s="1"/>
  <c r="K34" s="1"/>
  <c r="K49" i="6"/>
  <c r="K33" i="8" s="1"/>
  <c r="K27" s="1"/>
  <c r="AD25" i="6"/>
  <c r="O45"/>
  <c r="O46" s="1"/>
  <c r="X45"/>
  <c r="X48" s="1"/>
  <c r="W45"/>
  <c r="W46" s="1"/>
  <c r="P46"/>
  <c r="Q45"/>
  <c r="Q46" s="1"/>
  <c r="M45"/>
  <c r="M46" s="1"/>
  <c r="H41" i="8"/>
  <c r="M41"/>
  <c r="G37"/>
  <c r="X49" i="6"/>
  <c r="AC45"/>
  <c r="AI45" s="1"/>
  <c r="L46" i="5"/>
  <c r="L48" s="1"/>
  <c r="AA50"/>
  <c r="T26" i="7"/>
  <c r="Z26"/>
  <c r="R26"/>
  <c r="K49" i="5"/>
  <c r="K34" i="7" s="1"/>
  <c r="K27" s="1"/>
  <c r="L49" i="5"/>
  <c r="K48"/>
  <c r="K26" i="7" s="1"/>
  <c r="K17" s="1"/>
  <c r="K47" i="5"/>
  <c r="K16" i="7" s="1"/>
  <c r="K8" s="1"/>
  <c r="L50" i="5"/>
  <c r="K50"/>
  <c r="K42" i="7" s="1"/>
  <c r="K35" s="1"/>
  <c r="AC26" i="5"/>
  <c r="Q46"/>
  <c r="AL48" i="9"/>
  <c r="AL50"/>
  <c r="N17"/>
  <c r="K17"/>
  <c r="AQ62"/>
  <c r="AC14"/>
  <c r="Z78" i="7"/>
  <c r="T92" s="1"/>
  <c r="AA76"/>
  <c r="AA75" s="1"/>
  <c r="Z24"/>
  <c r="S24"/>
  <c r="S25" s="1"/>
  <c r="T24"/>
  <c r="T25" s="1"/>
  <c r="Q25"/>
  <c r="R24"/>
  <c r="R25" s="1"/>
  <c r="Q40" i="8"/>
  <c r="Q34"/>
  <c r="D15" i="88" l="1"/>
  <c r="D13" s="1"/>
  <c r="D15" i="90"/>
  <c r="CH14" i="19"/>
  <c r="BM14"/>
  <c r="CC10"/>
  <c r="CE10" s="1"/>
  <c r="CB10"/>
  <c r="CD10" s="1"/>
  <c r="CA14"/>
  <c r="CB14" s="1"/>
  <c r="CA11"/>
  <c r="BL12"/>
  <c r="BM12" s="1"/>
  <c r="BM11"/>
  <c r="BN11"/>
  <c r="AV14"/>
  <c r="BI14"/>
  <c r="BK14" s="1"/>
  <c r="CI10"/>
  <c r="CK10" s="1"/>
  <c r="CH10"/>
  <c r="CJ10" s="1"/>
  <c r="BH12"/>
  <c r="BJ12" s="1"/>
  <c r="BI12"/>
  <c r="BK12" s="1"/>
  <c r="BG11"/>
  <c r="BA39" i="8"/>
  <c r="AZ79"/>
  <c r="D23" i="90"/>
  <c r="AP25" i="72"/>
  <c r="AN106" i="7"/>
  <c r="AO64"/>
  <c r="W44" i="3"/>
  <c r="AN58" i="72"/>
  <c r="F39" i="3"/>
  <c r="F40" s="1"/>
  <c r="M40" s="1"/>
  <c r="Q58" i="72"/>
  <c r="P12" i="70"/>
  <c r="P20" s="1"/>
  <c r="W8"/>
  <c r="L67" i="72"/>
  <c r="AQ59"/>
  <c r="BA59"/>
  <c r="AC14"/>
  <c r="AC17" s="1"/>
  <c r="AB17"/>
  <c r="Z9"/>
  <c r="AA9" s="1"/>
  <c r="AB13"/>
  <c r="AG45" i="5"/>
  <c r="AQ57" i="72"/>
  <c r="BA57"/>
  <c r="AM48"/>
  <c r="AH46" i="6"/>
  <c r="AH49"/>
  <c r="BC33" i="8" s="1"/>
  <c r="AH48" i="6"/>
  <c r="BC26" i="8" s="1"/>
  <c r="AH47" i="6"/>
  <c r="BC16" i="8" s="1"/>
  <c r="AH50" i="6"/>
  <c r="AP26" i="72"/>
  <c r="Z30" i="8"/>
  <c r="Z31" s="1"/>
  <c r="AJ79"/>
  <c r="AI80"/>
  <c r="AZ80" s="1"/>
  <c r="R10" i="70"/>
  <c r="Y31" i="8"/>
  <c r="W11" i="70"/>
  <c r="N12"/>
  <c r="BH28" i="7"/>
  <c r="Z14"/>
  <c r="AB14"/>
  <c r="F13" i="61"/>
  <c r="E13"/>
  <c r="W49" i="19"/>
  <c r="Q58" i="9"/>
  <c r="P50" s="1"/>
  <c r="C24" i="63"/>
  <c r="D23"/>
  <c r="AK79" i="8"/>
  <c r="D21" i="87" s="1"/>
  <c r="R14" i="7"/>
  <c r="R8" s="1"/>
  <c r="S14"/>
  <c r="S8" s="1"/>
  <c r="AC14"/>
  <c r="AD14" s="1"/>
  <c r="AD117" s="1"/>
  <c r="V52" i="9"/>
  <c r="BD79" i="8"/>
  <c r="P17"/>
  <c r="AZ38"/>
  <c r="H57" i="7"/>
  <c r="T25" i="8"/>
  <c r="M71" i="56"/>
  <c r="M81" s="1"/>
  <c r="X87" i="6"/>
  <c r="Y87" s="1"/>
  <c r="X88"/>
  <c r="Y88" s="1"/>
  <c r="BB29" i="17"/>
  <c r="AI13" i="8"/>
  <c r="AI81" s="1"/>
  <c r="BD81" s="1"/>
  <c r="BE25" i="7"/>
  <c r="BC24"/>
  <c r="BC25" s="1"/>
  <c r="AA15"/>
  <c r="AP15" s="1"/>
  <c r="K16" i="21"/>
  <c r="J28"/>
  <c r="B84" i="56"/>
  <c r="C83"/>
  <c r="B81"/>
  <c r="G71"/>
  <c r="G81" s="1"/>
  <c r="W72"/>
  <c r="W112"/>
  <c r="W92"/>
  <c r="BL36" i="17"/>
  <c r="BX36"/>
  <c r="AI14" i="7"/>
  <c r="M49" i="8"/>
  <c r="P55" i="9"/>
  <c r="U55" s="1"/>
  <c r="AF55" i="8"/>
  <c r="F57" i="7"/>
  <c r="P25" i="21"/>
  <c r="BA40" i="8"/>
  <c r="AY39"/>
  <c r="AY40" s="1"/>
  <c r="BT27" i="17"/>
  <c r="BS27"/>
  <c r="BC31" i="7" s="1"/>
  <c r="Q24" i="8"/>
  <c r="Q25" s="1"/>
  <c r="R24"/>
  <c r="R25" s="1"/>
  <c r="P25"/>
  <c r="BT30" i="17"/>
  <c r="BS30"/>
  <c r="P36"/>
  <c r="P24"/>
  <c r="BF30" i="11"/>
  <c r="BG30"/>
  <c r="BF33"/>
  <c r="BE43"/>
  <c r="BG33"/>
  <c r="I83" i="56"/>
  <c r="N83" s="1"/>
  <c r="N82" s="1"/>
  <c r="I84"/>
  <c r="G84" s="1"/>
  <c r="AG47" i="19"/>
  <c r="AQ47"/>
  <c r="J11" i="21"/>
  <c r="J14"/>
  <c r="J15"/>
  <c r="J10"/>
  <c r="J13"/>
  <c r="J9"/>
  <c r="BF29" i="11"/>
  <c r="BE41"/>
  <c r="BG29"/>
  <c r="AI24" i="8"/>
  <c r="BD23"/>
  <c r="AN65"/>
  <c r="AN100" s="1"/>
  <c r="AM100"/>
  <c r="P31" i="10"/>
  <c r="W31"/>
  <c r="AP14" i="7"/>
  <c r="Q54" i="9"/>
  <c r="Q55" s="1"/>
  <c r="M44" i="3"/>
  <c r="Z55" i="8"/>
  <c r="Z95" s="1"/>
  <c r="J26" i="21"/>
  <c r="AF45" i="5"/>
  <c r="AF48" s="1"/>
  <c r="BT31" i="17"/>
  <c r="BS31"/>
  <c r="AJ23" i="8"/>
  <c r="BF39" i="7"/>
  <c r="BF40" s="1"/>
  <c r="BF41" s="1"/>
  <c r="BE40"/>
  <c r="J31" i="21"/>
  <c r="B73" i="56"/>
  <c r="B72" s="1"/>
  <c r="C72"/>
  <c r="O82"/>
  <c r="BT32" i="17"/>
  <c r="BS32"/>
  <c r="BA29" i="8" s="1"/>
  <c r="BA30" s="1"/>
  <c r="AX50" i="9"/>
  <c r="BE50" s="1"/>
  <c r="AX52"/>
  <c r="BE52" s="1"/>
  <c r="AX48"/>
  <c r="AZ48" s="1"/>
  <c r="AO54"/>
  <c r="AG46" i="6"/>
  <c r="AG47"/>
  <c r="AG49"/>
  <c r="BA33" i="8" s="1"/>
  <c r="AG50" i="6"/>
  <c r="AG48"/>
  <c r="AB46" i="5"/>
  <c r="AH45"/>
  <c r="N13" i="21"/>
  <c r="H29"/>
  <c r="I29" s="1"/>
  <c r="J25"/>
  <c r="K25"/>
  <c r="AK95" i="8"/>
  <c r="AJ95"/>
  <c r="BD95"/>
  <c r="AZ95"/>
  <c r="AO42"/>
  <c r="AO85" s="1"/>
  <c r="AN85"/>
  <c r="AY85"/>
  <c r="AZ85" s="1"/>
  <c r="AZ42"/>
  <c r="AJ85"/>
  <c r="BD85"/>
  <c r="BD80"/>
  <c r="AJ83"/>
  <c r="BD83"/>
  <c r="T17"/>
  <c r="T49" s="1"/>
  <c r="T63" s="1"/>
  <c r="S25"/>
  <c r="S17"/>
  <c r="S49" s="1"/>
  <c r="S60" s="1"/>
  <c r="AJ28"/>
  <c r="BD28"/>
  <c r="AZ28"/>
  <c r="BD19"/>
  <c r="AJ55"/>
  <c r="AZ55"/>
  <c r="BD55"/>
  <c r="BD29"/>
  <c r="AD13" i="7"/>
  <c r="AN129"/>
  <c r="Y135"/>
  <c r="Y136" s="1"/>
  <c r="Y133"/>
  <c r="AL115"/>
  <c r="AH132"/>
  <c r="AH130"/>
  <c r="AD12"/>
  <c r="AC115"/>
  <c r="AD10"/>
  <c r="AC114"/>
  <c r="AJ135"/>
  <c r="AJ136" s="1"/>
  <c r="AJ133"/>
  <c r="BH23"/>
  <c r="BD23"/>
  <c r="P57"/>
  <c r="AN45"/>
  <c r="AE27"/>
  <c r="AB41"/>
  <c r="W49" i="5"/>
  <c r="AA34" i="7" s="1"/>
  <c r="AB34" s="1"/>
  <c r="W48" i="5"/>
  <c r="AA26" i="7" s="1"/>
  <c r="W47" i="5"/>
  <c r="AA16" i="7" s="1"/>
  <c r="AI16" s="1"/>
  <c r="H42"/>
  <c r="G38"/>
  <c r="H38" s="1"/>
  <c r="U8"/>
  <c r="AC45" i="5"/>
  <c r="P50"/>
  <c r="O42" i="7"/>
  <c r="R34"/>
  <c r="Z34"/>
  <c r="S34"/>
  <c r="AI34"/>
  <c r="AX54" i="9"/>
  <c r="AZ50"/>
  <c r="AD29" i="7"/>
  <c r="AQ40"/>
  <c r="AR40" s="1"/>
  <c r="AS40" s="1"/>
  <c r="AC33"/>
  <c r="X49" i="19"/>
  <c r="AR49"/>
  <c r="AR50" s="1"/>
  <c r="AI30" i="8"/>
  <c r="AJ29"/>
  <c r="AK29"/>
  <c r="Y13"/>
  <c r="Y81" s="1"/>
  <c r="AF81" s="1"/>
  <c r="U29" i="17"/>
  <c r="T29" s="1"/>
  <c r="AT29" s="1"/>
  <c r="AA33" i="7"/>
  <c r="AI32"/>
  <c r="AB32"/>
  <c r="AP32"/>
  <c r="AQ32" s="1"/>
  <c r="AF13" i="19"/>
  <c r="AD10"/>
  <c r="AP41" i="7"/>
  <c r="AI41"/>
  <c r="AF24" i="8"/>
  <c r="Y25"/>
  <c r="BC25" s="1"/>
  <c r="BR25" s="1"/>
  <c r="P14"/>
  <c r="Q13"/>
  <c r="R13"/>
  <c r="F16" i="21"/>
  <c r="AF9" i="19"/>
  <c r="Z41" i="7"/>
  <c r="AO14" i="17"/>
  <c r="AN14"/>
  <c r="P37"/>
  <c r="P29"/>
  <c r="AA23" i="7"/>
  <c r="AA116" s="1"/>
  <c r="AI116" s="1"/>
  <c r="U24" i="17"/>
  <c r="Z33" i="7"/>
  <c r="Q27"/>
  <c r="AK10" i="17"/>
  <c r="AJ8"/>
  <c r="AF38" i="8"/>
  <c r="Z38"/>
  <c r="Y39"/>
  <c r="AJ38"/>
  <c r="F48" i="3"/>
  <c r="AD36" i="7"/>
  <c r="AQ36"/>
  <c r="AR36" s="1"/>
  <c r="AS36" s="1"/>
  <c r="AD39"/>
  <c r="AD41" s="1"/>
  <c r="AQ39"/>
  <c r="AR39" s="1"/>
  <c r="AS39" s="1"/>
  <c r="E111" i="8"/>
  <c r="T125" s="1"/>
  <c r="T128" s="1"/>
  <c r="AC41" i="7"/>
  <c r="AD28"/>
  <c r="AQ28"/>
  <c r="AR28" s="1"/>
  <c r="AJ19" i="8"/>
  <c r="X9" i="7"/>
  <c r="X8" s="1"/>
  <c r="W8"/>
  <c r="AN13"/>
  <c r="H66"/>
  <c r="AL56"/>
  <c r="AL129" s="1"/>
  <c r="BH129" s="1"/>
  <c r="T66"/>
  <c r="AN39"/>
  <c r="AN10"/>
  <c r="AN31"/>
  <c r="AN36"/>
  <c r="AN29"/>
  <c r="X36"/>
  <c r="X35" s="1"/>
  <c r="W35"/>
  <c r="K45" i="3"/>
  <c r="M45" s="1"/>
  <c r="K48"/>
  <c r="AN58" i="9"/>
  <c r="AQ60"/>
  <c r="AM52"/>
  <c r="H110" i="8"/>
  <c r="AD31" i="7"/>
  <c r="AQ31"/>
  <c r="AR31" s="1"/>
  <c r="AS31" s="1"/>
  <c r="X29"/>
  <c r="X27" s="1"/>
  <c r="W27"/>
  <c r="AM54" i="9"/>
  <c r="AP54" s="1"/>
  <c r="T33" i="7"/>
  <c r="T27" s="1"/>
  <c r="U32"/>
  <c r="U27" s="1"/>
  <c r="G32" i="11"/>
  <c r="G31"/>
  <c r="G33"/>
  <c r="G29"/>
  <c r="E40" i="3"/>
  <c r="M56" i="9"/>
  <c r="M57" s="1"/>
  <c r="V57" s="1"/>
  <c r="E43" i="3"/>
  <c r="D24" i="32"/>
  <c r="B25"/>
  <c r="D25" s="1"/>
  <c r="U44" i="7"/>
  <c r="T43"/>
  <c r="T8"/>
  <c r="G72"/>
  <c r="T41"/>
  <c r="U40"/>
  <c r="U41" s="1"/>
  <c r="AO52" i="9"/>
  <c r="P20"/>
  <c r="AP20" s="1"/>
  <c r="AN57" s="1"/>
  <c r="P21"/>
  <c r="P22" s="1"/>
  <c r="AP22" s="1"/>
  <c r="AN59" s="1"/>
  <c r="L68" s="1"/>
  <c r="C7" i="11"/>
  <c r="C11"/>
  <c r="C9"/>
  <c r="C10"/>
  <c r="C8"/>
  <c r="N57" i="7"/>
  <c r="M57"/>
  <c r="AB9" i="9"/>
  <c r="AB21"/>
  <c r="AB11" s="1"/>
  <c r="AC11" s="1"/>
  <c r="F32" i="21"/>
  <c r="Y10" i="11"/>
  <c r="Y11"/>
  <c r="Y7"/>
  <c r="Y9"/>
  <c r="AR29" i="7"/>
  <c r="AS29" s="1"/>
  <c r="Y69"/>
  <c r="AA69" s="1"/>
  <c r="Q87"/>
  <c r="Q89" s="1"/>
  <c r="L10" i="11"/>
  <c r="L8"/>
  <c r="L7"/>
  <c r="L9"/>
  <c r="L11"/>
  <c r="AR45" i="7"/>
  <c r="AH62"/>
  <c r="AH57"/>
  <c r="AH60"/>
  <c r="AH59"/>
  <c r="AJ63"/>
  <c r="AG7" i="11"/>
  <c r="AK7" s="1"/>
  <c r="AG11"/>
  <c r="AK11" s="1"/>
  <c r="G9"/>
  <c r="G11"/>
  <c r="G10"/>
  <c r="G7"/>
  <c r="G8"/>
  <c r="P60" i="7"/>
  <c r="Z15"/>
  <c r="Q8"/>
  <c r="Z8" s="1"/>
  <c r="K49" i="8"/>
  <c r="K60" s="1"/>
  <c r="X47" i="6"/>
  <c r="Y16" i="8" s="1"/>
  <c r="X46" i="6"/>
  <c r="AB53" s="1"/>
  <c r="X50"/>
  <c r="Y41" i="8" s="1"/>
  <c r="Y33"/>
  <c r="Z33" s="1"/>
  <c r="AD45" i="6"/>
  <c r="AC46"/>
  <c r="Y26" i="8"/>
  <c r="H37"/>
  <c r="M37"/>
  <c r="L47" i="5"/>
  <c r="K51" i="7"/>
  <c r="K57" s="1"/>
  <c r="AO50" i="9"/>
  <c r="AO48"/>
  <c r="Z9" i="8"/>
  <c r="AF9"/>
  <c r="AC17" i="9"/>
  <c r="P9" i="8"/>
  <c r="U92" i="7"/>
  <c r="Y125" i="8"/>
  <c r="Y128" s="1"/>
  <c r="Z128" s="1"/>
  <c r="Z25" i="7"/>
  <c r="AR13"/>
  <c r="AS13" s="1"/>
  <c r="BC41" i="8" l="1"/>
  <c r="AS50" i="6"/>
  <c r="AH55"/>
  <c r="BO12" i="19"/>
  <c r="BN12"/>
  <c r="BP12" s="1"/>
  <c r="CC11"/>
  <c r="CE11" s="1"/>
  <c r="CB11"/>
  <c r="CD11" s="1"/>
  <c r="CA12"/>
  <c r="CC14"/>
  <c r="CE14" s="1"/>
  <c r="CD14"/>
  <c r="CI14"/>
  <c r="BH11"/>
  <c r="BI11"/>
  <c r="CI11"/>
  <c r="CK11" s="1"/>
  <c r="CH11"/>
  <c r="CJ11" s="1"/>
  <c r="CG12"/>
  <c r="BN14"/>
  <c r="BP14" s="1"/>
  <c r="BO14"/>
  <c r="BV16" i="8"/>
  <c r="BR16"/>
  <c r="BE33"/>
  <c r="BF33" s="1"/>
  <c r="BV33"/>
  <c r="BR33"/>
  <c r="BE41"/>
  <c r="BV41"/>
  <c r="BR41"/>
  <c r="BE26"/>
  <c r="BF26" s="1"/>
  <c r="BF84" s="1"/>
  <c r="BV26"/>
  <c r="BR26"/>
  <c r="D21" i="88"/>
  <c r="M39" i="3"/>
  <c r="L40" i="11"/>
  <c r="K33" s="1"/>
  <c r="O33" s="1"/>
  <c r="Q56" i="9"/>
  <c r="P48" s="1"/>
  <c r="T72" i="7"/>
  <c r="Q72" s="1"/>
  <c r="AQ14"/>
  <c r="AR14" s="1"/>
  <c r="BH115"/>
  <c r="BC84" i="8"/>
  <c r="BE16"/>
  <c r="AN48" i="72"/>
  <c r="AP48"/>
  <c r="AA44" i="7"/>
  <c r="Q56" i="72"/>
  <c r="AO65" i="8"/>
  <c r="AO100" s="1"/>
  <c r="AG46" i="5"/>
  <c r="AG49"/>
  <c r="BG34" i="7" s="1"/>
  <c r="AG47" i="5"/>
  <c r="BG16" i="7" s="1"/>
  <c r="BV16" s="1"/>
  <c r="AG50" i="5"/>
  <c r="BG42" i="7" s="1"/>
  <c r="AG48" i="5"/>
  <c r="BG26" i="7" s="1"/>
  <c r="V58" i="72"/>
  <c r="P50"/>
  <c r="AQ58"/>
  <c r="AM50"/>
  <c r="BA58"/>
  <c r="V58" i="9"/>
  <c r="AJ80" i="8"/>
  <c r="R12" i="70"/>
  <c r="R20" s="1"/>
  <c r="W10"/>
  <c r="AB16" i="7"/>
  <c r="N20" i="70"/>
  <c r="W12"/>
  <c r="AF47" i="5"/>
  <c r="BE16" i="7" s="1"/>
  <c r="BF16" s="1"/>
  <c r="AB48" i="5"/>
  <c r="AB52" s="1"/>
  <c r="AC16" i="7"/>
  <c r="AP34"/>
  <c r="AP16"/>
  <c r="C25" i="63"/>
  <c r="D25" s="1"/>
  <c r="D24"/>
  <c r="AR51" i="19"/>
  <c r="BG39" i="11"/>
  <c r="BE19" i="7" s="1"/>
  <c r="BE118" s="1"/>
  <c r="V54" i="9"/>
  <c r="Y18" i="8"/>
  <c r="Y78" s="1"/>
  <c r="AF78" s="1"/>
  <c r="AZ29"/>
  <c r="Q17"/>
  <c r="S63"/>
  <c r="S110"/>
  <c r="L110" s="1"/>
  <c r="L112" s="1"/>
  <c r="Z20"/>
  <c r="AM20" s="1"/>
  <c r="Z24"/>
  <c r="AM24" s="1"/>
  <c r="AM82" s="1"/>
  <c r="L71" i="56"/>
  <c r="L81" s="1"/>
  <c r="T55" i="9"/>
  <c r="N84" i="56"/>
  <c r="L84" s="1"/>
  <c r="E110" i="8"/>
  <c r="E112" s="1"/>
  <c r="Z23"/>
  <c r="AA23" s="1"/>
  <c r="W82" i="56"/>
  <c r="W102"/>
  <c r="W122"/>
  <c r="C82"/>
  <c r="R82" s="1"/>
  <c r="B83"/>
  <c r="B82" s="1"/>
  <c r="BA29" i="17"/>
  <c r="BP29" s="1"/>
  <c r="BA35"/>
  <c r="BP35" s="1"/>
  <c r="BE48" i="9"/>
  <c r="AF50" i="5"/>
  <c r="BE42" i="7" s="1"/>
  <c r="AF49" i="5"/>
  <c r="BE34" i="7" s="1"/>
  <c r="BF34" s="1"/>
  <c r="BE41"/>
  <c r="BC40"/>
  <c r="BC41" s="1"/>
  <c r="BS29" i="17"/>
  <c r="BF39" i="8"/>
  <c r="R17"/>
  <c r="BJ24" i="7"/>
  <c r="BJ17" s="1"/>
  <c r="AN54" i="9"/>
  <c r="AQ54" s="1"/>
  <c r="AC34" i="7"/>
  <c r="AD34" s="1"/>
  <c r="Z19" i="8"/>
  <c r="Z83" s="1"/>
  <c r="Z21"/>
  <c r="AA21" s="1"/>
  <c r="AZ52" i="9"/>
  <c r="AF46" i="5"/>
  <c r="BS24" i="17"/>
  <c r="AN56" i="19" s="1"/>
  <c r="BF41" i="11"/>
  <c r="BG41"/>
  <c r="J16" i="21"/>
  <c r="BA23" i="8"/>
  <c r="BB23" s="1"/>
  <c r="AZ23"/>
  <c r="AJ24"/>
  <c r="AI25"/>
  <c r="BA31"/>
  <c r="AY30"/>
  <c r="AY31" s="1"/>
  <c r="BF30" s="1"/>
  <c r="BC116" i="7"/>
  <c r="BE13"/>
  <c r="BF13" s="1"/>
  <c r="BF43" i="11"/>
  <c r="BG43"/>
  <c r="BE31" i="7"/>
  <c r="BE32" s="1"/>
  <c r="BD13" i="8"/>
  <c r="AK13"/>
  <c r="AB54" i="6"/>
  <c r="X52"/>
  <c r="AC48" s="1"/>
  <c r="V74" s="1"/>
  <c r="BG50" i="9"/>
  <c r="BE18" i="7"/>
  <c r="BA9" i="8"/>
  <c r="BE9" i="7"/>
  <c r="BF9" s="1"/>
  <c r="BF113" s="1"/>
  <c r="BA41" i="8"/>
  <c r="BA34" s="1"/>
  <c r="AY34"/>
  <c r="BA16"/>
  <c r="AY84"/>
  <c r="AC47" i="6"/>
  <c r="V64" s="1"/>
  <c r="AD46"/>
  <c r="AI46"/>
  <c r="BA26" i="8"/>
  <c r="BB26" s="1"/>
  <c r="BB33"/>
  <c r="BB27" s="1"/>
  <c r="BA27"/>
  <c r="BE26" i="7"/>
  <c r="AC46" i="5"/>
  <c r="AH46"/>
  <c r="P13" i="21"/>
  <c r="N16"/>
  <c r="O13" s="1"/>
  <c r="K29"/>
  <c r="I32"/>
  <c r="J29"/>
  <c r="J32" s="1"/>
  <c r="P29"/>
  <c r="AJ81" i="8"/>
  <c r="AF16"/>
  <c r="Y84"/>
  <c r="AF84" s="1"/>
  <c r="T60"/>
  <c r="AN114" i="7"/>
  <c r="D21" i="85" s="1"/>
  <c r="I21" s="1"/>
  <c r="AD116" i="7"/>
  <c r="AM129"/>
  <c r="BD129"/>
  <c r="AH135"/>
  <c r="AH133"/>
  <c r="AM115"/>
  <c r="BD115"/>
  <c r="AN116"/>
  <c r="AD114"/>
  <c r="AD115"/>
  <c r="AL45"/>
  <c r="BH45" s="1"/>
  <c r="BH56"/>
  <c r="BD56"/>
  <c r="Z16" i="8"/>
  <c r="AS45" i="7"/>
  <c r="AS28"/>
  <c r="AE25"/>
  <c r="AE17" s="1"/>
  <c r="AE8"/>
  <c r="U43"/>
  <c r="AE41"/>
  <c r="AE35" s="1"/>
  <c r="AF33"/>
  <c r="BG33" s="1"/>
  <c r="BV33" s="1"/>
  <c r="AA27"/>
  <c r="AB27" s="1"/>
  <c r="AQ41"/>
  <c r="Q42"/>
  <c r="W50" i="5"/>
  <c r="AA42" i="7" s="1"/>
  <c r="AP42" s="1"/>
  <c r="P42"/>
  <c r="O38"/>
  <c r="P38" s="1"/>
  <c r="AZ51" i="9"/>
  <c r="BG48"/>
  <c r="BG52"/>
  <c r="AZ54"/>
  <c r="BE54"/>
  <c r="BA59"/>
  <c r="AQ58"/>
  <c r="BA58"/>
  <c r="BA57"/>
  <c r="M48" i="3"/>
  <c r="W48"/>
  <c r="Z39" i="8"/>
  <c r="Z40" s="1"/>
  <c r="Y40"/>
  <c r="AF39"/>
  <c r="AA24" i="7"/>
  <c r="AA117" s="1"/>
  <c r="AI117" s="1"/>
  <c r="AI23"/>
  <c r="AB23"/>
  <c r="AB116" s="1"/>
  <c r="AP23"/>
  <c r="AC23"/>
  <c r="AC116" s="1"/>
  <c r="AM23"/>
  <c r="P15" i="8"/>
  <c r="P8" s="1"/>
  <c r="P49" s="1"/>
  <c r="R14"/>
  <c r="R15" s="1"/>
  <c r="Q14"/>
  <c r="Q15" s="1"/>
  <c r="AI33" i="7"/>
  <c r="AP33"/>
  <c r="AQ33" s="1"/>
  <c r="AF13" i="8"/>
  <c r="Z13"/>
  <c r="Y14"/>
  <c r="Y82" s="1"/>
  <c r="AF82" s="1"/>
  <c r="AJ13"/>
  <c r="D26" i="32"/>
  <c r="AN44" i="7" s="1"/>
  <c r="AO44" s="1"/>
  <c r="AH8" i="17"/>
  <c r="AI8" s="1"/>
  <c r="AK8"/>
  <c r="AO8"/>
  <c r="S27" i="7"/>
  <c r="Z27"/>
  <c r="R27"/>
  <c r="T24" i="17"/>
  <c r="AT24" s="1"/>
  <c r="T35"/>
  <c r="AD11" i="19"/>
  <c r="AF10"/>
  <c r="AR32" i="7"/>
  <c r="AS32" s="1"/>
  <c r="T37" i="17"/>
  <c r="AT37" s="1"/>
  <c r="AX29"/>
  <c r="V29"/>
  <c r="BC29"/>
  <c r="AK30" i="8"/>
  <c r="AJ30"/>
  <c r="AI31"/>
  <c r="E67" i="7"/>
  <c r="AP10" i="11"/>
  <c r="AM32" s="1"/>
  <c r="AL32" s="1"/>
  <c r="AP32" s="1"/>
  <c r="AO29" i="7"/>
  <c r="AO13"/>
  <c r="AO31"/>
  <c r="AL31" s="1"/>
  <c r="AN32"/>
  <c r="AN40"/>
  <c r="AO39"/>
  <c r="AL39" s="1"/>
  <c r="E66"/>
  <c r="L66" s="1"/>
  <c r="L68" s="1"/>
  <c r="AN14"/>
  <c r="X51"/>
  <c r="AO10"/>
  <c r="AP52" i="9"/>
  <c r="AN52"/>
  <c r="AO36" i="7"/>
  <c r="AM56"/>
  <c r="AM55" i="9"/>
  <c r="AP55" s="1"/>
  <c r="AP9" i="11"/>
  <c r="AM31" s="1"/>
  <c r="AL31" s="1"/>
  <c r="AP31" s="1"/>
  <c r="W51" i="7"/>
  <c r="V56" i="9"/>
  <c r="T50"/>
  <c r="Q50"/>
  <c r="L72" i="7"/>
  <c r="L74" s="1"/>
  <c r="AK15" i="11"/>
  <c r="Q19" i="7" s="1"/>
  <c r="S19" s="1"/>
  <c r="AH63"/>
  <c r="Q18"/>
  <c r="AC13" i="9"/>
  <c r="AQ59"/>
  <c r="AM50"/>
  <c r="AP8" i="11"/>
  <c r="AA68" i="7"/>
  <c r="S73"/>
  <c r="Z9" i="9"/>
  <c r="AA9" s="1"/>
  <c r="AB13"/>
  <c r="AM48"/>
  <c r="AQ57"/>
  <c r="AP11" i="11"/>
  <c r="AM33" s="1"/>
  <c r="AL33" s="1"/>
  <c r="AP33" s="1"/>
  <c r="AP7"/>
  <c r="Z71" i="7"/>
  <c r="T91" s="1"/>
  <c r="X54" i="6"/>
  <c r="AC50" s="1"/>
  <c r="V113" s="1"/>
  <c r="X53"/>
  <c r="AC49" s="1"/>
  <c r="V100" s="1"/>
  <c r="AB52"/>
  <c r="AC51"/>
  <c r="AF26" i="8"/>
  <c r="Z26"/>
  <c r="AM26" s="1"/>
  <c r="AF41"/>
  <c r="Z41"/>
  <c r="Y34"/>
  <c r="AF34" s="1"/>
  <c r="AF33"/>
  <c r="Z27"/>
  <c r="Y27"/>
  <c r="AF27" s="1"/>
  <c r="AC26" i="7"/>
  <c r="AI26"/>
  <c r="AP26"/>
  <c r="AB26"/>
  <c r="AB47" i="5"/>
  <c r="AB51" s="1"/>
  <c r="AB49"/>
  <c r="Q9" i="8"/>
  <c r="R9"/>
  <c r="V55" i="9"/>
  <c r="O55"/>
  <c r="S55" s="1"/>
  <c r="AQ15" i="7"/>
  <c r="BA52" i="9" l="1"/>
  <c r="BF27" i="8"/>
  <c r="CB12" i="19"/>
  <c r="CA49"/>
  <c r="CH12"/>
  <c r="CG49"/>
  <c r="BI42" i="7"/>
  <c r="BJ42" s="1"/>
  <c r="BV42"/>
  <c r="BI34"/>
  <c r="BJ34" s="1"/>
  <c r="BV34"/>
  <c r="BI26"/>
  <c r="BV26"/>
  <c r="BR84" i="8"/>
  <c r="BV84"/>
  <c r="BE84"/>
  <c r="AS14" i="7"/>
  <c r="K32" i="11"/>
  <c r="O32" s="1"/>
  <c r="K31"/>
  <c r="O31" s="1"/>
  <c r="Z81" i="8"/>
  <c r="BF34"/>
  <c r="AP50" i="72"/>
  <c r="AN50"/>
  <c r="AN51" s="1"/>
  <c r="Q50"/>
  <c r="V50" s="1"/>
  <c r="T50"/>
  <c r="BG119" i="7"/>
  <c r="BV119" s="1"/>
  <c r="BI16"/>
  <c r="V56" i="72"/>
  <c r="P48"/>
  <c r="AQ48"/>
  <c r="BA48"/>
  <c r="AM51"/>
  <c r="AP51" s="1"/>
  <c r="BR29" i="17"/>
  <c r="AN57" i="19"/>
  <c r="AN60" s="1"/>
  <c r="AB44" i="7"/>
  <c r="AP44"/>
  <c r="AI44"/>
  <c r="AA43"/>
  <c r="AC44"/>
  <c r="Q8" i="8"/>
  <c r="Q49" s="1"/>
  <c r="W20" i="70"/>
  <c r="V21"/>
  <c r="AN26" i="7"/>
  <c r="AL26" s="1"/>
  <c r="BH26" s="1"/>
  <c r="D39" i="63"/>
  <c r="D36"/>
  <c r="AQ16" i="7"/>
  <c r="AR16" s="1"/>
  <c r="AS16" s="1"/>
  <c r="AI39" i="8"/>
  <c r="BC40"/>
  <c r="BR40" s="1"/>
  <c r="BJ33" i="7"/>
  <c r="BI33"/>
  <c r="AK39" i="8"/>
  <c r="BE40"/>
  <c r="CK39" s="1"/>
  <c r="AM45" i="7"/>
  <c r="AZ30" i="8"/>
  <c r="AY27"/>
  <c r="Z18"/>
  <c r="Z78" s="1"/>
  <c r="AP27" i="7"/>
  <c r="BC118"/>
  <c r="AC42"/>
  <c r="AC35" s="1"/>
  <c r="AI27"/>
  <c r="Y17" i="8"/>
  <c r="AF17" s="1"/>
  <c r="BC17" i="7"/>
  <c r="BC119"/>
  <c r="BD45"/>
  <c r="AC27"/>
  <c r="AQ34"/>
  <c r="AR34" s="1"/>
  <c r="AS34" s="1"/>
  <c r="AA20" i="8"/>
  <c r="AA79" s="1"/>
  <c r="AF18"/>
  <c r="AA24"/>
  <c r="AA82" s="1"/>
  <c r="P110"/>
  <c r="Z25"/>
  <c r="BE25" s="1"/>
  <c r="AI18"/>
  <c r="BD18" s="1"/>
  <c r="Q110"/>
  <c r="AM19"/>
  <c r="AM83" s="1"/>
  <c r="Z79"/>
  <c r="BF31" i="7"/>
  <c r="BF32" s="1"/>
  <c r="BF33" s="1"/>
  <c r="AM23" i="8"/>
  <c r="AM81" s="1"/>
  <c r="G110"/>
  <c r="BB81"/>
  <c r="BB24"/>
  <c r="BF14" i="7"/>
  <c r="BR24" i="17"/>
  <c r="BR35"/>
  <c r="BT35" s="1"/>
  <c r="BI17" i="7"/>
  <c r="BG24"/>
  <c r="BT29" i="17"/>
  <c r="BR37"/>
  <c r="BI40" i="7"/>
  <c r="BJ40"/>
  <c r="AA35"/>
  <c r="BC35"/>
  <c r="BA13" i="8"/>
  <c r="BA14" s="1"/>
  <c r="AY81"/>
  <c r="AZ81" s="1"/>
  <c r="AZ13"/>
  <c r="BL35" i="17"/>
  <c r="BX35"/>
  <c r="AB42" i="7"/>
  <c r="AB119" s="1"/>
  <c r="BE27" i="8"/>
  <c r="BE33" i="7"/>
  <c r="BE27" s="1"/>
  <c r="BG45" i="11"/>
  <c r="BL29" i="17"/>
  <c r="BX29"/>
  <c r="BA37"/>
  <c r="BP37" s="1"/>
  <c r="AA19" i="8"/>
  <c r="AA83" s="1"/>
  <c r="BE116" i="7"/>
  <c r="BE14"/>
  <c r="BA24" i="8"/>
  <c r="BC113" i="7"/>
  <c r="X100" i="6"/>
  <c r="Y100" s="1"/>
  <c r="V104"/>
  <c r="V105"/>
  <c r="V101"/>
  <c r="V102"/>
  <c r="V107"/>
  <c r="V106"/>
  <c r="V108"/>
  <c r="V110"/>
  <c r="V112"/>
  <c r="X64"/>
  <c r="V65"/>
  <c r="V66"/>
  <c r="V67"/>
  <c r="V68"/>
  <c r="V70"/>
  <c r="V71"/>
  <c r="V73"/>
  <c r="V123"/>
  <c r="V124" s="1"/>
  <c r="V75"/>
  <c r="V76"/>
  <c r="V77"/>
  <c r="V78"/>
  <c r="V79"/>
  <c r="V80"/>
  <c r="V81"/>
  <c r="V83"/>
  <c r="V84"/>
  <c r="V85"/>
  <c r="V86"/>
  <c r="X74"/>
  <c r="Y74" s="1"/>
  <c r="V89"/>
  <c r="V91"/>
  <c r="V92"/>
  <c r="V93"/>
  <c r="V94"/>
  <c r="V96"/>
  <c r="V97"/>
  <c r="V98"/>
  <c r="V99"/>
  <c r="X113"/>
  <c r="Y113" s="1"/>
  <c r="V115"/>
  <c r="V117"/>
  <c r="V119"/>
  <c r="V121"/>
  <c r="V114"/>
  <c r="V116"/>
  <c r="V122"/>
  <c r="BG54" i="9"/>
  <c r="BE17" i="7"/>
  <c r="BE113"/>
  <c r="BA84" i="8"/>
  <c r="BB84"/>
  <c r="BF42" i="7"/>
  <c r="BF35" s="1"/>
  <c r="BE35"/>
  <c r="BE119"/>
  <c r="K32" i="21"/>
  <c r="P32"/>
  <c r="O10"/>
  <c r="O29"/>
  <c r="O26"/>
  <c r="O25"/>
  <c r="O32" s="1"/>
  <c r="O15"/>
  <c r="O27"/>
  <c r="O12"/>
  <c r="O30"/>
  <c r="O31"/>
  <c r="P16"/>
  <c r="O14"/>
  <c r="O28"/>
  <c r="O11"/>
  <c r="O9"/>
  <c r="AL23" i="8"/>
  <c r="AL81" s="1"/>
  <c r="AA81"/>
  <c r="AN20"/>
  <c r="AM79"/>
  <c r="Y89"/>
  <c r="BC30"/>
  <c r="BU30" s="1"/>
  <c r="Z84"/>
  <c r="R8"/>
  <c r="R49" s="1"/>
  <c r="Z34"/>
  <c r="AZ31"/>
  <c r="AZ39"/>
  <c r="AO116" i="7"/>
  <c r="AH136"/>
  <c r="AO114"/>
  <c r="AA119"/>
  <c r="AI119" s="1"/>
  <c r="AB50" i="5"/>
  <c r="AN42" i="7" s="1"/>
  <c r="AO42" s="1"/>
  <c r="AI42"/>
  <c r="AV33"/>
  <c r="AV27" s="1"/>
  <c r="AY33"/>
  <c r="AY27" s="1"/>
  <c r="BH39"/>
  <c r="BD39"/>
  <c r="BH31"/>
  <c r="BD31"/>
  <c r="AV117"/>
  <c r="AV124" s="1"/>
  <c r="AD27"/>
  <c r="AG27"/>
  <c r="BC35" i="17"/>
  <c r="AT35"/>
  <c r="AR41" i="7"/>
  <c r="T42"/>
  <c r="T35" s="1"/>
  <c r="R42"/>
  <c r="Z42"/>
  <c r="S42"/>
  <c r="Q35"/>
  <c r="AX51" i="9"/>
  <c r="BE51" s="1"/>
  <c r="BG51"/>
  <c r="BA54"/>
  <c r="AZ55"/>
  <c r="Z19" i="7"/>
  <c r="AK31" i="8"/>
  <c r="AF14"/>
  <c r="Z14"/>
  <c r="Y15"/>
  <c r="BC15" s="1"/>
  <c r="BR15" s="1"/>
  <c r="AK40"/>
  <c r="AQ23" i="7"/>
  <c r="AR23" s="1"/>
  <c r="AS23" s="1"/>
  <c r="AO37" i="17"/>
  <c r="V37"/>
  <c r="AA37"/>
  <c r="AX37"/>
  <c r="AF11" i="19"/>
  <c r="AD49"/>
  <c r="AH56" s="1"/>
  <c r="T36" i="17"/>
  <c r="AT36" s="1"/>
  <c r="V24"/>
  <c r="AX24"/>
  <c r="BC24"/>
  <c r="AR33" i="7"/>
  <c r="AS33" s="1"/>
  <c r="AI24"/>
  <c r="AP24"/>
  <c r="AB24"/>
  <c r="AB117" s="1"/>
  <c r="AC24"/>
  <c r="AA25"/>
  <c r="AJ39" i="8"/>
  <c r="AI40"/>
  <c r="T19" i="7"/>
  <c r="AN15"/>
  <c r="R19"/>
  <c r="AM31"/>
  <c r="AL36"/>
  <c r="AI9" i="8"/>
  <c r="AQ52" i="9"/>
  <c r="AN41" i="7"/>
  <c r="AL13"/>
  <c r="AL116" s="1"/>
  <c r="AO14"/>
  <c r="W60"/>
  <c r="W57"/>
  <c r="E81"/>
  <c r="G66"/>
  <c r="Q66" s="1"/>
  <c r="AL10"/>
  <c r="AM39"/>
  <c r="AO32"/>
  <c r="AL29"/>
  <c r="X60"/>
  <c r="X57"/>
  <c r="AO40"/>
  <c r="AN33"/>
  <c r="AN55" i="9"/>
  <c r="E68" i="7"/>
  <c r="E78" s="1"/>
  <c r="AO43"/>
  <c r="AA18"/>
  <c r="V50" i="9"/>
  <c r="P51"/>
  <c r="T51" s="1"/>
  <c r="Q48"/>
  <c r="T48"/>
  <c r="L29" i="11"/>
  <c r="K29" s="1"/>
  <c r="O29" s="1"/>
  <c r="AN24" i="8"/>
  <c r="AL44" i="7"/>
  <c r="BH44" s="1"/>
  <c r="AN43"/>
  <c r="AN120" s="1"/>
  <c r="D15" i="85" s="1"/>
  <c r="D13" s="1"/>
  <c r="U91" i="7"/>
  <c r="U93" s="1"/>
  <c r="T93"/>
  <c r="AP48" i="9"/>
  <c r="AN48"/>
  <c r="BA48" s="1"/>
  <c r="AM51"/>
  <c r="AP51" s="1"/>
  <c r="Z18" i="7"/>
  <c r="R18"/>
  <c r="T18"/>
  <c r="S18"/>
  <c r="S17" s="1"/>
  <c r="Q17"/>
  <c r="AP50" i="9"/>
  <c r="AN50"/>
  <c r="BA50" s="1"/>
  <c r="AM29" i="11"/>
  <c r="AL29" s="1"/>
  <c r="AP29" s="1"/>
  <c r="AP39" s="1"/>
  <c r="AI26" i="8"/>
  <c r="AC52" i="6"/>
  <c r="AI33" i="8"/>
  <c r="AC53" i="6"/>
  <c r="AI41" i="8"/>
  <c r="AC54" i="6"/>
  <c r="AA26" i="8"/>
  <c r="AA84" s="1"/>
  <c r="AN26"/>
  <c r="AO26" s="1"/>
  <c r="AO84" s="1"/>
  <c r="AK16"/>
  <c r="AI16"/>
  <c r="AB53" i="5"/>
  <c r="AN16" i="7"/>
  <c r="AN34"/>
  <c r="AO34" s="1"/>
  <c r="AQ26"/>
  <c r="AR26" s="1"/>
  <c r="AS26" s="1"/>
  <c r="P59" i="8"/>
  <c r="Q59" s="1"/>
  <c r="P60"/>
  <c r="Q60" s="1"/>
  <c r="P63"/>
  <c r="AR15" i="7"/>
  <c r="CI12" i="19" l="1"/>
  <c r="CH49"/>
  <c r="CC12"/>
  <c r="CD12"/>
  <c r="CB49"/>
  <c r="CM30" i="8"/>
  <c r="CI30"/>
  <c r="CK34"/>
  <c r="CH39"/>
  <c r="BV24" i="7"/>
  <c r="BY24"/>
  <c r="BW30" i="8"/>
  <c r="BU31"/>
  <c r="BV30"/>
  <c r="BU27"/>
  <c r="BR30"/>
  <c r="O39" i="11"/>
  <c r="AA19" i="7" s="1"/>
  <c r="BE39" i="8"/>
  <c r="BE34" s="1"/>
  <c r="BE24"/>
  <c r="AQ44" i="7"/>
  <c r="AR44" s="1"/>
  <c r="AS44" s="1"/>
  <c r="BH116"/>
  <c r="BJ41"/>
  <c r="BG17"/>
  <c r="BJ32"/>
  <c r="BI32"/>
  <c r="AO59" i="19"/>
  <c r="AP59" s="1"/>
  <c r="AO56"/>
  <c r="BM8" s="1"/>
  <c r="BA51" i="72"/>
  <c r="AQ51"/>
  <c r="AL51"/>
  <c r="AO51" s="1"/>
  <c r="AC43" i="7"/>
  <c r="AC120" s="1"/>
  <c r="AD44"/>
  <c r="AD43" s="1"/>
  <c r="AD120" s="1"/>
  <c r="AA120"/>
  <c r="AI120" s="1"/>
  <c r="AI43"/>
  <c r="AP43"/>
  <c r="AB43"/>
  <c r="AB120" s="1"/>
  <c r="T48" i="72"/>
  <c r="P51"/>
  <c r="T51" s="1"/>
  <c r="Q48"/>
  <c r="BI119" i="7"/>
  <c r="BJ16"/>
  <c r="BJ119" s="1"/>
  <c r="AQ50" i="72"/>
  <c r="BA50"/>
  <c r="AO57" i="19"/>
  <c r="BN8" s="1"/>
  <c r="F12" i="63"/>
  <c r="BE47" i="8" s="1"/>
  <c r="F32" i="63"/>
  <c r="P19" i="90" s="1"/>
  <c r="F22" i="63"/>
  <c r="BQ47" i="8" s="1"/>
  <c r="AQ27" i="7"/>
  <c r="AR27" s="1"/>
  <c r="AS27" s="1"/>
  <c r="Z17" i="8"/>
  <c r="BD26" i="7"/>
  <c r="AM26"/>
  <c r="AM18" i="8"/>
  <c r="AM78" s="1"/>
  <c r="AM89" s="1"/>
  <c r="AM98" s="1"/>
  <c r="U42" i="7"/>
  <c r="U35" s="1"/>
  <c r="U51" s="1"/>
  <c r="U57" s="1"/>
  <c r="AA18" i="8"/>
  <c r="AA78" s="1"/>
  <c r="AA89" s="1"/>
  <c r="AA96" s="1"/>
  <c r="AB35" i="7"/>
  <c r="AQ42"/>
  <c r="AR42" s="1"/>
  <c r="AS42" s="1"/>
  <c r="BF116"/>
  <c r="AJ18" i="8"/>
  <c r="AI35" i="7"/>
  <c r="AB54" i="5"/>
  <c r="AP35" i="7"/>
  <c r="AQ35" s="1"/>
  <c r="AC119"/>
  <c r="AD42"/>
  <c r="AD119" s="1"/>
  <c r="AV130"/>
  <c r="AV132"/>
  <c r="AN19" i="8"/>
  <c r="AO19" s="1"/>
  <c r="AO83" s="1"/>
  <c r="AN19" i="7"/>
  <c r="AN118" s="1"/>
  <c r="AK23" i="8"/>
  <c r="AK81" s="1"/>
  <c r="AL19"/>
  <c r="AL83" s="1"/>
  <c r="BA81"/>
  <c r="AA25"/>
  <c r="BF25" s="1"/>
  <c r="AL24"/>
  <c r="AL82" s="1"/>
  <c r="AI78"/>
  <c r="AN23"/>
  <c r="AN81" s="1"/>
  <c r="BC32" i="7"/>
  <c r="BC33" s="1"/>
  <c r="BC27" s="1"/>
  <c r="BF27"/>
  <c r="BL37" i="17"/>
  <c r="BX37"/>
  <c r="BF117" i="7"/>
  <c r="BF15"/>
  <c r="BF8" s="1"/>
  <c r="BC37" i="17"/>
  <c r="BC14" i="7"/>
  <c r="BE15"/>
  <c r="BE8" s="1"/>
  <c r="BE117"/>
  <c r="BA15" i="8"/>
  <c r="BA8" s="1"/>
  <c r="AY14"/>
  <c r="BA82"/>
  <c r="BG40" i="7"/>
  <c r="BY40" s="1"/>
  <c r="BI41"/>
  <c r="BT37" i="17"/>
  <c r="BB82" i="8"/>
  <c r="BB25"/>
  <c r="AN48" i="7"/>
  <c r="AN121" s="1"/>
  <c r="O16" i="21"/>
  <c r="BA25" i="8"/>
  <c r="AY24"/>
  <c r="AY83"/>
  <c r="AZ83" s="1"/>
  <c r="BA19"/>
  <c r="BA83" s="1"/>
  <c r="AZ19"/>
  <c r="BT24" i="17"/>
  <c r="BR36"/>
  <c r="BT36" s="1"/>
  <c r="X122" i="6"/>
  <c r="Y122" s="1"/>
  <c r="Z122"/>
  <c r="X114"/>
  <c r="Y114" s="1"/>
  <c r="Z114"/>
  <c r="X121"/>
  <c r="Y121" s="1"/>
  <c r="Z121"/>
  <c r="AC121"/>
  <c r="AJ121"/>
  <c r="AL121"/>
  <c r="AP121"/>
  <c r="AW121"/>
  <c r="AY121"/>
  <c r="AQ121"/>
  <c r="AB121"/>
  <c r="AK121"/>
  <c r="AO121"/>
  <c r="V120"/>
  <c r="X120" s="1"/>
  <c r="AX121"/>
  <c r="X117"/>
  <c r="Y117" s="1"/>
  <c r="Z117"/>
  <c r="X98"/>
  <c r="Y98" s="1"/>
  <c r="Z98"/>
  <c r="X96"/>
  <c r="Y96" s="1"/>
  <c r="Z96"/>
  <c r="AC96"/>
  <c r="AJ96"/>
  <c r="AL96"/>
  <c r="AP96"/>
  <c r="AW96"/>
  <c r="AY96"/>
  <c r="V95"/>
  <c r="AB96"/>
  <c r="AK96"/>
  <c r="AO96"/>
  <c r="AQ96"/>
  <c r="AX96"/>
  <c r="X93"/>
  <c r="Y93" s="1"/>
  <c r="Z93"/>
  <c r="V90"/>
  <c r="AB91"/>
  <c r="AK91"/>
  <c r="AW91"/>
  <c r="X91"/>
  <c r="Y91" s="1"/>
  <c r="Z91"/>
  <c r="AC91"/>
  <c r="AJ91"/>
  <c r="AQ91"/>
  <c r="AX91"/>
  <c r="Z85"/>
  <c r="X85"/>
  <c r="Y85" s="1"/>
  <c r="Z83"/>
  <c r="X83"/>
  <c r="Y83" s="1"/>
  <c r="X80"/>
  <c r="Y80" s="1"/>
  <c r="Z80"/>
  <c r="X78"/>
  <c r="Y78" s="1"/>
  <c r="Z78"/>
  <c r="X76"/>
  <c r="Y76" s="1"/>
  <c r="V72"/>
  <c r="AB73"/>
  <c r="AB72" s="1"/>
  <c r="AK73"/>
  <c r="AK72" s="1"/>
  <c r="AO73"/>
  <c r="AQ73"/>
  <c r="AQ72" s="1"/>
  <c r="AX73"/>
  <c r="AX72" s="1"/>
  <c r="Z73"/>
  <c r="AJ73"/>
  <c r="AY73"/>
  <c r="X73"/>
  <c r="Y73" s="1"/>
  <c r="AC73"/>
  <c r="AC72" s="1"/>
  <c r="AL73"/>
  <c r="AL72" s="1"/>
  <c r="AP73"/>
  <c r="AP72" s="1"/>
  <c r="AW73"/>
  <c r="X70"/>
  <c r="Y70" s="1"/>
  <c r="Z70"/>
  <c r="V69"/>
  <c r="X65"/>
  <c r="Z65"/>
  <c r="Y65"/>
  <c r="X110"/>
  <c r="Y110" s="1"/>
  <c r="Z110"/>
  <c r="V109"/>
  <c r="X106"/>
  <c r="Y106" s="1"/>
  <c r="Z106"/>
  <c r="X102"/>
  <c r="Y102" s="1"/>
  <c r="AO102"/>
  <c r="X104"/>
  <c r="Y104" s="1"/>
  <c r="Z104"/>
  <c r="X116"/>
  <c r="Y116" s="1"/>
  <c r="Z116"/>
  <c r="X119"/>
  <c r="Y119" s="1"/>
  <c r="Y118" s="1"/>
  <c r="Z119"/>
  <c r="V118"/>
  <c r="X118" s="1"/>
  <c r="X115"/>
  <c r="Y115" s="1"/>
  <c r="X99"/>
  <c r="Y99" s="1"/>
  <c r="Z99"/>
  <c r="X97"/>
  <c r="Y97" s="1"/>
  <c r="Z97"/>
  <c r="X94"/>
  <c r="Y94" s="1"/>
  <c r="Z94"/>
  <c r="X92"/>
  <c r="Y92" s="1"/>
  <c r="Z92"/>
  <c r="X89"/>
  <c r="Y89" s="1"/>
  <c r="Z89"/>
  <c r="X86"/>
  <c r="Y86" s="1"/>
  <c r="Z86"/>
  <c r="X84"/>
  <c r="Y84" s="1"/>
  <c r="Z84"/>
  <c r="Z81"/>
  <c r="X81"/>
  <c r="Y81" s="1"/>
  <c r="Z79"/>
  <c r="X79"/>
  <c r="Y79" s="1"/>
  <c r="Z77"/>
  <c r="X77"/>
  <c r="Y77" s="1"/>
  <c r="Z75"/>
  <c r="X75"/>
  <c r="Y75" s="1"/>
  <c r="X71"/>
  <c r="Z71"/>
  <c r="Y71"/>
  <c r="X68"/>
  <c r="Y68" s="1"/>
  <c r="Z68"/>
  <c r="X66"/>
  <c r="Y66" s="1"/>
  <c r="X112"/>
  <c r="Y112" s="1"/>
  <c r="Z112"/>
  <c r="V111"/>
  <c r="X108"/>
  <c r="Y108" s="1"/>
  <c r="Z108"/>
  <c r="X107"/>
  <c r="Y107" s="1"/>
  <c r="Z107"/>
  <c r="X101"/>
  <c r="Y101" s="1"/>
  <c r="Z101"/>
  <c r="X105"/>
  <c r="Y105" s="1"/>
  <c r="Z105"/>
  <c r="X123"/>
  <c r="X124" s="1"/>
  <c r="Y64"/>
  <c r="Y123" s="1"/>
  <c r="Y124" s="1"/>
  <c r="X67"/>
  <c r="Z67"/>
  <c r="Y67"/>
  <c r="BA18" i="8"/>
  <c r="AY78"/>
  <c r="AZ18"/>
  <c r="BF119" i="7"/>
  <c r="AI84" i="8"/>
  <c r="Z15"/>
  <c r="Z82"/>
  <c r="Z89" s="1"/>
  <c r="AO24"/>
  <c r="AO82" s="1"/>
  <c r="AN82"/>
  <c r="BD30"/>
  <c r="AF89"/>
  <c r="Y96"/>
  <c r="AF96" s="1"/>
  <c r="Y98"/>
  <c r="AO20"/>
  <c r="AO79" s="1"/>
  <c r="AN79"/>
  <c r="AI27"/>
  <c r="AJ27" s="1"/>
  <c r="BD33"/>
  <c r="AZ33"/>
  <c r="AZ26"/>
  <c r="BD26"/>
  <c r="BD9"/>
  <c r="AZ9"/>
  <c r="AZ16"/>
  <c r="BD16"/>
  <c r="AJ41"/>
  <c r="BD41"/>
  <c r="AZ41"/>
  <c r="AZ40"/>
  <c r="BD40"/>
  <c r="AO120" i="7"/>
  <c r="AC19"/>
  <c r="AC118" s="1"/>
  <c r="AA118"/>
  <c r="AI118" s="1"/>
  <c r="AM116"/>
  <c r="BD116"/>
  <c r="AC25"/>
  <c r="AC117"/>
  <c r="AN119"/>
  <c r="AL114"/>
  <c r="AO117"/>
  <c r="BH36"/>
  <c r="BD36"/>
  <c r="BH29"/>
  <c r="BD29"/>
  <c r="BH10"/>
  <c r="BD10"/>
  <c r="BD13"/>
  <c r="BH13"/>
  <c r="BD44"/>
  <c r="AV15"/>
  <c r="AV8" s="1"/>
  <c r="AV51" s="1"/>
  <c r="AS15"/>
  <c r="AS41"/>
  <c r="AF27"/>
  <c r="R35"/>
  <c r="S35"/>
  <c r="S51" s="1"/>
  <c r="Z35"/>
  <c r="AX55" i="9"/>
  <c r="BE55" s="1"/>
  <c r="BG55"/>
  <c r="AQ55"/>
  <c r="BA55"/>
  <c r="AJ33" i="8"/>
  <c r="AN25" i="7"/>
  <c r="AP25"/>
  <c r="AI25"/>
  <c r="AN24"/>
  <c r="AN117" s="1"/>
  <c r="AX36" i="17"/>
  <c r="AA36"/>
  <c r="V36"/>
  <c r="AO36"/>
  <c r="BC36"/>
  <c r="AD50" i="19"/>
  <c r="AF49"/>
  <c r="AI15" i="8"/>
  <c r="Y8"/>
  <c r="AQ24" i="7"/>
  <c r="AR24" s="1"/>
  <c r="AS24" s="1"/>
  <c r="AI19"/>
  <c r="R17"/>
  <c r="AL55" i="9"/>
  <c r="AO55" s="1"/>
  <c r="T17" i="7"/>
  <c r="T51" s="1"/>
  <c r="T57" s="1"/>
  <c r="T60" s="1"/>
  <c r="AM36"/>
  <c r="AM10"/>
  <c r="AO15"/>
  <c r="AL14"/>
  <c r="AL40"/>
  <c r="AO41"/>
  <c r="AP19"/>
  <c r="AB19"/>
  <c r="AB118" s="1"/>
  <c r="AL32"/>
  <c r="AO33"/>
  <c r="AO27" s="1"/>
  <c r="AJ9" i="8"/>
  <c r="AK9"/>
  <c r="AM29" i="7"/>
  <c r="AM13"/>
  <c r="AM44"/>
  <c r="AL43"/>
  <c r="AL120" s="1"/>
  <c r="V48" i="9"/>
  <c r="Q51"/>
  <c r="AA9" i="7"/>
  <c r="AA113" s="1"/>
  <c r="AI18"/>
  <c r="AC18"/>
  <c r="AP18"/>
  <c r="AA17"/>
  <c r="AB18"/>
  <c r="AQ50" i="9"/>
  <c r="AN18" i="7"/>
  <c r="Q51"/>
  <c r="Z17"/>
  <c r="AN9"/>
  <c r="AQ48" i="9"/>
  <c r="AN51"/>
  <c r="BA51" s="1"/>
  <c r="AI17" i="8"/>
  <c r="AJ26"/>
  <c r="AI34"/>
  <c r="AJ16"/>
  <c r="AM16"/>
  <c r="AM84" s="1"/>
  <c r="AO16" i="7"/>
  <c r="AL34"/>
  <c r="AN27"/>
  <c r="AL42"/>
  <c r="AN35"/>
  <c r="P64" i="8"/>
  <c r="Q63"/>
  <c r="CB51" i="19" l="1"/>
  <c r="BD56"/>
  <c r="CD49"/>
  <c r="CE12"/>
  <c r="CC49"/>
  <c r="CK12"/>
  <c r="CI49"/>
  <c r="CL46" i="8" s="1"/>
  <c r="CQ48" i="7"/>
  <c r="CS48" s="1"/>
  <c r="CG51" i="19"/>
  <c r="CM27" i="8"/>
  <c r="CI27"/>
  <c r="CM31"/>
  <c r="CI31"/>
  <c r="CH40"/>
  <c r="CH34"/>
  <c r="CN24" i="7"/>
  <c r="CN40"/>
  <c r="BV31" i="8"/>
  <c r="E92" i="93"/>
  <c r="BY25" i="7"/>
  <c r="BZ24"/>
  <c r="CA24"/>
  <c r="BZ40"/>
  <c r="BS47" i="8"/>
  <c r="BS87" s="1"/>
  <c r="O17" i="87" s="1"/>
  <c r="BQ87" i="8"/>
  <c r="O19" i="90" s="1"/>
  <c r="O15" s="1"/>
  <c r="BW31" i="8"/>
  <c r="BN34" i="19"/>
  <c r="BN33"/>
  <c r="BN21"/>
  <c r="BN13"/>
  <c r="BN9"/>
  <c r="BN24"/>
  <c r="BN22"/>
  <c r="BN31"/>
  <c r="BN37"/>
  <c r="BN41"/>
  <c r="BN45"/>
  <c r="BN18"/>
  <c r="BN28"/>
  <c r="BN30"/>
  <c r="BN36"/>
  <c r="BN40"/>
  <c r="BN44"/>
  <c r="BN48"/>
  <c r="BN17"/>
  <c r="BN27"/>
  <c r="BN35"/>
  <c r="BN39"/>
  <c r="BN43"/>
  <c r="BN47"/>
  <c r="BN19"/>
  <c r="BN25"/>
  <c r="BN29"/>
  <c r="BN26"/>
  <c r="BN32"/>
  <c r="BN38"/>
  <c r="BN42"/>
  <c r="BN46"/>
  <c r="BN15"/>
  <c r="BM47"/>
  <c r="BM43"/>
  <c r="BM39"/>
  <c r="BM35"/>
  <c r="BM27"/>
  <c r="BM24"/>
  <c r="BM22"/>
  <c r="BM17"/>
  <c r="BM45"/>
  <c r="BM41"/>
  <c r="BM34"/>
  <c r="BM31"/>
  <c r="BM25"/>
  <c r="BM21"/>
  <c r="BM19"/>
  <c r="BM13"/>
  <c r="BM9"/>
  <c r="BM37"/>
  <c r="BM33"/>
  <c r="BM18"/>
  <c r="BM28"/>
  <c r="BM30"/>
  <c r="BM36"/>
  <c r="BM40"/>
  <c r="BM44"/>
  <c r="BM26"/>
  <c r="BM15"/>
  <c r="BM48"/>
  <c r="BM32"/>
  <c r="BM38"/>
  <c r="BM42"/>
  <c r="BM46"/>
  <c r="BM29"/>
  <c r="BD84" i="8"/>
  <c r="BD78"/>
  <c r="D14" i="90"/>
  <c r="BC39" i="8"/>
  <c r="BF24"/>
  <c r="E17" i="65"/>
  <c r="E13" s="1"/>
  <c r="F17"/>
  <c r="F13" s="1"/>
  <c r="D11" i="85"/>
  <c r="BG41" i="7"/>
  <c r="BV41" s="1"/>
  <c r="BJ35"/>
  <c r="BH120"/>
  <c r="D17" i="89"/>
  <c r="BH114" i="7"/>
  <c r="D23" i="89"/>
  <c r="D21" i="86" s="1"/>
  <c r="BI35" i="7"/>
  <c r="AM96" i="8"/>
  <c r="V48" i="72"/>
  <c r="Q51"/>
  <c r="AQ43" i="7"/>
  <c r="AT17" i="19"/>
  <c r="AT21"/>
  <c r="BK21" s="1"/>
  <c r="AT27"/>
  <c r="AT33"/>
  <c r="BK33" s="1"/>
  <c r="AT8"/>
  <c r="AT18"/>
  <c r="AT24"/>
  <c r="BK24" s="1"/>
  <c r="AT28"/>
  <c r="AT34"/>
  <c r="AV34" s="1"/>
  <c r="AT15"/>
  <c r="AT9"/>
  <c r="BK9" s="1"/>
  <c r="AT13"/>
  <c r="AT19"/>
  <c r="BK19" s="1"/>
  <c r="AT23"/>
  <c r="AT48"/>
  <c r="BK48" s="1"/>
  <c r="AT43"/>
  <c r="BK43" s="1"/>
  <c r="AT46"/>
  <c r="BK46" s="1"/>
  <c r="AT45"/>
  <c r="BK45" s="1"/>
  <c r="AT42"/>
  <c r="BK42" s="1"/>
  <c r="AT44"/>
  <c r="BK44" s="1"/>
  <c r="AT26"/>
  <c r="AT30"/>
  <c r="AT38"/>
  <c r="AT47"/>
  <c r="AT22"/>
  <c r="AT31"/>
  <c r="BK31" s="1"/>
  <c r="AT35"/>
  <c r="AT39"/>
  <c r="BK39" s="1"/>
  <c r="AT16"/>
  <c r="BK16" s="1"/>
  <c r="AT32"/>
  <c r="AT36"/>
  <c r="AT40"/>
  <c r="AT20"/>
  <c r="AT25"/>
  <c r="AT29"/>
  <c r="AT37"/>
  <c r="AT41"/>
  <c r="AT10"/>
  <c r="BK10" s="1"/>
  <c r="AT11"/>
  <c r="BK11" s="1"/>
  <c r="AP57"/>
  <c r="BC46" i="8" s="1"/>
  <c r="BV46" s="1"/>
  <c r="AS13" i="19"/>
  <c r="AS17"/>
  <c r="AS19"/>
  <c r="BJ19" s="1"/>
  <c r="AS27"/>
  <c r="AS33"/>
  <c r="BJ33" s="1"/>
  <c r="AS9"/>
  <c r="BJ9" s="1"/>
  <c r="AS15"/>
  <c r="AS18"/>
  <c r="AS21"/>
  <c r="BJ21" s="1"/>
  <c r="AS24"/>
  <c r="BJ24" s="1"/>
  <c r="AS28"/>
  <c r="AS34"/>
  <c r="AU34" s="1"/>
  <c r="BG34" s="1"/>
  <c r="AS8"/>
  <c r="BJ8" s="1"/>
  <c r="AS23"/>
  <c r="BJ23" s="1"/>
  <c r="AS48"/>
  <c r="BJ48" s="1"/>
  <c r="AS43"/>
  <c r="BJ43" s="1"/>
  <c r="AS46"/>
  <c r="BJ46" s="1"/>
  <c r="AS45"/>
  <c r="BJ45" s="1"/>
  <c r="AS42"/>
  <c r="BJ42" s="1"/>
  <c r="AS44"/>
  <c r="BJ44" s="1"/>
  <c r="AO60"/>
  <c r="AS26"/>
  <c r="AS30"/>
  <c r="AS38"/>
  <c r="AS47"/>
  <c r="AS22"/>
  <c r="AS31"/>
  <c r="BJ31" s="1"/>
  <c r="AS35"/>
  <c r="AS39"/>
  <c r="BJ39" s="1"/>
  <c r="AS16"/>
  <c r="BJ16" s="1"/>
  <c r="AS32"/>
  <c r="AS36"/>
  <c r="AS40"/>
  <c r="AS20"/>
  <c r="AS25"/>
  <c r="AS29"/>
  <c r="AS37"/>
  <c r="AS41"/>
  <c r="AS10"/>
  <c r="BJ10" s="1"/>
  <c r="AS11"/>
  <c r="BJ11" s="1"/>
  <c r="AP56"/>
  <c r="BC47" i="8"/>
  <c r="BE87"/>
  <c r="AM17"/>
  <c r="AM49" s="1"/>
  <c r="F36" i="63"/>
  <c r="U60" i="7"/>
  <c r="AN18" i="8"/>
  <c r="AN78" s="1"/>
  <c r="AN89" s="1"/>
  <c r="Z8"/>
  <c r="Z49" s="1"/>
  <c r="Z66" s="1"/>
  <c r="Z67" s="1"/>
  <c r="BE15"/>
  <c r="CK14" s="1"/>
  <c r="AL18"/>
  <c r="AL78" s="1"/>
  <c r="AA17"/>
  <c r="AA49" s="1"/>
  <c r="AA60" s="1"/>
  <c r="BI27" i="7"/>
  <c r="AL25" i="8"/>
  <c r="AK24"/>
  <c r="AK25" s="1"/>
  <c r="AO23"/>
  <c r="AO81" s="1"/>
  <c r="AD35" i="7"/>
  <c r="AL19"/>
  <c r="AL118" s="1"/>
  <c r="AV135"/>
  <c r="AV136" s="1"/>
  <c r="AV133"/>
  <c r="AN83" i="8"/>
  <c r="AZ78"/>
  <c r="AJ84"/>
  <c r="AJ78"/>
  <c r="AK19"/>
  <c r="AK83" s="1"/>
  <c r="BB19"/>
  <c r="BB83" s="1"/>
  <c r="BJ27" i="7"/>
  <c r="AZ24" i="8"/>
  <c r="AY25"/>
  <c r="AY17"/>
  <c r="AZ17" s="1"/>
  <c r="AY15"/>
  <c r="AZ15" s="1"/>
  <c r="AY82"/>
  <c r="AQ25" i="7"/>
  <c r="AR25" s="1"/>
  <c r="Y120" i="6"/>
  <c r="AC17" i="7"/>
  <c r="AQ19"/>
  <c r="AR19" s="1"/>
  <c r="BC15"/>
  <c r="BC117"/>
  <c r="AC67" i="6"/>
  <c r="AJ67"/>
  <c r="AL67"/>
  <c r="AP67"/>
  <c r="AW67"/>
  <c r="AY67"/>
  <c r="AB67"/>
  <c r="AD67" s="1"/>
  <c r="AK67"/>
  <c r="AO67"/>
  <c r="AQ67"/>
  <c r="AX67"/>
  <c r="AB105"/>
  <c r="AK105"/>
  <c r="AO105"/>
  <c r="AC105"/>
  <c r="AJ105"/>
  <c r="AL105"/>
  <c r="AP105"/>
  <c r="AW105"/>
  <c r="AY105"/>
  <c r="AQ105"/>
  <c r="AX105"/>
  <c r="AC107"/>
  <c r="AJ107"/>
  <c r="AL107"/>
  <c r="AP107"/>
  <c r="AW107"/>
  <c r="AY107"/>
  <c r="AB107"/>
  <c r="AD107" s="1"/>
  <c r="AK107"/>
  <c r="AO107"/>
  <c r="AQ107"/>
  <c r="AX107"/>
  <c r="X111"/>
  <c r="Y111" s="1"/>
  <c r="AC71"/>
  <c r="AJ71"/>
  <c r="AL71"/>
  <c r="AP71"/>
  <c r="AW71"/>
  <c r="AY71"/>
  <c r="AB71"/>
  <c r="AK71"/>
  <c r="AO71"/>
  <c r="AQ71"/>
  <c r="AX71"/>
  <c r="AB79"/>
  <c r="AK79"/>
  <c r="AO79"/>
  <c r="AQ79"/>
  <c r="AX79"/>
  <c r="AJ79"/>
  <c r="AY79"/>
  <c r="AC79"/>
  <c r="AL79"/>
  <c r="AP79"/>
  <c r="AW79"/>
  <c r="AZ79" s="1"/>
  <c r="AB86"/>
  <c r="AK86"/>
  <c r="AO86"/>
  <c r="AQ86"/>
  <c r="AX86"/>
  <c r="AC86"/>
  <c r="AL86"/>
  <c r="AP86"/>
  <c r="AW86"/>
  <c r="AJ86"/>
  <c r="AY86"/>
  <c r="AC94"/>
  <c r="AJ94"/>
  <c r="AL94"/>
  <c r="AP94"/>
  <c r="AW94"/>
  <c r="AY94"/>
  <c r="AB94"/>
  <c r="AK94"/>
  <c r="AO94"/>
  <c r="AQ94"/>
  <c r="AX94"/>
  <c r="AC99"/>
  <c r="AJ99"/>
  <c r="AL99"/>
  <c r="AP99"/>
  <c r="AW99"/>
  <c r="AY99"/>
  <c r="AB99"/>
  <c r="AK99"/>
  <c r="AO99"/>
  <c r="AQ99"/>
  <c r="AX99"/>
  <c r="AC116"/>
  <c r="AJ116"/>
  <c r="AL116"/>
  <c r="AP116"/>
  <c r="AW116"/>
  <c r="AY116"/>
  <c r="AQ116"/>
  <c r="AX116"/>
  <c r="AB116"/>
  <c r="AD116" s="1"/>
  <c r="AK116"/>
  <c r="AO116"/>
  <c r="AB104"/>
  <c r="AK104"/>
  <c r="AO104"/>
  <c r="AQ104"/>
  <c r="AX104"/>
  <c r="AC104"/>
  <c r="AJ104"/>
  <c r="AL104"/>
  <c r="AP104"/>
  <c r="AW104"/>
  <c r="AY104"/>
  <c r="AQ102"/>
  <c r="AX102"/>
  <c r="AP102"/>
  <c r="AR102" s="1"/>
  <c r="AS102" s="1"/>
  <c r="AW102"/>
  <c r="AY102"/>
  <c r="X109"/>
  <c r="Y109" s="1"/>
  <c r="X69"/>
  <c r="Y69" s="1"/>
  <c r="AY72"/>
  <c r="BA73"/>
  <c r="AD73"/>
  <c r="Z72"/>
  <c r="AD72" s="1"/>
  <c r="AB80"/>
  <c r="AK80"/>
  <c r="AO80"/>
  <c r="AQ80"/>
  <c r="AX80"/>
  <c r="AC80"/>
  <c r="AL80"/>
  <c r="AP80"/>
  <c r="AW80"/>
  <c r="AJ80"/>
  <c r="AY80"/>
  <c r="AB83"/>
  <c r="AD83" s="1"/>
  <c r="AK83"/>
  <c r="AO83"/>
  <c r="AQ83"/>
  <c r="AX83"/>
  <c r="AJ83"/>
  <c r="AY83"/>
  <c r="AC83"/>
  <c r="AL83"/>
  <c r="AP83"/>
  <c r="AW83"/>
  <c r="AR91"/>
  <c r="AC93"/>
  <c r="AJ93"/>
  <c r="AL93"/>
  <c r="AP93"/>
  <c r="AW93"/>
  <c r="AY93"/>
  <c r="AB93"/>
  <c r="AK93"/>
  <c r="AO93"/>
  <c r="AQ93"/>
  <c r="AX93"/>
  <c r="AR96"/>
  <c r="X95"/>
  <c r="Y95" s="1"/>
  <c r="AZ96"/>
  <c r="AC98"/>
  <c r="AJ98"/>
  <c r="AL98"/>
  <c r="AP98"/>
  <c r="AW98"/>
  <c r="AY98"/>
  <c r="AB98"/>
  <c r="AK98"/>
  <c r="AO98"/>
  <c r="AR98" s="1"/>
  <c r="AQ98"/>
  <c r="AX98"/>
  <c r="AR121"/>
  <c r="BA121"/>
  <c r="AM121"/>
  <c r="Z120"/>
  <c r="AD121"/>
  <c r="AN121" s="1"/>
  <c r="AS121" s="1"/>
  <c r="AC114"/>
  <c r="AJ114"/>
  <c r="AL114"/>
  <c r="Z115"/>
  <c r="AD114"/>
  <c r="AB114"/>
  <c r="AK114"/>
  <c r="X90"/>
  <c r="AC101"/>
  <c r="AJ101"/>
  <c r="AL101"/>
  <c r="AB101"/>
  <c r="AK101"/>
  <c r="AC108"/>
  <c r="AJ108"/>
  <c r="AL108"/>
  <c r="AP108"/>
  <c r="AW108"/>
  <c r="AY108"/>
  <c r="AQ108"/>
  <c r="AX108"/>
  <c r="AB108"/>
  <c r="AD108" s="1"/>
  <c r="AK108"/>
  <c r="AO108"/>
  <c r="Z111"/>
  <c r="AC112"/>
  <c r="AC111" s="1"/>
  <c r="AJ112"/>
  <c r="AL112"/>
  <c r="AL111" s="1"/>
  <c r="AP112"/>
  <c r="AP111" s="1"/>
  <c r="AW112"/>
  <c r="AY112"/>
  <c r="AQ112"/>
  <c r="AQ111" s="1"/>
  <c r="AX112"/>
  <c r="AX111" s="1"/>
  <c r="AB112"/>
  <c r="AB111" s="1"/>
  <c r="AK112"/>
  <c r="AK111" s="1"/>
  <c r="AO112"/>
  <c r="AC68"/>
  <c r="AJ68"/>
  <c r="AL68"/>
  <c r="AP68"/>
  <c r="AW68"/>
  <c r="AY68"/>
  <c r="AB68"/>
  <c r="AD68" s="1"/>
  <c r="AK68"/>
  <c r="AO68"/>
  <c r="AQ68"/>
  <c r="AX68"/>
  <c r="AB75"/>
  <c r="AK75"/>
  <c r="AJ75"/>
  <c r="AC75"/>
  <c r="AL75"/>
  <c r="Z76"/>
  <c r="AB77"/>
  <c r="AK77"/>
  <c r="AO77"/>
  <c r="AQ77"/>
  <c r="AX77"/>
  <c r="AJ77"/>
  <c r="AY77"/>
  <c r="AC77"/>
  <c r="AL77"/>
  <c r="AP77"/>
  <c r="AW77"/>
  <c r="AZ77" s="1"/>
  <c r="AB81"/>
  <c r="AK81"/>
  <c r="AO81"/>
  <c r="AQ81"/>
  <c r="AX81"/>
  <c r="AJ81"/>
  <c r="AY81"/>
  <c r="AC81"/>
  <c r="AL81"/>
  <c r="AP81"/>
  <c r="AW81"/>
  <c r="AZ81" s="1"/>
  <c r="AB84"/>
  <c r="AK84"/>
  <c r="AO84"/>
  <c r="AQ84"/>
  <c r="AX84"/>
  <c r="AC84"/>
  <c r="AL84"/>
  <c r="AP84"/>
  <c r="AW84"/>
  <c r="AJ84"/>
  <c r="AY84"/>
  <c r="AB89"/>
  <c r="AK89"/>
  <c r="AO89"/>
  <c r="AQ89"/>
  <c r="AX89"/>
  <c r="AC89"/>
  <c r="AJ89"/>
  <c r="AL89"/>
  <c r="AP89"/>
  <c r="AW89"/>
  <c r="AY89"/>
  <c r="AC92"/>
  <c r="AJ92"/>
  <c r="AL92"/>
  <c r="AL90" s="1"/>
  <c r="AP92"/>
  <c r="AW92"/>
  <c r="AY92"/>
  <c r="AB92"/>
  <c r="AB90" s="1"/>
  <c r="AK92"/>
  <c r="AO92"/>
  <c r="AQ92"/>
  <c r="AQ90" s="1"/>
  <c r="AX92"/>
  <c r="AC97"/>
  <c r="AJ97"/>
  <c r="AL97"/>
  <c r="AL95" s="1"/>
  <c r="AP97"/>
  <c r="AW97"/>
  <c r="AY97"/>
  <c r="AB97"/>
  <c r="AB95" s="1"/>
  <c r="AK97"/>
  <c r="AK95" s="1"/>
  <c r="AO97"/>
  <c r="AQ97"/>
  <c r="AX97"/>
  <c r="AX95" s="1"/>
  <c r="Z118"/>
  <c r="AC119"/>
  <c r="AC118" s="1"/>
  <c r="AJ119"/>
  <c r="AL119"/>
  <c r="AL118" s="1"/>
  <c r="AP119"/>
  <c r="AP118" s="1"/>
  <c r="AW119"/>
  <c r="AY119"/>
  <c r="AB119"/>
  <c r="AB118" s="1"/>
  <c r="AK119"/>
  <c r="AK118" s="1"/>
  <c r="AO119"/>
  <c r="AQ119"/>
  <c r="AQ118" s="1"/>
  <c r="AX119"/>
  <c r="AX118" s="1"/>
  <c r="AC106"/>
  <c r="AJ106"/>
  <c r="AL106"/>
  <c r="AP106"/>
  <c r="AW106"/>
  <c r="AY106"/>
  <c r="AQ106"/>
  <c r="AX106"/>
  <c r="AB106"/>
  <c r="AD106" s="1"/>
  <c r="AK106"/>
  <c r="AO106"/>
  <c r="Z109"/>
  <c r="AC110"/>
  <c r="AC109" s="1"/>
  <c r="AJ110"/>
  <c r="AL110"/>
  <c r="AL109" s="1"/>
  <c r="AP110"/>
  <c r="AP109" s="1"/>
  <c r="AW110"/>
  <c r="AY110"/>
  <c r="AQ110"/>
  <c r="AQ109" s="1"/>
  <c r="AX110"/>
  <c r="AX109" s="1"/>
  <c r="AB110"/>
  <c r="AB109" s="1"/>
  <c r="AK110"/>
  <c r="AK109" s="1"/>
  <c r="AO110"/>
  <c r="AC65"/>
  <c r="AJ65"/>
  <c r="AL65"/>
  <c r="Z66"/>
  <c r="AB65"/>
  <c r="AD65" s="1"/>
  <c r="AK65"/>
  <c r="Z69"/>
  <c r="AC70"/>
  <c r="AJ70"/>
  <c r="AL70"/>
  <c r="AP70"/>
  <c r="AW70"/>
  <c r="AY70"/>
  <c r="AB70"/>
  <c r="AK70"/>
  <c r="AO70"/>
  <c r="AQ70"/>
  <c r="AQ69" s="1"/>
  <c r="AX70"/>
  <c r="AZ73"/>
  <c r="AW72"/>
  <c r="AZ72" s="1"/>
  <c r="AM73"/>
  <c r="AJ72"/>
  <c r="AM72" s="1"/>
  <c r="AO72"/>
  <c r="AR72" s="1"/>
  <c r="AR73"/>
  <c r="X72"/>
  <c r="Y72" s="1"/>
  <c r="AB78"/>
  <c r="AK78"/>
  <c r="AO78"/>
  <c r="AQ78"/>
  <c r="AX78"/>
  <c r="AC78"/>
  <c r="AD78" s="1"/>
  <c r="AL78"/>
  <c r="AP78"/>
  <c r="AW78"/>
  <c r="AJ78"/>
  <c r="AY78"/>
  <c r="AB85"/>
  <c r="AK85"/>
  <c r="AO85"/>
  <c r="AQ85"/>
  <c r="AX85"/>
  <c r="AJ85"/>
  <c r="AY85"/>
  <c r="AC85"/>
  <c r="AL85"/>
  <c r="AP85"/>
  <c r="AW85"/>
  <c r="AZ85" s="1"/>
  <c r="AM91"/>
  <c r="AD91"/>
  <c r="Z90"/>
  <c r="BA96"/>
  <c r="AM96"/>
  <c r="Z95"/>
  <c r="AD96"/>
  <c r="AN96" s="1"/>
  <c r="AC117"/>
  <c r="AJ117"/>
  <c r="AL117"/>
  <c r="AP117"/>
  <c r="AW117"/>
  <c r="AY117"/>
  <c r="AB117"/>
  <c r="AK117"/>
  <c r="AO117"/>
  <c r="AQ117"/>
  <c r="AX117"/>
  <c r="AZ121"/>
  <c r="AC122"/>
  <c r="AC120" s="1"/>
  <c r="AJ122"/>
  <c r="AL122"/>
  <c r="AL120" s="1"/>
  <c r="AP122"/>
  <c r="AP120" s="1"/>
  <c r="AW122"/>
  <c r="AY122"/>
  <c r="AY120" s="1"/>
  <c r="AB122"/>
  <c r="AB120" s="1"/>
  <c r="AQ122"/>
  <c r="AQ120" s="1"/>
  <c r="AX122"/>
  <c r="AX120" s="1"/>
  <c r="AK122"/>
  <c r="AK120" s="1"/>
  <c r="AO122"/>
  <c r="AX90"/>
  <c r="Y90"/>
  <c r="AQ95"/>
  <c r="AP95"/>
  <c r="AL16" i="8"/>
  <c r="AA98"/>
  <c r="AA101" s="1"/>
  <c r="AA102" s="1"/>
  <c r="BB18"/>
  <c r="BA17"/>
  <c r="BA78"/>
  <c r="AZ84"/>
  <c r="BC27"/>
  <c r="BR27" s="1"/>
  <c r="BD31"/>
  <c r="AF98"/>
  <c r="Y101"/>
  <c r="Y99"/>
  <c r="AF99" s="1"/>
  <c r="Z98"/>
  <c r="Z96"/>
  <c r="AM101"/>
  <c r="AM102" s="1"/>
  <c r="AM99"/>
  <c r="AZ27"/>
  <c r="AZ34"/>
  <c r="AN8" i="7"/>
  <c r="AN113"/>
  <c r="AA124"/>
  <c r="AI113"/>
  <c r="AM120"/>
  <c r="BD120"/>
  <c r="AY15"/>
  <c r="AY8" s="1"/>
  <c r="AY51" s="1"/>
  <c r="AY117"/>
  <c r="AY124" s="1"/>
  <c r="AL16"/>
  <c r="AL119" s="1"/>
  <c r="BH119" s="1"/>
  <c r="AO119"/>
  <c r="AM114"/>
  <c r="BD114"/>
  <c r="BH42"/>
  <c r="BD42"/>
  <c r="BD34"/>
  <c r="BH34"/>
  <c r="BD40"/>
  <c r="BH40"/>
  <c r="BD32"/>
  <c r="BD14"/>
  <c r="BH43"/>
  <c r="BD43"/>
  <c r="AT15"/>
  <c r="AT8" s="1"/>
  <c r="AT51" s="1"/>
  <c r="R51"/>
  <c r="AG29" i="19"/>
  <c r="AG19"/>
  <c r="AG36"/>
  <c r="AG27"/>
  <c r="AG37"/>
  <c r="AG28"/>
  <c r="AG22"/>
  <c r="AG18"/>
  <c r="AG31"/>
  <c r="AG32"/>
  <c r="AG20"/>
  <c r="AG35"/>
  <c r="AG26"/>
  <c r="AG16"/>
  <c r="AG41"/>
  <c r="AG40"/>
  <c r="AG9"/>
  <c r="AG33"/>
  <c r="AG38"/>
  <c r="AG8"/>
  <c r="AG23"/>
  <c r="AG25"/>
  <c r="AG21"/>
  <c r="AG34"/>
  <c r="AG30"/>
  <c r="AG17"/>
  <c r="AF8" i="8"/>
  <c r="Y49"/>
  <c r="AK15"/>
  <c r="AI14"/>
  <c r="AI82" s="1"/>
  <c r="AL24" i="7"/>
  <c r="AL117" s="1"/>
  <c r="AL33"/>
  <c r="AM32"/>
  <c r="AM14"/>
  <c r="AL15"/>
  <c r="AM40"/>
  <c r="AL41"/>
  <c r="AQ18"/>
  <c r="AR18" s="1"/>
  <c r="AS18" s="1"/>
  <c r="AO35"/>
  <c r="V51" i="9"/>
  <c r="O51"/>
  <c r="S51" s="1"/>
  <c r="AB17" i="7"/>
  <c r="AP17"/>
  <c r="AI17"/>
  <c r="AM43"/>
  <c r="AA8"/>
  <c r="AB9"/>
  <c r="AB113" s="1"/>
  <c r="AB124" s="1"/>
  <c r="AP9"/>
  <c r="AI9"/>
  <c r="AC9"/>
  <c r="Q60"/>
  <c r="Z51"/>
  <c r="Q57"/>
  <c r="AK26" i="8"/>
  <c r="AL41"/>
  <c r="AL34" s="1"/>
  <c r="AQ51" i="9"/>
  <c r="AL51"/>
  <c r="AO51" s="1"/>
  <c r="AO9" i="7"/>
  <c r="AK33" i="8"/>
  <c r="AK27" s="1"/>
  <c r="AK41"/>
  <c r="AK34" s="1"/>
  <c r="AL18" i="7"/>
  <c r="AN17"/>
  <c r="AL26" i="8"/>
  <c r="AL33"/>
  <c r="AL27" s="1"/>
  <c r="AJ34"/>
  <c r="AJ17"/>
  <c r="AM34" i="7"/>
  <c r="AM42"/>
  <c r="AL27"/>
  <c r="AR35"/>
  <c r="AS35" s="1"/>
  <c r="AO18" i="8"/>
  <c r="AO78" s="1"/>
  <c r="AO89" s="1"/>
  <c r="AD85" i="6" l="1"/>
  <c r="CN46" i="8"/>
  <c r="CM46"/>
  <c r="CL86"/>
  <c r="CM86" s="1"/>
  <c r="CC51" i="19"/>
  <c r="CH46" i="8" s="1"/>
  <c r="CE49" i="19"/>
  <c r="BD57"/>
  <c r="CM48" i="7"/>
  <c r="CA51" i="19"/>
  <c r="CQ121" i="7"/>
  <c r="CS121"/>
  <c r="BW27" i="8"/>
  <c r="CK8"/>
  <c r="CK49" s="1"/>
  <c r="CH14"/>
  <c r="CK82"/>
  <c r="BZ25" i="7"/>
  <c r="CN25"/>
  <c r="AD105" i="6"/>
  <c r="AR85"/>
  <c r="BA78"/>
  <c r="AD86"/>
  <c r="AU37" i="19"/>
  <c r="BJ37"/>
  <c r="AU25"/>
  <c r="BJ25"/>
  <c r="AU40"/>
  <c r="BJ40"/>
  <c r="AU32"/>
  <c r="BJ32"/>
  <c r="AU47"/>
  <c r="BJ47"/>
  <c r="AU30"/>
  <c r="BJ30"/>
  <c r="AU28"/>
  <c r="BJ28"/>
  <c r="AU15"/>
  <c r="BJ15"/>
  <c r="AU13"/>
  <c r="BJ13"/>
  <c r="AV41"/>
  <c r="BK41"/>
  <c r="AV29"/>
  <c r="BK29"/>
  <c r="BP20"/>
  <c r="BK20"/>
  <c r="AV36"/>
  <c r="BK36"/>
  <c r="AV35"/>
  <c r="BK35"/>
  <c r="AV22"/>
  <c r="BK22"/>
  <c r="AV38"/>
  <c r="BK38"/>
  <c r="AV26"/>
  <c r="BK26"/>
  <c r="AV8"/>
  <c r="BK8"/>
  <c r="AV27"/>
  <c r="BK27"/>
  <c r="AV17"/>
  <c r="BK17"/>
  <c r="BO48"/>
  <c r="AU41"/>
  <c r="BJ41"/>
  <c r="AU29"/>
  <c r="BJ29"/>
  <c r="BO20"/>
  <c r="BJ20"/>
  <c r="AU36"/>
  <c r="BJ36"/>
  <c r="AU35"/>
  <c r="BJ35"/>
  <c r="AU22"/>
  <c r="BJ22"/>
  <c r="AU38"/>
  <c r="BJ38"/>
  <c r="AU26"/>
  <c r="BJ26"/>
  <c r="BH34"/>
  <c r="BJ34" s="1"/>
  <c r="BI34"/>
  <c r="BK34" s="1"/>
  <c r="AU18"/>
  <c r="BJ18"/>
  <c r="AU27"/>
  <c r="BJ27"/>
  <c r="AU17"/>
  <c r="BJ17"/>
  <c r="AV37"/>
  <c r="BK37"/>
  <c r="AV25"/>
  <c r="BK25"/>
  <c r="AV40"/>
  <c r="BK40"/>
  <c r="AV32"/>
  <c r="BK32"/>
  <c r="AV47"/>
  <c r="BK47"/>
  <c r="AV30"/>
  <c r="BK30"/>
  <c r="I21" i="87"/>
  <c r="I23" i="90" s="1"/>
  <c r="BK23" i="19"/>
  <c r="AV13"/>
  <c r="BK13"/>
  <c r="AV15"/>
  <c r="BK15"/>
  <c r="AV28"/>
  <c r="BK28"/>
  <c r="AV18"/>
  <c r="BK18"/>
  <c r="CA25" i="7"/>
  <c r="U92" i="93"/>
  <c r="U91" s="1"/>
  <c r="U88" s="1"/>
  <c r="E91"/>
  <c r="J92"/>
  <c r="J91" s="1"/>
  <c r="J88" s="1"/>
  <c r="P92"/>
  <c r="P91" s="1"/>
  <c r="P88" s="1"/>
  <c r="I92"/>
  <c r="I91" s="1"/>
  <c r="O92"/>
  <c r="O91" s="1"/>
  <c r="O88" s="1"/>
  <c r="F92"/>
  <c r="F91" s="1"/>
  <c r="F88" s="1"/>
  <c r="N92"/>
  <c r="N91" s="1"/>
  <c r="T92"/>
  <c r="T91" s="1"/>
  <c r="T88" s="1"/>
  <c r="G92"/>
  <c r="G91" s="1"/>
  <c r="K92"/>
  <c r="K91" s="1"/>
  <c r="K88" s="1"/>
  <c r="S92"/>
  <c r="S91" s="1"/>
  <c r="BO39" i="19"/>
  <c r="BP39"/>
  <c r="BP48"/>
  <c r="BR39" i="8"/>
  <c r="BU39"/>
  <c r="BV27"/>
  <c r="BR47"/>
  <c r="BV47"/>
  <c r="BO15" i="19"/>
  <c r="BO29"/>
  <c r="BO38"/>
  <c r="BO36"/>
  <c r="BO28"/>
  <c r="BO25"/>
  <c r="BO17"/>
  <c r="BO35"/>
  <c r="BP11"/>
  <c r="BP38"/>
  <c r="BP26"/>
  <c r="BP16"/>
  <c r="BP25"/>
  <c r="BP47"/>
  <c r="BP27"/>
  <c r="BP10"/>
  <c r="BP36"/>
  <c r="BP28"/>
  <c r="BP18"/>
  <c r="BP41"/>
  <c r="BP8"/>
  <c r="BP15"/>
  <c r="BO11"/>
  <c r="BO10"/>
  <c r="BO32"/>
  <c r="BO26"/>
  <c r="BO16"/>
  <c r="BO40"/>
  <c r="BO30"/>
  <c r="BO18"/>
  <c r="BO37"/>
  <c r="BO13"/>
  <c r="BO41"/>
  <c r="BO8"/>
  <c r="BO22"/>
  <c r="BO27"/>
  <c r="BO47"/>
  <c r="BP32"/>
  <c r="BP29"/>
  <c r="BP35"/>
  <c r="BP17"/>
  <c r="BP40"/>
  <c r="BP30"/>
  <c r="BP37"/>
  <c r="BP22"/>
  <c r="BP13"/>
  <c r="BE14" i="8"/>
  <c r="BC34"/>
  <c r="BR34" s="1"/>
  <c r="BD39"/>
  <c r="BC87"/>
  <c r="D17" i="65"/>
  <c r="D13" s="1"/>
  <c r="I17" i="87"/>
  <c r="K19" i="90"/>
  <c r="K15" s="1"/>
  <c r="K13" i="87"/>
  <c r="J19" i="90"/>
  <c r="J15" s="1"/>
  <c r="J13" i="87"/>
  <c r="BG35" i="7"/>
  <c r="AN124"/>
  <c r="AN130" s="1"/>
  <c r="D12" i="85"/>
  <c r="D10" s="1"/>
  <c r="D15" i="86"/>
  <c r="D13" s="1"/>
  <c r="D15" i="89"/>
  <c r="AU10" i="19"/>
  <c r="D12" i="65"/>
  <c r="I12" i="87"/>
  <c r="I14" i="90" s="1"/>
  <c r="J14"/>
  <c r="K14"/>
  <c r="AU11" i="19"/>
  <c r="D12" i="61"/>
  <c r="I12" i="85"/>
  <c r="K14" i="89"/>
  <c r="I23"/>
  <c r="AN17" i="8"/>
  <c r="AO17" s="1"/>
  <c r="AK18"/>
  <c r="AK17" s="1"/>
  <c r="AL17"/>
  <c r="AU16" i="19"/>
  <c r="E12" i="61"/>
  <c r="F12"/>
  <c r="AU23" i="19"/>
  <c r="D21" i="61"/>
  <c r="E21" s="1"/>
  <c r="F21" s="1"/>
  <c r="BC86" i="8"/>
  <c r="BV86" s="1"/>
  <c r="BE46"/>
  <c r="AV23" i="19"/>
  <c r="D21" i="65"/>
  <c r="E21" s="1"/>
  <c r="F21" s="1"/>
  <c r="AR43" i="7"/>
  <c r="AS43" s="1"/>
  <c r="AD122" i="6"/>
  <c r="AR78"/>
  <c r="AD98"/>
  <c r="AD93"/>
  <c r="AD94"/>
  <c r="AD79"/>
  <c r="BG48" i="7"/>
  <c r="AP60" i="19"/>
  <c r="AU8"/>
  <c r="AS49"/>
  <c r="AV16"/>
  <c r="E12" i="65"/>
  <c r="F12"/>
  <c r="V51" i="72"/>
  <c r="O51"/>
  <c r="S51" s="1"/>
  <c r="AM77" i="6"/>
  <c r="AD112"/>
  <c r="AM98"/>
  <c r="AK90"/>
  <c r="AD99"/>
  <c r="AD71"/>
  <c r="Z63" i="8"/>
  <c r="Z108" s="1"/>
  <c r="Z62"/>
  <c r="AM118" i="7"/>
  <c r="BH118"/>
  <c r="AM19"/>
  <c r="Z60" i="8"/>
  <c r="AA63"/>
  <c r="AA66"/>
  <c r="AA67" s="1"/>
  <c r="AY130" i="7"/>
  <c r="AY132"/>
  <c r="BD16"/>
  <c r="AA62" i="8"/>
  <c r="BD19" i="7"/>
  <c r="BD118"/>
  <c r="BH19"/>
  <c r="AS19"/>
  <c r="BG32"/>
  <c r="BY32" s="1"/>
  <c r="AR122" i="6"/>
  <c r="AS96"/>
  <c r="AC69"/>
  <c r="Z100"/>
  <c r="AD89"/>
  <c r="AR108"/>
  <c r="AD101"/>
  <c r="AD104"/>
  <c r="BA86"/>
  <c r="AR86"/>
  <c r="AR79"/>
  <c r="AM105"/>
  <c r="AR67"/>
  <c r="AM67"/>
  <c r="AN67" s="1"/>
  <c r="BJ14" i="7"/>
  <c r="BC8"/>
  <c r="BI14"/>
  <c r="AQ17"/>
  <c r="AD117" i="6"/>
  <c r="AK69"/>
  <c r="AP69"/>
  <c r="AD110"/>
  <c r="AR106"/>
  <c r="AC90"/>
  <c r="AD90" s="1"/>
  <c r="AZ83"/>
  <c r="BF14" i="8"/>
  <c r="AY8"/>
  <c r="AY49" s="1"/>
  <c r="AZ25"/>
  <c r="AM16" i="7"/>
  <c r="AS25"/>
  <c r="AM122" i="6"/>
  <c r="AN122" s="1"/>
  <c r="AS122" s="1"/>
  <c r="AX69"/>
  <c r="AB69"/>
  <c r="AL69"/>
  <c r="AC95"/>
  <c r="AM84"/>
  <c r="AD81"/>
  <c r="AR93"/>
  <c r="AM93"/>
  <c r="AD80"/>
  <c r="AR99"/>
  <c r="AM99"/>
  <c r="AN99" s="1"/>
  <c r="AR94"/>
  <c r="AM94"/>
  <c r="AN94" s="1"/>
  <c r="AR71"/>
  <c r="AM71"/>
  <c r="AN71" s="1"/>
  <c r="AA99" i="8"/>
  <c r="AD70" i="6"/>
  <c r="AD69"/>
  <c r="AM106"/>
  <c r="AN106" s="1"/>
  <c r="AD119"/>
  <c r="AD118"/>
  <c r="AZ92"/>
  <c r="AZ89"/>
  <c r="AD84"/>
  <c r="AM81"/>
  <c r="AD77"/>
  <c r="AD75"/>
  <c r="AM108"/>
  <c r="AN108" s="1"/>
  <c r="AR83"/>
  <c r="BA80"/>
  <c r="AR80"/>
  <c r="BA102"/>
  <c r="BA104"/>
  <c r="AM104"/>
  <c r="AR116"/>
  <c r="AZ97"/>
  <c r="AZ68"/>
  <c r="AY95"/>
  <c r="AM116"/>
  <c r="AN116" s="1"/>
  <c r="AY69"/>
  <c r="BA70"/>
  <c r="AC66"/>
  <c r="AJ66"/>
  <c r="AL66"/>
  <c r="AB66"/>
  <c r="AK66"/>
  <c r="AK64" s="1"/>
  <c r="AW69"/>
  <c r="AZ70"/>
  <c r="AR110"/>
  <c r="AO109"/>
  <c r="AR109" s="1"/>
  <c r="AY109"/>
  <c r="BA110"/>
  <c r="AJ109"/>
  <c r="AM109" s="1"/>
  <c r="AM110"/>
  <c r="AR119"/>
  <c r="AO118"/>
  <c r="AR118" s="1"/>
  <c r="AW118"/>
  <c r="AZ119"/>
  <c r="AO90"/>
  <c r="AR92"/>
  <c r="AB76"/>
  <c r="AK76"/>
  <c r="AC76"/>
  <c r="AL76"/>
  <c r="AJ76"/>
  <c r="AM75"/>
  <c r="AN75" s="1"/>
  <c r="AR112"/>
  <c r="AO111"/>
  <c r="AR111" s="1"/>
  <c r="AY111"/>
  <c r="BA112"/>
  <c r="AJ111"/>
  <c r="AM111" s="1"/>
  <c r="AM112"/>
  <c r="AN112" s="1"/>
  <c r="AS112" s="1"/>
  <c r="AC115"/>
  <c r="AJ115"/>
  <c r="AL115"/>
  <c r="AL113" s="1"/>
  <c r="AB115"/>
  <c r="AK115"/>
  <c r="AK113" s="1"/>
  <c r="AM114"/>
  <c r="AN114" s="1"/>
  <c r="BA117"/>
  <c r="AM117"/>
  <c r="AZ78"/>
  <c r="Z64"/>
  <c r="AZ122"/>
  <c r="AW120"/>
  <c r="AZ120" s="1"/>
  <c r="AR117"/>
  <c r="AZ117"/>
  <c r="AD95"/>
  <c r="AJ95"/>
  <c r="AM95" s="1"/>
  <c r="AN91"/>
  <c r="AS91" s="1"/>
  <c r="AY91" s="1"/>
  <c r="AJ90"/>
  <c r="AM90" s="1"/>
  <c r="AM85"/>
  <c r="AN85" s="1"/>
  <c r="AS85" s="1"/>
  <c r="AM78"/>
  <c r="AN78" s="1"/>
  <c r="AD109"/>
  <c r="AN109" s="1"/>
  <c r="AS109" s="1"/>
  <c r="AZ106"/>
  <c r="AR97"/>
  <c r="AD97"/>
  <c r="BA97"/>
  <c r="AM97"/>
  <c r="AD92"/>
  <c r="BA92"/>
  <c r="AP90"/>
  <c r="AM92"/>
  <c r="BA89"/>
  <c r="AM89"/>
  <c r="AN89" s="1"/>
  <c r="AR89"/>
  <c r="BA84"/>
  <c r="AZ84"/>
  <c r="AR84"/>
  <c r="BA81"/>
  <c r="AR81"/>
  <c r="BA77"/>
  <c r="AR77"/>
  <c r="AC74"/>
  <c r="AR68"/>
  <c r="BA68"/>
  <c r="AM68"/>
  <c r="AN68" s="1"/>
  <c r="AS68" s="1"/>
  <c r="AD111"/>
  <c r="AN111" s="1"/>
  <c r="AS111" s="1"/>
  <c r="AZ108"/>
  <c r="AL100"/>
  <c r="AC100"/>
  <c r="AB113"/>
  <c r="Z113"/>
  <c r="AD120"/>
  <c r="AJ120"/>
  <c r="AM120" s="1"/>
  <c r="AZ98"/>
  <c r="AW95"/>
  <c r="AZ93"/>
  <c r="AW90"/>
  <c r="AM83"/>
  <c r="AN83" s="1"/>
  <c r="AS83" s="1"/>
  <c r="AM80"/>
  <c r="AN73"/>
  <c r="AS73" s="1"/>
  <c r="BA72"/>
  <c r="AZ102"/>
  <c r="AZ104"/>
  <c r="AZ116"/>
  <c r="AZ99"/>
  <c r="AZ94"/>
  <c r="AM86"/>
  <c r="AM79"/>
  <c r="AN79" s="1"/>
  <c r="AS79" s="1"/>
  <c r="AZ71"/>
  <c r="AR107"/>
  <c r="AZ107"/>
  <c r="AZ105"/>
  <c r="AZ67"/>
  <c r="AR70"/>
  <c r="AO69"/>
  <c r="AJ69"/>
  <c r="AM70"/>
  <c r="AJ64"/>
  <c r="AM65"/>
  <c r="AW109"/>
  <c r="AZ110"/>
  <c r="AY118"/>
  <c r="BA119"/>
  <c r="AJ118"/>
  <c r="AM118" s="1"/>
  <c r="AM119"/>
  <c r="AW111"/>
  <c r="AZ111" s="1"/>
  <c r="AZ112"/>
  <c r="AM101"/>
  <c r="BA122"/>
  <c r="BA85"/>
  <c r="AN65"/>
  <c r="BA106"/>
  <c r="AN119"/>
  <c r="AS119" s="1"/>
  <c r="AL74"/>
  <c r="Z74"/>
  <c r="AK74"/>
  <c r="BA108"/>
  <c r="AK100"/>
  <c r="AB100"/>
  <c r="AD100" s="1"/>
  <c r="AC113"/>
  <c r="AO120"/>
  <c r="AR120" s="1"/>
  <c r="BA98"/>
  <c r="AO95"/>
  <c r="AR95" s="1"/>
  <c r="BA93"/>
  <c r="BA83"/>
  <c r="AZ80"/>
  <c r="AN80"/>
  <c r="AS80" s="1"/>
  <c r="AN72"/>
  <c r="AS72" s="1"/>
  <c r="AR104"/>
  <c r="BA116"/>
  <c r="BA99"/>
  <c r="BA94"/>
  <c r="AZ86"/>
  <c r="AN86"/>
  <c r="BA79"/>
  <c r="BA71"/>
  <c r="BA107"/>
  <c r="AM107"/>
  <c r="AN107" s="1"/>
  <c r="AS107" s="1"/>
  <c r="BA105"/>
  <c r="AR105"/>
  <c r="AN105"/>
  <c r="BA67"/>
  <c r="BD27" i="8"/>
  <c r="AN16"/>
  <c r="AN84" s="1"/>
  <c r="AL8"/>
  <c r="BB78"/>
  <c r="BB89" s="1"/>
  <c r="BB96" s="1"/>
  <c r="BB17"/>
  <c r="BB49" s="1"/>
  <c r="BH16" i="7"/>
  <c r="AJ82" i="8"/>
  <c r="AZ82"/>
  <c r="AK84"/>
  <c r="AO98"/>
  <c r="AO96"/>
  <c r="Z101"/>
  <c r="Z102" s="1"/>
  <c r="Z99"/>
  <c r="Y102"/>
  <c r="AF102" s="1"/>
  <c r="AF101"/>
  <c r="AN98"/>
  <c r="AN96"/>
  <c r="AL84"/>
  <c r="AL89" s="1"/>
  <c r="AK78"/>
  <c r="D12" i="87" s="1"/>
  <c r="D12" i="88" s="1"/>
  <c r="AZ14" i="8"/>
  <c r="AM117" i="7"/>
  <c r="BD117"/>
  <c r="AC8"/>
  <c r="AC51" s="1"/>
  <c r="AC59" s="1"/>
  <c r="AC113"/>
  <c r="AC124" s="1"/>
  <c r="AM119"/>
  <c r="BD119"/>
  <c r="AA132"/>
  <c r="AA130"/>
  <c r="AI130" s="1"/>
  <c r="AI124"/>
  <c r="AO113"/>
  <c r="AB130"/>
  <c r="AB132"/>
  <c r="BH18"/>
  <c r="BD18"/>
  <c r="BD33"/>
  <c r="BD24"/>
  <c r="BH24"/>
  <c r="BD41"/>
  <c r="BH41"/>
  <c r="BD15"/>
  <c r="AT49" i="19"/>
  <c r="AN51" i="7"/>
  <c r="AN58" s="1"/>
  <c r="D27" i="85" s="1"/>
  <c r="AG15" i="19"/>
  <c r="AG13"/>
  <c r="AE10"/>
  <c r="AV10" s="1"/>
  <c r="AK14" i="8"/>
  <c r="AK82" s="1"/>
  <c r="AF49"/>
  <c r="Y63"/>
  <c r="AF63" s="1"/>
  <c r="Y66"/>
  <c r="Y60"/>
  <c r="AF60" s="1"/>
  <c r="Y62"/>
  <c r="AM24" i="7"/>
  <c r="AL25"/>
  <c r="AJ14" i="8"/>
  <c r="AI8"/>
  <c r="AO48" i="7"/>
  <c r="AL35"/>
  <c r="AM35" s="1"/>
  <c r="AM33"/>
  <c r="AM41"/>
  <c r="AM15"/>
  <c r="AD9"/>
  <c r="AD113" s="1"/>
  <c r="AD124" s="1"/>
  <c r="AQ9"/>
  <c r="AR9" s="1"/>
  <c r="AS9" s="1"/>
  <c r="AO8"/>
  <c r="AL8" s="1"/>
  <c r="AB8"/>
  <c r="AP8"/>
  <c r="AI8"/>
  <c r="AA51"/>
  <c r="AL9"/>
  <c r="AL113" s="1"/>
  <c r="Z60"/>
  <c r="R60"/>
  <c r="AL17"/>
  <c r="BH17" s="1"/>
  <c r="AM18"/>
  <c r="R57"/>
  <c r="Z57"/>
  <c r="S57"/>
  <c r="AM27"/>
  <c r="AN49" i="8"/>
  <c r="AO49" s="1"/>
  <c r="AM66"/>
  <c r="AN92" i="6" l="1"/>
  <c r="AS92" s="1"/>
  <c r="AS71"/>
  <c r="AS94"/>
  <c r="AS99"/>
  <c r="AS67"/>
  <c r="AN70"/>
  <c r="AS78"/>
  <c r="AN104"/>
  <c r="AS104" s="1"/>
  <c r="AN77"/>
  <c r="AN84"/>
  <c r="AS84" s="1"/>
  <c r="AN93"/>
  <c r="CO48" i="7"/>
  <c r="CO121" s="1"/>
  <c r="CM121"/>
  <c r="CP48"/>
  <c r="CP121" s="1"/>
  <c r="CN86" i="8"/>
  <c r="CN49"/>
  <c r="CT121" i="7"/>
  <c r="CH86" i="8"/>
  <c r="CI86" s="1"/>
  <c r="CI46"/>
  <c r="CJ46"/>
  <c r="CH15"/>
  <c r="CH82"/>
  <c r="CH89" s="1"/>
  <c r="CH8"/>
  <c r="CM39"/>
  <c r="CI39"/>
  <c r="CK89"/>
  <c r="P11" i="88"/>
  <c r="P10" s="1"/>
  <c r="CK61" i="8"/>
  <c r="CK66" s="1"/>
  <c r="CK67" s="1"/>
  <c r="CK60"/>
  <c r="CN32" i="7"/>
  <c r="V91" i="93"/>
  <c r="V92" s="1"/>
  <c r="S88"/>
  <c r="V88" s="1"/>
  <c r="H91"/>
  <c r="G88"/>
  <c r="Q91"/>
  <c r="Q92" s="1"/>
  <c r="N88"/>
  <c r="Q88" s="1"/>
  <c r="W91"/>
  <c r="W92" s="1"/>
  <c r="E88"/>
  <c r="L91"/>
  <c r="L92" s="1"/>
  <c r="I88"/>
  <c r="L88" s="1"/>
  <c r="BY33" i="7"/>
  <c r="BZ32"/>
  <c r="BR87" i="8"/>
  <c r="BV87"/>
  <c r="BW39"/>
  <c r="BU40"/>
  <c r="BV39"/>
  <c r="BU34"/>
  <c r="I14" i="89"/>
  <c r="BD34" i="8"/>
  <c r="I19" i="90"/>
  <c r="I15" s="1"/>
  <c r="I13" i="87"/>
  <c r="D22" i="85"/>
  <c r="D9"/>
  <c r="BH113" i="7"/>
  <c r="D14" i="89"/>
  <c r="D12" i="86" s="1"/>
  <c r="K23" i="90"/>
  <c r="J23"/>
  <c r="J23" i="89"/>
  <c r="BE86" i="8"/>
  <c r="AL49"/>
  <c r="BG121" i="7"/>
  <c r="BI48"/>
  <c r="AZ69" i="6"/>
  <c r="AS116"/>
  <c r="AN81"/>
  <c r="AS81" s="1"/>
  <c r="AB64"/>
  <c r="AS50" i="19"/>
  <c r="AU49"/>
  <c r="AS93" i="6"/>
  <c r="AL64"/>
  <c r="AN110"/>
  <c r="AS110" s="1"/>
  <c r="AN98"/>
  <c r="AS98" s="1"/>
  <c r="AY133" i="7"/>
  <c r="AY135"/>
  <c r="AY136" s="1"/>
  <c r="AN57"/>
  <c r="BH32"/>
  <c r="BE17" i="8"/>
  <c r="BC24"/>
  <c r="BU24" s="1"/>
  <c r="BE8"/>
  <c r="BC14"/>
  <c r="BU14" s="1"/>
  <c r="BE82"/>
  <c r="I11" i="87" s="1"/>
  <c r="BJ15" i="7"/>
  <c r="BJ117"/>
  <c r="AN101" i="6"/>
  <c r="AS77"/>
  <c r="AC64"/>
  <c r="AC123" s="1"/>
  <c r="AC124" s="1"/>
  <c r="AS106"/>
  <c r="BF17" i="8"/>
  <c r="BF8"/>
  <c r="BF82"/>
  <c r="I11" i="88" s="1"/>
  <c r="AR17" i="7"/>
  <c r="AS17" s="1"/>
  <c r="AQ8"/>
  <c r="AR8" s="1"/>
  <c r="AS8" s="1"/>
  <c r="AS86" i="6"/>
  <c r="AJ100"/>
  <c r="AN118"/>
  <c r="AS118" s="1"/>
  <c r="AZ109"/>
  <c r="AM69"/>
  <c r="AN69" s="1"/>
  <c r="AS69" s="1"/>
  <c r="AN120"/>
  <c r="AN117"/>
  <c r="AS117" s="1"/>
  <c r="AD66"/>
  <c r="AS108"/>
  <c r="BI117" i="7"/>
  <c r="BI15"/>
  <c r="BG14"/>
  <c r="AC57"/>
  <c r="AC60" s="1"/>
  <c r="AR69" i="6"/>
  <c r="AZ95"/>
  <c r="AS105"/>
  <c r="AN95"/>
  <c r="AS95" s="1"/>
  <c r="AD115"/>
  <c r="AD76"/>
  <c r="AS120"/>
  <c r="AN90"/>
  <c r="AO101"/>
  <c r="AO75"/>
  <c r="AO65"/>
  <c r="AM100"/>
  <c r="AN100" s="1"/>
  <c r="AB74"/>
  <c r="AD74" s="1"/>
  <c r="AD113"/>
  <c r="AN97"/>
  <c r="AS97" s="1"/>
  <c r="AM115"/>
  <c r="AJ74"/>
  <c r="AM74" s="1"/>
  <c r="AM76"/>
  <c r="AN76" s="1"/>
  <c r="AM66"/>
  <c r="BA120"/>
  <c r="AO114"/>
  <c r="AM64"/>
  <c r="BA91"/>
  <c r="AY90"/>
  <c r="BA90" s="1"/>
  <c r="AZ91"/>
  <c r="AD64"/>
  <c r="Z123"/>
  <c r="BA118"/>
  <c r="AL123"/>
  <c r="AL124" s="1"/>
  <c r="AK123"/>
  <c r="AK124" s="1"/>
  <c r="AS70"/>
  <c r="AJ113"/>
  <c r="AM113" s="1"/>
  <c r="BA111"/>
  <c r="AR90"/>
  <c r="AZ118"/>
  <c r="BA109"/>
  <c r="AN66"/>
  <c r="BA69"/>
  <c r="BA95"/>
  <c r="AS89"/>
  <c r="BB60" i="8"/>
  <c r="BB61"/>
  <c r="BB97" s="1"/>
  <c r="BB98" s="1"/>
  <c r="AC62" i="7"/>
  <c r="AC63" s="1"/>
  <c r="AL96" i="8"/>
  <c r="AL98"/>
  <c r="P83" i="56" s="1"/>
  <c r="AN101" i="8"/>
  <c r="AN102" s="1"/>
  <c r="AN99"/>
  <c r="AO101"/>
  <c r="AO102" s="1"/>
  <c r="AO99"/>
  <c r="AZ8"/>
  <c r="AN131" i="7"/>
  <c r="AN132" s="1"/>
  <c r="AM113"/>
  <c r="BD113"/>
  <c r="AD132"/>
  <c r="AD130"/>
  <c r="AO121"/>
  <c r="AO124" s="1"/>
  <c r="AB135"/>
  <c r="AB136" s="1"/>
  <c r="AB133"/>
  <c r="AA135"/>
  <c r="AA133"/>
  <c r="AI133" s="1"/>
  <c r="AI132"/>
  <c r="AC132"/>
  <c r="AC130"/>
  <c r="AM9"/>
  <c r="BH9"/>
  <c r="BD9"/>
  <c r="BD25"/>
  <c r="BH25"/>
  <c r="AT60"/>
  <c r="AT59"/>
  <c r="AT57"/>
  <c r="AD8"/>
  <c r="AD51" s="1"/>
  <c r="AD60" s="1"/>
  <c r="AV49" i="19"/>
  <c r="AE11"/>
  <c r="AV11" s="1"/>
  <c r="AG10"/>
  <c r="AE49"/>
  <c r="AH57" s="1"/>
  <c r="AJ8" i="8"/>
  <c r="AK8"/>
  <c r="AL48" i="7"/>
  <c r="AL121" s="1"/>
  <c r="D13" i="89" s="1"/>
  <c r="AM25" i="7"/>
  <c r="Y67" i="8"/>
  <c r="AF66"/>
  <c r="AM8" i="7"/>
  <c r="AO51"/>
  <c r="AO58" s="1"/>
  <c r="AA60"/>
  <c r="AP51"/>
  <c r="AQ51" s="1"/>
  <c r="AA57"/>
  <c r="AB51"/>
  <c r="AA59"/>
  <c r="AI51"/>
  <c r="AM17"/>
  <c r="AN60"/>
  <c r="AN59"/>
  <c r="M20" i="56" s="1"/>
  <c r="H68" i="7"/>
  <c r="G68" s="1"/>
  <c r="G67" s="1"/>
  <c r="AN62"/>
  <c r="AN66" i="8"/>
  <c r="AO66" s="1"/>
  <c r="C135" i="93" l="1"/>
  <c r="C143" s="1"/>
  <c r="CN60" i="8"/>
  <c r="C137" i="93" s="1"/>
  <c r="CN61" i="8"/>
  <c r="C144" i="93" s="1"/>
  <c r="C66" i="94" s="1"/>
  <c r="CN54" i="8"/>
  <c r="CK63"/>
  <c r="CN89"/>
  <c r="Q11" i="87"/>
  <c r="Q10" s="1"/>
  <c r="CJ86" i="8"/>
  <c r="CJ49"/>
  <c r="CM34"/>
  <c r="CI34"/>
  <c r="CM40"/>
  <c r="CI40"/>
  <c r="P22" i="88"/>
  <c r="CH96" i="8"/>
  <c r="CK62"/>
  <c r="CI14"/>
  <c r="CK97"/>
  <c r="CK96"/>
  <c r="CH49"/>
  <c r="CO14"/>
  <c r="CI24"/>
  <c r="CM24"/>
  <c r="CN33" i="7"/>
  <c r="AS90" i="6"/>
  <c r="BV40" i="8"/>
  <c r="E113" i="93"/>
  <c r="H92"/>
  <c r="M91"/>
  <c r="H88"/>
  <c r="M88" s="1"/>
  <c r="R88" s="1"/>
  <c r="W88"/>
  <c r="BV34" i="8"/>
  <c r="BZ33" i="7"/>
  <c r="CB33"/>
  <c r="CB32" s="1"/>
  <c r="CA33"/>
  <c r="CA32" s="1"/>
  <c r="BW40" i="8"/>
  <c r="BW34"/>
  <c r="BW14"/>
  <c r="BU15"/>
  <c r="E41" i="93" s="1"/>
  <c r="BV14" i="8"/>
  <c r="BU82"/>
  <c r="BV24"/>
  <c r="BU25"/>
  <c r="BW24"/>
  <c r="C40" i="94" s="1"/>
  <c r="BU17" i="8"/>
  <c r="BV14" i="7"/>
  <c r="BR14" i="8"/>
  <c r="BR24"/>
  <c r="AL63"/>
  <c r="AL62"/>
  <c r="AL60"/>
  <c r="AL66"/>
  <c r="D11" i="90" s="1"/>
  <c r="D49" s="1"/>
  <c r="I13"/>
  <c r="I12" s="1"/>
  <c r="J11" i="88"/>
  <c r="I10"/>
  <c r="BI8" i="7"/>
  <c r="BI51" s="1"/>
  <c r="M10" i="56"/>
  <c r="M9" s="1"/>
  <c r="V9" s="1"/>
  <c r="AL106" i="7"/>
  <c r="AO106" s="1"/>
  <c r="AO105" s="1"/>
  <c r="D44" i="89" s="1"/>
  <c r="D12"/>
  <c r="D11" i="86"/>
  <c r="D10" s="1"/>
  <c r="BJ8" i="7"/>
  <c r="D35" i="85"/>
  <c r="D10" i="89"/>
  <c r="D42" s="1"/>
  <c r="BI121" i="7"/>
  <c r="I11" i="85" s="1"/>
  <c r="I10" s="1"/>
  <c r="J11" i="87"/>
  <c r="BJ48" i="7"/>
  <c r="AL124"/>
  <c r="AM124" s="1"/>
  <c r="BH121"/>
  <c r="AT50" i="19"/>
  <c r="BF89" i="8"/>
  <c r="BF96" s="1"/>
  <c r="D11" i="66"/>
  <c r="BE89" i="8"/>
  <c r="BE96" s="1"/>
  <c r="D11" i="65"/>
  <c r="BE49" i="8"/>
  <c r="BG27" i="7"/>
  <c r="BH33"/>
  <c r="AI46" i="8"/>
  <c r="AH60" i="19"/>
  <c r="BF49" i="8"/>
  <c r="AN115" i="6"/>
  <c r="AO115" s="1"/>
  <c r="AO113" s="1"/>
  <c r="BC82" i="8"/>
  <c r="BR82" s="1"/>
  <c r="BD14"/>
  <c r="BG117" i="7"/>
  <c r="BG15"/>
  <c r="BH14"/>
  <c r="BC17" i="8"/>
  <c r="BR17" s="1"/>
  <c r="BD25"/>
  <c r="BD24"/>
  <c r="AN74" i="6"/>
  <c r="AZ90"/>
  <c r="AP114"/>
  <c r="AW114"/>
  <c r="AY114"/>
  <c r="AQ114"/>
  <c r="AX114"/>
  <c r="BB62" i="8"/>
  <c r="AN64" i="6"/>
  <c r="AJ123"/>
  <c r="AB123"/>
  <c r="AB124" s="1"/>
  <c r="AN113"/>
  <c r="AO66"/>
  <c r="AO64" s="1"/>
  <c r="Z124"/>
  <c r="AP65"/>
  <c r="AW65"/>
  <c r="AY65"/>
  <c r="AQ65"/>
  <c r="AX65"/>
  <c r="AO76"/>
  <c r="AO74" s="1"/>
  <c r="AQ75"/>
  <c r="AX75"/>
  <c r="AY75"/>
  <c r="AP75"/>
  <c r="AW75"/>
  <c r="AP101"/>
  <c r="AP100" s="1"/>
  <c r="AW101"/>
  <c r="AY101"/>
  <c r="AO100"/>
  <c r="AQ101"/>
  <c r="AQ100" s="1"/>
  <c r="AX101"/>
  <c r="AX100" s="1"/>
  <c r="BB63" i="8"/>
  <c r="BB66"/>
  <c r="BB67" s="1"/>
  <c r="P103" i="56"/>
  <c r="BB99" i="8"/>
  <c r="BB101"/>
  <c r="K83" i="56"/>
  <c r="P82"/>
  <c r="M19"/>
  <c r="V19" s="1"/>
  <c r="H20"/>
  <c r="H19" s="1"/>
  <c r="AL101" i="8"/>
  <c r="AL99"/>
  <c r="AO130" i="7"/>
  <c r="AO59"/>
  <c r="P20" i="56" s="1"/>
  <c r="AO131" i="7"/>
  <c r="AO132" s="1"/>
  <c r="AM121"/>
  <c r="AC135"/>
  <c r="AC136" s="1"/>
  <c r="AC133"/>
  <c r="AA136"/>
  <c r="AI136" s="1"/>
  <c r="AI135"/>
  <c r="AD135"/>
  <c r="AD136" s="1"/>
  <c r="AD133"/>
  <c r="AN135"/>
  <c r="AN136" s="1"/>
  <c r="AN133"/>
  <c r="BH48"/>
  <c r="AD62"/>
  <c r="AA62" s="1"/>
  <c r="AD57"/>
  <c r="AD59"/>
  <c r="AG11" i="19"/>
  <c r="AE50"/>
  <c r="AG49"/>
  <c r="AF67" i="8"/>
  <c r="AM67"/>
  <c r="AN67" s="1"/>
  <c r="AO67" s="1"/>
  <c r="AM48" i="7"/>
  <c r="AO60"/>
  <c r="AL51"/>
  <c r="AO57"/>
  <c r="S72"/>
  <c r="AP57"/>
  <c r="AQ57" s="1"/>
  <c r="AI57"/>
  <c r="AB57"/>
  <c r="AI59"/>
  <c r="AI60"/>
  <c r="AP60"/>
  <c r="AQ60" s="1"/>
  <c r="AB60"/>
  <c r="H67"/>
  <c r="AL58"/>
  <c r="AO62"/>
  <c r="AR51"/>
  <c r="AR62" s="1"/>
  <c r="AN63"/>
  <c r="AL105" s="1"/>
  <c r="AL67" i="8"/>
  <c r="T68" i="7"/>
  <c r="Q68" s="1"/>
  <c r="Q67" s="1"/>
  <c r="G69"/>
  <c r="T69"/>
  <c r="CN94" i="8" l="1"/>
  <c r="CN63"/>
  <c r="C146" i="93" s="1"/>
  <c r="CN62" i="8"/>
  <c r="C145" i="93" s="1"/>
  <c r="CN66" i="8"/>
  <c r="Q22" i="87"/>
  <c r="P27" i="88"/>
  <c r="P9" s="1"/>
  <c r="P35" s="1"/>
  <c r="CT32" i="7"/>
  <c r="CQ32" s="1"/>
  <c r="P11" i="87"/>
  <c r="P10" s="1"/>
  <c r="P22" s="1"/>
  <c r="CJ89" i="8"/>
  <c r="CJ60"/>
  <c r="CJ61"/>
  <c r="CJ63" s="1"/>
  <c r="CJ62"/>
  <c r="CN97"/>
  <c r="Q27" i="87" s="1"/>
  <c r="Q9" s="1"/>
  <c r="Q33" s="1"/>
  <c r="CK98" i="8"/>
  <c r="CK101" s="1"/>
  <c r="CK102" s="1"/>
  <c r="CI15"/>
  <c r="CO8"/>
  <c r="CO49" s="1"/>
  <c r="CL14"/>
  <c r="CO82"/>
  <c r="CH60"/>
  <c r="CI17"/>
  <c r="CM17"/>
  <c r="CI25"/>
  <c r="CM25"/>
  <c r="CI82"/>
  <c r="T41" i="93"/>
  <c r="T40" s="1"/>
  <c r="T34" s="1"/>
  <c r="N41"/>
  <c r="N40" s="1"/>
  <c r="F41"/>
  <c r="F40" s="1"/>
  <c r="F34" s="1"/>
  <c r="S41"/>
  <c r="S40" s="1"/>
  <c r="K41"/>
  <c r="K40" s="1"/>
  <c r="K34" s="1"/>
  <c r="G41"/>
  <c r="G40" s="1"/>
  <c r="G34" s="1"/>
  <c r="E40"/>
  <c r="P41"/>
  <c r="P40" s="1"/>
  <c r="P34" s="1"/>
  <c r="J41"/>
  <c r="J40" s="1"/>
  <c r="J34" s="1"/>
  <c r="U41"/>
  <c r="U40" s="1"/>
  <c r="U34" s="1"/>
  <c r="O41"/>
  <c r="O40" s="1"/>
  <c r="O34" s="1"/>
  <c r="I41"/>
  <c r="I40" s="1"/>
  <c r="M92"/>
  <c r="R91"/>
  <c r="R92" s="1"/>
  <c r="U113"/>
  <c r="U112" s="1"/>
  <c r="U107" s="1"/>
  <c r="F113"/>
  <c r="F112" s="1"/>
  <c r="F107" s="1"/>
  <c r="N113"/>
  <c r="N112" s="1"/>
  <c r="T113"/>
  <c r="T112" s="1"/>
  <c r="T107" s="1"/>
  <c r="G113"/>
  <c r="G112" s="1"/>
  <c r="K113"/>
  <c r="K112" s="1"/>
  <c r="K107" s="1"/>
  <c r="S113"/>
  <c r="S112" s="1"/>
  <c r="E112"/>
  <c r="J113"/>
  <c r="J112" s="1"/>
  <c r="J107" s="1"/>
  <c r="P113"/>
  <c r="P112" s="1"/>
  <c r="P107" s="1"/>
  <c r="I113"/>
  <c r="I112" s="1"/>
  <c r="O113"/>
  <c r="O112" s="1"/>
  <c r="O107" s="1"/>
  <c r="C41" i="94"/>
  <c r="C57"/>
  <c r="BV25" i="8"/>
  <c r="E61" i="93"/>
  <c r="BV82" i="8"/>
  <c r="BW15"/>
  <c r="CD14" s="1"/>
  <c r="BW82"/>
  <c r="BW89" s="1"/>
  <c r="BV17"/>
  <c r="BW25"/>
  <c r="BW17"/>
  <c r="BU89"/>
  <c r="BV15"/>
  <c r="BU8"/>
  <c r="BX24"/>
  <c r="BV15" i="7"/>
  <c r="D11" i="61"/>
  <c r="E11" s="1"/>
  <c r="I10" i="87"/>
  <c r="BI124" i="7"/>
  <c r="BI130" s="1"/>
  <c r="K11" i="88"/>
  <c r="J10"/>
  <c r="I9"/>
  <c r="I22"/>
  <c r="AL131" i="7"/>
  <c r="AM131" s="1"/>
  <c r="D29" i="89"/>
  <c r="D27" i="86" s="1"/>
  <c r="D9" s="1"/>
  <c r="D35" s="1"/>
  <c r="D24" i="89"/>
  <c r="D22" i="86"/>
  <c r="D37" i="85"/>
  <c r="D47" i="89"/>
  <c r="D59"/>
  <c r="BI58" i="7"/>
  <c r="I27" i="85" s="1"/>
  <c r="BJ121" i="7"/>
  <c r="I24" i="90"/>
  <c r="I22" i="87"/>
  <c r="J13" i="90"/>
  <c r="J12" s="1"/>
  <c r="K11" i="87"/>
  <c r="J10"/>
  <c r="J11" i="85"/>
  <c r="BD17" i="8"/>
  <c r="AL130" i="7"/>
  <c r="AM130" s="1"/>
  <c r="BJ51"/>
  <c r="AD63"/>
  <c r="BG124"/>
  <c r="BH124" s="1"/>
  <c r="BH117"/>
  <c r="E11" i="66"/>
  <c r="D10"/>
  <c r="D10" i="61"/>
  <c r="D22" s="1"/>
  <c r="E11" i="65"/>
  <c r="D10"/>
  <c r="BH27" i="7"/>
  <c r="AR100" i="6"/>
  <c r="AS100" s="1"/>
  <c r="AD124"/>
  <c r="BE60" i="8"/>
  <c r="BE61"/>
  <c r="BF60"/>
  <c r="BF63"/>
  <c r="BC89"/>
  <c r="BD82"/>
  <c r="BG8" i="7"/>
  <c r="BV8" s="1"/>
  <c r="BH15"/>
  <c r="BC8" i="8"/>
  <c r="BR8" s="1"/>
  <c r="BD15"/>
  <c r="BD46"/>
  <c r="AI86"/>
  <c r="D13" i="90" s="1"/>
  <c r="AR65" i="6"/>
  <c r="AS65" s="1"/>
  <c r="AY100"/>
  <c r="BA101"/>
  <c r="AZ75"/>
  <c r="BA75"/>
  <c r="BA65"/>
  <c r="AP66"/>
  <c r="AW66"/>
  <c r="AW64" s="1"/>
  <c r="AY66"/>
  <c r="AY64" s="1"/>
  <c r="AQ66"/>
  <c r="AQ64" s="1"/>
  <c r="AX66"/>
  <c r="AX64" s="1"/>
  <c r="AJ124"/>
  <c r="AM124" s="1"/>
  <c r="AM123"/>
  <c r="AZ114"/>
  <c r="AR101"/>
  <c r="AS101" s="1"/>
  <c r="AD123"/>
  <c r="AW100"/>
  <c r="AZ101"/>
  <c r="AQ76"/>
  <c r="AQ74" s="1"/>
  <c r="AX76"/>
  <c r="AX74" s="1"/>
  <c r="AP76"/>
  <c r="AW76"/>
  <c r="AR76"/>
  <c r="AS76" s="1"/>
  <c r="AY76"/>
  <c r="AO123"/>
  <c r="AZ65"/>
  <c r="BA114"/>
  <c r="AP115"/>
  <c r="AW115"/>
  <c r="AY115"/>
  <c r="AY113" s="1"/>
  <c r="AQ115"/>
  <c r="AQ113" s="1"/>
  <c r="AX115"/>
  <c r="AX113" s="1"/>
  <c r="AP74"/>
  <c r="AR75"/>
  <c r="AS75" s="1"/>
  <c r="AP64"/>
  <c r="AR114"/>
  <c r="AS114" s="1"/>
  <c r="P93" i="56"/>
  <c r="BB102" i="8"/>
  <c r="K103" i="56"/>
  <c r="K102" s="1"/>
  <c r="T102" s="1"/>
  <c r="P102"/>
  <c r="X102" s="1"/>
  <c r="AL102" i="8"/>
  <c r="P73" i="56"/>
  <c r="X82"/>
  <c r="K20"/>
  <c r="P19"/>
  <c r="X19" s="1"/>
  <c r="AO63" i="7"/>
  <c r="H73" s="1"/>
  <c r="P10" i="56"/>
  <c r="R19"/>
  <c r="J19"/>
  <c r="E59" s="1"/>
  <c r="I21"/>
  <c r="G21" s="1"/>
  <c r="N21" s="1"/>
  <c r="L21" s="1"/>
  <c r="AO135" i="7"/>
  <c r="AO136" s="1"/>
  <c r="AO133"/>
  <c r="AL132"/>
  <c r="AW59"/>
  <c r="AW60"/>
  <c r="AW57"/>
  <c r="AL59"/>
  <c r="L20" i="56" s="1"/>
  <c r="AL62" i="7"/>
  <c r="L10" i="56" s="1"/>
  <c r="L9" s="1"/>
  <c r="T67" i="7"/>
  <c r="AS51"/>
  <c r="AL57"/>
  <c r="AM51"/>
  <c r="AL60"/>
  <c r="AM60" s="1"/>
  <c r="AA63"/>
  <c r="AP62"/>
  <c r="AQ62" s="1"/>
  <c r="AS62" s="1"/>
  <c r="AI62"/>
  <c r="AR60"/>
  <c r="AS60" s="1"/>
  <c r="P72"/>
  <c r="S74"/>
  <c r="P74" s="1"/>
  <c r="AR57"/>
  <c r="AS57" s="1"/>
  <c r="H74"/>
  <c r="G74" s="1"/>
  <c r="G73" s="1"/>
  <c r="G75" s="1"/>
  <c r="H117" i="8"/>
  <c r="H118" s="1"/>
  <c r="G118" s="1"/>
  <c r="G117" s="1"/>
  <c r="G119" s="1"/>
  <c r="T87" i="7"/>
  <c r="Q69"/>
  <c r="C59" i="94" l="1"/>
  <c r="C65"/>
  <c r="C67" s="1"/>
  <c r="CO60" i="8"/>
  <c r="D137" i="93" s="1"/>
  <c r="D135"/>
  <c r="D143" s="1"/>
  <c r="CN67" i="8"/>
  <c r="C149" i="93" s="1"/>
  <c r="C148"/>
  <c r="CN98" i="8"/>
  <c r="CN101" s="1"/>
  <c r="CN96"/>
  <c r="Q36" i="90"/>
  <c r="Q43" s="1"/>
  <c r="Q36" i="87"/>
  <c r="CO61" i="8"/>
  <c r="D144" i="93" s="1"/>
  <c r="CO54" i="8"/>
  <c r="CO89"/>
  <c r="Q11" i="88"/>
  <c r="CB14" i="8"/>
  <c r="CD82"/>
  <c r="Q10" i="90"/>
  <c r="CQ33" i="7"/>
  <c r="CR33" s="1"/>
  <c r="CR32"/>
  <c r="K27" i="87"/>
  <c r="CJ66" i="8"/>
  <c r="CJ67" s="1"/>
  <c r="CJ97"/>
  <c r="P27" i="87" s="1"/>
  <c r="P9" s="1"/>
  <c r="P36" s="1"/>
  <c r="CH61" i="8"/>
  <c r="CJ96"/>
  <c r="CK99"/>
  <c r="D40" i="94"/>
  <c r="B40" s="1"/>
  <c r="B57" s="1"/>
  <c r="B65" s="1"/>
  <c r="CD8" i="8"/>
  <c r="CI8"/>
  <c r="CM14"/>
  <c r="CL15"/>
  <c r="CM15" s="1"/>
  <c r="CL82"/>
  <c r="CL8"/>
  <c r="L10" i="87"/>
  <c r="L22" s="1"/>
  <c r="K10" i="88"/>
  <c r="K22" s="1"/>
  <c r="L13" i="90"/>
  <c r="L12" s="1"/>
  <c r="CI89" i="8"/>
  <c r="BA76" i="6"/>
  <c r="L112" i="93"/>
  <c r="L113" s="1"/>
  <c r="I107"/>
  <c r="L107" s="1"/>
  <c r="V112"/>
  <c r="V113" s="1"/>
  <c r="S107"/>
  <c r="V107" s="1"/>
  <c r="H112"/>
  <c r="G107"/>
  <c r="Q112"/>
  <c r="Q113" s="1"/>
  <c r="N107"/>
  <c r="Q107" s="1"/>
  <c r="H40"/>
  <c r="W40"/>
  <c r="W41" s="1"/>
  <c r="E34"/>
  <c r="BW8" i="8"/>
  <c r="W112" i="93"/>
  <c r="W113" s="1"/>
  <c r="E107"/>
  <c r="L40"/>
  <c r="L41" s="1"/>
  <c r="I34"/>
  <c r="L34" s="1"/>
  <c r="V40"/>
  <c r="V41" s="1"/>
  <c r="S34"/>
  <c r="V34" s="1"/>
  <c r="Q40"/>
  <c r="Q41" s="1"/>
  <c r="N34"/>
  <c r="Q34" s="1"/>
  <c r="BI131" i="7"/>
  <c r="BI132" s="1"/>
  <c r="BI135" s="1"/>
  <c r="BI136" s="1"/>
  <c r="BI138" s="1"/>
  <c r="BI140" s="1"/>
  <c r="E60" i="93"/>
  <c r="P61"/>
  <c r="P60" s="1"/>
  <c r="J61"/>
  <c r="J60" s="1"/>
  <c r="U61"/>
  <c r="U60" s="1"/>
  <c r="O61"/>
  <c r="O60" s="1"/>
  <c r="I61"/>
  <c r="I60" s="1"/>
  <c r="T61"/>
  <c r="T60" s="1"/>
  <c r="N61"/>
  <c r="N60" s="1"/>
  <c r="F61"/>
  <c r="F60" s="1"/>
  <c r="S61"/>
  <c r="S60" s="1"/>
  <c r="K61"/>
  <c r="K60" s="1"/>
  <c r="G61"/>
  <c r="G60" s="1"/>
  <c r="BV89" i="8"/>
  <c r="BV8"/>
  <c r="BU49"/>
  <c r="BX25"/>
  <c r="BX17"/>
  <c r="BX82"/>
  <c r="BX89" s="1"/>
  <c r="BU96"/>
  <c r="BU98"/>
  <c r="BW96"/>
  <c r="BW98"/>
  <c r="BW101" s="1"/>
  <c r="D12" i="90"/>
  <c r="D24" s="1"/>
  <c r="BG58" i="7"/>
  <c r="BG131" s="1"/>
  <c r="I35" i="88"/>
  <c r="I37" s="1"/>
  <c r="O36" s="1"/>
  <c r="I11" i="90"/>
  <c r="I49" s="1"/>
  <c r="J9" i="88"/>
  <c r="J22"/>
  <c r="BH8" i="7"/>
  <c r="D40" i="85"/>
  <c r="D46"/>
  <c r="D9" i="89"/>
  <c r="K11" i="85"/>
  <c r="J27" i="87"/>
  <c r="J22"/>
  <c r="J24" i="90"/>
  <c r="I22" i="85"/>
  <c r="K13" i="90"/>
  <c r="K12" s="1"/>
  <c r="K10" i="87"/>
  <c r="D11" i="64"/>
  <c r="I11" i="86"/>
  <c r="BJ124" i="7"/>
  <c r="D27" i="61"/>
  <c r="D9" s="1"/>
  <c r="D30" s="1"/>
  <c r="D32" s="1"/>
  <c r="I29" i="89"/>
  <c r="BC49" i="8"/>
  <c r="AR115" i="6"/>
  <c r="AS115" s="1"/>
  <c r="AP113"/>
  <c r="AR113" s="1"/>
  <c r="AS113" s="1"/>
  <c r="AR66"/>
  <c r="AS66" s="1"/>
  <c r="BG130" i="7"/>
  <c r="BH130" s="1"/>
  <c r="E10" i="66"/>
  <c r="F11"/>
  <c r="F10" s="1"/>
  <c r="D9"/>
  <c r="D30" s="1"/>
  <c r="D22"/>
  <c r="F11" i="61"/>
  <c r="F10" s="1"/>
  <c r="E10"/>
  <c r="F11" i="65"/>
  <c r="F10" s="1"/>
  <c r="E10"/>
  <c r="D22"/>
  <c r="AN124" i="6"/>
  <c r="BG51" i="7"/>
  <c r="BH58"/>
  <c r="BE63" i="8"/>
  <c r="BE68"/>
  <c r="BE66"/>
  <c r="BF66"/>
  <c r="AJ86"/>
  <c r="BD86"/>
  <c r="AI89"/>
  <c r="BF62"/>
  <c r="BF97"/>
  <c r="BF98" s="1"/>
  <c r="BE62"/>
  <c r="BC61"/>
  <c r="BV61" s="1"/>
  <c r="BE97"/>
  <c r="I27" i="87" s="1"/>
  <c r="BD8" i="8"/>
  <c r="BC96"/>
  <c r="AR74" i="6"/>
  <c r="AS74" s="1"/>
  <c r="AZ100"/>
  <c r="BA64"/>
  <c r="AZ64"/>
  <c r="AP123"/>
  <c r="AP124" s="1"/>
  <c r="AZ115"/>
  <c r="AR64"/>
  <c r="AS64" s="1"/>
  <c r="AN123"/>
  <c r="AW113"/>
  <c r="AZ113" s="1"/>
  <c r="AZ66"/>
  <c r="AY74"/>
  <c r="BA100"/>
  <c r="AO124"/>
  <c r="AX123"/>
  <c r="AX124" s="1"/>
  <c r="BA115"/>
  <c r="AZ76"/>
  <c r="AQ123"/>
  <c r="AQ124" s="1"/>
  <c r="BA66"/>
  <c r="AW74"/>
  <c r="AZ74" s="1"/>
  <c r="K93" i="56"/>
  <c r="K92" s="1"/>
  <c r="T92" s="1"/>
  <c r="P92"/>
  <c r="P72"/>
  <c r="L19"/>
  <c r="U19" s="1"/>
  <c r="G20"/>
  <c r="G19" s="1"/>
  <c r="Q19" s="1"/>
  <c r="J20"/>
  <c r="O20" s="1"/>
  <c r="O19" s="1"/>
  <c r="E39"/>
  <c r="K10"/>
  <c r="P9"/>
  <c r="X9" s="1"/>
  <c r="U9"/>
  <c r="AM132" i="7"/>
  <c r="AL135"/>
  <c r="AL133"/>
  <c r="AM133" s="1"/>
  <c r="AM59"/>
  <c r="AL63"/>
  <c r="AM63" s="1"/>
  <c r="AK46" i="8"/>
  <c r="AK86" s="1"/>
  <c r="AJ46"/>
  <c r="AI49"/>
  <c r="AM62" i="7"/>
  <c r="AI63"/>
  <c r="AP63"/>
  <c r="AQ63" s="1"/>
  <c r="S67"/>
  <c r="S68" s="1"/>
  <c r="P68" s="1"/>
  <c r="P67" s="1"/>
  <c r="P69" s="1"/>
  <c r="AM57"/>
  <c r="P73"/>
  <c r="P75" s="1"/>
  <c r="U87"/>
  <c r="D66" i="94" l="1"/>
  <c r="B66" s="1"/>
  <c r="C71"/>
  <c r="C72" s="1"/>
  <c r="C69"/>
  <c r="B59"/>
  <c r="B41"/>
  <c r="D57"/>
  <c r="D65" s="1"/>
  <c r="CO94" i="8"/>
  <c r="CL54"/>
  <c r="D41" i="94"/>
  <c r="CO66" i="8"/>
  <c r="CO63"/>
  <c r="D146" i="93" s="1"/>
  <c r="CO62" i="8"/>
  <c r="D145" i="93" s="1"/>
  <c r="CB82" i="8"/>
  <c r="CB89" s="1"/>
  <c r="CB15"/>
  <c r="CB8" s="1"/>
  <c r="CB49" s="1"/>
  <c r="CB60" s="1"/>
  <c r="CD89"/>
  <c r="M11" i="88"/>
  <c r="Q13" i="90"/>
  <c r="Q12" s="1"/>
  <c r="Q10" i="88"/>
  <c r="CJ98" i="8"/>
  <c r="CJ101" s="1"/>
  <c r="CJ102" s="1"/>
  <c r="CH66"/>
  <c r="CH67" s="1"/>
  <c r="CH97"/>
  <c r="CH63"/>
  <c r="CH62"/>
  <c r="CI61"/>
  <c r="CN102"/>
  <c r="CN99"/>
  <c r="CA17"/>
  <c r="CA49" s="1"/>
  <c r="BZ17"/>
  <c r="BZ49" s="1"/>
  <c r="BI133" i="7"/>
  <c r="CM8" i="8"/>
  <c r="CL49"/>
  <c r="CO97"/>
  <c r="Q27" i="88" s="1"/>
  <c r="CL61" i="8"/>
  <c r="B144" i="93" s="1"/>
  <c r="CL89" i="8"/>
  <c r="CM82"/>
  <c r="L10" i="88"/>
  <c r="L22" s="1"/>
  <c r="M10" i="87"/>
  <c r="M22" s="1"/>
  <c r="L24" i="90"/>
  <c r="CI96" i="8"/>
  <c r="CI49"/>
  <c r="H107" i="93"/>
  <c r="M107" s="1"/>
  <c r="R107" s="1"/>
  <c r="W34"/>
  <c r="H34"/>
  <c r="M34" s="1"/>
  <c r="R34" s="1"/>
  <c r="H41"/>
  <c r="M40"/>
  <c r="H113"/>
  <c r="M112"/>
  <c r="BW49" i="8"/>
  <c r="W107" i="93"/>
  <c r="BG132" i="7"/>
  <c r="BH132" s="1"/>
  <c r="BH131"/>
  <c r="BX49" i="8"/>
  <c r="C68" i="94"/>
  <c r="K40"/>
  <c r="H60" i="93"/>
  <c r="F40" i="94"/>
  <c r="T40"/>
  <c r="O40"/>
  <c r="J40"/>
  <c r="E40"/>
  <c r="W60" i="93"/>
  <c r="W61" s="1"/>
  <c r="BV96" i="8"/>
  <c r="G40" i="94"/>
  <c r="S40"/>
  <c r="V60" i="93"/>
  <c r="N40" i="94"/>
  <c r="Q60" i="93"/>
  <c r="I40" i="94"/>
  <c r="L60" i="93"/>
  <c r="U40" i="94"/>
  <c r="P40"/>
  <c r="BU101" i="8"/>
  <c r="BU62"/>
  <c r="BU66"/>
  <c r="BW102"/>
  <c r="BW105" s="1"/>
  <c r="BW106" s="1"/>
  <c r="BW99"/>
  <c r="BU99"/>
  <c r="BX98"/>
  <c r="BX101" s="1"/>
  <c r="BX96"/>
  <c r="BV49"/>
  <c r="BU60"/>
  <c r="BU63"/>
  <c r="O39" i="88"/>
  <c r="AK89" i="8"/>
  <c r="AK96" s="1"/>
  <c r="D11" i="87"/>
  <c r="J35" i="88"/>
  <c r="J11" i="90"/>
  <c r="J49" s="1"/>
  <c r="I40" i="88"/>
  <c r="I44"/>
  <c r="J36"/>
  <c r="D41" i="89"/>
  <c r="D11"/>
  <c r="D48" s="1"/>
  <c r="I29" i="90"/>
  <c r="I9" s="1"/>
  <c r="I42" s="1"/>
  <c r="I51" s="1"/>
  <c r="O50" s="1"/>
  <c r="I9" i="87"/>
  <c r="J11" i="86"/>
  <c r="I10"/>
  <c r="I13" i="89"/>
  <c r="I12" s="1"/>
  <c r="K24" i="90"/>
  <c r="J9" i="87"/>
  <c r="J36" s="1"/>
  <c r="J29" i="90"/>
  <c r="K10" i="85"/>
  <c r="I9"/>
  <c r="BJ130" i="7"/>
  <c r="BJ132"/>
  <c r="D10" i="64"/>
  <c r="E11"/>
  <c r="K22" i="87"/>
  <c r="BF67" i="8"/>
  <c r="BC97"/>
  <c r="D32" i="66"/>
  <c r="BG133" i="7"/>
  <c r="BH133" s="1"/>
  <c r="E9" i="66"/>
  <c r="E30" s="1"/>
  <c r="E22"/>
  <c r="F22"/>
  <c r="F9"/>
  <c r="F30" s="1"/>
  <c r="F22" i="61"/>
  <c r="F27"/>
  <c r="F9" s="1"/>
  <c r="F30" s="1"/>
  <c r="E22"/>
  <c r="E27"/>
  <c r="E9" s="1"/>
  <c r="E30" s="1"/>
  <c r="D35"/>
  <c r="D41"/>
  <c r="E31"/>
  <c r="E34" s="1"/>
  <c r="BE98" i="8"/>
  <c r="M123" i="56" s="1"/>
  <c r="D27" i="65"/>
  <c r="D9" s="1"/>
  <c r="D30" s="1"/>
  <c r="E22"/>
  <c r="E27"/>
  <c r="E9" s="1"/>
  <c r="E30" s="1"/>
  <c r="F22"/>
  <c r="F27"/>
  <c r="F9" s="1"/>
  <c r="F30" s="1"/>
  <c r="BE67" i="8"/>
  <c r="BC70"/>
  <c r="BF68"/>
  <c r="BE70"/>
  <c r="BD89"/>
  <c r="AJ89"/>
  <c r="AI96"/>
  <c r="BC63"/>
  <c r="BC66"/>
  <c r="BC62"/>
  <c r="BC60"/>
  <c r="P123" i="56"/>
  <c r="BF101" i="8"/>
  <c r="BF99"/>
  <c r="AR124" i="6"/>
  <c r="AS124" s="1"/>
  <c r="AW123"/>
  <c r="BA113"/>
  <c r="AR123"/>
  <c r="AS123" s="1"/>
  <c r="BA74"/>
  <c r="AY123"/>
  <c r="X72" i="56"/>
  <c r="X92"/>
  <c r="E60"/>
  <c r="D61"/>
  <c r="D41"/>
  <c r="B41" s="1"/>
  <c r="E40"/>
  <c r="BD49" i="8"/>
  <c r="AL136" i="7"/>
  <c r="AM136" s="1"/>
  <c r="AM135"/>
  <c r="AI60" i="8"/>
  <c r="AJ49"/>
  <c r="AK49"/>
  <c r="AK61" s="1"/>
  <c r="AR63" i="7"/>
  <c r="AS63" s="1"/>
  <c r="D67" i="94" l="1"/>
  <c r="D59"/>
  <c r="CM49" i="8"/>
  <c r="CL60"/>
  <c r="B137" i="93" s="1"/>
  <c r="B135"/>
  <c r="B143" s="1"/>
  <c r="CO67" i="8"/>
  <c r="D149" i="93" s="1"/>
  <c r="D148"/>
  <c r="CO98" i="8"/>
  <c r="CO101" s="1"/>
  <c r="CO96"/>
  <c r="CL94"/>
  <c r="CL62"/>
  <c r="CL66"/>
  <c r="CL63"/>
  <c r="B146" i="93" s="1"/>
  <c r="CB96" i="8"/>
  <c r="CB98"/>
  <c r="CJ99"/>
  <c r="CD96"/>
  <c r="CD98"/>
  <c r="Q24" i="90"/>
  <c r="Q22" i="88"/>
  <c r="CH98" i="8"/>
  <c r="CI97"/>
  <c r="BZ63"/>
  <c r="BZ60"/>
  <c r="BZ66"/>
  <c r="BZ67" s="1"/>
  <c r="BZ62"/>
  <c r="CA66"/>
  <c r="CA67" s="1"/>
  <c r="CA62"/>
  <c r="CA63"/>
  <c r="CA60"/>
  <c r="CC17"/>
  <c r="CC49" s="1"/>
  <c r="CD17"/>
  <c r="CD49" s="1"/>
  <c r="CM89"/>
  <c r="K27" i="88"/>
  <c r="K9" s="1"/>
  <c r="CM61" i="8"/>
  <c r="CL97"/>
  <c r="CM63"/>
  <c r="BG135" i="7"/>
  <c r="BG136" s="1"/>
  <c r="BX63" i="8"/>
  <c r="D162" i="93" s="1"/>
  <c r="D85" i="94" s="1"/>
  <c r="N10" i="87"/>
  <c r="N22" s="1"/>
  <c r="M9"/>
  <c r="M36" s="1"/>
  <c r="N10" i="88"/>
  <c r="N22" s="1"/>
  <c r="M10"/>
  <c r="M22" s="1"/>
  <c r="M10" i="85"/>
  <c r="L9" i="88"/>
  <c r="L35" s="1"/>
  <c r="M13" i="90"/>
  <c r="M12" s="1"/>
  <c r="CI60" i="8"/>
  <c r="CI66"/>
  <c r="BU102"/>
  <c r="CI63"/>
  <c r="CI62"/>
  <c r="BW66"/>
  <c r="BW62"/>
  <c r="C153" i="93" s="1"/>
  <c r="C76" i="94" s="1"/>
  <c r="M167" i="56"/>
  <c r="M166" s="1"/>
  <c r="BW60" i="8"/>
  <c r="BW63"/>
  <c r="C162" i="93" s="1"/>
  <c r="C85" i="94" s="1"/>
  <c r="M113" i="93"/>
  <c r="R112"/>
  <c r="R113" s="1"/>
  <c r="M41"/>
  <c r="R40"/>
  <c r="R41" s="1"/>
  <c r="BX60" i="8"/>
  <c r="BX62"/>
  <c r="D153" i="93" s="1"/>
  <c r="D76" i="94" s="1"/>
  <c r="BX66" i="8"/>
  <c r="D176" i="93" s="1"/>
  <c r="D99" i="94" s="1"/>
  <c r="BC98" i="8"/>
  <c r="BC99" s="1"/>
  <c r="BV99" s="1"/>
  <c r="BV97"/>
  <c r="X246" i="6"/>
  <c r="B162" i="93"/>
  <c r="B85" i="94" s="1"/>
  <c r="D68"/>
  <c r="L40"/>
  <c r="L61" i="93"/>
  <c r="Q61"/>
  <c r="Q40" i="94"/>
  <c r="V40"/>
  <c r="V61" i="93"/>
  <c r="J41" i="94"/>
  <c r="T41"/>
  <c r="H40"/>
  <c r="M60" i="93"/>
  <c r="H61"/>
  <c r="K41" i="94"/>
  <c r="B67"/>
  <c r="P41"/>
  <c r="U41"/>
  <c r="I41"/>
  <c r="N41"/>
  <c r="S41"/>
  <c r="G41"/>
  <c r="W40"/>
  <c r="W41" s="1"/>
  <c r="E41"/>
  <c r="O41"/>
  <c r="F41"/>
  <c r="J9" i="90"/>
  <c r="J42" s="1"/>
  <c r="BV66" i="8"/>
  <c r="BU67"/>
  <c r="L167" i="56"/>
  <c r="L166" s="1"/>
  <c r="BX102" i="8"/>
  <c r="BX105" s="1"/>
  <c r="BX106" s="1"/>
  <c r="BX99"/>
  <c r="BV62"/>
  <c r="BV63"/>
  <c r="BV60"/>
  <c r="I46" i="88"/>
  <c r="O43"/>
  <c r="D10" i="87"/>
  <c r="D22" s="1"/>
  <c r="D11" i="88"/>
  <c r="D10" s="1"/>
  <c r="D22" s="1"/>
  <c r="BC101" i="8"/>
  <c r="BV101" s="1"/>
  <c r="I63" i="90"/>
  <c r="O62" s="1"/>
  <c r="J50"/>
  <c r="J53" s="1"/>
  <c r="I54"/>
  <c r="J37" i="88"/>
  <c r="P36" s="1"/>
  <c r="P39" s="1"/>
  <c r="J39"/>
  <c r="J43"/>
  <c r="I45"/>
  <c r="D22" i="64"/>
  <c r="D9"/>
  <c r="D30" s="1"/>
  <c r="D32" s="1"/>
  <c r="D35" s="1"/>
  <c r="I10" i="89"/>
  <c r="I42" s="1"/>
  <c r="I44" s="1"/>
  <c r="O43" s="1"/>
  <c r="I35" i="85"/>
  <c r="I37" s="1"/>
  <c r="I24" i="89"/>
  <c r="I9"/>
  <c r="I41" s="1"/>
  <c r="K11" i="86"/>
  <c r="J13" i="89"/>
  <c r="K9" i="87"/>
  <c r="K36" s="1"/>
  <c r="E10" i="64"/>
  <c r="F11"/>
  <c r="F10" s="1"/>
  <c r="BJ133" i="7"/>
  <c r="BJ135"/>
  <c r="BJ136" s="1"/>
  <c r="J10" i="90"/>
  <c r="J43" s="1"/>
  <c r="I9" i="86"/>
  <c r="I22"/>
  <c r="I36" i="87"/>
  <c r="I38" s="1"/>
  <c r="O37" s="1"/>
  <c r="I10" i="90"/>
  <c r="I43" s="1"/>
  <c r="I45" s="1"/>
  <c r="O44" s="1"/>
  <c r="BC69" i="8"/>
  <c r="AA244" i="6"/>
  <c r="Y244"/>
  <c r="BC67" i="8"/>
  <c r="D39" i="66"/>
  <c r="D35"/>
  <c r="D41"/>
  <c r="E31"/>
  <c r="E34" s="1"/>
  <c r="D32" i="65"/>
  <c r="E31" i="64"/>
  <c r="BH136" i="7"/>
  <c r="BH135"/>
  <c r="E32" i="61"/>
  <c r="E41" s="1"/>
  <c r="BE101" i="8"/>
  <c r="M113" i="56" s="1"/>
  <c r="M112" s="1"/>
  <c r="BE99" i="8"/>
  <c r="BF70"/>
  <c r="BF69" s="1"/>
  <c r="BG69" s="1"/>
  <c r="BF102"/>
  <c r="P113" i="56"/>
  <c r="P122"/>
  <c r="X122" s="1"/>
  <c r="K123"/>
  <c r="K122" s="1"/>
  <c r="T122" s="1"/>
  <c r="BD96" i="8"/>
  <c r="AJ96"/>
  <c r="BC102"/>
  <c r="M122" i="56"/>
  <c r="H123"/>
  <c r="H122" s="1"/>
  <c r="BA123" i="6"/>
  <c r="AY124"/>
  <c r="AW124"/>
  <c r="AZ123"/>
  <c r="C40" i="56"/>
  <c r="B40" s="1"/>
  <c r="B39" s="1"/>
  <c r="B61"/>
  <c r="C60"/>
  <c r="BD60" i="8"/>
  <c r="AJ60"/>
  <c r="AK60"/>
  <c r="AK111"/>
  <c r="AK112" s="1"/>
  <c r="D71" i="94" l="1"/>
  <c r="D72" s="1"/>
  <c r="D69"/>
  <c r="CM60" i="8"/>
  <c r="B71" i="94"/>
  <c r="B72" s="1"/>
  <c r="B69"/>
  <c r="CL67" i="8"/>
  <c r="B149" i="93" s="1"/>
  <c r="B148"/>
  <c r="B176" s="1"/>
  <c r="B99" i="94" s="1"/>
  <c r="CM62" i="8"/>
  <c r="B145" i="93"/>
  <c r="B153" s="1"/>
  <c r="B76" i="94" s="1"/>
  <c r="CL98" i="8"/>
  <c r="CL101" s="1"/>
  <c r="CL96"/>
  <c r="CM96" s="1"/>
  <c r="V166" i="56"/>
  <c r="K29" i="90"/>
  <c r="K9" s="1"/>
  <c r="K42" s="1"/>
  <c r="CD99" i="8"/>
  <c r="CD101"/>
  <c r="CD102" s="1"/>
  <c r="CB99"/>
  <c r="CB101"/>
  <c r="CB102" s="1"/>
  <c r="CM97"/>
  <c r="CM66"/>
  <c r="CB62"/>
  <c r="CB63"/>
  <c r="CB66"/>
  <c r="CB67" s="1"/>
  <c r="CH99"/>
  <c r="CI99" s="1"/>
  <c r="CH101"/>
  <c r="CI98"/>
  <c r="BV102"/>
  <c r="CD60"/>
  <c r="CD62"/>
  <c r="CD63"/>
  <c r="CD66"/>
  <c r="CD67" s="1"/>
  <c r="CC62"/>
  <c r="CC60"/>
  <c r="CC66"/>
  <c r="CC67" s="1"/>
  <c r="CC63"/>
  <c r="L113" i="56"/>
  <c r="L112" s="1"/>
  <c r="U166" s="1"/>
  <c r="K11" i="90"/>
  <c r="K49" s="1"/>
  <c r="K35" i="88"/>
  <c r="CO102" i="8"/>
  <c r="CO99"/>
  <c r="L29" i="90"/>
  <c r="L9" s="1"/>
  <c r="L42" s="1"/>
  <c r="L9" i="87"/>
  <c r="L36" s="1"/>
  <c r="N13" i="90"/>
  <c r="N12" s="1"/>
  <c r="N9" s="1"/>
  <c r="N42" s="1"/>
  <c r="L11"/>
  <c r="L49" s="1"/>
  <c r="N10" i="85"/>
  <c r="N9" i="88"/>
  <c r="N35" s="1"/>
  <c r="M10" i="90"/>
  <c r="M43" s="1"/>
  <c r="N9" i="87"/>
  <c r="N36" s="1"/>
  <c r="M9" i="90"/>
  <c r="M42" s="1"/>
  <c r="M24"/>
  <c r="M22" i="85"/>
  <c r="M9"/>
  <c r="M9" i="88"/>
  <c r="M35" s="1"/>
  <c r="B185" i="93"/>
  <c r="B108" i="94" s="1"/>
  <c r="CI67" i="8"/>
  <c r="CM67"/>
  <c r="BX67"/>
  <c r="D185" i="93" s="1"/>
  <c r="D108" i="94" s="1"/>
  <c r="P167" i="56"/>
  <c r="P166" s="1"/>
  <c r="X245" i="6"/>
  <c r="C176" i="93"/>
  <c r="C99" i="94" s="1"/>
  <c r="BW67" i="8"/>
  <c r="C185" i="93" s="1"/>
  <c r="C108" i="94" s="1"/>
  <c r="M40"/>
  <c r="M41" s="1"/>
  <c r="M61" i="93"/>
  <c r="R60"/>
  <c r="P28" i="96"/>
  <c r="Q41" i="94"/>
  <c r="P29" i="96" s="1"/>
  <c r="L123" i="56"/>
  <c r="BV98" i="8"/>
  <c r="O36" i="85"/>
  <c r="O39" s="1"/>
  <c r="J36"/>
  <c r="J39" s="1"/>
  <c r="B68" i="94"/>
  <c r="M28" i="96"/>
  <c r="H41" i="94"/>
  <c r="M29" i="96" s="1"/>
  <c r="R28"/>
  <c r="V41" i="94"/>
  <c r="R29" i="96" s="1"/>
  <c r="N28"/>
  <c r="L41" i="94"/>
  <c r="N29" i="96" s="1"/>
  <c r="D86" i="94"/>
  <c r="D171" i="93"/>
  <c r="D154"/>
  <c r="BV67" i="8"/>
  <c r="O46" i="89"/>
  <c r="O40" i="87"/>
  <c r="D41" i="64"/>
  <c r="J51" i="90"/>
  <c r="J44" i="88"/>
  <c r="J40"/>
  <c r="K36"/>
  <c r="I64" i="90"/>
  <c r="J62"/>
  <c r="I65"/>
  <c r="J37" i="87"/>
  <c r="I41"/>
  <c r="I47"/>
  <c r="I35" i="86"/>
  <c r="I37" s="1"/>
  <c r="I11" i="89"/>
  <c r="I48" s="1"/>
  <c r="I50" s="1"/>
  <c r="O49" s="1"/>
  <c r="E22" i="64"/>
  <c r="E9"/>
  <c r="E30" s="1"/>
  <c r="E32" s="1"/>
  <c r="F31" s="1"/>
  <c r="F34" s="1"/>
  <c r="K10" i="90"/>
  <c r="K43" s="1"/>
  <c r="K13" i="89"/>
  <c r="J43"/>
  <c r="I59"/>
  <c r="I47"/>
  <c r="J44" i="90"/>
  <c r="J45" s="1"/>
  <c r="I48"/>
  <c r="I60"/>
  <c r="F9" i="64"/>
  <c r="F30" s="1"/>
  <c r="F22"/>
  <c r="I40" i="85"/>
  <c r="I46"/>
  <c r="AA245" i="6"/>
  <c r="AA246"/>
  <c r="Y246"/>
  <c r="E34" i="64"/>
  <c r="E32" i="66"/>
  <c r="E39" s="1"/>
  <c r="F38" s="1"/>
  <c r="D35" i="65"/>
  <c r="E31"/>
  <c r="E32" s="1"/>
  <c r="E41" s="1"/>
  <c r="D41"/>
  <c r="D40" i="66"/>
  <c r="E38"/>
  <c r="F31" i="61"/>
  <c r="F34" s="1"/>
  <c r="E35"/>
  <c r="BE102" i="8"/>
  <c r="BE105" s="1"/>
  <c r="BA124" i="6"/>
  <c r="C39" i="56"/>
  <c r="I124"/>
  <c r="G124" s="1"/>
  <c r="N124" s="1"/>
  <c r="L124" s="1"/>
  <c r="R122"/>
  <c r="J122"/>
  <c r="J123" s="1"/>
  <c r="O123" s="1"/>
  <c r="O122" s="1"/>
  <c r="K113"/>
  <c r="K112" s="1"/>
  <c r="P112"/>
  <c r="AZ124" i="6"/>
  <c r="C59" i="56"/>
  <c r="B60"/>
  <c r="B59" s="1"/>
  <c r="AK66" i="8"/>
  <c r="AK97"/>
  <c r="H112"/>
  <c r="G112" s="1"/>
  <c r="AK62"/>
  <c r="AK63"/>
  <c r="AI61"/>
  <c r="P44" i="90" l="1"/>
  <c r="P47" s="1"/>
  <c r="Q44"/>
  <c r="Q47" s="1"/>
  <c r="Q29"/>
  <c r="Q9" i="88"/>
  <c r="Q32" s="1"/>
  <c r="CH102" i="8"/>
  <c r="CI102" s="1"/>
  <c r="CI101"/>
  <c r="N24" i="90"/>
  <c r="CL99" i="8"/>
  <c r="CM99" s="1"/>
  <c r="CM98"/>
  <c r="L10" i="90"/>
  <c r="L43" s="1"/>
  <c r="M10" i="86"/>
  <c r="M13" i="89"/>
  <c r="M12" s="1"/>
  <c r="M11" i="90"/>
  <c r="M49" s="1"/>
  <c r="M35" i="85"/>
  <c r="M10" i="89"/>
  <c r="M42" s="1"/>
  <c r="N10" i="90"/>
  <c r="N43" s="1"/>
  <c r="N11"/>
  <c r="N49" s="1"/>
  <c r="N22" i="85"/>
  <c r="N9"/>
  <c r="J63" i="90"/>
  <c r="P62" s="1"/>
  <c r="P50"/>
  <c r="P53" s="1"/>
  <c r="Y245" i="6"/>
  <c r="F32" i="64"/>
  <c r="F35" s="1"/>
  <c r="O36" i="86"/>
  <c r="O39" s="1"/>
  <c r="J36"/>
  <c r="D170" i="93"/>
  <c r="D93" i="94" s="1"/>
  <c r="D94"/>
  <c r="J38" i="87"/>
  <c r="D77" i="94"/>
  <c r="D155" i="93"/>
  <c r="L122" i="56"/>
  <c r="G123"/>
  <c r="G122" s="1"/>
  <c r="Q122" s="1"/>
  <c r="R61" i="93"/>
  <c r="R40" i="94"/>
  <c r="R41" s="1"/>
  <c r="O28" i="96"/>
  <c r="X112" i="56"/>
  <c r="X166"/>
  <c r="T112"/>
  <c r="F155"/>
  <c r="F156" s="1"/>
  <c r="F166"/>
  <c r="F167" s="1"/>
  <c r="K167" s="1"/>
  <c r="K166" s="1"/>
  <c r="T166" s="1"/>
  <c r="BE106" i="8"/>
  <c r="BS104"/>
  <c r="E41" i="64"/>
  <c r="E35"/>
  <c r="T74" i="7"/>
  <c r="Q74" s="1"/>
  <c r="Q73" s="1"/>
  <c r="D10" i="90"/>
  <c r="D43" s="1"/>
  <c r="D45" s="1"/>
  <c r="AK98" i="8"/>
  <c r="M83" i="56" s="1"/>
  <c r="M82" s="1"/>
  <c r="D27" i="87"/>
  <c r="D9" s="1"/>
  <c r="D36" s="1"/>
  <c r="D38" s="1"/>
  <c r="K50" i="90"/>
  <c r="K51" s="1"/>
  <c r="J54"/>
  <c r="K39" i="88"/>
  <c r="K37"/>
  <c r="K43"/>
  <c r="J45"/>
  <c r="J46"/>
  <c r="J46" i="89"/>
  <c r="I40" i="86"/>
  <c r="J48" i="90"/>
  <c r="K44"/>
  <c r="J47"/>
  <c r="J60"/>
  <c r="J49" i="89"/>
  <c r="J52" s="1"/>
  <c r="I53"/>
  <c r="J40" i="87"/>
  <c r="E40" i="66"/>
  <c r="E41"/>
  <c r="F31"/>
  <c r="F32" s="1"/>
  <c r="E34" i="65"/>
  <c r="F31"/>
  <c r="F34" s="1"/>
  <c r="E35"/>
  <c r="S112" i="8"/>
  <c r="Q115" s="1"/>
  <c r="E35" i="66"/>
  <c r="F32" i="61"/>
  <c r="F35" s="1"/>
  <c r="AK67" i="8"/>
  <c r="T73" i="7" s="1"/>
  <c r="AI97" i="8"/>
  <c r="D29" i="90" s="1"/>
  <c r="H111" i="8"/>
  <c r="AI62"/>
  <c r="AI66"/>
  <c r="AI63"/>
  <c r="G111"/>
  <c r="G78" i="7"/>
  <c r="P37" i="87" l="1"/>
  <c r="P40" s="1"/>
  <c r="Q37"/>
  <c r="Q40" s="1"/>
  <c r="Q35" i="88"/>
  <c r="Q36" s="1"/>
  <c r="Q37" i="90"/>
  <c r="Q49" s="1"/>
  <c r="Q50" s="1"/>
  <c r="Q53" s="1"/>
  <c r="Q9"/>
  <c r="Q35" s="1"/>
  <c r="Q42" s="1"/>
  <c r="Q43" i="88"/>
  <c r="E29" i="93" s="1"/>
  <c r="E29" i="94" s="1"/>
  <c r="Q37" i="88"/>
  <c r="Q11" i="90"/>
  <c r="Q51" s="1"/>
  <c r="Q62" s="1"/>
  <c r="F41" i="64"/>
  <c r="AK99" i="8"/>
  <c r="H83" i="56"/>
  <c r="K53" i="90"/>
  <c r="D27" i="88"/>
  <c r="D9" s="1"/>
  <c r="D35" s="1"/>
  <c r="K37" i="87"/>
  <c r="K38" s="1"/>
  <c r="J65" i="90"/>
  <c r="K62"/>
  <c r="J47" i="87"/>
  <c r="J41"/>
  <c r="J64" i="90"/>
  <c r="CL102" i="8"/>
  <c r="CM102" s="1"/>
  <c r="CM101"/>
  <c r="N35" i="85"/>
  <c r="N10" i="89"/>
  <c r="N42" s="1"/>
  <c r="M9"/>
  <c r="M41" s="1"/>
  <c r="M24"/>
  <c r="M9" i="86"/>
  <c r="M22"/>
  <c r="K41" i="87"/>
  <c r="N10" i="86"/>
  <c r="N13" i="89"/>
  <c r="N12" s="1"/>
  <c r="G81" i="7"/>
  <c r="H81" s="1"/>
  <c r="AK101" i="8"/>
  <c r="AK102" s="1"/>
  <c r="C121" i="92"/>
  <c r="B221" i="91"/>
  <c r="B129" i="92" s="1"/>
  <c r="C221" i="91"/>
  <c r="C129" i="92" s="1"/>
  <c r="N221" i="91"/>
  <c r="E221"/>
  <c r="U221"/>
  <c r="U129" i="92" s="1"/>
  <c r="S221" i="91"/>
  <c r="J221"/>
  <c r="J129" i="92" s="1"/>
  <c r="O221" i="91"/>
  <c r="O129" i="92" s="1"/>
  <c r="T221" i="91"/>
  <c r="T129" i="92" s="1"/>
  <c r="G221" i="91"/>
  <c r="G129" i="92" s="1"/>
  <c r="P221" i="91"/>
  <c r="P129" i="92" s="1"/>
  <c r="K221" i="91"/>
  <c r="K129" i="92" s="1"/>
  <c r="I221" i="91"/>
  <c r="F221"/>
  <c r="F129" i="92" s="1"/>
  <c r="C204" i="91"/>
  <c r="C86" i="94"/>
  <c r="B171" i="93"/>
  <c r="B94" i="94" s="1"/>
  <c r="T171" i="93"/>
  <c r="T94" i="94" s="1"/>
  <c r="C171" i="93"/>
  <c r="C94" i="94" s="1"/>
  <c r="N171" i="93"/>
  <c r="F171"/>
  <c r="F94" i="94" s="1"/>
  <c r="O171" i="93"/>
  <c r="O94" i="94" s="1"/>
  <c r="S171" i="93"/>
  <c r="K171"/>
  <c r="K94" i="94" s="1"/>
  <c r="E171" i="93"/>
  <c r="G171"/>
  <c r="G94" i="94" s="1"/>
  <c r="P171" i="93"/>
  <c r="P94" i="94" s="1"/>
  <c r="J171" i="93"/>
  <c r="J94" i="94" s="1"/>
  <c r="U171" i="93"/>
  <c r="U94" i="94" s="1"/>
  <c r="I171" i="93"/>
  <c r="C154"/>
  <c r="Q28" i="96"/>
  <c r="O29"/>
  <c r="D78" i="94"/>
  <c r="D164" i="93"/>
  <c r="C109" i="94"/>
  <c r="B194" i="93"/>
  <c r="B117" i="94" s="1"/>
  <c r="C194" i="93"/>
  <c r="C117" i="94" s="1"/>
  <c r="T194" i="93"/>
  <c r="T117" i="94" s="1"/>
  <c r="J194" i="93"/>
  <c r="J117" i="94" s="1"/>
  <c r="F194" i="93"/>
  <c r="F117" i="94" s="1"/>
  <c r="E194" i="93"/>
  <c r="O194"/>
  <c r="O117" i="94" s="1"/>
  <c r="U194" i="93"/>
  <c r="U117" i="94" s="1"/>
  <c r="G194" i="93"/>
  <c r="G117" i="94" s="1"/>
  <c r="N194" i="93"/>
  <c r="S194"/>
  <c r="K194"/>
  <c r="K117" i="94" s="1"/>
  <c r="I194" i="93"/>
  <c r="P194"/>
  <c r="P117" i="94" s="1"/>
  <c r="C177" i="93"/>
  <c r="D41" i="87"/>
  <c r="D47"/>
  <c r="D48" i="90"/>
  <c r="D60"/>
  <c r="D9"/>
  <c r="D42" s="1"/>
  <c r="K44" i="88"/>
  <c r="K40"/>
  <c r="K63" i="90"/>
  <c r="K54"/>
  <c r="K45"/>
  <c r="K47"/>
  <c r="J39" i="86"/>
  <c r="F34" i="66"/>
  <c r="F32" i="65"/>
  <c r="F35" s="1"/>
  <c r="P112" i="8"/>
  <c r="P111" s="1"/>
  <c r="P113" s="1"/>
  <c r="Q112"/>
  <c r="Q111" s="1"/>
  <c r="Q113" s="1"/>
  <c r="F35" i="66"/>
  <c r="F39"/>
  <c r="F40" s="1"/>
  <c r="F41" i="61"/>
  <c r="S111" i="8"/>
  <c r="V82" i="56"/>
  <c r="V122"/>
  <c r="AJ97" i="8"/>
  <c r="BD97"/>
  <c r="AI98"/>
  <c r="L83" i="56" s="1"/>
  <c r="Q75" i="7"/>
  <c r="T88"/>
  <c r="G113" i="8"/>
  <c r="U125"/>
  <c r="U128" s="1"/>
  <c r="W128" s="1"/>
  <c r="P114"/>
  <c r="AJ63"/>
  <c r="H78" i="7"/>
  <c r="G79"/>
  <c r="AJ66" i="8"/>
  <c r="AI67"/>
  <c r="Q39" i="88" l="1"/>
  <c r="D186" i="93"/>
  <c r="K29" i="94"/>
  <c r="I29"/>
  <c r="I22" s="1"/>
  <c r="F29"/>
  <c r="F22" s="1"/>
  <c r="F24" s="1"/>
  <c r="J29"/>
  <c r="J22" s="1"/>
  <c r="J24" s="1"/>
  <c r="G29"/>
  <c r="E22"/>
  <c r="K29" i="93"/>
  <c r="I29"/>
  <c r="I22" s="1"/>
  <c r="F29"/>
  <c r="F22" s="1"/>
  <c r="F24" s="1"/>
  <c r="F26" s="1"/>
  <c r="J29"/>
  <c r="J22" s="1"/>
  <c r="J24" s="1"/>
  <c r="J26" s="1"/>
  <c r="G29"/>
  <c r="E22"/>
  <c r="K47" i="87"/>
  <c r="G82" i="7"/>
  <c r="Q45" i="90"/>
  <c r="Q48" s="1"/>
  <c r="Q44" i="88"/>
  <c r="Q40"/>
  <c r="Q38" i="87"/>
  <c r="Q54" i="90"/>
  <c r="Q63"/>
  <c r="Q64" s="1"/>
  <c r="K65"/>
  <c r="M73" i="56"/>
  <c r="M72" s="1"/>
  <c r="K40" i="87"/>
  <c r="K64" i="90"/>
  <c r="K45" i="88"/>
  <c r="N9" i="86"/>
  <c r="N22"/>
  <c r="K48" i="90"/>
  <c r="N9" i="89"/>
  <c r="N41" s="1"/>
  <c r="N24"/>
  <c r="M35" i="86"/>
  <c r="M11" i="89"/>
  <c r="M48" s="1"/>
  <c r="D121" i="92"/>
  <c r="D221" i="91"/>
  <c r="D129" i="92" s="1"/>
  <c r="D204" i="91"/>
  <c r="C100" i="94"/>
  <c r="C178" i="93"/>
  <c r="I117" i="94"/>
  <c r="L194" i="93"/>
  <c r="L117" i="94" s="1"/>
  <c r="S117"/>
  <c r="V194" i="93"/>
  <c r="V117" i="94" s="1"/>
  <c r="D165" i="93"/>
  <c r="D88" i="94" s="1"/>
  <c r="D87"/>
  <c r="I94"/>
  <c r="L171" i="93"/>
  <c r="L94" i="94" s="1"/>
  <c r="N94"/>
  <c r="Q171" i="93"/>
  <c r="Q94" i="94" s="1"/>
  <c r="S129" i="92"/>
  <c r="V221" i="91"/>
  <c r="V129" i="92" s="1"/>
  <c r="E129"/>
  <c r="W221" i="91"/>
  <c r="H221"/>
  <c r="D98" i="92"/>
  <c r="D198" i="91"/>
  <c r="D181"/>
  <c r="N117" i="94"/>
  <c r="Q194" i="93"/>
  <c r="Q117" i="94" s="1"/>
  <c r="E117"/>
  <c r="H194" i="93"/>
  <c r="W194"/>
  <c r="S28" i="96"/>
  <c r="S29" s="1"/>
  <c r="Q29"/>
  <c r="C155" i="93"/>
  <c r="C77" i="94"/>
  <c r="B154" i="93"/>
  <c r="E94" i="94"/>
  <c r="H171" i="93"/>
  <c r="W171"/>
  <c r="S94" i="94"/>
  <c r="V171" i="93"/>
  <c r="V94" i="94" s="1"/>
  <c r="C112" i="92"/>
  <c r="B204" i="91"/>
  <c r="I129" i="92"/>
  <c r="L221" i="91"/>
  <c r="L129" i="92" s="1"/>
  <c r="N129"/>
  <c r="Q221" i="91"/>
  <c r="Q129" i="92" s="1"/>
  <c r="K46" i="88"/>
  <c r="K60" i="90"/>
  <c r="F41" i="65"/>
  <c r="F41" i="66"/>
  <c r="L82" i="56"/>
  <c r="G83"/>
  <c r="G82" s="1"/>
  <c r="Q82" s="1"/>
  <c r="H73"/>
  <c r="H72" s="1"/>
  <c r="AJ98" i="8"/>
  <c r="AI101"/>
  <c r="L73" i="56" s="1"/>
  <c r="AI99" i="8"/>
  <c r="BD98"/>
  <c r="AJ67"/>
  <c r="U88" i="7"/>
  <c r="U89" s="1"/>
  <c r="T89"/>
  <c r="D55" i="34"/>
  <c r="H29" i="94" l="1"/>
  <c r="G22"/>
  <c r="G24" s="1"/>
  <c r="C10" i="99"/>
  <c r="C8" s="1"/>
  <c r="F26" i="94"/>
  <c r="L29"/>
  <c r="M29" s="1"/>
  <c r="K22"/>
  <c r="K24" s="1"/>
  <c r="E24"/>
  <c r="G10" i="99"/>
  <c r="G8" s="1"/>
  <c r="J26" i="94"/>
  <c r="L22"/>
  <c r="I24"/>
  <c r="D109"/>
  <c r="D177" i="93"/>
  <c r="D194"/>
  <c r="Q41" i="87"/>
  <c r="N30" i="93"/>
  <c r="N30" i="94" s="1"/>
  <c r="H29" i="93"/>
  <c r="G22"/>
  <c r="G24" s="1"/>
  <c r="G26" s="1"/>
  <c r="L29"/>
  <c r="M29" s="1"/>
  <c r="K22"/>
  <c r="K24" s="1"/>
  <c r="K26" s="1"/>
  <c r="Q45" i="88"/>
  <c r="N29" i="93"/>
  <c r="N29" i="94" s="1"/>
  <c r="E24" i="93"/>
  <c r="H22"/>
  <c r="I24"/>
  <c r="Q65" i="90"/>
  <c r="Q47" i="87"/>
  <c r="Q60" i="90"/>
  <c r="N35" i="86"/>
  <c r="N11" i="89"/>
  <c r="N48" s="1"/>
  <c r="B112" i="92"/>
  <c r="B213" i="91"/>
  <c r="M171" i="93"/>
  <c r="H94" i="94"/>
  <c r="B163" i="93"/>
  <c r="B86" i="94" s="1"/>
  <c r="B77"/>
  <c r="C78"/>
  <c r="C164" i="93"/>
  <c r="D89" i="92"/>
  <c r="H129"/>
  <c r="M221" i="91"/>
  <c r="D112" i="92"/>
  <c r="W117" i="94"/>
  <c r="W129" i="92"/>
  <c r="H117" i="94"/>
  <c r="M194" i="93"/>
  <c r="D106" i="92"/>
  <c r="C101" i="94"/>
  <c r="C187" i="93"/>
  <c r="W94" i="94"/>
  <c r="L72" i="56"/>
  <c r="G73"/>
  <c r="G72" s="1"/>
  <c r="Q72" s="1"/>
  <c r="V72"/>
  <c r="V112"/>
  <c r="I74"/>
  <c r="G74" s="1"/>
  <c r="N74" s="1"/>
  <c r="L74" s="1"/>
  <c r="R72"/>
  <c r="J72"/>
  <c r="U82"/>
  <c r="U122"/>
  <c r="AJ99" i="8"/>
  <c r="BD99"/>
  <c r="AI102"/>
  <c r="AJ101"/>
  <c r="BD101"/>
  <c r="Q55" i="34"/>
  <c r="D178" i="93" l="1"/>
  <c r="D100" i="94"/>
  <c r="B177" i="93"/>
  <c r="F10" i="99"/>
  <c r="I26" i="94"/>
  <c r="L24"/>
  <c r="L26" s="1"/>
  <c r="L22" i="93"/>
  <c r="H22" i="94"/>
  <c r="M22" s="1"/>
  <c r="P29"/>
  <c r="S29"/>
  <c r="O29"/>
  <c r="O22" s="1"/>
  <c r="N22"/>
  <c r="T30"/>
  <c r="P30"/>
  <c r="U30"/>
  <c r="S30"/>
  <c r="O30"/>
  <c r="N28"/>
  <c r="N21" s="1"/>
  <c r="N23"/>
  <c r="D193" i="93"/>
  <c r="D116" i="94" s="1"/>
  <c r="D117"/>
  <c r="B10" i="99"/>
  <c r="H24" i="94"/>
  <c r="E26"/>
  <c r="H10" i="99"/>
  <c r="H8" s="1"/>
  <c r="K26" i="94"/>
  <c r="D10" i="99"/>
  <c r="D8" s="1"/>
  <c r="G26" i="94"/>
  <c r="M22" i="93"/>
  <c r="P29"/>
  <c r="S29"/>
  <c r="O29"/>
  <c r="O22" s="1"/>
  <c r="N22"/>
  <c r="T30"/>
  <c r="P30"/>
  <c r="U30"/>
  <c r="S30"/>
  <c r="O30"/>
  <c r="N28"/>
  <c r="N21" s="1"/>
  <c r="N23"/>
  <c r="I26"/>
  <c r="L24"/>
  <c r="L26" s="1"/>
  <c r="E26"/>
  <c r="H24"/>
  <c r="C110" i="94"/>
  <c r="P195" i="93"/>
  <c r="J195"/>
  <c r="B195"/>
  <c r="S195"/>
  <c r="K195"/>
  <c r="G195"/>
  <c r="C195"/>
  <c r="T195"/>
  <c r="N195"/>
  <c r="F195"/>
  <c r="U195"/>
  <c r="O195"/>
  <c r="I195"/>
  <c r="E195"/>
  <c r="C188"/>
  <c r="C111" i="94" s="1"/>
  <c r="M117"/>
  <c r="R194" i="93"/>
  <c r="R117" i="94" s="1"/>
  <c r="M94"/>
  <c r="R171" i="93"/>
  <c r="R94" i="94" s="1"/>
  <c r="R221" i="91"/>
  <c r="R129" i="92" s="1"/>
  <c r="M129"/>
  <c r="C87" i="94"/>
  <c r="U172" i="93"/>
  <c r="O172"/>
  <c r="I172"/>
  <c r="E172"/>
  <c r="N172"/>
  <c r="F172"/>
  <c r="T172"/>
  <c r="C165"/>
  <c r="C88" i="94" s="1"/>
  <c r="S172" i="93"/>
  <c r="K172"/>
  <c r="G172"/>
  <c r="C172"/>
  <c r="J172"/>
  <c r="B172"/>
  <c r="P172"/>
  <c r="B121" i="92"/>
  <c r="E213" i="91"/>
  <c r="E92" i="56"/>
  <c r="E112"/>
  <c r="J73"/>
  <c r="O73" s="1"/>
  <c r="O72" s="1"/>
  <c r="U72"/>
  <c r="U112"/>
  <c r="AJ102" i="8"/>
  <c r="BD102"/>
  <c r="E10" i="99" l="1"/>
  <c r="B8"/>
  <c r="E8" s="1"/>
  <c r="N24" i="94"/>
  <c r="S28"/>
  <c r="S21" s="1"/>
  <c r="S23"/>
  <c r="Q30"/>
  <c r="R30" s="1"/>
  <c r="P28"/>
  <c r="P23"/>
  <c r="U29"/>
  <c r="T29"/>
  <c r="T22" s="1"/>
  <c r="S22"/>
  <c r="B186" i="93"/>
  <c r="B100" i="94"/>
  <c r="B178" i="93"/>
  <c r="D187"/>
  <c r="D101" i="94"/>
  <c r="H26"/>
  <c r="M24"/>
  <c r="O28"/>
  <c r="O21" s="1"/>
  <c r="O23"/>
  <c r="Q23" s="1"/>
  <c r="V30"/>
  <c r="U28"/>
  <c r="U23"/>
  <c r="T28"/>
  <c r="T21" s="1"/>
  <c r="T23"/>
  <c r="W23" s="1"/>
  <c r="W30" s="1"/>
  <c r="Q29"/>
  <c r="R29" s="1"/>
  <c r="P22"/>
  <c r="Q22" s="1"/>
  <c r="I10" i="99"/>
  <c r="F8"/>
  <c r="I8" s="1"/>
  <c r="N24" i="93"/>
  <c r="S28"/>
  <c r="S21" s="1"/>
  <c r="S23"/>
  <c r="Q30"/>
  <c r="R30" s="1"/>
  <c r="P28"/>
  <c r="P23"/>
  <c r="U29"/>
  <c r="T29"/>
  <c r="T22" s="1"/>
  <c r="S22"/>
  <c r="H26"/>
  <c r="M24"/>
  <c r="O28"/>
  <c r="O21" s="1"/>
  <c r="O23"/>
  <c r="W23" s="1"/>
  <c r="W30" s="1"/>
  <c r="V30"/>
  <c r="U28"/>
  <c r="U23"/>
  <c r="T28"/>
  <c r="T21" s="1"/>
  <c r="T23"/>
  <c r="Q29"/>
  <c r="R29" s="1"/>
  <c r="P22"/>
  <c r="Q22" s="1"/>
  <c r="E121" i="92"/>
  <c r="W121" s="1"/>
  <c r="V213" i="91"/>
  <c r="V121" i="92" s="1"/>
  <c r="R213" i="91"/>
  <c r="R121" i="92" s="1"/>
  <c r="N213" i="91"/>
  <c r="J213"/>
  <c r="F213"/>
  <c r="U213"/>
  <c r="Q213"/>
  <c r="Q121" i="92" s="1"/>
  <c r="M213" i="91"/>
  <c r="M121" i="92" s="1"/>
  <c r="I213" i="91"/>
  <c r="T213"/>
  <c r="P213"/>
  <c r="L213"/>
  <c r="L121" i="92" s="1"/>
  <c r="H213" i="91"/>
  <c r="H121" i="92" s="1"/>
  <c r="W213" i="91"/>
  <c r="S213"/>
  <c r="O213"/>
  <c r="K213"/>
  <c r="G213"/>
  <c r="E204"/>
  <c r="J170" i="93"/>
  <c r="J93" i="94" s="1"/>
  <c r="J95"/>
  <c r="T170" i="93"/>
  <c r="T93" i="94" s="1"/>
  <c r="T95"/>
  <c r="B170" i="93"/>
  <c r="B93" i="94" s="1"/>
  <c r="B95"/>
  <c r="C170" i="93"/>
  <c r="C93" i="94" s="1"/>
  <c r="C95"/>
  <c r="K170" i="93"/>
  <c r="K93" i="94" s="1"/>
  <c r="K95"/>
  <c r="F170" i="93"/>
  <c r="F93" i="94" s="1"/>
  <c r="F95"/>
  <c r="E95"/>
  <c r="H172" i="93"/>
  <c r="W172"/>
  <c r="E170"/>
  <c r="O170"/>
  <c r="O93" i="94" s="1"/>
  <c r="O95"/>
  <c r="E118"/>
  <c r="H195" i="93"/>
  <c r="W195"/>
  <c r="E193"/>
  <c r="O193"/>
  <c r="O116" i="94" s="1"/>
  <c r="O118"/>
  <c r="F193" i="93"/>
  <c r="F116" i="94" s="1"/>
  <c r="F118"/>
  <c r="T193" i="93"/>
  <c r="T116" i="94" s="1"/>
  <c r="T118"/>
  <c r="G193" i="93"/>
  <c r="G116" i="94" s="1"/>
  <c r="G118"/>
  <c r="S118"/>
  <c r="V195" i="93"/>
  <c r="V118" i="94" s="1"/>
  <c r="S193" i="93"/>
  <c r="J193"/>
  <c r="J116" i="94" s="1"/>
  <c r="J118"/>
  <c r="P170" i="93"/>
  <c r="P93" i="94" s="1"/>
  <c r="P95"/>
  <c r="G170" i="93"/>
  <c r="G93" i="94" s="1"/>
  <c r="G95"/>
  <c r="S95"/>
  <c r="V172" i="93"/>
  <c r="V95" i="94" s="1"/>
  <c r="S170" i="93"/>
  <c r="N95" i="94"/>
  <c r="Q172" i="93"/>
  <c r="Q95" i="94" s="1"/>
  <c r="N170" i="93"/>
  <c r="I95" i="94"/>
  <c r="L172" i="93"/>
  <c r="L95" i="94" s="1"/>
  <c r="I170" i="93"/>
  <c r="U170"/>
  <c r="U93" i="94" s="1"/>
  <c r="U95"/>
  <c r="I118"/>
  <c r="L195" i="93"/>
  <c r="L118" i="94" s="1"/>
  <c r="I193" i="93"/>
  <c r="U193"/>
  <c r="U116" i="94" s="1"/>
  <c r="U118"/>
  <c r="N118"/>
  <c r="Q195" i="93"/>
  <c r="Q118" i="94" s="1"/>
  <c r="N193" i="93"/>
  <c r="C193"/>
  <c r="C116" i="94" s="1"/>
  <c r="C118"/>
  <c r="K193" i="93"/>
  <c r="K116" i="94" s="1"/>
  <c r="K118"/>
  <c r="B193" i="93"/>
  <c r="B116" i="94" s="1"/>
  <c r="B118"/>
  <c r="P193" i="93"/>
  <c r="P116" i="94" s="1"/>
  <c r="P118"/>
  <c r="E113" i="56"/>
  <c r="D114"/>
  <c r="D94"/>
  <c r="E93"/>
  <c r="AM11" i="19"/>
  <c r="AM49" s="1"/>
  <c r="AM50" s="1"/>
  <c r="AM14"/>
  <c r="AN14" s="1"/>
  <c r="R22" i="94" l="1"/>
  <c r="R23"/>
  <c r="V28"/>
  <c r="U21"/>
  <c r="M26"/>
  <c r="D188" i="93"/>
  <c r="D111" i="94" s="1"/>
  <c r="D110"/>
  <c r="V29"/>
  <c r="U22"/>
  <c r="W22" s="1"/>
  <c r="W29" s="1"/>
  <c r="Q28"/>
  <c r="R28" s="1"/>
  <c r="P21"/>
  <c r="P24" s="1"/>
  <c r="K10" i="99"/>
  <c r="N26" i="94"/>
  <c r="Q24"/>
  <c r="Q26" s="1"/>
  <c r="O24" i="93"/>
  <c r="O26" s="1"/>
  <c r="O24" i="94"/>
  <c r="T24"/>
  <c r="J8" i="99"/>
  <c r="V22" i="94"/>
  <c r="D22" s="1"/>
  <c r="V23"/>
  <c r="C23" s="1"/>
  <c r="W21"/>
  <c r="W28" s="1"/>
  <c r="J10" i="99"/>
  <c r="B187" i="93"/>
  <c r="B101" i="94"/>
  <c r="B109"/>
  <c r="E186" i="93"/>
  <c r="S24" i="94"/>
  <c r="V21"/>
  <c r="H19" i="98" s="1"/>
  <c r="Q23" i="93"/>
  <c r="C23" s="1"/>
  <c r="R22"/>
  <c r="V28"/>
  <c r="U21"/>
  <c r="M26"/>
  <c r="V29"/>
  <c r="U22"/>
  <c r="W22" s="1"/>
  <c r="W29" s="1"/>
  <c r="Q28"/>
  <c r="R28" s="1"/>
  <c r="P21"/>
  <c r="P24" s="1"/>
  <c r="P26" s="1"/>
  <c r="T24"/>
  <c r="T26" s="1"/>
  <c r="V22"/>
  <c r="D22" s="1"/>
  <c r="V23"/>
  <c r="W21"/>
  <c r="W28" s="1"/>
  <c r="R23"/>
  <c r="V21"/>
  <c r="S24"/>
  <c r="N26"/>
  <c r="L193"/>
  <c r="L116" i="94" s="1"/>
  <c r="I116"/>
  <c r="Q170" i="93"/>
  <c r="Q93" i="94" s="1"/>
  <c r="N93"/>
  <c r="V193" i="93"/>
  <c r="V116" i="94" s="1"/>
  <c r="S116"/>
  <c r="G121" i="92"/>
  <c r="G204" i="91"/>
  <c r="G112" i="92" s="1"/>
  <c r="O121"/>
  <c r="O204" i="91"/>
  <c r="O112" i="92" s="1"/>
  <c r="T121"/>
  <c r="T204" i="91"/>
  <c r="T112" i="92" s="1"/>
  <c r="U121"/>
  <c r="U204" i="91"/>
  <c r="U112" i="92" s="1"/>
  <c r="J121"/>
  <c r="J204" i="91"/>
  <c r="J112" i="92" s="1"/>
  <c r="W118" i="94"/>
  <c r="W95"/>
  <c r="Q193" i="93"/>
  <c r="Q116" i="94" s="1"/>
  <c r="N116"/>
  <c r="L170" i="93"/>
  <c r="L93" i="94" s="1"/>
  <c r="I93"/>
  <c r="V170" i="93"/>
  <c r="V93" i="94" s="1"/>
  <c r="S93"/>
  <c r="E116"/>
  <c r="W193" i="93"/>
  <c r="H193"/>
  <c r="H118" i="94"/>
  <c r="M195" i="93"/>
  <c r="E93" i="94"/>
  <c r="W170" i="93"/>
  <c r="H170"/>
  <c r="H95" i="94"/>
  <c r="M172" i="93"/>
  <c r="E112" i="92"/>
  <c r="K121"/>
  <c r="K204" i="91"/>
  <c r="K112" i="92" s="1"/>
  <c r="S121"/>
  <c r="S204" i="91"/>
  <c r="P121" i="92"/>
  <c r="P204" i="91"/>
  <c r="P112" i="92" s="1"/>
  <c r="I121"/>
  <c r="I204" i="91"/>
  <c r="F121" i="92"/>
  <c r="F204" i="91"/>
  <c r="F112" i="92" s="1"/>
  <c r="N121"/>
  <c r="N204" i="91"/>
  <c r="B94" i="56"/>
  <c r="C93"/>
  <c r="B114"/>
  <c r="C113"/>
  <c r="AP14" i="19"/>
  <c r="AO14"/>
  <c r="AN10"/>
  <c r="C30" i="94" l="1"/>
  <c r="B23"/>
  <c r="B30" s="1"/>
  <c r="B22"/>
  <c r="B29" s="1"/>
  <c r="D29"/>
  <c r="D24"/>
  <c r="D26" s="1"/>
  <c r="E109"/>
  <c r="W109" s="1"/>
  <c r="T186" i="93"/>
  <c r="L186"/>
  <c r="L109" i="94" s="1"/>
  <c r="W186" i="93"/>
  <c r="O186"/>
  <c r="G186"/>
  <c r="P186"/>
  <c r="H186"/>
  <c r="H109" i="94" s="1"/>
  <c r="S186" i="93"/>
  <c r="K186"/>
  <c r="M186"/>
  <c r="M109" i="94" s="1"/>
  <c r="U186" i="93"/>
  <c r="J186"/>
  <c r="R186"/>
  <c r="R109" i="94" s="1"/>
  <c r="I186" i="93"/>
  <c r="Q186"/>
  <c r="Q109" i="94" s="1"/>
  <c r="F186" i="93"/>
  <c r="N186"/>
  <c r="V186"/>
  <c r="V109" i="94" s="1"/>
  <c r="E177" i="93"/>
  <c r="O26" i="94"/>
  <c r="L10" i="99"/>
  <c r="M10"/>
  <c r="N10" s="1"/>
  <c r="O10" s="1"/>
  <c r="P26" i="94"/>
  <c r="Q24" i="93"/>
  <c r="Q26" s="1"/>
  <c r="W24" i="94"/>
  <c r="W26" s="1"/>
  <c r="U24"/>
  <c r="Q21"/>
  <c r="P10" i="99"/>
  <c r="V24" i="94"/>
  <c r="V26" s="1"/>
  <c r="S26"/>
  <c r="B188" i="93"/>
  <c r="B111" i="94" s="1"/>
  <c r="B110"/>
  <c r="Q10" i="99"/>
  <c r="T26" i="94"/>
  <c r="R24"/>
  <c r="R26" s="1"/>
  <c r="W93"/>
  <c r="D29" i="93"/>
  <c r="B22"/>
  <c r="B29" s="1"/>
  <c r="D24"/>
  <c r="D26" s="1"/>
  <c r="S26"/>
  <c r="Q21"/>
  <c r="B23"/>
  <c r="B30" s="1"/>
  <c r="C30"/>
  <c r="R24"/>
  <c r="R26" s="1"/>
  <c r="U24"/>
  <c r="W204" i="91"/>
  <c r="R172" i="93"/>
  <c r="R95" i="94" s="1"/>
  <c r="M95"/>
  <c r="M170" i="93"/>
  <c r="H93" i="94"/>
  <c r="Q204" i="91"/>
  <c r="Q112" i="92" s="1"/>
  <c r="N112"/>
  <c r="I112"/>
  <c r="L204" i="91"/>
  <c r="L112" i="92" s="1"/>
  <c r="V204" i="91"/>
  <c r="V112" i="92" s="1"/>
  <c r="S112"/>
  <c r="R195" i="93"/>
  <c r="R118" i="94" s="1"/>
  <c r="M118"/>
  <c r="M193" i="93"/>
  <c r="H116" i="94"/>
  <c r="H204" i="91"/>
  <c r="W116" i="94"/>
  <c r="B113" i="56"/>
  <c r="C112"/>
  <c r="H113"/>
  <c r="H112" s="1"/>
  <c r="C92"/>
  <c r="B93"/>
  <c r="AQ14" i="19"/>
  <c r="AO10"/>
  <c r="AP10"/>
  <c r="AN11"/>
  <c r="AP11" s="1"/>
  <c r="R10" i="99" l="1"/>
  <c r="S10" s="1"/>
  <c r="T10" s="1"/>
  <c r="U26" i="94"/>
  <c r="E100"/>
  <c r="N109"/>
  <c r="N177" i="93"/>
  <c r="U109" i="94"/>
  <c r="U177" i="93"/>
  <c r="U100" i="94" s="1"/>
  <c r="K109"/>
  <c r="K177" i="93"/>
  <c r="K100" i="94" s="1"/>
  <c r="G109"/>
  <c r="G177" i="93"/>
  <c r="G100" i="94" s="1"/>
  <c r="T109"/>
  <c r="T177" i="93"/>
  <c r="T100" i="94" s="1"/>
  <c r="F19" i="98"/>
  <c r="G19" s="1"/>
  <c r="I19" s="1"/>
  <c r="C21" i="94"/>
  <c r="R21"/>
  <c r="F109"/>
  <c r="F177" i="93"/>
  <c r="F100" i="94" s="1"/>
  <c r="I109"/>
  <c r="I177" i="93"/>
  <c r="J109" i="94"/>
  <c r="J177" i="93"/>
  <c r="J100" i="94" s="1"/>
  <c r="S109"/>
  <c r="S177" i="93"/>
  <c r="P109" i="94"/>
  <c r="P177" i="93"/>
  <c r="P100" i="94" s="1"/>
  <c r="O109"/>
  <c r="O177" i="93"/>
  <c r="O100" i="94" s="1"/>
  <c r="U26" i="93"/>
  <c r="W24"/>
  <c r="W26" s="1"/>
  <c r="C21"/>
  <c r="R21"/>
  <c r="V24"/>
  <c r="V26" s="1"/>
  <c r="W112" i="92"/>
  <c r="H112"/>
  <c r="M204" i="91"/>
  <c r="R193" i="93"/>
  <c r="R116" i="94" s="1"/>
  <c r="M116"/>
  <c r="R170" i="93"/>
  <c r="R93" i="94" s="1"/>
  <c r="M93"/>
  <c r="B92" i="56"/>
  <c r="I114"/>
  <c r="G114" s="1"/>
  <c r="N114" s="1"/>
  <c r="L114" s="1"/>
  <c r="R112"/>
  <c r="J112"/>
  <c r="B112"/>
  <c r="G113"/>
  <c r="G112" s="1"/>
  <c r="AN49" i="19"/>
  <c r="AO11"/>
  <c r="AQ11" s="1"/>
  <c r="AQ10"/>
  <c r="L177" i="93" l="1"/>
  <c r="L100" i="94" s="1"/>
  <c r="I100"/>
  <c r="C28"/>
  <c r="B21"/>
  <c r="C24"/>
  <c r="C26" s="1"/>
  <c r="H177" i="93"/>
  <c r="V177"/>
  <c r="V100" i="94" s="1"/>
  <c r="S100"/>
  <c r="Q177" i="93"/>
  <c r="Q100" i="94" s="1"/>
  <c r="N100"/>
  <c r="W177" i="93"/>
  <c r="W100" i="94"/>
  <c r="C28" i="93"/>
  <c r="B21"/>
  <c r="C24"/>
  <c r="C26" s="1"/>
  <c r="R204" i="91"/>
  <c r="R112" i="92" s="1"/>
  <c r="M112"/>
  <c r="J113" i="56"/>
  <c r="O113" s="1"/>
  <c r="O112" s="1"/>
  <c r="E166"/>
  <c r="E155"/>
  <c r="AO49" i="19"/>
  <c r="AO50" s="1"/>
  <c r="Q112" i="56"/>
  <c r="AM56" i="19"/>
  <c r="AN50"/>
  <c r="AP49"/>
  <c r="H100" i="94" l="1"/>
  <c r="M177" i="93"/>
  <c r="B28" i="94"/>
  <c r="B24"/>
  <c r="B26" s="1"/>
  <c r="B28" i="93"/>
  <c r="B24"/>
  <c r="B26" s="1"/>
  <c r="D157" i="56"/>
  <c r="E156"/>
  <c r="E167"/>
  <c r="D168"/>
  <c r="AQ49" i="19"/>
  <c r="AM57"/>
  <c r="BA49" i="8" s="1"/>
  <c r="AY86"/>
  <c r="AZ46"/>
  <c r="BC121" i="7"/>
  <c r="BE48"/>
  <c r="BD48"/>
  <c r="AM60" i="19"/>
  <c r="M100" i="94" l="1"/>
  <c r="R177" i="93"/>
  <c r="R100" i="94" s="1"/>
  <c r="B157" i="56"/>
  <c r="C156"/>
  <c r="B168"/>
  <c r="C167"/>
  <c r="BE121" i="7"/>
  <c r="BE124" s="1"/>
  <c r="BE130" s="1"/>
  <c r="BE51"/>
  <c r="BA86" i="8"/>
  <c r="BA89" s="1"/>
  <c r="BF48" i="7"/>
  <c r="AY60" i="8"/>
  <c r="AZ60" s="1"/>
  <c r="AZ49"/>
  <c r="BC124" i="7"/>
  <c r="BD121"/>
  <c r="AZ86" i="8"/>
  <c r="AY89"/>
  <c r="BD17" i="7"/>
  <c r="H167" i="56" l="1"/>
  <c r="H166" s="1"/>
  <c r="C166"/>
  <c r="B167"/>
  <c r="C155"/>
  <c r="B156"/>
  <c r="B155" s="1"/>
  <c r="BA96" i="8"/>
  <c r="BF121" i="7"/>
  <c r="BF124" s="1"/>
  <c r="BF130" s="1"/>
  <c r="BF51"/>
  <c r="BC130"/>
  <c r="BD130" s="1"/>
  <c r="BD124"/>
  <c r="AY96" i="8"/>
  <c r="AZ96" s="1"/>
  <c r="AZ89"/>
  <c r="BA61"/>
  <c r="BA60"/>
  <c r="BD8" i="7"/>
  <c r="B166" i="56" l="1"/>
  <c r="G167"/>
  <c r="G166" s="1"/>
  <c r="I168"/>
  <c r="G168" s="1"/>
  <c r="N168" s="1"/>
  <c r="L168" s="1"/>
  <c r="R166"/>
  <c r="J166"/>
  <c r="J167" s="1"/>
  <c r="O167" s="1"/>
  <c r="O166" s="1"/>
  <c r="BA63" i="8"/>
  <c r="BA66"/>
  <c r="BA62"/>
  <c r="BA97"/>
  <c r="AY61"/>
  <c r="BD27" i="7"/>
  <c r="Q166" i="56" l="1"/>
  <c r="BA98" i="8"/>
  <c r="BA101" s="1"/>
  <c r="BA67"/>
  <c r="AY66"/>
  <c r="AY67" s="1"/>
  <c r="AY97"/>
  <c r="AZ61"/>
  <c r="AY63"/>
  <c r="AZ63" s="1"/>
  <c r="AY62"/>
  <c r="AZ62" s="1"/>
  <c r="AF41" i="7"/>
  <c r="AG41"/>
  <c r="M103" i="56" l="1"/>
  <c r="H103" s="1"/>
  <c r="H102" s="1"/>
  <c r="BA99" i="8"/>
  <c r="M102" i="56"/>
  <c r="V102" s="1"/>
  <c r="M93"/>
  <c r="BA102" i="8"/>
  <c r="AY98"/>
  <c r="AZ97"/>
  <c r="BD35" i="7"/>
  <c r="BA105" i="8" l="1"/>
  <c r="BA106" s="1"/>
  <c r="R102" i="56"/>
  <c r="I104"/>
  <c r="G104" s="1"/>
  <c r="N104" s="1"/>
  <c r="L104" s="1"/>
  <c r="J102"/>
  <c r="J103" s="1"/>
  <c r="O103" s="1"/>
  <c r="O102" s="1"/>
  <c r="AY101" i="8"/>
  <c r="AY99"/>
  <c r="AZ99" s="1"/>
  <c r="L103" i="56"/>
  <c r="AZ98" i="8"/>
  <c r="M92" i="56"/>
  <c r="V92" s="1"/>
  <c r="H93"/>
  <c r="H92" s="1"/>
  <c r="AY60" i="7"/>
  <c r="AY59"/>
  <c r="AY57"/>
  <c r="AY62"/>
  <c r="L93" i="56" l="1"/>
  <c r="AY102" i="8"/>
  <c r="AZ102" s="1"/>
  <c r="AZ101"/>
  <c r="L102" i="56"/>
  <c r="U102" s="1"/>
  <c r="G103"/>
  <c r="G102" s="1"/>
  <c r="Q102" s="1"/>
  <c r="J92"/>
  <c r="J93" s="1"/>
  <c r="O93" s="1"/>
  <c r="O92" s="1"/>
  <c r="I94"/>
  <c r="G94" s="1"/>
  <c r="N94" s="1"/>
  <c r="L94" s="1"/>
  <c r="R92"/>
  <c r="AY63" i="7"/>
  <c r="L92" i="56" l="1"/>
  <c r="U92" s="1"/>
  <c r="G93"/>
  <c r="G92" s="1"/>
  <c r="Q92" s="1"/>
  <c r="BH35" i="7" l="1"/>
  <c r="AF8" l="1"/>
  <c r="AG8"/>
  <c r="AF35"/>
  <c r="AG35"/>
  <c r="AG51" l="1"/>
  <c r="AF51"/>
  <c r="AF62" s="1"/>
  <c r="BD61" i="8"/>
  <c r="BD62" l="1"/>
  <c r="BD63"/>
  <c r="BD66"/>
  <c r="BD67" l="1"/>
  <c r="AD27"/>
  <c r="AD49" s="1"/>
  <c r="AD60" s="1"/>
  <c r="AC27"/>
  <c r="AC49" s="1"/>
  <c r="AC63" l="1"/>
  <c r="AC62"/>
  <c r="AC60"/>
  <c r="AC66"/>
  <c r="AC67" s="1"/>
  <c r="AD63"/>
  <c r="AD62"/>
  <c r="AD66"/>
  <c r="AD67" s="1"/>
  <c r="AF59" i="7"/>
  <c r="AG60"/>
  <c r="AF63" l="1"/>
  <c r="AG62"/>
  <c r="AE62" s="1"/>
  <c r="AF57"/>
  <c r="AF60" s="1"/>
  <c r="AG57"/>
  <c r="AG59"/>
  <c r="AG63" l="1"/>
  <c r="AE63"/>
  <c r="AE51" s="1"/>
  <c r="AE60" l="1"/>
  <c r="AE59"/>
  <c r="AE57"/>
  <c r="AV59"/>
  <c r="AU57"/>
  <c r="AU60" s="1"/>
  <c r="AV62" l="1"/>
  <c r="AV60"/>
  <c r="AV57"/>
  <c r="AX57"/>
  <c r="AX60" s="1"/>
  <c r="AX59"/>
  <c r="AX62"/>
  <c r="AU59"/>
  <c r="AU63"/>
  <c r="BF58"/>
  <c r="BJ59"/>
  <c r="BI59"/>
  <c r="P60" i="56" l="1"/>
  <c r="P59" s="1"/>
  <c r="X59" s="1"/>
  <c r="M60"/>
  <c r="H60" s="1"/>
  <c r="H59" s="1"/>
  <c r="AX63" i="7"/>
  <c r="AW62"/>
  <c r="AW63" s="1"/>
  <c r="AV63"/>
  <c r="AT62"/>
  <c r="AT63" s="1"/>
  <c r="K60" i="56"/>
  <c r="K59" s="1"/>
  <c r="T59" s="1"/>
  <c r="BE58" i="7"/>
  <c r="BE131" s="1"/>
  <c r="BE132" s="1"/>
  <c r="BJ62"/>
  <c r="BC51"/>
  <c r="BD51" s="1"/>
  <c r="BI62"/>
  <c r="BF59"/>
  <c r="P40" i="56" s="1"/>
  <c r="BF57" i="7"/>
  <c r="BE57"/>
  <c r="BI60"/>
  <c r="BI57"/>
  <c r="BJ60"/>
  <c r="BF62"/>
  <c r="BJ57"/>
  <c r="M59" i="56" l="1"/>
  <c r="V59" s="1"/>
  <c r="BE60" i="7"/>
  <c r="BG106"/>
  <c r="BJ106" s="1"/>
  <c r="BJ105" s="1"/>
  <c r="BK105" s="1"/>
  <c r="BI63"/>
  <c r="M50" i="56"/>
  <c r="M49" s="1"/>
  <c r="V49" s="1"/>
  <c r="BJ63" i="7"/>
  <c r="P50" i="56"/>
  <c r="R59"/>
  <c r="J59"/>
  <c r="J60" s="1"/>
  <c r="O60" s="1"/>
  <c r="O59" s="1"/>
  <c r="I61"/>
  <c r="G61" s="1"/>
  <c r="N61" s="1"/>
  <c r="L61" s="1"/>
  <c r="K40"/>
  <c r="P39"/>
  <c r="X39" s="1"/>
  <c r="BF63" i="7"/>
  <c r="P30" i="56"/>
  <c r="BF60" i="7"/>
  <c r="BF131"/>
  <c r="BF132" s="1"/>
  <c r="BE135"/>
  <c r="BE136" s="1"/>
  <c r="BE138" s="1"/>
  <c r="BE140" s="1"/>
  <c r="BE133"/>
  <c r="BC58"/>
  <c r="BC59" s="1"/>
  <c r="BE62"/>
  <c r="BE59"/>
  <c r="M40" i="56" s="1"/>
  <c r="BC57" i="7"/>
  <c r="BD57" s="1"/>
  <c r="BH51"/>
  <c r="BG57"/>
  <c r="BG59"/>
  <c r="BG60"/>
  <c r="BG62"/>
  <c r="BH60" l="1"/>
  <c r="BH57"/>
  <c r="L50" i="56"/>
  <c r="L49" s="1"/>
  <c r="U49" s="1"/>
  <c r="BG105" i="7"/>
  <c r="M39" i="56"/>
  <c r="V39" s="1"/>
  <c r="H40"/>
  <c r="H39" s="1"/>
  <c r="BH59" i="7"/>
  <c r="L60" i="56"/>
  <c r="BE63" i="7"/>
  <c r="M30" i="56"/>
  <c r="M29" s="1"/>
  <c r="V29" s="1"/>
  <c r="P49"/>
  <c r="X49" s="1"/>
  <c r="K30"/>
  <c r="K29" s="1"/>
  <c r="T29" s="1"/>
  <c r="P29"/>
  <c r="X29" s="1"/>
  <c r="BD59" i="7"/>
  <c r="L40" i="56"/>
  <c r="BD58" i="7"/>
  <c r="BC131"/>
  <c r="BF135"/>
  <c r="BF136" s="1"/>
  <c r="BF133"/>
  <c r="BC62"/>
  <c r="BC60"/>
  <c r="BD60" s="1"/>
  <c r="BH62"/>
  <c r="BG63"/>
  <c r="AZ65" i="8"/>
  <c r="BH63" i="7" l="1"/>
  <c r="L59" i="56"/>
  <c r="U59" s="1"/>
  <c r="G60"/>
  <c r="G59" s="1"/>
  <c r="Q59" s="1"/>
  <c r="R39"/>
  <c r="I41"/>
  <c r="G41" s="1"/>
  <c r="N41" s="1"/>
  <c r="L41" s="1"/>
  <c r="J39"/>
  <c r="J40" s="1"/>
  <c r="O40" s="1"/>
  <c r="O39" s="1"/>
  <c r="BD62" i="7"/>
  <c r="L30" i="56"/>
  <c r="G40"/>
  <c r="G39" s="1"/>
  <c r="Q39" s="1"/>
  <c r="L39"/>
  <c r="U39" s="1"/>
  <c r="BD131" i="7"/>
  <c r="BC132"/>
  <c r="BC63"/>
  <c r="BD63" s="1"/>
  <c r="AZ67" i="8"/>
  <c r="AZ66"/>
  <c r="L29" i="56" l="1"/>
  <c r="U29" s="1"/>
  <c r="BD132" i="7"/>
  <c r="BC135"/>
  <c r="BC133"/>
  <c r="BD133" s="1"/>
  <c r="BC136" l="1"/>
  <c r="BD136" s="1"/>
  <c r="BD135"/>
  <c r="B11" i="56"/>
  <c r="C10"/>
  <c r="H10" s="1"/>
  <c r="C9" l="1"/>
  <c r="H9"/>
  <c r="B10"/>
  <c r="G10" l="1"/>
  <c r="G9" s="1"/>
  <c r="I11"/>
  <c r="G11" s="1"/>
  <c r="N11" s="1"/>
  <c r="L11" s="1"/>
  <c r="R9"/>
  <c r="J9"/>
  <c r="B9"/>
  <c r="J10" l="1"/>
  <c r="O10" s="1"/>
  <c r="O9" s="1"/>
  <c r="E29"/>
  <c r="Q9"/>
  <c r="D31" l="1"/>
  <c r="B31" s="1"/>
  <c r="E30"/>
  <c r="E50"/>
  <c r="D51"/>
  <c r="B51" s="1"/>
  <c r="C30" l="1"/>
  <c r="C29" s="1"/>
  <c r="C50"/>
  <c r="K39"/>
  <c r="T39" s="1"/>
  <c r="B30" l="1"/>
  <c r="G30" s="1"/>
  <c r="G29" s="1"/>
  <c r="H30"/>
  <c r="H29" s="1"/>
  <c r="I31" s="1"/>
  <c r="G31" s="1"/>
  <c r="N31" s="1"/>
  <c r="L31" s="1"/>
  <c r="H50"/>
  <c r="H49" s="1"/>
  <c r="C49"/>
  <c r="B29" l="1"/>
  <c r="Q29" s="1"/>
  <c r="R29"/>
  <c r="J29"/>
  <c r="J30" s="1"/>
  <c r="O30" s="1"/>
  <c r="O29" s="1"/>
  <c r="I51"/>
  <c r="G51" s="1"/>
  <c r="N51" s="1"/>
  <c r="L51" s="1"/>
  <c r="R49"/>
  <c r="J49"/>
  <c r="J50" l="1"/>
  <c r="O50" s="1"/>
  <c r="O49" s="1"/>
  <c r="E144"/>
  <c r="E133"/>
  <c r="D146" l="1"/>
  <c r="E145"/>
  <c r="D135"/>
  <c r="E134"/>
  <c r="B135" l="1"/>
  <c r="C134"/>
  <c r="B146"/>
  <c r="C145"/>
  <c r="C144" l="1"/>
  <c r="C133"/>
  <c r="F50" l="1"/>
  <c r="K50" s="1"/>
  <c r="K49" s="1"/>
  <c r="T49" l="1"/>
  <c r="F133"/>
  <c r="F134" s="1"/>
  <c r="F144"/>
  <c r="F145" s="1"/>
  <c r="B145" s="1"/>
  <c r="B144" s="1"/>
  <c r="B50"/>
  <c r="B134" l="1"/>
  <c r="B133" s="1"/>
  <c r="G50"/>
  <c r="G49" s="1"/>
  <c r="B49"/>
  <c r="Q49" l="1"/>
  <c r="AA257" i="6" l="1"/>
  <c r="AA258" s="1"/>
  <c r="Z208" l="1"/>
  <c r="Z257" s="1"/>
  <c r="Z258" s="1"/>
  <c r="AM216" l="1"/>
  <c r="AR216"/>
  <c r="AP216"/>
  <c r="AK216"/>
  <c r="AC216"/>
  <c r="AH216"/>
  <c r="AQ216"/>
  <c r="AG216"/>
  <c r="AF216"/>
  <c r="AB208"/>
  <c r="AD216"/>
  <c r="AL216"/>
  <c r="E42" i="94" l="1"/>
  <c r="E53" i="93"/>
  <c r="W70"/>
  <c r="AQ208" i="6"/>
  <c r="AC208"/>
  <c r="AL208"/>
  <c r="AG208"/>
  <c r="AH208"/>
  <c r="AM208"/>
  <c r="AD208"/>
  <c r="AE216"/>
  <c r="AB257"/>
  <c r="AK208"/>
  <c r="AN216"/>
  <c r="AW216"/>
  <c r="AR208"/>
  <c r="AI216"/>
  <c r="AF208"/>
  <c r="AS216"/>
  <c r="AP208"/>
  <c r="W62" i="93" l="1"/>
  <c r="S42" i="94"/>
  <c r="S45" s="1"/>
  <c r="S53" i="93"/>
  <c r="I42" i="94"/>
  <c r="I45" s="1"/>
  <c r="I53" i="93"/>
  <c r="U42" i="94"/>
  <c r="U45" s="1"/>
  <c r="U53" i="93"/>
  <c r="G42" i="94"/>
  <c r="G45" s="1"/>
  <c r="G53" i="93"/>
  <c r="K42" i="94"/>
  <c r="K45" s="1"/>
  <c r="K53" i="93"/>
  <c r="O42" i="94"/>
  <c r="O45" s="1"/>
  <c r="O53" i="93"/>
  <c r="T42" i="94"/>
  <c r="T45" s="1"/>
  <c r="T53" i="93"/>
  <c r="N42" i="94"/>
  <c r="N45" s="1"/>
  <c r="N53" i="93"/>
  <c r="P42" i="94"/>
  <c r="P45" s="1"/>
  <c r="P53" i="93"/>
  <c r="J42" i="94"/>
  <c r="J45" s="1"/>
  <c r="J53" i="93"/>
  <c r="F42" i="94"/>
  <c r="F45" s="1"/>
  <c r="F53" i="93"/>
  <c r="E45" i="94"/>
  <c r="AE208" i="6"/>
  <c r="H42" i="94" s="1"/>
  <c r="M30" i="96" s="1"/>
  <c r="AJ216" i="6"/>
  <c r="AM257"/>
  <c r="AM258" s="1"/>
  <c r="AH257"/>
  <c r="AH258" s="1"/>
  <c r="AG257"/>
  <c r="AG258" s="1"/>
  <c r="AL257"/>
  <c r="AL258" s="1"/>
  <c r="AC257"/>
  <c r="AC258" s="1"/>
  <c r="AQ257"/>
  <c r="AQ258" s="1"/>
  <c r="AD257"/>
  <c r="AD258" s="1"/>
  <c r="AS208"/>
  <c r="V42" i="94" s="1"/>
  <c r="R30" i="96" s="1"/>
  <c r="AP257" i="6"/>
  <c r="AI208"/>
  <c r="L42" i="94" s="1"/>
  <c r="N30" i="96" s="1"/>
  <c r="AF257" i="6"/>
  <c r="AN208"/>
  <c r="Q42" i="94" s="1"/>
  <c r="P30" i="96" s="1"/>
  <c r="AK257" i="6"/>
  <c r="AW208"/>
  <c r="AR257"/>
  <c r="AB258"/>
  <c r="V45" i="94" l="1"/>
  <c r="R33" i="96" s="1"/>
  <c r="W53" i="93"/>
  <c r="W45" i="94"/>
  <c r="W42"/>
  <c r="O30" i="96"/>
  <c r="Q30" s="1"/>
  <c r="S30" s="1"/>
  <c r="H45" i="94"/>
  <c r="M33" i="96" s="1"/>
  <c r="Q45" i="94"/>
  <c r="P33" i="96" s="1"/>
  <c r="H53" i="93"/>
  <c r="L45" i="94"/>
  <c r="Q53" i="93"/>
  <c r="L53"/>
  <c r="V53"/>
  <c r="AJ208" i="6"/>
  <c r="M42" i="94" s="1"/>
  <c r="AE258" i="6"/>
  <c r="AE257"/>
  <c r="AO216"/>
  <c r="AO208"/>
  <c r="R42" i="94" s="1"/>
  <c r="AW257" i="6"/>
  <c r="AR258"/>
  <c r="AK258"/>
  <c r="AN258" s="1"/>
  <c r="AN257"/>
  <c r="AI257"/>
  <c r="AF258"/>
  <c r="AI258" s="1"/>
  <c r="AP258"/>
  <c r="AS257"/>
  <c r="M45" i="94" l="1"/>
  <c r="R45" s="1"/>
  <c r="N33" i="96"/>
  <c r="O33" s="1"/>
  <c r="Q33" s="1"/>
  <c r="S33" s="1"/>
  <c r="M53" i="93"/>
  <c r="R53" s="1"/>
  <c r="AJ258" i="6"/>
  <c r="AO258" s="1"/>
  <c r="AJ257"/>
  <c r="AO257" s="1"/>
  <c r="AS258"/>
  <c r="AW258"/>
  <c r="AZ28" i="7" l="1"/>
  <c r="BA115"/>
  <c r="E11" i="85" s="1"/>
  <c r="E10" l="1"/>
  <c r="AZ115" i="7"/>
  <c r="E13" i="89" s="1"/>
  <c r="E12" s="1"/>
  <c r="BB27" i="7"/>
  <c r="BB51" s="1"/>
  <c r="BA114"/>
  <c r="E21" i="85" s="1"/>
  <c r="BA27" i="7"/>
  <c r="BA51" s="1"/>
  <c r="BA62" s="1"/>
  <c r="AZ114"/>
  <c r="BB114"/>
  <c r="BB124" s="1"/>
  <c r="BB132" s="1"/>
  <c r="AZ124" l="1"/>
  <c r="E23" i="89"/>
  <c r="E24" s="1"/>
  <c r="E11" i="86"/>
  <c r="E10" s="1"/>
  <c r="BA124" i="7"/>
  <c r="BA132" s="1"/>
  <c r="BA135" s="1"/>
  <c r="BA136" s="1"/>
  <c r="E9" i="85"/>
  <c r="E35" s="1"/>
  <c r="E22"/>
  <c r="BA59" i="7"/>
  <c r="BB59"/>
  <c r="BB57"/>
  <c r="BB60"/>
  <c r="BB62"/>
  <c r="BB63" s="1"/>
  <c r="BB133"/>
  <c r="BB135"/>
  <c r="BB136" s="1"/>
  <c r="AZ130"/>
  <c r="AZ132"/>
  <c r="AZ27"/>
  <c r="AZ51" s="1"/>
  <c r="E10" i="89"/>
  <c r="BB130" i="7"/>
  <c r="BA57"/>
  <c r="BA60" s="1"/>
  <c r="E9" i="89" l="1"/>
  <c r="E41" s="1"/>
  <c r="E21" i="86"/>
  <c r="E9" s="1"/>
  <c r="E35" s="1"/>
  <c r="BA133" i="7"/>
  <c r="BA130"/>
  <c r="E42" i="89"/>
  <c r="E11"/>
  <c r="E48" s="1"/>
  <c r="AZ62" i="7"/>
  <c r="AZ63" s="1"/>
  <c r="BA63"/>
  <c r="AZ133"/>
  <c r="AZ135"/>
  <c r="AZ136" s="1"/>
  <c r="AZ60"/>
  <c r="AZ57"/>
  <c r="AZ59"/>
  <c r="BA30" i="11"/>
  <c r="BA31"/>
  <c r="BA32"/>
  <c r="BA33"/>
  <c r="BA34"/>
  <c r="BB39"/>
  <c r="BA35"/>
  <c r="BB45"/>
  <c r="BA43"/>
  <c r="E22" i="86" l="1"/>
  <c r="CA14" i="7"/>
  <c r="CB14"/>
  <c r="CT14" s="1"/>
  <c r="BU120"/>
  <c r="CQ14" l="1"/>
  <c r="CB15"/>
  <c r="O17" i="89"/>
  <c r="BV120" i="7"/>
  <c r="CA15"/>
  <c r="CB24"/>
  <c r="BY14"/>
  <c r="CT24" l="1"/>
  <c r="CQ15"/>
  <c r="CN14"/>
  <c r="CR14"/>
  <c r="BZ14"/>
  <c r="O15" i="89"/>
  <c r="BY15" i="7"/>
  <c r="CB17"/>
  <c r="CT17" l="1"/>
  <c r="CQ24"/>
  <c r="BZ15"/>
  <c r="CN15"/>
  <c r="CR15"/>
  <c r="BU129"/>
  <c r="BV129" s="1"/>
  <c r="BW31"/>
  <c r="BW32" s="1"/>
  <c r="BW36"/>
  <c r="BX36" s="1"/>
  <c r="BW39"/>
  <c r="BW40" s="1"/>
  <c r="BW29"/>
  <c r="CQ25" l="1"/>
  <c r="CR25" s="1"/>
  <c r="CR24"/>
  <c r="BW114"/>
  <c r="O21" i="85" s="1"/>
  <c r="O21" i="86" s="1"/>
  <c r="P23" i="89" s="1"/>
  <c r="BX29" i="7"/>
  <c r="BX114" s="1"/>
  <c r="BW116"/>
  <c r="BX39"/>
  <c r="BX40" s="1"/>
  <c r="BX31"/>
  <c r="BX32" s="1"/>
  <c r="BX116" l="1"/>
  <c r="BW27"/>
  <c r="BW117"/>
  <c r="BU40"/>
  <c r="BV40" s="1"/>
  <c r="BX27" l="1"/>
  <c r="BX117"/>
  <c r="BU32"/>
  <c r="BV32" s="1"/>
  <c r="BU35"/>
  <c r="BV35" s="1"/>
  <c r="BU117" l="1"/>
  <c r="BV117" s="1"/>
  <c r="BU27" l="1"/>
  <c r="BV27" s="1"/>
  <c r="BY41" l="1"/>
  <c r="BY117"/>
  <c r="BZ117" l="1"/>
  <c r="CN117"/>
  <c r="CN41"/>
  <c r="BZ41"/>
  <c r="CB40"/>
  <c r="CT40" s="1"/>
  <c r="CA40"/>
  <c r="CQ40" l="1"/>
  <c r="CT117"/>
  <c r="CB41"/>
  <c r="CA41"/>
  <c r="AN45" i="5"/>
  <c r="AN46" s="1"/>
  <c r="AO12"/>
  <c r="AO45"/>
  <c r="AN12"/>
  <c r="AM45"/>
  <c r="AM12"/>
  <c r="CQ41" i="7" l="1"/>
  <c r="CR41" s="1"/>
  <c r="CR40"/>
  <c r="CQ117"/>
  <c r="CR117" s="1"/>
  <c r="AO46" i="5"/>
  <c r="BR16" i="7"/>
  <c r="BR42"/>
  <c r="BS26"/>
  <c r="BR34"/>
  <c r="C51" i="92"/>
  <c r="D51"/>
  <c r="AM54" i="5"/>
  <c r="AM52"/>
  <c r="AM46"/>
  <c r="AM53"/>
  <c r="AM51"/>
  <c r="AO53"/>
  <c r="AO52"/>
  <c r="AO54"/>
  <c r="AN45" i="6"/>
  <c r="AN46" s="1"/>
  <c r="AO45"/>
  <c r="AP13"/>
  <c r="AN13"/>
  <c r="AO13" s="1"/>
  <c r="AQ54" i="5" l="1"/>
  <c r="AY54"/>
  <c r="AQ53"/>
  <c r="AR53" s="1"/>
  <c r="AY49" s="1"/>
  <c r="CM34" i="7" s="1"/>
  <c r="AY53" i="5"/>
  <c r="AQ52"/>
  <c r="AY52"/>
  <c r="AO51"/>
  <c r="AR54"/>
  <c r="AY50" s="1"/>
  <c r="CM42" i="7" s="1"/>
  <c r="AQ50" i="5"/>
  <c r="BR27" i="7"/>
  <c r="BS34"/>
  <c r="BR35"/>
  <c r="BS42"/>
  <c r="AR52" i="5"/>
  <c r="AQ48"/>
  <c r="BR26" i="7"/>
  <c r="BR17" s="1"/>
  <c r="BS17"/>
  <c r="BR8"/>
  <c r="BS16"/>
  <c r="C52" i="92"/>
  <c r="B51"/>
  <c r="AN54" i="6"/>
  <c r="AN52"/>
  <c r="AN53"/>
  <c r="AN51"/>
  <c r="AO46"/>
  <c r="AP46"/>
  <c r="BG49" i="19"/>
  <c r="BG50" s="1"/>
  <c r="BI49"/>
  <c r="CO42" i="7" l="1"/>
  <c r="CM35"/>
  <c r="CO34"/>
  <c r="CM27"/>
  <c r="AQ49" i="5"/>
  <c r="BA54"/>
  <c r="AZ50"/>
  <c r="BA53"/>
  <c r="AZ49"/>
  <c r="BA52"/>
  <c r="AZ48"/>
  <c r="AY48"/>
  <c r="CM26" i="7" s="1"/>
  <c r="AQ51" i="5"/>
  <c r="AY51"/>
  <c r="BR119" i="7"/>
  <c r="BT16"/>
  <c r="BS8"/>
  <c r="BS119"/>
  <c r="U79" i="5"/>
  <c r="AR48"/>
  <c r="BY26" i="7"/>
  <c r="BT42"/>
  <c r="BT35" s="1"/>
  <c r="BS35"/>
  <c r="BT34"/>
  <c r="BT27" s="1"/>
  <c r="BS27"/>
  <c r="U106" i="5"/>
  <c r="AR49"/>
  <c r="BY34" i="7"/>
  <c r="CN34" s="1"/>
  <c r="U123" i="5"/>
  <c r="AR50"/>
  <c r="BY42" i="7"/>
  <c r="CN42" s="1"/>
  <c r="BQ46" i="8"/>
  <c r="BK49" i="19"/>
  <c r="AR57"/>
  <c r="BI50"/>
  <c r="BH49"/>
  <c r="BX115" i="7"/>
  <c r="BX35"/>
  <c r="BW115"/>
  <c r="BW35"/>
  <c r="BX43"/>
  <c r="BX120" s="1"/>
  <c r="BW43"/>
  <c r="BW120" s="1"/>
  <c r="O15" i="85" s="1"/>
  <c r="CN26" i="7" l="1"/>
  <c r="CO26"/>
  <c r="CO17" s="1"/>
  <c r="CM17"/>
  <c r="CP42"/>
  <c r="CP35" s="1"/>
  <c r="CO35"/>
  <c r="CP34"/>
  <c r="CP27" s="1"/>
  <c r="CO27"/>
  <c r="BA48" i="5"/>
  <c r="CQ26" i="7"/>
  <c r="BA49" i="5"/>
  <c r="CQ34" i="7"/>
  <c r="CS34" s="1"/>
  <c r="BA50" i="5"/>
  <c r="CQ42" i="7"/>
  <c r="CS42" s="1"/>
  <c r="AR51" i="5"/>
  <c r="AY47" s="1"/>
  <c r="CM16" i="7" s="1"/>
  <c r="AQ47" i="5"/>
  <c r="BA51"/>
  <c r="U127"/>
  <c r="U131"/>
  <c r="U134"/>
  <c r="U125"/>
  <c r="U133"/>
  <c r="U124"/>
  <c r="U129"/>
  <c r="U126"/>
  <c r="W123"/>
  <c r="U107"/>
  <c r="U109"/>
  <c r="U121"/>
  <c r="U118"/>
  <c r="U113"/>
  <c r="U111"/>
  <c r="U108"/>
  <c r="U120"/>
  <c r="U116"/>
  <c r="U112"/>
  <c r="U110"/>
  <c r="W106"/>
  <c r="BZ26" i="7"/>
  <c r="CA26"/>
  <c r="U104" i="5"/>
  <c r="U80"/>
  <c r="U82"/>
  <c r="U84"/>
  <c r="U86"/>
  <c r="U88"/>
  <c r="U90"/>
  <c r="U100"/>
  <c r="U97"/>
  <c r="U94"/>
  <c r="U99"/>
  <c r="U105"/>
  <c r="W79"/>
  <c r="U81"/>
  <c r="U83"/>
  <c r="U85"/>
  <c r="U87"/>
  <c r="U89"/>
  <c r="U98"/>
  <c r="U102"/>
  <c r="U95"/>
  <c r="U93"/>
  <c r="U103"/>
  <c r="BT8" i="7"/>
  <c r="BT119"/>
  <c r="BZ42"/>
  <c r="CA42"/>
  <c r="BY35"/>
  <c r="CN35" s="1"/>
  <c r="BZ34"/>
  <c r="CA34"/>
  <c r="CB34" s="1"/>
  <c r="CT34" s="1"/>
  <c r="BY27"/>
  <c r="CN27" s="1"/>
  <c r="O13" i="85"/>
  <c r="O15" i="86"/>
  <c r="BU48" i="7"/>
  <c r="BJ49" i="19"/>
  <c r="AR56"/>
  <c r="AR60" s="1"/>
  <c r="BH50"/>
  <c r="BT46" i="8"/>
  <c r="BT86" s="1"/>
  <c r="BR46"/>
  <c r="BQ86"/>
  <c r="BQ49"/>
  <c r="CM119" i="7" l="1"/>
  <c r="CO16"/>
  <c r="CM8"/>
  <c r="BA47" i="5"/>
  <c r="CQ16" i="7"/>
  <c r="CS16" s="1"/>
  <c r="C5" i="112" s="1"/>
  <c r="CR42" i="7"/>
  <c r="CQ35"/>
  <c r="CR35" s="1"/>
  <c r="CR34"/>
  <c r="CR26"/>
  <c r="CS26"/>
  <c r="CS17" s="1"/>
  <c r="CQ17"/>
  <c r="U63" i="5"/>
  <c r="AR47"/>
  <c r="BY16" i="7"/>
  <c r="CN16" s="1"/>
  <c r="BZ35"/>
  <c r="Y93" i="5"/>
  <c r="W93"/>
  <c r="AN102"/>
  <c r="AM102"/>
  <c r="AE102"/>
  <c r="AA102"/>
  <c r="W102"/>
  <c r="U101"/>
  <c r="AD102"/>
  <c r="AO102"/>
  <c r="AI102"/>
  <c r="AC102"/>
  <c r="Y102"/>
  <c r="AJ102"/>
  <c r="AH102"/>
  <c r="Z102"/>
  <c r="X102"/>
  <c r="W89"/>
  <c r="Y89"/>
  <c r="X89"/>
  <c r="W85"/>
  <c r="Y85"/>
  <c r="X85"/>
  <c r="W81"/>
  <c r="W105"/>
  <c r="Y105"/>
  <c r="X105"/>
  <c r="Y94"/>
  <c r="W94"/>
  <c r="W100"/>
  <c r="Y100"/>
  <c r="X100"/>
  <c r="Y88"/>
  <c r="W88"/>
  <c r="Y84"/>
  <c r="W84"/>
  <c r="Y80"/>
  <c r="W80"/>
  <c r="X80" s="1"/>
  <c r="Y110"/>
  <c r="W110"/>
  <c r="Y116"/>
  <c r="W116"/>
  <c r="W108"/>
  <c r="Y113"/>
  <c r="W113"/>
  <c r="Y121"/>
  <c r="W121"/>
  <c r="Y107"/>
  <c r="W107"/>
  <c r="Y126"/>
  <c r="W126"/>
  <c r="Y124"/>
  <c r="W124"/>
  <c r="W125"/>
  <c r="U130"/>
  <c r="Y131"/>
  <c r="W131"/>
  <c r="X106"/>
  <c r="X123"/>
  <c r="BZ27" i="7"/>
  <c r="CB42"/>
  <c r="CA35"/>
  <c r="W103" i="5"/>
  <c r="Y103"/>
  <c r="X103"/>
  <c r="Y95"/>
  <c r="W95"/>
  <c r="Y98"/>
  <c r="W98"/>
  <c r="W87"/>
  <c r="Y87"/>
  <c r="X87"/>
  <c r="W83"/>
  <c r="Y83"/>
  <c r="X83"/>
  <c r="W99"/>
  <c r="Y99"/>
  <c r="X99"/>
  <c r="AJ97"/>
  <c r="Z97"/>
  <c r="AD97"/>
  <c r="Y97"/>
  <c r="U96"/>
  <c r="AN97"/>
  <c r="AC97"/>
  <c r="AM97"/>
  <c r="AA97"/>
  <c r="W97"/>
  <c r="X97" s="1"/>
  <c r="Y90"/>
  <c r="W90"/>
  <c r="Y86"/>
  <c r="W86"/>
  <c r="Y82"/>
  <c r="W82"/>
  <c r="Y104"/>
  <c r="W104"/>
  <c r="Y112"/>
  <c r="W112"/>
  <c r="AO120"/>
  <c r="AN120"/>
  <c r="AI120"/>
  <c r="AC120"/>
  <c r="Y120"/>
  <c r="AH120"/>
  <c r="Z120"/>
  <c r="AM120"/>
  <c r="AE120"/>
  <c r="AA120"/>
  <c r="AJ120"/>
  <c r="AD120"/>
  <c r="U119"/>
  <c r="W120"/>
  <c r="Y111"/>
  <c r="W111"/>
  <c r="Y118"/>
  <c r="U117"/>
  <c r="W118"/>
  <c r="Y109"/>
  <c r="W109"/>
  <c r="Y129"/>
  <c r="W129"/>
  <c r="AM133"/>
  <c r="AI133"/>
  <c r="AC133"/>
  <c r="Y133"/>
  <c r="AH133"/>
  <c r="Z133"/>
  <c r="AO133"/>
  <c r="AN133"/>
  <c r="AE133"/>
  <c r="AA133"/>
  <c r="AJ133"/>
  <c r="AD133"/>
  <c r="U132"/>
  <c r="W133"/>
  <c r="Y134"/>
  <c r="W134"/>
  <c r="Y127"/>
  <c r="W127"/>
  <c r="O13" i="86"/>
  <c r="BR49" i="8"/>
  <c r="BQ60"/>
  <c r="BR60" s="1"/>
  <c r="O13" i="90"/>
  <c r="O12" s="1"/>
  <c r="BR86" i="8"/>
  <c r="BQ89"/>
  <c r="BV48" i="7"/>
  <c r="BU121"/>
  <c r="BW48"/>
  <c r="BX48" s="1"/>
  <c r="C20" i="112" l="1"/>
  <c r="C15"/>
  <c r="C13"/>
  <c r="C11"/>
  <c r="C9"/>
  <c r="C7"/>
  <c r="C19"/>
  <c r="C17"/>
  <c r="C12"/>
  <c r="C10"/>
  <c r="C8"/>
  <c r="C6"/>
  <c r="C52" i="91"/>
  <c r="C79" i="112"/>
  <c r="C80" s="1"/>
  <c r="D5"/>
  <c r="CB35" i="7"/>
  <c r="CT42"/>
  <c r="CP16"/>
  <c r="CO8"/>
  <c r="CO119"/>
  <c r="P11" i="85" s="1"/>
  <c r="CT35" i="7"/>
  <c r="CS35"/>
  <c r="CR16"/>
  <c r="CQ119"/>
  <c r="CQ8"/>
  <c r="X108" i="5"/>
  <c r="X110"/>
  <c r="X84"/>
  <c r="X88"/>
  <c r="X94"/>
  <c r="X93"/>
  <c r="BZ16" i="7"/>
  <c r="CA16"/>
  <c r="BY119"/>
  <c r="BZ119" s="1"/>
  <c r="BY8"/>
  <c r="CN8" s="1"/>
  <c r="U67" i="5"/>
  <c r="U73"/>
  <c r="U136"/>
  <c r="U137" s="1"/>
  <c r="U66"/>
  <c r="U70"/>
  <c r="U78"/>
  <c r="U65"/>
  <c r="U69"/>
  <c r="U77"/>
  <c r="U64"/>
  <c r="U68"/>
  <c r="U75"/>
  <c r="X109"/>
  <c r="X124"/>
  <c r="X121"/>
  <c r="X127"/>
  <c r="X111"/>
  <c r="X120"/>
  <c r="X104"/>
  <c r="X82"/>
  <c r="X86"/>
  <c r="X90"/>
  <c r="AB133"/>
  <c r="Y132"/>
  <c r="AM118"/>
  <c r="AE118"/>
  <c r="AA118"/>
  <c r="AJ118"/>
  <c r="AD118"/>
  <c r="AO118"/>
  <c r="AN118"/>
  <c r="AI118"/>
  <c r="AC118"/>
  <c r="Y117"/>
  <c r="AH118"/>
  <c r="Z118"/>
  <c r="AO111"/>
  <c r="AN111"/>
  <c r="AH111"/>
  <c r="Z111"/>
  <c r="AE111"/>
  <c r="AA111"/>
  <c r="AM111"/>
  <c r="AJ111"/>
  <c r="AD111"/>
  <c r="AI111"/>
  <c r="AC111"/>
  <c r="AB111"/>
  <c r="W119"/>
  <c r="Y119"/>
  <c r="AB120"/>
  <c r="AQ120"/>
  <c r="AM112"/>
  <c r="AH112"/>
  <c r="Z112"/>
  <c r="AE112"/>
  <c r="AA112"/>
  <c r="AO112"/>
  <c r="AN112"/>
  <c r="AJ112"/>
  <c r="AD112"/>
  <c r="AI112"/>
  <c r="AC112"/>
  <c r="AO127"/>
  <c r="AN127"/>
  <c r="AH127"/>
  <c r="Z127"/>
  <c r="AE127"/>
  <c r="AA127"/>
  <c r="AM127"/>
  <c r="AJ127"/>
  <c r="AD127"/>
  <c r="AI127"/>
  <c r="AC127"/>
  <c r="AB127"/>
  <c r="AO134"/>
  <c r="AO132" s="1"/>
  <c r="AN134"/>
  <c r="AE134"/>
  <c r="AA134"/>
  <c r="AH134"/>
  <c r="AH132" s="1"/>
  <c r="Z134"/>
  <c r="AM134"/>
  <c r="AM132" s="1"/>
  <c r="AI134"/>
  <c r="AC134"/>
  <c r="AC132" s="1"/>
  <c r="AJ134"/>
  <c r="AD134"/>
  <c r="AB134"/>
  <c r="W132"/>
  <c r="AJ132"/>
  <c r="AQ133"/>
  <c r="AK133"/>
  <c r="AF133"/>
  <c r="AP133"/>
  <c r="AM129"/>
  <c r="AO129"/>
  <c r="AN129"/>
  <c r="AA129"/>
  <c r="AI129"/>
  <c r="AC129"/>
  <c r="AJ129"/>
  <c r="AD129"/>
  <c r="AE129"/>
  <c r="AH129"/>
  <c r="Z129"/>
  <c r="AM109"/>
  <c r="AE109"/>
  <c r="AA109"/>
  <c r="AD109"/>
  <c r="AJ109"/>
  <c r="AO109"/>
  <c r="AN109"/>
  <c r="AI109"/>
  <c r="AC109"/>
  <c r="AH109"/>
  <c r="Z109"/>
  <c r="W117"/>
  <c r="AP120"/>
  <c r="AK120"/>
  <c r="AF120"/>
  <c r="AF97"/>
  <c r="AK97"/>
  <c r="AO98"/>
  <c r="AI98"/>
  <c r="AC98"/>
  <c r="AJ98"/>
  <c r="AD98"/>
  <c r="AN98"/>
  <c r="AM98"/>
  <c r="AE98"/>
  <c r="AA98"/>
  <c r="AH98"/>
  <c r="Z98"/>
  <c r="AO95"/>
  <c r="AN95"/>
  <c r="AM95"/>
  <c r="Z95"/>
  <c r="AC95"/>
  <c r="AJ95"/>
  <c r="AD95"/>
  <c r="AI95"/>
  <c r="AA95"/>
  <c r="AH95"/>
  <c r="AE95"/>
  <c r="AB95"/>
  <c r="AM131"/>
  <c r="AI131"/>
  <c r="AC131"/>
  <c r="Y130"/>
  <c r="AH131"/>
  <c r="Z131"/>
  <c r="AO131"/>
  <c r="AN131"/>
  <c r="AE131"/>
  <c r="AA131"/>
  <c r="AJ131"/>
  <c r="AD131"/>
  <c r="AD124"/>
  <c r="Y125"/>
  <c r="AC124"/>
  <c r="Y123"/>
  <c r="Z124"/>
  <c r="AE124"/>
  <c r="AA124"/>
  <c r="AO126"/>
  <c r="AN126"/>
  <c r="AH126"/>
  <c r="Z126"/>
  <c r="AE126"/>
  <c r="AA126"/>
  <c r="AM126"/>
  <c r="AJ126"/>
  <c r="AD126"/>
  <c r="AI126"/>
  <c r="AC126"/>
  <c r="AB126"/>
  <c r="AE80"/>
  <c r="AA80"/>
  <c r="Z80"/>
  <c r="Y81"/>
  <c r="AC80"/>
  <c r="AD80"/>
  <c r="AN100"/>
  <c r="AM100"/>
  <c r="AO100"/>
  <c r="AE100"/>
  <c r="AA100"/>
  <c r="Z100"/>
  <c r="AI100"/>
  <c r="AC100"/>
  <c r="AJ100"/>
  <c r="AD100"/>
  <c r="AH100"/>
  <c r="AM105"/>
  <c r="AO105"/>
  <c r="AI105"/>
  <c r="AC105"/>
  <c r="AH105"/>
  <c r="Z105"/>
  <c r="AN105"/>
  <c r="AE105"/>
  <c r="AA105"/>
  <c r="AD105"/>
  <c r="AJ105"/>
  <c r="AM85"/>
  <c r="AO85"/>
  <c r="AE85"/>
  <c r="AA85"/>
  <c r="AH85"/>
  <c r="Z85"/>
  <c r="AN85"/>
  <c r="AI85"/>
  <c r="AC85"/>
  <c r="AJ85"/>
  <c r="AD85"/>
  <c r="AB85"/>
  <c r="AM89"/>
  <c r="AO89"/>
  <c r="AE89"/>
  <c r="AA89"/>
  <c r="AH89"/>
  <c r="Z89"/>
  <c r="AN89"/>
  <c r="AI89"/>
  <c r="AC89"/>
  <c r="AJ89"/>
  <c r="AD89"/>
  <c r="AB89"/>
  <c r="AF102"/>
  <c r="AQ102"/>
  <c r="AP102"/>
  <c r="X134"/>
  <c r="X133"/>
  <c r="X129"/>
  <c r="X118"/>
  <c r="X112"/>
  <c r="X98"/>
  <c r="X95"/>
  <c r="X131"/>
  <c r="X125"/>
  <c r="X126"/>
  <c r="X107"/>
  <c r="X113"/>
  <c r="X116"/>
  <c r="X81"/>
  <c r="AA132"/>
  <c r="Z132"/>
  <c r="AI132"/>
  <c r="X119"/>
  <c r="AO104"/>
  <c r="AI104"/>
  <c r="AC104"/>
  <c r="AJ104"/>
  <c r="AD104"/>
  <c r="AN104"/>
  <c r="AM104"/>
  <c r="AE104"/>
  <c r="AA104"/>
  <c r="AH104"/>
  <c r="Z104"/>
  <c r="AO82"/>
  <c r="AM82"/>
  <c r="AI82"/>
  <c r="AC82"/>
  <c r="AJ82"/>
  <c r="AD82"/>
  <c r="AN82"/>
  <c r="AE82"/>
  <c r="AA82"/>
  <c r="AH82"/>
  <c r="Z82"/>
  <c r="AN86"/>
  <c r="AI86"/>
  <c r="AC86"/>
  <c r="AJ86"/>
  <c r="AD86"/>
  <c r="Z86"/>
  <c r="AO86"/>
  <c r="AM86"/>
  <c r="AE86"/>
  <c r="AA86"/>
  <c r="AH86"/>
  <c r="AB86"/>
  <c r="AN90"/>
  <c r="AE90"/>
  <c r="AA90"/>
  <c r="AH90"/>
  <c r="Z90"/>
  <c r="AM90"/>
  <c r="AO90"/>
  <c r="AI90"/>
  <c r="AC90"/>
  <c r="AJ90"/>
  <c r="AD90"/>
  <c r="W96"/>
  <c r="Y96"/>
  <c r="AB97"/>
  <c r="AN99"/>
  <c r="AI99"/>
  <c r="AC99"/>
  <c r="AH99"/>
  <c r="Z99"/>
  <c r="AM99"/>
  <c r="AM96" s="1"/>
  <c r="AO99"/>
  <c r="AE99"/>
  <c r="AA99"/>
  <c r="AD99"/>
  <c r="AJ99"/>
  <c r="AO83"/>
  <c r="AE83"/>
  <c r="AA83"/>
  <c r="AH83"/>
  <c r="Z83"/>
  <c r="AN83"/>
  <c r="AM83"/>
  <c r="AI83"/>
  <c r="AC83"/>
  <c r="AJ83"/>
  <c r="AD83"/>
  <c r="AN87"/>
  <c r="AE87"/>
  <c r="AO87"/>
  <c r="AM87"/>
  <c r="AI87"/>
  <c r="AC87"/>
  <c r="AJ87"/>
  <c r="AH87"/>
  <c r="Z87"/>
  <c r="AA87"/>
  <c r="AD87"/>
  <c r="AO103"/>
  <c r="AI103"/>
  <c r="AC103"/>
  <c r="AC101" s="1"/>
  <c r="AH103"/>
  <c r="Z103"/>
  <c r="AN103"/>
  <c r="AM103"/>
  <c r="AM101" s="1"/>
  <c r="AE103"/>
  <c r="AA103"/>
  <c r="AD103"/>
  <c r="AJ103"/>
  <c r="W130"/>
  <c r="Y108"/>
  <c r="Y106" s="1"/>
  <c r="AC107"/>
  <c r="AD107"/>
  <c r="AE107"/>
  <c r="AA107"/>
  <c r="Z107"/>
  <c r="AO121"/>
  <c r="AN121"/>
  <c r="AE121"/>
  <c r="AA121"/>
  <c r="AH121"/>
  <c r="Z121"/>
  <c r="AM121"/>
  <c r="AI121"/>
  <c r="AC121"/>
  <c r="AJ121"/>
  <c r="AD121"/>
  <c r="AB121"/>
  <c r="AO113"/>
  <c r="AN113"/>
  <c r="AJ113"/>
  <c r="AD113"/>
  <c r="AI113"/>
  <c r="AC113"/>
  <c r="AM113"/>
  <c r="AH113"/>
  <c r="Z113"/>
  <c r="AE113"/>
  <c r="AA113"/>
  <c r="AO116"/>
  <c r="AN116"/>
  <c r="AE116"/>
  <c r="AA116"/>
  <c r="AH116"/>
  <c r="Z116"/>
  <c r="AM116"/>
  <c r="AI116"/>
  <c r="AC116"/>
  <c r="AJ116"/>
  <c r="AD116"/>
  <c r="AB116"/>
  <c r="AM110"/>
  <c r="AI110"/>
  <c r="AC110"/>
  <c r="AJ110"/>
  <c r="AD110"/>
  <c r="AO110"/>
  <c r="AN110"/>
  <c r="AE110"/>
  <c r="AA110"/>
  <c r="AH110"/>
  <c r="Z110"/>
  <c r="AM84"/>
  <c r="AO84"/>
  <c r="AE84"/>
  <c r="AA84"/>
  <c r="AH84"/>
  <c r="AN84"/>
  <c r="AI84"/>
  <c r="AC84"/>
  <c r="AJ84"/>
  <c r="AD84"/>
  <c r="Z84"/>
  <c r="AN88"/>
  <c r="AM88"/>
  <c r="AI88"/>
  <c r="AC88"/>
  <c r="AJ88"/>
  <c r="AD88"/>
  <c r="AO88"/>
  <c r="AE88"/>
  <c r="AA88"/>
  <c r="AH88"/>
  <c r="Z88"/>
  <c r="AO94"/>
  <c r="AM94"/>
  <c r="AJ94"/>
  <c r="AD94"/>
  <c r="AC94"/>
  <c r="AE94"/>
  <c r="AN94"/>
  <c r="AH94"/>
  <c r="Z94"/>
  <c r="AI94"/>
  <c r="AA94"/>
  <c r="X101"/>
  <c r="AK102"/>
  <c r="AH101"/>
  <c r="Y101"/>
  <c r="AB102"/>
  <c r="AI101"/>
  <c r="AD101"/>
  <c r="W101"/>
  <c r="AE101"/>
  <c r="AN101"/>
  <c r="AN93"/>
  <c r="AM93"/>
  <c r="AH93"/>
  <c r="Z93"/>
  <c r="AE93"/>
  <c r="AC93"/>
  <c r="AO93"/>
  <c r="AJ93"/>
  <c r="AD93"/>
  <c r="AI93"/>
  <c r="AA93"/>
  <c r="BX121" i="7"/>
  <c r="BX124" s="1"/>
  <c r="BX130" s="1"/>
  <c r="BX51"/>
  <c r="O13" i="89"/>
  <c r="BV121" i="7"/>
  <c r="BR89" i="8"/>
  <c r="BQ96"/>
  <c r="BR96" s="1"/>
  <c r="O24" i="90"/>
  <c r="BW121" i="7"/>
  <c r="O11" i="85" s="1"/>
  <c r="D79" i="112" l="1"/>
  <c r="D80" s="1"/>
  <c r="D52" i="91"/>
  <c r="C55"/>
  <c r="D8" i="112"/>
  <c r="D55" i="91" s="1"/>
  <c r="C59"/>
  <c r="D12" i="112"/>
  <c r="D59" i="91" s="1"/>
  <c r="C18" i="112"/>
  <c r="C65" i="91" s="1"/>
  <c r="C66"/>
  <c r="D19" i="112"/>
  <c r="C56" i="91"/>
  <c r="D9" i="112"/>
  <c r="D56" i="91" s="1"/>
  <c r="C60"/>
  <c r="D13" i="112"/>
  <c r="D60" i="91" s="1"/>
  <c r="C67"/>
  <c r="D20" i="112"/>
  <c r="D67" i="91" s="1"/>
  <c r="C53"/>
  <c r="D6" i="112"/>
  <c r="C57" i="91"/>
  <c r="D10" i="112"/>
  <c r="D57" i="91" s="1"/>
  <c r="C64"/>
  <c r="D17" i="112"/>
  <c r="D64" i="91" s="1"/>
  <c r="C54"/>
  <c r="D7" i="112"/>
  <c r="D54" i="91" s="1"/>
  <c r="C58"/>
  <c r="D11" i="112"/>
  <c r="D58" i="91" s="1"/>
  <c r="C14" i="112"/>
  <c r="C61" i="91" s="1"/>
  <c r="C62"/>
  <c r="D15" i="112"/>
  <c r="AB131" i="5"/>
  <c r="CR119" i="7"/>
  <c r="CN119"/>
  <c r="CP119"/>
  <c r="CP8"/>
  <c r="CR8"/>
  <c r="CS119"/>
  <c r="CS8"/>
  <c r="CQ124"/>
  <c r="CQ128" s="1"/>
  <c r="Y75" i="5"/>
  <c r="W75"/>
  <c r="Y64"/>
  <c r="W64"/>
  <c r="Y69"/>
  <c r="W69"/>
  <c r="Y78"/>
  <c r="W78"/>
  <c r="W66"/>
  <c r="Y66"/>
  <c r="Y73"/>
  <c r="W73"/>
  <c r="U72"/>
  <c r="W68"/>
  <c r="Y68"/>
  <c r="AH77"/>
  <c r="AI77"/>
  <c r="Y77"/>
  <c r="AM77"/>
  <c r="AD77"/>
  <c r="AE77"/>
  <c r="W77"/>
  <c r="AO77"/>
  <c r="Z77"/>
  <c r="AC77"/>
  <c r="AN77"/>
  <c r="AJ77"/>
  <c r="U76"/>
  <c r="AA77"/>
  <c r="W65"/>
  <c r="Y70"/>
  <c r="W70"/>
  <c r="Y67"/>
  <c r="W67"/>
  <c r="BZ8" i="7"/>
  <c r="CB16"/>
  <c r="CT16" s="1"/>
  <c r="CT8" s="1"/>
  <c r="W63" i="5"/>
  <c r="CA8" i="7"/>
  <c r="CA119"/>
  <c r="AB107" i="5"/>
  <c r="AB105"/>
  <c r="AE132"/>
  <c r="AB87"/>
  <c r="AB104"/>
  <c r="AB109"/>
  <c r="AB118"/>
  <c r="W101" i="91"/>
  <c r="AB94" i="5"/>
  <c r="AB99"/>
  <c r="AB80"/>
  <c r="AB124"/>
  <c r="AN96"/>
  <c r="AC96"/>
  <c r="E105" i="91"/>
  <c r="AF101" i="5"/>
  <c r="AK93"/>
  <c r="AK94"/>
  <c r="AP94"/>
  <c r="AQ84"/>
  <c r="AF93"/>
  <c r="AP93"/>
  <c r="AF94"/>
  <c r="AQ94"/>
  <c r="AK88"/>
  <c r="AF88"/>
  <c r="AP88"/>
  <c r="AF84"/>
  <c r="AK84"/>
  <c r="AP84"/>
  <c r="AK110"/>
  <c r="AQ110"/>
  <c r="AF116"/>
  <c r="AP116"/>
  <c r="AK116"/>
  <c r="AQ116"/>
  <c r="AK113"/>
  <c r="AF113"/>
  <c r="AF121"/>
  <c r="AP121"/>
  <c r="AK121"/>
  <c r="AQ121"/>
  <c r="AF107"/>
  <c r="AK103"/>
  <c r="AQ87"/>
  <c r="AK83"/>
  <c r="AQ99"/>
  <c r="AF99"/>
  <c r="AG97"/>
  <c r="AP90"/>
  <c r="AK90"/>
  <c r="AK86"/>
  <c r="AQ86"/>
  <c r="AF86"/>
  <c r="AK82"/>
  <c r="AF82"/>
  <c r="AP82"/>
  <c r="AP104"/>
  <c r="AF104"/>
  <c r="AQ104"/>
  <c r="AF89"/>
  <c r="AK89"/>
  <c r="AP89"/>
  <c r="AQ85"/>
  <c r="AK105"/>
  <c r="AP105"/>
  <c r="AF100"/>
  <c r="AP100"/>
  <c r="AF80"/>
  <c r="AF126"/>
  <c r="AP126"/>
  <c r="AK126"/>
  <c r="AQ126"/>
  <c r="E129" i="91"/>
  <c r="AD125" i="5"/>
  <c r="AE125"/>
  <c r="AA125"/>
  <c r="Z125"/>
  <c r="AC125"/>
  <c r="AD130"/>
  <c r="AA130"/>
  <c r="AN130"/>
  <c r="Z130"/>
  <c r="AB130" s="1"/>
  <c r="AI130"/>
  <c r="AF95"/>
  <c r="AP95"/>
  <c r="AQ95"/>
  <c r="AK98"/>
  <c r="AH96"/>
  <c r="AE96"/>
  <c r="AI96"/>
  <c r="AF109"/>
  <c r="AP109"/>
  <c r="AK129"/>
  <c r="AF129"/>
  <c r="AQ129"/>
  <c r="AF134"/>
  <c r="AP134"/>
  <c r="AK134"/>
  <c r="AQ134"/>
  <c r="AQ112"/>
  <c r="AK112"/>
  <c r="AG120"/>
  <c r="AF111"/>
  <c r="AP111"/>
  <c r="AK111"/>
  <c r="AQ111"/>
  <c r="AH117"/>
  <c r="AK118"/>
  <c r="AF118"/>
  <c r="AC117"/>
  <c r="AN117"/>
  <c r="AD117"/>
  <c r="AA117"/>
  <c r="AP118"/>
  <c r="AM117"/>
  <c r="AB132"/>
  <c r="AB84"/>
  <c r="AB93"/>
  <c r="W93" i="91"/>
  <c r="AB88" i="5"/>
  <c r="AB110"/>
  <c r="AB113"/>
  <c r="AB83"/>
  <c r="Z96"/>
  <c r="AB90"/>
  <c r="AB82"/>
  <c r="AB100"/>
  <c r="AB98"/>
  <c r="AD96"/>
  <c r="AN119"/>
  <c r="AC119"/>
  <c r="AM119"/>
  <c r="AB129"/>
  <c r="AB112"/>
  <c r="AO119"/>
  <c r="AI119"/>
  <c r="W126" i="91"/>
  <c r="W146"/>
  <c r="AQ93" i="5"/>
  <c r="AG102"/>
  <c r="AG94"/>
  <c r="AQ88"/>
  <c r="AF110"/>
  <c r="AP110"/>
  <c r="AG116"/>
  <c r="AP113"/>
  <c r="AQ113"/>
  <c r="AG121"/>
  <c r="AG107"/>
  <c r="AC108"/>
  <c r="AD108"/>
  <c r="AE108"/>
  <c r="AA108"/>
  <c r="Z108"/>
  <c r="AB103"/>
  <c r="AP103"/>
  <c r="AF103"/>
  <c r="AQ103"/>
  <c r="AK87"/>
  <c r="AF87"/>
  <c r="AP87"/>
  <c r="AF83"/>
  <c r="AP83"/>
  <c r="AQ83"/>
  <c r="AG99"/>
  <c r="AP99"/>
  <c r="W98" i="91"/>
  <c r="AK99" i="5"/>
  <c r="AF90"/>
  <c r="AQ90"/>
  <c r="AG86"/>
  <c r="AP86"/>
  <c r="W80" i="91"/>
  <c r="AQ82" i="5"/>
  <c r="AG104"/>
  <c r="W103" i="91"/>
  <c r="AK104" i="5"/>
  <c r="X130"/>
  <c r="X117"/>
  <c r="X132"/>
  <c r="AG89"/>
  <c r="W88" i="91"/>
  <c r="AQ89" i="5"/>
  <c r="AF85"/>
  <c r="AK85"/>
  <c r="AP85"/>
  <c r="AF105"/>
  <c r="AQ105"/>
  <c r="AK100"/>
  <c r="AQ100"/>
  <c r="AD81"/>
  <c r="AE81"/>
  <c r="AA81"/>
  <c r="Z81"/>
  <c r="AC81"/>
  <c r="AG126"/>
  <c r="AA123"/>
  <c r="Z123"/>
  <c r="F129" i="91" s="1"/>
  <c r="AF124" i="5"/>
  <c r="AJ130"/>
  <c r="AE130"/>
  <c r="AQ131"/>
  <c r="AO130"/>
  <c r="AK131"/>
  <c r="AH130"/>
  <c r="AF131"/>
  <c r="AC130"/>
  <c r="AC123" s="1"/>
  <c r="AP131"/>
  <c r="AM130"/>
  <c r="AG95"/>
  <c r="AK95"/>
  <c r="AP98"/>
  <c r="AF98"/>
  <c r="AQ98"/>
  <c r="AG109"/>
  <c r="AK109"/>
  <c r="AQ109"/>
  <c r="W142" i="91"/>
  <c r="AP129" i="5"/>
  <c r="AK132"/>
  <c r="AG134"/>
  <c r="AF127"/>
  <c r="AP127"/>
  <c r="AK127"/>
  <c r="AQ127"/>
  <c r="AF112"/>
  <c r="AP112"/>
  <c r="AG111"/>
  <c r="Z117"/>
  <c r="AI117"/>
  <c r="AQ118"/>
  <c r="AO117"/>
  <c r="AJ117"/>
  <c r="AE117"/>
  <c r="AG133"/>
  <c r="W87" i="91"/>
  <c r="W122"/>
  <c r="W127"/>
  <c r="W81"/>
  <c r="W89"/>
  <c r="Z119" i="5"/>
  <c r="AA101"/>
  <c r="AO101"/>
  <c r="AJ101"/>
  <c r="Z101"/>
  <c r="Y79"/>
  <c r="W139" i="91"/>
  <c r="W94"/>
  <c r="AJ96" i="5"/>
  <c r="AA96"/>
  <c r="AH119"/>
  <c r="AA119"/>
  <c r="AD119"/>
  <c r="W147" i="91"/>
  <c r="AE119" i="5"/>
  <c r="AJ119"/>
  <c r="W117" i="91"/>
  <c r="AN132" i="5"/>
  <c r="AD132"/>
  <c r="X96"/>
  <c r="BX58" i="7"/>
  <c r="BX57"/>
  <c r="D14" i="112" l="1"/>
  <c r="D61" i="91" s="1"/>
  <c r="D62"/>
  <c r="D18" i="112"/>
  <c r="D65" i="91" s="1"/>
  <c r="D66"/>
  <c r="C83" i="112"/>
  <c r="C87" s="1"/>
  <c r="D53" i="91"/>
  <c r="D83" i="112"/>
  <c r="D87" s="1"/>
  <c r="W104" i="91"/>
  <c r="Q11" i="85"/>
  <c r="CN23" i="19" s="1"/>
  <c r="CN51" s="1"/>
  <c r="P11" i="86"/>
  <c r="CT119" i="7"/>
  <c r="CQ130"/>
  <c r="CB8"/>
  <c r="CB119"/>
  <c r="AM67" i="5"/>
  <c r="AI67"/>
  <c r="AJ67"/>
  <c r="AN67"/>
  <c r="AE67"/>
  <c r="Z67"/>
  <c r="AO67"/>
  <c r="AH67"/>
  <c r="AC67"/>
  <c r="AD67"/>
  <c r="AA67"/>
  <c r="AN70"/>
  <c r="AH70"/>
  <c r="AC70"/>
  <c r="AD70"/>
  <c r="AA70"/>
  <c r="AM70"/>
  <c r="AI70"/>
  <c r="AJ70"/>
  <c r="AO70"/>
  <c r="AE70"/>
  <c r="Z70"/>
  <c r="W76"/>
  <c r="X77"/>
  <c r="AB77"/>
  <c r="Y76"/>
  <c r="AK77"/>
  <c r="AN68"/>
  <c r="AC68"/>
  <c r="Z68"/>
  <c r="AM68"/>
  <c r="AE68"/>
  <c r="AD68"/>
  <c r="AI68"/>
  <c r="AJ68"/>
  <c r="AO68"/>
  <c r="AH68"/>
  <c r="AA68"/>
  <c r="AO73"/>
  <c r="AA73"/>
  <c r="AD73"/>
  <c r="AN73"/>
  <c r="AC73"/>
  <c r="AH73"/>
  <c r="AE73"/>
  <c r="AJ73"/>
  <c r="AI73"/>
  <c r="AM73"/>
  <c r="Y72"/>
  <c r="Z73"/>
  <c r="X66"/>
  <c r="X78"/>
  <c r="AJ78"/>
  <c r="AI78"/>
  <c r="AN78"/>
  <c r="AH78"/>
  <c r="AE78"/>
  <c r="AO78"/>
  <c r="AD78"/>
  <c r="AC78"/>
  <c r="AM78"/>
  <c r="Z78"/>
  <c r="AA78"/>
  <c r="C54" i="92"/>
  <c r="X64" i="5"/>
  <c r="D54" i="92" s="1"/>
  <c r="X68" i="5"/>
  <c r="C53" i="92"/>
  <c r="X63" i="5"/>
  <c r="W136"/>
  <c r="W137" s="1"/>
  <c r="C55" i="92"/>
  <c r="X65" i="5"/>
  <c r="D55" i="92" s="1"/>
  <c r="AF77" i="5"/>
  <c r="AQ77"/>
  <c r="AP77"/>
  <c r="AM76"/>
  <c r="AI76"/>
  <c r="W72"/>
  <c r="X73"/>
  <c r="AO66"/>
  <c r="AD66"/>
  <c r="AA66"/>
  <c r="AN66"/>
  <c r="AI66"/>
  <c r="AJ66"/>
  <c r="AM66"/>
  <c r="AE66"/>
  <c r="AH66"/>
  <c r="AC66"/>
  <c r="Z66"/>
  <c r="X69"/>
  <c r="AN69"/>
  <c r="AC69"/>
  <c r="Z69"/>
  <c r="AM69"/>
  <c r="AE69"/>
  <c r="AD69"/>
  <c r="AI69"/>
  <c r="AJ69"/>
  <c r="AO69"/>
  <c r="AH69"/>
  <c r="AA69"/>
  <c r="E54" i="92"/>
  <c r="AC64" i="5"/>
  <c r="Z64"/>
  <c r="AA64"/>
  <c r="G54" i="92" s="1"/>
  <c r="Y65" i="5"/>
  <c r="AD64"/>
  <c r="AE64"/>
  <c r="K54" i="92" s="1"/>
  <c r="X75" i="5"/>
  <c r="AM75"/>
  <c r="AD75"/>
  <c r="AC75"/>
  <c r="AO75"/>
  <c r="Z75"/>
  <c r="AA75"/>
  <c r="AN75"/>
  <c r="AJ75"/>
  <c r="AI75"/>
  <c r="AH75"/>
  <c r="AE75"/>
  <c r="X67"/>
  <c r="X70"/>
  <c r="W124" i="91"/>
  <c r="AB125" i="5"/>
  <c r="W144" i="91"/>
  <c r="W115"/>
  <c r="W99"/>
  <c r="W85"/>
  <c r="W102"/>
  <c r="AB108" i="5"/>
  <c r="W119" i="91"/>
  <c r="W116"/>
  <c r="W140"/>
  <c r="AP132" i="5"/>
  <c r="W97" i="91"/>
  <c r="W83"/>
  <c r="I129"/>
  <c r="AK119" i="5"/>
  <c r="AQ101"/>
  <c r="AL111"/>
  <c r="AL109"/>
  <c r="AL133"/>
  <c r="AQ117"/>
  <c r="AP130"/>
  <c r="AK130"/>
  <c r="AG103"/>
  <c r="AF108"/>
  <c r="AG108" s="1"/>
  <c r="AH107"/>
  <c r="AL121"/>
  <c r="AL116"/>
  <c r="AL94"/>
  <c r="AL102"/>
  <c r="AG112"/>
  <c r="AF119"/>
  <c r="AG90"/>
  <c r="AG88"/>
  <c r="AG93"/>
  <c r="AP117"/>
  <c r="AK96"/>
  <c r="AF125"/>
  <c r="AL97"/>
  <c r="AB117"/>
  <c r="AQ132"/>
  <c r="W118" i="91"/>
  <c r="AG131" i="5"/>
  <c r="AD123"/>
  <c r="J129" i="91" s="1"/>
  <c r="AA79" i="5"/>
  <c r="AB81"/>
  <c r="AD106"/>
  <c r="J105" i="91" s="1"/>
  <c r="AA106" i="5"/>
  <c r="G105" i="91" s="1"/>
  <c r="AF132" i="5"/>
  <c r="AB123"/>
  <c r="AE123"/>
  <c r="K129" i="91" s="1"/>
  <c r="AG85" i="5"/>
  <c r="AC106"/>
  <c r="W82" i="91"/>
  <c r="AK101" i="5"/>
  <c r="W92" i="91"/>
  <c r="AL134" i="5"/>
  <c r="AL95"/>
  <c r="AF130"/>
  <c r="AG130" s="1"/>
  <c r="AQ130"/>
  <c r="G129" i="91"/>
  <c r="AL126" i="5"/>
  <c r="AF81"/>
  <c r="AL89"/>
  <c r="AL104"/>
  <c r="AL86"/>
  <c r="AL99"/>
  <c r="AQ119"/>
  <c r="AG129"/>
  <c r="AP119"/>
  <c r="AG98"/>
  <c r="AG100"/>
  <c r="AG82"/>
  <c r="AG83"/>
  <c r="AG113"/>
  <c r="AG110"/>
  <c r="AG84"/>
  <c r="AF117"/>
  <c r="AK117"/>
  <c r="AL120"/>
  <c r="AG125"/>
  <c r="AB119"/>
  <c r="AD79"/>
  <c r="AG105"/>
  <c r="AB96"/>
  <c r="AG87"/>
  <c r="W145" i="91"/>
  <c r="AG127" i="5"/>
  <c r="J54" i="92"/>
  <c r="AE79" i="5"/>
  <c r="Z79"/>
  <c r="AC79"/>
  <c r="W84" i="91"/>
  <c r="AE106" i="5"/>
  <c r="K105" i="91" s="1"/>
  <c r="Z106" i="5"/>
  <c r="AB101"/>
  <c r="AG124"/>
  <c r="AG80"/>
  <c r="AG118"/>
  <c r="AF96"/>
  <c r="W100" i="91"/>
  <c r="AP101" i="5"/>
  <c r="BX131" i="7"/>
  <c r="BX132" s="1"/>
  <c r="BX62"/>
  <c r="BX59"/>
  <c r="BX60"/>
  <c r="O11" i="86"/>
  <c r="Q11" l="1"/>
  <c r="Q13" i="89"/>
  <c r="B55" i="92"/>
  <c r="AQ75" i="5"/>
  <c r="E55" i="92"/>
  <c r="AD65" i="5"/>
  <c r="Z65"/>
  <c r="AE65"/>
  <c r="AC65"/>
  <c r="AA65"/>
  <c r="Y63"/>
  <c r="AB64"/>
  <c r="F54" i="92"/>
  <c r="AK69" i="5"/>
  <c r="AB69"/>
  <c r="AF66"/>
  <c r="AP66"/>
  <c r="AQ66"/>
  <c r="X72"/>
  <c r="C56" i="92"/>
  <c r="AA76" i="5"/>
  <c r="AP78"/>
  <c r="AE76"/>
  <c r="AN76"/>
  <c r="AJ76"/>
  <c r="AB73"/>
  <c r="Z72"/>
  <c r="AM72"/>
  <c r="AP73"/>
  <c r="AJ72"/>
  <c r="AC72"/>
  <c r="AF73"/>
  <c r="AD72"/>
  <c r="AQ73"/>
  <c r="AO72"/>
  <c r="AK68"/>
  <c r="AB68"/>
  <c r="AP70"/>
  <c r="AF70"/>
  <c r="AF67"/>
  <c r="AQ67"/>
  <c r="AP67"/>
  <c r="B54" i="92"/>
  <c r="W66" i="91"/>
  <c r="AD76" i="5"/>
  <c r="AK75"/>
  <c r="AB75"/>
  <c r="AF75"/>
  <c r="AP75"/>
  <c r="I54" i="92"/>
  <c r="AF64" i="5"/>
  <c r="L54" i="92" s="1"/>
  <c r="M38" i="95" s="1"/>
  <c r="AQ69" i="5"/>
  <c r="AP69"/>
  <c r="AF69"/>
  <c r="AB66"/>
  <c r="AK66"/>
  <c r="D53" i="92"/>
  <c r="D56" s="1"/>
  <c r="X136" i="5"/>
  <c r="X137" s="1"/>
  <c r="Z76"/>
  <c r="AB78"/>
  <c r="AF78"/>
  <c r="AC76"/>
  <c r="AO76"/>
  <c r="AQ78"/>
  <c r="AK78"/>
  <c r="AI72"/>
  <c r="AE72"/>
  <c r="AK73"/>
  <c r="AH72"/>
  <c r="AN72"/>
  <c r="AA72"/>
  <c r="AQ68"/>
  <c r="AP68"/>
  <c r="AF68"/>
  <c r="AG77"/>
  <c r="X76"/>
  <c r="AB70"/>
  <c r="AQ70"/>
  <c r="AK70"/>
  <c r="AK67"/>
  <c r="W56" i="91"/>
  <c r="AB67" i="5"/>
  <c r="AH76"/>
  <c r="AH80"/>
  <c r="AL118"/>
  <c r="AH124"/>
  <c r="AG101"/>
  <c r="AF79"/>
  <c r="AL87"/>
  <c r="AL105"/>
  <c r="AH125"/>
  <c r="AL130"/>
  <c r="AL84"/>
  <c r="AL110"/>
  <c r="AL113"/>
  <c r="AL83"/>
  <c r="AL82"/>
  <c r="AL100"/>
  <c r="AL98"/>
  <c r="AL129"/>
  <c r="AH108"/>
  <c r="I105" i="91"/>
  <c r="AF106" i="5"/>
  <c r="L105" i="91" s="1"/>
  <c r="AL85" i="5"/>
  <c r="H129" i="91"/>
  <c r="AG81" i="5"/>
  <c r="AO97"/>
  <c r="AL93"/>
  <c r="AL88"/>
  <c r="AL90"/>
  <c r="AL112"/>
  <c r="AM107"/>
  <c r="AO107"/>
  <c r="AN107"/>
  <c r="AI107"/>
  <c r="AJ107"/>
  <c r="AH106"/>
  <c r="W143" i="91"/>
  <c r="AG132" i="5"/>
  <c r="AF123"/>
  <c r="L129" i="91" s="1"/>
  <c r="F105"/>
  <c r="AB106" i="5"/>
  <c r="AL127"/>
  <c r="AG96"/>
  <c r="AG119"/>
  <c r="AL131"/>
  <c r="AG117"/>
  <c r="AL103"/>
  <c r="W123" i="91"/>
  <c r="AB79" i="5"/>
  <c r="W125" i="91"/>
  <c r="BX63" i="7"/>
  <c r="O11" i="89"/>
  <c r="O48" s="1"/>
  <c r="O50" s="1"/>
  <c r="P134" i="56"/>
  <c r="BX133" i="7"/>
  <c r="BX135"/>
  <c r="BX136" s="1"/>
  <c r="AP76" i="5" l="1"/>
  <c r="W55" i="91"/>
  <c r="W59"/>
  <c r="L29" i="89"/>
  <c r="AG67" i="5"/>
  <c r="AG70"/>
  <c r="AK72"/>
  <c r="AC63"/>
  <c r="AF76"/>
  <c r="AB76"/>
  <c r="AG66"/>
  <c r="AG75"/>
  <c r="AG68"/>
  <c r="AQ72"/>
  <c r="AF72"/>
  <c r="AP72"/>
  <c r="AB72"/>
  <c r="AG69"/>
  <c r="E53" i="92"/>
  <c r="E56" s="1"/>
  <c r="Y136" i="5"/>
  <c r="Y137" s="1"/>
  <c r="I55" i="92"/>
  <c r="AF65" i="5"/>
  <c r="L55" i="92" s="1"/>
  <c r="M39" i="95" s="1"/>
  <c r="F55" i="92"/>
  <c r="Z63" i="5"/>
  <c r="AB65"/>
  <c r="B56" i="92"/>
  <c r="AK76" i="5"/>
  <c r="AL77"/>
  <c r="AQ76"/>
  <c r="AG78"/>
  <c r="AG73"/>
  <c r="H54" i="92"/>
  <c r="L38" i="95" s="1"/>
  <c r="N38" s="1"/>
  <c r="AG64" i="5"/>
  <c r="G55" i="92"/>
  <c r="AA63" i="5"/>
  <c r="K55" i="92"/>
  <c r="AE63" i="5"/>
  <c r="J55" i="92"/>
  <c r="AD63" i="5"/>
  <c r="W67" i="91"/>
  <c r="W64"/>
  <c r="W57"/>
  <c r="W62"/>
  <c r="B53" i="92"/>
  <c r="W58" i="91"/>
  <c r="AK107" i="5"/>
  <c r="AG79"/>
  <c r="AL117"/>
  <c r="AL119"/>
  <c r="AL96"/>
  <c r="H105" i="91"/>
  <c r="AG106" i="5"/>
  <c r="AQ107"/>
  <c r="AL101"/>
  <c r="AI124"/>
  <c r="AJ124"/>
  <c r="AM124"/>
  <c r="AO124"/>
  <c r="AN124"/>
  <c r="AH123"/>
  <c r="AL132"/>
  <c r="N105" i="91"/>
  <c r="AP107" i="5"/>
  <c r="W96" i="91"/>
  <c r="AO96" i="5"/>
  <c r="AQ97"/>
  <c r="AP97"/>
  <c r="AH81"/>
  <c r="AH79" s="1"/>
  <c r="AO108"/>
  <c r="AO106" s="1"/>
  <c r="AI108"/>
  <c r="AM108"/>
  <c r="AM106" s="1"/>
  <c r="AJ108"/>
  <c r="AN108"/>
  <c r="AK108"/>
  <c r="AO125"/>
  <c r="AN125"/>
  <c r="AJ125"/>
  <c r="AM125"/>
  <c r="AI125"/>
  <c r="AJ80"/>
  <c r="AM80"/>
  <c r="AO80"/>
  <c r="AI80"/>
  <c r="AN80"/>
  <c r="AG123"/>
  <c r="P13" i="89"/>
  <c r="O53"/>
  <c r="P133" i="56"/>
  <c r="X133" s="1"/>
  <c r="K134"/>
  <c r="K133" s="1"/>
  <c r="T133" s="1"/>
  <c r="BT42" i="8"/>
  <c r="BT85" s="1"/>
  <c r="BT89" s="1"/>
  <c r="BS42"/>
  <c r="BS85" s="1"/>
  <c r="W61" i="91" l="1"/>
  <c r="J53" i="92"/>
  <c r="J56" s="1"/>
  <c r="AD136" i="5"/>
  <c r="AD137" s="1"/>
  <c r="AE136"/>
  <c r="AE137" s="1"/>
  <c r="K53" i="92"/>
  <c r="K56" s="1"/>
  <c r="G53"/>
  <c r="G56" s="1"/>
  <c r="AA136" i="5"/>
  <c r="AA137" s="1"/>
  <c r="M54" i="92"/>
  <c r="AH64" i="5"/>
  <c r="AL73"/>
  <c r="F53" i="92"/>
  <c r="F56" s="1"/>
  <c r="Z136" i="5"/>
  <c r="AB63"/>
  <c r="AG72"/>
  <c r="AL68"/>
  <c r="AL66"/>
  <c r="AG76"/>
  <c r="I53" i="92"/>
  <c r="I56" s="1"/>
  <c r="AC136" i="5"/>
  <c r="AF63"/>
  <c r="L53" i="92" s="1"/>
  <c r="AL78" i="5"/>
  <c r="AG65"/>
  <c r="H55" i="92"/>
  <c r="L39" i="95" s="1"/>
  <c r="N39" s="1"/>
  <c r="AL69" i="5"/>
  <c r="AL75"/>
  <c r="AL70"/>
  <c r="AL67"/>
  <c r="W65" i="91"/>
  <c r="AK124" i="5"/>
  <c r="AK80"/>
  <c r="AL80" s="1"/>
  <c r="AL107"/>
  <c r="AP80"/>
  <c r="AQ125"/>
  <c r="AL108"/>
  <c r="AQ96"/>
  <c r="W95" i="91"/>
  <c r="AP96" i="5"/>
  <c r="M129" i="91"/>
  <c r="AQ80" i="5"/>
  <c r="AP125"/>
  <c r="AP108"/>
  <c r="AQ108"/>
  <c r="AN81"/>
  <c r="AM81"/>
  <c r="AM79" s="1"/>
  <c r="AO81"/>
  <c r="AO79" s="1"/>
  <c r="AI81"/>
  <c r="AJ81"/>
  <c r="AN123"/>
  <c r="T129" i="91" s="1"/>
  <c r="AJ123" i="5"/>
  <c r="P129" i="91" s="1"/>
  <c r="AK125" i="5"/>
  <c r="AN106"/>
  <c r="T105" i="91" s="1"/>
  <c r="AJ106" i="5"/>
  <c r="P105" i="91" s="1"/>
  <c r="W113"/>
  <c r="S105"/>
  <c r="N129"/>
  <c r="AO123" i="5"/>
  <c r="AQ124"/>
  <c r="AP124"/>
  <c r="AM123"/>
  <c r="AI123"/>
  <c r="O129" i="91" s="1"/>
  <c r="U105"/>
  <c r="M105"/>
  <c r="AI106" i="5"/>
  <c r="BS49" i="8"/>
  <c r="BS60" s="1"/>
  <c r="BS89"/>
  <c r="BS96" s="1"/>
  <c r="O15" i="87"/>
  <c r="BT96" i="8"/>
  <c r="BT49"/>
  <c r="W138" i="91" l="1"/>
  <c r="W114"/>
  <c r="AQ106" i="5"/>
  <c r="AL124"/>
  <c r="AC137"/>
  <c r="AF137" s="1"/>
  <c r="AF136"/>
  <c r="AL72"/>
  <c r="AG63"/>
  <c r="M53" i="92" s="1"/>
  <c r="H53"/>
  <c r="AH65" i="5"/>
  <c r="AH63" s="1"/>
  <c r="M55" i="92"/>
  <c r="M37" i="95"/>
  <c r="L56" i="92"/>
  <c r="M40" i="95" s="1"/>
  <c r="AL76" i="5"/>
  <c r="Z137"/>
  <c r="AB137" s="1"/>
  <c r="AG137" s="1"/>
  <c r="AB136"/>
  <c r="AG136" s="1"/>
  <c r="AM64"/>
  <c r="AI64"/>
  <c r="AO64"/>
  <c r="AN64"/>
  <c r="AJ64"/>
  <c r="N54" i="92"/>
  <c r="AP106" i="5"/>
  <c r="V105" i="91" s="1"/>
  <c r="W137"/>
  <c r="AK106" i="5"/>
  <c r="AL125"/>
  <c r="AP81"/>
  <c r="AK81"/>
  <c r="AN79"/>
  <c r="AI79"/>
  <c r="S129" i="91"/>
  <c r="AP123" i="5"/>
  <c r="V129" i="91" s="1"/>
  <c r="AQ123" i="5"/>
  <c r="AQ81"/>
  <c r="AK123"/>
  <c r="AJ79"/>
  <c r="W78" i="91"/>
  <c r="BS61" i="8"/>
  <c r="BS66" s="1"/>
  <c r="O10" i="90" s="1"/>
  <c r="O43" s="1"/>
  <c r="O45" s="1"/>
  <c r="O60" s="1"/>
  <c r="O13" i="87"/>
  <c r="O10" s="1"/>
  <c r="BT61" i="8"/>
  <c r="BT97" s="1"/>
  <c r="BT98" s="1"/>
  <c r="BT60"/>
  <c r="M56" i="92" l="1"/>
  <c r="BQ61" i="8"/>
  <c r="BQ62" s="1"/>
  <c r="BR62" s="1"/>
  <c r="BS62"/>
  <c r="BS67"/>
  <c r="BS97"/>
  <c r="O27" i="87" s="1"/>
  <c r="O9" s="1"/>
  <c r="O36" s="1"/>
  <c r="O38" s="1"/>
  <c r="BS63" i="8"/>
  <c r="M156" i="56"/>
  <c r="M155" s="1"/>
  <c r="V155" s="1"/>
  <c r="O48" i="90"/>
  <c r="AP79" i="5"/>
  <c r="T54" i="92"/>
  <c r="AH136" i="5"/>
  <c r="AH137" s="1"/>
  <c r="S54" i="92"/>
  <c r="AP64" i="5"/>
  <c r="V54" i="92" s="1"/>
  <c r="Q38" i="95" s="1"/>
  <c r="AJ65" i="5"/>
  <c r="P55" i="92" s="1"/>
  <c r="AN65" i="5"/>
  <c r="T55" i="92" s="1"/>
  <c r="AO65" i="5"/>
  <c r="AI65"/>
  <c r="O55" i="92" s="1"/>
  <c r="AM65" i="5"/>
  <c r="AM63" s="1"/>
  <c r="P54" i="92"/>
  <c r="AQ64" i="5"/>
  <c r="U54" i="92"/>
  <c r="AO63" i="5"/>
  <c r="AK64"/>
  <c r="H56" i="92"/>
  <c r="L40" i="95" s="1"/>
  <c r="N40" s="1"/>
  <c r="L37"/>
  <c r="N37" s="1"/>
  <c r="W79" i="91"/>
  <c r="Q129"/>
  <c r="AL123" i="5"/>
  <c r="R129" i="91" s="1"/>
  <c r="AL81" i="5"/>
  <c r="Q105" i="91"/>
  <c r="AL106" i="5"/>
  <c r="R105" i="91" s="1"/>
  <c r="W136"/>
  <c r="U129"/>
  <c r="W129" s="1"/>
  <c r="W77"/>
  <c r="AK79" i="5"/>
  <c r="W112" i="91"/>
  <c r="O105"/>
  <c r="W105" s="1"/>
  <c r="AQ79" i="5"/>
  <c r="O22" i="87"/>
  <c r="BT63" i="8"/>
  <c r="BT66"/>
  <c r="BT67" s="1"/>
  <c r="BT62"/>
  <c r="BT99"/>
  <c r="BT101"/>
  <c r="BT102" s="1"/>
  <c r="BQ63" l="1"/>
  <c r="BR63" s="1"/>
  <c r="BQ97"/>
  <c r="O29" i="90" s="1"/>
  <c r="O27" i="88" s="1"/>
  <c r="AI63" i="5"/>
  <c r="AI136" s="1"/>
  <c r="AJ63"/>
  <c r="AK65"/>
  <c r="AL65" s="1"/>
  <c r="R55" i="92" s="1"/>
  <c r="BQ66" i="8"/>
  <c r="L156" i="56" s="1"/>
  <c r="BR61" i="8"/>
  <c r="BS98"/>
  <c r="BS101" s="1"/>
  <c r="BS102" s="1"/>
  <c r="BS105" s="1"/>
  <c r="BS106" s="1"/>
  <c r="H156" i="56"/>
  <c r="H155" s="1"/>
  <c r="R155" s="1"/>
  <c r="W53" i="91"/>
  <c r="O54" i="92"/>
  <c r="W54" s="1"/>
  <c r="AL64" i="5"/>
  <c r="R54" i="92" s="1"/>
  <c r="Q54"/>
  <c r="O38" i="95" s="1"/>
  <c r="P38" s="1"/>
  <c r="R38" s="1"/>
  <c r="S55" i="92"/>
  <c r="AP65" i="5"/>
  <c r="V55" i="92" s="1"/>
  <c r="Q39" i="95" s="1"/>
  <c r="U55" i="92"/>
  <c r="AQ65" i="5"/>
  <c r="AN63"/>
  <c r="AP63" s="1"/>
  <c r="V53" i="92" s="1"/>
  <c r="Q37" i="95" s="1"/>
  <c r="AO136" i="5"/>
  <c r="AO137" s="1"/>
  <c r="Q55" i="92"/>
  <c r="O39" i="95" s="1"/>
  <c r="P39" s="1"/>
  <c r="N55" i="92"/>
  <c r="AM136" i="5"/>
  <c r="N53" i="92"/>
  <c r="AL79" i="5"/>
  <c r="AI137"/>
  <c r="O41" i="87"/>
  <c r="O47"/>
  <c r="O9" i="90"/>
  <c r="O42" s="1"/>
  <c r="P156" i="56"/>
  <c r="K156" s="1"/>
  <c r="K155" s="1"/>
  <c r="T155" s="1"/>
  <c r="O11" i="90"/>
  <c r="O49" s="1"/>
  <c r="O51" s="1"/>
  <c r="P26"/>
  <c r="P25" s="1"/>
  <c r="BR66" i="8"/>
  <c r="BQ67"/>
  <c r="BR67" s="1"/>
  <c r="BQ98"/>
  <c r="BR97"/>
  <c r="BS99" l="1"/>
  <c r="O53" i="92"/>
  <c r="O56" s="1"/>
  <c r="AK63" i="5"/>
  <c r="Q53" i="92" s="1"/>
  <c r="W55"/>
  <c r="AQ63" i="5"/>
  <c r="AJ136"/>
  <c r="W54" i="91"/>
  <c r="I157" i="56"/>
  <c r="G157" s="1"/>
  <c r="N157" s="1"/>
  <c r="L157" s="1"/>
  <c r="J155"/>
  <c r="J156" s="1"/>
  <c r="O156" s="1"/>
  <c r="O155" s="1"/>
  <c r="P155"/>
  <c r="X155" s="1"/>
  <c r="V56" i="92"/>
  <c r="Q40" i="95" s="1"/>
  <c r="R39"/>
  <c r="S53" i="92"/>
  <c r="S56" s="1"/>
  <c r="AM137" i="5"/>
  <c r="U53" i="92"/>
  <c r="U56" s="1"/>
  <c r="N56"/>
  <c r="AL63" i="5"/>
  <c r="R53" i="92" s="1"/>
  <c r="R56" s="1"/>
  <c r="AN136" i="5"/>
  <c r="AP136" s="1"/>
  <c r="O54" i="90"/>
  <c r="O63"/>
  <c r="BR98" i="8"/>
  <c r="BQ101"/>
  <c r="BQ99"/>
  <c r="BR99" s="1"/>
  <c r="G156" i="56"/>
  <c r="G155" s="1"/>
  <c r="Q155" s="1"/>
  <c r="L155"/>
  <c r="U155" s="1"/>
  <c r="W52" i="91" l="1"/>
  <c r="AJ137" i="5"/>
  <c r="AK137" s="1"/>
  <c r="AL137" s="1"/>
  <c r="AK136"/>
  <c r="AL136" s="1"/>
  <c r="P53" i="92"/>
  <c r="P56" s="1"/>
  <c r="Q56"/>
  <c r="O40" i="95" s="1"/>
  <c r="P40" s="1"/>
  <c r="R40" s="1"/>
  <c r="O37"/>
  <c r="P37" s="1"/>
  <c r="R37" s="1"/>
  <c r="T53" i="92"/>
  <c r="AN137" i="5"/>
  <c r="AQ137" s="1"/>
  <c r="AQ136"/>
  <c r="P10" i="90"/>
  <c r="P38" i="87"/>
  <c r="O64" i="90"/>
  <c r="O65"/>
  <c r="BR101" i="8"/>
  <c r="BQ102"/>
  <c r="BR102" s="1"/>
  <c r="O14" i="88"/>
  <c r="O19"/>
  <c r="O15"/>
  <c r="O20"/>
  <c r="O21"/>
  <c r="P23" i="90" s="1"/>
  <c r="O11" i="88"/>
  <c r="O17"/>
  <c r="O12"/>
  <c r="P14" i="90" s="1"/>
  <c r="O16" i="88"/>
  <c r="O18"/>
  <c r="O24"/>
  <c r="O23" s="1"/>
  <c r="AP137" i="5" l="1"/>
  <c r="P43" i="90"/>
  <c r="P45" s="1"/>
  <c r="T56" i="92"/>
  <c r="W56" s="1"/>
  <c r="W53"/>
  <c r="P41" i="87"/>
  <c r="P47"/>
  <c r="P17" i="90"/>
  <c r="P15" s="1"/>
  <c r="P13"/>
  <c r="O13" i="88"/>
  <c r="O10" s="1"/>
  <c r="P48" i="90" l="1"/>
  <c r="P60"/>
  <c r="P12"/>
  <c r="P29"/>
  <c r="P24"/>
  <c r="O9" i="88"/>
  <c r="O35" s="1"/>
  <c r="O37" s="1"/>
  <c r="O22"/>
  <c r="P9" i="90" l="1"/>
  <c r="P42" s="1"/>
  <c r="P11"/>
  <c r="P49" s="1"/>
  <c r="P51" s="1"/>
  <c r="O40" i="88"/>
  <c r="O44"/>
  <c r="O45" s="1"/>
  <c r="O46" l="1"/>
  <c r="P63" i="90"/>
  <c r="P54"/>
  <c r="P43" i="88"/>
  <c r="P37"/>
  <c r="P44" l="1"/>
  <c r="P45" s="1"/>
  <c r="P40"/>
  <c r="P65" i="90"/>
  <c r="P64"/>
  <c r="BM15" i="7"/>
  <c r="BM8" s="1"/>
  <c r="BM51" s="1"/>
  <c r="BM59" s="1"/>
  <c r="BN14"/>
  <c r="BN15" s="1"/>
  <c r="BN8" s="1"/>
  <c r="BN51" s="1"/>
  <c r="BM117"/>
  <c r="BM124" l="1"/>
  <c r="BM130" s="1"/>
  <c r="F11" i="85"/>
  <c r="R66" i="7"/>
  <c r="BN59"/>
  <c r="BN62"/>
  <c r="BN63" s="1"/>
  <c r="BN60"/>
  <c r="R67" s="1"/>
  <c r="BN57"/>
  <c r="R68" s="1"/>
  <c r="O66"/>
  <c r="O68" s="1"/>
  <c r="BM57"/>
  <c r="BM60" s="1"/>
  <c r="BM62"/>
  <c r="BN117"/>
  <c r="BM132" l="1"/>
  <c r="BM135" s="1"/>
  <c r="BM136" s="1"/>
  <c r="BN124"/>
  <c r="BN130" s="1"/>
  <c r="F11" i="86"/>
  <c r="F10" s="1"/>
  <c r="F10" i="85"/>
  <c r="BL62" i="7"/>
  <c r="BL63" s="1"/>
  <c r="BM63"/>
  <c r="BM133"/>
  <c r="BN132" l="1"/>
  <c r="BN133" s="1"/>
  <c r="F9" i="85"/>
  <c r="F22"/>
  <c r="F13" i="89"/>
  <c r="F12" s="1"/>
  <c r="F9" i="86"/>
  <c r="F22"/>
  <c r="BE12" i="19"/>
  <c r="CJ12" s="1"/>
  <c r="BD12"/>
  <c r="BN135" i="7" l="1"/>
  <c r="BN136" s="1"/>
  <c r="F35" i="86"/>
  <c r="F11" i="89"/>
  <c r="F48" s="1"/>
  <c r="F9"/>
  <c r="F41" s="1"/>
  <c r="F24"/>
  <c r="F35" i="85"/>
  <c r="F10" i="89"/>
  <c r="F42" s="1"/>
  <c r="BD14" i="19"/>
  <c r="BF14" l="1"/>
  <c r="BE14"/>
  <c r="CJ14" s="1"/>
  <c r="BN15" i="8"/>
  <c r="BN8" s="1"/>
  <c r="BN49" s="1"/>
  <c r="BN82"/>
  <c r="BN89" s="1"/>
  <c r="BN98" s="1"/>
  <c r="BO15"/>
  <c r="CK14" i="19" l="1"/>
  <c r="BF49"/>
  <c r="CK49" s="1"/>
  <c r="BN60" i="8"/>
  <c r="BN63"/>
  <c r="BN66"/>
  <c r="BN67" s="1"/>
  <c r="BN62"/>
  <c r="BN99"/>
  <c r="BN101"/>
  <c r="BN102" s="1"/>
  <c r="BO82"/>
  <c r="BO8"/>
  <c r="BO49" s="1"/>
  <c r="BN96"/>
  <c r="BO89" l="1"/>
  <c r="BO98" s="1"/>
  <c r="BO60"/>
  <c r="BO62"/>
  <c r="BO63"/>
  <c r="BO66"/>
  <c r="BO67" s="1"/>
  <c r="BO96" l="1"/>
  <c r="BO99"/>
  <c r="BO101"/>
  <c r="BO102" s="1"/>
  <c r="CC59" i="9" l="1"/>
  <c r="BW59"/>
  <c r="BU50"/>
  <c r="BU51" s="1"/>
  <c r="CB51" s="1"/>
  <c r="BV50" l="1"/>
  <c r="CG50" i="72"/>
  <c r="CB50" i="9"/>
  <c r="CH50" i="72"/>
  <c r="CC50" i="9" l="1"/>
  <c r="CM51" i="72"/>
  <c r="BW50" i="9"/>
  <c r="BV51"/>
  <c r="CC51" s="1"/>
  <c r="CF50" i="72"/>
  <c r="CH51"/>
  <c r="BU18" i="7"/>
  <c r="CA18"/>
  <c r="C45" i="92" s="1"/>
  <c r="B45" s="1"/>
  <c r="BY113" i="7"/>
  <c r="BY17"/>
  <c r="CG51" i="72"/>
  <c r="CH59"/>
  <c r="BW51" i="9" l="1"/>
  <c r="BT51"/>
  <c r="CA51" s="1"/>
  <c r="BZ113" i="7"/>
  <c r="CN113"/>
  <c r="CR113"/>
  <c r="CN17"/>
  <c r="CR17"/>
  <c r="BZ17"/>
  <c r="BV18"/>
  <c r="BW18"/>
  <c r="BU17"/>
  <c r="BV17" s="1"/>
  <c r="BU113"/>
  <c r="CF51" i="72"/>
  <c r="CA113" i="7"/>
  <c r="J12" i="85" s="1"/>
  <c r="J14" i="89" s="1"/>
  <c r="CA17" i="7"/>
  <c r="CN51" i="72" l="1"/>
  <c r="CL51" s="1"/>
  <c r="BV113" i="7"/>
  <c r="BU124"/>
  <c r="O14" i="89"/>
  <c r="BW17" i="7"/>
  <c r="BW51" s="1"/>
  <c r="BW113"/>
  <c r="O12" i="89" l="1"/>
  <c r="BU51" i="7"/>
  <c r="BW57"/>
  <c r="BW58"/>
  <c r="BW59" s="1"/>
  <c r="BV124"/>
  <c r="BU130"/>
  <c r="BV130" s="1"/>
  <c r="BW124"/>
  <c r="O12" i="85"/>
  <c r="BW62" i="7" l="1"/>
  <c r="O10" i="89" s="1"/>
  <c r="O42" s="1"/>
  <c r="O44" s="1"/>
  <c r="O10" i="85"/>
  <c r="BW130" i="7"/>
  <c r="BW131"/>
  <c r="BW132" s="1"/>
  <c r="BU58"/>
  <c r="BU62" s="1"/>
  <c r="O27" i="85"/>
  <c r="BW60" i="7"/>
  <c r="O12" i="86"/>
  <c r="BW63" i="7"/>
  <c r="BV51"/>
  <c r="BU57"/>
  <c r="BV57" s="1"/>
  <c r="O24" i="89"/>
  <c r="BU59" i="7" l="1"/>
  <c r="BV59" s="1"/>
  <c r="BU60"/>
  <c r="BV60" s="1"/>
  <c r="M134" i="56"/>
  <c r="H134" s="1"/>
  <c r="H133" s="1"/>
  <c r="BW133" i="7"/>
  <c r="BW135"/>
  <c r="BW136" s="1"/>
  <c r="BW138" s="1"/>
  <c r="BW139" s="1"/>
  <c r="O10" i="86"/>
  <c r="M133" i="56"/>
  <c r="V133" s="1"/>
  <c r="BV58" i="7"/>
  <c r="O29" i="89"/>
  <c r="BU131" i="7"/>
  <c r="O22" i="85"/>
  <c r="O9"/>
  <c r="O35" s="1"/>
  <c r="O37" s="1"/>
  <c r="BU63" i="7"/>
  <c r="BV63" s="1"/>
  <c r="L134" i="56"/>
  <c r="BV62" i="7"/>
  <c r="O47" i="89"/>
  <c r="O59"/>
  <c r="P14" l="1"/>
  <c r="O46" i="85"/>
  <c r="O40"/>
  <c r="O27" i="86"/>
  <c r="O9" s="1"/>
  <c r="O35" s="1"/>
  <c r="O37" s="1"/>
  <c r="O9" i="89"/>
  <c r="O41" s="1"/>
  <c r="BV131" i="7"/>
  <c r="BU132"/>
  <c r="O22" i="86"/>
  <c r="L133" i="56"/>
  <c r="U133" s="1"/>
  <c r="G134"/>
  <c r="G133" s="1"/>
  <c r="Q133" s="1"/>
  <c r="R133"/>
  <c r="J133"/>
  <c r="J134" s="1"/>
  <c r="O134" s="1"/>
  <c r="O133" s="1"/>
  <c r="I135"/>
  <c r="G135" s="1"/>
  <c r="N135" s="1"/>
  <c r="L135" s="1"/>
  <c r="O40" i="86" l="1"/>
  <c r="BV132" i="7"/>
  <c r="BU133"/>
  <c r="BV133" s="1"/>
  <c r="BU135"/>
  <c r="P26" i="89"/>
  <c r="P25" s="1"/>
  <c r="BV135" i="7" l="1"/>
  <c r="BU136"/>
  <c r="BV136" s="1"/>
  <c r="CB117" l="1"/>
  <c r="CB27"/>
  <c r="CA117"/>
  <c r="CA27"/>
  <c r="BY43" l="1"/>
  <c r="BZ43" l="1"/>
  <c r="CR43"/>
  <c r="BY120"/>
  <c r="BZ120" l="1"/>
  <c r="CR120"/>
  <c r="CB43"/>
  <c r="CA43"/>
  <c r="C57" i="92" s="1"/>
  <c r="C71" l="1"/>
  <c r="C78" s="1"/>
  <c r="CB120" i="7"/>
  <c r="D57" i="92"/>
  <c r="B57" s="1"/>
  <c r="CA51" i="7"/>
  <c r="J15" i="85"/>
  <c r="CB51" i="7"/>
  <c r="CA120"/>
  <c r="CA124" s="1"/>
  <c r="CA57" l="1"/>
  <c r="CA60"/>
  <c r="CB124"/>
  <c r="J15" i="86"/>
  <c r="J17" i="89" s="1"/>
  <c r="J15" s="1"/>
  <c r="J12" s="1"/>
  <c r="C73" i="92"/>
  <c r="J13" i="85"/>
  <c r="J10" s="1"/>
  <c r="CA131" i="7"/>
  <c r="CA132" s="1"/>
  <c r="BY58"/>
  <c r="CA59"/>
  <c r="CA130"/>
  <c r="CB59"/>
  <c r="CB62"/>
  <c r="CB60"/>
  <c r="CB57"/>
  <c r="CA62"/>
  <c r="BZ58" l="1"/>
  <c r="CB130"/>
  <c r="CB132"/>
  <c r="J13" i="86"/>
  <c r="J10" s="1"/>
  <c r="J27" i="85"/>
  <c r="J29" i="89" s="1"/>
  <c r="J9" s="1"/>
  <c r="J41" s="1"/>
  <c r="J22" i="85"/>
  <c r="J24" i="89"/>
  <c r="CB63" i="7"/>
  <c r="P145" i="56"/>
  <c r="CA63" i="7"/>
  <c r="M145" i="56"/>
  <c r="CA133" i="7"/>
  <c r="CA135"/>
  <c r="CA136" s="1"/>
  <c r="CA138" s="1"/>
  <c r="CA139" s="1"/>
  <c r="BY131"/>
  <c r="BZ131" l="1"/>
  <c r="J9" i="85"/>
  <c r="J35" s="1"/>
  <c r="J37" s="1"/>
  <c r="K10" i="86"/>
  <c r="K17" i="89"/>
  <c r="K15" s="1"/>
  <c r="K12" s="1"/>
  <c r="J22" i="86"/>
  <c r="J9"/>
  <c r="CB133" i="7"/>
  <c r="CB135"/>
  <c r="CB136" s="1"/>
  <c r="CB138" s="1"/>
  <c r="CB139" s="1"/>
  <c r="M144" i="56"/>
  <c r="V144" s="1"/>
  <c r="H145"/>
  <c r="H144" s="1"/>
  <c r="P144"/>
  <c r="X144" s="1"/>
  <c r="K145"/>
  <c r="K144" s="1"/>
  <c r="T144" s="1"/>
  <c r="P36" i="85" l="1"/>
  <c r="P39" s="1"/>
  <c r="Q36"/>
  <c r="Q39" s="1"/>
  <c r="J10" i="89"/>
  <c r="J42" s="1"/>
  <c r="J44" s="1"/>
  <c r="J35" i="86"/>
  <c r="J37" s="1"/>
  <c r="Q36" s="1"/>
  <c r="Q39" s="1"/>
  <c r="J11" i="89"/>
  <c r="J48" s="1"/>
  <c r="J50" s="1"/>
  <c r="K43"/>
  <c r="J40" i="85"/>
  <c r="K36"/>
  <c r="J46"/>
  <c r="R144" i="56"/>
  <c r="I146"/>
  <c r="G146" s="1"/>
  <c r="N146" s="1"/>
  <c r="L146" s="1"/>
  <c r="J144"/>
  <c r="J145" s="1"/>
  <c r="O145" s="1"/>
  <c r="O144" s="1"/>
  <c r="BN23" i="19"/>
  <c r="BP23" s="1"/>
  <c r="BL49"/>
  <c r="BM23"/>
  <c r="BO23" s="1"/>
  <c r="P49" i="89" l="1"/>
  <c r="P52" s="1"/>
  <c r="Q49"/>
  <c r="Q52" s="1"/>
  <c r="P43"/>
  <c r="P46" s="1"/>
  <c r="Q43"/>
  <c r="Q46" s="1"/>
  <c r="J47"/>
  <c r="J59"/>
  <c r="BL50" i="19"/>
  <c r="CG50"/>
  <c r="CA50"/>
  <c r="K36" i="86"/>
  <c r="K39" s="1"/>
  <c r="P36"/>
  <c r="P39" s="1"/>
  <c r="BM49" i="19"/>
  <c r="BN49"/>
  <c r="J40" i="86"/>
  <c r="J53" i="89"/>
  <c r="K49"/>
  <c r="K52" s="1"/>
  <c r="BO49" i="19"/>
  <c r="K39" i="85"/>
  <c r="K46" i="89"/>
  <c r="BN50" i="19"/>
  <c r="BM50"/>
  <c r="BP49" l="1"/>
  <c r="CI50"/>
  <c r="CC50"/>
  <c r="BY48" i="7"/>
  <c r="CH50" i="19"/>
  <c r="CB50"/>
  <c r="BY121" i="7" l="1"/>
  <c r="BZ48"/>
  <c r="BY51"/>
  <c r="CN48"/>
  <c r="CR48"/>
  <c r="BM51" i="19"/>
  <c r="CR121" i="7"/>
  <c r="CN121"/>
  <c r="BZ121"/>
  <c r="BY124"/>
  <c r="CR124" s="1"/>
  <c r="BY59" l="1"/>
  <c r="BY62"/>
  <c r="BZ51"/>
  <c r="BY60"/>
  <c r="BY57"/>
  <c r="BL51" i="19"/>
  <c r="BZ59" i="7"/>
  <c r="BZ124"/>
  <c r="BY132"/>
  <c r="BY130"/>
  <c r="L145" i="56" l="1"/>
  <c r="BZ62" i="7"/>
  <c r="BY63"/>
  <c r="BZ60"/>
  <c r="BZ57"/>
  <c r="AU56" i="19"/>
  <c r="AU57"/>
  <c r="BZ130" i="7"/>
  <c r="CR130"/>
  <c r="BZ63"/>
  <c r="BY133"/>
  <c r="BZ132"/>
  <c r="BY135"/>
  <c r="L144" i="56"/>
  <c r="U144" s="1"/>
  <c r="G145"/>
  <c r="G144" s="1"/>
  <c r="Q144" s="1"/>
  <c r="AU60" i="19" l="1"/>
  <c r="BZ133" i="7"/>
  <c r="BY136"/>
  <c r="BZ135"/>
  <c r="BV102" i="9"/>
  <c r="BX102"/>
  <c r="BX104" s="1"/>
  <c r="CN102"/>
  <c r="CN104" s="1"/>
  <c r="CO102"/>
  <c r="CO104" s="1"/>
  <c r="BZ102"/>
  <c r="BZ104" s="1"/>
  <c r="BU102"/>
  <c r="BU104" s="1"/>
  <c r="K68" i="91" s="1"/>
  <c r="CB102" i="9"/>
  <c r="CB104" s="1"/>
  <c r="BO102"/>
  <c r="BP102"/>
  <c r="BS102"/>
  <c r="CA102"/>
  <c r="CA104" s="1"/>
  <c r="BT102"/>
  <c r="BT107" s="1"/>
  <c r="CC102"/>
  <c r="CM102"/>
  <c r="BQ102"/>
  <c r="BW102"/>
  <c r="BY102"/>
  <c r="BN102"/>
  <c r="BN107" s="1"/>
  <c r="BR102"/>
  <c r="CQ102" l="1"/>
  <c r="B131" i="93"/>
  <c r="E131" s="1"/>
  <c r="S131" s="1"/>
  <c r="C64" i="92"/>
  <c r="D64"/>
  <c r="C52" i="94"/>
  <c r="B52" s="1"/>
  <c r="E157" i="91"/>
  <c r="BZ136" i="7"/>
  <c r="CA109" i="9"/>
  <c r="BZ109"/>
  <c r="CN109"/>
  <c r="CO109"/>
  <c r="BX109"/>
  <c r="BW107"/>
  <c r="BW104"/>
  <c r="BY107"/>
  <c r="BY104"/>
  <c r="BQ107"/>
  <c r="BQ104"/>
  <c r="G68" i="91" s="1"/>
  <c r="CC107" i="9"/>
  <c r="CC104"/>
  <c r="BP107"/>
  <c r="BP104"/>
  <c r="F68" i="91" s="1"/>
  <c r="BV107" i="9"/>
  <c r="BV104"/>
  <c r="CM107"/>
  <c r="CM104"/>
  <c r="BS107"/>
  <c r="BS104"/>
  <c r="I68" i="91" s="1"/>
  <c r="CP102" i="9"/>
  <c r="BJ102" s="1"/>
  <c r="BO107"/>
  <c r="BO104"/>
  <c r="BN104"/>
  <c r="BZ107"/>
  <c r="CO107"/>
  <c r="CO108" s="1"/>
  <c r="BR107"/>
  <c r="BX107"/>
  <c r="BX108" s="1"/>
  <c r="CA107"/>
  <c r="CA108" s="1"/>
  <c r="CN107"/>
  <c r="CN108" s="1"/>
  <c r="BU107"/>
  <c r="CB107"/>
  <c r="BR104"/>
  <c r="BT104"/>
  <c r="J68" i="91" s="1"/>
  <c r="BZ108" i="9" l="1"/>
  <c r="I131" i="93"/>
  <c r="J131"/>
  <c r="U131"/>
  <c r="P131"/>
  <c r="O131"/>
  <c r="N131"/>
  <c r="Q131" s="1"/>
  <c r="F131"/>
  <c r="G131" s="1"/>
  <c r="K131"/>
  <c r="T131"/>
  <c r="B64" i="92"/>
  <c r="C63"/>
  <c r="D63"/>
  <c r="D65" s="1"/>
  <c r="E52" i="94"/>
  <c r="F130" i="93"/>
  <c r="J130"/>
  <c r="J52" i="94" s="1"/>
  <c r="K130" i="93"/>
  <c r="K52" i="94" s="1"/>
  <c r="G130" i="93"/>
  <c r="G52" i="94" s="1"/>
  <c r="I130" i="93"/>
  <c r="E51" i="94"/>
  <c r="K129" i="93"/>
  <c r="K51" i="94" s="1"/>
  <c r="F129" i="93"/>
  <c r="J129"/>
  <c r="J51" i="94" s="1"/>
  <c r="G129" i="93"/>
  <c r="G51" i="94" s="1"/>
  <c r="I129" i="93"/>
  <c r="I128" s="1"/>
  <c r="I50" i="94" s="1"/>
  <c r="C51"/>
  <c r="C131" i="93"/>
  <c r="S157" i="91"/>
  <c r="T157"/>
  <c r="F157"/>
  <c r="O157"/>
  <c r="J157"/>
  <c r="K157"/>
  <c r="N157"/>
  <c r="P157"/>
  <c r="I157"/>
  <c r="U157"/>
  <c r="E63" i="92"/>
  <c r="G155" i="91"/>
  <c r="I155"/>
  <c r="E154"/>
  <c r="E62" i="92" s="1"/>
  <c r="F155" i="91"/>
  <c r="J155"/>
  <c r="K155"/>
  <c r="I156"/>
  <c r="K156"/>
  <c r="K64" i="92" s="1"/>
  <c r="F156" i="91"/>
  <c r="J156"/>
  <c r="J64" i="92" s="1"/>
  <c r="G156" i="91"/>
  <c r="G64" i="92" s="1"/>
  <c r="E64"/>
  <c r="E128" i="93"/>
  <c r="E50" i="94" s="1"/>
  <c r="E57" s="1"/>
  <c r="H131" i="93"/>
  <c r="N68" i="91"/>
  <c r="U68"/>
  <c r="P68"/>
  <c r="V131" i="93"/>
  <c r="E68" i="91"/>
  <c r="L68"/>
  <c r="CM109" i="9"/>
  <c r="CM108" s="1"/>
  <c r="CC109"/>
  <c r="CC108" s="1"/>
  <c r="BY109"/>
  <c r="BY108" s="1"/>
  <c r="BN109"/>
  <c r="BN108" s="1"/>
  <c r="CP104"/>
  <c r="CQ107"/>
  <c r="CP107"/>
  <c r="BJ107" s="1"/>
  <c r="BT95"/>
  <c r="BT96" s="1"/>
  <c r="BP95"/>
  <c r="BP96" s="1"/>
  <c r="BU95"/>
  <c r="BU96" s="1"/>
  <c r="BQ95"/>
  <c r="BQ96" s="1"/>
  <c r="BS95"/>
  <c r="BV95" s="1"/>
  <c r="BV96" s="1"/>
  <c r="BO96"/>
  <c r="E59" i="94" l="1"/>
  <c r="E65"/>
  <c r="L131" i="93"/>
  <c r="W131"/>
  <c r="E135"/>
  <c r="J128"/>
  <c r="J50" i="94" s="1"/>
  <c r="J57" s="1"/>
  <c r="M131" i="93"/>
  <c r="R131" s="1"/>
  <c r="J135"/>
  <c r="J143" s="1"/>
  <c r="E53" i="94"/>
  <c r="K128" i="93"/>
  <c r="E65" i="92"/>
  <c r="F128" i="93"/>
  <c r="F50" i="94" s="1"/>
  <c r="G128" i="93"/>
  <c r="L157" i="91"/>
  <c r="Q157"/>
  <c r="V157"/>
  <c r="K63" i="92"/>
  <c r="K154" i="91"/>
  <c r="K62" i="92" s="1"/>
  <c r="H155" i="91"/>
  <c r="F154"/>
  <c r="F63" i="92"/>
  <c r="I63"/>
  <c r="L155" i="91"/>
  <c r="L63" i="92" s="1"/>
  <c r="M47" i="95" s="1"/>
  <c r="I154" i="91"/>
  <c r="G157"/>
  <c r="H157" s="1"/>
  <c r="C53" i="94"/>
  <c r="B53" s="1"/>
  <c r="B51"/>
  <c r="F51"/>
  <c r="H129" i="93"/>
  <c r="C65" i="92"/>
  <c r="B65" s="1"/>
  <c r="B63"/>
  <c r="F64"/>
  <c r="H156" i="91"/>
  <c r="L156"/>
  <c r="L64" i="92" s="1"/>
  <c r="M48" i="95" s="1"/>
  <c r="I64" i="92"/>
  <c r="J63"/>
  <c r="J154" i="91"/>
  <c r="J62" i="92" s="1"/>
  <c r="G63"/>
  <c r="I51" i="94"/>
  <c r="L129" i="93"/>
  <c r="L51" i="94" s="1"/>
  <c r="N39" i="96" s="1"/>
  <c r="I52" i="94"/>
  <c r="L130" i="93"/>
  <c r="L52" i="94" s="1"/>
  <c r="N40" i="96" s="1"/>
  <c r="F52" i="94"/>
  <c r="H130" i="93"/>
  <c r="I57" i="94"/>
  <c r="J53"/>
  <c r="O68" i="91"/>
  <c r="Q68" s="1"/>
  <c r="S68"/>
  <c r="T68"/>
  <c r="I135" i="93"/>
  <c r="BQ109" i="9"/>
  <c r="BQ108" s="1"/>
  <c r="BV109"/>
  <c r="BV108" s="1"/>
  <c r="BU109"/>
  <c r="BU108" s="1"/>
  <c r="BT109"/>
  <c r="BT108" s="1"/>
  <c r="W69" i="91"/>
  <c r="BP109" i="9"/>
  <c r="BP108" s="1"/>
  <c r="H68" i="91"/>
  <c r="M68" s="1"/>
  <c r="CQ104" i="9"/>
  <c r="BJ104"/>
  <c r="BR95"/>
  <c r="BR96" s="1"/>
  <c r="CP95"/>
  <c r="BJ95" s="1"/>
  <c r="CB95"/>
  <c r="CB96" s="1"/>
  <c r="BO109"/>
  <c r="BW95"/>
  <c r="BW96" s="1"/>
  <c r="BS96"/>
  <c r="I59" i="94" l="1"/>
  <c r="I65"/>
  <c r="J59"/>
  <c r="J65"/>
  <c r="E144" i="93"/>
  <c r="E66" i="94" s="1"/>
  <c r="E67" s="1"/>
  <c r="E143" i="93"/>
  <c r="I137"/>
  <c r="I143"/>
  <c r="J137"/>
  <c r="E137"/>
  <c r="H128"/>
  <c r="L128"/>
  <c r="L50" i="94" s="1"/>
  <c r="N38" i="96" s="1"/>
  <c r="F135" i="93"/>
  <c r="F143" s="1"/>
  <c r="J144"/>
  <c r="J66" i="94" s="1"/>
  <c r="K50"/>
  <c r="K135" i="93"/>
  <c r="K143" s="1"/>
  <c r="M157" i="91"/>
  <c r="R157" s="1"/>
  <c r="G50" i="94"/>
  <c r="G135" i="93"/>
  <c r="G143" s="1"/>
  <c r="I53" i="94"/>
  <c r="G154" i="91"/>
  <c r="G62" i="92" s="1"/>
  <c r="G65" s="1"/>
  <c r="J65"/>
  <c r="W157" i="91"/>
  <c r="H52" i="94"/>
  <c r="M40" i="96" s="1"/>
  <c r="O40" s="1"/>
  <c r="M130" i="93"/>
  <c r="H64" i="92"/>
  <c r="L48" i="95" s="1"/>
  <c r="M156" i="91"/>
  <c r="H51" i="94"/>
  <c r="M39" i="96" s="1"/>
  <c r="O39" s="1"/>
  <c r="M129" i="93"/>
  <c r="H63" i="92"/>
  <c r="L47" i="95" s="1"/>
  <c r="N47" s="1"/>
  <c r="M155" i="91"/>
  <c r="I62" i="92"/>
  <c r="I65" s="1"/>
  <c r="L154" i="91"/>
  <c r="L62" i="92" s="1"/>
  <c r="F62"/>
  <c r="F65" s="1"/>
  <c r="H154" i="91"/>
  <c r="N48" i="95"/>
  <c r="K65" i="92"/>
  <c r="V68" i="91"/>
  <c r="W68"/>
  <c r="F53" i="94"/>
  <c r="F57"/>
  <c r="I144" i="93"/>
  <c r="I66" i="94" s="1"/>
  <c r="BS109" i="9"/>
  <c r="BS108" s="1"/>
  <c r="BW109"/>
  <c r="BW108" s="1"/>
  <c r="CB109"/>
  <c r="CB108" s="1"/>
  <c r="BR109"/>
  <c r="CQ109" s="1"/>
  <c r="R68" i="91"/>
  <c r="BO108" i="9"/>
  <c r="CP96"/>
  <c r="H50" i="94" l="1"/>
  <c r="M38" i="96" s="1"/>
  <c r="B109" i="116"/>
  <c r="E71" i="94"/>
  <c r="E69"/>
  <c r="J67"/>
  <c r="I67"/>
  <c r="F59"/>
  <c r="F65"/>
  <c r="J145" i="93"/>
  <c r="H143"/>
  <c r="I145"/>
  <c r="L143"/>
  <c r="E145"/>
  <c r="H135"/>
  <c r="G137"/>
  <c r="F144"/>
  <c r="F137"/>
  <c r="L135"/>
  <c r="K137"/>
  <c r="L53" i="94"/>
  <c r="N41" i="96" s="1"/>
  <c r="O38"/>
  <c r="M128" i="93"/>
  <c r="M50" i="94" s="1"/>
  <c r="CP109" i="9"/>
  <c r="BJ109" s="1"/>
  <c r="BR108"/>
  <c r="CQ108" s="1"/>
  <c r="H53" i="94"/>
  <c r="M41" i="96" s="1"/>
  <c r="K53" i="94"/>
  <c r="K57"/>
  <c r="K144" i="93"/>
  <c r="K66" i="94" s="1"/>
  <c r="L66" s="1"/>
  <c r="G53"/>
  <c r="G57"/>
  <c r="G65" s="1"/>
  <c r="G144" i="93"/>
  <c r="M154" i="91"/>
  <c r="M62" i="92" s="1"/>
  <c r="H62"/>
  <c r="M46" i="95"/>
  <c r="L65" i="92"/>
  <c r="M49" i="95" s="1"/>
  <c r="M63" i="92"/>
  <c r="N155" i="91"/>
  <c r="M51" i="94"/>
  <c r="N129" i="93"/>
  <c r="M64" i="92"/>
  <c r="N156" i="91"/>
  <c r="M52" i="94"/>
  <c r="N130" i="93"/>
  <c r="CP108" i="9"/>
  <c r="BJ108" s="1"/>
  <c r="E153" i="93"/>
  <c r="E76" i="94" s="1"/>
  <c r="M135" i="93"/>
  <c r="M137" s="1"/>
  <c r="BJ96" i="9"/>
  <c r="CQ96"/>
  <c r="E72" i="94" l="1"/>
  <c r="B14" i="99"/>
  <c r="B17" s="1"/>
  <c r="B119" i="116"/>
  <c r="B160"/>
  <c r="B170" s="1"/>
  <c r="B172" s="1"/>
  <c r="L109"/>
  <c r="N50" i="96"/>
  <c r="G145" i="93"/>
  <c r="G66" i="94"/>
  <c r="G67" s="1"/>
  <c r="I69"/>
  <c r="I71"/>
  <c r="F145" i="93"/>
  <c r="F66" i="94"/>
  <c r="H66" s="1"/>
  <c r="M50" i="96" s="1"/>
  <c r="O50" s="1"/>
  <c r="J71" i="94"/>
  <c r="J69"/>
  <c r="K59"/>
  <c r="K65"/>
  <c r="H65"/>
  <c r="H57"/>
  <c r="H59" s="1"/>
  <c r="M47" i="96" s="1"/>
  <c r="G59" i="94"/>
  <c r="O41" i="96"/>
  <c r="M143" i="93"/>
  <c r="F148"/>
  <c r="F149" s="1"/>
  <c r="F146"/>
  <c r="G148"/>
  <c r="G149" s="1"/>
  <c r="G146"/>
  <c r="G162" s="1"/>
  <c r="G85" i="94" s="1"/>
  <c r="I146" i="93"/>
  <c r="I162" s="1"/>
  <c r="I85" i="94" s="1"/>
  <c r="I148" i="93"/>
  <c r="I149" s="1"/>
  <c r="K145"/>
  <c r="E148"/>
  <c r="E149" s="1"/>
  <c r="E146"/>
  <c r="E162" s="1"/>
  <c r="E85" i="94" s="1"/>
  <c r="J148" i="93"/>
  <c r="J146"/>
  <c r="J162" s="1"/>
  <c r="J85" i="94" s="1"/>
  <c r="H145" i="93"/>
  <c r="H137"/>
  <c r="L137"/>
  <c r="L144"/>
  <c r="J153"/>
  <c r="J76" i="94" s="1"/>
  <c r="L57"/>
  <c r="L59" s="1"/>
  <c r="N47" i="96" s="1"/>
  <c r="G153" i="93"/>
  <c r="G76" i="94" s="1"/>
  <c r="H144" i="93"/>
  <c r="M53" i="94"/>
  <c r="N52"/>
  <c r="T130" i="93"/>
  <c r="T52" i="94" s="1"/>
  <c r="S130" i="93"/>
  <c r="P130"/>
  <c r="P52" i="94" s="1"/>
  <c r="O130" i="93"/>
  <c r="U130"/>
  <c r="U52" i="94" s="1"/>
  <c r="U156" i="91"/>
  <c r="U64" i="92" s="1"/>
  <c r="S156" i="91"/>
  <c r="O156"/>
  <c r="N64" i="92"/>
  <c r="P156" i="91"/>
  <c r="P64" i="92" s="1"/>
  <c r="T156" i="91"/>
  <c r="T64" i="92" s="1"/>
  <c r="N51" i="94"/>
  <c r="N128" i="93"/>
  <c r="O129"/>
  <c r="T129"/>
  <c r="S129"/>
  <c r="P129"/>
  <c r="U129"/>
  <c r="N63" i="92"/>
  <c r="U155" i="91"/>
  <c r="P155"/>
  <c r="T155"/>
  <c r="O155"/>
  <c r="S155"/>
  <c r="N154"/>
  <c r="L46" i="95"/>
  <c r="N46" s="1"/>
  <c r="H65" i="92"/>
  <c r="L49" i="95" s="1"/>
  <c r="N49" s="1"/>
  <c r="M65" i="92"/>
  <c r="M45" i="96"/>
  <c r="C26" i="98" s="1"/>
  <c r="C29" s="1"/>
  <c r="C32" s="1"/>
  <c r="I153" i="93"/>
  <c r="I76" i="94" s="1"/>
  <c r="E176" i="93"/>
  <c r="E99" i="94" s="1"/>
  <c r="E185" i="93"/>
  <c r="E108" i="94" s="1"/>
  <c r="J72" l="1"/>
  <c r="G14" i="99"/>
  <c r="G17" s="1"/>
  <c r="L160" i="116"/>
  <c r="L170" s="1"/>
  <c r="L172" s="1"/>
  <c r="T109"/>
  <c r="N109"/>
  <c r="N160" s="1"/>
  <c r="N170" s="1"/>
  <c r="N172" s="1"/>
  <c r="L119"/>
  <c r="B125"/>
  <c r="B121"/>
  <c r="F67" i="94"/>
  <c r="I72"/>
  <c r="F14" i="99"/>
  <c r="F17" s="1"/>
  <c r="G71" i="94"/>
  <c r="G69"/>
  <c r="M49" i="96"/>
  <c r="M66" i="94"/>
  <c r="L65"/>
  <c r="N49" i="96" s="1"/>
  <c r="K67" i="94"/>
  <c r="F71"/>
  <c r="F69"/>
  <c r="J149" i="93"/>
  <c r="J185" s="1"/>
  <c r="J108" i="94" s="1"/>
  <c r="J176" i="93"/>
  <c r="H146"/>
  <c r="H162" s="1"/>
  <c r="H85" i="94" s="1"/>
  <c r="K146" i="93"/>
  <c r="K148"/>
  <c r="K149" s="1"/>
  <c r="K185" s="1"/>
  <c r="K108" i="94" s="1"/>
  <c r="L145" i="93"/>
  <c r="M145" s="1"/>
  <c r="H148"/>
  <c r="F162"/>
  <c r="F85" i="94" s="1"/>
  <c r="F153" i="93"/>
  <c r="Q155" i="91"/>
  <c r="K162" i="93"/>
  <c r="K85" i="94" s="1"/>
  <c r="K153" i="93"/>
  <c r="K76" i="94" s="1"/>
  <c r="N45" i="96"/>
  <c r="L67" i="94"/>
  <c r="M144" i="93"/>
  <c r="M57" i="94"/>
  <c r="W129" i="93"/>
  <c r="G185"/>
  <c r="G108" i="94" s="1"/>
  <c r="G176" i="93"/>
  <c r="H67" i="94"/>
  <c r="N62" i="92"/>
  <c r="S63"/>
  <c r="V155" i="91"/>
  <c r="V63" i="92" s="1"/>
  <c r="Q47" i="95" s="1"/>
  <c r="T63" i="92"/>
  <c r="T154" i="91"/>
  <c r="U63" i="92"/>
  <c r="U154" i="91"/>
  <c r="U51" i="94"/>
  <c r="U128" i="93"/>
  <c r="S51" i="94"/>
  <c r="V129" i="93"/>
  <c r="V51" i="94" s="1"/>
  <c r="R39" i="96" s="1"/>
  <c r="S128" i="93"/>
  <c r="O51" i="94"/>
  <c r="O128" i="93"/>
  <c r="O64" i="92"/>
  <c r="W156" i="91"/>
  <c r="Q156"/>
  <c r="O52" i="94"/>
  <c r="Q130" i="93"/>
  <c r="W130"/>
  <c r="S52" i="94"/>
  <c r="V130" i="93"/>
  <c r="V52" i="94" s="1"/>
  <c r="R40" i="96" s="1"/>
  <c r="Q63" i="92"/>
  <c r="O47" i="95" s="1"/>
  <c r="P47" s="1"/>
  <c r="R47" s="1"/>
  <c r="R155" i="91"/>
  <c r="R63" i="92" s="1"/>
  <c r="O63"/>
  <c r="O154" i="91"/>
  <c r="P63" i="92"/>
  <c r="P154" i="91"/>
  <c r="P51" i="94"/>
  <c r="P128" i="93"/>
  <c r="T51" i="94"/>
  <c r="T128" i="93"/>
  <c r="N50" i="94"/>
  <c r="N57" s="1"/>
  <c r="N135" i="93"/>
  <c r="S154" i="91"/>
  <c r="V156"/>
  <c r="V64" i="92" s="1"/>
  <c r="Q48" i="95" s="1"/>
  <c r="S64" i="92"/>
  <c r="W64" s="1"/>
  <c r="W155" i="91"/>
  <c r="Q129" i="93"/>
  <c r="E178"/>
  <c r="E101" i="94" s="1"/>
  <c r="I176" i="93"/>
  <c r="I99" i="94" s="1"/>
  <c r="I185" i="93"/>
  <c r="I108" i="94" s="1"/>
  <c r="L148" i="93"/>
  <c r="B176" i="116" l="1"/>
  <c r="L125"/>
  <c r="F72" i="94"/>
  <c r="C14" i="99"/>
  <c r="G72" i="94"/>
  <c r="D14" i="99"/>
  <c r="D17" s="1"/>
  <c r="T119" i="116"/>
  <c r="AB119" s="1"/>
  <c r="L121"/>
  <c r="N121" s="1"/>
  <c r="N119"/>
  <c r="T160"/>
  <c r="T170" s="1"/>
  <c r="T172" s="1"/>
  <c r="AB109"/>
  <c r="V109"/>
  <c r="V160" s="1"/>
  <c r="V170" s="1"/>
  <c r="V172" s="1"/>
  <c r="M51" i="96"/>
  <c r="H69" i="94"/>
  <c r="N51" i="96"/>
  <c r="L69" i="94"/>
  <c r="O45" i="96"/>
  <c r="O47" s="1"/>
  <c r="D26" i="98"/>
  <c r="D29" s="1"/>
  <c r="D32" s="1"/>
  <c r="K69" i="94"/>
  <c r="K71"/>
  <c r="L71" s="1"/>
  <c r="M65"/>
  <c r="O49" i="96"/>
  <c r="N59" i="94"/>
  <c r="N65"/>
  <c r="M59"/>
  <c r="L149" i="93"/>
  <c r="L185" s="1"/>
  <c r="L108" i="94" s="1"/>
  <c r="M146" i="93"/>
  <c r="M162" s="1"/>
  <c r="M85" i="94" s="1"/>
  <c r="N137" i="93"/>
  <c r="N143"/>
  <c r="L146"/>
  <c r="L162" s="1"/>
  <c r="L85" i="94" s="1"/>
  <c r="K176" i="93"/>
  <c r="K178" s="1"/>
  <c r="H149"/>
  <c r="H185" s="1"/>
  <c r="H108" i="94" s="1"/>
  <c r="J99"/>
  <c r="J178" i="93"/>
  <c r="F76" i="94"/>
  <c r="H153" i="93"/>
  <c r="H76" i="94" s="1"/>
  <c r="F176" i="93"/>
  <c r="F185"/>
  <c r="F108" i="94" s="1"/>
  <c r="H176" i="93"/>
  <c r="H99" i="94" s="1"/>
  <c r="L153" i="93"/>
  <c r="L76" i="94" s="1"/>
  <c r="W52"/>
  <c r="N53"/>
  <c r="W51"/>
  <c r="K99"/>
  <c r="M67"/>
  <c r="M69" s="1"/>
  <c r="H71"/>
  <c r="G178" i="93"/>
  <c r="G99" i="94"/>
  <c r="W63" i="92"/>
  <c r="R129" i="93"/>
  <c r="R51" i="94" s="1"/>
  <c r="Q51"/>
  <c r="P39" i="96" s="1"/>
  <c r="Q39" s="1"/>
  <c r="S39" s="1"/>
  <c r="N144" i="93"/>
  <c r="N66" i="94" s="1"/>
  <c r="T135" i="93"/>
  <c r="T50" i="94"/>
  <c r="P135" i="93"/>
  <c r="P50" i="94"/>
  <c r="P62" i="92"/>
  <c r="Q154" i="91"/>
  <c r="O62" i="92"/>
  <c r="W128" i="93"/>
  <c r="O135"/>
  <c r="O143" s="1"/>
  <c r="Q128"/>
  <c r="O50" i="94"/>
  <c r="S50"/>
  <c r="S57" s="1"/>
  <c r="S135" i="93"/>
  <c r="V128"/>
  <c r="V50" i="94" s="1"/>
  <c r="N65" i="92"/>
  <c r="S62"/>
  <c r="V154" i="91"/>
  <c r="V62" i="92" s="1"/>
  <c r="Q52" i="94"/>
  <c r="P40" i="96" s="1"/>
  <c r="Q40" s="1"/>
  <c r="S40" s="1"/>
  <c r="R130" i="93"/>
  <c r="R52" i="94" s="1"/>
  <c r="Q64" i="92"/>
  <c r="O48" i="95" s="1"/>
  <c r="P48" s="1"/>
  <c r="R48" s="1"/>
  <c r="R156" i="91"/>
  <c r="R64" i="92" s="1"/>
  <c r="U50" i="94"/>
  <c r="U135" i="93"/>
  <c r="U62" i="92"/>
  <c r="T62"/>
  <c r="W154" i="91"/>
  <c r="M148" i="93"/>
  <c r="I178"/>
  <c r="I101" i="94" s="1"/>
  <c r="L176" i="93"/>
  <c r="E187"/>
  <c r="D52" i="92"/>
  <c r="B50"/>
  <c r="D71"/>
  <c r="D78" s="1"/>
  <c r="AB160" i="116" l="1"/>
  <c r="AB170" s="1"/>
  <c r="AB172" s="1"/>
  <c r="AD109"/>
  <c r="AD160" s="1"/>
  <c r="AD170" s="1"/>
  <c r="AD172" s="1"/>
  <c r="T121"/>
  <c r="V121" s="1"/>
  <c r="V119"/>
  <c r="K72" i="94"/>
  <c r="H14" i="99"/>
  <c r="C17"/>
  <c r="E17" s="1"/>
  <c r="E14"/>
  <c r="T125" i="116"/>
  <c r="AB125" s="1"/>
  <c r="L176"/>
  <c r="N125"/>
  <c r="N176" s="1"/>
  <c r="E26" i="98"/>
  <c r="M55" i="96"/>
  <c r="H72" i="94"/>
  <c r="E29" i="98"/>
  <c r="E32" s="1"/>
  <c r="N53" i="96"/>
  <c r="O51"/>
  <c r="M53"/>
  <c r="L72" i="94"/>
  <c r="N55" i="96"/>
  <c r="N56" s="1"/>
  <c r="N67" i="94"/>
  <c r="S59"/>
  <c r="S65"/>
  <c r="M149" i="93"/>
  <c r="M185" s="1"/>
  <c r="M108" i="94" s="1"/>
  <c r="J187" i="93"/>
  <c r="J101" i="94"/>
  <c r="U137" i="93"/>
  <c r="U143"/>
  <c r="S137"/>
  <c r="S143"/>
  <c r="P137"/>
  <c r="P143"/>
  <c r="T137"/>
  <c r="T143"/>
  <c r="N145"/>
  <c r="Q143"/>
  <c r="R143" s="1"/>
  <c r="Q135"/>
  <c r="O137"/>
  <c r="F178"/>
  <c r="H178" s="1"/>
  <c r="H101" i="94" s="1"/>
  <c r="F99"/>
  <c r="M153" i="93"/>
  <c r="M76" i="94" s="1"/>
  <c r="K187" i="93"/>
  <c r="K101" i="94"/>
  <c r="G187" i="93"/>
  <c r="G101" i="94"/>
  <c r="M71"/>
  <c r="M72" s="1"/>
  <c r="S53"/>
  <c r="T65" i="92"/>
  <c r="U65"/>
  <c r="U53" i="94"/>
  <c r="U57"/>
  <c r="V135" i="93"/>
  <c r="S144"/>
  <c r="S66" i="94" s="1"/>
  <c r="O57"/>
  <c r="O53"/>
  <c r="W50"/>
  <c r="O144" i="93"/>
  <c r="O65" i="92"/>
  <c r="R154" i="91"/>
  <c r="R62" i="92" s="1"/>
  <c r="Q62"/>
  <c r="P144" i="93"/>
  <c r="P66" i="94" s="1"/>
  <c r="T144" i="93"/>
  <c r="T66" i="94" s="1"/>
  <c r="N153" i="93"/>
  <c r="U144"/>
  <c r="U66" i="94" s="1"/>
  <c r="Q46" i="95"/>
  <c r="V65" i="92"/>
  <c r="Q49" i="95" s="1"/>
  <c r="S65" i="92"/>
  <c r="V53" i="94"/>
  <c r="R41" i="96" s="1"/>
  <c r="R38"/>
  <c r="R128" i="93"/>
  <c r="R50" i="94" s="1"/>
  <c r="R53" s="1"/>
  <c r="Q50"/>
  <c r="P65" i="92"/>
  <c r="P53" i="94"/>
  <c r="P57"/>
  <c r="T57"/>
  <c r="T53"/>
  <c r="W62" i="92"/>
  <c r="W135" i="93"/>
  <c r="M176"/>
  <c r="M99" i="94" s="1"/>
  <c r="L99"/>
  <c r="E188" i="93"/>
  <c r="E111" i="94" s="1"/>
  <c r="E110"/>
  <c r="L178" i="93"/>
  <c r="I187"/>
  <c r="D73" i="92"/>
  <c r="B71"/>
  <c r="B52"/>
  <c r="V66" i="94" l="1"/>
  <c r="R50" i="96" s="1"/>
  <c r="I14" i="99"/>
  <c r="J14" s="1"/>
  <c r="H17"/>
  <c r="I17" s="1"/>
  <c r="AB121" i="116"/>
  <c r="AD121" s="1"/>
  <c r="AD119"/>
  <c r="T176"/>
  <c r="V125"/>
  <c r="V176" s="1"/>
  <c r="J17" i="99"/>
  <c r="N71" i="94"/>
  <c r="N69"/>
  <c r="O53" i="96"/>
  <c r="O55"/>
  <c r="M56"/>
  <c r="O145" i="93"/>
  <c r="O66" i="94"/>
  <c r="Q66" s="1"/>
  <c r="S67"/>
  <c r="T59"/>
  <c r="T65"/>
  <c r="O59"/>
  <c r="O65"/>
  <c r="P59"/>
  <c r="P65"/>
  <c r="P67" s="1"/>
  <c r="U59"/>
  <c r="U65"/>
  <c r="U67" s="1"/>
  <c r="W143" i="93"/>
  <c r="O146"/>
  <c r="O148"/>
  <c r="O149" s="1"/>
  <c r="N148"/>
  <c r="N149" s="1"/>
  <c r="N146"/>
  <c r="N162" s="1"/>
  <c r="N85" i="94" s="1"/>
  <c r="J188" i="93"/>
  <c r="J111" i="94" s="1"/>
  <c r="J110"/>
  <c r="S145" i="93"/>
  <c r="V143"/>
  <c r="T145"/>
  <c r="P145"/>
  <c r="P153" s="1"/>
  <c r="P76" i="94" s="1"/>
  <c r="U145" i="93"/>
  <c r="W137"/>
  <c r="V137"/>
  <c r="F187"/>
  <c r="F101" i="94"/>
  <c r="R135" i="93"/>
  <c r="Q137"/>
  <c r="H187"/>
  <c r="H188" s="1"/>
  <c r="H111" i="94" s="1"/>
  <c r="M178" i="93"/>
  <c r="M101" i="94" s="1"/>
  <c r="B73" i="92"/>
  <c r="B78"/>
  <c r="Q144" i="93"/>
  <c r="R144" s="1"/>
  <c r="K110" i="94"/>
  <c r="K188" i="93"/>
  <c r="K111" i="94" s="1"/>
  <c r="G188" i="93"/>
  <c r="G111" i="94" s="1"/>
  <c r="G110"/>
  <c r="W65" i="92"/>
  <c r="V57" i="94"/>
  <c r="V59" s="1"/>
  <c r="R47" i="96" s="1"/>
  <c r="N76" i="94"/>
  <c r="R65" i="92"/>
  <c r="S153" i="93"/>
  <c r="V144"/>
  <c r="Q53" i="94"/>
  <c r="P41" i="96" s="1"/>
  <c r="Q41" s="1"/>
  <c r="S41" s="1"/>
  <c r="P38"/>
  <c r="Q38" s="1"/>
  <c r="S38" s="1"/>
  <c r="N185" i="93"/>
  <c r="N108" i="94" s="1"/>
  <c r="N176" i="93"/>
  <c r="O46" i="95"/>
  <c r="P46" s="1"/>
  <c r="R46" s="1"/>
  <c r="Q65" i="92"/>
  <c r="O49" i="95" s="1"/>
  <c r="P49" s="1"/>
  <c r="R49" s="1"/>
  <c r="Q57" i="94"/>
  <c r="Q59" s="1"/>
  <c r="P47" i="96" s="1"/>
  <c r="W57" i="94"/>
  <c r="W53"/>
  <c r="W144" i="93"/>
  <c r="L187"/>
  <c r="L101" i="94"/>
  <c r="H110"/>
  <c r="I188" i="93"/>
  <c r="I111" i="94" s="1"/>
  <c r="I110"/>
  <c r="N72" l="1"/>
  <c r="K14" i="99"/>
  <c r="K17" s="1"/>
  <c r="AB176" i="116"/>
  <c r="AD125"/>
  <c r="AD176" s="1"/>
  <c r="U69" i="94"/>
  <c r="U71"/>
  <c r="P71"/>
  <c r="P69"/>
  <c r="V65"/>
  <c r="R49" i="96" s="1"/>
  <c r="T67" i="94"/>
  <c r="S69"/>
  <c r="S71"/>
  <c r="O67"/>
  <c r="R66"/>
  <c r="P50" i="96"/>
  <c r="Q50" s="1"/>
  <c r="S50" s="1"/>
  <c r="O56"/>
  <c r="Q65" i="94"/>
  <c r="W65"/>
  <c r="W59"/>
  <c r="M187" i="93"/>
  <c r="M110" i="94" s="1"/>
  <c r="U146" i="93"/>
  <c r="U148"/>
  <c r="U149" s="1"/>
  <c r="T148"/>
  <c r="T149" s="1"/>
  <c r="T146"/>
  <c r="S146"/>
  <c r="S162" s="1"/>
  <c r="S85" i="94" s="1"/>
  <c r="S148" i="93"/>
  <c r="S149" s="1"/>
  <c r="S185" s="1"/>
  <c r="S108" i="94" s="1"/>
  <c r="P148" i="93"/>
  <c r="P149" s="1"/>
  <c r="P146"/>
  <c r="P162" s="1"/>
  <c r="P85" i="94" s="1"/>
  <c r="T153" i="93"/>
  <c r="T76" i="94" s="1"/>
  <c r="U162" i="93"/>
  <c r="U85" i="94" s="1"/>
  <c r="R137" i="93"/>
  <c r="F188"/>
  <c r="F111" i="94" s="1"/>
  <c r="F110"/>
  <c r="U153" i="93"/>
  <c r="U76" i="94" s="1"/>
  <c r="V145" i="93"/>
  <c r="T162"/>
  <c r="T85" i="94" s="1"/>
  <c r="R57"/>
  <c r="P45" i="96"/>
  <c r="F26" i="98" s="1"/>
  <c r="F29" s="1"/>
  <c r="F32" s="1"/>
  <c r="W66" i="94"/>
  <c r="P176" i="93"/>
  <c r="P185"/>
  <c r="P108" i="94" s="1"/>
  <c r="V67"/>
  <c r="V148" i="93"/>
  <c r="U185"/>
  <c r="U108" i="94" s="1"/>
  <c r="R45" i="96"/>
  <c r="H26" i="98" s="1"/>
  <c r="H29" s="1"/>
  <c r="H32" s="1"/>
  <c r="O162" i="93"/>
  <c r="O85" i="94" s="1"/>
  <c r="O153" i="93"/>
  <c r="Q145"/>
  <c r="Q146" s="1"/>
  <c r="W145"/>
  <c r="N99" i="94"/>
  <c r="N178" i="93"/>
  <c r="S76" i="94"/>
  <c r="V153" i="93"/>
  <c r="V76" i="94" s="1"/>
  <c r="T176" i="93"/>
  <c r="T185"/>
  <c r="T108" i="94" s="1"/>
  <c r="M188" i="93"/>
  <c r="M111" i="94" s="1"/>
  <c r="L188" i="93"/>
  <c r="L111" i="94" s="1"/>
  <c r="L110"/>
  <c r="U176" i="93" l="1"/>
  <c r="S176"/>
  <c r="P72" i="94"/>
  <c r="M14" i="99"/>
  <c r="M17" s="1"/>
  <c r="S72" i="94"/>
  <c r="P14" i="99"/>
  <c r="U72" i="94"/>
  <c r="R14" i="99"/>
  <c r="R17" s="1"/>
  <c r="R51" i="96"/>
  <c r="V69" i="94"/>
  <c r="O69"/>
  <c r="O71"/>
  <c r="R65"/>
  <c r="P49" i="96"/>
  <c r="T71" i="94"/>
  <c r="T69"/>
  <c r="R59"/>
  <c r="V149" i="93"/>
  <c r="V185" s="1"/>
  <c r="V108" i="94" s="1"/>
  <c r="W146" i="93"/>
  <c r="W162" s="1"/>
  <c r="V146"/>
  <c r="V162" s="1"/>
  <c r="V85" i="94" s="1"/>
  <c r="Q162" i="93"/>
  <c r="Q85" i="94" s="1"/>
  <c r="R145" i="93"/>
  <c r="V71" i="94"/>
  <c r="P178" i="93"/>
  <c r="P99" i="94"/>
  <c r="W67"/>
  <c r="Q67"/>
  <c r="T99"/>
  <c r="T178" i="93"/>
  <c r="N101" i="94"/>
  <c r="N187" i="93"/>
  <c r="O76" i="94"/>
  <c r="W76" s="1"/>
  <c r="Q153" i="93"/>
  <c r="W153"/>
  <c r="W148"/>
  <c r="O185"/>
  <c r="O108" i="94" s="1"/>
  <c r="O176" i="93"/>
  <c r="Q148"/>
  <c r="Q149" s="1"/>
  <c r="U178"/>
  <c r="U99" i="94"/>
  <c r="S99"/>
  <c r="S178" i="93"/>
  <c r="V176"/>
  <c r="V99" i="94" s="1"/>
  <c r="Q45" i="96"/>
  <c r="Q47" s="1"/>
  <c r="T72" i="94" l="1"/>
  <c r="Q14" i="99"/>
  <c r="Q17" s="1"/>
  <c r="S17" s="1"/>
  <c r="O72" i="94"/>
  <c r="L14" i="99"/>
  <c r="P17"/>
  <c r="S14"/>
  <c r="W69" i="94"/>
  <c r="W85" s="1"/>
  <c r="Q49" i="96"/>
  <c r="S49" s="1"/>
  <c r="R53"/>
  <c r="Q69" i="94"/>
  <c r="P51" i="96"/>
  <c r="V72" i="94"/>
  <c r="R55" i="96"/>
  <c r="R56" s="1"/>
  <c r="W149" i="93"/>
  <c r="W185" s="1"/>
  <c r="R146"/>
  <c r="R162" s="1"/>
  <c r="R85" i="94" s="1"/>
  <c r="G26" i="98"/>
  <c r="U187" i="93"/>
  <c r="U101" i="94"/>
  <c r="O99"/>
  <c r="W99" s="1"/>
  <c r="W176" i="93"/>
  <c r="Q176"/>
  <c r="O178"/>
  <c r="Q76" i="94"/>
  <c r="R153" i="93"/>
  <c r="R76" i="94" s="1"/>
  <c r="N110"/>
  <c r="N188" i="93"/>
  <c r="N111" i="94" s="1"/>
  <c r="T101"/>
  <c r="T187" i="93"/>
  <c r="P187"/>
  <c r="P101" i="94"/>
  <c r="S45" i="96"/>
  <c r="S101" i="94"/>
  <c r="V178" i="93"/>
  <c r="S187"/>
  <c r="Q185"/>
  <c r="Q108" i="94" s="1"/>
  <c r="R148" i="93"/>
  <c r="R67" i="94"/>
  <c r="R69" s="1"/>
  <c r="Q71"/>
  <c r="W71"/>
  <c r="L17" i="99" l="1"/>
  <c r="N17" s="1"/>
  <c r="O17" s="1"/>
  <c r="T17" s="1"/>
  <c r="N14"/>
  <c r="O14" s="1"/>
  <c r="T14" s="1"/>
  <c r="W72" i="94"/>
  <c r="W108" s="1"/>
  <c r="P55" i="96"/>
  <c r="Q72" i="94"/>
  <c r="G29" i="98"/>
  <c r="P53" i="96"/>
  <c r="Q51"/>
  <c r="S47"/>
  <c r="R149" i="93"/>
  <c r="R185" s="1"/>
  <c r="R108" i="94" s="1"/>
  <c r="S110"/>
  <c r="S188" i="93"/>
  <c r="S111" i="94" s="1"/>
  <c r="T110"/>
  <c r="T188" i="93"/>
  <c r="T111" i="94" s="1"/>
  <c r="O187" i="93"/>
  <c r="W178"/>
  <c r="W187" s="1"/>
  <c r="W188" s="1"/>
  <c r="O101" i="94"/>
  <c r="W101" s="1"/>
  <c r="W110" s="1"/>
  <c r="W111" s="1"/>
  <c r="Q178" i="93"/>
  <c r="R71" i="94"/>
  <c r="R72" s="1"/>
  <c r="V101"/>
  <c r="V187" i="93"/>
  <c r="P188"/>
  <c r="P111" i="94" s="1"/>
  <c r="P110"/>
  <c r="Q99"/>
  <c r="R176" i="93"/>
  <c r="R99" i="94" s="1"/>
  <c r="I26" i="98"/>
  <c r="U188" i="93"/>
  <c r="U111" i="94" s="1"/>
  <c r="U110"/>
  <c r="I29" i="98" l="1"/>
  <c r="I32" s="1"/>
  <c r="G32"/>
  <c r="S51" i="96"/>
  <c r="Q53"/>
  <c r="P56"/>
  <c r="Q55"/>
  <c r="V188" i="93"/>
  <c r="V111" i="94" s="1"/>
  <c r="V110"/>
  <c r="O110"/>
  <c r="O188" i="93"/>
  <c r="O111" i="94" s="1"/>
  <c r="R178" i="93"/>
  <c r="Q101" i="94"/>
  <c r="Q187" i="93"/>
  <c r="S55" i="96" l="1"/>
  <c r="S56" s="1"/>
  <c r="Q56"/>
  <c r="S53"/>
  <c r="Q110" i="94"/>
  <c r="Q188" i="93"/>
  <c r="Q111" i="94" s="1"/>
  <c r="R187" i="93"/>
  <c r="R101" i="94"/>
  <c r="B155" i="93"/>
  <c r="E163"/>
  <c r="R188" l="1"/>
  <c r="R111" i="94" s="1"/>
  <c r="R110"/>
  <c r="Q163" i="93"/>
  <c r="Q86" i="94" s="1"/>
  <c r="E86"/>
  <c r="W86" s="1"/>
  <c r="B164" i="93"/>
  <c r="B78" i="94"/>
  <c r="S163" i="93"/>
  <c r="I163"/>
  <c r="T163"/>
  <c r="P163"/>
  <c r="J163"/>
  <c r="G163"/>
  <c r="H163"/>
  <c r="H86" i="94" s="1"/>
  <c r="R163" i="93"/>
  <c r="R86" i="94" s="1"/>
  <c r="L163" i="93"/>
  <c r="L86" i="94" s="1"/>
  <c r="V163" i="93"/>
  <c r="V86" i="94" s="1"/>
  <c r="E154" i="93"/>
  <c r="E77" i="94" s="1"/>
  <c r="N163" i="93"/>
  <c r="U163"/>
  <c r="O163"/>
  <c r="F163"/>
  <c r="K163"/>
  <c r="M163"/>
  <c r="M86" i="94" s="1"/>
  <c r="J154" i="93" l="1"/>
  <c r="J86" i="94"/>
  <c r="K154" i="93"/>
  <c r="K86" i="94"/>
  <c r="O154" i="93"/>
  <c r="O86" i="94"/>
  <c r="N154" i="93"/>
  <c r="N77" i="94" s="1"/>
  <c r="N86"/>
  <c r="G154" i="93"/>
  <c r="G86" i="94"/>
  <c r="P154" i="93"/>
  <c r="P86" i="94"/>
  <c r="I154" i="93"/>
  <c r="I77" i="94" s="1"/>
  <c r="I86"/>
  <c r="S154" i="93"/>
  <c r="S86" i="94"/>
  <c r="B165" i="93"/>
  <c r="B88" i="94" s="1"/>
  <c r="B87"/>
  <c r="F154" i="93"/>
  <c r="H154" s="1"/>
  <c r="F86" i="94"/>
  <c r="U154" i="93"/>
  <c r="U86" i="94"/>
  <c r="T154" i="93"/>
  <c r="V154" s="1"/>
  <c r="V77" i="94" s="1"/>
  <c r="T86"/>
  <c r="E155" i="93"/>
  <c r="E78" i="94" s="1"/>
  <c r="N155" i="93" l="1"/>
  <c r="N78" i="94" s="1"/>
  <c r="W154" i="93"/>
  <c r="L154"/>
  <c r="L77" i="94" s="1"/>
  <c r="I155" i="93"/>
  <c r="I78" i="94" s="1"/>
  <c r="Q154" i="93"/>
  <c r="Q77" i="94" s="1"/>
  <c r="H77"/>
  <c r="U155" i="93"/>
  <c r="U77" i="94"/>
  <c r="S77"/>
  <c r="S155" i="93"/>
  <c r="P155"/>
  <c r="P77" i="94"/>
  <c r="G155" i="93"/>
  <c r="G77" i="94"/>
  <c r="O155" i="93"/>
  <c r="O77" i="94"/>
  <c r="K155" i="93"/>
  <c r="K77" i="94"/>
  <c r="J155" i="93"/>
  <c r="J77" i="94"/>
  <c r="T155" i="93"/>
  <c r="T77" i="94"/>
  <c r="F155" i="93"/>
  <c r="F77" i="94"/>
  <c r="E164" i="93"/>
  <c r="N164"/>
  <c r="Q155" l="1"/>
  <c r="Q164" s="1"/>
  <c r="H155"/>
  <c r="H78" i="94" s="1"/>
  <c r="I164" i="93"/>
  <c r="I165" s="1"/>
  <c r="I88" i="94" s="1"/>
  <c r="L155" i="93"/>
  <c r="L164" s="1"/>
  <c r="M154"/>
  <c r="R154" s="1"/>
  <c r="R77" i="94" s="1"/>
  <c r="W155" i="93"/>
  <c r="W164" s="1"/>
  <c r="W165" s="1"/>
  <c r="W77" i="94"/>
  <c r="N165" i="93"/>
  <c r="N88" i="94" s="1"/>
  <c r="N87"/>
  <c r="E165" i="93"/>
  <c r="E88" i="94" s="1"/>
  <c r="E87"/>
  <c r="F164" i="93"/>
  <c r="F78" i="94"/>
  <c r="T164" i="93"/>
  <c r="T78" i="94"/>
  <c r="J164" i="93"/>
  <c r="J78" i="94"/>
  <c r="K164" i="93"/>
  <c r="K78" i="94"/>
  <c r="O164" i="93"/>
  <c r="O78" i="94"/>
  <c r="G164" i="93"/>
  <c r="G78" i="94"/>
  <c r="P164" i="93"/>
  <c r="P78" i="94"/>
  <c r="U164" i="93"/>
  <c r="U78" i="94"/>
  <c r="S78"/>
  <c r="S164" i="93"/>
  <c r="V155"/>
  <c r="Q78" i="94" l="1"/>
  <c r="H164" i="93"/>
  <c r="H165" s="1"/>
  <c r="H88" i="94" s="1"/>
  <c r="I87"/>
  <c r="M155" i="93"/>
  <c r="M78" i="94" s="1"/>
  <c r="L78"/>
  <c r="M77"/>
  <c r="V164" i="93"/>
  <c r="V78" i="94"/>
  <c r="L165" i="93"/>
  <c r="L88" i="94" s="1"/>
  <c r="L87"/>
  <c r="U165" i="93"/>
  <c r="U88" i="94" s="1"/>
  <c r="U87"/>
  <c r="P165" i="93"/>
  <c r="P88" i="94" s="1"/>
  <c r="P87"/>
  <c r="G165" i="93"/>
  <c r="G88" i="94" s="1"/>
  <c r="G87"/>
  <c r="O165" i="93"/>
  <c r="O88" i="94" s="1"/>
  <c r="O87"/>
  <c r="K165" i="93"/>
  <c r="K88" i="94" s="1"/>
  <c r="K87"/>
  <c r="J165" i="93"/>
  <c r="J88" i="94" s="1"/>
  <c r="J87"/>
  <c r="T165" i="93"/>
  <c r="T88" i="94" s="1"/>
  <c r="T87"/>
  <c r="F165" i="93"/>
  <c r="F88" i="94" s="1"/>
  <c r="F87"/>
  <c r="Q165" i="93"/>
  <c r="Q88" i="94" s="1"/>
  <c r="Q87"/>
  <c r="S165" i="93"/>
  <c r="S88" i="94" s="1"/>
  <c r="S87"/>
  <c r="W78"/>
  <c r="W87" s="1"/>
  <c r="W88" s="1"/>
  <c r="R155" i="93" l="1"/>
  <c r="R164" s="1"/>
  <c r="H87" i="94"/>
  <c r="M164" i="93"/>
  <c r="M165" s="1"/>
  <c r="M88" i="94" s="1"/>
  <c r="V165" i="93"/>
  <c r="V88" i="94" s="1"/>
  <c r="V87"/>
  <c r="M87" l="1"/>
  <c r="R78"/>
  <c r="R165" i="93"/>
  <c r="R88" i="94" s="1"/>
  <c r="R87"/>
  <c r="H21" i="87"/>
  <c r="H23" i="90" s="1"/>
  <c r="BE23" i="19"/>
  <c r="H21" i="85" l="1"/>
  <c r="H23" i="89" s="1"/>
  <c r="CJ23" i="19"/>
  <c r="H11" i="87"/>
  <c r="H13" i="90" s="1"/>
  <c r="H12" s="1"/>
  <c r="H24" s="1"/>
  <c r="H10" i="87" l="1"/>
  <c r="H9" s="1"/>
  <c r="H9" i="90"/>
  <c r="H42" s="1"/>
  <c r="H22" i="87" l="1"/>
  <c r="H10" i="90"/>
  <c r="H43" s="1"/>
  <c r="H36" i="87"/>
  <c r="BD49" i="19"/>
  <c r="BF50" s="1"/>
  <c r="BE49"/>
  <c r="BE50" l="1"/>
  <c r="CJ49"/>
  <c r="BR121" i="7" l="1"/>
  <c r="BR124" s="1"/>
  <c r="BS48"/>
  <c r="BT48" s="1"/>
  <c r="BR51"/>
  <c r="BT51" l="1"/>
  <c r="BT121"/>
  <c r="BS51"/>
  <c r="BS121"/>
  <c r="BR59"/>
  <c r="BR57"/>
  <c r="BR60"/>
  <c r="BR130"/>
  <c r="BR132"/>
  <c r="H11" i="85" l="1"/>
  <c r="BS124" i="7"/>
  <c r="H11" i="86"/>
  <c r="H10" s="1"/>
  <c r="BT124" i="7"/>
  <c r="BR133"/>
  <c r="BR135"/>
  <c r="BR136" s="1"/>
  <c r="BS59"/>
  <c r="BS62"/>
  <c r="BS57"/>
  <c r="BS60" s="1"/>
  <c r="BT57"/>
  <c r="BT59"/>
  <c r="BT62"/>
  <c r="BT63" s="1"/>
  <c r="BT60"/>
  <c r="BS63" l="1"/>
  <c r="BR62"/>
  <c r="BR63" s="1"/>
  <c r="BT130"/>
  <c r="BT132"/>
  <c r="H9" i="86"/>
  <c r="H22"/>
  <c r="H10" i="85"/>
  <c r="H13" i="89"/>
  <c r="H12" s="1"/>
  <c r="BS130" i="7"/>
  <c r="BS132"/>
  <c r="BS133" l="1"/>
  <c r="BS135"/>
  <c r="BS136" s="1"/>
  <c r="H9" i="89"/>
  <c r="H41" s="1"/>
  <c r="H24"/>
  <c r="BT133" i="7"/>
  <c r="BT135"/>
  <c r="BT136" s="1"/>
  <c r="H22" i="85"/>
  <c r="H9"/>
  <c r="H35" i="86"/>
  <c r="H11" i="89"/>
  <c r="H48" s="1"/>
  <c r="H10" l="1"/>
  <c r="H42" s="1"/>
  <c r="H35" i="85"/>
  <c r="CN47" i="7"/>
  <c r="CP43"/>
  <c r="CM43"/>
  <c r="CN43" s="1"/>
  <c r="CM120" l="1"/>
  <c r="CN120" s="1"/>
  <c r="CP51"/>
  <c r="CP120"/>
  <c r="CM124"/>
  <c r="CN124" s="1"/>
  <c r="CO43"/>
  <c r="Q13" i="85" l="1"/>
  <c r="Q10" s="1"/>
  <c r="CP124" i="7"/>
  <c r="CP130" s="1"/>
  <c r="P15" i="86"/>
  <c r="P13" s="1"/>
  <c r="P10" s="1"/>
  <c r="P22" s="1"/>
  <c r="CM130" i="7"/>
  <c r="CN130" s="1"/>
  <c r="CP57"/>
  <c r="CP58"/>
  <c r="CO120"/>
  <c r="Q13" i="86" s="1"/>
  <c r="Q10" s="1"/>
  <c r="CO51" i="7"/>
  <c r="Q17" i="89" l="1"/>
  <c r="Q15" s="1"/>
  <c r="Q12" s="1"/>
  <c r="CP131" i="7"/>
  <c r="P27" i="86" s="1"/>
  <c r="P9" s="1"/>
  <c r="CO124" i="7"/>
  <c r="CO130" s="1"/>
  <c r="P15" i="85"/>
  <c r="CP59" i="7"/>
  <c r="CP62"/>
  <c r="CP63" s="1"/>
  <c r="CP60"/>
  <c r="CO57"/>
  <c r="CO58"/>
  <c r="CM51"/>
  <c r="CP132" l="1"/>
  <c r="CP135" s="1"/>
  <c r="CP136" s="1"/>
  <c r="CP133"/>
  <c r="P13" i="85"/>
  <c r="P10" s="1"/>
  <c r="P22" s="1"/>
  <c r="P17" i="89"/>
  <c r="P15" s="1"/>
  <c r="P12" s="1"/>
  <c r="P24" s="1"/>
  <c r="CO62" i="7"/>
  <c r="CO63" s="1"/>
  <c r="P27" i="85"/>
  <c r="P35" i="86"/>
  <c r="P37" s="1"/>
  <c r="P40" s="1"/>
  <c r="P11" i="89"/>
  <c r="P48" s="1"/>
  <c r="P50" s="1"/>
  <c r="P53" s="1"/>
  <c r="CM57" i="7"/>
  <c r="CN57" s="1"/>
  <c r="CN51"/>
  <c r="CM58"/>
  <c r="CO131"/>
  <c r="CO59"/>
  <c r="CO60"/>
  <c r="CO132" l="1"/>
  <c r="CO135" s="1"/>
  <c r="CO136" s="1"/>
  <c r="CO138" s="1"/>
  <c r="CO139" s="1"/>
  <c r="CM60"/>
  <c r="CN60" s="1"/>
  <c r="P9" i="85"/>
  <c r="P29" i="89"/>
  <c r="P9" s="1"/>
  <c r="P41" s="1"/>
  <c r="CM59" i="7"/>
  <c r="CN59" s="1"/>
  <c r="CN58"/>
  <c r="CM131"/>
  <c r="CN131" s="1"/>
  <c r="CM62"/>
  <c r="CO133" l="1"/>
  <c r="P35" i="85"/>
  <c r="P37" s="1"/>
  <c r="P10" i="89"/>
  <c r="P42" s="1"/>
  <c r="P44" s="1"/>
  <c r="CM132" i="7"/>
  <c r="CN132" s="1"/>
  <c r="CM63"/>
  <c r="CN63" s="1"/>
  <c r="CN62"/>
  <c r="P46" i="85" l="1"/>
  <c r="P40"/>
  <c r="P47" i="89"/>
  <c r="P59"/>
  <c r="CM133" i="7"/>
  <c r="CN133" s="1"/>
  <c r="CM135"/>
  <c r="CN135" s="1"/>
  <c r="CM136" l="1"/>
  <c r="CN136" s="1"/>
  <c r="CD15"/>
  <c r="CD8" s="1"/>
  <c r="CE33" l="1"/>
  <c r="CE27" s="1"/>
  <c r="CD33"/>
  <c r="CF33"/>
  <c r="CD41" l="1"/>
  <c r="CD35" s="1"/>
  <c r="CE41"/>
  <c r="CE35" s="1"/>
  <c r="CF41"/>
  <c r="CF35" s="1"/>
  <c r="CD43" l="1"/>
  <c r="CD120" s="1"/>
  <c r="CD124" s="1"/>
  <c r="CD130" s="1"/>
  <c r="CE47"/>
  <c r="CE43" s="1"/>
  <c r="CE120" s="1"/>
  <c r="CE15"/>
  <c r="CE8" s="1"/>
  <c r="CF14"/>
  <c r="L15" i="85" l="1"/>
  <c r="CE124" i="7"/>
  <c r="CF15"/>
  <c r="CF8" s="1"/>
  <c r="CF117"/>
  <c r="CF47"/>
  <c r="CF43" s="1"/>
  <c r="CE132" l="1"/>
  <c r="CE130"/>
  <c r="CF120"/>
  <c r="L15" i="86" s="1"/>
  <c r="L13" s="1"/>
  <c r="L13" i="85"/>
  <c r="L10" s="1"/>
  <c r="L17" i="89"/>
  <c r="L15" s="1"/>
  <c r="L11" i="86"/>
  <c r="CF124" i="7"/>
  <c r="CD27"/>
  <c r="CF27"/>
  <c r="CF51" s="1"/>
  <c r="L10" i="86" l="1"/>
  <c r="L13" i="89"/>
  <c r="L12" s="1"/>
  <c r="L22" i="85"/>
  <c r="L9"/>
  <c r="CE133" i="7"/>
  <c r="CE135"/>
  <c r="CE136" s="1"/>
  <c r="CF132"/>
  <c r="CF130"/>
  <c r="CF57"/>
  <c r="CD131"/>
  <c r="CD132" s="1"/>
  <c r="L35" i="85" l="1"/>
  <c r="L10" i="89"/>
  <c r="L42" s="1"/>
  <c r="CF133" i="7"/>
  <c r="CF135"/>
  <c r="CF136" s="1"/>
  <c r="L22" i="86"/>
  <c r="L9"/>
  <c r="L24" i="89"/>
  <c r="L9"/>
  <c r="L41" s="1"/>
  <c r="CD135" i="7"/>
  <c r="CD136" s="1"/>
  <c r="CD133"/>
  <c r="CF60"/>
  <c r="CF62"/>
  <c r="CF63" s="1"/>
  <c r="CF59"/>
  <c r="CD21"/>
  <c r="CD17" s="1"/>
  <c r="CE17"/>
  <c r="CE51" s="1"/>
  <c r="L35" i="86" l="1"/>
  <c r="L11" i="89"/>
  <c r="L48" s="1"/>
  <c r="CD51" i="7"/>
  <c r="CE57"/>
  <c r="CE60"/>
  <c r="CE62"/>
  <c r="CE63" s="1"/>
  <c r="CD60" l="1"/>
  <c r="CD57"/>
  <c r="CD59"/>
  <c r="CD62"/>
  <c r="CD63" s="1"/>
  <c r="CE59"/>
  <c r="CQ30"/>
  <c r="CQ27" s="1"/>
  <c r="CS27"/>
  <c r="CS51" s="1"/>
  <c r="C163" i="91" s="1"/>
  <c r="C170" s="1"/>
  <c r="CT29" i="7"/>
  <c r="CT114" s="1"/>
  <c r="CS114"/>
  <c r="CS124" s="1"/>
  <c r="K21" i="85"/>
  <c r="K22" s="1"/>
  <c r="CT124" i="7" l="1"/>
  <c r="CT128" s="1"/>
  <c r="K21" i="86"/>
  <c r="Q21"/>
  <c r="CS130" i="7"/>
  <c r="CS128"/>
  <c r="CS57"/>
  <c r="C165" i="91" s="1"/>
  <c r="CS58" i="7"/>
  <c r="C171" i="91" s="1"/>
  <c r="C79" i="92" s="1"/>
  <c r="C80" s="1"/>
  <c r="CS55" i="7"/>
  <c r="CR27"/>
  <c r="CQ51"/>
  <c r="B163" i="91" s="1"/>
  <c r="B170" s="1"/>
  <c r="Q21" i="85"/>
  <c r="K23" i="89"/>
  <c r="CT27" i="7"/>
  <c r="CT51" s="1"/>
  <c r="D163" i="91" s="1"/>
  <c r="D170" s="1"/>
  <c r="C83" i="92" l="1"/>
  <c r="C84" s="1"/>
  <c r="C81"/>
  <c r="CT55" i="7"/>
  <c r="CT58"/>
  <c r="Q23" i="89"/>
  <c r="Q22" i="85"/>
  <c r="CQ55" i="7"/>
  <c r="CR51"/>
  <c r="CQ57"/>
  <c r="CS59"/>
  <c r="C172" i="91" s="1"/>
  <c r="C180" s="1"/>
  <c r="C88" i="92" s="1"/>
  <c r="CS62" i="7"/>
  <c r="CS60"/>
  <c r="C173" i="91" s="1"/>
  <c r="C189" s="1"/>
  <c r="Q22" i="86"/>
  <c r="CT130" i="7"/>
  <c r="K24" i="89"/>
  <c r="CS131" i="7"/>
  <c r="CS132" s="1"/>
  <c r="K27" i="85"/>
  <c r="Q27"/>
  <c r="K22" i="86"/>
  <c r="C97" i="92" l="1"/>
  <c r="C191" i="91"/>
  <c r="CT131" i="7"/>
  <c r="CT132" s="1"/>
  <c r="D171" i="91"/>
  <c r="D79" i="92" s="1"/>
  <c r="D80" s="1"/>
  <c r="CS63" i="7"/>
  <c r="C176" i="91" s="1"/>
  <c r="C212" s="1"/>
  <c r="C120" i="92" s="1"/>
  <c r="C175" i="91"/>
  <c r="C203" s="1"/>
  <c r="CR57" i="7"/>
  <c r="B165" i="91"/>
  <c r="CT135" i="7"/>
  <c r="CT136" s="1"/>
  <c r="CT138" s="1"/>
  <c r="CT139" s="1"/>
  <c r="CT133"/>
  <c r="CS133"/>
  <c r="CS135"/>
  <c r="CS136" s="1"/>
  <c r="CS138" s="1"/>
  <c r="CS139" s="1"/>
  <c r="K9" i="85"/>
  <c r="Q24" i="89"/>
  <c r="CT57" i="7"/>
  <c r="D165" i="91" s="1"/>
  <c r="CT59" i="7"/>
  <c r="D172" i="91" s="1"/>
  <c r="D180" s="1"/>
  <c r="CT62" i="7"/>
  <c r="CT60"/>
  <c r="D173" i="91" s="1"/>
  <c r="D189" s="1"/>
  <c r="Q9" i="85"/>
  <c r="CQ58" i="7"/>
  <c r="B171" i="91" s="1"/>
  <c r="B79" i="92" s="1"/>
  <c r="K27" i="86"/>
  <c r="K9" s="1"/>
  <c r="Q27"/>
  <c r="Q9" s="1"/>
  <c r="D88" i="92" l="1"/>
  <c r="D182" i="91"/>
  <c r="D90" i="92" s="1"/>
  <c r="D83"/>
  <c r="D84" s="1"/>
  <c r="D81"/>
  <c r="B80"/>
  <c r="CT63" i="7"/>
  <c r="D176" i="91" s="1"/>
  <c r="D212" s="1"/>
  <c r="D120" i="92" s="1"/>
  <c r="D175" i="91"/>
  <c r="D203" s="1"/>
  <c r="D97" i="92"/>
  <c r="D191" i="91"/>
  <c r="C205"/>
  <c r="C111" i="92"/>
  <c r="C99"/>
  <c r="O199" i="91"/>
  <c r="O107" i="92" s="1"/>
  <c r="E199" i="91"/>
  <c r="N199"/>
  <c r="C199"/>
  <c r="C107" i="92" s="1"/>
  <c r="P199" i="91"/>
  <c r="P107" i="92" s="1"/>
  <c r="I199" i="91"/>
  <c r="K199"/>
  <c r="K107" i="92" s="1"/>
  <c r="S199" i="91"/>
  <c r="F199"/>
  <c r="F107" i="92" s="1"/>
  <c r="G199" i="91"/>
  <c r="G107" i="92" s="1"/>
  <c r="U199" i="91"/>
  <c r="U107" i="92" s="1"/>
  <c r="J199" i="91"/>
  <c r="J107" i="92" s="1"/>
  <c r="T199" i="91"/>
  <c r="T107" i="92" s="1"/>
  <c r="B199" i="91"/>
  <c r="B107" i="92" s="1"/>
  <c r="K29" i="89"/>
  <c r="K9" s="1"/>
  <c r="K41" s="1"/>
  <c r="Q32" i="86"/>
  <c r="Q11" i="89"/>
  <c r="CQ131" i="7"/>
  <c r="CQ132" s="1"/>
  <c r="CR58"/>
  <c r="K35" i="86"/>
  <c r="K37" s="1"/>
  <c r="K40" s="1"/>
  <c r="K11" i="89"/>
  <c r="K48" s="1"/>
  <c r="K50" s="1"/>
  <c r="Q10"/>
  <c r="Q32" i="85"/>
  <c r="K35"/>
  <c r="K37" s="1"/>
  <c r="K10" i="89"/>
  <c r="K42" s="1"/>
  <c r="K44" s="1"/>
  <c r="Q29"/>
  <c r="Q9" s="1"/>
  <c r="Q34" s="1"/>
  <c r="Q41" s="1"/>
  <c r="CQ60" i="7"/>
  <c r="CQ62"/>
  <c r="B175" i="91" s="1"/>
  <c r="B203" s="1"/>
  <c r="CQ59" i="7"/>
  <c r="B205" i="91" l="1"/>
  <c r="B111" i="92"/>
  <c r="CR59" i="7"/>
  <c r="B172" i="91"/>
  <c r="B180" s="1"/>
  <c r="B88" i="92" s="1"/>
  <c r="CR60" i="7"/>
  <c r="B173" i="91"/>
  <c r="B189" s="1"/>
  <c r="B97" i="92" s="1"/>
  <c r="N107"/>
  <c r="Q199" i="91"/>
  <c r="Q107" i="92" s="1"/>
  <c r="D99"/>
  <c r="D192" i="91"/>
  <c r="D100" i="92" s="1"/>
  <c r="D199" i="91"/>
  <c r="D111" i="92"/>
  <c r="D205" i="91"/>
  <c r="B83" i="92"/>
  <c r="B84" s="1"/>
  <c r="B81"/>
  <c r="S107"/>
  <c r="V199" i="91"/>
  <c r="V107" i="92" s="1"/>
  <c r="L199" i="91"/>
  <c r="L107" i="92" s="1"/>
  <c r="I107"/>
  <c r="E107"/>
  <c r="W199" i="91"/>
  <c r="H199"/>
  <c r="C113" i="92"/>
  <c r="C214" i="91"/>
  <c r="Q35" i="85"/>
  <c r="Q37" s="1"/>
  <c r="N39" i="91" s="1"/>
  <c r="Q35" i="89"/>
  <c r="Q42" s="1"/>
  <c r="Q35" i="86"/>
  <c r="Q37" s="1"/>
  <c r="Q36" i="89"/>
  <c r="Q48" s="1"/>
  <c r="K47"/>
  <c r="K59"/>
  <c r="Q46" i="85"/>
  <c r="Q40"/>
  <c r="CR62" i="7"/>
  <c r="CQ63"/>
  <c r="K40" i="85"/>
  <c r="K46"/>
  <c r="CR131" i="7"/>
  <c r="K53" i="89"/>
  <c r="W107" i="92" l="1"/>
  <c r="Q40" i="86"/>
  <c r="N40" i="91"/>
  <c r="N40" i="92"/>
  <c r="U39" i="91"/>
  <c r="S39"/>
  <c r="O39"/>
  <c r="T39"/>
  <c r="P39"/>
  <c r="N38"/>
  <c r="N28" s="1"/>
  <c r="N32"/>
  <c r="N33"/>
  <c r="N29"/>
  <c r="D214"/>
  <c r="D113" i="92"/>
  <c r="D107"/>
  <c r="D197" i="91"/>
  <c r="D105" i="92" s="1"/>
  <c r="B214" i="91"/>
  <c r="B113" i="92"/>
  <c r="CR63" i="7"/>
  <c r="B176" i="91"/>
  <c r="B212" s="1"/>
  <c r="B120" i="92" s="1"/>
  <c r="J222" i="91"/>
  <c r="P222"/>
  <c r="N222"/>
  <c r="B222"/>
  <c r="U222"/>
  <c r="G222"/>
  <c r="C122" i="92"/>
  <c r="K222" i="91"/>
  <c r="I222"/>
  <c r="C222"/>
  <c r="C215"/>
  <c r="C123" i="92" s="1"/>
  <c r="F222" i="91"/>
  <c r="O222"/>
  <c r="S222"/>
  <c r="E222"/>
  <c r="T222"/>
  <c r="H107" i="92"/>
  <c r="M199" i="91"/>
  <c r="CQ133" i="7"/>
  <c r="CR133" s="1"/>
  <c r="CR132"/>
  <c r="CQ135"/>
  <c r="Q50" i="89"/>
  <c r="Q53" s="1"/>
  <c r="Q44"/>
  <c r="Q47" s="1"/>
  <c r="T220" i="91" l="1"/>
  <c r="T128" i="92" s="1"/>
  <c r="T130"/>
  <c r="F130"/>
  <c r="F220" i="91"/>
  <c r="F128" i="92" s="1"/>
  <c r="K220" i="91"/>
  <c r="K128" i="92" s="1"/>
  <c r="K130"/>
  <c r="G220" i="91"/>
  <c r="G128" i="92" s="1"/>
  <c r="G130"/>
  <c r="E130"/>
  <c r="W222" i="91"/>
  <c r="H222"/>
  <c r="E220"/>
  <c r="O220"/>
  <c r="O128" i="92" s="1"/>
  <c r="O130"/>
  <c r="I130"/>
  <c r="L222" i="91"/>
  <c r="L130" i="92" s="1"/>
  <c r="I220" i="91"/>
  <c r="U220"/>
  <c r="U128" i="92" s="1"/>
  <c r="U130"/>
  <c r="N220" i="91"/>
  <c r="Q222"/>
  <c r="Q130" i="92" s="1"/>
  <c r="N130"/>
  <c r="J130"/>
  <c r="J220" i="91"/>
  <c r="J128" i="92" s="1"/>
  <c r="B215" i="91"/>
  <c r="B123" i="92" s="1"/>
  <c r="B122"/>
  <c r="D122"/>
  <c r="D215" i="91"/>
  <c r="D123" i="92" s="1"/>
  <c r="D222" i="91"/>
  <c r="T33"/>
  <c r="T38"/>
  <c r="T28" s="1"/>
  <c r="T32"/>
  <c r="T31" s="1"/>
  <c r="T29"/>
  <c r="S38"/>
  <c r="S28" s="1"/>
  <c r="S33"/>
  <c r="S32"/>
  <c r="S29"/>
  <c r="T40" i="92"/>
  <c r="P40"/>
  <c r="U40"/>
  <c r="S40"/>
  <c r="O40"/>
  <c r="N39"/>
  <c r="N29" s="1"/>
  <c r="N33"/>
  <c r="N34"/>
  <c r="N30"/>
  <c r="R199" i="91"/>
  <c r="R107" i="92" s="1"/>
  <c r="M107"/>
  <c r="S130"/>
  <c r="S220" i="91"/>
  <c r="V222"/>
  <c r="V130" i="92" s="1"/>
  <c r="C130"/>
  <c r="C220" i="91"/>
  <c r="C128" i="92" s="1"/>
  <c r="B220" i="91"/>
  <c r="B128" i="92" s="1"/>
  <c r="B130"/>
  <c r="P220" i="91"/>
  <c r="P128" i="92" s="1"/>
  <c r="P130"/>
  <c r="N31" i="91"/>
  <c r="Q39"/>
  <c r="R39" s="1"/>
  <c r="P38"/>
  <c r="P33"/>
  <c r="P32"/>
  <c r="P29"/>
  <c r="O38"/>
  <c r="O28" s="1"/>
  <c r="O33"/>
  <c r="Q33" s="1"/>
  <c r="O32"/>
  <c r="O29"/>
  <c r="V39"/>
  <c r="U33"/>
  <c r="U38"/>
  <c r="U32"/>
  <c r="U31" s="1"/>
  <c r="U29"/>
  <c r="N41" i="92"/>
  <c r="U40" i="91"/>
  <c r="S40"/>
  <c r="S30" s="1"/>
  <c r="O40"/>
  <c r="O30" s="1"/>
  <c r="T40"/>
  <c r="T30" s="1"/>
  <c r="T34" s="1"/>
  <c r="T36" s="1"/>
  <c r="P40"/>
  <c r="N30"/>
  <c r="Q59" i="89"/>
  <c r="CQ136" i="7"/>
  <c r="CR136" s="1"/>
  <c r="CR135"/>
  <c r="B10" i="111"/>
  <c r="Q10" s="1"/>
  <c r="Q11" s="1"/>
  <c r="W29" i="91" l="1"/>
  <c r="W39" s="1"/>
  <c r="R33"/>
  <c r="Q40"/>
  <c r="R40" s="1"/>
  <c r="P30"/>
  <c r="V40"/>
  <c r="U30"/>
  <c r="V38"/>
  <c r="U28"/>
  <c r="U34" s="1"/>
  <c r="U36" s="1"/>
  <c r="Q38"/>
  <c r="R38" s="1"/>
  <c r="P28"/>
  <c r="V220"/>
  <c r="V128" i="92" s="1"/>
  <c r="S128"/>
  <c r="N32"/>
  <c r="O39"/>
  <c r="O29" s="1"/>
  <c r="O33"/>
  <c r="O34"/>
  <c r="O30"/>
  <c r="V40"/>
  <c r="U39"/>
  <c r="U33"/>
  <c r="U34"/>
  <c r="U30"/>
  <c r="T39"/>
  <c r="T29" s="1"/>
  <c r="T33"/>
  <c r="T34"/>
  <c r="T30"/>
  <c r="V32" i="91"/>
  <c r="S31"/>
  <c r="V31" s="1"/>
  <c r="S34"/>
  <c r="D220"/>
  <c r="D128" i="92" s="1"/>
  <c r="D130"/>
  <c r="I128"/>
  <c r="L220" i="91"/>
  <c r="L128" i="92" s="1"/>
  <c r="M222" i="91"/>
  <c r="H130" i="92"/>
  <c r="V30" i="91"/>
  <c r="O31"/>
  <c r="P31"/>
  <c r="Q32"/>
  <c r="W32"/>
  <c r="Q29"/>
  <c r="W28"/>
  <c r="W38" s="1"/>
  <c r="W33"/>
  <c r="W130" i="92"/>
  <c r="S41"/>
  <c r="S31" s="1"/>
  <c r="T41"/>
  <c r="T31" s="1"/>
  <c r="P41"/>
  <c r="U41"/>
  <c r="O41"/>
  <c r="O31" s="1"/>
  <c r="N31"/>
  <c r="N35" s="1"/>
  <c r="S39"/>
  <c r="S29" s="1"/>
  <c r="S34"/>
  <c r="V34" s="1"/>
  <c r="S33"/>
  <c r="S30"/>
  <c r="V30" s="1"/>
  <c r="Q40"/>
  <c r="R40" s="1"/>
  <c r="P39"/>
  <c r="P33"/>
  <c r="P34"/>
  <c r="Q34" s="1"/>
  <c r="R34" s="1"/>
  <c r="P30"/>
  <c r="Q220" i="91"/>
  <c r="Q128" i="92" s="1"/>
  <c r="N128"/>
  <c r="H220" i="91"/>
  <c r="E128" i="92"/>
  <c r="W128" s="1"/>
  <c r="W220" i="91"/>
  <c r="V29"/>
  <c r="V33"/>
  <c r="C33" s="1"/>
  <c r="B33" s="1"/>
  <c r="N34"/>
  <c r="Q13" i="111"/>
  <c r="Q24"/>
  <c r="D10"/>
  <c r="D11" s="1"/>
  <c r="P10"/>
  <c r="P11" s="1"/>
  <c r="N10"/>
  <c r="N11" s="1"/>
  <c r="O10"/>
  <c r="O11" s="1"/>
  <c r="I10"/>
  <c r="I11" s="1"/>
  <c r="M10"/>
  <c r="M11" s="1"/>
  <c r="H10"/>
  <c r="H11" s="1"/>
  <c r="L10"/>
  <c r="L11" s="1"/>
  <c r="J10"/>
  <c r="J11" s="1"/>
  <c r="E10"/>
  <c r="E11" s="1"/>
  <c r="T10"/>
  <c r="T11" s="1"/>
  <c r="B11"/>
  <c r="R10"/>
  <c r="R11" s="1"/>
  <c r="K10"/>
  <c r="K11" s="1"/>
  <c r="C10"/>
  <c r="C11" s="1"/>
  <c r="S10"/>
  <c r="S11" s="1"/>
  <c r="F10"/>
  <c r="F11" s="1"/>
  <c r="G10"/>
  <c r="G11" s="1"/>
  <c r="V28" i="91" l="1"/>
  <c r="T32" i="92"/>
  <c r="U32"/>
  <c r="Q31" i="91"/>
  <c r="C31" s="1"/>
  <c r="B31" s="1"/>
  <c r="W30"/>
  <c r="W40" s="1"/>
  <c r="Q30"/>
  <c r="W30" i="92"/>
  <c r="W40" s="1"/>
  <c r="W33"/>
  <c r="R31" i="91"/>
  <c r="Q39" i="92"/>
  <c r="R39" s="1"/>
  <c r="P29"/>
  <c r="N36" i="91"/>
  <c r="S32" i="92"/>
  <c r="V32" s="1"/>
  <c r="V33"/>
  <c r="V41"/>
  <c r="U31"/>
  <c r="S36" i="91"/>
  <c r="V34"/>
  <c r="V36" s="1"/>
  <c r="P32" i="92"/>
  <c r="W34"/>
  <c r="O34" i="91"/>
  <c r="O36" s="1"/>
  <c r="O32" i="92"/>
  <c r="Q33"/>
  <c r="P34" i="91"/>
  <c r="P36" s="1"/>
  <c r="W31"/>
  <c r="Q28"/>
  <c r="H128" i="92"/>
  <c r="M220" i="91"/>
  <c r="K9" i="99"/>
  <c r="N37" i="92"/>
  <c r="Q41"/>
  <c r="R41" s="1"/>
  <c r="P31"/>
  <c r="Q31" s="1"/>
  <c r="C29" i="91"/>
  <c r="R29"/>
  <c r="C32"/>
  <c r="B32" s="1"/>
  <c r="R32"/>
  <c r="R222"/>
  <c r="R130" i="92" s="1"/>
  <c r="M130"/>
  <c r="V39"/>
  <c r="U29"/>
  <c r="V29" s="1"/>
  <c r="H17" i="98" s="1"/>
  <c r="D30" i="91"/>
  <c r="R30"/>
  <c r="C34" i="92"/>
  <c r="B34" s="1"/>
  <c r="V31"/>
  <c r="T35"/>
  <c r="O35"/>
  <c r="W32"/>
  <c r="Q30"/>
  <c r="U11" i="111"/>
  <c r="Q26"/>
  <c r="S45" i="91"/>
  <c r="G13" i="111"/>
  <c r="G24"/>
  <c r="F24"/>
  <c r="F13"/>
  <c r="F26" s="1"/>
  <c r="C13"/>
  <c r="C24"/>
  <c r="R13"/>
  <c r="R24"/>
  <c r="T24"/>
  <c r="T13"/>
  <c r="J24"/>
  <c r="J13"/>
  <c r="J26" s="1"/>
  <c r="H24"/>
  <c r="H13"/>
  <c r="I13"/>
  <c r="I24"/>
  <c r="N24"/>
  <c r="N13"/>
  <c r="D24"/>
  <c r="D13"/>
  <c r="Q25"/>
  <c r="S24"/>
  <c r="S13"/>
  <c r="K13"/>
  <c r="K26" s="1"/>
  <c r="K24"/>
  <c r="B24"/>
  <c r="B13"/>
  <c r="B26" s="1"/>
  <c r="E13"/>
  <c r="E24"/>
  <c r="L24"/>
  <c r="L13"/>
  <c r="M24"/>
  <c r="M13"/>
  <c r="O24"/>
  <c r="O13"/>
  <c r="O26" s="1"/>
  <c r="P24"/>
  <c r="P13"/>
  <c r="P26" s="1"/>
  <c r="D31" i="92" l="1"/>
  <c r="R31"/>
  <c r="C30"/>
  <c r="R30"/>
  <c r="M128"/>
  <c r="R220" i="91"/>
  <c r="R128" i="92" s="1"/>
  <c r="C28" i="91"/>
  <c r="R28"/>
  <c r="Q32" i="92"/>
  <c r="W31"/>
  <c r="W41" s="1"/>
  <c r="S35"/>
  <c r="W34" i="91"/>
  <c r="W36" s="1"/>
  <c r="L9" i="99"/>
  <c r="L8" s="1"/>
  <c r="O37" i="92"/>
  <c r="Q9" i="99"/>
  <c r="Q8" s="1"/>
  <c r="T37" i="92"/>
  <c r="B30" i="91"/>
  <c r="B40" s="1"/>
  <c r="D34"/>
  <c r="B29"/>
  <c r="B39" s="1"/>
  <c r="C39"/>
  <c r="K8" i="99"/>
  <c r="C33" i="92"/>
  <c r="B33" s="1"/>
  <c r="R33"/>
  <c r="W29"/>
  <c r="W39" s="1"/>
  <c r="Q29"/>
  <c r="U35"/>
  <c r="P35"/>
  <c r="Q35" s="1"/>
  <c r="F16" i="98" s="1"/>
  <c r="Q34" i="91"/>
  <c r="K25" i="111"/>
  <c r="J25"/>
  <c r="D26"/>
  <c r="D25" s="1"/>
  <c r="F45" i="91"/>
  <c r="M26" i="111"/>
  <c r="O45" i="91"/>
  <c r="L26" i="111"/>
  <c r="N45" i="91"/>
  <c r="S26" i="111"/>
  <c r="U45" i="91"/>
  <c r="I26" i="111"/>
  <c r="K45" i="91"/>
  <c r="R26" i="111"/>
  <c r="T45" i="91"/>
  <c r="V45" s="1"/>
  <c r="V45" i="92" s="1"/>
  <c r="C26" i="111"/>
  <c r="E45" i="91"/>
  <c r="U13" i="111"/>
  <c r="G26"/>
  <c r="I45" i="91"/>
  <c r="L45" s="1"/>
  <c r="U24" i="111"/>
  <c r="E26"/>
  <c r="E25" s="1"/>
  <c r="G45" i="91"/>
  <c r="N26" i="111"/>
  <c r="N25" s="1"/>
  <c r="P45" i="91"/>
  <c r="H26" i="111"/>
  <c r="H25" s="1"/>
  <c r="J45" i="91"/>
  <c r="F25" i="111"/>
  <c r="S44" i="91"/>
  <c r="S45" i="92"/>
  <c r="S71" s="1"/>
  <c r="P25" i="111"/>
  <c r="O25"/>
  <c r="M25"/>
  <c r="L25"/>
  <c r="B25"/>
  <c r="S25"/>
  <c r="I25"/>
  <c r="R25"/>
  <c r="C25"/>
  <c r="G25"/>
  <c r="T26"/>
  <c r="T25" s="1"/>
  <c r="Q29" i="95" l="1"/>
  <c r="V71" i="92"/>
  <c r="H45" i="91"/>
  <c r="H45" i="92" s="1"/>
  <c r="Q45" i="91"/>
  <c r="M45"/>
  <c r="M45" i="92" s="1"/>
  <c r="M71" s="1"/>
  <c r="M73" s="1"/>
  <c r="L45"/>
  <c r="S79"/>
  <c r="S78"/>
  <c r="Q37"/>
  <c r="R35"/>
  <c r="R9" i="99"/>
  <c r="R8" s="1"/>
  <c r="U37" i="92"/>
  <c r="P9" i="99"/>
  <c r="V35" i="92"/>
  <c r="H16" i="98" s="1"/>
  <c r="S37" i="92"/>
  <c r="C32"/>
  <c r="B32" s="1"/>
  <c r="R32"/>
  <c r="D35"/>
  <c r="B31"/>
  <c r="B41" s="1"/>
  <c r="Q36" i="91"/>
  <c r="R34"/>
  <c r="R36" s="1"/>
  <c r="P37" i="92"/>
  <c r="M9" i="99"/>
  <c r="F17" i="98"/>
  <c r="G17" s="1"/>
  <c r="I17" s="1"/>
  <c r="C29" i="92"/>
  <c r="R29"/>
  <c r="D36" i="91"/>
  <c r="D40"/>
  <c r="C38"/>
  <c r="B38"/>
  <c r="B28"/>
  <c r="C34"/>
  <c r="B30" i="92"/>
  <c r="B40" s="1"/>
  <c r="C40"/>
  <c r="W35"/>
  <c r="W37" s="1"/>
  <c r="S80"/>
  <c r="I44" i="91"/>
  <c r="I45" i="92"/>
  <c r="I71" s="1"/>
  <c r="S163" i="91"/>
  <c r="S170" s="1"/>
  <c r="S73" i="92"/>
  <c r="J44" i="91"/>
  <c r="J163" s="1"/>
  <c r="J170" s="1"/>
  <c r="J45" i="92"/>
  <c r="J71" s="1"/>
  <c r="P44" i="91"/>
  <c r="P163" s="1"/>
  <c r="P170" s="1"/>
  <c r="P45" i="92"/>
  <c r="P71" s="1"/>
  <c r="G44" i="91"/>
  <c r="G163" s="1"/>
  <c r="G170" s="1"/>
  <c r="G45" i="92"/>
  <c r="G71" s="1"/>
  <c r="E44" i="91"/>
  <c r="E45" i="92"/>
  <c r="W45" i="91"/>
  <c r="T44"/>
  <c r="T163" s="1"/>
  <c r="T170" s="1"/>
  <c r="T45" i="92"/>
  <c r="T71" s="1"/>
  <c r="K44" i="91"/>
  <c r="K163" s="1"/>
  <c r="K170" s="1"/>
  <c r="K45" i="92"/>
  <c r="K71" s="1"/>
  <c r="U44" i="91"/>
  <c r="U163" s="1"/>
  <c r="U170" s="1"/>
  <c r="U45" i="92"/>
  <c r="U71" s="1"/>
  <c r="N44" i="91"/>
  <c r="N45" i="92"/>
  <c r="N71" s="1"/>
  <c r="O44" i="91"/>
  <c r="O163" s="1"/>
  <c r="O170" s="1"/>
  <c r="O45" i="92"/>
  <c r="O71" s="1"/>
  <c r="F44" i="91"/>
  <c r="F163" s="1"/>
  <c r="F170" s="1"/>
  <c r="F45" i="92"/>
  <c r="F71" s="1"/>
  <c r="U25" i="111"/>
  <c r="U26"/>
  <c r="R37" i="92" l="1"/>
  <c r="G16" i="98"/>
  <c r="L29" i="95"/>
  <c r="H71" i="92"/>
  <c r="M29" i="95"/>
  <c r="L71" i="92"/>
  <c r="R45" i="91"/>
  <c r="R45" i="92" s="1"/>
  <c r="R71" s="1"/>
  <c r="R73" s="1"/>
  <c r="Q45"/>
  <c r="V73"/>
  <c r="Q57" i="95" s="1"/>
  <c r="Q55"/>
  <c r="H22" i="98" s="1"/>
  <c r="H25" s="1"/>
  <c r="H31" s="1"/>
  <c r="H30" s="1"/>
  <c r="O79" i="92"/>
  <c r="O78"/>
  <c r="G79"/>
  <c r="G78"/>
  <c r="P79"/>
  <c r="P78"/>
  <c r="J79"/>
  <c r="J78"/>
  <c r="F79"/>
  <c r="F78"/>
  <c r="N79"/>
  <c r="N78"/>
  <c r="Q78" s="1"/>
  <c r="O59" i="95" s="1"/>
  <c r="U79" i="92"/>
  <c r="U78"/>
  <c r="K79"/>
  <c r="K78"/>
  <c r="T79"/>
  <c r="T78"/>
  <c r="V78" s="1"/>
  <c r="Q59" i="95" s="1"/>
  <c r="I79" i="92"/>
  <c r="I78"/>
  <c r="L78" s="1"/>
  <c r="M59" i="95" s="1"/>
  <c r="C36" i="91"/>
  <c r="B34"/>
  <c r="B36" s="1"/>
  <c r="D41" i="92"/>
  <c r="D37"/>
  <c r="V37"/>
  <c r="V170" i="91"/>
  <c r="B29" i="92"/>
  <c r="C39"/>
  <c r="B39"/>
  <c r="C35"/>
  <c r="M8" i="99"/>
  <c r="N8" s="1"/>
  <c r="O8" s="1"/>
  <c r="N9"/>
  <c r="O9" s="1"/>
  <c r="P8"/>
  <c r="S8" s="1"/>
  <c r="S9"/>
  <c r="V79" i="92"/>
  <c r="Q60" i="95" s="1"/>
  <c r="N80" i="92"/>
  <c r="Q79"/>
  <c r="O60" i="95" s="1"/>
  <c r="L79" i="92"/>
  <c r="F165" i="91"/>
  <c r="F171"/>
  <c r="F172" s="1"/>
  <c r="Q44"/>
  <c r="N163"/>
  <c r="N170" s="1"/>
  <c r="Q170" s="1"/>
  <c r="F73" i="92"/>
  <c r="O73"/>
  <c r="N73"/>
  <c r="U73"/>
  <c r="K73"/>
  <c r="T73"/>
  <c r="H44" i="91"/>
  <c r="E163"/>
  <c r="E170" s="1"/>
  <c r="W44"/>
  <c r="G165"/>
  <c r="G171"/>
  <c r="G172" s="1"/>
  <c r="P171"/>
  <c r="P172" s="1"/>
  <c r="P165"/>
  <c r="J171"/>
  <c r="J172" s="1"/>
  <c r="J165"/>
  <c r="L44"/>
  <c r="I163"/>
  <c r="I170" s="1"/>
  <c r="L170" s="1"/>
  <c r="V44"/>
  <c r="O171"/>
  <c r="O172" s="1"/>
  <c r="O165"/>
  <c r="U171"/>
  <c r="U172" s="1"/>
  <c r="U165"/>
  <c r="K171"/>
  <c r="K172" s="1"/>
  <c r="K165"/>
  <c r="T171"/>
  <c r="T172" s="1"/>
  <c r="T165"/>
  <c r="E71" i="92"/>
  <c r="W45"/>
  <c r="G73"/>
  <c r="P73"/>
  <c r="J73"/>
  <c r="V163" i="91"/>
  <c r="V165" s="1"/>
  <c r="S171"/>
  <c r="S172" s="1"/>
  <c r="S165"/>
  <c r="I73" i="92"/>
  <c r="I80" l="1"/>
  <c r="O29" i="95"/>
  <c r="Q71" i="92"/>
  <c r="L73"/>
  <c r="M57" i="95" s="1"/>
  <c r="M55"/>
  <c r="D22" i="98" s="1"/>
  <c r="D25" s="1"/>
  <c r="D31" s="1"/>
  <c r="D30" s="1"/>
  <c r="N29" i="95"/>
  <c r="P29" s="1"/>
  <c r="R29" s="1"/>
  <c r="H73" i="92"/>
  <c r="L57" i="95" s="1"/>
  <c r="L55"/>
  <c r="H21" i="98"/>
  <c r="Q61" i="95"/>
  <c r="E79" i="92"/>
  <c r="W79" s="1"/>
  <c r="E78"/>
  <c r="T80"/>
  <c r="K80"/>
  <c r="U80"/>
  <c r="F80"/>
  <c r="J80"/>
  <c r="P80"/>
  <c r="G80"/>
  <c r="O80"/>
  <c r="O61" i="95"/>
  <c r="H170" i="91"/>
  <c r="M170" s="1"/>
  <c r="R170" s="1"/>
  <c r="W170"/>
  <c r="O62" i="95"/>
  <c r="T8" i="99"/>
  <c r="B35" i="92"/>
  <c r="C37"/>
  <c r="T9" i="99"/>
  <c r="E80" i="92"/>
  <c r="H79"/>
  <c r="V172" i="91"/>
  <c r="V173" s="1"/>
  <c r="V189" s="1"/>
  <c r="V97" i="92" s="1"/>
  <c r="P81"/>
  <c r="P83"/>
  <c r="S173" i="91"/>
  <c r="S189" s="1"/>
  <c r="S97" i="92" s="1"/>
  <c r="S180" i="91"/>
  <c r="S175"/>
  <c r="V171"/>
  <c r="T83" i="92"/>
  <c r="T81"/>
  <c r="U173" i="91"/>
  <c r="U189" s="1"/>
  <c r="U97" i="92" s="1"/>
  <c r="U175" i="91"/>
  <c r="U180"/>
  <c r="U81" i="92"/>
  <c r="U83"/>
  <c r="P175" i="91"/>
  <c r="P173"/>
  <c r="P189" s="1"/>
  <c r="P97" i="92" s="1"/>
  <c r="P180" i="91"/>
  <c r="G81" i="92"/>
  <c r="G83"/>
  <c r="M44" i="91"/>
  <c r="R44" s="1"/>
  <c r="E73" i="92"/>
  <c r="W71"/>
  <c r="W73" s="1"/>
  <c r="T175" i="91"/>
  <c r="K175"/>
  <c r="K173"/>
  <c r="K189" s="1"/>
  <c r="K97" i="92" s="1"/>
  <c r="K180" i="91"/>
  <c r="K81" i="92"/>
  <c r="K83"/>
  <c r="O180" i="91"/>
  <c r="O175"/>
  <c r="O173"/>
  <c r="O189" s="1"/>
  <c r="O97" i="92" s="1"/>
  <c r="I171" i="91"/>
  <c r="I172" s="1"/>
  <c r="L163"/>
  <c r="L165" s="1"/>
  <c r="I165"/>
  <c r="J180"/>
  <c r="J175"/>
  <c r="J173"/>
  <c r="J189" s="1"/>
  <c r="J97" i="92" s="1"/>
  <c r="J83"/>
  <c r="J81"/>
  <c r="G173" i="91"/>
  <c r="G189" s="1"/>
  <c r="G97" i="92" s="1"/>
  <c r="G175" i="91"/>
  <c r="G180"/>
  <c r="E165"/>
  <c r="H163"/>
  <c r="E171"/>
  <c r="E172" s="1"/>
  <c r="W163"/>
  <c r="W165" s="1"/>
  <c r="N171"/>
  <c r="N172" s="1"/>
  <c r="N165"/>
  <c r="Q163"/>
  <c r="Q165" s="1"/>
  <c r="U84" i="92" l="1"/>
  <c r="R13" i="99"/>
  <c r="T84" i="92"/>
  <c r="Q13" i="99"/>
  <c r="P84" i="92"/>
  <c r="M13" i="99"/>
  <c r="C22" i="98"/>
  <c r="N55" i="95"/>
  <c r="D21" i="98"/>
  <c r="J84" i="92"/>
  <c r="G13" i="99"/>
  <c r="K84" i="92"/>
  <c r="H13" i="99"/>
  <c r="G84" i="92"/>
  <c r="D13" i="99"/>
  <c r="B37" i="92"/>
  <c r="I16" i="98"/>
  <c r="Q73" i="92"/>
  <c r="O57" i="95" s="1"/>
  <c r="O55"/>
  <c r="F22" i="98" s="1"/>
  <c r="F25" s="1"/>
  <c r="M79" i="92"/>
  <c r="R79" s="1"/>
  <c r="M60" i="95"/>
  <c r="M61" s="1"/>
  <c r="L60"/>
  <c r="W78" i="92"/>
  <c r="H78"/>
  <c r="Q62" i="95"/>
  <c r="F15" i="98"/>
  <c r="T180" i="91"/>
  <c r="T88" i="92" s="1"/>
  <c r="T173" i="91"/>
  <c r="T189" s="1"/>
  <c r="T97" i="92" s="1"/>
  <c r="F173" i="91"/>
  <c r="F189" s="1"/>
  <c r="F97" i="92" s="1"/>
  <c r="F180" i="91"/>
  <c r="F175"/>
  <c r="N83" i="92"/>
  <c r="K13" i="99" s="1"/>
  <c r="N81" i="92"/>
  <c r="Q80"/>
  <c r="Q81" s="1"/>
  <c r="E180" i="91"/>
  <c r="E173"/>
  <c r="E189" s="1"/>
  <c r="E97" i="92" s="1"/>
  <c r="E175" i="91"/>
  <c r="H172"/>
  <c r="J203"/>
  <c r="J176"/>
  <c r="J212" s="1"/>
  <c r="J120" i="92" s="1"/>
  <c r="I180" i="91"/>
  <c r="I175"/>
  <c r="I173"/>
  <c r="I189" s="1"/>
  <c r="I97" i="92" s="1"/>
  <c r="L172" i="91"/>
  <c r="L173" s="1"/>
  <c r="L189" s="1"/>
  <c r="L97" i="92" s="1"/>
  <c r="O81"/>
  <c r="O83"/>
  <c r="O88"/>
  <c r="F81"/>
  <c r="F83"/>
  <c r="H171" i="91"/>
  <c r="W171"/>
  <c r="G176"/>
  <c r="G212" s="1"/>
  <c r="G120" i="92" s="1"/>
  <c r="G203" i="91"/>
  <c r="J88" i="92"/>
  <c r="L171" i="91"/>
  <c r="O203"/>
  <c r="O176"/>
  <c r="O212" s="1"/>
  <c r="O120" i="92" s="1"/>
  <c r="K88"/>
  <c r="K176" i="91"/>
  <c r="K212" s="1"/>
  <c r="K120" i="92" s="1"/>
  <c r="K203" i="91"/>
  <c r="T176"/>
  <c r="T212" s="1"/>
  <c r="T120" i="92" s="1"/>
  <c r="T203" i="91"/>
  <c r="P88" i="92"/>
  <c r="P176" i="91"/>
  <c r="P212" s="1"/>
  <c r="P120" i="92" s="1"/>
  <c r="P203" i="91"/>
  <c r="U176"/>
  <c r="U212" s="1"/>
  <c r="U120" i="92" s="1"/>
  <c r="U203" i="91"/>
  <c r="S83" i="92"/>
  <c r="P13" i="99" s="1"/>
  <c r="S81" i="92"/>
  <c r="V80"/>
  <c r="V81" s="1"/>
  <c r="S176" i="91"/>
  <c r="S212" s="1"/>
  <c r="S120" i="92" s="1"/>
  <c r="S203" i="91"/>
  <c r="V175"/>
  <c r="V176" s="1"/>
  <c r="V212" s="1"/>
  <c r="V120" i="92" s="1"/>
  <c r="Q171" i="91"/>
  <c r="H165"/>
  <c r="M163"/>
  <c r="G88" i="92"/>
  <c r="U88"/>
  <c r="S88"/>
  <c r="P12" i="99" l="1"/>
  <c r="P16"/>
  <c r="S13"/>
  <c r="O84" i="92"/>
  <c r="L13" i="99"/>
  <c r="K12"/>
  <c r="K16"/>
  <c r="N13"/>
  <c r="F31" i="98"/>
  <c r="F30" s="1"/>
  <c r="F21"/>
  <c r="D12" i="99"/>
  <c r="D16"/>
  <c r="D15" s="1"/>
  <c r="D24" s="1"/>
  <c r="D25" s="1"/>
  <c r="D26" s="1"/>
  <c r="H16"/>
  <c r="H15" s="1"/>
  <c r="H24" s="1"/>
  <c r="H25" s="1"/>
  <c r="H26" s="1"/>
  <c r="H12"/>
  <c r="G12"/>
  <c r="G16"/>
  <c r="G15" s="1"/>
  <c r="G24" s="1"/>
  <c r="G25" s="1"/>
  <c r="G26" s="1"/>
  <c r="C25" i="98"/>
  <c r="C31" s="1"/>
  <c r="C30" s="1"/>
  <c r="E22"/>
  <c r="G22" s="1"/>
  <c r="I22" s="1"/>
  <c r="F84" i="92"/>
  <c r="C13" i="99"/>
  <c r="N57" i="95"/>
  <c r="P55"/>
  <c r="M16" i="99"/>
  <c r="M15" s="1"/>
  <c r="M24" s="1"/>
  <c r="M25" s="1"/>
  <c r="M26" s="1"/>
  <c r="M12"/>
  <c r="Q12"/>
  <c r="Q16"/>
  <c r="Q15" s="1"/>
  <c r="Q24" s="1"/>
  <c r="Q25" s="1"/>
  <c r="Q26" s="1"/>
  <c r="R12"/>
  <c r="R16"/>
  <c r="R15" s="1"/>
  <c r="R24" s="1"/>
  <c r="R25" s="1"/>
  <c r="R26" s="1"/>
  <c r="M78" i="92"/>
  <c r="R78" s="1"/>
  <c r="L59" i="95"/>
  <c r="N60"/>
  <c r="P60" s="1"/>
  <c r="R60" s="1"/>
  <c r="M62"/>
  <c r="F39" i="98"/>
  <c r="F40" s="1"/>
  <c r="H15"/>
  <c r="V180" i="91"/>
  <c r="V88" i="92" s="1"/>
  <c r="N180" i="91"/>
  <c r="N173"/>
  <c r="N189" s="1"/>
  <c r="N97" i="92" s="1"/>
  <c r="N175" i="91"/>
  <c r="Q172"/>
  <c r="Q173" s="1"/>
  <c r="Q189" s="1"/>
  <c r="Q97" i="92" s="1"/>
  <c r="S111"/>
  <c r="S205" i="91"/>
  <c r="V203"/>
  <c r="V111" i="92" s="1"/>
  <c r="V83"/>
  <c r="S84"/>
  <c r="O111"/>
  <c r="O205" i="91"/>
  <c r="I81" i="92"/>
  <c r="I83"/>
  <c r="F13" i="99" s="1"/>
  <c r="L80" i="92"/>
  <c r="L81" s="1"/>
  <c r="M171" i="91"/>
  <c r="I203"/>
  <c r="L175"/>
  <c r="L176" s="1"/>
  <c r="L212" s="1"/>
  <c r="L120" i="92" s="1"/>
  <c r="I176" i="91"/>
  <c r="I212" s="1"/>
  <c r="I120" i="92" s="1"/>
  <c r="E203" i="91"/>
  <c r="E176"/>
  <c r="E212" s="1"/>
  <c r="E120" i="92" s="1"/>
  <c r="H175" i="91"/>
  <c r="W175"/>
  <c r="W176" s="1"/>
  <c r="W212" s="1"/>
  <c r="E88" i="92"/>
  <c r="H180" i="91"/>
  <c r="W180"/>
  <c r="F203"/>
  <c r="F176"/>
  <c r="F212" s="1"/>
  <c r="F120" i="92" s="1"/>
  <c r="W172" i="91"/>
  <c r="W173" s="1"/>
  <c r="W189" s="1"/>
  <c r="M165"/>
  <c r="R163"/>
  <c r="R165" s="1"/>
  <c r="U205"/>
  <c r="U111" i="92"/>
  <c r="P205" i="91"/>
  <c r="P111" i="92"/>
  <c r="T205" i="91"/>
  <c r="T111" i="92"/>
  <c r="K111"/>
  <c r="K205" i="91"/>
  <c r="G205"/>
  <c r="G111" i="92"/>
  <c r="I88"/>
  <c r="L180" i="91"/>
  <c r="L88" i="92" s="1"/>
  <c r="J111"/>
  <c r="J205" i="91"/>
  <c r="H173"/>
  <c r="H189" s="1"/>
  <c r="H97" i="92" s="1"/>
  <c r="M172" i="91"/>
  <c r="N84" i="92"/>
  <c r="Q83"/>
  <c r="F88"/>
  <c r="P57" i="95" l="1"/>
  <c r="R55"/>
  <c r="R57" s="1"/>
  <c r="C12" i="99"/>
  <c r="C16"/>
  <c r="C15" s="1"/>
  <c r="C24" s="1"/>
  <c r="C25" s="1"/>
  <c r="C26" s="1"/>
  <c r="K15"/>
  <c r="L16"/>
  <c r="L15" s="1"/>
  <c r="L24" s="1"/>
  <c r="L25" s="1"/>
  <c r="L26" s="1"/>
  <c r="L12"/>
  <c r="N12" s="1"/>
  <c r="S12"/>
  <c r="F16"/>
  <c r="F12"/>
  <c r="I12" s="1"/>
  <c r="I13"/>
  <c r="P15"/>
  <c r="S16"/>
  <c r="Q84" i="92"/>
  <c r="O64" i="95"/>
  <c r="O65" s="1"/>
  <c r="V84" i="92"/>
  <c r="Q64" i="95"/>
  <c r="Q65" s="1"/>
  <c r="D15" i="98"/>
  <c r="L61" i="95"/>
  <c r="N59"/>
  <c r="P59" s="1"/>
  <c r="R59" s="1"/>
  <c r="H39" i="98"/>
  <c r="H40" s="1"/>
  <c r="F42"/>
  <c r="F45" s="1"/>
  <c r="F41"/>
  <c r="M173" i="91"/>
  <c r="M189" s="1"/>
  <c r="M97" i="92" s="1"/>
  <c r="R172" i="91"/>
  <c r="R173" s="1"/>
  <c r="R189" s="1"/>
  <c r="R97" i="92" s="1"/>
  <c r="T113"/>
  <c r="T214" i="91"/>
  <c r="E81" i="92"/>
  <c r="H80"/>
  <c r="E83"/>
  <c r="B13" i="99" s="1"/>
  <c r="W80" i="92"/>
  <c r="W81" s="1"/>
  <c r="W97" s="1"/>
  <c r="K214" i="91"/>
  <c r="K113" i="92"/>
  <c r="F111"/>
  <c r="F205" i="91"/>
  <c r="H88" i="92"/>
  <c r="M180" i="91"/>
  <c r="H176"/>
  <c r="H212" s="1"/>
  <c r="H120" i="92" s="1"/>
  <c r="M175" i="91"/>
  <c r="E111" i="92"/>
  <c r="H203" i="91"/>
  <c r="E205"/>
  <c r="R171"/>
  <c r="S113" i="92"/>
  <c r="V205" i="91"/>
  <c r="S214"/>
  <c r="J214"/>
  <c r="J113" i="92"/>
  <c r="G214" i="91"/>
  <c r="G113" i="92"/>
  <c r="P113"/>
  <c r="P214" i="91"/>
  <c r="U113" i="92"/>
  <c r="U214" i="91"/>
  <c r="I111" i="92"/>
  <c r="I205" i="91"/>
  <c r="L203"/>
  <c r="L111" i="92" s="1"/>
  <c r="I84"/>
  <c r="L83"/>
  <c r="O214" i="91"/>
  <c r="O113" i="92"/>
  <c r="N176" i="91"/>
  <c r="N212" s="1"/>
  <c r="N120" i="92" s="1"/>
  <c r="Q175" i="91"/>
  <c r="Q176" s="1"/>
  <c r="Q212" s="1"/>
  <c r="Q120" i="92" s="1"/>
  <c r="N203" i="91"/>
  <c r="N88" i="92"/>
  <c r="W88" s="1"/>
  <c r="Q180" i="91"/>
  <c r="Q88" i="92" s="1"/>
  <c r="P24" i="99" l="1"/>
  <c r="S15"/>
  <c r="N16"/>
  <c r="B12"/>
  <c r="E12" s="1"/>
  <c r="J12" s="1"/>
  <c r="O12" s="1"/>
  <c r="T12" s="1"/>
  <c r="B16"/>
  <c r="E13"/>
  <c r="J13" s="1"/>
  <c r="O13" s="1"/>
  <c r="T13" s="1"/>
  <c r="F15"/>
  <c r="I16"/>
  <c r="K24"/>
  <c r="N15"/>
  <c r="C21" i="98"/>
  <c r="E25"/>
  <c r="E31" s="1"/>
  <c r="E30" s="1"/>
  <c r="L84" i="92"/>
  <c r="M64" i="95"/>
  <c r="M65" s="1"/>
  <c r="N61"/>
  <c r="L62"/>
  <c r="D39" i="98"/>
  <c r="D40" s="1"/>
  <c r="H41"/>
  <c r="H42"/>
  <c r="H45" s="1"/>
  <c r="O215" i="91"/>
  <c r="O123" i="92" s="1"/>
  <c r="O122"/>
  <c r="U215" i="91"/>
  <c r="U123" i="92" s="1"/>
  <c r="U122"/>
  <c r="P215" i="91"/>
  <c r="P123" i="92" s="1"/>
  <c r="P122"/>
  <c r="S215" i="91"/>
  <c r="S123" i="92" s="1"/>
  <c r="S122"/>
  <c r="E113"/>
  <c r="H205" i="91"/>
  <c r="E214"/>
  <c r="K122" i="92"/>
  <c r="K215" i="91"/>
  <c r="K123" i="92" s="1"/>
  <c r="E84"/>
  <c r="H83"/>
  <c r="L64" i="95" s="1"/>
  <c r="W83" i="92"/>
  <c r="W84" s="1"/>
  <c r="W120" s="1"/>
  <c r="N111"/>
  <c r="W111" s="1"/>
  <c r="N205" i="91"/>
  <c r="Q203"/>
  <c r="Q111" i="92" s="1"/>
  <c r="I113"/>
  <c r="I214" i="91"/>
  <c r="L205"/>
  <c r="G215"/>
  <c r="G123" i="92" s="1"/>
  <c r="G122"/>
  <c r="J122"/>
  <c r="J215" i="91"/>
  <c r="J123" i="92" s="1"/>
  <c r="V113"/>
  <c r="V214" i="91"/>
  <c r="H111" i="92"/>
  <c r="M203" i="91"/>
  <c r="M176"/>
  <c r="M212" s="1"/>
  <c r="M120" i="92" s="1"/>
  <c r="R175" i="91"/>
  <c r="R176" s="1"/>
  <c r="R212" s="1"/>
  <c r="R120" i="92" s="1"/>
  <c r="M88"/>
  <c r="R180" i="91"/>
  <c r="R88" i="92" s="1"/>
  <c r="F214" i="91"/>
  <c r="F113" i="92"/>
  <c r="H81"/>
  <c r="M80"/>
  <c r="T122"/>
  <c r="T215" i="91"/>
  <c r="T123" i="92" s="1"/>
  <c r="W203" i="91"/>
  <c r="K25" i="99" l="1"/>
  <c r="N24"/>
  <c r="F24"/>
  <c r="I15"/>
  <c r="B15"/>
  <c r="E16"/>
  <c r="J16" s="1"/>
  <c r="O16" s="1"/>
  <c r="T16" s="1"/>
  <c r="S24"/>
  <c r="P25"/>
  <c r="C15" i="98"/>
  <c r="C39" s="1"/>
  <c r="C40" s="1"/>
  <c r="L65" i="95"/>
  <c r="N64"/>
  <c r="D42" i="98"/>
  <c r="D45" s="1"/>
  <c r="D41"/>
  <c r="N62" i="95"/>
  <c r="E15" i="98"/>
  <c r="P61" i="95"/>
  <c r="E21" i="98"/>
  <c r="G25"/>
  <c r="G31" s="1"/>
  <c r="G30" s="1"/>
  <c r="R80" i="92"/>
  <c r="R81" s="1"/>
  <c r="M81"/>
  <c r="M111"/>
  <c r="R203" i="91"/>
  <c r="R111" i="92" s="1"/>
  <c r="V122"/>
  <c r="V215" i="91"/>
  <c r="V123" i="92" s="1"/>
  <c r="L113"/>
  <c r="L214" i="91"/>
  <c r="N214"/>
  <c r="Q205"/>
  <c r="N113" i="92"/>
  <c r="W113" s="1"/>
  <c r="W122" s="1"/>
  <c r="W123" s="1"/>
  <c r="H84"/>
  <c r="M83"/>
  <c r="H113"/>
  <c r="H214" i="91"/>
  <c r="M205"/>
  <c r="W205"/>
  <c r="W214" s="1"/>
  <c r="W215" s="1"/>
  <c r="F215"/>
  <c r="F123" i="92" s="1"/>
  <c r="F122"/>
  <c r="I122"/>
  <c r="I215" i="91"/>
  <c r="I123" i="92" s="1"/>
  <c r="E215" i="91"/>
  <c r="E123" i="92" s="1"/>
  <c r="E122"/>
  <c r="E15" i="99" l="1"/>
  <c r="J15" s="1"/>
  <c r="O15" s="1"/>
  <c r="T15" s="1"/>
  <c r="B24"/>
  <c r="I24"/>
  <c r="F25"/>
  <c r="K26"/>
  <c r="N26" s="1"/>
  <c r="N25"/>
  <c r="P26"/>
  <c r="S26" s="1"/>
  <c r="S25"/>
  <c r="I25" i="98"/>
  <c r="G21"/>
  <c r="G15"/>
  <c r="R61" i="95"/>
  <c r="P62"/>
  <c r="N65"/>
  <c r="P64"/>
  <c r="C42" i="98"/>
  <c r="C45" s="1"/>
  <c r="C41"/>
  <c r="E39"/>
  <c r="E40" s="1"/>
  <c r="H122" i="92"/>
  <c r="H215" i="91"/>
  <c r="H123" i="92" s="1"/>
  <c r="M84"/>
  <c r="R83"/>
  <c r="R84" s="1"/>
  <c r="Q214" i="91"/>
  <c r="Q113" i="92"/>
  <c r="M113"/>
  <c r="M214" i="91"/>
  <c r="R205"/>
  <c r="N122" i="92"/>
  <c r="N215" i="91"/>
  <c r="N123" i="92" s="1"/>
  <c r="L215" i="91"/>
  <c r="L123" i="92" s="1"/>
  <c r="L122"/>
  <c r="I21" i="98" l="1"/>
  <c r="I31"/>
  <c r="I30" s="1"/>
  <c r="I25" i="99"/>
  <c r="F26"/>
  <c r="I26" s="1"/>
  <c r="B25"/>
  <c r="E24"/>
  <c r="J24" s="1"/>
  <c r="O24" s="1"/>
  <c r="T24" s="1"/>
  <c r="R64" i="95"/>
  <c r="R65" s="1"/>
  <c r="P65"/>
  <c r="E41" i="98"/>
  <c r="E42"/>
  <c r="E45" s="1"/>
  <c r="I15"/>
  <c r="R62" i="95"/>
  <c r="G39" i="98"/>
  <c r="G40" s="1"/>
  <c r="R113" i="92"/>
  <c r="R214" i="91"/>
  <c r="Q215"/>
  <c r="Q123" i="92" s="1"/>
  <c r="Q122"/>
  <c r="M215" i="91"/>
  <c r="M123" i="92" s="1"/>
  <c r="M122"/>
  <c r="E25" i="99" l="1"/>
  <c r="J25" s="1"/>
  <c r="O25" s="1"/>
  <c r="T25" s="1"/>
  <c r="B26"/>
  <c r="E26" s="1"/>
  <c r="J26" s="1"/>
  <c r="O26" s="1"/>
  <c r="T26" s="1"/>
  <c r="G41" i="98"/>
  <c r="G42"/>
  <c r="G45" s="1"/>
  <c r="I39"/>
  <c r="I40" s="1"/>
  <c r="R215" i="91"/>
  <c r="R123" i="92" s="1"/>
  <c r="R122"/>
  <c r="C98"/>
  <c r="C192" i="91"/>
  <c r="C100" i="92" s="1"/>
  <c r="N198" i="91"/>
  <c r="N197" s="1"/>
  <c r="K198"/>
  <c r="K106" i="92" s="1"/>
  <c r="U198" i="91"/>
  <c r="U106" i="92" s="1"/>
  <c r="G106"/>
  <c r="G198" i="91"/>
  <c r="G197"/>
  <c r="G105" i="92" s="1"/>
  <c r="B198" i="91"/>
  <c r="B106" i="92" s="1"/>
  <c r="O198" i="91"/>
  <c r="E198"/>
  <c r="C198"/>
  <c r="C106" i="92" s="1"/>
  <c r="I198" i="91"/>
  <c r="I197" s="1"/>
  <c r="J198"/>
  <c r="J106" i="92" s="1"/>
  <c r="S198" i="91"/>
  <c r="S197" s="1"/>
  <c r="F198"/>
  <c r="F106" i="92" s="1"/>
  <c r="P198" i="91"/>
  <c r="P106" i="92" s="1"/>
  <c r="P197" i="91"/>
  <c r="P105" i="92" s="1"/>
  <c r="T198" i="91"/>
  <c r="T106" i="92" s="1"/>
  <c r="T197" i="91"/>
  <c r="T105" i="92" s="1"/>
  <c r="C181" i="91"/>
  <c r="C89" i="92" s="1"/>
  <c r="I42" i="98" l="1"/>
  <c r="I45" s="1"/>
  <c r="I41"/>
  <c r="W198" i="91"/>
  <c r="B197"/>
  <c r="B105" i="92" s="1"/>
  <c r="Q198" i="91"/>
  <c r="Q106" i="92" s="1"/>
  <c r="S105"/>
  <c r="I105"/>
  <c r="N105"/>
  <c r="B181" i="91"/>
  <c r="F197"/>
  <c r="F105" i="92" s="1"/>
  <c r="V198" i="91"/>
  <c r="V106" i="92" s="1"/>
  <c r="J197" i="91"/>
  <c r="J105" i="92" s="1"/>
  <c r="L198" i="91"/>
  <c r="L106" i="92" s="1"/>
  <c r="C197" i="91"/>
  <c r="C105" i="92" s="1"/>
  <c r="H198" i="91"/>
  <c r="E197"/>
  <c r="O197"/>
  <c r="O105" i="92" s="1"/>
  <c r="O106"/>
  <c r="U197" i="91"/>
  <c r="U105" i="92" s="1"/>
  <c r="K197" i="91"/>
  <c r="K105" i="92" s="1"/>
  <c r="S106"/>
  <c r="I106"/>
  <c r="E106"/>
  <c r="N106"/>
  <c r="C182" i="91"/>
  <c r="C90" i="92" s="1"/>
  <c r="Q197" i="91" l="1"/>
  <c r="Q105" i="92" s="1"/>
  <c r="V197" i="91"/>
  <c r="V105" i="92" s="1"/>
  <c r="H197" i="91"/>
  <c r="W197"/>
  <c r="E105" i="92"/>
  <c r="W105" s="1"/>
  <c r="M198" i="91"/>
  <c r="H106" i="92"/>
  <c r="B182" i="91"/>
  <c r="B89" i="92"/>
  <c r="B190" i="91"/>
  <c r="E190" s="1"/>
  <c r="W190" s="1"/>
  <c r="L197"/>
  <c r="L105" i="92" s="1"/>
  <c r="W106"/>
  <c r="B98" l="1"/>
  <c r="M106"/>
  <c r="R198" i="91"/>
  <c r="R106" i="92" s="1"/>
  <c r="H105"/>
  <c r="M197" i="91"/>
  <c r="B90" i="92"/>
  <c r="B191" i="91"/>
  <c r="B192" l="1"/>
  <c r="B100" i="92" s="1"/>
  <c r="B99"/>
  <c r="M105"/>
  <c r="R197" i="91"/>
  <c r="R105" i="92" s="1"/>
  <c r="M190" i="91"/>
  <c r="M98" i="92" s="1"/>
  <c r="Q190" i="91"/>
  <c r="Q98" i="92" s="1"/>
  <c r="V190" i="91"/>
  <c r="V98" i="92" s="1"/>
  <c r="E98"/>
  <c r="W98" s="1"/>
  <c r="H190" i="91"/>
  <c r="H98" i="92" s="1"/>
  <c r="R190" i="91"/>
  <c r="R98" i="92" s="1"/>
  <c r="L190" i="91"/>
  <c r="L98" i="92" s="1"/>
  <c r="F190" i="91"/>
  <c r="F98" i="92" s="1"/>
  <c r="G190" i="91"/>
  <c r="G98" i="92" s="1"/>
  <c r="G181" i="91"/>
  <c r="G89" i="92" s="1"/>
  <c r="O190" i="91"/>
  <c r="O98" i="92" s="1"/>
  <c r="S190" i="91"/>
  <c r="S181" s="1"/>
  <c r="K190"/>
  <c r="K98" i="92" s="1"/>
  <c r="K181" i="91"/>
  <c r="K89" i="92" s="1"/>
  <c r="N190" i="91"/>
  <c r="N181" s="1"/>
  <c r="J190"/>
  <c r="J98" i="92" s="1"/>
  <c r="I190" i="91"/>
  <c r="I98" i="92" s="1"/>
  <c r="I181" i="91"/>
  <c r="T190"/>
  <c r="T181" s="1"/>
  <c r="P190"/>
  <c r="P181" s="1"/>
  <c r="U190"/>
  <c r="U98" i="92" s="1"/>
  <c r="E181" i="91"/>
  <c r="T89" i="92" l="1"/>
  <c r="T182" i="91"/>
  <c r="P89" i="92"/>
  <c r="P182" i="91"/>
  <c r="S89" i="92"/>
  <c r="S182" i="91"/>
  <c r="N89" i="92"/>
  <c r="N182" i="91"/>
  <c r="E89" i="92"/>
  <c r="S98"/>
  <c r="P98"/>
  <c r="T98"/>
  <c r="I89"/>
  <c r="N98"/>
  <c r="E182" i="91"/>
  <c r="U181"/>
  <c r="V181" s="1"/>
  <c r="V89" i="92" s="1"/>
  <c r="I182" i="91"/>
  <c r="J181"/>
  <c r="K182"/>
  <c r="O181"/>
  <c r="G182"/>
  <c r="F181"/>
  <c r="W181" s="1"/>
  <c r="G90" i="92" l="1"/>
  <c r="G191" i="91"/>
  <c r="I90" i="92"/>
  <c r="L182" i="91"/>
  <c r="I191"/>
  <c r="F89" i="92"/>
  <c r="F182" i="91"/>
  <c r="O89" i="92"/>
  <c r="O182" i="91"/>
  <c r="J89" i="92"/>
  <c r="J182" i="91"/>
  <c r="U89" i="92"/>
  <c r="U182" i="91"/>
  <c r="S90" i="92"/>
  <c r="S191" i="91"/>
  <c r="V182"/>
  <c r="H181"/>
  <c r="Q181"/>
  <c r="Q89" i="92" s="1"/>
  <c r="L181" i="91"/>
  <c r="L89" i="92" s="1"/>
  <c r="K90"/>
  <c r="K191" i="91"/>
  <c r="H182"/>
  <c r="W182"/>
  <c r="W191" s="1"/>
  <c r="W192" s="1"/>
  <c r="E191"/>
  <c r="E90" i="92"/>
  <c r="N90"/>
  <c r="N191" i="91"/>
  <c r="Q182"/>
  <c r="P90" i="92"/>
  <c r="P191" i="91"/>
  <c r="T90" i="92"/>
  <c r="T191" i="91"/>
  <c r="W89" i="92" l="1"/>
  <c r="N99"/>
  <c r="N192" i="91"/>
  <c r="N100" i="92" s="1"/>
  <c r="K192" i="91"/>
  <c r="K100" i="92" s="1"/>
  <c r="K99"/>
  <c r="T99"/>
  <c r="T192" i="91"/>
  <c r="T100" i="92" s="1"/>
  <c r="P99"/>
  <c r="P192" i="91"/>
  <c r="P100" i="92" s="1"/>
  <c r="Q90"/>
  <c r="Q191" i="91"/>
  <c r="E99" i="92"/>
  <c r="E192" i="91"/>
  <c r="E100" i="92" s="1"/>
  <c r="M182" i="91"/>
  <c r="H90" i="92"/>
  <c r="H191" i="91"/>
  <c r="S192"/>
  <c r="S100" i="92" s="1"/>
  <c r="S99"/>
  <c r="U90"/>
  <c r="U191" i="91"/>
  <c r="J191"/>
  <c r="J90" i="92"/>
  <c r="W90" s="1"/>
  <c r="W99" s="1"/>
  <c r="W100" s="1"/>
  <c r="O90"/>
  <c r="O191" i="91"/>
  <c r="F90" i="92"/>
  <c r="F191" i="91"/>
  <c r="I99" i="92"/>
  <c r="I192" i="91"/>
  <c r="I100" i="92" s="1"/>
  <c r="H89"/>
  <c r="M181" i="91"/>
  <c r="V191"/>
  <c r="V90" i="92"/>
  <c r="L191" i="91"/>
  <c r="L90" i="92"/>
  <c r="G192" i="91"/>
  <c r="G100" i="92" s="1"/>
  <c r="G99"/>
  <c r="L192" i="91" l="1"/>
  <c r="L100" i="92" s="1"/>
  <c r="L99"/>
  <c r="V192" i="91"/>
  <c r="V100" i="92" s="1"/>
  <c r="V99"/>
  <c r="F192" i="91"/>
  <c r="F100" i="92" s="1"/>
  <c r="F99"/>
  <c r="O99"/>
  <c r="O192" i="91"/>
  <c r="O100" i="92" s="1"/>
  <c r="U99"/>
  <c r="U192" i="91"/>
  <c r="U100" i="92" s="1"/>
  <c r="H99"/>
  <c r="H192" i="91"/>
  <c r="H100" i="92" s="1"/>
  <c r="M90"/>
  <c r="R182" i="91"/>
  <c r="M191"/>
  <c r="M89" i="92"/>
  <c r="R181" i="91"/>
  <c r="R89" i="92" s="1"/>
  <c r="J99"/>
  <c r="J192" i="91"/>
  <c r="J100" i="92" s="1"/>
  <c r="Q192" i="91"/>
  <c r="Q100" i="92" s="1"/>
  <c r="Q99"/>
  <c r="M99" l="1"/>
  <c r="M192" i="91"/>
  <c r="M100" i="92" s="1"/>
  <c r="R90"/>
  <c r="R191" i="91"/>
  <c r="R192" l="1"/>
  <c r="R100" i="92" s="1"/>
  <c r="R99"/>
  <c r="B34" i="101" l="1"/>
  <c r="F34" l="1"/>
  <c r="C39"/>
  <c r="F52"/>
  <c r="E39"/>
  <c r="D39"/>
  <c r="B39"/>
  <c r="D42" l="1"/>
  <c r="D55" s="1"/>
  <c r="D41"/>
  <c r="D52"/>
  <c r="D59" s="1"/>
  <c r="D63" s="1"/>
  <c r="B41"/>
  <c r="B42"/>
  <c r="B52"/>
  <c r="E41"/>
  <c r="E52"/>
  <c r="E59" s="1"/>
  <c r="E63" s="1"/>
  <c r="E42"/>
  <c r="E55" s="1"/>
  <c r="C52"/>
  <c r="C41"/>
  <c r="C42"/>
  <c r="C55" s="1"/>
  <c r="C59" l="1"/>
  <c r="C63" s="1"/>
  <c r="B44"/>
  <c r="F41"/>
  <c r="B54"/>
  <c r="C44"/>
  <c r="C54"/>
  <c r="E44"/>
  <c r="E54"/>
  <c r="B55"/>
  <c r="B59" s="1"/>
  <c r="F42"/>
  <c r="F55" s="1"/>
  <c r="D44"/>
  <c r="D54"/>
  <c r="B63" l="1"/>
  <c r="F59"/>
  <c r="F63" s="1"/>
  <c r="D53"/>
  <c r="E43"/>
  <c r="E57"/>
  <c r="E56" s="1"/>
  <c r="C57"/>
  <c r="C56" s="1"/>
  <c r="C43"/>
  <c r="F40"/>
  <c r="F54"/>
  <c r="F53" s="1"/>
  <c r="D43"/>
  <c r="D57"/>
  <c r="D56" s="1"/>
  <c r="E61"/>
  <c r="E53"/>
  <c r="C53"/>
  <c r="B53"/>
  <c r="B43"/>
  <c r="F44"/>
  <c r="B57"/>
  <c r="B56" s="1"/>
  <c r="B61" l="1"/>
  <c r="E65"/>
  <c r="E64" s="1"/>
  <c r="E60"/>
  <c r="F43"/>
  <c r="F57"/>
  <c r="F56" s="1"/>
  <c r="C61"/>
  <c r="D61"/>
  <c r="C65" l="1"/>
  <c r="C64" s="1"/>
  <c r="C60"/>
  <c r="D60"/>
  <c r="D65"/>
  <c r="D64" s="1"/>
  <c r="B60"/>
  <c r="F61"/>
  <c r="B65"/>
  <c r="B64" s="1"/>
  <c r="F65" l="1"/>
  <c r="F64" s="1"/>
  <c r="F60"/>
</calcChain>
</file>

<file path=xl/comments1.xml><?xml version="1.0" encoding="utf-8"?>
<comments xmlns="http://schemas.openxmlformats.org/spreadsheetml/2006/main">
  <authors>
    <author>berdennikovasn</author>
  </authors>
  <commentList>
    <comment ref="Y58" authorId="0">
      <text>
        <r>
          <rPr>
            <b/>
            <sz val="8"/>
            <color indexed="81"/>
            <rFont val="Tahoma"/>
            <family val="2"/>
            <charset val="204"/>
          </rPr>
          <t>berdennikovasn:</t>
        </r>
        <r>
          <rPr>
            <sz val="8"/>
            <color indexed="81"/>
            <rFont val="Tahoma"/>
            <family val="2"/>
            <charset val="204"/>
          </rPr>
          <t xml:space="preserve">
выпадающие</t>
        </r>
      </text>
    </comment>
  </commentList>
</comments>
</file>

<file path=xl/sharedStrings.xml><?xml version="1.0" encoding="utf-8"?>
<sst xmlns="http://schemas.openxmlformats.org/spreadsheetml/2006/main" count="12049" uniqueCount="2048">
  <si>
    <t>1. Расходы на перекачку</t>
  </si>
  <si>
    <t>Электроэнергия</t>
  </si>
  <si>
    <t>Амортизация</t>
  </si>
  <si>
    <t>Ремонт и техобслуживание</t>
  </si>
  <si>
    <t>Затраты на оплату труда</t>
  </si>
  <si>
    <t>Отчисления на соцнужды</t>
  </si>
  <si>
    <t>Цеховые расходы</t>
  </si>
  <si>
    <t>2. Расходы на очистку</t>
  </si>
  <si>
    <t>Материалы</t>
  </si>
  <si>
    <t>Текущий ремонт</t>
  </si>
  <si>
    <t>Налоги и сборы</t>
  </si>
  <si>
    <t>Общеэксплуатационные расходы</t>
  </si>
  <si>
    <t>Всего расходов</t>
  </si>
  <si>
    <t>Реализация, тыс. куб. м</t>
  </si>
  <si>
    <t>Себестоимость, руб.</t>
  </si>
  <si>
    <t>1. Расходы на подъем воды</t>
  </si>
  <si>
    <t>3. Транспортировка воды</t>
  </si>
  <si>
    <t>показатели</t>
  </si>
  <si>
    <t>Поднято воды</t>
  </si>
  <si>
    <t>(тыс. куб. м)</t>
  </si>
  <si>
    <t>Расход на собств.нужды</t>
  </si>
  <si>
    <t>Подано воды в сеть</t>
  </si>
  <si>
    <t>Реализация воды - всего</t>
  </si>
  <si>
    <t>в том числе:</t>
  </si>
  <si>
    <t>населению</t>
  </si>
  <si>
    <t>техническая вода</t>
  </si>
  <si>
    <t>прочим потребителям</t>
  </si>
  <si>
    <t>от населения</t>
  </si>
  <si>
    <t>от бюджетных организаций</t>
  </si>
  <si>
    <t>от прочих</t>
  </si>
  <si>
    <t xml:space="preserve">Охрана труда </t>
  </si>
  <si>
    <t>ГСМ</t>
  </si>
  <si>
    <t>Информационные услуги</t>
  </si>
  <si>
    <t xml:space="preserve">Услуги связи </t>
  </si>
  <si>
    <t>Текущее содержание</t>
  </si>
  <si>
    <t>Ремонт автотранспорта</t>
  </si>
  <si>
    <t>Услуги банка, почты</t>
  </si>
  <si>
    <t>Проезд в отпуск</t>
  </si>
  <si>
    <t>Обучение</t>
  </si>
  <si>
    <t>Командировочные</t>
  </si>
  <si>
    <t>Аудиторские услуги</t>
  </si>
  <si>
    <t>Компенсация за транспорт</t>
  </si>
  <si>
    <t>Обслуживание газопровода</t>
  </si>
  <si>
    <t>Подписка</t>
  </si>
  <si>
    <t>%</t>
  </si>
  <si>
    <t>сумма</t>
  </si>
  <si>
    <t>водоснабжение</t>
  </si>
  <si>
    <t>водоотведение</t>
  </si>
  <si>
    <t>котельная</t>
  </si>
  <si>
    <t>Итого расходов</t>
  </si>
  <si>
    <t>в том числе</t>
  </si>
  <si>
    <t>Потери воды</t>
  </si>
  <si>
    <t>Услуги связи</t>
  </si>
  <si>
    <t xml:space="preserve">    размещение отходов</t>
  </si>
  <si>
    <t>Итого</t>
  </si>
  <si>
    <t>Цеховые расходы по водоснабжению МП "Горводоканал" г. Котлас</t>
  </si>
  <si>
    <t>(тыс. руб.)</t>
  </si>
  <si>
    <t>Динамика объемов реализации услуг водоснабжения и водоотведения  МП "Горводоканал" г. Котласа</t>
  </si>
  <si>
    <t>2008 год (факт)</t>
  </si>
  <si>
    <t>2009 год</t>
  </si>
  <si>
    <t>принято при утверждении тарифов</t>
  </si>
  <si>
    <t>факт</t>
  </si>
  <si>
    <t>в % к 2008</t>
  </si>
  <si>
    <t>1 полугодие (факт)</t>
  </si>
  <si>
    <t>ожидаемое</t>
  </si>
  <si>
    <t>в % ожидаемое к плану</t>
  </si>
  <si>
    <t>в % к 2009</t>
  </si>
  <si>
    <t>2010 год</t>
  </si>
  <si>
    <t>от неканализованного ж/фонда</t>
  </si>
  <si>
    <t>Основные средства до 20 т.р.</t>
  </si>
  <si>
    <t>Тариф, в руб./куб. м</t>
  </si>
  <si>
    <t xml:space="preserve">Страхование </t>
  </si>
  <si>
    <t>Заработная плата цехового персонала</t>
  </si>
  <si>
    <t>2009 год (факт)</t>
  </si>
  <si>
    <t xml:space="preserve"> в % к 2008</t>
  </si>
  <si>
    <t>Природный газ</t>
  </si>
  <si>
    <t>Канцелярские расходы</t>
  </si>
  <si>
    <t>Программы</t>
  </si>
  <si>
    <t>Ремонт вычислительной техники</t>
  </si>
  <si>
    <t>Техобслуживание</t>
  </si>
  <si>
    <t>прочие услуги</t>
  </si>
  <si>
    <t>в т.ч. платежи за сброс загрязняющих веществ в пределах норматива</t>
  </si>
  <si>
    <t>Цеховые расходы по водоотведению МП "Горводоканал" г. Котлас</t>
  </si>
  <si>
    <t>Охрана правого берега р. Лименда</t>
  </si>
  <si>
    <t>Котельная ФОС</t>
  </si>
  <si>
    <t>подъем воды</t>
  </si>
  <si>
    <t>предусмот-рено в тарифе</t>
  </si>
  <si>
    <t>очистка воды</t>
  </si>
  <si>
    <t>транспортировка воды</t>
  </si>
  <si>
    <t>проведение АВР</t>
  </si>
  <si>
    <t>Итого водоснабжение</t>
  </si>
  <si>
    <t>перекачка стоков</t>
  </si>
  <si>
    <t>очистка стоков</t>
  </si>
  <si>
    <t>транспортировка и утилизация стоков</t>
  </si>
  <si>
    <t>Итого водоотведение</t>
  </si>
  <si>
    <t>2011 год</t>
  </si>
  <si>
    <t>прогноз предприятия</t>
  </si>
  <si>
    <t>в % к действ. тарифу</t>
  </si>
  <si>
    <t>Аренда земли</t>
  </si>
  <si>
    <t>Вывоз мусора, захоронение ТБО</t>
  </si>
  <si>
    <t>расход, тн</t>
  </si>
  <si>
    <t>цена, руб./тн</t>
  </si>
  <si>
    <t>сумма, тыс. руб.</t>
  </si>
  <si>
    <t>Гипохлорит</t>
  </si>
  <si>
    <t>Хлор</t>
  </si>
  <si>
    <t>Полиакриламид</t>
  </si>
  <si>
    <t>Сода техническая</t>
  </si>
  <si>
    <t>Сода каустическая</t>
  </si>
  <si>
    <t>Химреактивы</t>
  </si>
  <si>
    <t>Сернокислый аллюминий</t>
  </si>
  <si>
    <t>9 месяцев (факт)</t>
  </si>
  <si>
    <t>Соль</t>
  </si>
  <si>
    <t>в % к 2010</t>
  </si>
  <si>
    <t>Расход воды на противопожарные нужды</t>
  </si>
  <si>
    <t>в том числе от неканализованного жилого фонда</t>
  </si>
  <si>
    <t>Доход от реализации услуг неканализованному ж/ф, тыс. руб.</t>
  </si>
  <si>
    <t>Итого расходов (без учета расходов по неканализованному ж/ф)</t>
  </si>
  <si>
    <t>% потерь к объему поданой  в сеть воды</t>
  </si>
  <si>
    <t>тариф</t>
  </si>
  <si>
    <t>Объем реализации (без неканализованного ж/ф, тыс.куб. м</t>
  </si>
  <si>
    <t>1 полугодие  (факт)</t>
  </si>
  <si>
    <t>Страховые взносы</t>
  </si>
  <si>
    <t>Принято стоков от потребителей</t>
  </si>
  <si>
    <t>в % к 2011</t>
  </si>
  <si>
    <t>2012 год</t>
  </si>
  <si>
    <t>уд.расход на 1 куб. м, в гр.</t>
  </si>
  <si>
    <t>предложение предприятия</t>
  </si>
  <si>
    <t>предложение агентства</t>
  </si>
  <si>
    <t>прогноз агентства</t>
  </si>
  <si>
    <t>предприятие</t>
  </si>
  <si>
    <t>агентство</t>
  </si>
  <si>
    <t>уд. расход на 1 куб. м, в гр.</t>
  </si>
  <si>
    <t>Объем очистки воды, тыс. куб. м</t>
  </si>
  <si>
    <t>Объем очистки стоков, тыс. куб. м</t>
  </si>
  <si>
    <t>9 месяцев</t>
  </si>
  <si>
    <t>4 квартал</t>
  </si>
  <si>
    <t>цена</t>
  </si>
  <si>
    <t>Квт</t>
  </si>
  <si>
    <t>кол-во, кВт∙ч</t>
  </si>
  <si>
    <t>Подъем воды</t>
  </si>
  <si>
    <t>Очистка воды</t>
  </si>
  <si>
    <t>Итого по водоснабжению:</t>
  </si>
  <si>
    <t>Перекачка сточной жидкости</t>
  </si>
  <si>
    <t xml:space="preserve">Очистка сточной жидкости </t>
  </si>
  <si>
    <t>Итого по водоотведению:</t>
  </si>
  <si>
    <t>Подъем воды, тыс. куб. м</t>
  </si>
  <si>
    <t>Удельный расход эл/энергии на подъем воды, кВт∙ч/куб. м</t>
  </si>
  <si>
    <t>Удельный расход эл/энергии на очистку воды, кВт∙ч/куб. м</t>
  </si>
  <si>
    <t>Очистка сточной жидкости, тыс. куб. м</t>
  </si>
  <si>
    <t>Удельный расход эл/энергии на перекачку сточной жидкости, кВт∙ч/куб. м</t>
  </si>
  <si>
    <t>Удельный расход эл/энергии на очистку сточной жидкости, кВт∙ч/куб. м</t>
  </si>
  <si>
    <t xml:space="preserve">тариф, руб./кВт∙ч </t>
  </si>
  <si>
    <t>кол-во, кВт.ч</t>
  </si>
  <si>
    <t>в % к действующему тарифу</t>
  </si>
  <si>
    <t>перекачка</t>
  </si>
  <si>
    <t>очистка</t>
  </si>
  <si>
    <t>транспортировка</t>
  </si>
  <si>
    <t>АВР</t>
  </si>
  <si>
    <t>подъем</t>
  </si>
  <si>
    <t>Объем воды, поданной в сеть, тыс. куб. м</t>
  </si>
  <si>
    <t>Краткое обоснование</t>
  </si>
  <si>
    <t>в % к 2012 (ожид.)</t>
  </si>
  <si>
    <t xml:space="preserve">2013 год </t>
  </si>
  <si>
    <t>2013 год</t>
  </si>
  <si>
    <t>питьевая</t>
  </si>
  <si>
    <t>техническая</t>
  </si>
  <si>
    <t xml:space="preserve">  потери</t>
  </si>
  <si>
    <t>в % к 2012</t>
  </si>
  <si>
    <t xml:space="preserve"> прогноз предприятия</t>
  </si>
  <si>
    <t>в % ожидаемое к 2011</t>
  </si>
  <si>
    <t>в % к 2012 (действ. тариф)</t>
  </si>
  <si>
    <t>Техосмотр автотрансп.средств</t>
  </si>
  <si>
    <t>Проживание (командировочные)</t>
  </si>
  <si>
    <t>Услуги нотариуса</t>
  </si>
  <si>
    <t>Суточные (командировочные)</t>
  </si>
  <si>
    <t>№</t>
  </si>
  <si>
    <t>Наименование   должности,    профессии   по   статьям   затрат</t>
  </si>
  <si>
    <t>Факт 2008г.</t>
  </si>
  <si>
    <t>Факт 2009г.</t>
  </si>
  <si>
    <t xml:space="preserve">регулируемый период 2010 г.                                            (предложение департамента экономики)  </t>
  </si>
  <si>
    <t>факт 2010 год</t>
  </si>
  <si>
    <t>2011 год ожидаемое</t>
  </si>
  <si>
    <t>Списочная числен-ность, чел.</t>
  </si>
  <si>
    <t xml:space="preserve">Расчетная среднеме-сячная зар. плата,                     </t>
  </si>
  <si>
    <t>Фонд опдаты труда</t>
  </si>
  <si>
    <t>Расчетная среднеме-сячная зар. плата,                      руб.</t>
  </si>
  <si>
    <t>Фонд опдаты труда, тыс.руб.</t>
  </si>
  <si>
    <t>Рост ср.месяч-ной  зар.                     платы                      к 2009г.</t>
  </si>
  <si>
    <t xml:space="preserve"> руб.</t>
  </si>
  <si>
    <t>рост к ожид за 2011 год</t>
  </si>
  <si>
    <t>тыс.руб.</t>
  </si>
  <si>
    <t>рост к утв в тарифе на 2011 год</t>
  </si>
  <si>
    <t>1.</t>
  </si>
  <si>
    <t>1.1.</t>
  </si>
  <si>
    <t>1.2.</t>
  </si>
  <si>
    <t>2.</t>
  </si>
  <si>
    <t>2.1.</t>
  </si>
  <si>
    <t>2.2.</t>
  </si>
  <si>
    <t>факт 2011 год</t>
  </si>
  <si>
    <t>2012 год  (учтено в тарифе)</t>
  </si>
  <si>
    <t>9 месяцев 2012 года (факт)</t>
  </si>
  <si>
    <t>2013 год предложение предприятия</t>
  </si>
  <si>
    <t>1.3.</t>
  </si>
  <si>
    <t>1.4.</t>
  </si>
  <si>
    <t>Водоснабжение (основное производство)</t>
  </si>
  <si>
    <t>Водоотведение (основное производство)</t>
  </si>
  <si>
    <t>2.3.</t>
  </si>
  <si>
    <t>2.4.</t>
  </si>
  <si>
    <t>транспортировка и утилизация сточной жидкости</t>
  </si>
  <si>
    <t>рост к действ. тарифу, в %</t>
  </si>
  <si>
    <t>рост к ожидае-мому, в %</t>
  </si>
  <si>
    <t>очистка от неканализ. жилфонда</t>
  </si>
  <si>
    <t>в  % к 2012 (действ. тариф)</t>
  </si>
  <si>
    <t>в  % к 2012 (ожид.)</t>
  </si>
  <si>
    <t>2012 год (9 месяцев)</t>
  </si>
  <si>
    <t>перекачка стоков 6 мес</t>
  </si>
  <si>
    <t xml:space="preserve">                                   3 кв</t>
  </si>
  <si>
    <t>очистка стоков  6 мес.</t>
  </si>
  <si>
    <t xml:space="preserve">                                 3 кв</t>
  </si>
  <si>
    <t>Основные средства до 40 т.р.</t>
  </si>
  <si>
    <t>Основные средства до 40 т. р.</t>
  </si>
  <si>
    <t>Итого (без услуг банка и почты)</t>
  </si>
  <si>
    <t>Итого (без банка и почты)</t>
  </si>
  <si>
    <t>в % 2012 (ожид.) к 2011</t>
  </si>
  <si>
    <t>подъем воды 6 мес.</t>
  </si>
  <si>
    <t>3 кв.</t>
  </si>
  <si>
    <t>очистка воды 6 мес.</t>
  </si>
  <si>
    <t xml:space="preserve"> 2010 год (факт)</t>
  </si>
  <si>
    <t>2011 год (факт)</t>
  </si>
  <si>
    <t>9 мес.</t>
  </si>
  <si>
    <t>Аква-аурат</t>
  </si>
  <si>
    <t>тариф, руб./кВт.ч</t>
  </si>
  <si>
    <t xml:space="preserve"> руб./кВт.ч</t>
  </si>
  <si>
    <t>Расчет расходов на оплату труда</t>
  </si>
  <si>
    <t>2013 год утверждено в тарифе</t>
  </si>
  <si>
    <t>2013 год факт за 9 мес.</t>
  </si>
  <si>
    <t>2014 год предложение предприятия</t>
  </si>
  <si>
    <t>2014 год предложение агентства</t>
  </si>
  <si>
    <t>2014 год</t>
  </si>
  <si>
    <t>в т.ч.</t>
  </si>
  <si>
    <t>факт 9 мес</t>
  </si>
  <si>
    <t xml:space="preserve">2014 год </t>
  </si>
  <si>
    <t>Плановые объемы реализации услуг водоснабжения и водоотведения на 2014 год по МП "Горводоканал"</t>
  </si>
  <si>
    <t>в % к дейст.тарифу</t>
  </si>
  <si>
    <t>в т.ч. 3 квартал</t>
  </si>
  <si>
    <t>Расчет расходов на электроэнергию МП "Горводоканал" МО "Котлас" на 2014 год</t>
  </si>
  <si>
    <t>Примечание</t>
  </si>
  <si>
    <t>утверждено в тарифе</t>
  </si>
  <si>
    <t>факт 9 мес.</t>
  </si>
  <si>
    <t>ожидаемое (от предприятия)</t>
  </si>
  <si>
    <t xml:space="preserve"> </t>
  </si>
  <si>
    <t>2012 год (факт)</t>
  </si>
  <si>
    <t>год</t>
  </si>
  <si>
    <t>2012 год факт</t>
  </si>
  <si>
    <t>Рост к утв.в тарифе, %</t>
  </si>
  <si>
    <t>Рост к факту за 9 мес.2013г., %</t>
  </si>
  <si>
    <t>по водоснабжению</t>
  </si>
  <si>
    <t>по водоотведению</t>
  </si>
  <si>
    <t>среднемесячная зп</t>
  </si>
  <si>
    <t>объем</t>
  </si>
  <si>
    <t>нвв</t>
  </si>
  <si>
    <t>1 полуг</t>
  </si>
  <si>
    <t>2 полуг</t>
  </si>
  <si>
    <t>Реализация воды</t>
  </si>
  <si>
    <t>население</t>
  </si>
  <si>
    <t>прочие потребители</t>
  </si>
  <si>
    <t>тех.вода</t>
  </si>
  <si>
    <t>январь</t>
  </si>
  <si>
    <t>февраль</t>
  </si>
  <si>
    <t>март</t>
  </si>
  <si>
    <t>апрель</t>
  </si>
  <si>
    <t>май</t>
  </si>
  <si>
    <t>июнь</t>
  </si>
  <si>
    <t>август</t>
  </si>
  <si>
    <t>октябрь</t>
  </si>
  <si>
    <t>ноябрь</t>
  </si>
  <si>
    <t>Реализация по предложению эксперта</t>
  </si>
  <si>
    <t>на уровне факта сент.2013 г</t>
  </si>
  <si>
    <t>на уровне факта июня-сентября 2013 года</t>
  </si>
  <si>
    <t>на уровне факта сент. 2013 г.</t>
  </si>
  <si>
    <t>ЭО тариф</t>
  </si>
  <si>
    <t>тариф для населения</t>
  </si>
  <si>
    <t>Выпадающие</t>
  </si>
  <si>
    <t>Предложение предприятия</t>
  </si>
  <si>
    <t>Принято в тариф</t>
  </si>
  <si>
    <t>электроэнергия</t>
  </si>
  <si>
    <t>амортизация</t>
  </si>
  <si>
    <t>МЦИ</t>
  </si>
  <si>
    <t>ремонт и ТО</t>
  </si>
  <si>
    <t>материалы</t>
  </si>
  <si>
    <t>цеховые расходы</t>
  </si>
  <si>
    <t>общеэксплуатационные</t>
  </si>
  <si>
    <t>налоги</t>
  </si>
  <si>
    <t>ИТОГО</t>
  </si>
  <si>
    <t xml:space="preserve">ЭОТ на питьевую воду </t>
  </si>
  <si>
    <t xml:space="preserve">ЭОТ на техническую воду </t>
  </si>
  <si>
    <t>Транспортровка воды КЭМЗ</t>
  </si>
  <si>
    <t>По предложению предприятия</t>
  </si>
  <si>
    <t>На 2014 год</t>
  </si>
  <si>
    <t>вода</t>
  </si>
  <si>
    <t>прочие</t>
  </si>
  <si>
    <t>Всего</t>
  </si>
  <si>
    <t>Расшифровка общехозяйственных расходов МП "Горводоканал" (тыс. руб.)</t>
  </si>
  <si>
    <t>Отчетный период
(2012 год)</t>
  </si>
  <si>
    <t>Принято агентством</t>
  </si>
  <si>
    <t>Факт</t>
  </si>
  <si>
    <t>Факт 1-е полугодие</t>
  </si>
  <si>
    <t>Факт
9 мес.</t>
  </si>
  <si>
    <t>Прогноз</t>
  </si>
  <si>
    <t>Предложение организации</t>
  </si>
  <si>
    <t>Экспертное предложение</t>
  </si>
  <si>
    <t>Зарплата АУП</t>
  </si>
  <si>
    <t>То же в % к  ФОТ АУП</t>
  </si>
  <si>
    <t>Численность АУП, ед.</t>
  </si>
  <si>
    <t>Среднемесячная заработная плата АУП, руб.</t>
  </si>
  <si>
    <t>Транспортные расходы</t>
  </si>
  <si>
    <t>Участие в торгах по 223-ФЗ</t>
  </si>
  <si>
    <t>Ремонт основных средств</t>
  </si>
  <si>
    <t>Виды деятельности</t>
  </si>
  <si>
    <t>ожид.</t>
  </si>
  <si>
    <t>Факт 9 мес.</t>
  </si>
  <si>
    <t>то же в %</t>
  </si>
  <si>
    <t>НВВ</t>
  </si>
  <si>
    <t>Субсидии</t>
  </si>
  <si>
    <t>ЭОТ</t>
  </si>
  <si>
    <t>насел</t>
  </si>
  <si>
    <t>Инвестиционная составляющая</t>
  </si>
  <si>
    <t>Тариф с инвест. составляющей</t>
  </si>
  <si>
    <t>Население вода</t>
  </si>
  <si>
    <t>Население стоки</t>
  </si>
  <si>
    <t>стоки</t>
  </si>
  <si>
    <t>Тариф с ИП</t>
  </si>
  <si>
    <t>Субсидии 2013</t>
  </si>
  <si>
    <t>ЭОТ на стоки</t>
  </si>
  <si>
    <t>РОСТ НВВ без ИП</t>
  </si>
  <si>
    <t>РОСТ НВВ с ИП</t>
  </si>
  <si>
    <t>Динамика платежа за коммунальные услуги населения, проживающего в многоквартирном доме с полным благоустройством в г. Котласе</t>
  </si>
  <si>
    <t>Платеж рассчитан на семью из трех человек и площадь квартиры 54 м2 пятиэтажного дома</t>
  </si>
  <si>
    <t>Вид коммунальной услуги</t>
  </si>
  <si>
    <t>Ед. изм.</t>
  </si>
  <si>
    <t>На 01.01.2013</t>
  </si>
  <si>
    <t>На 01.07.2013</t>
  </si>
  <si>
    <t>На 01.07.2014</t>
  </si>
  <si>
    <t>Норматив на 1 человека, на 1 м2</t>
  </si>
  <si>
    <t>Тариф</t>
  </si>
  <si>
    <t>Платеж на семью из 3-х человек и квартиру 54 м2</t>
  </si>
  <si>
    <t>Доля КУ в общем платеже, в %</t>
  </si>
  <si>
    <t>Тарифы с 01.07.2013</t>
  </si>
  <si>
    <t>рост тарифа во 2 полугодии 2013</t>
  </si>
  <si>
    <t>ХВС</t>
  </si>
  <si>
    <t>куб.м/чел/мес</t>
  </si>
  <si>
    <t>Водоотведение</t>
  </si>
  <si>
    <t>Отопление</t>
  </si>
  <si>
    <t>Гкал/кв.м</t>
  </si>
  <si>
    <t>ГВС</t>
  </si>
  <si>
    <t>куб. м/чел/мес</t>
  </si>
  <si>
    <t>Газоснабжение</t>
  </si>
  <si>
    <t>кВт*ч</t>
  </si>
  <si>
    <t>ПЛАТЕЖ</t>
  </si>
  <si>
    <t>БЕЗ УЧЕТА РЕСУРСА НА ОБЩЕДОМОВЫЕ НУЖДЫ</t>
  </si>
  <si>
    <t>Объем</t>
  </si>
  <si>
    <t>Водоснабжение</t>
  </si>
  <si>
    <t xml:space="preserve">рост </t>
  </si>
  <si>
    <t>рост</t>
  </si>
  <si>
    <t>Расход на химреагенты МП "Горводоканал" г. Котласа</t>
  </si>
  <si>
    <t>2013 год факт за 3 кв</t>
  </si>
  <si>
    <t>Субсидии 2014</t>
  </si>
  <si>
    <t>Отклонение</t>
  </si>
  <si>
    <t>Технол.нужды в % от подъема</t>
  </si>
  <si>
    <t>Амортизационные отчисления по МП "Горводоканал" г. Котласа</t>
  </si>
  <si>
    <t>по питьевой воде</t>
  </si>
  <si>
    <t>по техн. воде</t>
  </si>
  <si>
    <t>по очистке</t>
  </si>
  <si>
    <t>Наименование</t>
  </si>
  <si>
    <t>на водоснабжение</t>
  </si>
  <si>
    <t>на водоотведение</t>
  </si>
  <si>
    <t>кол-во</t>
  </si>
  <si>
    <t xml:space="preserve">2015 год </t>
  </si>
  <si>
    <t>факт 2013 год</t>
  </si>
  <si>
    <t>2015 год</t>
  </si>
  <si>
    <t>средние удельные нормы за период 2010-2013</t>
  </si>
  <si>
    <t>2013 год факт</t>
  </si>
  <si>
    <t>2015 год предложение предприятия</t>
  </si>
  <si>
    <t>питьевая вода</t>
  </si>
  <si>
    <t>техн. вода</t>
  </si>
  <si>
    <t>факт за год</t>
  </si>
  <si>
    <t>2015 год предложение агентства</t>
  </si>
  <si>
    <t>факт 9 месяцев</t>
  </si>
  <si>
    <t>тоже в %</t>
  </si>
  <si>
    <t>Среднее за 2010-2013</t>
  </si>
  <si>
    <t>1 полугодие</t>
  </si>
  <si>
    <t>факт за 1 полугодие</t>
  </si>
  <si>
    <t>Предложение агентства</t>
  </si>
  <si>
    <t>факт за 9 месяцев</t>
  </si>
  <si>
    <t xml:space="preserve"> предложение предприятия</t>
  </si>
  <si>
    <t>в % к дейст</t>
  </si>
  <si>
    <t>Объем, тыс. куб.м.</t>
  </si>
  <si>
    <t>Тариф, руб./куб.м.</t>
  </si>
  <si>
    <t>НВВ, тыс.руб.</t>
  </si>
  <si>
    <t>БЕЗ УЧЕТА ИП</t>
  </si>
  <si>
    <t>Объем субсидий, тыс.руб.</t>
  </si>
  <si>
    <t>ВОДОСНАБЖЕНИЕ</t>
  </si>
  <si>
    <t>С УЧЕТОМ ИП</t>
  </si>
  <si>
    <t>1 полугодие 2015 года</t>
  </si>
  <si>
    <t>2 полугодие 2015 года</t>
  </si>
  <si>
    <t>ВОДООТВЕДЕНИЕ</t>
  </si>
  <si>
    <t>Рост к 1 полугодию, %</t>
  </si>
  <si>
    <t>Рост к среднегодовому, %</t>
  </si>
  <si>
    <t>год (факт)</t>
  </si>
  <si>
    <t>технологические нужды</t>
  </si>
  <si>
    <t>Потери, всего</t>
  </si>
  <si>
    <t>доля на население</t>
  </si>
  <si>
    <t>доля на прочих потребителей</t>
  </si>
  <si>
    <t>Объем, тыс.куб.м.</t>
  </si>
  <si>
    <t>Итого водный налог</t>
  </si>
  <si>
    <t>Плата за водопользование</t>
  </si>
  <si>
    <t>По предложению агентства</t>
  </si>
  <si>
    <t>Хлор жидкий</t>
  </si>
  <si>
    <t>Гипохлорит натрия</t>
  </si>
  <si>
    <t>Сода кальцинированная</t>
  </si>
  <si>
    <t>Полиакриломид гель</t>
  </si>
  <si>
    <t>Цена, руб./т (счет-фактура 2014 г.)</t>
  </si>
  <si>
    <t>Цена за провоз, руб/т (счет фактура 2014 г.)</t>
  </si>
  <si>
    <t>ИЦП на 2015 год по химреагентам</t>
  </si>
  <si>
    <t>ИЦП на 2015 г. по ж/д перевозкам</t>
  </si>
  <si>
    <t>Сернокислый алюминий</t>
  </si>
  <si>
    <t>Плановая цена по химреагентам</t>
  </si>
  <si>
    <t>Плановая цена по ж/д перевозкам</t>
  </si>
  <si>
    <t>Итого цена ХР, руб./т</t>
  </si>
  <si>
    <t>Расчет цена на химреагенты по предложению эксперта на 2015 год</t>
  </si>
  <si>
    <t>факт за 1 полугодие 2014</t>
  </si>
  <si>
    <t>факт за 9 месяцев 2014</t>
  </si>
  <si>
    <t>Факт за 1 полугодие</t>
  </si>
  <si>
    <t>На 01.01.2014</t>
  </si>
  <si>
    <t>На 01.07.2015</t>
  </si>
  <si>
    <t>Прибыль (5% ГО)</t>
  </si>
  <si>
    <t>Прибыль (5 % ГО)</t>
  </si>
  <si>
    <t>Субсидии 2015</t>
  </si>
  <si>
    <t>ВОДА БЕЗ ИП</t>
  </si>
  <si>
    <t>ВОДА С ИП вода</t>
  </si>
  <si>
    <t>ТЕХ ВОДА</t>
  </si>
  <si>
    <t>СТОКИ С ИП вода</t>
  </si>
  <si>
    <t>СТОКИ без ИП</t>
  </si>
  <si>
    <t>СТОКИ С ИП</t>
  </si>
  <si>
    <t>макс ИП</t>
  </si>
  <si>
    <t>Тариф по электроэнергии принят на уровне фактического за 3 квартал 2014 года с увеличением с 01.07.2015 на 105,6%.</t>
  </si>
  <si>
    <t>Удельные расходы приняты:</t>
  </si>
  <si>
    <t>по водоснабжниею на подъем и очистку</t>
  </si>
  <si>
    <t>по водоснабжниею на транспортровку</t>
  </si>
  <si>
    <t>по водоотведению на транспортировку</t>
  </si>
  <si>
    <t>по водоотведению на очистку</t>
  </si>
  <si>
    <t>как среднее значение от фактических удельных расходов за период 2010-2013 годы</t>
  </si>
  <si>
    <t>на уровне утвержденного в тарифе</t>
  </si>
  <si>
    <t>Рост к факт</t>
  </si>
  <si>
    <t>Материалы на текущий ремон согласн опредставленных смет</t>
  </si>
  <si>
    <t xml:space="preserve">Локальный СМЕТный расчет № </t>
  </si>
  <si>
    <t>«Ремонт колодцев и арматуры водопроводных  наружных сетей г. Котласа</t>
  </si>
  <si>
    <t>Обосно-</t>
  </si>
  <si>
    <t>ЦЕНА ЕДИНИЦЫ</t>
  </si>
  <si>
    <t>ОБЩАЯ СТОИМОСТЬ</t>
  </si>
  <si>
    <t>затр.тр.раб.</t>
  </si>
  <si>
    <t>п/п</t>
  </si>
  <si>
    <t>вание</t>
  </si>
  <si>
    <t>работ и затрат</t>
  </si>
  <si>
    <t>Кол-во</t>
  </si>
  <si>
    <t>всего</t>
  </si>
  <si>
    <t>экс.маш.</t>
  </si>
  <si>
    <t>зарплата</t>
  </si>
  <si>
    <t>затр.тр.маш.</t>
  </si>
  <si>
    <t>цен</t>
  </si>
  <si>
    <t>ЗП маш</t>
  </si>
  <si>
    <t>единич</t>
  </si>
  <si>
    <t>ФЕРр66-22-01</t>
  </si>
  <si>
    <t xml:space="preserve">Замена люков и кирпичных горловин колодцев и камер </t>
  </si>
  <si>
    <t>[Индекс 1-2014 к ФЕР-2001 (в ред. 2009) Арх. обл. 1 зона: Внешние инженерные сети водопровода из труб: стальных.: (Кз=24,83; Кзм=24,83; Кэм=9,95; Км=4,66)]</t>
  </si>
  <si>
    <t>люк</t>
  </si>
  <si>
    <t>ФЕР22-03-006-01</t>
  </si>
  <si>
    <t xml:space="preserve">Установка задвижек или клапанов обратных чугунных диаметром 50 мм </t>
  </si>
  <si>
    <t>1 задвижка (или клапан обратный)</t>
  </si>
  <si>
    <t>ФЕР22-03-006-02</t>
  </si>
  <si>
    <t xml:space="preserve">Установка задвижек или клапанов обратных чугунных диаметром 80 мм </t>
  </si>
  <si>
    <t>ФЕР22-03-006-03</t>
  </si>
  <si>
    <t xml:space="preserve">Установка задвижек или клапанов обратных чугунных диаметром 100 мм </t>
  </si>
  <si>
    <t>ФЕР22-03-006-05</t>
  </si>
  <si>
    <t xml:space="preserve">Установка задвижек или клапанов обратных чугунных диаметром 150 мм </t>
  </si>
  <si>
    <t>ФЕР22-03-006-06</t>
  </si>
  <si>
    <t xml:space="preserve">Установка задвижек или клапанов обратных чугунных диаметром 200 мм </t>
  </si>
  <si>
    <t>ФЕРр65-18-02</t>
  </si>
  <si>
    <t xml:space="preserve">Ремонт задвижек диаметром 100 мм со снятием с места </t>
  </si>
  <si>
    <t>100 шт. арматуры</t>
  </si>
  <si>
    <t>ФЕРр65-18-04</t>
  </si>
  <si>
    <t xml:space="preserve">Ремонт задвижек диаметром 150 мм со снятием с места </t>
  </si>
  <si>
    <t>ФЕРр65-18-06</t>
  </si>
  <si>
    <t xml:space="preserve">Ремонт задвижек диаметром 200 мм со снятием с места </t>
  </si>
  <si>
    <t>ИТОГО материалов</t>
  </si>
  <si>
    <t>«Аварийный ремонт наружных сетей водопровода г. Котласа.»</t>
  </si>
  <si>
    <t>ФЕРр66-15-01</t>
  </si>
  <si>
    <t xml:space="preserve">Замена участков трубопроводов диаметром до 100 мм </t>
  </si>
  <si>
    <t>вставка длиной 6 м</t>
  </si>
  <si>
    <t>ФЕРр66-15-02</t>
  </si>
  <si>
    <t xml:space="preserve">Замена участков трубопроводов диаметром до 200 мм </t>
  </si>
  <si>
    <t>ФЕРр66-15-03</t>
  </si>
  <si>
    <t xml:space="preserve">Замена участков трубопроводов диаметром до 300 мм </t>
  </si>
  <si>
    <t>ИТОГО материалов по вдоснабжению</t>
  </si>
  <si>
    <r>
      <t>от 16.11.2014</t>
    </r>
    <r>
      <rPr>
        <sz val="14"/>
        <rFont val="Arial"/>
        <family val="2"/>
        <charset val="204"/>
      </rPr>
      <t xml:space="preserve"> </t>
    </r>
  </si>
  <si>
    <r>
      <t>Локальный СМЕТный расчет №</t>
    </r>
    <r>
      <rPr>
        <b/>
        <sz val="11"/>
        <rFont val="Arial"/>
        <family val="2"/>
        <charset val="204"/>
      </rPr>
      <t xml:space="preserve"> </t>
    </r>
  </si>
  <si>
    <r>
      <t>от 17.11.2014</t>
    </r>
    <r>
      <rPr>
        <sz val="14"/>
        <rFont val="Arial"/>
        <family val="2"/>
        <charset val="204"/>
      </rPr>
      <t xml:space="preserve"> </t>
    </r>
  </si>
  <si>
    <t>«Ремонт  канализационных колодцев и прочистка труб канализации..»</t>
  </si>
  <si>
    <t>[Индекс 1-2014 к ФЕР-2001 (в ред. 2009) Арх. обл. 1 зона: Внешние инженерные сети канализации из труб: чугунных.: (Кз=24,83; Кзм=24,83; Кэм=10,91; Км=7,32)]</t>
  </si>
  <si>
    <t>ФЕРр68-15-04</t>
  </si>
  <si>
    <t xml:space="preserve">Ремонт асфальтобетонного покрытия дорог однослойного толщиной 70 мм площадью ремонта до 25 м2 </t>
  </si>
  <si>
    <t xml:space="preserve">[1: (Кз=1,2; Кзм=1,2; Кэм=1,2; Ктр=1,2); </t>
  </si>
  <si>
    <t>100 м2</t>
  </si>
  <si>
    <t>Индекс 1-2014 к ФЕР-2001 (в ред. 2009) Арх. обл. 1 зона: Внешние инженерные сети канализации из труб: чугунных.: (Кз=24,83; Кзм=24,83; Кэм=10,91; Км=7,32)]</t>
  </si>
  <si>
    <t>ФЕРр53-16-01</t>
  </si>
  <si>
    <t xml:space="preserve">Ремонт кладки стен отдельными местами кирпичной </t>
  </si>
  <si>
    <t xml:space="preserve">[6: (Кз=1,1; Ктр=1,1); </t>
  </si>
  <si>
    <t>м3 кладки</t>
  </si>
  <si>
    <t>ФЕРр52-14-01</t>
  </si>
  <si>
    <t xml:space="preserve">Ремонт обмазочной изоляции фундаментов </t>
  </si>
  <si>
    <t>ФЕРр66-43-01</t>
  </si>
  <si>
    <t xml:space="preserve">Промывка канализационных трубопроводов диаметром 150 - 250 мм </t>
  </si>
  <si>
    <t>100 м трубопровода</t>
  </si>
  <si>
    <r>
      <t xml:space="preserve">Локальный СМЕТный расчет № </t>
    </r>
    <r>
      <rPr>
        <b/>
        <sz val="11"/>
        <rFont val="Arial"/>
        <family val="2"/>
        <charset val="204"/>
      </rPr>
      <t xml:space="preserve"> </t>
    </r>
  </si>
  <si>
    <t>Выпадающие расходы прошлых периодов</t>
  </si>
  <si>
    <t>Расходы прошлых периодов, неучтенные при установлении тарифов</t>
  </si>
  <si>
    <t>Предложение предприятия (из материалов дела на 2014 год)</t>
  </si>
  <si>
    <t>Принято в тариф на 2015 год</t>
  </si>
  <si>
    <t>УСЛУГИ ВОДОСНАБЖЕНИЯ</t>
  </si>
  <si>
    <t>УСЛУГИ ВОДООТВЕДЕНИЯ</t>
  </si>
  <si>
    <t>Прогноз предприятия</t>
  </si>
  <si>
    <t>Утверждено АТЦ</t>
  </si>
  <si>
    <t>Факт 1 полугодие</t>
  </si>
  <si>
    <t>Факт 9 месяцев</t>
  </si>
  <si>
    <t>Изм., %</t>
  </si>
  <si>
    <t>Реализация воды - всего, в т.ч.</t>
  </si>
  <si>
    <t>Принято стоков - всего, в т.ч.</t>
  </si>
  <si>
    <t>технической воды</t>
  </si>
  <si>
    <t>питьевой воды</t>
  </si>
  <si>
    <t>Поднято воды всего, в т.ч.</t>
  </si>
  <si>
    <t>Подано воды в сеть всего, в т.ч.</t>
  </si>
  <si>
    <t>4. Проведение АВР</t>
  </si>
  <si>
    <t>транспортный налог</t>
  </si>
  <si>
    <t>плата за загрязн.окр.среды</t>
  </si>
  <si>
    <t>налог на имущество</t>
  </si>
  <si>
    <t>Показатели</t>
  </si>
  <si>
    <t>неканализ. жилфонд</t>
  </si>
  <si>
    <t>НВВ Всего, тыс. руб.</t>
  </si>
  <si>
    <t>НВВ с инвест. составляющей, руб.</t>
  </si>
  <si>
    <t>3. Транспортировка и утилизация стоков</t>
  </si>
  <si>
    <t>медосмотр</t>
  </si>
  <si>
    <t>проезд в отпуск</t>
  </si>
  <si>
    <t>аренда подъездного пути</t>
  </si>
  <si>
    <t>проверка лаборат.оборуд.</t>
  </si>
  <si>
    <t>компенсация за транспорт</t>
  </si>
  <si>
    <t>экспертиза к лицензии</t>
  </si>
  <si>
    <t>транспортные расходы</t>
  </si>
  <si>
    <t>обучение</t>
  </si>
  <si>
    <t>информационные услуги</t>
  </si>
  <si>
    <t>командировочные расходы</t>
  </si>
  <si>
    <t>обслуживание газопровода</t>
  </si>
  <si>
    <t>аренда земли</t>
  </si>
  <si>
    <t>отопление</t>
  </si>
  <si>
    <t>дератизация</t>
  </si>
  <si>
    <t>текущее содержание</t>
  </si>
  <si>
    <t>вывоз мусора</t>
  </si>
  <si>
    <t>исследование воды</t>
  </si>
  <si>
    <t>Предл. предпр.</t>
  </si>
  <si>
    <t>Предл. АТЦ</t>
  </si>
  <si>
    <t>в % к дейст.тар.</t>
  </si>
  <si>
    <t>вознагражд. по агентскому дог-ру</t>
  </si>
  <si>
    <t>захоронение осадка ила</t>
  </si>
  <si>
    <t>предл. предпр.</t>
  </si>
  <si>
    <t>предл. АТЦ</t>
  </si>
  <si>
    <t>факт 1 полуг.</t>
  </si>
  <si>
    <t xml:space="preserve">В том числе </t>
  </si>
  <si>
    <t>Расчет цены 3 квартала 2014 г.</t>
  </si>
  <si>
    <t>Сумма</t>
  </si>
  <si>
    <t>Очистка сточной жидкости</t>
  </si>
  <si>
    <t>Тыс. куб.</t>
  </si>
  <si>
    <t>кВт/куб.м.</t>
  </si>
  <si>
    <t>Подано в сеть</t>
  </si>
  <si>
    <t>обезвреживание опасных отходов</t>
  </si>
  <si>
    <t>услуги банка и почты</t>
  </si>
  <si>
    <t>командировочные</t>
  </si>
  <si>
    <t>утилизация покрышек</t>
  </si>
  <si>
    <t>Январь</t>
  </si>
  <si>
    <t>Февраль</t>
  </si>
  <si>
    <t>Март</t>
  </si>
  <si>
    <t xml:space="preserve">Апрель 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</si>
  <si>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</si>
  <si>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</si>
  <si>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</si>
  <si>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</si>
  <si>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</si>
  <si>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</si>
  <si>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</si>
  <si>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</si>
  <si>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6 мес.</t>
  </si>
  <si>
    <t>2 кв.</t>
  </si>
  <si>
    <t>1 кв.</t>
  </si>
  <si>
    <t>Проверка</t>
  </si>
  <si>
    <t>Всего                2015</t>
  </si>
  <si>
    <t>Топливо ГСМ</t>
  </si>
  <si>
    <t>Страхование гражданской ответств.</t>
  </si>
  <si>
    <t>Охрана труда</t>
  </si>
  <si>
    <t>Содержание зданий всего, в т.ч.</t>
  </si>
  <si>
    <t>Аренда подъездного пути</t>
  </si>
  <si>
    <t>Проверка приборов, оборудования</t>
  </si>
  <si>
    <t>Прочие расходы всего, в т.ч.</t>
  </si>
  <si>
    <t>Итого (без агентских услуг)</t>
  </si>
  <si>
    <t>Экспертиза, пробы, проекты, лицензии</t>
  </si>
  <si>
    <t>Услуги банка, почты, ИРЦ</t>
  </si>
  <si>
    <t>канцелярские расходы</t>
  </si>
  <si>
    <t>Св-во о регистр, техосмотр, выдача гос. №</t>
  </si>
  <si>
    <t>Вознагражд. по агентскому договору</t>
  </si>
  <si>
    <t>План цеховых расходов по водоснабжению по видам технологического процесса на 2015 год с учетом календарной разбивки</t>
  </si>
  <si>
    <t>Ремонт и техническое обслуживание</t>
  </si>
  <si>
    <t>Процент отнесения расходов</t>
  </si>
  <si>
    <t>1. Цеховые расх. на перекачку стоков</t>
  </si>
  <si>
    <t>2. Цеховые расх. на очистку стоков</t>
  </si>
  <si>
    <t>3. Цеховые расх. на транспортир. стоков</t>
  </si>
  <si>
    <t>4. Цеховые расх. на провед. АВР стоки</t>
  </si>
  <si>
    <t>Перекачка стоков</t>
  </si>
  <si>
    <t>ИТР КНС</t>
  </si>
  <si>
    <t>Заработная плата</t>
  </si>
  <si>
    <t>Страховые</t>
  </si>
  <si>
    <t>КНС</t>
  </si>
  <si>
    <t>Вывоз мусора</t>
  </si>
  <si>
    <t>Проезд к месту отдыха</t>
  </si>
  <si>
    <t xml:space="preserve">Топливо </t>
  </si>
  <si>
    <t>ВСЕГО</t>
  </si>
  <si>
    <t>Очистка стоков</t>
  </si>
  <si>
    <t>КОС</t>
  </si>
  <si>
    <t>ИТР КОС</t>
  </si>
  <si>
    <t>Дератизация</t>
  </si>
  <si>
    <t>Вознаграждение по агентскому договору</t>
  </si>
  <si>
    <t>Обезвреживание опасных отходов</t>
  </si>
  <si>
    <t>Природный газ (отопление)</t>
  </si>
  <si>
    <t>Страхование особо опасных объектов</t>
  </si>
  <si>
    <t>Транспортировка стоков</t>
  </si>
  <si>
    <t>Техосмотр транспортных средств</t>
  </si>
  <si>
    <t>Транспортные расходы (услуги)</t>
  </si>
  <si>
    <t>транспортные расходы (услуги)</t>
  </si>
  <si>
    <t xml:space="preserve">Экспертиза, пробы, проекты, лицензии </t>
  </si>
  <si>
    <t>Транспорт</t>
  </si>
  <si>
    <t>Проведение АВР</t>
  </si>
  <si>
    <t>ИТР АВР</t>
  </si>
  <si>
    <t>ПРОПОРЦИОНАЛЬНОЕ РАСПРЕДЕЛЕНИЕ ЦЕХОВЫХ РАСХОДОВ ЗА ГОД</t>
  </si>
  <si>
    <t>Командировочн. расходы</t>
  </si>
  <si>
    <t>ИТР Тран.</t>
  </si>
  <si>
    <t>природный газ (отопление)</t>
  </si>
  <si>
    <t>Страхование гражданской ответствен.</t>
  </si>
  <si>
    <t>Неканализ. Жифонд</t>
  </si>
  <si>
    <t>на нужды ГВС МП "ОК и ТС"</t>
  </si>
  <si>
    <t>на нужды ГВС ОАО "РЖД"</t>
  </si>
  <si>
    <t>2015 ГОД</t>
  </si>
  <si>
    <t>Факт 2014 год</t>
  </si>
  <si>
    <t>Предложение организации, всего</t>
  </si>
  <si>
    <t>Регулируемый период
(2016 год)</t>
  </si>
  <si>
    <t>Регулируемый период (2016 год) предложение предприятия</t>
  </si>
  <si>
    <t>Регулируемый период (2016 год) предложение агентства</t>
  </si>
  <si>
    <t xml:space="preserve">2016 год </t>
  </si>
  <si>
    <t>2016 ГОД</t>
  </si>
  <si>
    <t>руб./тыс. куб.м.</t>
  </si>
  <si>
    <t>Объем всего, в том числе</t>
  </si>
  <si>
    <t>Аварийный ремонт наружных сетей водопровода г. Котласа.</t>
  </si>
  <si>
    <t>(наименование стройки)</t>
  </si>
  <si>
    <r>
      <t>Локальный СМЕТный расчет № 2</t>
    </r>
    <r>
      <rPr>
        <b/>
        <sz val="11"/>
        <rFont val="Arial"/>
        <family val="2"/>
        <charset val="204"/>
      </rPr>
      <t xml:space="preserve"> </t>
    </r>
  </si>
  <si>
    <r>
      <t>от 08.04.2015</t>
    </r>
    <r>
      <rPr>
        <sz val="14"/>
        <rFont val="Arial"/>
        <family val="2"/>
        <charset val="204"/>
      </rPr>
      <t xml:space="preserve"> </t>
    </r>
  </si>
  <si>
    <t>Основание: чертежи №</t>
  </si>
  <si>
    <t>Составлен в базовых ценах:</t>
  </si>
  <si>
    <t xml:space="preserve"> ФЕР-2001г.(в редакции 2009г.) с индексами 4 кв. 2014г.</t>
  </si>
  <si>
    <t>Сметная стоимость работ:_______</t>
  </si>
  <si>
    <t>821 297</t>
  </si>
  <si>
    <t>Руб.</t>
  </si>
  <si>
    <t>Трудоемкость работ: _____________</t>
  </si>
  <si>
    <t>Чел.час.</t>
  </si>
  <si>
    <t>Средства на оплату труда: ________</t>
  </si>
  <si>
    <t>148 987</t>
  </si>
  <si>
    <t xml:space="preserve">        Ремонтные работы</t>
  </si>
  <si>
    <t>ФЕР01-01-003-09</t>
  </si>
  <si>
    <t xml:space="preserve">Разработка грунта в отвал экскаваторами "драглайн" или "обратная лопата" с ковшом вместимостью 0,65 (0,5-1) м3, группа грунтов 3 </t>
  </si>
  <si>
    <t>[Индекс 4-2014 к ФЕР-2001  Арх. обл. 1 зона: Внешние инженерные сети водопровода из труб: стальных.: (Кз=24,94; Кзм=24,94; Кэм=10,39; Км=4,59)]</t>
  </si>
  <si>
    <t>1000 м3 грунта</t>
  </si>
  <si>
    <t>ФЕР01-02-055-09</t>
  </si>
  <si>
    <t xml:space="preserve">Разработка грунта вручную с креплениями в траншеях шириной до 2 м, глубиной до 3 м, группа грунтов 3 </t>
  </si>
  <si>
    <t>100 м3 грунта</t>
  </si>
  <si>
    <t>ФЕР01-02-068-01</t>
  </si>
  <si>
    <t xml:space="preserve">Водоотлив из траншей </t>
  </si>
  <si>
    <t>100 м3 мокрого грунта</t>
  </si>
  <si>
    <t>ФЕР01-02-066-01</t>
  </si>
  <si>
    <t xml:space="preserve">Крепление инвентарными щитами стенок траншей шириной до 2 м в грунтах неустойчивых и мокрых </t>
  </si>
  <si>
    <t>100 м2 креплений</t>
  </si>
  <si>
    <t>ФЕР23-01-001-01</t>
  </si>
  <si>
    <t xml:space="preserve">Устройство основания песчаного </t>
  </si>
  <si>
    <t>10 м3 основания</t>
  </si>
  <si>
    <t>ФЕР22-06-011-01</t>
  </si>
  <si>
    <t xml:space="preserve">Подвешивание подземных коммуникаций при пересечении их трассой трубопровода, площадь сечения коробов до 0,1 м2 </t>
  </si>
  <si>
    <t>1 м короба</t>
  </si>
  <si>
    <t>ФЕР01-01-034-03</t>
  </si>
  <si>
    <t xml:space="preserve">Засыпка траншей и котлованов с перемещением грунта до 5 м бульдозерами мощностью 96 (130) кВт (л.с.), 3 группа грунтов </t>
  </si>
  <si>
    <t>ФЕР01-02-061-03</t>
  </si>
  <si>
    <t xml:space="preserve">Засыпка вручную траншей, пазух котлованов и ям, группа грунтов 3 </t>
  </si>
  <si>
    <t>ФЕРр66-27-01</t>
  </si>
  <si>
    <t xml:space="preserve">Промывка трубопроводов диаметром до 150 мм </t>
  </si>
  <si>
    <t>ФЕРр66-27-02</t>
  </si>
  <si>
    <t xml:space="preserve">Промывка трубопроводов диаметром до 300 мм </t>
  </si>
  <si>
    <t xml:space="preserve">        И т о г о   п о   р а з д е л у</t>
  </si>
  <si>
    <t xml:space="preserve">        В с е г о</t>
  </si>
  <si>
    <t>Наименование затрат</t>
  </si>
  <si>
    <t>Коэффициент</t>
  </si>
  <si>
    <t>Процент</t>
  </si>
  <si>
    <t>в руб.</t>
  </si>
  <si>
    <t>499 570</t>
  </si>
  <si>
    <t>Накладные расходы (ГЭСН-01 механизированный способ)</t>
  </si>
  <si>
    <t>1 997</t>
  </si>
  <si>
    <t>Накладные расходы (ГЭСН-01 ручной способ)</t>
  </si>
  <si>
    <t>7 018</t>
  </si>
  <si>
    <t>Накладные расходы (ГЭСН-01 другие виды (подготовительные,сопутствующие,укрепительные))</t>
  </si>
  <si>
    <t>7 593</t>
  </si>
  <si>
    <t>Накладные расходы (ГЭСН-22,23,24 Наружные сети водопровода,канализации,теплоснабжения,газопроводы)</t>
  </si>
  <si>
    <t>4 317</t>
  </si>
  <si>
    <t>Накладные расходы (ГЭСНр-66 Наружные инженерные сети: другие работы)</t>
  </si>
  <si>
    <t>79 465</t>
  </si>
  <si>
    <t>Итого накладных расходов</t>
  </si>
  <si>
    <t>100 390</t>
  </si>
  <si>
    <t>599 960</t>
  </si>
  <si>
    <t>Сметная прибыль (ГЭСН-01 механизированный способ)</t>
  </si>
  <si>
    <t>1 566</t>
  </si>
  <si>
    <t>Сметная прибыль (ГЭСН-01 ручной способ)</t>
  </si>
  <si>
    <t>5 931</t>
  </si>
  <si>
    <t>Сметная прибыль (ГЭСН-01 другие виды (подготовительные,сопутствующие,укрепительные))</t>
  </si>
  <si>
    <t>6 417</t>
  </si>
  <si>
    <t>Сметная прибыль (ГЭСН-22,23,24 Наружные сети водопровода,канализации,теплоснабжения,газопроводы)</t>
  </si>
  <si>
    <t>4 403</t>
  </si>
  <si>
    <t>Сметная прибыль (ГЭСНр-66 Наружные инженерные сети: другие работы)</t>
  </si>
  <si>
    <t>77 737</t>
  </si>
  <si>
    <t>Итого сметной прибыли</t>
  </si>
  <si>
    <t>96 054</t>
  </si>
  <si>
    <t>696 014</t>
  </si>
  <si>
    <t>НДС</t>
  </si>
  <si>
    <t>125 283</t>
  </si>
  <si>
    <t>В С Е Г О</t>
  </si>
  <si>
    <t>Ремонт колодцев и арматуры водопроводных  наружных сетей г. Котласа.</t>
  </si>
  <si>
    <r>
      <t>Локальный СМЕТный расчет № 1</t>
    </r>
    <r>
      <rPr>
        <b/>
        <sz val="11"/>
        <rFont val="Arial"/>
        <family val="2"/>
        <charset val="204"/>
      </rPr>
      <t xml:space="preserve"> </t>
    </r>
  </si>
  <si>
    <t>«Ремонт колодцев и арматуры водопроводных  наружных сетей г. Котласа.»</t>
  </si>
  <si>
    <t xml:space="preserve"> ФЕР-2001г.(в редакции 2009г) с индексами 4 кв. 2014г.</t>
  </si>
  <si>
    <t>772 319</t>
  </si>
  <si>
    <t>197 101</t>
  </si>
  <si>
    <t xml:space="preserve">        Водопровод</t>
  </si>
  <si>
    <t>7DAAW7RUS7RTF7RecCode7ENDPAR7</t>
  </si>
  <si>
    <t xml:space="preserve">Водоотлив из колодцев. </t>
  </si>
  <si>
    <t>ФЕРр68-12-04</t>
  </si>
  <si>
    <t xml:space="preserve">Разборка покрытий и оснований асфальтобетонных с помощью молотков отбойных </t>
  </si>
  <si>
    <t>Индекс 4-2014 к ФЕР-2001  Арх. обл. 1 зона: Внешние инженерные сети водопровода из труб: стальных.: (Кз=24,94; Кзм=24,94; Кэм=10,39; Км=4,59)]</t>
  </si>
  <si>
    <t>100 м3 конструкций</t>
  </si>
  <si>
    <t>ФЕРр66-08-01</t>
  </si>
  <si>
    <t xml:space="preserve">Демонтаж чугунных люков </t>
  </si>
  <si>
    <t>ФЕР23-04-011-01</t>
  </si>
  <si>
    <t xml:space="preserve">Установка люка без стоимости люка </t>
  </si>
  <si>
    <t>1 шт.</t>
  </si>
  <si>
    <t>ФЕРр66-10-04</t>
  </si>
  <si>
    <t xml:space="preserve">Очистка камер от мокрого ила и грязи при наличии труб с отключенным теплоносителем </t>
  </si>
  <si>
    <t>м3 ила, грязи</t>
  </si>
  <si>
    <t>ФЕРр66-26-02</t>
  </si>
  <si>
    <t xml:space="preserve">Демонтаж задвижек диаметром до 100 мм </t>
  </si>
  <si>
    <t>задвижка</t>
  </si>
  <si>
    <t>ФЕРр66-26-03</t>
  </si>
  <si>
    <t xml:space="preserve">Демонтаж задвижек диаметром до 150 мм </t>
  </si>
  <si>
    <t>ФЕРр66-26-04</t>
  </si>
  <si>
    <t xml:space="preserve">Демонтаж задвижек диаметром до 200 мм </t>
  </si>
  <si>
    <t>424 248</t>
  </si>
  <si>
    <t>8 312</t>
  </si>
  <si>
    <t>Накладные расходы (ГЭСНр-68 Благоустройство)</t>
  </si>
  <si>
    <t>18 121</t>
  </si>
  <si>
    <t>20 426</t>
  </si>
  <si>
    <t>10 249</t>
  </si>
  <si>
    <t>Накладные расходы (ГЭСНр-53 Стены)</t>
  </si>
  <si>
    <t>16 467</t>
  </si>
  <si>
    <t>Накладные расходы (ГЭСНр-52 Фундаменты)</t>
  </si>
  <si>
    <t>12 481</t>
  </si>
  <si>
    <t>Накладные расходы (ГЭСНр-66 Наружные инженерные сети: разборка, очистка)</t>
  </si>
  <si>
    <t>11 737</t>
  </si>
  <si>
    <t>Накладные расходы (ГЭСНр-65 Внутренние санитарно-технические работы: смена труб, сан.приборов и другие работы)</t>
  </si>
  <si>
    <t>18 474</t>
  </si>
  <si>
    <t>116 267</t>
  </si>
  <si>
    <t>540 515</t>
  </si>
  <si>
    <t>7 024</t>
  </si>
  <si>
    <t>Сметная прибыль (ГЭСНр-68 Благоустройство)</t>
  </si>
  <si>
    <t>15 588</t>
  </si>
  <si>
    <t>19 982</t>
  </si>
  <si>
    <t>1 722</t>
  </si>
  <si>
    <t>Сметная прибыль (ГЭСНр-53 Стены)</t>
  </si>
  <si>
    <t>19 960</t>
  </si>
  <si>
    <t>Сметная прибыль (ГЭСНр-52 Фундаменты)</t>
  </si>
  <si>
    <t>15 038</t>
  </si>
  <si>
    <t>Сметная прибыль (ГЭСНр-66 Наружные инженерные сети: разборка, очистка)</t>
  </si>
  <si>
    <t>10 162</t>
  </si>
  <si>
    <t>8 450</t>
  </si>
  <si>
    <t>Сметная прибыль (ГЭСНр-65 Внутренние санитарно-технические работы: смена труб, сан.приборов и другие работы)</t>
  </si>
  <si>
    <t>16 064</t>
  </si>
  <si>
    <t>113 991</t>
  </si>
  <si>
    <t>654 508</t>
  </si>
  <si>
    <t>117 811</t>
  </si>
  <si>
    <t>ВСЕГО РЕМОНТ ПО ВОДЕ</t>
  </si>
  <si>
    <t>Ремонт  канализационных колодцев и прочистка труб канализации..</t>
  </si>
  <si>
    <r>
      <t>Локальный СМЕТный расчет № 3</t>
    </r>
    <r>
      <rPr>
        <b/>
        <sz val="11"/>
        <rFont val="Arial"/>
        <family val="2"/>
        <charset val="204"/>
      </rPr>
      <t xml:space="preserve"> </t>
    </r>
  </si>
  <si>
    <t xml:space="preserve"> ФЕР-2001г.(в редакции 2009г.)  с индексами 4 квартал 2014г.</t>
  </si>
  <si>
    <t>1 081 767</t>
  </si>
  <si>
    <t>184 813</t>
  </si>
  <si>
    <t xml:space="preserve">        наружная канализация</t>
  </si>
  <si>
    <t>[Индекс 4-2014 к ФЕР-2001 Арх. обл. 1 зона: Внешние инженерные сети канализации из труб: чугунных.: (Кз=24,94; Кзм=24,94; Кэм=11,53; Км=7,5)]</t>
  </si>
  <si>
    <t>Индекс 4-2014 к ФЕР-2001 Арх. обл. 1 зона: Внешние инженерные сети канализации из труб: чугунных.: (Кз=24,94; Кзм=24,94; Кэм=11,53; Км=7,5)]</t>
  </si>
  <si>
    <t>679 239</t>
  </si>
  <si>
    <t>14 390</t>
  </si>
  <si>
    <t>60 920</t>
  </si>
  <si>
    <t>2 358</t>
  </si>
  <si>
    <t>12 808</t>
  </si>
  <si>
    <t>9 178</t>
  </si>
  <si>
    <t>119 702</t>
  </si>
  <si>
    <t>798 942</t>
  </si>
  <si>
    <t>12 378</t>
  </si>
  <si>
    <t>59 596</t>
  </si>
  <si>
    <t>2 067</t>
  </si>
  <si>
    <t>15 524</t>
  </si>
  <si>
    <t>11 057</t>
  </si>
  <si>
    <t>117 809</t>
  </si>
  <si>
    <t>916 752</t>
  </si>
  <si>
    <t>165 015</t>
  </si>
  <si>
    <t>ИТОГО РЕМОНТ ПО СТОКАМ</t>
  </si>
  <si>
    <t>факт 2014 год</t>
  </si>
  <si>
    <t>2016 год</t>
  </si>
  <si>
    <t>транспортир. и утилиз. стоков</t>
  </si>
  <si>
    <t xml:space="preserve">в % к 2015 </t>
  </si>
  <si>
    <t>в % к 2014</t>
  </si>
  <si>
    <t>Сода</t>
  </si>
  <si>
    <t>Расчет расходов на электроэнергию МП "Горводоканал" МО "Котлас"</t>
  </si>
  <si>
    <t>факт 2014 г.</t>
  </si>
  <si>
    <t>кол-во, тыс. кВт.ч</t>
  </si>
  <si>
    <t>На 2015 год</t>
  </si>
  <si>
    <t>На 2016 год</t>
  </si>
  <si>
    <t>прочим потребителям для осуществления ГВС - всего, в т.ч.</t>
  </si>
  <si>
    <t>Расчет платы за водопользование</t>
  </si>
  <si>
    <t>из них плата за водопользование</t>
  </si>
  <si>
    <t>к дейст.тарифу</t>
  </si>
  <si>
    <t>подъем, доля %</t>
  </si>
  <si>
    <t>очистка, доля %</t>
  </si>
  <si>
    <t>транспортировка, доля %</t>
  </si>
  <si>
    <t>АВР, доля %</t>
  </si>
  <si>
    <t>Содержание зданий, в том числе</t>
  </si>
  <si>
    <t>обезвоживание опасных отходов</t>
  </si>
  <si>
    <t>Прочие расходы, в том числе</t>
  </si>
  <si>
    <t>перекачка, доля %</t>
  </si>
  <si>
    <t>Содержание зданий всего, в том числе</t>
  </si>
  <si>
    <t>Прочие расходы всего, в том числе</t>
  </si>
  <si>
    <t>Принято в тариф на 2016 год</t>
  </si>
  <si>
    <t>СРЕДНЕМЕСЯЧНАЯ ЗАРАБОТНАЯ ПЛАТА</t>
  </si>
  <si>
    <t>факт за 9 месяцев 2015</t>
  </si>
  <si>
    <t>факт 1 полугодие 2015</t>
  </si>
  <si>
    <t>2016 год предложение предприятия</t>
  </si>
  <si>
    <t>2016 год предложение агентства</t>
  </si>
  <si>
    <t>факт 1 полугодие 2015 год</t>
  </si>
  <si>
    <t>факт 9 месяцев 2015 год</t>
  </si>
  <si>
    <t>предложение предприятия 2016 год</t>
  </si>
  <si>
    <t>предложение агентства 2016 год</t>
  </si>
  <si>
    <t>Итого водный налог (расчет)</t>
  </si>
  <si>
    <t>Плата за пользование водным объектом (река Лименда) в соответствии с договором водопользования</t>
  </si>
  <si>
    <t>Итого размер платы за пользование водными объектами в соответствии с договором водопользования</t>
  </si>
  <si>
    <t>Предложение предприятия (из материалов дела на 2015 год)</t>
  </si>
  <si>
    <t>1 полугодие 2016 года</t>
  </si>
  <si>
    <t>2 полугодие 2016 года</t>
  </si>
  <si>
    <t>тех. вода</t>
  </si>
  <si>
    <t>эк. обосн.</t>
  </si>
  <si>
    <t>ПРЕДЛОЖЕНИЕ АГЕНТСТВА          ВОДОСНАБЖЕНИЕ (РЕГУЛИРУЕМЫЙ ПЕРИОД 2016 ГОД)</t>
  </si>
  <si>
    <t>УТВЕРЖДЕНО          ВОДОСНАБЖЕНИЕ (РЕГУЛИРУЕМЫЙ ПЕРИОД 2015 ГОД)</t>
  </si>
  <si>
    <t>ПРЕДЛОЖЕНИЕ ПРЕДПРИЯТИЯ          ВОДОСНАБЖЕНИЕ (РЕГУЛИРУЕМЫЙ ПЕРИОД 2016 ГОД)</t>
  </si>
  <si>
    <t>УТВЕРЖДЕНО          ВОДООТВЕДЕНИЕ (РЕГУЛИРУЕМЫЙ ПЕРИОД 2015 ГОД)</t>
  </si>
  <si>
    <t>ПРЕДЛОЖЕНИЕ ПРЕДПРИЯТИЯ          ВОДООТВЕДЕНИЕ (РЕГУЛИРУЕМЫЙ ПЕРИОД 2016 ГОД)</t>
  </si>
  <si>
    <t>ПРЕДЛОЖЕНИЕ АГЕНТСТВА          ВОДООТВЕДЕНИЕ (РЕГУЛИРУЕМЫЙ ПЕРИОД 2016 ГОД)</t>
  </si>
  <si>
    <t>стоки (очистка)</t>
  </si>
  <si>
    <t>Объем воды, поданной на очистку, тыс. куб. м</t>
  </si>
  <si>
    <t>Цена, руб./т (договор 2015 г.)</t>
  </si>
  <si>
    <t>ИЦП на 2016 год по химреагентам</t>
  </si>
  <si>
    <t>ИЦП на 2016 г. по ж/д перевозкам</t>
  </si>
  <si>
    <t>Расчет цена на химреагенты по предложению эксперта на 2016 год</t>
  </si>
  <si>
    <t>2017 ГОД</t>
  </si>
  <si>
    <t>2018 ГОД</t>
  </si>
  <si>
    <t>Принято в тариф расходы на материалы</t>
  </si>
  <si>
    <t>ВСЕГО РЕМОНТ ПО ВОДЕ по предложению предприятия</t>
  </si>
  <si>
    <t>Принято в тариф расходы на материалы ИТОГО</t>
  </si>
  <si>
    <t>Договор? Пока поставлено по предложению организации ГВС</t>
  </si>
  <si>
    <t>Процент на уровне фактического за 2014 год</t>
  </si>
  <si>
    <t>Приложение № 14</t>
  </si>
  <si>
    <t xml:space="preserve">Факт </t>
  </si>
  <si>
    <t>Темп изменения отпуска воды по формуле</t>
  </si>
  <si>
    <t>Принятый темп изменения отпуска воды для расчета тарифа</t>
  </si>
  <si>
    <t>Расчетный объем отпуска воды (по формуле п.5 МУ)</t>
  </si>
  <si>
    <t>Очищено стоков - всего, в т.ч.</t>
  </si>
  <si>
    <t>Расчет,расшифровку?</t>
  </si>
  <si>
    <t>Очищено сточных вод</t>
  </si>
  <si>
    <t>Принято сточных вод - всего, в т.ч.</t>
  </si>
  <si>
    <t>выпадающие по химреагентам за 1полугодие 2015 года</t>
  </si>
  <si>
    <t>Предложение предприятия (из материалов дела на 2016 год)</t>
  </si>
  <si>
    <t>Удельные нормы приняты исходя из фактических удельных норм за 2014 год. Расчет цены произведен в отдельной таблице</t>
  </si>
  <si>
    <t>Флокулянт Праестол</t>
  </si>
  <si>
    <t>Полиоксилхлорид алюминия</t>
  </si>
  <si>
    <t>Резерв</t>
  </si>
  <si>
    <t>№ п/п</t>
  </si>
  <si>
    <t>Единица
измерений</t>
  </si>
  <si>
    <t>Краткое обоснование расчета</t>
  </si>
  <si>
    <t>2017 год</t>
  </si>
  <si>
    <t>2018 год</t>
  </si>
  <si>
    <t>индекс эффективности операционных расходов</t>
  </si>
  <si>
    <t>х</t>
  </si>
  <si>
    <t>индекс потребительских цен</t>
  </si>
  <si>
    <t>индекс количества активов</t>
  </si>
  <si>
    <t>Необходимая валовая выручка</t>
  </si>
  <si>
    <t>тыс. руб.</t>
  </si>
  <si>
    <t>1.1</t>
  </si>
  <si>
    <t>Текущие расходы</t>
  </si>
  <si>
    <t>1.1.1</t>
  </si>
  <si>
    <t>Операционные расходы</t>
  </si>
  <si>
    <t>1.1.2</t>
  </si>
  <si>
    <t>Расходы на приобретение электрической энергии (мощности), тепловой энергии, топлива, других видов энергоресурсов и холодной воды</t>
  </si>
  <si>
    <t>1.1.3</t>
  </si>
  <si>
    <t>Неподконтрольные расходы, в том числе</t>
  </si>
  <si>
    <t>1.1.3.1.</t>
  </si>
  <si>
    <t>расходы на оплату товаров (услуг, работ), приобретаемых у других организаций, осуществляющих регулируемые виды деятельности</t>
  </si>
  <si>
    <t>1.1.3.2.</t>
  </si>
  <si>
    <t>расходы на уплату налогов, сборов и других обязательных платежей, в том числе обязательного страхования, включая плату за негативное воздействие на окружающую среду, в пределах, установленных нормативов и (или) лимитов;</t>
  </si>
  <si>
    <t>1.1.3.3.</t>
  </si>
  <si>
    <t>расходы на арендную плату, концессионную плату и лизинговые платежи</t>
  </si>
  <si>
    <t>1.1.3.4.</t>
  </si>
  <si>
    <t>расходы по сомнительным долгам для гарантирующей организации в размере не более 2 процентов от НВВ населения за предыдущий период регулирования;</t>
  </si>
  <si>
    <t>1.1.3.5.</t>
  </si>
  <si>
    <t>экономия средств</t>
  </si>
  <si>
    <t>1.1.3.6.</t>
  </si>
  <si>
    <t>расходы на обслуживание бесхозяйных сетей</t>
  </si>
  <si>
    <t>1.1.3.7.</t>
  </si>
  <si>
    <t>расходы на компенсацию экономически обоснованных расходов, не учтенных в прошлые периоды регулирования, и (или) недополученных доходов</t>
  </si>
  <si>
    <t>1.2</t>
  </si>
  <si>
    <t>Нормативный уровень прибыли</t>
  </si>
  <si>
    <t>1.3</t>
  </si>
  <si>
    <t>Нормативная прибыль</t>
  </si>
  <si>
    <t>1.3.1</t>
  </si>
  <si>
    <t>расходы на капитальные вложения (инвестиции)</t>
  </si>
  <si>
    <t>1.3.2</t>
  </si>
  <si>
    <t>средства на возврат займов и кредитов, проценты по займам и кредитам, привлекаемым на реализацию инвестпрограммы и пополнение оборотных средств</t>
  </si>
  <si>
    <t>1.3.3</t>
  </si>
  <si>
    <t>расходы на социальные нужды, предусмотренные коллективными договорами</t>
  </si>
  <si>
    <t>Расчетная предпринимательская прибыль гарантирующей организации (не более 5% от текущих+амортизация - расходы по займам и кредитам)</t>
  </si>
  <si>
    <t xml:space="preserve">Объем водоснабжения </t>
  </si>
  <si>
    <t>тыс. куб. м</t>
  </si>
  <si>
    <t>в том числе НАСЕЛЕНИЮ</t>
  </si>
  <si>
    <t>3.</t>
  </si>
  <si>
    <t xml:space="preserve">Тариф на водоснабжение </t>
  </si>
  <si>
    <t>руб. куб. м</t>
  </si>
  <si>
    <t>с 01 января</t>
  </si>
  <si>
    <t>с 01 июля</t>
  </si>
  <si>
    <t>Рост тарифов</t>
  </si>
  <si>
    <t>4.</t>
  </si>
  <si>
    <t>Тариф на водоснабжение для НАСЕЛЕНИЯ</t>
  </si>
  <si>
    <t>руб./куб.м</t>
  </si>
  <si>
    <t>Размер субсидии</t>
  </si>
  <si>
    <t>Расчет тарифа на питьевую воду для МУП "Горводоканал"</t>
  </si>
  <si>
    <t>Ремонт контактных осветлителей на ОСВ</t>
  </si>
  <si>
    <t>Ремонт колодцев и арматуры водопроводных наружных сетей</t>
  </si>
  <si>
    <t>Аварийный ремонт наружных сетей водоснабжения</t>
  </si>
  <si>
    <t>всего, без НДС</t>
  </si>
  <si>
    <t>Наименование мероприятия</t>
  </si>
  <si>
    <t>Реализация мероприятий по рекоснрукции за счет амортизации или инвестиционной программы</t>
  </si>
  <si>
    <t>Предусмотрены материалы в текущем ремонте</t>
  </si>
  <si>
    <t>ИТОГО по водоснабжению</t>
  </si>
  <si>
    <t>Расходы на капитальный ремонт объектов ВКХ МО "Котлас"</t>
  </si>
  <si>
    <t>Перекладка канализации из ж/б труб (переход на ул. Володарского)</t>
  </si>
  <si>
    <t>Перекладка наружной канализации по ул. Володарского, 104</t>
  </si>
  <si>
    <t>Перекладка напорной канализации от КНС-6 г. Котласа</t>
  </si>
  <si>
    <t>ИТОГО по водоотведению</t>
  </si>
  <si>
    <t>Капиатльные вложения за счет амортизации или инвестиционной программы</t>
  </si>
  <si>
    <t>Приложение</t>
  </si>
  <si>
    <t>согласно ИП</t>
  </si>
  <si>
    <t>Объем реализации населению</t>
  </si>
  <si>
    <t>Выручка</t>
  </si>
  <si>
    <t>Водоснабжение на 2016 год</t>
  </si>
  <si>
    <t>Водоотведение на 2016 год</t>
  </si>
  <si>
    <t>Водоснабжение на 2017 год</t>
  </si>
  <si>
    <t>Водоотведение на 2017 год</t>
  </si>
  <si>
    <t>Резерв 2 % от выручки</t>
  </si>
  <si>
    <t>Тариф 2014 года</t>
  </si>
  <si>
    <t>Объем реализации населению 2014 г</t>
  </si>
  <si>
    <t>Выручка 2014 г</t>
  </si>
  <si>
    <t>1 полугодие года</t>
  </si>
  <si>
    <t>2 полугодие года</t>
  </si>
  <si>
    <t>Тариф 2015 года</t>
  </si>
  <si>
    <t>Объем реализации населению 2015 г</t>
  </si>
  <si>
    <t>Выручка 2015 год</t>
  </si>
  <si>
    <t>Водоснабжение на 2018 год</t>
  </si>
  <si>
    <t>Водоотведение на 2018 год</t>
  </si>
  <si>
    <t>Тариф 2016 года</t>
  </si>
  <si>
    <t>Не приняты в соответствии с п.12 Мет.указаний № 1746-э</t>
  </si>
  <si>
    <t>Расчет тарифа на техническую воду воду для МУП "Горводоканал"</t>
  </si>
  <si>
    <t>Расчет тарифа на услуги водоотведения для МУП "Горводоканал"</t>
  </si>
  <si>
    <t>Ремонт колодцев и прочистка сетей канализации</t>
  </si>
  <si>
    <t>Расчет агентства по налогу на имущество на 2016 год</t>
  </si>
  <si>
    <t>Показатель</t>
  </si>
  <si>
    <t>Ед.изм.</t>
  </si>
  <si>
    <t>Значение</t>
  </si>
  <si>
    <t>тыс.руб</t>
  </si>
  <si>
    <t>Стоимость ОС на 31 декабря 2015 года</t>
  </si>
  <si>
    <t>Стоимость ОС на 01 января 2016 года</t>
  </si>
  <si>
    <t>Стоимость ОС на 31 декабря 2016 года</t>
  </si>
  <si>
    <t>ставка налога</t>
  </si>
  <si>
    <t>На уровне факт.налога за 9 мес.2015 года</t>
  </si>
  <si>
    <t xml:space="preserve">В размере 30,10% (на уровне факт.за 2014 год) от скорректированного ФОТ </t>
  </si>
  <si>
    <t>Расчет среднемесячной заработной платы</t>
  </si>
  <si>
    <t>1 разряд</t>
  </si>
  <si>
    <t>2 разряд</t>
  </si>
  <si>
    <t xml:space="preserve">3 разряд </t>
  </si>
  <si>
    <t xml:space="preserve">4 разряд </t>
  </si>
  <si>
    <t>5 разряд</t>
  </si>
  <si>
    <t>6 разряд</t>
  </si>
  <si>
    <t xml:space="preserve">7 разряд </t>
  </si>
  <si>
    <t>8 разряд</t>
  </si>
  <si>
    <t xml:space="preserve"> 9 разряд</t>
  </si>
  <si>
    <t>руб.</t>
  </si>
  <si>
    <t xml:space="preserve">Базовая месячная тарифная ставка рабочего 1 разряда </t>
  </si>
  <si>
    <t>Межразрядный тарифный коэффициент</t>
  </si>
  <si>
    <t xml:space="preserve">Средняя ставка </t>
  </si>
  <si>
    <t xml:space="preserve">Доплаты стимулирующего и (или) компенсирующего характера, связанные с режимом работы и условиями труда
</t>
  </si>
  <si>
    <t>Премия</t>
  </si>
  <si>
    <t>Вознаграждения по итогам года</t>
  </si>
  <si>
    <t>Выслуга</t>
  </si>
  <si>
    <t>Районный коэффициент</t>
  </si>
  <si>
    <t>Северная надбавка</t>
  </si>
  <si>
    <t>Среднемесячная заработная плата 1 работника, руб.</t>
  </si>
  <si>
    <t>межразрядные коэффициенты</t>
  </si>
  <si>
    <t>разряд</t>
  </si>
  <si>
    <t>коэффициент</t>
  </si>
  <si>
    <t>Рост к факт.9 мес.2015, %</t>
  </si>
  <si>
    <t>По предложению агентства среднемесячная  заработная плата в целом по производственным рабочим составляет на 2016 год - 27 353,60 руб. Соответствует параметрам отраслевого тарифного соглашения по заработной плате рабочего 4 разряда. В тоже время по имеющемуся у предприятия оборудованию, сетям и мощности объектов средний разряд рабочих равен 3.</t>
  </si>
  <si>
    <t>Транспортные расходы  за 2011 год</t>
  </si>
  <si>
    <t>1 квартал 2011 года</t>
  </si>
  <si>
    <t>наименование</t>
  </si>
  <si>
    <t>№ документа</t>
  </si>
  <si>
    <t>оказание услуг</t>
  </si>
  <si>
    <t>маш/час</t>
  </si>
  <si>
    <t>поставщика</t>
  </si>
  <si>
    <t>и дата</t>
  </si>
  <si>
    <t>ООО" Северсплав"</t>
  </si>
  <si>
    <t>13 от 04.02</t>
  </si>
  <si>
    <t>транспортные услуги</t>
  </si>
  <si>
    <t>ООО Водолей</t>
  </si>
  <si>
    <t>7 от 14.03.11</t>
  </si>
  <si>
    <t>"</t>
  </si>
  <si>
    <t>8 от 18.03.11</t>
  </si>
  <si>
    <t>10 от 25.03.11</t>
  </si>
  <si>
    <t>12 от 31.03.11</t>
  </si>
  <si>
    <t>вывоз ила</t>
  </si>
  <si>
    <t>14 от 31.03.11</t>
  </si>
  <si>
    <t>ООО Деловые линии</t>
  </si>
  <si>
    <t>277962 от 11.01.11</t>
  </si>
  <si>
    <t>ООО " Северсплав</t>
  </si>
  <si>
    <t>2 от 11.01.11г</t>
  </si>
  <si>
    <t>6 от 17.01</t>
  </si>
  <si>
    <t>Котласский ЛДК</t>
  </si>
  <si>
    <t>0028 от 17.01.11</t>
  </si>
  <si>
    <t>00100001443 от 19.01</t>
  </si>
  <si>
    <t>11 от 31.01.11</t>
  </si>
  <si>
    <t>0058 от 31.01.11</t>
  </si>
  <si>
    <t>1 от 21.02.11</t>
  </si>
  <si>
    <t>4 от 9.03</t>
  </si>
  <si>
    <t>5 от 10.03.11</t>
  </si>
  <si>
    <t>Тех.ПД. Котлас</t>
  </si>
  <si>
    <t>7057,7064 от 15,02</t>
  </si>
  <si>
    <t>ООО Орбита  сервис"</t>
  </si>
  <si>
    <t>34 от 25.02.11</t>
  </si>
  <si>
    <t>17 от 1.03.11</t>
  </si>
  <si>
    <t>18 от 11.03.11</t>
  </si>
  <si>
    <t>19 от 15.03</t>
  </si>
  <si>
    <t>21 от 17.03.11</t>
  </si>
  <si>
    <t>8 от 18,03</t>
  </si>
  <si>
    <t>0239 от 21.03</t>
  </si>
  <si>
    <t>27 от 25.03</t>
  </si>
  <si>
    <t>0178 от 28.02.11</t>
  </si>
  <si>
    <t>Итого за 1 квартал 2011 года</t>
  </si>
  <si>
    <t>2 квартал 2011 года</t>
  </si>
  <si>
    <t>31 от 5.04.11</t>
  </si>
  <si>
    <t>усл. КАМАЗ</t>
  </si>
  <si>
    <t>34 от 13.04.11</t>
  </si>
  <si>
    <t>31 от 5.04</t>
  </si>
  <si>
    <t>перевока ила</t>
  </si>
  <si>
    <t>ООО" Водолей"</t>
  </si>
  <si>
    <t>15 от 20.04</t>
  </si>
  <si>
    <t>перевозка ила</t>
  </si>
  <si>
    <t>ИП Скрипин</t>
  </si>
  <si>
    <t>11/1 от 5.05</t>
  </si>
  <si>
    <t>перевозка техники</t>
  </si>
  <si>
    <t>ИП Бабикова</t>
  </si>
  <si>
    <t>06 от 31.05.11</t>
  </si>
  <si>
    <t>вывоз на свалку</t>
  </si>
  <si>
    <t>ООО Строй-Сервис"</t>
  </si>
  <si>
    <t>11 от 31.05</t>
  </si>
  <si>
    <t>27 от 3.06</t>
  </si>
  <si>
    <t>2  от 28.06</t>
  </si>
  <si>
    <t>ООО Строй  сервис"</t>
  </si>
  <si>
    <t>13 от 30.06</t>
  </si>
  <si>
    <t>14 от 30.06</t>
  </si>
  <si>
    <t>ООО Котласский ЛДК</t>
  </si>
  <si>
    <t>0330 от 12.04</t>
  </si>
  <si>
    <t>расчистка дорог от снега</t>
  </si>
  <si>
    <t>МЧ -6</t>
  </si>
  <si>
    <t>111 от 14.04</t>
  </si>
  <si>
    <t>доп.усл ж.т.</t>
  </si>
  <si>
    <t>39 от 25.04</t>
  </si>
  <si>
    <t>планиповка грунта</t>
  </si>
  <si>
    <t>19 от 13.05</t>
  </si>
  <si>
    <t>перевозка кольца</t>
  </si>
  <si>
    <t>49 от 20.05.11</t>
  </si>
  <si>
    <t>перевозка труб</t>
  </si>
  <si>
    <t>98 от 26.05</t>
  </si>
  <si>
    <t>услуги КАМАЗ</t>
  </si>
  <si>
    <t>услуги экскаватора</t>
  </si>
  <si>
    <t>0464 от 30.05</t>
  </si>
  <si>
    <t>перевозка грунта</t>
  </si>
  <si>
    <t>51 от 30.05</t>
  </si>
  <si>
    <t>перевозка песка</t>
  </si>
  <si>
    <t>28 от 15,06</t>
  </si>
  <si>
    <t>33 от 22,06</t>
  </si>
  <si>
    <t>2 от 28.06</t>
  </si>
  <si>
    <t xml:space="preserve">0557 от 30.06 </t>
  </si>
  <si>
    <t>перевозка п/материалов</t>
  </si>
  <si>
    <t>62 от 17. 06</t>
  </si>
  <si>
    <t>перевозка экскаватора</t>
  </si>
  <si>
    <t>Итого за 2 квартал 2011 года</t>
  </si>
  <si>
    <t>Всего за 1 полугодие 2011 года</t>
  </si>
  <si>
    <t>3 квартал 2011 года</t>
  </si>
  <si>
    <t>ООО" Строй-Сервис""</t>
  </si>
  <si>
    <t>19 от 25.07.11</t>
  </si>
  <si>
    <t>5 от 29.07.11</t>
  </si>
  <si>
    <t>ИП " Крылов"</t>
  </si>
  <si>
    <t>1 от 5.08.11г</t>
  </si>
  <si>
    <t>ООО Сириус</t>
  </si>
  <si>
    <t>67 от 11.07</t>
  </si>
  <si>
    <t>техики</t>
  </si>
  <si>
    <t>ООО Трафис</t>
  </si>
  <si>
    <t>56 от 11.07</t>
  </si>
  <si>
    <t>услуги крана</t>
  </si>
  <si>
    <t>111 от 13.07</t>
  </si>
  <si>
    <t>ж.д. услуги</t>
  </si>
  <si>
    <t>43 от 27.07</t>
  </si>
  <si>
    <t>перевозка ж/б</t>
  </si>
  <si>
    <t>грунта</t>
  </si>
  <si>
    <t>ИП Крылов</t>
  </si>
  <si>
    <t>ж/б изделия</t>
  </si>
  <si>
    <t>МП МО Котлас ОК и ТС</t>
  </si>
  <si>
    <t>3058 от 5.08</t>
  </si>
  <si>
    <t>автокрана</t>
  </si>
  <si>
    <t>2 от 18.08</t>
  </si>
  <si>
    <t>89 от 24.08</t>
  </si>
  <si>
    <t>песка</t>
  </si>
  <si>
    <t>3 от 26.08</t>
  </si>
  <si>
    <t>93 от 31.08</t>
  </si>
  <si>
    <t>труб</t>
  </si>
  <si>
    <t>4 от 31.08</t>
  </si>
  <si>
    <t>5 от 09.09</t>
  </si>
  <si>
    <t>6 от 15.09</t>
  </si>
  <si>
    <t>95 от 30.09</t>
  </si>
  <si>
    <t>Итого за 3 квартал 2011 года</t>
  </si>
  <si>
    <t>Всего за 9 месяцев</t>
  </si>
  <si>
    <t>4 квартал 2011 года</t>
  </si>
  <si>
    <t>15Т от 4.10.11</t>
  </si>
  <si>
    <t>ООО Орбита сервис</t>
  </si>
  <si>
    <t>227 от 11.10.11</t>
  </si>
  <si>
    <t>17 от 16.12.11г</t>
  </si>
  <si>
    <t>8 от 5.10</t>
  </si>
  <si>
    <t>10 от24.10.11</t>
  </si>
  <si>
    <t>9 от 17.10.11г</t>
  </si>
  <si>
    <t>11 от 1.11</t>
  </si>
  <si>
    <t>13 от 15.11</t>
  </si>
  <si>
    <t>14 от 28.11</t>
  </si>
  <si>
    <t>ООО Северсплав</t>
  </si>
  <si>
    <t>110 от 10.11</t>
  </si>
  <si>
    <t>1001 от 15.11</t>
  </si>
  <si>
    <t>МЧ-6</t>
  </si>
  <si>
    <t>110000000162 от 16.11</t>
  </si>
  <si>
    <t>ООО Лендорстрой</t>
  </si>
  <si>
    <t>14 от 16.11</t>
  </si>
  <si>
    <t>1025 от 29.11.11</t>
  </si>
  <si>
    <t>1105 от 13.12.11</t>
  </si>
  <si>
    <t>Итого за 4 квартал 2011 года</t>
  </si>
  <si>
    <t>2011 г.</t>
  </si>
  <si>
    <t>Транспортные расходы за 2012 год</t>
  </si>
  <si>
    <t>1 квартал 2012 года</t>
  </si>
  <si>
    <t>ООО" Орбита Сервис"</t>
  </si>
  <si>
    <t>003 от 13.01.12г</t>
  </si>
  <si>
    <t>0008 оот 13.01.12г</t>
  </si>
  <si>
    <t>0107 оот 27.02.12г</t>
  </si>
  <si>
    <t>МП МО Котлас ОК иТС</t>
  </si>
  <si>
    <t>1065 от 27.03.12г</t>
  </si>
  <si>
    <t>03 от 30,03,12г</t>
  </si>
  <si>
    <t>ИП " Бабикова</t>
  </si>
  <si>
    <t>04 от 31,03,12г</t>
  </si>
  <si>
    <t>МП МО " Котлас " Спецсервис"</t>
  </si>
  <si>
    <t>826 от 26,03,12г</t>
  </si>
  <si>
    <t>чистка территории</t>
  </si>
  <si>
    <t>МП -6</t>
  </si>
  <si>
    <t>300000234 от 30,03,12гтранспортные услуги</t>
  </si>
  <si>
    <t>Итого за 1 квартал 2012 года</t>
  </si>
  <si>
    <t>2 квартал 2012 года</t>
  </si>
  <si>
    <t>03 от 2.04.</t>
  </si>
  <si>
    <t>04 от 09.04</t>
  </si>
  <si>
    <t xml:space="preserve">ИП " Матвеев </t>
  </si>
  <si>
    <t>1 от 30.03</t>
  </si>
  <si>
    <t>05 от 11.04</t>
  </si>
  <si>
    <t>04 от 9.04</t>
  </si>
  <si>
    <t>0322 от 25.04</t>
  </si>
  <si>
    <t>услуги транспорта</t>
  </si>
  <si>
    <t>0399 от 18.05</t>
  </si>
  <si>
    <t>0408 от 25.05</t>
  </si>
  <si>
    <t>00000012 от 29.05</t>
  </si>
  <si>
    <t>МЧ6</t>
  </si>
  <si>
    <t>6000000284 от 19.06</t>
  </si>
  <si>
    <t>14 от 25.06</t>
  </si>
  <si>
    <t>Итого за 2 квартал 2012 года</t>
  </si>
  <si>
    <t>Всего за 1 полугодие 2012 года</t>
  </si>
  <si>
    <t>июль</t>
  </si>
  <si>
    <t>700000009 от 03.07.12</t>
  </si>
  <si>
    <t>ООО ЦТС 77</t>
  </si>
  <si>
    <t>сч.ф.401620601 от 02.03.12</t>
  </si>
  <si>
    <t>ИП Матвеева Н.П.</t>
  </si>
  <si>
    <t>сч.ф.06 от 10.07.12г.</t>
  </si>
  <si>
    <t>ИП Бабикова Т.В.</t>
  </si>
  <si>
    <t>сч.ф.07 от 29.06.12</t>
  </si>
  <si>
    <t>ИП  Крылов</t>
  </si>
  <si>
    <t>сч.ф.23 от 31.07.2012г.</t>
  </si>
  <si>
    <t>итого за июль :</t>
  </si>
  <si>
    <t>сч.ф.30 от 10.08.2012г.</t>
  </si>
  <si>
    <t>сч.ф.31 от 23.08.2012г.</t>
  </si>
  <si>
    <t>ООО "Сириус"</t>
  </si>
  <si>
    <t>сч.ф. 077 от 13.08.12</t>
  </si>
  <si>
    <t xml:space="preserve">800000017 от 09.08.12 </t>
  </si>
  <si>
    <t>сч.ф.0018 от 16.08.12</t>
  </si>
  <si>
    <t>итого за август:</t>
  </si>
  <si>
    <t>сентябрь</t>
  </si>
  <si>
    <t>Всего за 9 месяцев:</t>
  </si>
  <si>
    <t>МП МО Котлас "ОК и ТС"</t>
  </si>
  <si>
    <t>с.ф.3660 от 09.10.12</t>
  </si>
  <si>
    <t>услуги автокрана</t>
  </si>
  <si>
    <t>с.ф.100000250 от 24.10.12</t>
  </si>
  <si>
    <t>услуги а/транспорта</t>
  </si>
  <si>
    <t>ООО "Лендорстрой"</t>
  </si>
  <si>
    <t>с.ф 0031 от 12.11.12г</t>
  </si>
  <si>
    <t>перевозка шпал</t>
  </si>
  <si>
    <t>справка</t>
  </si>
  <si>
    <t xml:space="preserve">декабрь </t>
  </si>
  <si>
    <t>счет 49 от 14.12.12</t>
  </si>
  <si>
    <t>услуги камаза</t>
  </si>
  <si>
    <t>всего за год</t>
  </si>
  <si>
    <t>Транспортные расходы за 2013 год</t>
  </si>
  <si>
    <t>1 квартал 2013 года</t>
  </si>
  <si>
    <t>ИП Матвеев Н.П.</t>
  </si>
  <si>
    <t>с.ф 00002 от 18.01.13г.</t>
  </si>
  <si>
    <t>с.ф 00001 от 15.01.13г.</t>
  </si>
  <si>
    <t>с.ф.00104 от 24.01.13г</t>
  </si>
  <si>
    <t>услуги трактора</t>
  </si>
  <si>
    <t>с.ф. 2069/0100000179 от 29.01.2013г.</t>
  </si>
  <si>
    <t>услуги по пред. ЗПУ ОХРА-1</t>
  </si>
  <si>
    <t>с.ф.2069/0100000068 от 29.01.13г.</t>
  </si>
  <si>
    <t>услуги пр пред. ЗПУ Спрут777</t>
  </si>
  <si>
    <t xml:space="preserve">с.ф. 00053 от 11.03.13г. </t>
  </si>
  <si>
    <t>тран.услуги</t>
  </si>
  <si>
    <t>ИП  Бабикова Т.В.</t>
  </si>
  <si>
    <t>с.ф.00002 от 22.01.13г.</t>
  </si>
  <si>
    <t>услуги самосвала</t>
  </si>
  <si>
    <t xml:space="preserve">с.ф. 00052 от 18.02.13г. </t>
  </si>
  <si>
    <t>ж/д</t>
  </si>
  <si>
    <t>с.ф.00000000008 от 14.01.13г.</t>
  </si>
  <si>
    <t>Итого за 1 квартал 2013 года</t>
  </si>
  <si>
    <t>с.ф.00003 от 31.03.13</t>
  </si>
  <si>
    <t>перевозка ила КОС</t>
  </si>
  <si>
    <t>перевозка ила по КОС</t>
  </si>
  <si>
    <t>с.ф.00005 от 25.03.13</t>
  </si>
  <si>
    <t>с.ф.00007 от 8.04.13</t>
  </si>
  <si>
    <t>с.ф.00006 от 10.04.13</t>
  </si>
  <si>
    <t>с.ф.00346 от 31.03.13</t>
  </si>
  <si>
    <t>перевозка п/материалов ОСВ</t>
  </si>
  <si>
    <t>услуги трактора подъем</t>
  </si>
  <si>
    <t>с.ф.00328 от 28.02.13</t>
  </si>
  <si>
    <t>с.ф.00423 от 30.04.13</t>
  </si>
  <si>
    <t>услуги трактора подъем (расчистка снега)</t>
  </si>
  <si>
    <t>ИП Крылов Л.А.</t>
  </si>
  <si>
    <t xml:space="preserve">с.ф. 00054 от 08.04.13г. </t>
  </si>
  <si>
    <t>вывоз ила КОС</t>
  </si>
  <si>
    <t xml:space="preserve">с.ф. 00055 от 10.04.13г. </t>
  </si>
  <si>
    <t xml:space="preserve">с.ф. 00056 от 12.04.13г. </t>
  </si>
  <si>
    <t>итого за апрель 2013г.</t>
  </si>
  <si>
    <t>с.ф.00009 от 06.05.2013</t>
  </si>
  <si>
    <t>вперевозка ила КОС</t>
  </si>
  <si>
    <t>Служба благоустройства</t>
  </si>
  <si>
    <t>с.ф. 00046 от 31.05.2013г.</t>
  </si>
  <si>
    <t>тран.услуги КНС</t>
  </si>
  <si>
    <t>с.ф. 00041 от 24.05.2013г.</t>
  </si>
  <si>
    <t>транспортные расходы ОСВ</t>
  </si>
  <si>
    <t>итого за май</t>
  </si>
  <si>
    <t>итого за 6 мес.2013г.</t>
  </si>
  <si>
    <t xml:space="preserve">июль </t>
  </si>
  <si>
    <t>с.ф.00005 от 30.06.13г.</t>
  </si>
  <si>
    <t>с.ф.00059 от 23.07.13г.</t>
  </si>
  <si>
    <t>перевозка грунта на уст.аварии КОС</t>
  </si>
  <si>
    <t>с.ф. 00061 от 30.07.13г.</t>
  </si>
  <si>
    <t>с.ф. 00016 от 31.07.13г.</t>
  </si>
  <si>
    <t>с.ф.2051/0500000720 от 07.05.13г.</t>
  </si>
  <si>
    <t>услуги по пред. ЗПУ Спрут 777 ОСВ</t>
  </si>
  <si>
    <t>с.ф. 00069 от 25.07.13г.</t>
  </si>
  <si>
    <t>услуги эл.тех.лаб.по определению места поврежд ОСВ</t>
  </si>
  <si>
    <t>всего за июль</t>
  </si>
  <si>
    <t>с.ф. 2051/0800000099 от 06.08.13</t>
  </si>
  <si>
    <t>услуги по предост.ЗПУ Спрут 777 ОСВ</t>
  </si>
  <si>
    <t>с.ф. 00020 от 31.08.13г.</t>
  </si>
  <si>
    <t>услуги самосвала КОС</t>
  </si>
  <si>
    <t>ООО Прометей</t>
  </si>
  <si>
    <t>с.ф. 00048 от 06.08.13г.</t>
  </si>
  <si>
    <t>услуги автогидроподъемника  (ремонт уличного освещения на ОСВ)</t>
  </si>
  <si>
    <t>с.ф. 00819 от 31.08.13г.</t>
  </si>
  <si>
    <t>услуги трактора ОСВ</t>
  </si>
  <si>
    <t>всего за август</t>
  </si>
  <si>
    <t>за 9 месяцев 2013г.</t>
  </si>
  <si>
    <t>сч.ф.2051/0800000351 от 09.08.13г.</t>
  </si>
  <si>
    <t>сч.ф.00025 от 30.09.13г.</t>
  </si>
  <si>
    <t>услуги самосвала ОСВ</t>
  </si>
  <si>
    <t>ООО "Прометей"</t>
  </si>
  <si>
    <t>сч.ф 00086 от 30.10.13г.</t>
  </si>
  <si>
    <t>услуги автогидроподъемника   ОСВ</t>
  </si>
  <si>
    <t>всего за октябрь</t>
  </si>
  <si>
    <t>декабрь</t>
  </si>
  <si>
    <t>сч.ф.2051/1100001480  от 26.11.13</t>
  </si>
  <si>
    <t>сч.ф.00024 от 25.12.2013г.</t>
  </si>
  <si>
    <t>услуги а/тр.по перевозке песка в/сети</t>
  </si>
  <si>
    <t>корректировка ( бух.справка)</t>
  </si>
  <si>
    <t>всего за декабрь:</t>
  </si>
  <si>
    <t>Всего за 2013год</t>
  </si>
  <si>
    <t>Транспортные расходы за 2014 год</t>
  </si>
  <si>
    <t xml:space="preserve">январь </t>
  </si>
  <si>
    <t>ООО "Котл.ЛДК"</t>
  </si>
  <si>
    <t>00025 от 31.01.2014г.</t>
  </si>
  <si>
    <t xml:space="preserve">услуги трактора ОСВ </t>
  </si>
  <si>
    <t>фераль</t>
  </si>
  <si>
    <t>с.ф.00005 от 20.02.14</t>
  </si>
  <si>
    <t>услуги а/транспорта КОС расчистка территории</t>
  </si>
  <si>
    <t>с.ф.00008 от 28.02.14</t>
  </si>
  <si>
    <t>услуги а/транспорта КОС перевозка ила</t>
  </si>
  <si>
    <t>итого за февраль</t>
  </si>
  <si>
    <t>с.ф.00326 от31.03.2014г</t>
  </si>
  <si>
    <t>ООО Севертрансстрой"</t>
  </si>
  <si>
    <t>с.ф.00033 от06.03.2014г.</t>
  </si>
  <si>
    <t>итого за март</t>
  </si>
  <si>
    <t>итого за 1 квартал 2014г.</t>
  </si>
  <si>
    <t xml:space="preserve">апрель </t>
  </si>
  <si>
    <t>с.ф. 00419 от 30.04.2014г.</t>
  </si>
  <si>
    <t>перевозка коагулянта по территории ОСВ</t>
  </si>
  <si>
    <t xml:space="preserve">май </t>
  </si>
  <si>
    <t>с.ф. 3227325/0021 от 05.05.2014г.</t>
  </si>
  <si>
    <t>Услуги по организации доставки груза из С.Перербурга-Котлас (ОСВ)</t>
  </si>
  <si>
    <t>с.ф.00027 от 19.05.2014г.</t>
  </si>
  <si>
    <t>услуги трактора ОСВ (подметание территории у гаража на ОСВ)</t>
  </si>
  <si>
    <t>итого за май:</t>
  </si>
  <si>
    <t xml:space="preserve">МЧ-6 </t>
  </si>
  <si>
    <t>с.ф.2051/0300002189 от 03.03.2014г.</t>
  </si>
  <si>
    <t>с.ф.2051/0600002564 от 30.06.2014г.</t>
  </si>
  <si>
    <t>с.ф.00017 от 30.06.2014г.</t>
  </si>
  <si>
    <t>перевозка ила  КАМАЗ КОС</t>
  </si>
  <si>
    <t>с.ф. 00604 от 30.06.2014г.</t>
  </si>
  <si>
    <t>услуги трактора ОСВ (погрузка осветлителей для перевозки на ОСВ)</t>
  </si>
  <si>
    <t>итого за июнь:</t>
  </si>
  <si>
    <t>итого за 1 полугодия 2014г.</t>
  </si>
  <si>
    <t>ИЮЛЬ</t>
  </si>
  <si>
    <t>ЧП Матвеев Н.П</t>
  </si>
  <si>
    <t>с.ф.00018 от 10.07.2014г.</t>
  </si>
  <si>
    <t>с.ф.2069/0100000068 от 29.01.2013г.</t>
  </si>
  <si>
    <t>итого за июль:</t>
  </si>
  <si>
    <t>с.ф.00080 от 29.08.2014г.</t>
  </si>
  <si>
    <t>услуги эл.тех.лаборатории по определению места повреждения ОСВ</t>
  </si>
  <si>
    <t>ИП Михайлов А.А.</t>
  </si>
  <si>
    <t>с.ф. 00016 от 04.08.2014г</t>
  </si>
  <si>
    <t>а/транспортные услуги перевозка труб для устранения аварии на в/сетях</t>
  </si>
  <si>
    <t>ООО "Алькар"</t>
  </si>
  <si>
    <t>с.ф.03192 от 06.08.14г.</t>
  </si>
  <si>
    <t>ООО "Логистика"</t>
  </si>
  <si>
    <t>с.ф. 00383 от 26.09.14 г.</t>
  </si>
  <si>
    <t>Услуги по аренде КАМАЗА перевозка труб ОСВ</t>
  </si>
  <si>
    <t>итого за сентябрь:</t>
  </si>
  <si>
    <t>9 месяцев 2014г.</t>
  </si>
  <si>
    <t xml:space="preserve">октябрь </t>
  </si>
  <si>
    <t>с.ф. 2051/1000001985 от 28.10.2014г.</t>
  </si>
  <si>
    <t>услуги по предоставлению ЗПУ Спрут 777  ОСВ</t>
  </si>
  <si>
    <t>с.ф.00031 от 10.12.2014г.</t>
  </si>
  <si>
    <t>услуги а/транспорта (перевозка бульдозера ) КОС</t>
  </si>
  <si>
    <t>с.ф. 304661/0072 от 01.12.2014г.</t>
  </si>
  <si>
    <t>услуги по организации доставки груза из г. Рязань в Котлас (ОСВ)</t>
  </si>
  <si>
    <t>с.ф. 01216 от 31.12.2014г.</t>
  </si>
  <si>
    <t>услуги тратора</t>
  </si>
  <si>
    <t>ООО Орбита</t>
  </si>
  <si>
    <t>с.ф. 00193 от 15.12.2014г.</t>
  </si>
  <si>
    <t xml:space="preserve">услуги эксковатора (авария на водоводе 1 подъема) </t>
  </si>
  <si>
    <t>перевозка эксковатора (Подъем)</t>
  </si>
  <si>
    <t>итого за декабрь:</t>
  </si>
  <si>
    <t>Всего за 2014г.</t>
  </si>
  <si>
    <t>Экономист</t>
  </si>
  <si>
    <t>Гавриленко О.В.</t>
  </si>
  <si>
    <t xml:space="preserve">ООО Котласский ЛДК </t>
  </si>
  <si>
    <t>с.ф. 00016 от 31.01.2015г.</t>
  </si>
  <si>
    <t>услуги трактора (уборка снега на территории ОСВ)</t>
  </si>
  <si>
    <t>с.ф.00124 от 28.02.2015г.</t>
  </si>
  <si>
    <t>услуги автопогрузки (уборка снега на территории ОСВ)</t>
  </si>
  <si>
    <t>ИП Задорин И.Б.</t>
  </si>
  <si>
    <t>с.ф. 00010 от 15.04.2015г.</t>
  </si>
  <si>
    <t>перевозка грунта, авария на в/сетях, ул. Невского,6</t>
  </si>
  <si>
    <t>с.ф. 2051/0400001816 от 20.04.2015г.</t>
  </si>
  <si>
    <t>услуги по предоставлению ЗПУ ОХРА -1 ОСВ</t>
  </si>
  <si>
    <t>ООО "ТрансОлан"</t>
  </si>
  <si>
    <t>с.ф.00001 от 12.05.2015г.</t>
  </si>
  <si>
    <t>отправка баков 1м3 из под полиоксихлорида ОСВ</t>
  </si>
  <si>
    <t>с.ф.00008 от 21.05.2015г.</t>
  </si>
  <si>
    <t>с.ф.00013 от 08.06.15г.</t>
  </si>
  <si>
    <t>услуги КАМАЗА перевозка грунта авария в/с ул. Невского,14</t>
  </si>
  <si>
    <t>ООО "Орбита"</t>
  </si>
  <si>
    <t>с.ф. 00094 от 16.06.2015г.</t>
  </si>
  <si>
    <t>перевозка эксковатора на аварию в/с ул. Ушинского</t>
  </si>
  <si>
    <t>услуги эксковатора, устранение аварии в/с по ул. Ушинского</t>
  </si>
  <si>
    <t>с.ф. 03553 от 19.06.15г.</t>
  </si>
  <si>
    <t>услуги автотранспорта, перевозка труб на аварию в/с ул. Невского,14</t>
  </si>
  <si>
    <t>Всего за 1 пол. 2015г.</t>
  </si>
  <si>
    <t>ООО "Деловые линии"</t>
  </si>
  <si>
    <t>с.ф. 3055512/0180 от 07.07.15г.</t>
  </si>
  <si>
    <t>доставка груза из Ярославля в Котлас ОСВ</t>
  </si>
  <si>
    <t>ООО ЭГПО Практик</t>
  </si>
  <si>
    <t xml:space="preserve">с.ф. МУ 0052/09от 05.08.2015г. </t>
  </si>
  <si>
    <t>транспортно экспедиционные расходы (доставка насоса1Д 1250-63) ОСВ</t>
  </si>
  <si>
    <t>000 "Системы тепло-газо-снабжения</t>
  </si>
  <si>
    <t>с.ф.00060 от 13.08.2015г.</t>
  </si>
  <si>
    <t>услуги а/крана (разгрузка насосов) ОСВ</t>
  </si>
  <si>
    <t>с.ф. 00063 от 18.08.2015г.</t>
  </si>
  <si>
    <t>услуги а/крана КОС</t>
  </si>
  <si>
    <t>всего за сентябрь:</t>
  </si>
  <si>
    <t>ООО "Лендострой"</t>
  </si>
  <si>
    <t>с.ф. 00025 от 20.08.2015г.</t>
  </si>
  <si>
    <t>услуги ТО 18Б.3 вывоз ила КОС</t>
  </si>
  <si>
    <t>услуги Алекодор 333В вывоз ила КОС</t>
  </si>
  <si>
    <t xml:space="preserve">ИП Матвеев И.П. </t>
  </si>
  <si>
    <t>с.ф.00020 от 31.08.2015г.</t>
  </si>
  <si>
    <t>услуги автокрана (перевозка бульдозера КОС)</t>
  </si>
  <si>
    <t>ООО "Системы тепло-газо-снабжения"</t>
  </si>
  <si>
    <t>с.ф. 00075 от 17.09.2015г.</t>
  </si>
  <si>
    <t>аренда а/крана разгрузка воздуходувки КОС</t>
  </si>
  <si>
    <t>с.ф 00030 от 21.09.2015г.</t>
  </si>
  <si>
    <t>ИП Белозеров Э.Ю.</t>
  </si>
  <si>
    <t>с.ф. 00042 от 21.09.2015г.</t>
  </si>
  <si>
    <t>а/машина КАМАЗ  прочистка колодцев ул. Володарского,104 к/сети</t>
  </si>
  <si>
    <t>с.ф. 04106от 30.09.2015г.</t>
  </si>
  <si>
    <t>услуги а/транспорта ЗИЛ 421410 перевозка труб в/сети</t>
  </si>
  <si>
    <t xml:space="preserve">с.ф. 00069 от 09.09.2015г. </t>
  </si>
  <si>
    <t>аренда автокрана (подъем труб здание воздуходувки КОС)</t>
  </si>
  <si>
    <t>Всего за 9 месяцев 2015г., в т.ч.</t>
  </si>
  <si>
    <t>Ожидаемое за 12 мес. 2015 г., в т.ч.</t>
  </si>
  <si>
    <t>Транспортные расходы 2016 г., в т.ч.</t>
  </si>
  <si>
    <t>Транспортные расходы за 2016 год  по расчету агентства</t>
  </si>
  <si>
    <t>Транспортные расходы за 2015 год (факт за 9 мес. по данным предприятия)</t>
  </si>
  <si>
    <t>Стоимость ОС на 01 января 2015 года</t>
  </si>
  <si>
    <t>среднегодовая стоимость имущества ВКХ за 2016 год</t>
  </si>
  <si>
    <t>сумма налога на имущество по ВКХ на  2016 год</t>
  </si>
  <si>
    <t>ФОТ</t>
  </si>
  <si>
    <t>Численность, чел</t>
  </si>
  <si>
    <t>Среднемесячная ЗП, руб.</t>
  </si>
  <si>
    <t>Ввод ОС</t>
  </si>
  <si>
    <t>из ведомости</t>
  </si>
  <si>
    <t>плановая амортизация по объектам водоснабжения</t>
  </si>
  <si>
    <t>АУР</t>
  </si>
  <si>
    <t>На уровне факт за 9 мес.2015</t>
  </si>
  <si>
    <t>Информация по амортизационным начислениям, ТО и ремонтам</t>
  </si>
  <si>
    <t>Принято в тарифах на техническое обслуживание и ремонт</t>
  </si>
  <si>
    <t>Расходование амортизационных отчислений (согласно имеющимся отчетам предприятия)</t>
  </si>
  <si>
    <t>Факт. по техническому обслуживанию и ремонту</t>
  </si>
  <si>
    <t>Всего источники за указанные периоды</t>
  </si>
  <si>
    <t>Использовано амортизации и расходов ТО (ремонт) за указанные периоды</t>
  </si>
  <si>
    <t>"Свободный остаток" (= амортизационный фонд)</t>
  </si>
  <si>
    <t>Инвестиционная надбавка</t>
  </si>
  <si>
    <t>Освоено инвестиционной надбавки</t>
  </si>
  <si>
    <t>Принято в тарифах амортизационных отчислений с учетом выпадающих за прошлые периоды</t>
  </si>
  <si>
    <t xml:space="preserve">Предложения предприятия </t>
  </si>
  <si>
    <t>Капитальные вложения и источники финасирования</t>
  </si>
  <si>
    <t>ИТОГО источников финансирования кап.вложений к 2016 году с учетом неиспользованных источников  за прошлые периоды</t>
  </si>
  <si>
    <t>ИТОГО 2012-2016</t>
  </si>
  <si>
    <t>Справочно: Фактические амортизационные начисления</t>
  </si>
  <si>
    <t>План по кап.ремонтам, тек.ремонтам и ТО (производственная программа) 2016-2018</t>
  </si>
  <si>
    <t>План по модернизации сетей (инвестиционная программа) 2016-2017</t>
  </si>
  <si>
    <t>За счет неиспользованных средств прошлых лет</t>
  </si>
  <si>
    <t>ИПЦ в размере 107,4% от факт.ЗП за 2014 год</t>
  </si>
  <si>
    <t>Отсутствует расчет и обоснование</t>
  </si>
  <si>
    <t>На уровне факт.за 2014 год</t>
  </si>
  <si>
    <t>ИЦП 106,2% от факт.9 мес.2015</t>
  </si>
  <si>
    <t>Предварительно</t>
  </si>
  <si>
    <t>ИЦП 106,2% к утв.на 2015 г.</t>
  </si>
  <si>
    <t>ИЦП 103,3% от факт.1 полуг.2015 г.</t>
  </si>
  <si>
    <t>ИЦП 106,2% от факт.1 полуг.2015 г.</t>
  </si>
  <si>
    <t>ИЦП 106,2% от факт.9 мес.2015 г.</t>
  </si>
  <si>
    <t>ИЦП 106,2 % к факт.1 полуг.2015</t>
  </si>
  <si>
    <t>ИПЦ 107,4 % к факт.2014 г.</t>
  </si>
  <si>
    <t>ИЦП 106,2 % к факт.9 мес.2015</t>
  </si>
  <si>
    <t>Расчет агентства резерва по сомнительным долгам</t>
  </si>
  <si>
    <t>Лимит резерва</t>
  </si>
  <si>
    <t>ср.тариф 2014</t>
  </si>
  <si>
    <t>Задолженность, невозможная к взысканию (без НДС)</t>
  </si>
  <si>
    <t>В доле утвержденных тарифов для населения по видам услуг</t>
  </si>
  <si>
    <t>в т.ч. по периодам регулирования</t>
  </si>
  <si>
    <t xml:space="preserve">Приложение </t>
  </si>
  <si>
    <t>предложение предприятия 2016 год (уточнено октябрь 2015)</t>
  </si>
  <si>
    <t>Факт.цены 2015 года у других ВКХ</t>
  </si>
  <si>
    <t>Севмаш</t>
  </si>
  <si>
    <t>Звездочка</t>
  </si>
  <si>
    <t>РЖД</t>
  </si>
  <si>
    <t>Выполнять за счет амортизации</t>
  </si>
  <si>
    <t>Расчет тарифа на услуги водоотведения (в стадии очистки) для МУП "Горводоканал"</t>
  </si>
  <si>
    <t>Приложение № 2</t>
  </si>
  <si>
    <t>Приложение № 1</t>
  </si>
  <si>
    <t>Приложение № 3</t>
  </si>
  <si>
    <t>Приложение № 4</t>
  </si>
  <si>
    <t>Приложение № 5</t>
  </si>
  <si>
    <t>Приложение № 6</t>
  </si>
  <si>
    <t>Приложение № 7</t>
  </si>
  <si>
    <t>Приложение № 8</t>
  </si>
  <si>
    <t>Приложение № 9</t>
  </si>
  <si>
    <t>Приложение № 10</t>
  </si>
  <si>
    <t>Приложение № 11</t>
  </si>
  <si>
    <t>Приложение № 12</t>
  </si>
  <si>
    <t>Приложение № 13</t>
  </si>
  <si>
    <t>Приложение № 15</t>
  </si>
  <si>
    <t>Приложение № 16</t>
  </si>
  <si>
    <t>Приложение № 17</t>
  </si>
  <si>
    <t>Приложение № 18</t>
  </si>
  <si>
    <t>Приложение № 19</t>
  </si>
  <si>
    <t>Приложение № 20</t>
  </si>
  <si>
    <t>Приложение № 21</t>
  </si>
  <si>
    <t>Приложение № 22</t>
  </si>
  <si>
    <t>Приложение № 23</t>
  </si>
  <si>
    <t>Приложение № 24</t>
  </si>
  <si>
    <t>цена производителя</t>
  </si>
  <si>
    <t>факт за 3 квартал 2015</t>
  </si>
  <si>
    <t>ИЦП 106,2% от утв. В тарифе на 2015 г.</t>
  </si>
  <si>
    <t>2017 год-2018 год</t>
  </si>
  <si>
    <t>На 2017 год</t>
  </si>
  <si>
    <t>На 2018 год</t>
  </si>
  <si>
    <t>Содержание канализационного коллектора (дубль трансп. стоков ЭМЗ)</t>
  </si>
  <si>
    <t>Питьевая вода</t>
  </si>
  <si>
    <t>Технич. вода</t>
  </si>
  <si>
    <t>Охрана правого берега реки Лименда</t>
  </si>
  <si>
    <t>Страхование опасных объектов</t>
  </si>
  <si>
    <t>Транспортировка воды КЭМЗ</t>
  </si>
  <si>
    <t>Аккредитация лаборатории</t>
  </si>
  <si>
    <t>Медосмотр</t>
  </si>
  <si>
    <t>В том числе</t>
  </si>
  <si>
    <t>Планируемые показатели</t>
  </si>
  <si>
    <t>Апрель</t>
  </si>
  <si>
    <t>Кол-во кВт./ч на подъем воды</t>
  </si>
  <si>
    <t>Тариф руб./кВт.ч</t>
  </si>
  <si>
    <t>Стоимость, тыс. руб.</t>
  </si>
  <si>
    <t>Удельн. расход на подъем воды</t>
  </si>
  <si>
    <t>Стоимость, тыс. руб. по расч.</t>
  </si>
  <si>
    <t>Подъем воды, тыс. куб.м.</t>
  </si>
  <si>
    <t>Кол-во кВт./ч на очистку воды</t>
  </si>
  <si>
    <t>Удельн. расход на очистку воды</t>
  </si>
  <si>
    <t>Очистка воды, тыс. куб.м.</t>
  </si>
  <si>
    <t>ИОГО ПО ВОДОСНАБЖЕНИЮ</t>
  </si>
  <si>
    <t>Кол-во кВт./ч Всего</t>
  </si>
  <si>
    <t>Тариф руб./кВт.ч Средний</t>
  </si>
  <si>
    <t>Стоимость, тыс. руб. Всего</t>
  </si>
  <si>
    <t>Кол-во кВт./ч на перек. стоков</t>
  </si>
  <si>
    <t>Удельн. расход на перек. стоков</t>
  </si>
  <si>
    <t>Очистка стоков, тыс. куб.м.</t>
  </si>
  <si>
    <t>Кол-во кВт./ч на очистку стоков</t>
  </si>
  <si>
    <t>Удельн. Расх. на очистку. стоков</t>
  </si>
  <si>
    <t>Кол-во кВт./ч на очист. стоков</t>
  </si>
  <si>
    <t>ИОГО ПО ВОДООТВЕДЕНИЮ</t>
  </si>
  <si>
    <t>Расчет цены 3 квартала 2015 г.</t>
  </si>
  <si>
    <t>Потери</t>
  </si>
  <si>
    <t>Корректир.</t>
  </si>
  <si>
    <t>ПРОВЕРКА</t>
  </si>
  <si>
    <t>Перекачка стоков, тыс. куб.м.</t>
  </si>
  <si>
    <t>проверка</t>
  </si>
  <si>
    <t>1. Цеховые расх. на подъем</t>
  </si>
  <si>
    <t>2. Цеховые расх. на очистку</t>
  </si>
  <si>
    <t>3. Цеховые расх. на транспортир.</t>
  </si>
  <si>
    <t>4. Цеховые расх. на провед. АВР</t>
  </si>
  <si>
    <t>Всего                2016</t>
  </si>
  <si>
    <t>Транспортировка стоков ЭМЗ</t>
  </si>
  <si>
    <t>Факт 2016 год</t>
  </si>
  <si>
    <t>Факт                   2015 год</t>
  </si>
  <si>
    <t>Инвест. программа</t>
  </si>
  <si>
    <t>Тариф на питьевую воду</t>
  </si>
  <si>
    <t>необходимая валовая выручка на питьевую воду</t>
  </si>
  <si>
    <t>необходимая валовая выручка на техническую воду</t>
  </si>
  <si>
    <t>ПИТЬЕВАЯ ВОДА, в т.ч.</t>
  </si>
  <si>
    <t>ТЕХНИЧЕСКАЯ ВОДА</t>
  </si>
  <si>
    <t xml:space="preserve"> НАСЕЛЕНИЮ</t>
  </si>
  <si>
    <t>3.1.</t>
  </si>
  <si>
    <t>3.2.</t>
  </si>
  <si>
    <t>Тариф на питьевое водоснабжение для НАСЕЛЕНИЯ</t>
  </si>
  <si>
    <t>Тариф на техническую воду</t>
  </si>
  <si>
    <t>Утверждено               2015 год</t>
  </si>
  <si>
    <t>Утверждено                 2015 год</t>
  </si>
  <si>
    <t>Утверждено                   2015 год</t>
  </si>
  <si>
    <t>Утверждено                  2015 год</t>
  </si>
  <si>
    <t>Необходимая валовая выручка ВСЕГО, в том числе:</t>
  </si>
  <si>
    <t>необходимая валовая выручка на водоотведение</t>
  </si>
  <si>
    <t>необходимая валовая выручка на водоотведение (в стадии очистки)</t>
  </si>
  <si>
    <t xml:space="preserve">Объем водоотведения </t>
  </si>
  <si>
    <t xml:space="preserve">Объем водоотведения (в стадии очистки) </t>
  </si>
  <si>
    <t>Объем водоснабжения ВСЕГО, в том числе:</t>
  </si>
  <si>
    <t>Объем водоотведения ВСЕГО, в том числе:</t>
  </si>
  <si>
    <t>ВОДООТВЕДЕНИЕ, в т.ч.</t>
  </si>
  <si>
    <t>НАСЕЛЕНИЕ</t>
  </si>
  <si>
    <t>ВОДООТВЕДЕНИЕ (В СТАДИИ ОЧИСТКИ)</t>
  </si>
  <si>
    <t xml:space="preserve">Тариф на водоотведение </t>
  </si>
  <si>
    <t>Тариф на водоотведение для НАСЕЛЕНИЯ</t>
  </si>
  <si>
    <t>Тариф на водоотведение (в стадии очистки)</t>
  </si>
  <si>
    <t>Тариф на водоотведение для НАСЕЛЕНИЯ (в стадии очистки)</t>
  </si>
  <si>
    <t>Тариф на водоотведение</t>
  </si>
  <si>
    <t>4.1.</t>
  </si>
  <si>
    <t>Тариф на водоотведение (В СТАДИИ ОЧИСТКИ)</t>
  </si>
  <si>
    <t>Тариф на водоотведение ВСЕГО</t>
  </si>
  <si>
    <t>Пост. 406. п. 58. Текущие расходы регулируемой организации включают в себя операционные расходы, неподконтрольные расходы и расходы на приобретение электрической энергии и топлива.</t>
  </si>
  <si>
    <t>Пост. 406 п.60. Операционные расходы регулируемой организации определяются на каждый год долгосрочного периода регулирования путем индексации установленного базового уровня операционных расходов. При индексации применяются индекс потребительских цен (в среднем за год к предыдущему году), определенный в базовом варианте прогноза социально-экономического развития Российской Федерации на очередной год и плановый период, индекс эффективности операционных расходов и индекс изменения количества активов.</t>
  </si>
  <si>
    <t>факт за 12 месяцев 2015</t>
  </si>
  <si>
    <t>Вода</t>
  </si>
  <si>
    <t>Стоки</t>
  </si>
  <si>
    <t>факт                       2014 год</t>
  </si>
  <si>
    <t>Проверка приборов, экспертиза</t>
  </si>
  <si>
    <t xml:space="preserve">Тариф на питьевое водоснабжение </t>
  </si>
  <si>
    <t xml:space="preserve">Тариф на техническое водоснабжение </t>
  </si>
  <si>
    <t>факт 12 месяцев 2015 год</t>
  </si>
  <si>
    <t>Ремонт и тех. Обсл.+затраты на оплату труда+отчисл. На опл. Труда+материалы+ цех. Расх.+ОХР-1.1.3.1.-1.1.3.3.-цех.отопление-ОХР электр.-прир.газ-амортиз.</t>
  </si>
  <si>
    <t>Элекр.+цех. Отопление+ОХР электр.+прир. Газ</t>
  </si>
  <si>
    <t>Цех.оплата услуг КЭМЗ</t>
  </si>
  <si>
    <t>Цех. Аренда подъездного пути+ аренда земли</t>
  </si>
  <si>
    <t>Выпадающие доходы</t>
  </si>
  <si>
    <t>Амортизация + ОХР амортизация</t>
  </si>
  <si>
    <t>Прибыль</t>
  </si>
  <si>
    <t>Факт 12 месяцев</t>
  </si>
  <si>
    <t>ФАКТ 2015 год</t>
  </si>
  <si>
    <t>Ожидаемое год</t>
  </si>
  <si>
    <t>факт 12 месяцев</t>
  </si>
  <si>
    <t>Факт         2015 г.</t>
  </si>
  <si>
    <t>акредитация, проверка лаборат.оборуд.</t>
  </si>
  <si>
    <t>выдача госномеров, регистр. Техосмотр</t>
  </si>
  <si>
    <t>Факт 2015 год</t>
  </si>
  <si>
    <t xml:space="preserve">услуги банка и почты, вознагражд. </t>
  </si>
  <si>
    <t>техосмотр, регистрация выдача №</t>
  </si>
  <si>
    <t>отопление (природный газ)</t>
  </si>
  <si>
    <t>ФАКТ 2016 год</t>
  </si>
  <si>
    <t>предложение предприятия 2017 год</t>
  </si>
  <si>
    <t>предложение агентства 2017 год</t>
  </si>
  <si>
    <t>Приложение (Сняли 3 миллиона на стоки 500 тыс. потеряли)</t>
  </si>
  <si>
    <t>Оплата потерь</t>
  </si>
  <si>
    <t>Приложение 11</t>
  </si>
  <si>
    <t>факт за 9 месяцев 2016</t>
  </si>
  <si>
    <t>в % к 2016</t>
  </si>
  <si>
    <t xml:space="preserve">в % к 2016 </t>
  </si>
  <si>
    <t>факт 1 полугодие 2016</t>
  </si>
  <si>
    <t>2017 год предложение предприятия</t>
  </si>
  <si>
    <t>2017 год предложение агентства</t>
  </si>
  <si>
    <t>Расчет затрат на оплату труда согласно отраслевого тарифного соглашения  на 2017 год</t>
  </si>
  <si>
    <t>ИПЦ на 2017 год</t>
  </si>
  <si>
    <t>Регулируемый период (2017 год) предложение предприятия</t>
  </si>
  <si>
    <t>Регулируемый период (2017 год) предложение агентства</t>
  </si>
  <si>
    <t>Принято в тариф на 2017 год</t>
  </si>
  <si>
    <t>Тех. Ошибка при переносе</t>
  </si>
  <si>
    <t>ПРЕДЛОЖЕНИЕ ПРЕДПРИЯТИЯ          ВОДОСНАБЖЕНИЕ (РЕГУЛИРУЕМЫЙ ПЕРИОД 2017 ГОД)</t>
  </si>
  <si>
    <t>1 полугодие 2017 года</t>
  </si>
  <si>
    <t>2 полугодие 2017 года</t>
  </si>
  <si>
    <t>ПРЕДЛОЖЕНИЕ АГЕНТСТВА          ВОДОСНАБЖЕНИЕ (РЕГУЛИРУЕМЫЙ ПЕРИОД 2017 ГОД)</t>
  </si>
  <si>
    <t>ПРЕДЛОЖЕНИЕ ПРЕДПРИЯТИЯ          ВОДООТВЕДЕНИЕ (РЕГУЛИРУЕМЫЙ ПЕРИОД 2017 ГОД)</t>
  </si>
  <si>
    <t>ПРЕДЛОЖЕНИЕ АГЕНТСТВА          ВОДООТВЕДЕНИЕ (РЕГУЛИРУЕМЫЙ ПЕРИОД 2017 ГОД)</t>
  </si>
  <si>
    <t>20167 год</t>
  </si>
  <si>
    <t>Расчет тарифа на услуги водоотведения для МУП "Горводоканал" (СВОД)</t>
  </si>
  <si>
    <t>Расчет тарифа на услуги водоснабжения для МУП "Горводоканал" (СВОД)</t>
  </si>
  <si>
    <t>Электрохозяйство, 50 % вода 50 % стоки</t>
  </si>
  <si>
    <t>Расчет агентства по налогу на имущество на 2017 год</t>
  </si>
  <si>
    <t>Ввод ОС (план)</t>
  </si>
  <si>
    <t>Июль 2016 г. передача станции 3 подъема 90 млн. руб.</t>
  </si>
  <si>
    <t>Стоимость ОС на 01 января 2017 года</t>
  </si>
  <si>
    <t>Стоимость ОС на 31 декабря 2017 года</t>
  </si>
  <si>
    <t>сумма налога на имущество по ВКХ на  2017 год</t>
  </si>
  <si>
    <t>Удельные нормы приняты исходя из фактических удельных норм за 2016 год. Расчет цены произведен в отдельной таблице</t>
  </si>
  <si>
    <t>факт за 3 квартал 2016</t>
  </si>
  <si>
    <t>экспертиза, пробы,разработка проекта ПДС</t>
  </si>
  <si>
    <t>Страхование опасных объектов, страхование ГО</t>
  </si>
  <si>
    <t>транспортировка стоков ОАО "КЭМЗ"</t>
  </si>
  <si>
    <t>договор временного управления, вознаграждение внешн. управл.)</t>
  </si>
  <si>
    <t>тариф 3 квартала</t>
  </si>
  <si>
    <t>водный налог</t>
  </si>
  <si>
    <t>Дельта сглаживания НВВ</t>
  </si>
  <si>
    <t>НВВ с инвест.составл. и дельтой сглаж., руб.</t>
  </si>
  <si>
    <t>Тариф с инвест. составл. и дельтой сглажив.</t>
  </si>
  <si>
    <t>1.5.</t>
  </si>
  <si>
    <t xml:space="preserve">Всего на 2017 год </t>
  </si>
  <si>
    <t>УТВЕРЖДАЮ:</t>
  </si>
  <si>
    <t>ПЛАНОВЫЕ ОБЪЕМНЫЕ ПОКАЗАТЕЛИ СИСТЕМЫ ВОДОСНАБЖЕНИЯ</t>
  </si>
  <si>
    <t xml:space="preserve">Поднято воды </t>
  </si>
  <si>
    <t xml:space="preserve">Подано воды в сеть </t>
  </si>
  <si>
    <t>Реализация воды, в том числе:</t>
  </si>
  <si>
    <t>прочим потребителям, в том числе:</t>
  </si>
  <si>
    <t>для осуществления ГВС, в том числе:</t>
  </si>
  <si>
    <t>ПЛАН ДОХОДОВ ИСХОДЯ ИЗ УСТАНОВЛЕННЫХ ТАРИФОВ</t>
  </si>
  <si>
    <t>Население</t>
  </si>
  <si>
    <t>Возмещение убытков</t>
  </si>
  <si>
    <t>Прочие потребители</t>
  </si>
  <si>
    <t>Техническая вода</t>
  </si>
  <si>
    <t>Для осуществления ГВС, в том числе:</t>
  </si>
  <si>
    <t>Всего доходов, в том числе:</t>
  </si>
  <si>
    <t>инвестиционная составляющая</t>
  </si>
  <si>
    <t>Отпускной тариф, руб. куб.м.</t>
  </si>
  <si>
    <t>возмещение убытков</t>
  </si>
  <si>
    <t>ПЛАН ФИНАНСОВЫХ ЗАТРАТ</t>
  </si>
  <si>
    <t>Цеховые расходы, в том числе</t>
  </si>
  <si>
    <t>Налоги и сборы всего, в том числе</t>
  </si>
  <si>
    <t>плата за водопользование (водный налог)</t>
  </si>
  <si>
    <t>Общеэксплуатационные расходы, в т.ч.</t>
  </si>
  <si>
    <t>заработная плата АУР</t>
  </si>
  <si>
    <t>страховые взносы</t>
  </si>
  <si>
    <t xml:space="preserve">прочие </t>
  </si>
  <si>
    <t>Выпад. расх. прошл. периодов, в т.ч.</t>
  </si>
  <si>
    <t>Резерв (сбытовые расходы)</t>
  </si>
  <si>
    <t>ФИНАНСОВЫЕ ПОКАЗАТЕЛИ БЕЗ УЧЕТА ИНВЕСТИЦИОННОЙ ПРОГРАММЫ</t>
  </si>
  <si>
    <t>НВВ всего, тыс. руб., в т.ч.</t>
  </si>
  <si>
    <t>2 полугодие</t>
  </si>
  <si>
    <t>Объем реализ. всего, тыс. м. куб., в т.ч.</t>
  </si>
  <si>
    <t>в том числе население тыс. м. куб., в т.ч.</t>
  </si>
  <si>
    <t>Эконом. обосн. тариф, руб. куб.м., в т.ч.</t>
  </si>
  <si>
    <t>% изменения</t>
  </si>
  <si>
    <t>Тариф для населения с учетом пред. инд.</t>
  </si>
  <si>
    <t>% изменения (пред. индекс для населения)</t>
  </si>
  <si>
    <t>Размер субсидий всего, в т.ч.</t>
  </si>
  <si>
    <t>ФИНАНСОВЫЕ ПОКАЗАТЕЛИ С УЧЕТОМ ИНВЕСТИЦИОННОЙ ПРОГРАММЫ</t>
  </si>
  <si>
    <t>Главный экономист МП "Горводоканал"</t>
  </si>
  <si>
    <t>Горынцев А.Л.</t>
  </si>
  <si>
    <t>Цеховые расходы всего, в том числе</t>
  </si>
  <si>
    <t>заработная плата цехового персонала</t>
  </si>
  <si>
    <t>отчисления на соцнужды</t>
  </si>
  <si>
    <t>Общеэксплуатационные расходы, в т. ч.</t>
  </si>
  <si>
    <t>ПЛАНОВЫЕ ОБЪЕМНЫЕ ПОКАЗАТЕЛИ СИСТЕМЫ ВОДООТВЕДЕНИЯ</t>
  </si>
  <si>
    <t>Неканализ. Жил.фонд</t>
  </si>
  <si>
    <t>Очищено стоков всего</t>
  </si>
  <si>
    <t>Принято стоков всего, в том числе</t>
  </si>
  <si>
    <t>население (неканализованный жилфонд)</t>
  </si>
  <si>
    <t>от прочих потребителей</t>
  </si>
  <si>
    <t>Население (неканализованный жилфонд)</t>
  </si>
  <si>
    <t>платежи за сброс загрязняющих веществ в пределах норматива</t>
  </si>
  <si>
    <t>Принято стоков, в том числе</t>
  </si>
  <si>
    <t>Выпадающие расходы прошлых периодов, в т.ч.</t>
  </si>
  <si>
    <t>Директор МП "Горводоканал"</t>
  </si>
  <si>
    <t>_____________ А.В. Ерофеевский</t>
  </si>
  <si>
    <t>"___"_____________ 2017 г.</t>
  </si>
  <si>
    <t>ТАРИФ 1 полугодия</t>
  </si>
  <si>
    <t>План цеховых расходов по водоснабжению по видам технологического процесса на 2017 год с учетом календарной разбивки</t>
  </si>
  <si>
    <t>Всего                2017</t>
  </si>
  <si>
    <t>План цеховых расходов по водоотведению по видам технологического процесса на 2017 год с учетом календарной разбивки</t>
  </si>
  <si>
    <t>ФИНАНСОВЫЕ ПОКАЗАТЕЛИ С УЧЕТОМ ИНВЕСТИЦИОННОЙ ПРОГРАММЫ И ДЕЛЬТЫ СГЛАЖИВАНИЯ</t>
  </si>
  <si>
    <t>Приложение № 1 к Порядку составления, утверждения и установления показателей планов финансово-хозяйственной деятельности предприятий МО "Котлас"</t>
  </si>
  <si>
    <t>Глава МО "Котлас"</t>
  </si>
  <si>
    <t>_______________________А.В. Бральнин</t>
  </si>
  <si>
    <t>Таблица 2</t>
  </si>
  <si>
    <t>Ед. измер.</t>
  </si>
  <si>
    <t>4 кв.</t>
  </si>
  <si>
    <t>Год</t>
  </si>
  <si>
    <t>тыс. м. куб.</t>
  </si>
  <si>
    <t>руб./куб. м</t>
  </si>
  <si>
    <t>А.Л. Горынцев</t>
  </si>
  <si>
    <t>Таблица 1</t>
  </si>
  <si>
    <t>1           квартал</t>
  </si>
  <si>
    <t>2               квартал</t>
  </si>
  <si>
    <t>3                   квартал</t>
  </si>
  <si>
    <t>9              месяцев</t>
  </si>
  <si>
    <t>4              квартал</t>
  </si>
  <si>
    <t>Численность работников ( штатная)</t>
  </si>
  <si>
    <t>чел.</t>
  </si>
  <si>
    <t>Объем реализации продукции (услуг) в натуральном выражении по видам деятельности</t>
  </si>
  <si>
    <t>тыс.м3</t>
  </si>
  <si>
    <t>Водоснабжение, в том числе :</t>
  </si>
  <si>
    <t>Водоотведение в том числе:</t>
  </si>
  <si>
    <t>Прочие доходы (прочие платные услуги )</t>
  </si>
  <si>
    <t>Прочие доходы всего, в том числе:</t>
  </si>
  <si>
    <t>Прочие расходы всего, в том числе:</t>
  </si>
  <si>
    <t xml:space="preserve">плата за негативное воздействие </t>
  </si>
  <si>
    <t>услуги банка</t>
  </si>
  <si>
    <t>Прибыль до налогообложения</t>
  </si>
  <si>
    <t>Чистая прибыль</t>
  </si>
  <si>
    <t>Общая рентабельность</t>
  </si>
  <si>
    <t>План распределения чистой прибыли, в т.ч.</t>
  </si>
  <si>
    <t>инвестиционная составляющая на реализацию инвестиционной программы МП "Горводоканал" в сфере водоснабжения</t>
  </si>
  <si>
    <t>инвестиционная составляющая на реализацию инвестиционной программы МП "Горводоканал" в сфере водоотведения</t>
  </si>
  <si>
    <t>погашение убытков прошлых лет</t>
  </si>
  <si>
    <t>А.В. Ерофеевский</t>
  </si>
  <si>
    <t>Валовая прибыль, в том числе:</t>
  </si>
  <si>
    <t>исключение инвестиционной составляющей</t>
  </si>
  <si>
    <t>социальные выплаты по коллективному договору</t>
  </si>
  <si>
    <t>Доходная часть всего, в том числе:</t>
  </si>
  <si>
    <t>Расходная  часть всего, в том числе:</t>
  </si>
  <si>
    <t>1 квартал</t>
  </si>
  <si>
    <t>2 квартал</t>
  </si>
  <si>
    <t>1 пол.</t>
  </si>
  <si>
    <t>3 квартал</t>
  </si>
  <si>
    <t>Доходная часть всего, в том числе</t>
  </si>
  <si>
    <t>прочие доходы (прочие платные услуги)</t>
  </si>
  <si>
    <t>Расходная часть всего, в том числе:</t>
  </si>
  <si>
    <t>Валовая прибыль:</t>
  </si>
  <si>
    <t>плата за негативное воздействие</t>
  </si>
  <si>
    <t>социальные выплаты</t>
  </si>
  <si>
    <t>Прибыль до налогооблажения</t>
  </si>
  <si>
    <t>Всего:</t>
  </si>
  <si>
    <t>26 счет</t>
  </si>
  <si>
    <t>Гл. Экономист                                                  А.Л. Горынцев</t>
  </si>
  <si>
    <t>____________________ А.В. Ерофеевский</t>
  </si>
  <si>
    <t>Гл. Экономист                                                                            А.Л. Горынцев</t>
  </si>
  <si>
    <t>период</t>
  </si>
  <si>
    <t>1 кв</t>
  </si>
  <si>
    <t>2 кв</t>
  </si>
  <si>
    <t>3 кв</t>
  </si>
  <si>
    <t>4 кв</t>
  </si>
  <si>
    <t>НН( тыс.кВт)</t>
  </si>
  <si>
    <t>тариф    (руб.)</t>
  </si>
  <si>
    <t>сумма  ( тыс.руб)</t>
  </si>
  <si>
    <t>СН     ( тыс.кВт)</t>
  </si>
  <si>
    <t>Всего о перекачкам</t>
  </si>
  <si>
    <t>ВН     ( тыс.кВт)</t>
  </si>
  <si>
    <t>Реализация стоков, тыс. куб.м.</t>
  </si>
  <si>
    <t>Удельная норма по перекачкам</t>
  </si>
  <si>
    <t>Удельная норма по очистке</t>
  </si>
  <si>
    <t>Всего по ГВК (водоотведение)</t>
  </si>
  <si>
    <t>кол-во             тыс.  кВт.час</t>
  </si>
  <si>
    <t>тариф  руб</t>
  </si>
  <si>
    <t>сумма тыс.руб</t>
  </si>
  <si>
    <t>Подъем</t>
  </si>
  <si>
    <t>Удельная норма по подъему</t>
  </si>
  <si>
    <t>Всего по очистке</t>
  </si>
  <si>
    <t>Очистка воды (подано в сеть), тыс. куб.м.</t>
  </si>
  <si>
    <t>Всего водоснабжение</t>
  </si>
  <si>
    <t>Всего по ГВК (водоснабжение)</t>
  </si>
  <si>
    <t>Итого по водоснабж. и водоотв.</t>
  </si>
  <si>
    <t>кол-во    ( тыс.кВт)</t>
  </si>
  <si>
    <t>Корректировка 2018</t>
  </si>
  <si>
    <t>Корректировка 2018 год</t>
  </si>
  <si>
    <t>Предлож. предприятия (по факту 2016)</t>
  </si>
  <si>
    <t>Корректировка 2018 предложение предприятия</t>
  </si>
  <si>
    <t>Корректировка 2018 предложение агентства</t>
  </si>
  <si>
    <t>Прочие расходы (хоз.расх. Под аванс)</t>
  </si>
  <si>
    <t>1. Расчет тарифов на питьевую воду, отпускаемую МП "Горводоканал" потребителям на территории г.Котласа на 2018 год</t>
  </si>
  <si>
    <t>1.1. Расчет тарифов на питьевую воду, отпускаемую МП "Горводоканал" потребителям на территории г.Котласа на 2018 год (СВОД)</t>
  </si>
  <si>
    <t>Приложение 3.1</t>
  </si>
  <si>
    <t>Расчет налоговых обязательств</t>
  </si>
  <si>
    <t>2017 год корректировка</t>
  </si>
  <si>
    <t>наименование налогов</t>
  </si>
  <si>
    <t>ед. изм.</t>
  </si>
  <si>
    <t>установлено в тарифе на 2016 год</t>
  </si>
  <si>
    <t>предложение эксперта</t>
  </si>
  <si>
    <t>НВОС</t>
  </si>
  <si>
    <t>земельный налог</t>
  </si>
  <si>
    <t>очистка сточных вод</t>
  </si>
  <si>
    <t>среднегодовая стоимость имущества ВКХ за 2017 год</t>
  </si>
  <si>
    <t>2017 ГОД корректировка</t>
  </si>
  <si>
    <t xml:space="preserve">в том числе </t>
  </si>
  <si>
    <t>на техническую воду</t>
  </si>
  <si>
    <t>на питьевое водоснабжение</t>
  </si>
  <si>
    <t>Стоимость ОС на 01 января 2018 года</t>
  </si>
  <si>
    <t>Стоимость ОС на 31 декабря 2018 года</t>
  </si>
  <si>
    <t>среднегодовая стоимость имущества ВКХ за 2018 год</t>
  </si>
  <si>
    <t>сумма налога на имущество по ВКХ на  2018 год</t>
  </si>
  <si>
    <t>2018 год корректировка</t>
  </si>
  <si>
    <t>установлено в тарифе на 2017 год</t>
  </si>
  <si>
    <t>Расчет агентства по налогу на имущество</t>
  </si>
  <si>
    <t>Статьи затрат</t>
  </si>
  <si>
    <t>Фактические расходы 2016 г.</t>
  </si>
  <si>
    <t>Учтено в тарифе на 2016 г.</t>
  </si>
  <si>
    <t>Сумма неучтенных расходов</t>
  </si>
  <si>
    <t>№              п/п</t>
  </si>
  <si>
    <t>№         п/п</t>
  </si>
  <si>
    <t>Налоги, в т.ч.</t>
  </si>
  <si>
    <t>плата за водопользование</t>
  </si>
  <si>
    <t>Накладные расходы, в т.ч.</t>
  </si>
  <si>
    <t>охрана труда</t>
  </si>
  <si>
    <t>экспертиза, лаб. испытания, проекты, пробы воды</t>
  </si>
  <si>
    <t>3.3.</t>
  </si>
  <si>
    <t>проезд к месту отдыха</t>
  </si>
  <si>
    <t>4.2.</t>
  </si>
  <si>
    <t>Расчет суммы расходов прошлых периодов, неучтенных при установлении тарифов на 2016 год</t>
  </si>
  <si>
    <t>БАЛАНС ВОДОСНАБЖЕНИЯ И ВОДООТВЕДЕНИЯ</t>
  </si>
  <si>
    <t>1. Расчет тарифа на услуги водоотведения, оказываемые МП "Горводоканал" потребителям на территории г. Котласа на 2018 год</t>
  </si>
  <si>
    <t>1.1. Расчет тарифа на услуги водоотведения, оказываемые МП "Горводоканал" потребителям на территории г. Котласа на 2018 год (СВОД)</t>
  </si>
  <si>
    <t>Факт 2017 год</t>
  </si>
  <si>
    <t>Всего          (ожид.)</t>
  </si>
  <si>
    <t>Всего (ожид.)</t>
  </si>
  <si>
    <t>Предложение предприятия по корректировке</t>
  </si>
  <si>
    <t>Предложение агентства по корректировке</t>
  </si>
  <si>
    <t>Приложение № __</t>
  </si>
  <si>
    <t>факт 2016 предприятия</t>
  </si>
  <si>
    <t>факт 2016 АТЦ</t>
  </si>
  <si>
    <t>Товарная выручка</t>
  </si>
  <si>
    <t>Корректировка НВВ с учетом отклонения фактических значений параметров расчета тарифов от значений, учтенных при установлении тарифов</t>
  </si>
  <si>
    <t>Корректировка НВВ с учетом ввода объектов системы водоснабжения и (или) водоотведения в эксплуатацию и изменения утвержденной инвестиционной программы</t>
  </si>
  <si>
    <t>Корректировка НВВ с учетом степени исполнения регулируемой организацией обязательств по созданию и (или) реконструкции объектов концессионного соглашения, по эксплуатации объектов по договору аренды централизованных систем горячего водоснабжения, холодного водоснабжения и (или) водоотведения, отдельных объектов таких систем, находящихся в государственной или муниципальной собственности, по реализации инвестиционной программы, производственной программы при недостижении регулируемой организацией утвержденных плановых значений показателей надежности и качества объектов централизованных систем водоснабжения и (или) водоотведения</t>
  </si>
  <si>
    <t>Корректировка НВВ</t>
  </si>
  <si>
    <t>1 пол</t>
  </si>
  <si>
    <t>РАСЧЕТ ТОВАРНОЙ ВЫРУЧКИ</t>
  </si>
  <si>
    <t>объем, куб.м</t>
  </si>
  <si>
    <t>утв. тариф, руб.куб.м</t>
  </si>
  <si>
    <t>выручка,                   тыс. руб.</t>
  </si>
  <si>
    <t>водоотведение в стадии очистки</t>
  </si>
  <si>
    <t xml:space="preserve">Приложение № </t>
  </si>
  <si>
    <t>Водоснабжение на 2017 год (корректировка)</t>
  </si>
  <si>
    <t>Водоснабжение на 2018 год (корректировка)</t>
  </si>
  <si>
    <t>Объем реализации населению 2016 г</t>
  </si>
  <si>
    <t>Выручка 2016 год</t>
  </si>
  <si>
    <t>Показатели надежности, качнства и энергетической эффективности за 2016 год</t>
  </si>
  <si>
    <t>пост. МинТЭК и ЖКХ АО от 24.11.2015 № 189-п</t>
  </si>
  <si>
    <t>Наименование показателя</t>
  </si>
  <si>
    <t>Перечень показателей</t>
  </si>
  <si>
    <t>Ед. измерения</t>
  </si>
  <si>
    <t>Величина показателя</t>
  </si>
  <si>
    <t>Вес показателя</t>
  </si>
  <si>
    <t>Условия</t>
  </si>
  <si>
    <t>А</t>
  </si>
  <si>
    <t>план</t>
  </si>
  <si>
    <t>Показатели качества воды</t>
  </si>
  <si>
    <t>Доля проб питьевой воды, подаваемой с источников водоснабжения, водопроводных станций или иных объектов централизованной системы водоснабжения в распределительную водопроводную сеть, не соответствующих установленным требованиям, в общем объеме проб, отобранных по результатам производственного контроля качества питьевой воды</t>
  </si>
  <si>
    <t>Доля проб питьевой воды в распределительной водопроводной сети, не соответствующих установленным требованиям, в общем объеме проб, отобранных по результатам производственного контроля качества питьевой воды</t>
  </si>
  <si>
    <t>Показатели надежности и бесперебойности водоснабжения и водоотведения</t>
  </si>
  <si>
    <t>Количество перерывов в подаче воды, возникших в результате аварий, повреждений и иных технологических нарушений на объектах централизованной системы холодного водоснабжения, в расчете на протяженность водопроводной сети в год</t>
  </si>
  <si>
    <t>ед./км</t>
  </si>
  <si>
    <t>Удельное количество аварий и засоров в расчете на протяженность водопроводной сети в год</t>
  </si>
  <si>
    <t>Показатели очистки сточных вод</t>
  </si>
  <si>
    <t xml:space="preserve">Доля сточных вод, не подвергающихся очистке, в общем объеме сточных вод, сбрасываемых в централизованные общесплавные или бытовые системы водоотведения </t>
  </si>
  <si>
    <t>Доля проб сточных вод, не соотвествующих установленным нормативам допустимых сбросов, лимитам сброса</t>
  </si>
  <si>
    <t>Показатели энергетической эффективности используемых ресурсов</t>
  </si>
  <si>
    <t>Доля потерь воды в централизованных системах водоснабжения при транспортировке в общем объеме воды, поданной в водопроводную сеть</t>
  </si>
  <si>
    <t>Удельный расход электриченской энергии, потребляемой в технологическом процессе подготовки воды (подъем), на единицу объема воды, отпускаемой в сеть</t>
  </si>
  <si>
    <t>квт*ч/куб.м</t>
  </si>
  <si>
    <t>Удельный расход электриченской энергии, потребляемой в технологическом процессе подготовки воды (очистка и транспортировка), на единицу объема воды, отпускаемой в сеть</t>
  </si>
  <si>
    <t>Удельный расход электриченской энергии, потребляемой в технологическом процессе очистки сточных вод, на единицу объема очищаемых сточных вод</t>
  </si>
  <si>
    <t>Удельный расход электриченской энергии, потребляемой в технологическом процессе транспортировки сточных вод, на единицу объема очищаемых сточных вод</t>
  </si>
  <si>
    <r>
      <t>∆ИП</t>
    </r>
    <r>
      <rPr>
        <b/>
        <vertAlign val="subscript"/>
        <sz val="10"/>
        <rFont val="Times New Roman"/>
        <family val="1"/>
        <charset val="204"/>
      </rPr>
      <t xml:space="preserve">2018  </t>
    </r>
    <r>
      <rPr>
        <b/>
        <sz val="10"/>
        <rFont val="Times New Roman"/>
        <family val="1"/>
        <charset val="204"/>
      </rPr>
      <t>=min {(1-А</t>
    </r>
    <r>
      <rPr>
        <b/>
        <vertAlign val="subscript"/>
        <sz val="10"/>
        <rFont val="Times New Roman"/>
        <family val="1"/>
        <charset val="204"/>
      </rPr>
      <t xml:space="preserve"> i-2</t>
    </r>
    <r>
      <rPr>
        <b/>
        <sz val="10"/>
        <rFont val="Times New Roman"/>
        <family val="1"/>
        <charset val="204"/>
      </rPr>
      <t>); П</t>
    </r>
    <r>
      <rPr>
        <b/>
        <vertAlign val="subscript"/>
        <sz val="10"/>
        <rFont val="Times New Roman"/>
        <family val="1"/>
        <charset val="204"/>
      </rPr>
      <t>кор, i-2</t>
    </r>
    <r>
      <rPr>
        <b/>
        <sz val="10"/>
        <rFont val="Times New Roman"/>
        <family val="1"/>
        <charset val="204"/>
      </rPr>
      <t xml:space="preserve">/100}*НВВ </t>
    </r>
    <r>
      <rPr>
        <b/>
        <vertAlign val="subscript"/>
        <sz val="10"/>
        <rFont val="Times New Roman"/>
        <family val="1"/>
        <charset val="204"/>
      </rPr>
      <t>2016</t>
    </r>
    <r>
      <rPr>
        <b/>
        <sz val="10"/>
        <rFont val="Times New Roman"/>
        <family val="1"/>
        <charset val="204"/>
      </rPr>
      <t xml:space="preserve">*(1+ИЦП </t>
    </r>
    <r>
      <rPr>
        <b/>
        <vertAlign val="subscript"/>
        <sz val="10"/>
        <rFont val="Times New Roman"/>
        <family val="1"/>
        <charset val="204"/>
      </rPr>
      <t>2017</t>
    </r>
    <r>
      <rPr>
        <b/>
        <sz val="10"/>
        <rFont val="Times New Roman"/>
        <family val="1"/>
        <charset val="204"/>
      </rPr>
      <t xml:space="preserve">)*(1+ИЦП </t>
    </r>
    <r>
      <rPr>
        <b/>
        <vertAlign val="subscript"/>
        <sz val="10"/>
        <rFont val="Times New Roman"/>
        <family val="1"/>
        <charset val="204"/>
      </rPr>
      <t>2018</t>
    </r>
    <r>
      <rPr>
        <b/>
        <sz val="10"/>
        <rFont val="Times New Roman"/>
        <family val="1"/>
        <charset val="204"/>
      </rPr>
      <t>)</t>
    </r>
  </si>
  <si>
    <r>
      <t>П</t>
    </r>
    <r>
      <rPr>
        <b/>
        <vertAlign val="subscript"/>
        <sz val="10"/>
        <rFont val="Times New Roman"/>
        <family val="1"/>
        <charset val="204"/>
      </rPr>
      <t>кор, i-2  -</t>
    </r>
    <r>
      <rPr>
        <i/>
        <sz val="10"/>
        <rFont val="Times New Roman"/>
        <family val="1"/>
        <charset val="204"/>
      </rPr>
      <t xml:space="preserve"> максимальный % корректировки i-го года</t>
    </r>
  </si>
  <si>
    <t>2016 год =1%</t>
  </si>
  <si>
    <t>min {(1-А i-2);</t>
  </si>
  <si>
    <r>
      <t xml:space="preserve">НВВ </t>
    </r>
    <r>
      <rPr>
        <b/>
        <vertAlign val="subscript"/>
        <sz val="10"/>
        <rFont val="Times New Roman"/>
        <family val="1"/>
        <charset val="204"/>
      </rPr>
      <t>2016</t>
    </r>
    <r>
      <rPr>
        <b/>
        <sz val="10"/>
        <rFont val="Times New Roman"/>
        <family val="1"/>
        <charset val="204"/>
      </rPr>
      <t/>
    </r>
  </si>
  <si>
    <r>
      <t xml:space="preserve">ИЦП </t>
    </r>
    <r>
      <rPr>
        <b/>
        <vertAlign val="subscript"/>
        <sz val="10"/>
        <rFont val="Times New Roman"/>
        <family val="1"/>
        <charset val="204"/>
      </rPr>
      <t>2017</t>
    </r>
  </si>
  <si>
    <r>
      <t xml:space="preserve">ИЦП </t>
    </r>
    <r>
      <rPr>
        <b/>
        <vertAlign val="subscript"/>
        <sz val="10"/>
        <rFont val="Times New Roman"/>
        <family val="1"/>
        <charset val="204"/>
      </rPr>
      <t>2018</t>
    </r>
  </si>
  <si>
    <t>Корректировка НВВ, в том числе:</t>
  </si>
  <si>
    <t>на питьевую воду</t>
  </si>
  <si>
    <t>Формула АТЦ неправильная</t>
  </si>
  <si>
    <t>водоотведение в (стадии очистки)</t>
  </si>
  <si>
    <t>Производственная программа МП "Горводоканал"на услуги водоснабжения на 2018 г. с календарной разбивкой (по стадиям технологического процесса)</t>
  </si>
  <si>
    <t>Всего                  2018</t>
  </si>
  <si>
    <t>Производственная программа МП "Горводоканал"на услуги водоснабжения на 2018 г. с календарной разбивкой (сводная)</t>
  </si>
  <si>
    <t>Производственная программа МП "Горводоканал"на услуги водоотведения на 2018 г. с календарной разбивкой (по стадиям технологического процесса)</t>
  </si>
  <si>
    <t>Производственная программа МП "Горводоканал"на услуги водоотведения на 2018 г. с календарной разбивкой (сводная)</t>
  </si>
  <si>
    <t xml:space="preserve">Всего на 2018 год </t>
  </si>
  <si>
    <t>Всего                2018</t>
  </si>
  <si>
    <t>План цеховых расходов по водоснабжению по видам технологического процесса на 2018 год с учетом календарной разбивки</t>
  </si>
  <si>
    <t>Корректировка НВВ, в т.ч.</t>
  </si>
  <si>
    <t>НВВ с учетом корректировки</t>
  </si>
  <si>
    <t xml:space="preserve">Прибыль </t>
  </si>
  <si>
    <t>План цеховых расходов по водоотведению по видам технологического процесса на 2018 год с учетом календарной разбивки</t>
  </si>
  <si>
    <t>НВВ с инвест.составляющей, руб.</t>
  </si>
  <si>
    <t>"___" ___________________ 2018 г.</t>
  </si>
  <si>
    <t xml:space="preserve">План по формированию расходной части МП "Горводоканал" по статьям затрат                                                             на услуги водоотведения на 2018 год </t>
  </si>
  <si>
    <t xml:space="preserve">План по формированию расходной части МП "Горводоканал" по статьям затрат                                                             на услуги водоснабжения на 2018 год </t>
  </si>
  <si>
    <t>корректировка НВВ</t>
  </si>
  <si>
    <t>План финансово-хозяйственной деятельности                                                                                                                               МП "Горводоканал" на 2018 год</t>
  </si>
  <si>
    <t>План финансово-хозяйственной деятельности МП "Горводоканал" на 2018 год (в разрезе по месяцам)</t>
  </si>
  <si>
    <t>Текущий ремонт и тех.обслуживание  (план) на 2018 год</t>
  </si>
  <si>
    <t>План по электроэнергии по водоотведению на 2018 год</t>
  </si>
  <si>
    <t>План по электроэнергии по водоснабжению на 2018 год</t>
  </si>
  <si>
    <t>ПО СТАДИЯМ ТЕХНОЛОГИЧЕСКОГО ПРОЦЕССА</t>
  </si>
  <si>
    <t>ОБЪЕМНЫЕ ПОКАЗАТЕЛИ СИСТЕМЫ ВОДОСНАБЖЕНИЯ</t>
  </si>
  <si>
    <t>1 КВАРТАЛ</t>
  </si>
  <si>
    <t>2 КВАРТАЛ</t>
  </si>
  <si>
    <t>1 ПОЛУГОДИЕ</t>
  </si>
  <si>
    <t>3 КВАРТАЛ</t>
  </si>
  <si>
    <t>9 МЕСЯЦЕВ</t>
  </si>
  <si>
    <t>4 КВАРТАЛ</t>
  </si>
  <si>
    <t>ПЛАН</t>
  </si>
  <si>
    <t>ФАКТ</t>
  </si>
  <si>
    <t>ОТКЛ.</t>
  </si>
  <si>
    <t>ФИНАНСОВЫЕ ЗАТРАТЫ</t>
  </si>
  <si>
    <t>Информационные услуги, программы</t>
  </si>
  <si>
    <t>отопление, природный газ</t>
  </si>
  <si>
    <t>вывоз мусора, обезвр.опасных отходов</t>
  </si>
  <si>
    <t xml:space="preserve">плата за водопользование </t>
  </si>
  <si>
    <t>природный газ</t>
  </si>
  <si>
    <t>ПРОЧИЕ РАССХОДЫ ВСЕГО, В Т.Ч.:</t>
  </si>
  <si>
    <t>установка приборов учета, по заявке</t>
  </si>
  <si>
    <t>членские взносы СРО</t>
  </si>
  <si>
    <t>Всего расходов (с прочими расходами)</t>
  </si>
  <si>
    <t>СВОДНАЯ</t>
  </si>
  <si>
    <t>установка приборов учета</t>
  </si>
  <si>
    <t xml:space="preserve">Страхование гражданской ответственности </t>
  </si>
  <si>
    <t>Проверка приборов оборудования</t>
  </si>
  <si>
    <t>Акредитация лаборатории</t>
  </si>
  <si>
    <t>Экспертизы, пробы, проекты, лицензии</t>
  </si>
  <si>
    <t>вывоз мусора, обезврежив. опаных отходов</t>
  </si>
  <si>
    <t xml:space="preserve">ФАКТИЧЕСКИЕ ФИНАНСОВЫЕ ПОКАЗАТЕЛИ </t>
  </si>
  <si>
    <t>ЯНВАРЬ</t>
  </si>
  <si>
    <t>ФЕВРАЛЬ</t>
  </si>
  <si>
    <t>МАРТ</t>
  </si>
  <si>
    <t>АПРЕЛЬ</t>
  </si>
  <si>
    <t>МАЙ</t>
  </si>
  <si>
    <t>ИЮНЬ</t>
  </si>
  <si>
    <t>АВГУСТ</t>
  </si>
  <si>
    <t>СЕНТЯБРЬ</t>
  </si>
  <si>
    <t>ОКТЯБРЬ</t>
  </si>
  <si>
    <t>НОЯБРЬ</t>
  </si>
  <si>
    <t>ДЕКАБРЬ</t>
  </si>
  <si>
    <t>ПРОШЛ.</t>
  </si>
  <si>
    <t>ОТКЛОНЕНИЕ</t>
  </si>
  <si>
    <t>абс.</t>
  </si>
  <si>
    <t>ДОХОДЫ С УЧЕТОМ УСТАНОВЛЕННЫХ ТАРИФОВ</t>
  </si>
  <si>
    <t>ПРОЧИЕ РАСХОДЫ ВСЕГО, В Т.Ч.:</t>
  </si>
  <si>
    <t>ОБЪЕМНЫЕ ПОКАЗАТЕЛИ СИСТЕМЫ ВОДООТВЕДЕНИЯ</t>
  </si>
  <si>
    <t>Экспертиза, пробы, проекты, лицензии, аккредит. лаб.</t>
  </si>
  <si>
    <t>ПРОЧИЕ РАСХОДЫ ВСЕГО, В Т.Ч.</t>
  </si>
  <si>
    <t>Экономист                                 Горынцев А.Л.</t>
  </si>
  <si>
    <t xml:space="preserve">                                                 Гавриленко О.В.</t>
  </si>
  <si>
    <t xml:space="preserve">                                                  Гавриленко О.В.</t>
  </si>
  <si>
    <t>ФАКТИЧЕСКИЕ ФИНАНСОВЫЕ ПОКАЗАТЕЛИ</t>
  </si>
  <si>
    <t>Неканализованный жилой фонд</t>
  </si>
  <si>
    <t>УСЛУГ ВОДООТВЕДЕНИЯ ЗА 2018 ГОД</t>
  </si>
  <si>
    <t>ПОЛНАЯ СЕБЕСТОИМОСТЬ УСЛУГ ВОДООТВЕДЕНИЯ НА 2018 ГОД</t>
  </si>
  <si>
    <t>ЦЕХОВЫЕ РАСХОДЫ ПО ВОДООТВЕДЕНИЮ НА 2018 ГОД</t>
  </si>
  <si>
    <t>УСЛУГ ВОДОСНАБЖЕНИЯ ЗА 2018 ГОД</t>
  </si>
  <si>
    <t>ПОЛНАЯ СЕБЕСТОИМОСТЬ УСЛУГ ВОДОСНАБЖЕНИЯ НА 2018 ГОД</t>
  </si>
  <si>
    <t>ЦЕХОВЫЕ РАСХОДЫ ПО ВОДОСНАБЖЕНИЮ НА 2018 год</t>
  </si>
  <si>
    <t xml:space="preserve">В ДАЛЬНЕЙШЕМ ПРИБЫЛЬ СЧИТАЙ ИСХОДЯ ИЗ УСТАНОВЛЕННЫХ ТАРИФОВ (ПЛАН ДОХОДОВ МИНСУС ПЛАН РАСХОДОВ) </t>
  </si>
  <si>
    <t>НВВ с инвестиционной составляющей, тыс.руб.</t>
  </si>
  <si>
    <t>выручка, тыс. руб.</t>
  </si>
  <si>
    <t>отклонение</t>
  </si>
  <si>
    <t>РАСЧЕТ ТОВАРНОЙ ВЫРУЧКИ ЗА 2018 ГОД</t>
  </si>
  <si>
    <t>Малоценное имущество  до 40 т.р.</t>
  </si>
  <si>
    <t>Малоценное имущество до 40 тыс.руб.</t>
  </si>
  <si>
    <t>Ерофеевский А.В.</t>
  </si>
</sst>
</file>

<file path=xl/styles.xml><?xml version="1.0" encoding="utf-8"?>
<styleSheet xmlns="http://schemas.openxmlformats.org/spreadsheetml/2006/main">
  <numFmts count="24">
    <numFmt numFmtId="164" formatCode="_-* #,##0.00&quot;р.&quot;_-;\-* #,##0.00&quot;р.&quot;_-;_-* &quot;-&quot;??&quot;р.&quot;_-;_-@_-"/>
    <numFmt numFmtId="165" formatCode="_-* #,##0.00_р_._-;\-* #,##0.00_р_._-;_-* &quot;-&quot;??_р_._-;_-@_-"/>
    <numFmt numFmtId="166" formatCode="0.00000"/>
    <numFmt numFmtId="167" formatCode="0.0000"/>
    <numFmt numFmtId="168" formatCode="0.000"/>
    <numFmt numFmtId="169" formatCode="0.0"/>
    <numFmt numFmtId="170" formatCode="#,##0.0"/>
    <numFmt numFmtId="171" formatCode="0.0%"/>
    <numFmt numFmtId="172" formatCode="_(* #,##0.00_);_(* \(#,##0.00\);_(* \-??_);_(@_)"/>
    <numFmt numFmtId="173" formatCode="_-* #,##0.00_р_._-;\-* #,##0.00_р_._-;_-* \-??_р_._-;_-@_-"/>
    <numFmt numFmtId="174" formatCode="#,##0.0000"/>
    <numFmt numFmtId="175" formatCode="_(* #,##0.00_);_(* \(#,##0.00\);_(* &quot;-&quot;??_);_(@_)"/>
    <numFmt numFmtId="176" formatCode="0.000%"/>
    <numFmt numFmtId="177" formatCode="0.0000000"/>
    <numFmt numFmtId="178" formatCode="#,##0.000"/>
    <numFmt numFmtId="179" formatCode="_-* #,##0\ _P_t_s_-;\-* #,##0\ _P_t_s_-;_-* &quot;- &quot;_P_t_s_-;_-@_-"/>
    <numFmt numFmtId="180" formatCode="_-* #,##0.00\ _P_t_s_-;\-* #,##0.00\ _P_t_s_-;_-* \-??\ _P_t_s_-;_-@_-"/>
    <numFmt numFmtId="181" formatCode="_-* #,##0&quot; Pts&quot;_-;\-* #,##0&quot; Pts&quot;_-;_-* &quot;- Pts&quot;_-;_-@_-"/>
    <numFmt numFmtId="182" formatCode="_-* #,##0.00&quot; Pts&quot;_-;\-* #,##0.00&quot; Pts&quot;_-;_-* \-??&quot; Pts&quot;_-;_-@_-"/>
    <numFmt numFmtId="183" formatCode="_-* #,##0.00&quot;р.&quot;_-;\-* #,##0.00&quot;р.&quot;_-;_-* \-??&quot;р.&quot;_-;_-@_-"/>
    <numFmt numFmtId="184" formatCode="#,##0;[Red]\-#,##0"/>
    <numFmt numFmtId="185" formatCode="#,##0.00;[Red]\-#,##0.00"/>
    <numFmt numFmtId="186" formatCode="0.000000000"/>
    <numFmt numFmtId="187" formatCode="0.00000000"/>
  </numFmts>
  <fonts count="164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0"/>
      <name val="Arial Cyr"/>
      <charset val="204"/>
    </font>
    <font>
      <sz val="8"/>
      <name val="Arial Cyr"/>
      <charset val="204"/>
    </font>
    <font>
      <sz val="10"/>
      <name val="Arial Cyr"/>
      <charset val="204"/>
    </font>
    <font>
      <b/>
      <sz val="12"/>
      <name val="Arial Cyr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b/>
      <i/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6"/>
      <name val="Times New Roman"/>
      <family val="1"/>
      <charset val="204"/>
    </font>
    <font>
      <sz val="10"/>
      <name val="Arial"/>
      <family val="2"/>
      <charset val="204"/>
    </font>
    <font>
      <b/>
      <sz val="12"/>
      <name val="Arial"/>
      <family val="2"/>
      <charset val="204"/>
    </font>
    <font>
      <sz val="8"/>
      <name val="Arial"/>
      <family val="2"/>
      <charset val="204"/>
    </font>
    <font>
      <b/>
      <sz val="8"/>
      <name val="Times New Roman"/>
      <family val="1"/>
      <charset val="204"/>
    </font>
    <font>
      <sz val="8"/>
      <name val="Times New Roman"/>
      <family val="1"/>
      <charset val="204"/>
    </font>
    <font>
      <b/>
      <sz val="8"/>
      <name val="Arial"/>
      <family val="2"/>
      <charset val="204"/>
    </font>
    <font>
      <sz val="10"/>
      <name val="Arial Cyr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0"/>
      <color indexed="10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b/>
      <sz val="11"/>
      <name val="Arial Cyr"/>
      <charset val="204"/>
    </font>
    <font>
      <sz val="11"/>
      <name val="Times New Roman"/>
      <family val="1"/>
      <charset val="204"/>
    </font>
    <font>
      <i/>
      <sz val="11"/>
      <name val="Times New Roman"/>
      <family val="1"/>
      <charset val="204"/>
    </font>
    <font>
      <i/>
      <sz val="10"/>
      <name val="Arial Cyr"/>
      <charset val="204"/>
    </font>
    <font>
      <b/>
      <sz val="11"/>
      <name val="Times New Roman"/>
      <family val="1"/>
      <charset val="204"/>
    </font>
    <font>
      <b/>
      <i/>
      <sz val="11"/>
      <name val="Times New Roman"/>
      <family val="1"/>
      <charset val="204"/>
    </font>
    <font>
      <sz val="8"/>
      <name val="Calibri"/>
      <family val="2"/>
      <charset val="204"/>
    </font>
    <font>
      <b/>
      <sz val="11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0"/>
      <color indexed="10"/>
      <name val="Arial Cyr"/>
      <charset val="204"/>
    </font>
    <font>
      <b/>
      <sz val="16"/>
      <name val="Arial Cyr"/>
      <charset val="204"/>
    </font>
    <font>
      <sz val="16"/>
      <name val="Times New Roman"/>
      <family val="1"/>
      <charset val="204"/>
    </font>
    <font>
      <i/>
      <sz val="16"/>
      <name val="Times New Roman"/>
      <family val="1"/>
      <charset val="204"/>
    </font>
    <font>
      <sz val="14"/>
      <name val="Times New Roman"/>
      <family val="1"/>
      <charset val="204"/>
    </font>
    <font>
      <i/>
      <sz val="14"/>
      <name val="Times New Roman"/>
      <family val="1"/>
      <charset val="204"/>
    </font>
    <font>
      <b/>
      <sz val="14"/>
      <name val="Arial Cyr"/>
      <charset val="204"/>
    </font>
    <font>
      <sz val="12"/>
      <name val="Arial Cyr"/>
      <charset val="204"/>
    </font>
    <font>
      <sz val="16"/>
      <name val="Arial Cyr"/>
      <charset val="204"/>
    </font>
    <font>
      <b/>
      <sz val="16"/>
      <color indexed="8"/>
      <name val="Times New Roman"/>
      <family val="1"/>
      <charset val="204"/>
    </font>
    <font>
      <b/>
      <sz val="16"/>
      <color indexed="62"/>
      <name val="Times New Roman"/>
      <family val="1"/>
      <charset val="204"/>
    </font>
    <font>
      <b/>
      <sz val="20"/>
      <name val="Arial Cyr"/>
      <charset val="204"/>
    </font>
    <font>
      <b/>
      <sz val="22"/>
      <name val="Times New Roman"/>
      <family val="1"/>
      <charset val="204"/>
    </font>
    <font>
      <sz val="10"/>
      <color indexed="10"/>
      <name val="Arial Cyr"/>
      <charset val="204"/>
    </font>
    <font>
      <b/>
      <sz val="18"/>
      <name val="Times New Roman"/>
      <family val="1"/>
      <charset val="204"/>
    </font>
    <font>
      <b/>
      <sz val="12"/>
      <color indexed="10"/>
      <name val="Arial Cyr"/>
      <charset val="204"/>
    </font>
    <font>
      <b/>
      <sz val="14"/>
      <color indexed="10"/>
      <name val="Arial Cyr"/>
      <charset val="204"/>
    </font>
    <font>
      <b/>
      <sz val="11"/>
      <color indexed="10"/>
      <name val="Arial Cyr"/>
      <charset val="204"/>
    </font>
    <font>
      <b/>
      <sz val="14"/>
      <color indexed="10"/>
      <name val="Arial Cyr"/>
      <charset val="204"/>
    </font>
    <font>
      <b/>
      <sz val="16"/>
      <color indexed="10"/>
      <name val="Arial Cyr"/>
      <charset val="204"/>
    </font>
    <font>
      <b/>
      <sz val="18"/>
      <name val="Arial Cyr"/>
      <charset val="204"/>
    </font>
    <font>
      <sz val="14"/>
      <name val="Arial"/>
      <family val="2"/>
      <charset val="204"/>
    </font>
    <font>
      <i/>
      <sz val="12"/>
      <name val="Arial"/>
      <family val="2"/>
      <charset val="204"/>
    </font>
    <font>
      <sz val="1"/>
      <name val="Times New Roman"/>
      <family val="1"/>
      <charset val="204"/>
    </font>
    <font>
      <b/>
      <sz val="11"/>
      <name val="Arial"/>
      <family val="2"/>
      <charset val="204"/>
    </font>
    <font>
      <sz val="14"/>
      <color indexed="10"/>
      <name val="Times New Roman"/>
      <family val="1"/>
      <charset val="204"/>
    </font>
    <font>
      <sz val="14"/>
      <name val="Arial Cyr"/>
      <charset val="204"/>
    </font>
    <font>
      <b/>
      <i/>
      <sz val="14"/>
      <name val="Times New Roman"/>
      <family val="1"/>
      <charset val="204"/>
    </font>
    <font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b/>
      <sz val="20"/>
      <name val="Times New Roman"/>
      <family val="1"/>
      <charset val="204"/>
    </font>
    <font>
      <sz val="12.5"/>
      <name val="Times New Roman"/>
      <family val="1"/>
      <charset val="204"/>
    </font>
    <font>
      <sz val="18"/>
      <name val="Arial Cyr"/>
      <charset val="204"/>
    </font>
    <font>
      <sz val="18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sz val="10"/>
      <color theme="0"/>
      <name val="Arial Cyr"/>
      <charset val="204"/>
    </font>
    <font>
      <b/>
      <sz val="10"/>
      <color indexed="10"/>
      <name val="Arial Cyr"/>
      <charset val="204"/>
    </font>
    <font>
      <i/>
      <vertAlign val="superscript"/>
      <sz val="11"/>
      <name val="Times New Roman"/>
      <family val="1"/>
      <charset val="204"/>
    </font>
    <font>
      <b/>
      <sz val="9"/>
      <color rgb="FF000000"/>
      <name val="Arial"/>
      <family val="2"/>
      <charset val="204"/>
    </font>
    <font>
      <sz val="10"/>
      <color theme="0"/>
      <name val="Times New Roman"/>
      <family val="1"/>
      <charset val="204"/>
    </font>
    <font>
      <b/>
      <sz val="24"/>
      <name val="Times New Roman"/>
      <family val="1"/>
      <charset val="204"/>
    </font>
    <font>
      <sz val="24"/>
      <name val="Arial Cyr"/>
      <charset val="204"/>
    </font>
    <font>
      <b/>
      <i/>
      <sz val="16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sz val="12"/>
      <color rgb="FF0070C0"/>
      <name val="Times New Roman"/>
      <family val="1"/>
      <charset val="204"/>
    </font>
    <font>
      <b/>
      <sz val="12"/>
      <color rgb="FF0070C0"/>
      <name val="Times New Roman"/>
      <family val="1"/>
      <charset val="204"/>
    </font>
    <font>
      <b/>
      <i/>
      <sz val="12"/>
      <color rgb="FF0070C0"/>
      <name val="Times New Roman"/>
      <family val="1"/>
      <charset val="204"/>
    </font>
    <font>
      <b/>
      <sz val="11"/>
      <color rgb="FF0070C0"/>
      <name val="Times New Roman"/>
      <family val="1"/>
      <charset val="204"/>
    </font>
    <font>
      <sz val="10"/>
      <name val="MS Sans Serif"/>
      <family val="2"/>
      <charset val="204"/>
    </font>
    <font>
      <b/>
      <sz val="10"/>
      <color indexed="56"/>
      <name val="Arial"/>
      <family val="2"/>
      <charset val="204"/>
    </font>
    <font>
      <sz val="10"/>
      <color indexed="56"/>
      <name val="Arial"/>
      <family val="2"/>
      <charset val="204"/>
    </font>
    <font>
      <b/>
      <u/>
      <sz val="9"/>
      <color indexed="12"/>
      <name val="Tahoma"/>
      <family val="2"/>
      <charset val="204"/>
    </font>
    <font>
      <sz val="10"/>
      <color indexed="8"/>
      <name val="Arial Cyr"/>
      <family val="2"/>
      <charset val="204"/>
    </font>
    <font>
      <b/>
      <sz val="10"/>
      <color rgb="FFFF0000"/>
      <name val="Arial Cyr"/>
      <charset val="204"/>
    </font>
    <font>
      <b/>
      <sz val="11"/>
      <color theme="1"/>
      <name val="Calibri"/>
      <family val="2"/>
      <charset val="204"/>
      <scheme val="minor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8"/>
      <color indexed="8"/>
      <name val="Calibri"/>
      <family val="2"/>
      <charset val="204"/>
    </font>
    <font>
      <b/>
      <sz val="9"/>
      <color indexed="8"/>
      <name val="Calibri"/>
      <family val="2"/>
      <charset val="204"/>
    </font>
    <font>
      <sz val="8"/>
      <color indexed="8"/>
      <name val="Calibri"/>
      <family val="2"/>
      <charset val="204"/>
    </font>
    <font>
      <sz val="8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b/>
      <sz val="7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22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sz val="10"/>
      <color rgb="FFFF0000"/>
      <name val="Times New Roman"/>
      <family val="1"/>
      <charset val="204"/>
    </font>
    <font>
      <sz val="10"/>
      <color rgb="FFFF0000"/>
      <name val="Arial Cyr"/>
      <charset val="204"/>
    </font>
    <font>
      <sz val="14"/>
      <color rgb="FF00B050"/>
      <name val="Times New Roman"/>
      <family val="1"/>
      <charset val="204"/>
    </font>
    <font>
      <i/>
      <sz val="14"/>
      <color rgb="FF00B050"/>
      <name val="Times New Roman"/>
      <family val="1"/>
      <charset val="204"/>
    </font>
    <font>
      <sz val="18"/>
      <name val="Arial"/>
      <family val="2"/>
      <charset val="204"/>
    </font>
    <font>
      <sz val="16"/>
      <name val="Arial"/>
      <family val="2"/>
      <charset val="204"/>
    </font>
    <font>
      <sz val="12"/>
      <name val="Arial"/>
      <family val="2"/>
      <charset val="204"/>
    </font>
    <font>
      <b/>
      <sz val="16"/>
      <color rgb="FFFF0000"/>
      <name val="Arial Cyr"/>
      <charset val="204"/>
    </font>
    <font>
      <sz val="12.5"/>
      <color theme="0"/>
      <name val="Times New Roman"/>
      <family val="1"/>
      <charset val="204"/>
    </font>
    <font>
      <b/>
      <sz val="10"/>
      <color theme="0"/>
      <name val="Times New Roman"/>
      <family val="1"/>
      <charset val="204"/>
    </font>
    <font>
      <sz val="11"/>
      <color theme="0"/>
      <name val="Times New Roman"/>
      <family val="1"/>
      <charset val="204"/>
    </font>
    <font>
      <sz val="20"/>
      <name val="Arial Cyr"/>
      <charset val="204"/>
    </font>
    <font>
      <sz val="22"/>
      <name val="Arial Cyr"/>
      <charset val="204"/>
    </font>
    <font>
      <sz val="11"/>
      <color rgb="FFFF0000"/>
      <name val="Times New Roman"/>
      <family val="1"/>
      <charset val="204"/>
    </font>
    <font>
      <b/>
      <i/>
      <sz val="10"/>
      <name val="Arial Cyr"/>
      <charset val="204"/>
    </font>
    <font>
      <b/>
      <i/>
      <sz val="14"/>
      <name val="Arial Cyr"/>
      <charset val="204"/>
    </font>
    <font>
      <b/>
      <sz val="14"/>
      <color rgb="FFFF0000"/>
      <name val="Arial Cyr"/>
      <charset val="204"/>
    </font>
    <font>
      <b/>
      <sz val="20"/>
      <color rgb="FFFF0000"/>
      <name val="Arial Cyr"/>
      <charset val="204"/>
    </font>
    <font>
      <sz val="14"/>
      <color rgb="FFFF0000"/>
      <name val="Arial Cyr"/>
      <charset val="204"/>
    </font>
    <font>
      <sz val="16"/>
      <color rgb="FFFF0000"/>
      <name val="Arial Cyr"/>
      <charset val="204"/>
    </font>
    <font>
      <b/>
      <sz val="16"/>
      <color theme="1"/>
      <name val="Times New Roman"/>
      <family val="1"/>
      <charset val="204"/>
    </font>
    <font>
      <b/>
      <u/>
      <sz val="12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b/>
      <i/>
      <sz val="10"/>
      <color rgb="FFFF0000"/>
      <name val="Arial"/>
      <family val="2"/>
      <charset val="204"/>
    </font>
    <font>
      <sz val="12"/>
      <color indexed="8"/>
      <name val="Calibri"/>
      <family val="2"/>
      <charset val="204"/>
    </font>
    <font>
      <b/>
      <sz val="12"/>
      <color rgb="FFFF000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i/>
      <sz val="14"/>
      <color theme="1"/>
      <name val="Times New Roman"/>
      <family val="1"/>
      <charset val="204"/>
    </font>
    <font>
      <b/>
      <vertAlign val="subscript"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i/>
      <sz val="14"/>
      <color rgb="FF002060"/>
      <name val="Times New Roman"/>
      <family val="1"/>
      <charset val="204"/>
    </font>
    <font>
      <sz val="12"/>
      <color rgb="FFFF0000"/>
      <name val="Arial Cyr"/>
      <charset val="204"/>
    </font>
    <font>
      <i/>
      <sz val="14"/>
      <color rgb="FFFF0000"/>
      <name val="Times New Roman"/>
      <family val="1"/>
      <charset val="204"/>
    </font>
    <font>
      <b/>
      <i/>
      <sz val="14"/>
      <color rgb="FFFF0000"/>
      <name val="Times New Roman"/>
      <family val="1"/>
      <charset val="204"/>
    </font>
  </fonts>
  <fills count="4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3399FF"/>
        <bgColor indexed="64"/>
      </patternFill>
    </fill>
  </fills>
  <borders count="43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auto="1"/>
      </top>
      <bottom style="medium">
        <color auto="1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medium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medium">
        <color indexed="64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/>
      <diagonal/>
    </border>
  </borders>
  <cellStyleXfs count="156">
    <xf numFmtId="0" fontId="0" fillId="0" borderId="0"/>
    <xf numFmtId="0" fontId="26" fillId="2" borderId="0" applyNumberFormat="0" applyBorder="0" applyAlignment="0" applyProtection="0"/>
    <xf numFmtId="0" fontId="26" fillId="3" borderId="0" applyNumberFormat="0" applyBorder="0" applyAlignment="0" applyProtection="0"/>
    <xf numFmtId="0" fontId="26" fillId="4" borderId="0" applyNumberFormat="0" applyBorder="0" applyAlignment="0" applyProtection="0"/>
    <xf numFmtId="0" fontId="26" fillId="5" borderId="0" applyNumberFormat="0" applyBorder="0" applyAlignment="0" applyProtection="0"/>
    <xf numFmtId="0" fontId="26" fillId="6" borderId="0" applyNumberFormat="0" applyBorder="0" applyAlignment="0" applyProtection="0"/>
    <xf numFmtId="0" fontId="26" fillId="7" borderId="0" applyNumberFormat="0" applyBorder="0" applyAlignment="0" applyProtection="0"/>
    <xf numFmtId="0" fontId="26" fillId="2" borderId="0" applyNumberFormat="0" applyBorder="0" applyAlignment="0" applyProtection="0"/>
    <xf numFmtId="0" fontId="26" fillId="3" borderId="0" applyNumberFormat="0" applyBorder="0" applyAlignment="0" applyProtection="0"/>
    <xf numFmtId="0" fontId="26" fillId="4" borderId="0" applyNumberFormat="0" applyBorder="0" applyAlignment="0" applyProtection="0"/>
    <xf numFmtId="0" fontId="26" fillId="5" borderId="0" applyNumberFormat="0" applyBorder="0" applyAlignment="0" applyProtection="0"/>
    <xf numFmtId="0" fontId="26" fillId="6" borderId="0" applyNumberFormat="0" applyBorder="0" applyAlignment="0" applyProtection="0"/>
    <xf numFmtId="0" fontId="26" fillId="7" borderId="0" applyNumberFormat="0" applyBorder="0" applyAlignment="0" applyProtection="0"/>
    <xf numFmtId="0" fontId="26" fillId="8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5" borderId="0" applyNumberFormat="0" applyBorder="0" applyAlignment="0" applyProtection="0"/>
    <xf numFmtId="0" fontId="26" fillId="8" borderId="0" applyNumberFormat="0" applyBorder="0" applyAlignment="0" applyProtection="0"/>
    <xf numFmtId="0" fontId="26" fillId="11" borderId="0" applyNumberFormat="0" applyBorder="0" applyAlignment="0" applyProtection="0"/>
    <xf numFmtId="0" fontId="26" fillId="8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5" borderId="0" applyNumberFormat="0" applyBorder="0" applyAlignment="0" applyProtection="0"/>
    <xf numFmtId="0" fontId="26" fillId="8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18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9" borderId="0" applyNumberFormat="0" applyBorder="0" applyAlignment="0" applyProtection="0"/>
    <xf numFmtId="0" fontId="38" fillId="3" borderId="0" applyNumberFormat="0" applyBorder="0" applyAlignment="0" applyProtection="0"/>
    <xf numFmtId="0" fontId="30" fillId="20" borderId="1" applyNumberFormat="0" applyAlignment="0" applyProtection="0"/>
    <xf numFmtId="0" fontId="35" fillId="21" borderId="2" applyNumberFormat="0" applyAlignment="0" applyProtection="0"/>
    <xf numFmtId="0" fontId="39" fillId="0" borderId="0" applyNumberFormat="0" applyFill="0" applyBorder="0" applyAlignment="0" applyProtection="0"/>
    <xf numFmtId="0" fontId="42" fillId="4" borderId="0" applyNumberFormat="0" applyBorder="0" applyAlignment="0" applyProtection="0"/>
    <xf numFmtId="0" fontId="31" fillId="0" borderId="3" applyNumberFormat="0" applyFill="0" applyAlignment="0" applyProtection="0"/>
    <xf numFmtId="0" fontId="32" fillId="0" borderId="4" applyNumberFormat="0" applyFill="0" applyAlignment="0" applyProtection="0"/>
    <xf numFmtId="0" fontId="33" fillId="0" borderId="5" applyNumberFormat="0" applyFill="0" applyAlignment="0" applyProtection="0"/>
    <xf numFmtId="0" fontId="33" fillId="0" borderId="0" applyNumberFormat="0" applyFill="0" applyBorder="0" applyAlignment="0" applyProtection="0"/>
    <xf numFmtId="0" fontId="28" fillId="7" borderId="1" applyNumberFormat="0" applyAlignment="0" applyProtection="0"/>
    <xf numFmtId="0" fontId="40" fillId="0" borderId="6" applyNumberFormat="0" applyFill="0" applyAlignment="0" applyProtection="0"/>
    <xf numFmtId="0" fontId="37" fillId="22" borderId="0" applyNumberFormat="0" applyBorder="0" applyAlignment="0" applyProtection="0"/>
    <xf numFmtId="0" fontId="26" fillId="23" borderId="7" applyNumberFormat="0" applyFont="0" applyAlignment="0" applyProtection="0"/>
    <xf numFmtId="0" fontId="29" fillId="20" borderId="8" applyNumberFormat="0" applyAlignment="0" applyProtection="0"/>
    <xf numFmtId="0" fontId="36" fillId="0" borderId="0" applyNumberFormat="0" applyFill="0" applyBorder="0" applyAlignment="0" applyProtection="0"/>
    <xf numFmtId="0" fontId="34" fillId="0" borderId="9" applyNumberFormat="0" applyFill="0" applyAlignment="0" applyProtection="0"/>
    <xf numFmtId="0" fontId="41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18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9" borderId="0" applyNumberFormat="0" applyBorder="0" applyAlignment="0" applyProtection="0"/>
    <xf numFmtId="0" fontId="28" fillId="7" borderId="1" applyNumberFormat="0" applyAlignment="0" applyProtection="0"/>
    <xf numFmtId="0" fontId="29" fillId="20" borderId="8" applyNumberFormat="0" applyAlignment="0" applyProtection="0"/>
    <xf numFmtId="0" fontId="30" fillId="20" borderId="1" applyNumberFormat="0" applyAlignment="0" applyProtection="0"/>
    <xf numFmtId="0" fontId="31" fillId="0" borderId="3" applyNumberFormat="0" applyFill="0" applyAlignment="0" applyProtection="0"/>
    <xf numFmtId="0" fontId="32" fillId="0" borderId="4" applyNumberFormat="0" applyFill="0" applyAlignment="0" applyProtection="0"/>
    <xf numFmtId="0" fontId="33" fillId="0" borderId="5" applyNumberFormat="0" applyFill="0" applyAlignment="0" applyProtection="0"/>
    <xf numFmtId="0" fontId="33" fillId="0" borderId="0" applyNumberFormat="0" applyFill="0" applyBorder="0" applyAlignment="0" applyProtection="0"/>
    <xf numFmtId="0" fontId="34" fillId="0" borderId="9" applyNumberFormat="0" applyFill="0" applyAlignment="0" applyProtection="0"/>
    <xf numFmtId="0" fontId="35" fillId="21" borderId="2" applyNumberFormat="0" applyAlignment="0" applyProtection="0"/>
    <xf numFmtId="0" fontId="36" fillId="0" borderId="0" applyNumberFormat="0" applyFill="0" applyBorder="0" applyAlignment="0" applyProtection="0"/>
    <xf numFmtId="0" fontId="37" fillId="22" borderId="0" applyNumberFormat="0" applyBorder="0" applyAlignment="0" applyProtection="0"/>
    <xf numFmtId="0" fontId="19" fillId="0" borderId="0"/>
    <xf numFmtId="0" fontId="19" fillId="0" borderId="0"/>
    <xf numFmtId="0" fontId="7" fillId="0" borderId="0"/>
    <xf numFmtId="0" fontId="19" fillId="0" borderId="0"/>
    <xf numFmtId="0" fontId="26" fillId="0" borderId="0"/>
    <xf numFmtId="0" fontId="38" fillId="3" borderId="0" applyNumberFormat="0" applyBorder="0" applyAlignment="0" applyProtection="0"/>
    <xf numFmtId="0" fontId="39" fillId="0" borderId="0" applyNumberFormat="0" applyFill="0" applyBorder="0" applyAlignment="0" applyProtection="0"/>
    <xf numFmtId="0" fontId="7" fillId="23" borderId="7" applyNumberFormat="0" applyFont="0" applyAlignment="0" applyProtection="0"/>
    <xf numFmtId="9" fontId="7" fillId="0" borderId="0" applyFont="0" applyFill="0" applyBorder="0" applyAlignment="0" applyProtection="0"/>
    <xf numFmtId="9" fontId="25" fillId="0" borderId="0" applyFill="0" applyBorder="0" applyAlignment="0" applyProtection="0"/>
    <xf numFmtId="0" fontId="40" fillId="0" borderId="6" applyNumberFormat="0" applyFill="0" applyAlignment="0" applyProtection="0"/>
    <xf numFmtId="0" fontId="41" fillId="0" borderId="0" applyNumberFormat="0" applyFill="0" applyBorder="0" applyAlignment="0" applyProtection="0"/>
    <xf numFmtId="165" fontId="7" fillId="0" borderId="0" applyFont="0" applyFill="0" applyBorder="0" applyAlignment="0" applyProtection="0"/>
    <xf numFmtId="172" fontId="25" fillId="0" borderId="0" applyFill="0" applyBorder="0" applyAlignment="0" applyProtection="0"/>
    <xf numFmtId="172" fontId="25" fillId="0" borderId="0" applyFill="0" applyBorder="0" applyAlignment="0" applyProtection="0"/>
    <xf numFmtId="175" fontId="19" fillId="0" borderId="0" applyFont="0" applyFill="0" applyBorder="0" applyAlignment="0" applyProtection="0"/>
    <xf numFmtId="172" fontId="25" fillId="0" borderId="0" applyFill="0" applyBorder="0" applyAlignment="0" applyProtection="0"/>
    <xf numFmtId="173" fontId="25" fillId="0" borderId="0" applyFill="0" applyBorder="0" applyAlignment="0" applyProtection="0"/>
    <xf numFmtId="0" fontId="42" fillId="4" borderId="0" applyNumberFormat="0" applyBorder="0" applyAlignment="0" applyProtection="0"/>
    <xf numFmtId="0" fontId="2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06" fillId="39" borderId="0"/>
    <xf numFmtId="0" fontId="107" fillId="0" borderId="0">
      <alignment horizontal="left" vertical="center" wrapText="1"/>
    </xf>
    <xf numFmtId="0" fontId="108" fillId="0" borderId="0">
      <alignment horizontal="left" vertical="center" wrapText="1" indent="1"/>
    </xf>
    <xf numFmtId="0" fontId="108" fillId="0" borderId="0">
      <alignment horizontal="left" vertical="center" wrapText="1" indent="3"/>
    </xf>
    <xf numFmtId="179" fontId="25" fillId="0" borderId="0" applyFill="0" applyBorder="0" applyAlignment="0" applyProtection="0"/>
    <xf numFmtId="180" fontId="25" fillId="0" borderId="0" applyFill="0" applyBorder="0" applyAlignment="0" applyProtection="0"/>
    <xf numFmtId="181" fontId="25" fillId="0" borderId="0" applyFill="0" applyBorder="0" applyAlignment="0" applyProtection="0"/>
    <xf numFmtId="182" fontId="25" fillId="0" borderId="0" applyFill="0" applyBorder="0" applyAlignment="0" applyProtection="0"/>
    <xf numFmtId="0" fontId="106" fillId="0" borderId="176"/>
    <xf numFmtId="0" fontId="26" fillId="0" borderId="0"/>
    <xf numFmtId="0" fontId="26" fillId="0" borderId="0"/>
    <xf numFmtId="0" fontId="26" fillId="0" borderId="0"/>
    <xf numFmtId="0" fontId="19" fillId="0" borderId="0"/>
    <xf numFmtId="0" fontId="106" fillId="0" borderId="0"/>
    <xf numFmtId="0" fontId="19" fillId="0" borderId="0" applyNumberFormat="0" applyFill="0" applyBorder="0" applyAlignment="0" applyProtection="0"/>
    <xf numFmtId="0" fontId="19" fillId="0" borderId="0"/>
    <xf numFmtId="0" fontId="109" fillId="0" borderId="0" applyNumberFormat="0" applyFill="0" applyBorder="0" applyAlignment="0" applyProtection="0">
      <alignment vertical="top"/>
      <protection locked="0"/>
    </xf>
    <xf numFmtId="164" fontId="7" fillId="0" borderId="0" applyFont="0" applyFill="0" applyBorder="0" applyAlignment="0" applyProtection="0"/>
    <xf numFmtId="183" fontId="25" fillId="0" borderId="0" applyFill="0" applyBorder="0" applyAlignment="0" applyProtection="0"/>
    <xf numFmtId="183" fontId="25" fillId="0" borderId="0" applyFill="0" applyBorder="0" applyAlignment="0" applyProtection="0"/>
    <xf numFmtId="0" fontId="26" fillId="0" borderId="0"/>
    <xf numFmtId="0" fontId="25" fillId="0" borderId="0"/>
    <xf numFmtId="0" fontId="26" fillId="0" borderId="0"/>
    <xf numFmtId="0" fontId="19" fillId="0" borderId="0"/>
    <xf numFmtId="0" fontId="25" fillId="0" borderId="0"/>
    <xf numFmtId="0" fontId="26" fillId="0" borderId="0"/>
    <xf numFmtId="0" fontId="26" fillId="0" borderId="0"/>
    <xf numFmtId="0" fontId="7" fillId="0" borderId="0"/>
    <xf numFmtId="0" fontId="110" fillId="0" borderId="0"/>
    <xf numFmtId="0" fontId="7" fillId="0" borderId="0"/>
    <xf numFmtId="0" fontId="7" fillId="0" borderId="0"/>
    <xf numFmtId="9" fontId="25" fillId="0" borderId="0" applyFill="0" applyBorder="0" applyAlignment="0" applyProtection="0"/>
    <xf numFmtId="9" fontId="7" fillId="0" borderId="0" applyFont="0" applyFill="0" applyBorder="0" applyAlignment="0" applyProtection="0"/>
    <xf numFmtId="9" fontId="26" fillId="0" borderId="0"/>
    <xf numFmtId="9" fontId="26" fillId="0" borderId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184" fontId="25" fillId="0" borderId="0" applyFill="0" applyBorder="0" applyAlignment="0" applyProtection="0"/>
    <xf numFmtId="185" fontId="25" fillId="0" borderId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3" fillId="0" borderId="0"/>
    <xf numFmtId="0" fontId="148" fillId="0" borderId="0"/>
    <xf numFmtId="175" fontId="148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1" fillId="0" borderId="0"/>
  </cellStyleXfs>
  <cellXfs count="6673">
    <xf numFmtId="0" fontId="0" fillId="0" borderId="0" xfId="0"/>
    <xf numFmtId="0" fontId="8" fillId="0" borderId="0" xfId="0" applyFont="1" applyAlignment="1">
      <alignment horizontal="center"/>
    </xf>
    <xf numFmtId="0" fontId="13" fillId="0" borderId="10" xfId="0" applyFont="1" applyBorder="1" applyAlignment="1">
      <alignment horizontal="center" vertical="center"/>
    </xf>
    <xf numFmtId="0" fontId="13" fillId="0" borderId="10" xfId="0" applyFont="1" applyBorder="1"/>
    <xf numFmtId="0" fontId="13" fillId="0" borderId="10" xfId="0" applyFont="1" applyBorder="1" applyAlignment="1">
      <alignment horizontal="center"/>
    </xf>
    <xf numFmtId="0" fontId="13" fillId="0" borderId="0" xfId="0" applyFont="1"/>
    <xf numFmtId="169" fontId="14" fillId="0" borderId="10" xfId="0" applyNumberFormat="1" applyFont="1" applyBorder="1" applyAlignment="1">
      <alignment horizontal="center"/>
    </xf>
    <xf numFmtId="0" fontId="14" fillId="0" borderId="10" xfId="0" applyFont="1" applyBorder="1" applyAlignment="1">
      <alignment horizontal="center"/>
    </xf>
    <xf numFmtId="0" fontId="12" fillId="0" borderId="10" xfId="0" applyFont="1" applyBorder="1"/>
    <xf numFmtId="0" fontId="12" fillId="0" borderId="10" xfId="0" applyFont="1" applyBorder="1" applyAlignment="1">
      <alignment horizontal="center"/>
    </xf>
    <xf numFmtId="169" fontId="12" fillId="0" borderId="10" xfId="0" applyNumberFormat="1" applyFont="1" applyBorder="1" applyAlignment="1">
      <alignment horizontal="center"/>
    </xf>
    <xf numFmtId="169" fontId="13" fillId="0" borderId="10" xfId="0" applyNumberFormat="1" applyFont="1" applyBorder="1" applyAlignment="1">
      <alignment horizontal="center"/>
    </xf>
    <xf numFmtId="169" fontId="13" fillId="0" borderId="10" xfId="0" applyNumberFormat="1" applyFont="1" applyFill="1" applyBorder="1" applyAlignment="1">
      <alignment horizontal="center"/>
    </xf>
    <xf numFmtId="2" fontId="12" fillId="0" borderId="10" xfId="0" applyNumberFormat="1" applyFont="1" applyBorder="1" applyAlignment="1">
      <alignment horizontal="center"/>
    </xf>
    <xf numFmtId="0" fontId="12" fillId="0" borderId="10" xfId="0" applyFont="1" applyFill="1" applyBorder="1"/>
    <xf numFmtId="2" fontId="13" fillId="0" borderId="10" xfId="0" applyNumberFormat="1" applyFont="1" applyBorder="1" applyAlignment="1">
      <alignment horizontal="center"/>
    </xf>
    <xf numFmtId="0" fontId="0" fillId="0" borderId="0" xfId="0" applyFont="1" applyAlignment="1">
      <alignment horizontal="center"/>
    </xf>
    <xf numFmtId="169" fontId="13" fillId="0" borderId="10" xfId="0" applyNumberFormat="1" applyFont="1" applyBorder="1" applyAlignment="1">
      <alignment horizontal="center" vertical="center"/>
    </xf>
    <xf numFmtId="169" fontId="12" fillId="0" borderId="10" xfId="0" applyNumberFormat="1" applyFont="1" applyBorder="1" applyAlignment="1">
      <alignment horizontal="center" vertical="center"/>
    </xf>
    <xf numFmtId="1" fontId="13" fillId="0" borderId="10" xfId="0" applyNumberFormat="1" applyFont="1" applyBorder="1" applyAlignment="1">
      <alignment horizontal="center"/>
    </xf>
    <xf numFmtId="169" fontId="13" fillId="0" borderId="11" xfId="0" applyNumberFormat="1" applyFont="1" applyBorder="1" applyAlignment="1">
      <alignment horizontal="center"/>
    </xf>
    <xf numFmtId="2" fontId="13" fillId="0" borderId="10" xfId="0" applyNumberFormat="1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2" fontId="13" fillId="0" borderId="10" xfId="0" applyNumberFormat="1" applyFont="1" applyBorder="1" applyAlignment="1">
      <alignment horizontal="center" wrapText="1"/>
    </xf>
    <xf numFmtId="2" fontId="13" fillId="0" borderId="10" xfId="0" applyNumberFormat="1" applyFont="1" applyFill="1" applyBorder="1" applyAlignment="1">
      <alignment horizontal="center"/>
    </xf>
    <xf numFmtId="0" fontId="0" fillId="0" borderId="10" xfId="0" applyBorder="1"/>
    <xf numFmtId="2" fontId="0" fillId="0" borderId="0" xfId="0" applyNumberFormat="1" applyAlignment="1">
      <alignment horizontal="center"/>
    </xf>
    <xf numFmtId="0" fontId="12" fillId="0" borderId="0" xfId="0" applyFont="1" applyFill="1" applyBorder="1"/>
    <xf numFmtId="0" fontId="13" fillId="0" borderId="0" xfId="0" applyFont="1" applyBorder="1"/>
    <xf numFmtId="169" fontId="13" fillId="0" borderId="10" xfId="0" applyNumberFormat="1" applyFont="1" applyBorder="1" applyAlignment="1">
      <alignment horizontal="center" vertical="center" wrapText="1"/>
    </xf>
    <xf numFmtId="169" fontId="14" fillId="0" borderId="10" xfId="0" applyNumberFormat="1" applyFont="1" applyBorder="1" applyAlignment="1">
      <alignment horizontal="center" vertical="center"/>
    </xf>
    <xf numFmtId="0" fontId="13" fillId="0" borderId="12" xfId="0" applyFont="1" applyBorder="1" applyAlignment="1">
      <alignment horizontal="center" vertical="center"/>
    </xf>
    <xf numFmtId="0" fontId="13" fillId="0" borderId="13" xfId="0" applyFont="1" applyBorder="1"/>
    <xf numFmtId="0" fontId="13" fillId="0" borderId="12" xfId="0" applyFont="1" applyBorder="1"/>
    <xf numFmtId="0" fontId="13" fillId="0" borderId="14" xfId="0" applyFont="1" applyBorder="1" applyAlignment="1">
      <alignment wrapText="1"/>
    </xf>
    <xf numFmtId="0" fontId="13" fillId="0" borderId="15" xfId="0" applyFont="1" applyBorder="1"/>
    <xf numFmtId="0" fontId="13" fillId="0" borderId="13" xfId="0" applyFont="1" applyBorder="1" applyAlignment="1">
      <alignment horizontal="center"/>
    </xf>
    <xf numFmtId="0" fontId="13" fillId="0" borderId="12" xfId="0" applyFont="1" applyBorder="1" applyAlignment="1">
      <alignment horizontal="center"/>
    </xf>
    <xf numFmtId="169" fontId="13" fillId="0" borderId="12" xfId="0" applyNumberFormat="1" applyFont="1" applyBorder="1" applyAlignment="1">
      <alignment horizontal="center" vertical="center" wrapText="1"/>
    </xf>
    <xf numFmtId="0" fontId="13" fillId="0" borderId="15" xfId="0" applyFont="1" applyBorder="1" applyAlignment="1">
      <alignment horizontal="center"/>
    </xf>
    <xf numFmtId="0" fontId="13" fillId="0" borderId="16" xfId="0" applyFont="1" applyBorder="1" applyAlignment="1">
      <alignment horizontal="center"/>
    </xf>
    <xf numFmtId="0" fontId="13" fillId="0" borderId="17" xfId="0" applyFont="1" applyBorder="1" applyAlignment="1">
      <alignment horizontal="center"/>
    </xf>
    <xf numFmtId="169" fontId="14" fillId="0" borderId="18" xfId="0" applyNumberFormat="1" applyFont="1" applyBorder="1" applyAlignment="1">
      <alignment horizontal="center"/>
    </xf>
    <xf numFmtId="0" fontId="13" fillId="0" borderId="19" xfId="0" applyFont="1" applyBorder="1" applyAlignment="1">
      <alignment horizontal="center"/>
    </xf>
    <xf numFmtId="169" fontId="14" fillId="0" borderId="20" xfId="0" applyNumberFormat="1" applyFont="1" applyBorder="1" applyAlignment="1">
      <alignment horizontal="center"/>
    </xf>
    <xf numFmtId="169" fontId="13" fillId="0" borderId="19" xfId="0" applyNumberFormat="1" applyFont="1" applyBorder="1" applyAlignment="1">
      <alignment horizontal="center" vertical="center" wrapText="1"/>
    </xf>
    <xf numFmtId="169" fontId="14" fillId="0" borderId="20" xfId="0" applyNumberFormat="1" applyFont="1" applyBorder="1" applyAlignment="1">
      <alignment horizontal="center" vertical="center"/>
    </xf>
    <xf numFmtId="0" fontId="13" fillId="0" borderId="21" xfId="0" applyFont="1" applyBorder="1" applyAlignment="1">
      <alignment horizontal="center"/>
    </xf>
    <xf numFmtId="0" fontId="13" fillId="0" borderId="22" xfId="0" applyFont="1" applyBorder="1" applyAlignment="1">
      <alignment horizontal="center"/>
    </xf>
    <xf numFmtId="169" fontId="14" fillId="0" borderId="23" xfId="0" applyNumberFormat="1" applyFont="1" applyBorder="1" applyAlignment="1">
      <alignment horizontal="center"/>
    </xf>
    <xf numFmtId="169" fontId="13" fillId="0" borderId="22" xfId="0" applyNumberFormat="1" applyFont="1" applyBorder="1" applyAlignment="1">
      <alignment horizontal="center"/>
    </xf>
    <xf numFmtId="0" fontId="13" fillId="0" borderId="24" xfId="0" applyFont="1" applyBorder="1" applyAlignment="1">
      <alignment horizontal="center"/>
    </xf>
    <xf numFmtId="169" fontId="14" fillId="0" borderId="22" xfId="0" applyNumberFormat="1" applyFont="1" applyBorder="1" applyAlignment="1">
      <alignment horizontal="center"/>
    </xf>
    <xf numFmtId="169" fontId="14" fillId="0" borderId="17" xfId="0" applyNumberFormat="1" applyFont="1" applyBorder="1" applyAlignment="1">
      <alignment horizontal="center"/>
    </xf>
    <xf numFmtId="0" fontId="13" fillId="0" borderId="12" xfId="0" applyFont="1" applyBorder="1" applyAlignment="1">
      <alignment vertical="center" wrapText="1"/>
    </xf>
    <xf numFmtId="0" fontId="13" fillId="0" borderId="19" xfId="0" applyFont="1" applyBorder="1" applyAlignment="1">
      <alignment horizontal="center" vertical="center"/>
    </xf>
    <xf numFmtId="168" fontId="13" fillId="0" borderId="10" xfId="0" applyNumberFormat="1" applyFont="1" applyBorder="1" applyAlignment="1">
      <alignment horizontal="center"/>
    </xf>
    <xf numFmtId="2" fontId="12" fillId="0" borderId="10" xfId="0" applyNumberFormat="1" applyFont="1" applyBorder="1" applyAlignment="1">
      <alignment horizontal="center" vertical="center"/>
    </xf>
    <xf numFmtId="1" fontId="12" fillId="0" borderId="10" xfId="0" applyNumberFormat="1" applyFont="1" applyBorder="1" applyAlignment="1">
      <alignment horizontal="center" vertical="center"/>
    </xf>
    <xf numFmtId="0" fontId="12" fillId="0" borderId="10" xfId="0" applyFont="1" applyBorder="1" applyAlignment="1">
      <alignment vertical="center"/>
    </xf>
    <xf numFmtId="2" fontId="16" fillId="0" borderId="0" xfId="0" applyNumberFormat="1" applyFont="1" applyAlignment="1">
      <alignment horizontal="center"/>
    </xf>
    <xf numFmtId="2" fontId="13" fillId="0" borderId="10" xfId="0" applyNumberFormat="1" applyFont="1" applyBorder="1"/>
    <xf numFmtId="168" fontId="12" fillId="0" borderId="10" xfId="0" applyNumberFormat="1" applyFont="1" applyBorder="1" applyAlignment="1">
      <alignment horizontal="center" vertical="top" wrapText="1"/>
    </xf>
    <xf numFmtId="1" fontId="12" fillId="0" borderId="10" xfId="0" applyNumberFormat="1" applyFont="1" applyBorder="1" applyAlignment="1">
      <alignment horizontal="center" vertical="top" wrapText="1"/>
    </xf>
    <xf numFmtId="2" fontId="12" fillId="0" borderId="10" xfId="0" applyNumberFormat="1" applyFont="1" applyBorder="1" applyAlignment="1">
      <alignment horizontal="center" vertical="top" wrapText="1"/>
    </xf>
    <xf numFmtId="2" fontId="12" fillId="0" borderId="25" xfId="0" applyNumberFormat="1" applyFont="1" applyBorder="1" applyAlignment="1">
      <alignment horizontal="center" vertical="top" wrapText="1"/>
    </xf>
    <xf numFmtId="168" fontId="13" fillId="0" borderId="19" xfId="0" applyNumberFormat="1" applyFont="1" applyBorder="1" applyAlignment="1">
      <alignment horizontal="center" vertical="top" wrapText="1"/>
    </xf>
    <xf numFmtId="1" fontId="13" fillId="0" borderId="10" xfId="0" applyNumberFormat="1" applyFont="1" applyBorder="1" applyAlignment="1">
      <alignment horizontal="center" vertical="top" wrapText="1"/>
    </xf>
    <xf numFmtId="2" fontId="13" fillId="0" borderId="25" xfId="0" applyNumberFormat="1" applyFont="1" applyBorder="1" applyAlignment="1">
      <alignment horizontal="center" vertical="top" wrapText="1"/>
    </xf>
    <xf numFmtId="168" fontId="13" fillId="0" borderId="10" xfId="0" applyNumberFormat="1" applyFont="1" applyBorder="1" applyAlignment="1">
      <alignment horizontal="center" vertical="top" wrapText="1"/>
    </xf>
    <xf numFmtId="2" fontId="13" fillId="0" borderId="10" xfId="0" applyNumberFormat="1" applyFont="1" applyBorder="1" applyAlignment="1">
      <alignment horizontal="center" vertical="top" wrapText="1"/>
    </xf>
    <xf numFmtId="169" fontId="13" fillId="0" borderId="25" xfId="0" applyNumberFormat="1" applyFont="1" applyBorder="1"/>
    <xf numFmtId="168" fontId="15" fillId="0" borderId="10" xfId="0" applyNumberFormat="1" applyFont="1" applyBorder="1" applyAlignment="1">
      <alignment horizontal="center" vertical="top" wrapText="1"/>
    </xf>
    <xf numFmtId="1" fontId="15" fillId="0" borderId="10" xfId="0" applyNumberFormat="1" applyFont="1" applyBorder="1" applyAlignment="1">
      <alignment horizontal="center" vertical="top" wrapText="1"/>
    </xf>
    <xf numFmtId="2" fontId="15" fillId="0" borderId="25" xfId="0" applyNumberFormat="1" applyFont="1" applyBorder="1" applyAlignment="1">
      <alignment horizontal="center" vertical="top" wrapText="1"/>
    </xf>
    <xf numFmtId="168" fontId="22" fillId="0" borderId="10" xfId="0" applyNumberFormat="1" applyFont="1" applyBorder="1" applyAlignment="1">
      <alignment horizontal="center"/>
    </xf>
    <xf numFmtId="1" fontId="22" fillId="0" borderId="10" xfId="0" applyNumberFormat="1" applyFont="1" applyBorder="1" applyAlignment="1">
      <alignment horizontal="center"/>
    </xf>
    <xf numFmtId="2" fontId="22" fillId="0" borderId="10" xfId="0" applyNumberFormat="1" applyFont="1" applyBorder="1" applyAlignment="1">
      <alignment horizontal="center"/>
    </xf>
    <xf numFmtId="0" fontId="13" fillId="0" borderId="25" xfId="0" applyFont="1" applyBorder="1"/>
    <xf numFmtId="168" fontId="23" fillId="0" borderId="10" xfId="0" applyNumberFormat="1" applyFont="1" applyBorder="1" applyAlignment="1">
      <alignment horizontal="center"/>
    </xf>
    <xf numFmtId="2" fontId="13" fillId="0" borderId="10" xfId="0" applyNumberFormat="1" applyFont="1" applyBorder="1" applyAlignment="1">
      <alignment wrapText="1"/>
    </xf>
    <xf numFmtId="1" fontId="23" fillId="0" borderId="10" xfId="0" applyNumberFormat="1" applyFont="1" applyBorder="1" applyAlignment="1">
      <alignment horizontal="center"/>
    </xf>
    <xf numFmtId="2" fontId="23" fillId="0" borderId="10" xfId="0" applyNumberFormat="1" applyFont="1" applyBorder="1" applyAlignment="1">
      <alignment horizontal="center"/>
    </xf>
    <xf numFmtId="168" fontId="21" fillId="0" borderId="10" xfId="0" applyNumberFormat="1" applyFont="1" applyBorder="1" applyAlignment="1">
      <alignment horizontal="center"/>
    </xf>
    <xf numFmtId="1" fontId="21" fillId="0" borderId="10" xfId="0" applyNumberFormat="1" applyFont="1" applyBorder="1" applyAlignment="1">
      <alignment horizontal="center"/>
    </xf>
    <xf numFmtId="2" fontId="21" fillId="0" borderId="10" xfId="0" applyNumberFormat="1" applyFont="1" applyBorder="1" applyAlignment="1">
      <alignment horizontal="center"/>
    </xf>
    <xf numFmtId="1" fontId="24" fillId="0" borderId="10" xfId="0" applyNumberFormat="1" applyFont="1" applyBorder="1" applyAlignment="1">
      <alignment horizontal="center"/>
    </xf>
    <xf numFmtId="2" fontId="24" fillId="0" borderId="10" xfId="0" applyNumberFormat="1" applyFont="1" applyBorder="1" applyAlignment="1">
      <alignment horizontal="center"/>
    </xf>
    <xf numFmtId="168" fontId="24" fillId="0" borderId="10" xfId="0" applyNumberFormat="1" applyFont="1" applyBorder="1" applyAlignment="1">
      <alignment horizontal="center"/>
    </xf>
    <xf numFmtId="2" fontId="20" fillId="0" borderId="10" xfId="0" applyNumberFormat="1" applyFont="1" applyBorder="1"/>
    <xf numFmtId="2" fontId="13" fillId="0" borderId="10" xfId="0" applyNumberFormat="1" applyFont="1" applyBorder="1" applyAlignment="1">
      <alignment horizontal="right"/>
    </xf>
    <xf numFmtId="2" fontId="13" fillId="0" borderId="10" xfId="0" applyNumberFormat="1" applyFont="1" applyBorder="1" applyAlignment="1">
      <alignment horizontal="center" vertical="center" wrapText="1"/>
    </xf>
    <xf numFmtId="168" fontId="13" fillId="0" borderId="10" xfId="0" applyNumberFormat="1" applyFont="1" applyBorder="1" applyAlignment="1">
      <alignment horizontal="center" vertical="center"/>
    </xf>
    <xf numFmtId="1" fontId="13" fillId="0" borderId="10" xfId="0" applyNumberFormat="1" applyFont="1" applyBorder="1" applyAlignment="1">
      <alignment horizontal="center" vertical="center"/>
    </xf>
    <xf numFmtId="168" fontId="12" fillId="0" borderId="10" xfId="0" applyNumberFormat="1" applyFont="1" applyBorder="1" applyAlignment="1">
      <alignment horizontal="center" vertical="center"/>
    </xf>
    <xf numFmtId="168" fontId="23" fillId="0" borderId="10" xfId="0" applyNumberFormat="1" applyFont="1" applyBorder="1" applyAlignment="1">
      <alignment horizontal="center" vertical="center"/>
    </xf>
    <xf numFmtId="2" fontId="23" fillId="0" borderId="10" xfId="0" applyNumberFormat="1" applyFont="1" applyBorder="1" applyAlignment="1">
      <alignment horizontal="center" vertical="center"/>
    </xf>
    <xf numFmtId="0" fontId="13" fillId="0" borderId="25" xfId="0" applyFont="1" applyBorder="1" applyAlignment="1">
      <alignment vertical="center"/>
    </xf>
    <xf numFmtId="1" fontId="21" fillId="0" borderId="10" xfId="0" applyNumberFormat="1" applyFont="1" applyBorder="1" applyAlignment="1">
      <alignment horizontal="center" vertical="center"/>
    </xf>
    <xf numFmtId="2" fontId="21" fillId="0" borderId="10" xfId="0" applyNumberFormat="1" applyFont="1" applyBorder="1" applyAlignment="1">
      <alignment horizontal="center" vertical="center"/>
    </xf>
    <xf numFmtId="168" fontId="21" fillId="0" borderId="10" xfId="0" applyNumberFormat="1" applyFont="1" applyBorder="1" applyAlignment="1">
      <alignment horizontal="center" vertical="center"/>
    </xf>
    <xf numFmtId="0" fontId="0" fillId="0" borderId="25" xfId="0" applyBorder="1" applyAlignment="1">
      <alignment vertical="center"/>
    </xf>
    <xf numFmtId="168" fontId="22" fillId="0" borderId="10" xfId="0" applyNumberFormat="1" applyFont="1" applyBorder="1" applyAlignment="1">
      <alignment horizontal="center" vertical="center"/>
    </xf>
    <xf numFmtId="168" fontId="24" fillId="0" borderId="10" xfId="0" applyNumberFormat="1" applyFont="1" applyBorder="1" applyAlignment="1">
      <alignment horizontal="center" vertical="center"/>
    </xf>
    <xf numFmtId="0" fontId="13" fillId="0" borderId="0" xfId="0" applyFont="1" applyFill="1" applyBorder="1"/>
    <xf numFmtId="169" fontId="14" fillId="0" borderId="26" xfId="0" applyNumberFormat="1" applyFont="1" applyBorder="1" applyAlignment="1">
      <alignment horizontal="center"/>
    </xf>
    <xf numFmtId="169" fontId="14" fillId="0" borderId="27" xfId="0" applyNumberFormat="1" applyFont="1" applyBorder="1" applyAlignment="1">
      <alignment horizontal="center"/>
    </xf>
    <xf numFmtId="169" fontId="14" fillId="0" borderId="25" xfId="0" applyNumberFormat="1" applyFont="1" applyBorder="1" applyAlignment="1">
      <alignment horizontal="center"/>
    </xf>
    <xf numFmtId="169" fontId="14" fillId="0" borderId="25" xfId="0" applyNumberFormat="1" applyFont="1" applyBorder="1" applyAlignment="1">
      <alignment horizontal="center" vertical="center"/>
    </xf>
    <xf numFmtId="169" fontId="13" fillId="0" borderId="10" xfId="0" applyNumberFormat="1" applyFont="1" applyBorder="1" applyAlignment="1">
      <alignment horizontal="center" vertical="top" wrapText="1"/>
    </xf>
    <xf numFmtId="169" fontId="12" fillId="0" borderId="10" xfId="0" applyNumberFormat="1" applyFont="1" applyBorder="1" applyAlignment="1">
      <alignment horizontal="center" vertical="top" wrapText="1"/>
    </xf>
    <xf numFmtId="0" fontId="13" fillId="0" borderId="28" xfId="0" applyFont="1" applyBorder="1" applyAlignment="1">
      <alignment horizontal="center" vertical="center"/>
    </xf>
    <xf numFmtId="0" fontId="13" fillId="0" borderId="28" xfId="0" applyFont="1" applyBorder="1" applyAlignment="1">
      <alignment horizontal="center"/>
    </xf>
    <xf numFmtId="169" fontId="14" fillId="0" borderId="29" xfId="0" applyNumberFormat="1" applyFont="1" applyBorder="1" applyAlignment="1">
      <alignment horizontal="center"/>
    </xf>
    <xf numFmtId="0" fontId="13" fillId="0" borderId="30" xfId="0" applyFont="1" applyBorder="1" applyAlignment="1">
      <alignment horizontal="center"/>
    </xf>
    <xf numFmtId="0" fontId="13" fillId="0" borderId="31" xfId="0" applyFont="1" applyBorder="1" applyAlignment="1">
      <alignment horizontal="center"/>
    </xf>
    <xf numFmtId="0" fontId="13" fillId="0" borderId="32" xfId="0" applyFont="1" applyBorder="1" applyAlignment="1">
      <alignment horizontal="center"/>
    </xf>
    <xf numFmtId="1" fontId="13" fillId="0" borderId="28" xfId="0" applyNumberFormat="1" applyFont="1" applyBorder="1" applyAlignment="1">
      <alignment horizontal="center" vertical="center"/>
    </xf>
    <xf numFmtId="169" fontId="14" fillId="0" borderId="33" xfId="0" applyNumberFormat="1" applyFont="1" applyBorder="1" applyAlignment="1">
      <alignment horizontal="center"/>
    </xf>
    <xf numFmtId="169" fontId="14" fillId="0" borderId="19" xfId="0" applyNumberFormat="1" applyFont="1" applyBorder="1" applyAlignment="1">
      <alignment horizontal="center"/>
    </xf>
    <xf numFmtId="169" fontId="13" fillId="0" borderId="19" xfId="0" applyNumberFormat="1" applyFont="1" applyBorder="1" applyAlignment="1">
      <alignment horizontal="center"/>
    </xf>
    <xf numFmtId="169" fontId="13" fillId="0" borderId="21" xfId="0" applyNumberFormat="1" applyFont="1" applyBorder="1" applyAlignment="1">
      <alignment horizontal="center"/>
    </xf>
    <xf numFmtId="168" fontId="13" fillId="24" borderId="10" xfId="0" applyNumberFormat="1" applyFont="1" applyFill="1" applyBorder="1" applyAlignment="1">
      <alignment horizontal="center" vertical="top" wrapText="1"/>
    </xf>
    <xf numFmtId="1" fontId="13" fillId="24" borderId="10" xfId="0" applyNumberFormat="1" applyFont="1" applyFill="1" applyBorder="1" applyAlignment="1">
      <alignment horizontal="center" vertical="top" wrapText="1"/>
    </xf>
    <xf numFmtId="2" fontId="13" fillId="24" borderId="10" xfId="0" applyNumberFormat="1" applyFont="1" applyFill="1" applyBorder="1" applyAlignment="1">
      <alignment horizontal="center" vertical="top" wrapText="1"/>
    </xf>
    <xf numFmtId="1" fontId="12" fillId="24" borderId="10" xfId="0" applyNumberFormat="1" applyFont="1" applyFill="1" applyBorder="1" applyAlignment="1">
      <alignment horizontal="center" vertical="top" wrapText="1"/>
    </xf>
    <xf numFmtId="2" fontId="12" fillId="24" borderId="10" xfId="0" applyNumberFormat="1" applyFont="1" applyFill="1" applyBorder="1" applyAlignment="1">
      <alignment horizontal="center" vertical="top" wrapText="1"/>
    </xf>
    <xf numFmtId="2" fontId="0" fillId="0" borderId="0" xfId="0" applyNumberFormat="1"/>
    <xf numFmtId="0" fontId="13" fillId="0" borderId="10" xfId="0" applyFont="1" applyBorder="1" applyAlignment="1">
      <alignment vertical="center"/>
    </xf>
    <xf numFmtId="169" fontId="0" fillId="0" borderId="0" xfId="0" applyNumberFormat="1"/>
    <xf numFmtId="2" fontId="13" fillId="0" borderId="0" xfId="0" applyNumberFormat="1" applyFont="1" applyAlignment="1">
      <alignment horizontal="center"/>
    </xf>
    <xf numFmtId="1" fontId="13" fillId="0" borderId="10" xfId="0" applyNumberFormat="1" applyFont="1" applyFill="1" applyBorder="1" applyAlignment="1">
      <alignment horizontal="center"/>
    </xf>
    <xf numFmtId="1" fontId="13" fillId="0" borderId="10" xfId="0" applyNumberFormat="1" applyFont="1" applyBorder="1" applyAlignment="1">
      <alignment horizontal="center" wrapText="1"/>
    </xf>
    <xf numFmtId="169" fontId="15" fillId="0" borderId="10" xfId="0" applyNumberFormat="1" applyFont="1" applyBorder="1" applyAlignment="1">
      <alignment horizontal="center" vertical="center"/>
    </xf>
    <xf numFmtId="4" fontId="12" fillId="0" borderId="10" xfId="0" applyNumberFormat="1" applyFont="1" applyBorder="1" applyAlignment="1">
      <alignment horizontal="center" vertical="center"/>
    </xf>
    <xf numFmtId="4" fontId="12" fillId="0" borderId="10" xfId="0" applyNumberFormat="1" applyFont="1" applyBorder="1" applyAlignment="1">
      <alignment horizontal="center"/>
    </xf>
    <xf numFmtId="4" fontId="13" fillId="0" borderId="10" xfId="0" applyNumberFormat="1" applyFont="1" applyBorder="1" applyAlignment="1">
      <alignment horizontal="center"/>
    </xf>
    <xf numFmtId="0" fontId="13" fillId="0" borderId="0" xfId="0" applyFont="1" applyFill="1" applyBorder="1" applyAlignment="1">
      <alignment horizontal="center" wrapText="1"/>
    </xf>
    <xf numFmtId="4" fontId="13" fillId="0" borderId="10" xfId="0" applyNumberFormat="1" applyFont="1" applyBorder="1" applyAlignment="1">
      <alignment horizontal="center" vertical="top" wrapText="1"/>
    </xf>
    <xf numFmtId="4" fontId="13" fillId="0" borderId="0" xfId="0" applyNumberFormat="1" applyFont="1" applyAlignment="1">
      <alignment horizontal="center"/>
    </xf>
    <xf numFmtId="4" fontId="12" fillId="0" borderId="10" xfId="0" applyNumberFormat="1" applyFont="1" applyBorder="1" applyAlignment="1">
      <alignment horizontal="center" vertical="top" wrapText="1"/>
    </xf>
    <xf numFmtId="4" fontId="13" fillId="0" borderId="10" xfId="0" applyNumberFormat="1" applyFont="1" applyBorder="1" applyAlignment="1">
      <alignment horizontal="center" vertical="center"/>
    </xf>
    <xf numFmtId="168" fontId="13" fillId="0" borderId="10" xfId="0" applyNumberFormat="1" applyFont="1" applyBorder="1"/>
    <xf numFmtId="2" fontId="15" fillId="0" borderId="10" xfId="0" applyNumberFormat="1" applyFont="1" applyBorder="1" applyAlignment="1">
      <alignment wrapText="1"/>
    </xf>
    <xf numFmtId="2" fontId="21" fillId="0" borderId="10" xfId="0" applyNumberFormat="1" applyFont="1" applyBorder="1" applyAlignment="1">
      <alignment wrapText="1"/>
    </xf>
    <xf numFmtId="0" fontId="0" fillId="0" borderId="10" xfId="0" applyBorder="1" applyAlignment="1">
      <alignment wrapText="1"/>
    </xf>
    <xf numFmtId="0" fontId="13" fillId="0" borderId="11" xfId="0" applyFont="1" applyBorder="1" applyAlignment="1">
      <alignment horizontal="center"/>
    </xf>
    <xf numFmtId="167" fontId="13" fillId="0" borderId="10" xfId="0" applyNumberFormat="1" applyFont="1" applyBorder="1" applyAlignment="1">
      <alignment horizontal="center"/>
    </xf>
    <xf numFmtId="171" fontId="0" fillId="0" borderId="10" xfId="85" applyNumberFormat="1" applyFont="1" applyBorder="1"/>
    <xf numFmtId="0" fontId="13" fillId="0" borderId="34" xfId="0" applyFont="1" applyBorder="1" applyAlignment="1">
      <alignment wrapText="1"/>
    </xf>
    <xf numFmtId="0" fontId="13" fillId="0" borderId="34" xfId="0" applyFont="1" applyBorder="1" applyAlignment="1">
      <alignment horizontal="center"/>
    </xf>
    <xf numFmtId="169" fontId="14" fillId="0" borderId="35" xfId="0" applyNumberFormat="1" applyFont="1" applyBorder="1" applyAlignment="1">
      <alignment horizontal="center"/>
    </xf>
    <xf numFmtId="0" fontId="13" fillId="0" borderId="36" xfId="0" applyFont="1" applyBorder="1" applyAlignment="1">
      <alignment horizontal="center"/>
    </xf>
    <xf numFmtId="0" fontId="13" fillId="0" borderId="37" xfId="0" applyFont="1" applyBorder="1" applyAlignment="1">
      <alignment horizontal="center"/>
    </xf>
    <xf numFmtId="169" fontId="14" fillId="0" borderId="38" xfId="0" applyNumberFormat="1" applyFont="1" applyBorder="1" applyAlignment="1">
      <alignment horizontal="center"/>
    </xf>
    <xf numFmtId="4" fontId="0" fillId="0" borderId="10" xfId="0" applyNumberFormat="1" applyBorder="1"/>
    <xf numFmtId="4" fontId="0" fillId="0" borderId="0" xfId="0" applyNumberFormat="1"/>
    <xf numFmtId="0" fontId="0" fillId="0" borderId="10" xfId="0" applyBorder="1" applyAlignment="1">
      <alignment horizontal="right"/>
    </xf>
    <xf numFmtId="0" fontId="13" fillId="0" borderId="0" xfId="0" applyFont="1" applyFill="1" applyBorder="1" applyAlignment="1">
      <alignment wrapText="1"/>
    </xf>
    <xf numFmtId="4" fontId="13" fillId="0" borderId="11" xfId="0" applyNumberFormat="1" applyFont="1" applyBorder="1" applyAlignment="1">
      <alignment horizontal="center" vertical="center"/>
    </xf>
    <xf numFmtId="4" fontId="15" fillId="0" borderId="10" xfId="0" applyNumberFormat="1" applyFont="1" applyBorder="1" applyAlignment="1">
      <alignment horizontal="center" vertical="center"/>
    </xf>
    <xf numFmtId="4" fontId="14" fillId="0" borderId="10" xfId="0" applyNumberFormat="1" applyFont="1" applyBorder="1" applyAlignment="1">
      <alignment horizontal="center" vertical="center"/>
    </xf>
    <xf numFmtId="10" fontId="0" fillId="0" borderId="0" xfId="85" applyNumberFormat="1" applyFont="1"/>
    <xf numFmtId="10" fontId="0" fillId="0" borderId="10" xfId="85" applyNumberFormat="1" applyFont="1" applyBorder="1"/>
    <xf numFmtId="0" fontId="0" fillId="0" borderId="0" xfId="0" applyAlignment="1">
      <alignment wrapText="1"/>
    </xf>
    <xf numFmtId="0" fontId="0" fillId="0" borderId="26" xfId="0" applyBorder="1"/>
    <xf numFmtId="10" fontId="0" fillId="0" borderId="26" xfId="85" applyNumberFormat="1" applyFont="1" applyBorder="1"/>
    <xf numFmtId="2" fontId="43" fillId="0" borderId="10" xfId="0" applyNumberFormat="1" applyFont="1" applyBorder="1" applyAlignment="1">
      <alignment horizontal="center"/>
    </xf>
    <xf numFmtId="2" fontId="44" fillId="0" borderId="10" xfId="0" applyNumberFormat="1" applyFont="1" applyFill="1" applyBorder="1" applyAlignment="1">
      <alignment horizontal="center"/>
    </xf>
    <xf numFmtId="2" fontId="0" fillId="0" borderId="10" xfId="0" applyNumberFormat="1" applyBorder="1"/>
    <xf numFmtId="0" fontId="0" fillId="0" borderId="10" xfId="0" applyBorder="1" applyAlignment="1">
      <alignment horizontal="center"/>
    </xf>
    <xf numFmtId="0" fontId="0" fillId="0" borderId="10" xfId="0" applyBorder="1" applyAlignment="1">
      <alignment horizontal="center" wrapText="1"/>
    </xf>
    <xf numFmtId="168" fontId="0" fillId="0" borderId="10" xfId="0" applyNumberFormat="1" applyBorder="1"/>
    <xf numFmtId="4" fontId="43" fillId="0" borderId="10" xfId="0" applyNumberFormat="1" applyFont="1" applyBorder="1" applyAlignment="1">
      <alignment horizontal="center"/>
    </xf>
    <xf numFmtId="4" fontId="44" fillId="0" borderId="10" xfId="0" applyNumberFormat="1" applyFont="1" applyFill="1" applyBorder="1" applyAlignment="1">
      <alignment horizontal="center"/>
    </xf>
    <xf numFmtId="2" fontId="23" fillId="0" borderId="0" xfId="0" applyNumberFormat="1" applyFont="1" applyBorder="1" applyAlignment="1">
      <alignment wrapText="1"/>
    </xf>
    <xf numFmtId="4" fontId="0" fillId="0" borderId="18" xfId="0" applyNumberFormat="1" applyBorder="1" applyAlignment="1">
      <alignment horizontal="center" wrapText="1"/>
    </xf>
    <xf numFmtId="4" fontId="0" fillId="0" borderId="20" xfId="0" applyNumberFormat="1" applyBorder="1" applyAlignment="1">
      <alignment horizontal="center" wrapText="1"/>
    </xf>
    <xf numFmtId="4" fontId="0" fillId="0" borderId="23" xfId="0" applyNumberFormat="1" applyBorder="1" applyAlignment="1">
      <alignment horizontal="center" wrapText="1"/>
    </xf>
    <xf numFmtId="0" fontId="7" fillId="0" borderId="0" xfId="79"/>
    <xf numFmtId="0" fontId="50" fillId="0" borderId="0" xfId="79" applyFont="1"/>
    <xf numFmtId="171" fontId="48" fillId="0" borderId="10" xfId="85" applyNumberFormat="1" applyFont="1" applyFill="1" applyBorder="1" applyAlignment="1">
      <alignment horizontal="center" vertical="center"/>
    </xf>
    <xf numFmtId="169" fontId="48" fillId="0" borderId="10" xfId="79" applyNumberFormat="1" applyFont="1" applyFill="1" applyBorder="1" applyAlignment="1">
      <alignment horizontal="center" vertical="center"/>
    </xf>
    <xf numFmtId="171" fontId="49" fillId="0" borderId="10" xfId="85" applyNumberFormat="1" applyFont="1" applyFill="1" applyBorder="1" applyAlignment="1">
      <alignment horizontal="center" vertical="center"/>
    </xf>
    <xf numFmtId="0" fontId="7" fillId="0" borderId="0" xfId="79" applyFont="1" applyFill="1"/>
    <xf numFmtId="0" fontId="7" fillId="0" borderId="0" xfId="79" applyFont="1"/>
    <xf numFmtId="170" fontId="48" fillId="0" borderId="10" xfId="79" applyNumberFormat="1" applyFont="1" applyFill="1" applyBorder="1" applyAlignment="1">
      <alignment horizontal="center" vertical="center"/>
    </xf>
    <xf numFmtId="0" fontId="8" fillId="0" borderId="0" xfId="79" applyFont="1"/>
    <xf numFmtId="10" fontId="14" fillId="0" borderId="11" xfId="85" applyNumberFormat="1" applyFont="1" applyBorder="1" applyAlignment="1">
      <alignment horizontal="center" vertical="center"/>
    </xf>
    <xf numFmtId="0" fontId="50" fillId="0" borderId="0" xfId="0" applyFont="1"/>
    <xf numFmtId="2" fontId="12" fillId="0" borderId="10" xfId="0" applyNumberFormat="1" applyFont="1" applyFill="1" applyBorder="1" applyAlignment="1">
      <alignment wrapText="1"/>
    </xf>
    <xf numFmtId="10" fontId="47" fillId="0" borderId="10" xfId="85" applyNumberFormat="1" applyFont="1" applyBorder="1"/>
    <xf numFmtId="0" fontId="54" fillId="0" borderId="0" xfId="81" applyFont="1" applyAlignment="1">
      <alignment horizontal="center"/>
    </xf>
    <xf numFmtId="0" fontId="26" fillId="0" borderId="0" xfId="81"/>
    <xf numFmtId="0" fontId="55" fillId="0" borderId="0" xfId="81" applyFont="1" applyAlignment="1">
      <alignment horizontal="left"/>
    </xf>
    <xf numFmtId="0" fontId="55" fillId="0" borderId="0" xfId="81" applyFont="1" applyAlignment="1">
      <alignment horizontal="center"/>
    </xf>
    <xf numFmtId="0" fontId="55" fillId="0" borderId="39" xfId="81" applyFont="1" applyBorder="1" applyAlignment="1">
      <alignment horizontal="center" vertical="center" wrapText="1"/>
    </xf>
    <xf numFmtId="0" fontId="55" fillId="0" borderId="22" xfId="81" applyFont="1" applyBorder="1" applyAlignment="1">
      <alignment horizontal="center" vertical="center"/>
    </xf>
    <xf numFmtId="0" fontId="55" fillId="0" borderId="22" xfId="81" applyFont="1" applyBorder="1" applyAlignment="1">
      <alignment horizontal="center" vertical="center" wrapText="1"/>
    </xf>
    <xf numFmtId="0" fontId="55" fillId="0" borderId="29" xfId="81" applyFont="1" applyBorder="1" applyAlignment="1">
      <alignment horizontal="center" vertical="center" wrapText="1"/>
    </xf>
    <xf numFmtId="0" fontId="55" fillId="0" borderId="21" xfId="81" applyFont="1" applyBorder="1" applyAlignment="1">
      <alignment horizontal="center" vertical="center" wrapText="1"/>
    </xf>
    <xf numFmtId="0" fontId="55" fillId="0" borderId="23" xfId="81" applyFont="1" applyBorder="1" applyAlignment="1">
      <alignment horizontal="center" vertical="center" wrapText="1"/>
    </xf>
    <xf numFmtId="0" fontId="55" fillId="0" borderId="40" xfId="81" applyFont="1" applyBorder="1"/>
    <xf numFmtId="0" fontId="55" fillId="0" borderId="34" xfId="81" applyFont="1" applyBorder="1" applyAlignment="1">
      <alignment horizontal="center"/>
    </xf>
    <xf numFmtId="0" fontId="55" fillId="0" borderId="31" xfId="81" applyFont="1" applyBorder="1" applyAlignment="1">
      <alignment horizontal="center"/>
    </xf>
    <xf numFmtId="4" fontId="55" fillId="0" borderId="11" xfId="81" applyNumberFormat="1" applyFont="1" applyBorder="1" applyAlignment="1">
      <alignment horizontal="center"/>
    </xf>
    <xf numFmtId="2" fontId="55" fillId="0" borderId="11" xfId="81" applyNumberFormat="1" applyFont="1" applyBorder="1" applyAlignment="1">
      <alignment horizontal="center"/>
    </xf>
    <xf numFmtId="165" fontId="55" fillId="0" borderId="35" xfId="89" applyFont="1" applyBorder="1" applyAlignment="1">
      <alignment horizontal="center"/>
    </xf>
    <xf numFmtId="0" fontId="55" fillId="0" borderId="37" xfId="81" applyFont="1" applyBorder="1" applyAlignment="1">
      <alignment horizontal="center"/>
    </xf>
    <xf numFmtId="165" fontId="55" fillId="0" borderId="11" xfId="89" applyFont="1" applyBorder="1" applyAlignment="1">
      <alignment horizontal="center"/>
    </xf>
    <xf numFmtId="169" fontId="55" fillId="0" borderId="38" xfId="81" applyNumberFormat="1" applyFont="1" applyBorder="1" applyAlignment="1">
      <alignment horizontal="center"/>
    </xf>
    <xf numFmtId="171" fontId="55" fillId="0" borderId="38" xfId="85" applyNumberFormat="1" applyFont="1" applyBorder="1" applyAlignment="1">
      <alignment horizontal="center"/>
    </xf>
    <xf numFmtId="0" fontId="55" fillId="0" borderId="41" xfId="81" applyFont="1" applyBorder="1"/>
    <xf numFmtId="0" fontId="55" fillId="0" borderId="12" xfId="81" applyFont="1" applyBorder="1" applyAlignment="1">
      <alignment horizontal="center"/>
    </xf>
    <xf numFmtId="0" fontId="55" fillId="0" borderId="28" xfId="81" applyFont="1" applyBorder="1" applyAlignment="1">
      <alignment horizontal="center"/>
    </xf>
    <xf numFmtId="2" fontId="55" fillId="0" borderId="10" xfId="81" applyNumberFormat="1" applyFont="1" applyBorder="1" applyAlignment="1">
      <alignment horizontal="center"/>
    </xf>
    <xf numFmtId="0" fontId="55" fillId="0" borderId="19" xfId="81" applyFont="1" applyBorder="1" applyAlignment="1">
      <alignment horizontal="center"/>
    </xf>
    <xf numFmtId="4" fontId="55" fillId="0" borderId="10" xfId="81" applyNumberFormat="1" applyFont="1" applyBorder="1" applyAlignment="1">
      <alignment horizontal="center"/>
    </xf>
    <xf numFmtId="2" fontId="55" fillId="0" borderId="28" xfId="81" applyNumberFormat="1" applyFont="1" applyBorder="1" applyAlignment="1">
      <alignment horizontal="center"/>
    </xf>
    <xf numFmtId="0" fontId="55" fillId="0" borderId="10" xfId="81" applyFont="1" applyBorder="1" applyAlignment="1">
      <alignment horizontal="center"/>
    </xf>
    <xf numFmtId="2" fontId="55" fillId="0" borderId="19" xfId="81" applyNumberFormat="1" applyFont="1" applyBorder="1" applyAlignment="1">
      <alignment horizontal="center"/>
    </xf>
    <xf numFmtId="0" fontId="55" fillId="0" borderId="42" xfId="81" applyFont="1" applyBorder="1"/>
    <xf numFmtId="0" fontId="55" fillId="0" borderId="15" xfId="81" applyFont="1" applyBorder="1" applyAlignment="1">
      <alignment horizontal="center"/>
    </xf>
    <xf numFmtId="0" fontId="55" fillId="0" borderId="39" xfId="81" applyFont="1" applyBorder="1" applyAlignment="1">
      <alignment horizontal="center"/>
    </xf>
    <xf numFmtId="4" fontId="55" fillId="0" borderId="43" xfId="81" applyNumberFormat="1" applyFont="1" applyBorder="1" applyAlignment="1">
      <alignment horizontal="center"/>
    </xf>
    <xf numFmtId="2" fontId="55" fillId="0" borderId="22" xfId="81" applyNumberFormat="1" applyFont="1" applyBorder="1" applyAlignment="1">
      <alignment horizontal="center"/>
    </xf>
    <xf numFmtId="165" fontId="55" fillId="0" borderId="29" xfId="89" applyFont="1" applyBorder="1" applyAlignment="1">
      <alignment horizontal="center"/>
    </xf>
    <xf numFmtId="2" fontId="55" fillId="0" borderId="21" xfId="81" applyNumberFormat="1" applyFont="1" applyBorder="1" applyAlignment="1">
      <alignment horizontal="center"/>
    </xf>
    <xf numFmtId="165" fontId="55" fillId="0" borderId="22" xfId="89" applyFont="1" applyBorder="1" applyAlignment="1">
      <alignment horizontal="center"/>
    </xf>
    <xf numFmtId="169" fontId="55" fillId="0" borderId="23" xfId="81" applyNumberFormat="1" applyFont="1" applyBorder="1" applyAlignment="1">
      <alignment horizontal="center"/>
    </xf>
    <xf numFmtId="0" fontId="55" fillId="0" borderId="22" xfId="81" applyFont="1" applyBorder="1" applyAlignment="1">
      <alignment horizontal="center"/>
    </xf>
    <xf numFmtId="171" fontId="55" fillId="0" borderId="44" xfId="85" applyNumberFormat="1" applyFont="1" applyBorder="1" applyAlignment="1">
      <alignment horizontal="center"/>
    </xf>
    <xf numFmtId="0" fontId="8" fillId="0" borderId="10" xfId="0" applyFont="1" applyBorder="1" applyAlignment="1">
      <alignment wrapText="1"/>
    </xf>
    <xf numFmtId="0" fontId="8" fillId="0" borderId="10" xfId="0" applyFont="1" applyBorder="1"/>
    <xf numFmtId="4" fontId="0" fillId="0" borderId="10" xfId="85" applyNumberFormat="1" applyFont="1" applyBorder="1"/>
    <xf numFmtId="4" fontId="58" fillId="0" borderId="10" xfId="0" applyNumberFormat="1" applyFont="1" applyBorder="1" applyAlignment="1">
      <alignment horizontal="center" vertical="center"/>
    </xf>
    <xf numFmtId="4" fontId="63" fillId="0" borderId="10" xfId="0" applyNumberFormat="1" applyFont="1" applyBorder="1"/>
    <xf numFmtId="0" fontId="63" fillId="0" borderId="10" xfId="0" applyFont="1" applyBorder="1"/>
    <xf numFmtId="4" fontId="0" fillId="0" borderId="0" xfId="0" applyNumberFormat="1" applyAlignment="1">
      <alignment wrapText="1"/>
    </xf>
    <xf numFmtId="10" fontId="0" fillId="0" borderId="0" xfId="85" applyNumberFormat="1" applyFont="1" applyAlignment="1">
      <alignment wrapText="1"/>
    </xf>
    <xf numFmtId="4" fontId="12" fillId="0" borderId="11" xfId="0" applyNumberFormat="1" applyFont="1" applyBorder="1" applyAlignment="1">
      <alignment horizontal="center" vertical="center" wrapText="1"/>
    </xf>
    <xf numFmtId="0" fontId="13" fillId="0" borderId="46" xfId="0" applyFont="1" applyFill="1" applyBorder="1"/>
    <xf numFmtId="10" fontId="59" fillId="0" borderId="11" xfId="85" applyNumberFormat="1" applyFont="1" applyBorder="1" applyAlignment="1">
      <alignment horizontal="center" vertical="center"/>
    </xf>
    <xf numFmtId="4" fontId="18" fillId="0" borderId="10" xfId="0" applyNumberFormat="1" applyFont="1" applyBorder="1" applyAlignment="1">
      <alignment horizontal="center" vertical="center"/>
    </xf>
    <xf numFmtId="3" fontId="18" fillId="0" borderId="10" xfId="0" applyNumberFormat="1" applyFont="1" applyBorder="1" applyAlignment="1">
      <alignment horizontal="right" vertical="center" indent="1"/>
    </xf>
    <xf numFmtId="1" fontId="18" fillId="0" borderId="19" xfId="0" applyNumberFormat="1" applyFont="1" applyBorder="1" applyAlignment="1">
      <alignment horizontal="right" vertical="center" indent="1"/>
    </xf>
    <xf numFmtId="170" fontId="18" fillId="0" borderId="10" xfId="0" applyNumberFormat="1" applyFont="1" applyBorder="1" applyAlignment="1">
      <alignment horizontal="right" vertical="center"/>
    </xf>
    <xf numFmtId="10" fontId="64" fillId="0" borderId="10" xfId="85" applyNumberFormat="1" applyFont="1" applyBorder="1"/>
    <xf numFmtId="3" fontId="58" fillId="0" borderId="10" xfId="0" applyNumberFormat="1" applyFont="1" applyBorder="1" applyAlignment="1">
      <alignment horizontal="right" vertical="center" indent="1"/>
    </xf>
    <xf numFmtId="1" fontId="58" fillId="0" borderId="19" xfId="0" applyNumberFormat="1" applyFont="1" applyBorder="1" applyAlignment="1">
      <alignment horizontal="right" vertical="center" indent="1"/>
    </xf>
    <xf numFmtId="170" fontId="58" fillId="0" borderId="10" xfId="0" applyNumberFormat="1" applyFont="1" applyBorder="1" applyAlignment="1">
      <alignment horizontal="right" vertical="center"/>
    </xf>
    <xf numFmtId="169" fontId="58" fillId="0" borderId="19" xfId="0" applyNumberFormat="1" applyFont="1" applyBorder="1" applyAlignment="1">
      <alignment horizontal="right" vertical="center" indent="1"/>
    </xf>
    <xf numFmtId="3" fontId="65" fillId="0" borderId="10" xfId="0" applyNumberFormat="1" applyFont="1" applyBorder="1" applyAlignment="1">
      <alignment horizontal="right" vertical="center" indent="1"/>
    </xf>
    <xf numFmtId="1" fontId="65" fillId="0" borderId="19" xfId="0" applyNumberFormat="1" applyFont="1" applyBorder="1" applyAlignment="1">
      <alignment horizontal="right" vertical="center" indent="1"/>
    </xf>
    <xf numFmtId="170" fontId="65" fillId="0" borderId="10" xfId="0" applyNumberFormat="1" applyFont="1" applyBorder="1" applyAlignment="1">
      <alignment horizontal="right" vertical="center"/>
    </xf>
    <xf numFmtId="2" fontId="12" fillId="0" borderId="25" xfId="0" applyNumberFormat="1" applyFont="1" applyBorder="1" applyAlignment="1">
      <alignment horizontal="center" vertical="center"/>
    </xf>
    <xf numFmtId="2" fontId="13" fillId="0" borderId="19" xfId="0" applyNumberFormat="1" applyFont="1" applyBorder="1" applyAlignment="1">
      <alignment horizontal="center" wrapText="1"/>
    </xf>
    <xf numFmtId="2" fontId="12" fillId="0" borderId="20" xfId="0" applyNumberFormat="1" applyFont="1" applyBorder="1" applyAlignment="1">
      <alignment horizontal="center" vertical="center"/>
    </xf>
    <xf numFmtId="4" fontId="13" fillId="0" borderId="20" xfId="0" applyNumberFormat="1" applyFont="1" applyBorder="1" applyAlignment="1">
      <alignment horizontal="center" wrapText="1"/>
    </xf>
    <xf numFmtId="4" fontId="13" fillId="0" borderId="20" xfId="0" applyNumberFormat="1" applyFont="1" applyBorder="1" applyAlignment="1">
      <alignment horizontal="center" vertical="center" wrapText="1"/>
    </xf>
    <xf numFmtId="4" fontId="13" fillId="0" borderId="18" xfId="0" applyNumberFormat="1" applyFont="1" applyBorder="1" applyAlignment="1">
      <alignment horizontal="center"/>
    </xf>
    <xf numFmtId="4" fontId="13" fillId="0" borderId="20" xfId="0" applyNumberFormat="1" applyFont="1" applyBorder="1" applyAlignment="1">
      <alignment horizontal="center"/>
    </xf>
    <xf numFmtId="4" fontId="13" fillId="0" borderId="23" xfId="0" applyNumberFormat="1" applyFont="1" applyBorder="1" applyAlignment="1">
      <alignment horizontal="center"/>
    </xf>
    <xf numFmtId="0" fontId="13" fillId="0" borderId="19" xfId="0" applyFont="1" applyBorder="1"/>
    <xf numFmtId="0" fontId="12" fillId="0" borderId="19" xfId="0" applyFont="1" applyBorder="1"/>
    <xf numFmtId="0" fontId="12" fillId="0" borderId="19" xfId="0" applyFont="1" applyBorder="1" applyAlignment="1">
      <alignment vertical="center"/>
    </xf>
    <xf numFmtId="0" fontId="12" fillId="0" borderId="21" xfId="0" applyFont="1" applyBorder="1" applyAlignment="1">
      <alignment horizontal="center" vertical="center"/>
    </xf>
    <xf numFmtId="4" fontId="12" fillId="0" borderId="22" xfId="0" applyNumberFormat="1" applyFont="1" applyBorder="1" applyAlignment="1">
      <alignment horizontal="center" vertical="center"/>
    </xf>
    <xf numFmtId="0" fontId="12" fillId="0" borderId="22" xfId="0" applyFont="1" applyBorder="1" applyAlignment="1">
      <alignment horizontal="center" vertical="center"/>
    </xf>
    <xf numFmtId="3" fontId="58" fillId="0" borderId="22" xfId="0" applyNumberFormat="1" applyFont="1" applyBorder="1" applyAlignment="1">
      <alignment horizontal="right" vertical="center" indent="1"/>
    </xf>
    <xf numFmtId="170" fontId="58" fillId="0" borderId="22" xfId="0" applyNumberFormat="1" applyFont="1" applyBorder="1" applyAlignment="1">
      <alignment horizontal="right" vertical="center"/>
    </xf>
    <xf numFmtId="10" fontId="64" fillId="0" borderId="22" xfId="85" applyNumberFormat="1" applyFont="1" applyBorder="1"/>
    <xf numFmtId="1" fontId="58" fillId="0" borderId="21" xfId="0" applyNumberFormat="1" applyFont="1" applyBorder="1" applyAlignment="1">
      <alignment horizontal="right" vertical="center" indent="1"/>
    </xf>
    <xf numFmtId="0" fontId="13" fillId="0" borderId="23" xfId="0" applyFont="1" applyBorder="1" applyAlignment="1">
      <alignment horizontal="center" vertical="center" wrapText="1"/>
    </xf>
    <xf numFmtId="0" fontId="13" fillId="0" borderId="21" xfId="0" applyFont="1" applyBorder="1" applyAlignment="1">
      <alignment horizontal="center" vertical="center" wrapText="1"/>
    </xf>
    <xf numFmtId="0" fontId="13" fillId="0" borderId="22" xfId="0" applyFont="1" applyBorder="1" applyAlignment="1">
      <alignment horizontal="center" vertical="center" wrapText="1"/>
    </xf>
    <xf numFmtId="0" fontId="13" fillId="0" borderId="29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2" fontId="13" fillId="0" borderId="19" xfId="0" applyNumberFormat="1" applyFont="1" applyBorder="1" applyAlignment="1">
      <alignment horizontal="center"/>
    </xf>
    <xf numFmtId="2" fontId="13" fillId="0" borderId="35" xfId="0" applyNumberFormat="1" applyFont="1" applyBorder="1" applyAlignment="1">
      <alignment horizontal="center"/>
    </xf>
    <xf numFmtId="4" fontId="60" fillId="0" borderId="10" xfId="0" applyNumberFormat="1" applyFont="1" applyBorder="1" applyAlignment="1">
      <alignment horizontal="center" vertical="center"/>
    </xf>
    <xf numFmtId="4" fontId="7" fillId="0" borderId="20" xfId="0" applyNumberFormat="1" applyFont="1" applyBorder="1" applyAlignment="1">
      <alignment horizontal="center" wrapText="1"/>
    </xf>
    <xf numFmtId="0" fontId="7" fillId="0" borderId="0" xfId="79" applyFill="1"/>
    <xf numFmtId="0" fontId="7" fillId="0" borderId="0" xfId="79" applyFill="1" applyAlignment="1">
      <alignment horizontal="center"/>
    </xf>
    <xf numFmtId="170" fontId="7" fillId="0" borderId="0" xfId="79" applyNumberFormat="1" applyFill="1"/>
    <xf numFmtId="167" fontId="13" fillId="0" borderId="10" xfId="0" applyNumberFormat="1" applyFont="1" applyBorder="1" applyAlignment="1">
      <alignment horizontal="center" wrapText="1"/>
    </xf>
    <xf numFmtId="0" fontId="0" fillId="0" borderId="47" xfId="0" applyBorder="1"/>
    <xf numFmtId="0" fontId="0" fillId="0" borderId="48" xfId="0" applyBorder="1"/>
    <xf numFmtId="168" fontId="13" fillId="0" borderId="11" xfId="0" applyNumberFormat="1" applyFont="1" applyBorder="1" applyAlignment="1">
      <alignment horizontal="center"/>
    </xf>
    <xf numFmtId="169" fontId="14" fillId="0" borderId="11" xfId="0" applyNumberFormat="1" applyFont="1" applyBorder="1" applyAlignment="1">
      <alignment horizontal="center"/>
    </xf>
    <xf numFmtId="4" fontId="13" fillId="0" borderId="11" xfId="0" applyNumberFormat="1" applyFont="1" applyBorder="1" applyAlignment="1">
      <alignment horizontal="center"/>
    </xf>
    <xf numFmtId="2" fontId="13" fillId="0" borderId="11" xfId="0" applyNumberFormat="1" applyFont="1" applyBorder="1" applyAlignment="1">
      <alignment horizontal="center"/>
    </xf>
    <xf numFmtId="0" fontId="0" fillId="0" borderId="0" xfId="0" applyBorder="1"/>
    <xf numFmtId="0" fontId="13" fillId="0" borderId="17" xfId="0" applyFont="1" applyBorder="1"/>
    <xf numFmtId="2" fontId="13" fillId="0" borderId="20" xfId="0" applyNumberFormat="1" applyFont="1" applyBorder="1" applyAlignment="1">
      <alignment horizontal="center"/>
    </xf>
    <xf numFmtId="2" fontId="12" fillId="0" borderId="20" xfId="0" applyNumberFormat="1" applyFont="1" applyBorder="1" applyAlignment="1">
      <alignment horizontal="center"/>
    </xf>
    <xf numFmtId="0" fontId="12" fillId="0" borderId="19" xfId="0" applyFont="1" applyBorder="1" applyAlignment="1">
      <alignment wrapText="1"/>
    </xf>
    <xf numFmtId="2" fontId="43" fillId="0" borderId="20" xfId="0" applyNumberFormat="1" applyFont="1" applyBorder="1" applyAlignment="1">
      <alignment horizontal="center"/>
    </xf>
    <xf numFmtId="2" fontId="44" fillId="0" borderId="20" xfId="0" applyNumberFormat="1" applyFont="1" applyFill="1" applyBorder="1" applyAlignment="1">
      <alignment horizontal="center"/>
    </xf>
    <xf numFmtId="0" fontId="13" fillId="0" borderId="19" xfId="0" applyFont="1" applyFill="1" applyBorder="1"/>
    <xf numFmtId="0" fontId="13" fillId="0" borderId="49" xfId="0" applyFont="1" applyFill="1" applyBorder="1"/>
    <xf numFmtId="169" fontId="12" fillId="0" borderId="20" xfId="0" applyNumberFormat="1" applyFont="1" applyBorder="1" applyAlignment="1">
      <alignment horizontal="center"/>
    </xf>
    <xf numFmtId="0" fontId="12" fillId="0" borderId="21" xfId="0" applyFont="1" applyFill="1" applyBorder="1" applyAlignment="1">
      <alignment wrapText="1"/>
    </xf>
    <xf numFmtId="0" fontId="0" fillId="0" borderId="22" xfId="0" applyBorder="1" applyAlignment="1">
      <alignment horizontal="center" vertical="center"/>
    </xf>
    <xf numFmtId="0" fontId="0" fillId="0" borderId="22" xfId="0" applyBorder="1"/>
    <xf numFmtId="0" fontId="13" fillId="0" borderId="37" xfId="0" applyFont="1" applyBorder="1"/>
    <xf numFmtId="1" fontId="13" fillId="0" borderId="11" xfId="0" applyNumberFormat="1" applyFont="1" applyBorder="1" applyAlignment="1">
      <alignment horizontal="center"/>
    </xf>
    <xf numFmtId="167" fontId="13" fillId="0" borderId="11" xfId="0" applyNumberFormat="1" applyFont="1" applyBorder="1" applyAlignment="1">
      <alignment horizontal="center"/>
    </xf>
    <xf numFmtId="0" fontId="14" fillId="0" borderId="11" xfId="0" applyFont="1" applyBorder="1" applyAlignment="1">
      <alignment horizontal="center"/>
    </xf>
    <xf numFmtId="168" fontId="0" fillId="0" borderId="11" xfId="0" applyNumberFormat="1" applyBorder="1"/>
    <xf numFmtId="2" fontId="13" fillId="0" borderId="38" xfId="0" applyNumberFormat="1" applyFont="1" applyBorder="1" applyAlignment="1">
      <alignment horizontal="center"/>
    </xf>
    <xf numFmtId="0" fontId="13" fillId="0" borderId="27" xfId="0" applyFont="1" applyBorder="1"/>
    <xf numFmtId="2" fontId="13" fillId="0" borderId="25" xfId="0" applyNumberFormat="1" applyFont="1" applyBorder="1" applyAlignment="1">
      <alignment horizontal="center"/>
    </xf>
    <xf numFmtId="2" fontId="12" fillId="0" borderId="25" xfId="0" applyNumberFormat="1" applyFont="1" applyBorder="1" applyAlignment="1">
      <alignment horizontal="center"/>
    </xf>
    <xf numFmtId="0" fontId="12" fillId="0" borderId="25" xfId="0" applyFont="1" applyBorder="1" applyAlignment="1">
      <alignment horizontal="center"/>
    </xf>
    <xf numFmtId="0" fontId="12" fillId="0" borderId="29" xfId="0" applyFont="1" applyBorder="1" applyAlignment="1">
      <alignment horizontal="center" vertical="center"/>
    </xf>
    <xf numFmtId="0" fontId="13" fillId="0" borderId="39" xfId="0" applyFont="1" applyBorder="1" applyAlignment="1">
      <alignment horizontal="center" vertical="center" wrapText="1"/>
    </xf>
    <xf numFmtId="2" fontId="13" fillId="0" borderId="31" xfId="0" applyNumberFormat="1" applyFont="1" applyBorder="1" applyAlignment="1">
      <alignment horizontal="center"/>
    </xf>
    <xf numFmtId="2" fontId="13" fillId="0" borderId="28" xfId="0" applyNumberFormat="1" applyFont="1" applyBorder="1" applyAlignment="1">
      <alignment horizontal="center" wrapText="1"/>
    </xf>
    <xf numFmtId="2" fontId="13" fillId="0" borderId="28" xfId="0" applyNumberFormat="1" applyFont="1" applyBorder="1" applyAlignment="1">
      <alignment horizontal="center"/>
    </xf>
    <xf numFmtId="2" fontId="12" fillId="0" borderId="28" xfId="0" applyNumberFormat="1" applyFont="1" applyBorder="1" applyAlignment="1">
      <alignment horizontal="center"/>
    </xf>
    <xf numFmtId="169" fontId="12" fillId="0" borderId="28" xfId="0" applyNumberFormat="1" applyFont="1" applyBorder="1" applyAlignment="1">
      <alignment horizontal="center" vertical="center"/>
    </xf>
    <xf numFmtId="2" fontId="13" fillId="0" borderId="28" xfId="0" applyNumberFormat="1" applyFont="1" applyFill="1" applyBorder="1" applyAlignment="1">
      <alignment horizontal="center"/>
    </xf>
    <xf numFmtId="0" fontId="12" fillId="0" borderId="39" xfId="0" applyFont="1" applyBorder="1" applyAlignment="1">
      <alignment horizontal="center" vertical="center"/>
    </xf>
    <xf numFmtId="2" fontId="13" fillId="0" borderId="37" xfId="0" applyNumberFormat="1" applyFont="1" applyBorder="1" applyAlignment="1">
      <alignment horizontal="center"/>
    </xf>
    <xf numFmtId="2" fontId="13" fillId="0" borderId="20" xfId="0" applyNumberFormat="1" applyFont="1" applyBorder="1" applyAlignment="1">
      <alignment horizontal="center" wrapText="1"/>
    </xf>
    <xf numFmtId="2" fontId="12" fillId="0" borderId="19" xfId="0" applyNumberFormat="1" applyFont="1" applyBorder="1" applyAlignment="1">
      <alignment horizontal="center"/>
    </xf>
    <xf numFmtId="2" fontId="12" fillId="0" borderId="19" xfId="0" applyNumberFormat="1" applyFont="1" applyBorder="1" applyAlignment="1">
      <alignment horizontal="center" vertical="center"/>
    </xf>
    <xf numFmtId="2" fontId="13" fillId="0" borderId="20" xfId="0" applyNumberFormat="1" applyFont="1" applyFill="1" applyBorder="1" applyAlignment="1">
      <alignment horizontal="center"/>
    </xf>
    <xf numFmtId="0" fontId="12" fillId="0" borderId="23" xfId="0" applyFont="1" applyBorder="1" applyAlignment="1">
      <alignment horizontal="center" vertical="center"/>
    </xf>
    <xf numFmtId="2" fontId="13" fillId="0" borderId="25" xfId="0" applyNumberFormat="1" applyFont="1" applyFill="1" applyBorder="1" applyAlignment="1">
      <alignment horizontal="center"/>
    </xf>
    <xf numFmtId="2" fontId="13" fillId="0" borderId="19" xfId="0" applyNumberFormat="1" applyFont="1" applyFill="1" applyBorder="1" applyAlignment="1">
      <alignment horizontal="center"/>
    </xf>
    <xf numFmtId="0" fontId="13" fillId="0" borderId="0" xfId="0" applyFont="1" applyBorder="1" applyAlignment="1">
      <alignment horizontal="center" vertical="center" wrapText="1"/>
    </xf>
    <xf numFmtId="168" fontId="0" fillId="0" borderId="0" xfId="0" applyNumberFormat="1"/>
    <xf numFmtId="0" fontId="0" fillId="0" borderId="10" xfId="0" applyFill="1" applyBorder="1"/>
    <xf numFmtId="0" fontId="56" fillId="0" borderId="0" xfId="0" applyFont="1"/>
    <xf numFmtId="4" fontId="56" fillId="0" borderId="0" xfId="0" applyNumberFormat="1" applyFont="1"/>
    <xf numFmtId="0" fontId="0" fillId="25" borderId="0" xfId="0" applyFill="1"/>
    <xf numFmtId="0" fontId="0" fillId="0" borderId="10" xfId="0" applyFill="1" applyBorder="1" applyAlignment="1">
      <alignment horizontal="center" wrapText="1"/>
    </xf>
    <xf numFmtId="2" fontId="55" fillId="0" borderId="31" xfId="81" applyNumberFormat="1" applyFont="1" applyBorder="1" applyAlignment="1">
      <alignment horizontal="center"/>
    </xf>
    <xf numFmtId="10" fontId="71" fillId="0" borderId="10" xfId="85" applyNumberFormat="1" applyFont="1" applyBorder="1"/>
    <xf numFmtId="10" fontId="72" fillId="0" borderId="10" xfId="85" applyNumberFormat="1" applyFont="1" applyBorder="1"/>
    <xf numFmtId="10" fontId="73" fillId="0" borderId="10" xfId="85" applyNumberFormat="1" applyFont="1" applyBorder="1"/>
    <xf numFmtId="0" fontId="60" fillId="0" borderId="10" xfId="0" applyFont="1" applyBorder="1" applyAlignment="1">
      <alignment horizontal="center" vertical="center"/>
    </xf>
    <xf numFmtId="0" fontId="60" fillId="0" borderId="19" xfId="0" applyFont="1" applyBorder="1" applyAlignment="1">
      <alignment horizontal="center" vertical="center"/>
    </xf>
    <xf numFmtId="4" fontId="60" fillId="0" borderId="20" xfId="0" applyNumberFormat="1" applyFont="1" applyBorder="1" applyAlignment="1">
      <alignment horizontal="center" vertical="center"/>
    </xf>
    <xf numFmtId="176" fontId="71" fillId="0" borderId="10" xfId="85" applyNumberFormat="1" applyFont="1" applyBorder="1"/>
    <xf numFmtId="0" fontId="7" fillId="0" borderId="0" xfId="0" applyFont="1"/>
    <xf numFmtId="0" fontId="19" fillId="0" borderId="0" xfId="0" applyFont="1" applyAlignment="1">
      <alignment horizontal="center"/>
    </xf>
    <xf numFmtId="0" fontId="78" fillId="0" borderId="0" xfId="0" applyFont="1"/>
    <xf numFmtId="0" fontId="21" fillId="0" borderId="50" xfId="0" applyFont="1" applyBorder="1" applyAlignment="1">
      <alignment horizontal="center" wrapText="1"/>
    </xf>
    <xf numFmtId="0" fontId="21" fillId="0" borderId="51" xfId="0" applyFont="1" applyBorder="1" applyAlignment="1">
      <alignment horizontal="center" wrapText="1"/>
    </xf>
    <xf numFmtId="0" fontId="21" fillId="0" borderId="52" xfId="0" applyFont="1" applyBorder="1" applyAlignment="1">
      <alignment horizontal="center" wrapText="1"/>
    </xf>
    <xf numFmtId="0" fontId="21" fillId="0" borderId="53" xfId="0" applyFont="1" applyBorder="1" applyAlignment="1">
      <alignment horizontal="center" wrapText="1"/>
    </xf>
    <xf numFmtId="0" fontId="21" fillId="0" borderId="54" xfId="0" applyFont="1" applyBorder="1" applyAlignment="1">
      <alignment horizontal="center" wrapText="1"/>
    </xf>
    <xf numFmtId="0" fontId="21" fillId="0" borderId="46" xfId="0" applyFont="1" applyBorder="1" applyAlignment="1">
      <alignment horizontal="center" wrapText="1"/>
    </xf>
    <xf numFmtId="0" fontId="21" fillId="0" borderId="33" xfId="0" applyFont="1" applyBorder="1" applyAlignment="1">
      <alignment horizontal="center" wrapText="1"/>
    </xf>
    <xf numFmtId="0" fontId="21" fillId="0" borderId="55" xfId="0" applyFont="1" applyBorder="1" applyAlignment="1">
      <alignment horizontal="center" wrapText="1"/>
    </xf>
    <xf numFmtId="0" fontId="21" fillId="0" borderId="56" xfId="0" applyFont="1" applyBorder="1" applyAlignment="1">
      <alignment horizontal="center" wrapText="1"/>
    </xf>
    <xf numFmtId="0" fontId="21" fillId="0" borderId="57" xfId="0" applyFont="1" applyBorder="1" applyAlignment="1">
      <alignment horizontal="center" wrapText="1"/>
    </xf>
    <xf numFmtId="0" fontId="21" fillId="0" borderId="58" xfId="0" applyFont="1" applyBorder="1" applyAlignment="1">
      <alignment horizontal="center" wrapText="1"/>
    </xf>
    <xf numFmtId="0" fontId="79" fillId="0" borderId="0" xfId="0" applyFont="1"/>
    <xf numFmtId="0" fontId="21" fillId="0" borderId="58" xfId="0" applyFont="1" applyBorder="1" applyAlignment="1">
      <alignment horizontal="center" vertical="top" wrapText="1"/>
    </xf>
    <xf numFmtId="0" fontId="21" fillId="0" borderId="59" xfId="0" applyFont="1" applyBorder="1" applyAlignment="1">
      <alignment horizontal="center" vertical="top" wrapText="1"/>
    </xf>
    <xf numFmtId="0" fontId="21" fillId="0" borderId="48" xfId="0" applyFont="1" applyBorder="1" applyAlignment="1">
      <alignment vertical="top" wrapText="1"/>
    </xf>
    <xf numFmtId="0" fontId="21" fillId="0" borderId="48" xfId="0" applyFont="1" applyBorder="1" applyAlignment="1">
      <alignment horizontal="center" vertical="top" wrapText="1"/>
    </xf>
    <xf numFmtId="0" fontId="21" fillId="0" borderId="48" xfId="0" applyFont="1" applyBorder="1" applyAlignment="1">
      <alignment horizontal="right" vertical="top" wrapText="1"/>
    </xf>
    <xf numFmtId="0" fontId="21" fillId="0" borderId="33" xfId="0" applyFont="1" applyBorder="1" applyAlignment="1">
      <alignment vertical="top" wrapText="1"/>
    </xf>
    <xf numFmtId="0" fontId="21" fillId="0" borderId="33" xfId="0" applyFont="1" applyBorder="1" applyAlignment="1">
      <alignment horizontal="right" vertical="top" wrapText="1"/>
    </xf>
    <xf numFmtId="0" fontId="21" fillId="0" borderId="60" xfId="0" applyFont="1" applyBorder="1" applyAlignment="1">
      <alignment vertical="top" wrapText="1"/>
    </xf>
    <xf numFmtId="0" fontId="21" fillId="0" borderId="60" xfId="0" applyFont="1" applyBorder="1" applyAlignment="1">
      <alignment horizontal="center" vertical="top" wrapText="1"/>
    </xf>
    <xf numFmtId="0" fontId="21" fillId="0" borderId="60" xfId="0" applyFont="1" applyBorder="1" applyAlignment="1">
      <alignment horizontal="right" vertical="top" wrapText="1"/>
    </xf>
    <xf numFmtId="0" fontId="0" fillId="0" borderId="33" xfId="0" applyBorder="1" applyAlignment="1">
      <alignment vertical="top" wrapText="1"/>
    </xf>
    <xf numFmtId="0" fontId="13" fillId="0" borderId="45" xfId="0" applyFont="1" applyBorder="1" applyAlignment="1">
      <alignment horizontal="center" vertical="center" wrapText="1"/>
    </xf>
    <xf numFmtId="0" fontId="13" fillId="0" borderId="61" xfId="0" applyFont="1" applyBorder="1" applyAlignment="1">
      <alignment horizontal="center" vertical="center" wrapText="1"/>
    </xf>
    <xf numFmtId="0" fontId="82" fillId="0" borderId="0" xfId="0" applyFont="1"/>
    <xf numFmtId="0" fontId="82" fillId="0" borderId="10" xfId="0" applyFont="1" applyBorder="1" applyAlignment="1">
      <alignment vertical="center"/>
    </xf>
    <xf numFmtId="4" fontId="60" fillId="0" borderId="10" xfId="0" applyNumberFormat="1" applyFont="1" applyFill="1" applyBorder="1" applyAlignment="1">
      <alignment horizontal="center" vertical="center"/>
    </xf>
    <xf numFmtId="4" fontId="60" fillId="0" borderId="11" xfId="0" applyNumberFormat="1" applyFont="1" applyFill="1" applyBorder="1" applyAlignment="1">
      <alignment horizontal="center" vertical="center"/>
    </xf>
    <xf numFmtId="10" fontId="0" fillId="0" borderId="0" xfId="85" applyNumberFormat="1" applyFont="1" applyFill="1"/>
    <xf numFmtId="4" fontId="0" fillId="0" borderId="0" xfId="85" applyNumberFormat="1" applyFont="1" applyFill="1"/>
    <xf numFmtId="0" fontId="0" fillId="0" borderId="0" xfId="0" applyFont="1" applyFill="1"/>
    <xf numFmtId="0" fontId="12" fillId="0" borderId="11" xfId="0" applyFont="1" applyFill="1" applyBorder="1"/>
    <xf numFmtId="0" fontId="0" fillId="0" borderId="0" xfId="0" applyAlignment="1">
      <alignment vertical="center"/>
    </xf>
    <xf numFmtId="0" fontId="56" fillId="0" borderId="0" xfId="0" applyFont="1" applyAlignment="1">
      <alignment vertical="center"/>
    </xf>
    <xf numFmtId="169" fontId="18" fillId="0" borderId="10" xfId="0" applyNumberFormat="1" applyFont="1" applyBorder="1" applyAlignment="1">
      <alignment horizontal="center" vertical="center"/>
    </xf>
    <xf numFmtId="10" fontId="14" fillId="0" borderId="10" xfId="85" applyNumberFormat="1" applyFont="1" applyBorder="1" applyAlignment="1">
      <alignment horizontal="center" vertical="center"/>
    </xf>
    <xf numFmtId="10" fontId="59" fillId="0" borderId="10" xfId="85" applyNumberFormat="1" applyFont="1" applyBorder="1" applyAlignment="1">
      <alignment horizontal="center" vertical="center"/>
    </xf>
    <xf numFmtId="169" fontId="12" fillId="0" borderId="45" xfId="0" applyNumberFormat="1" applyFont="1" applyBorder="1" applyAlignment="1">
      <alignment horizontal="center" vertical="center"/>
    </xf>
    <xf numFmtId="4" fontId="12" fillId="0" borderId="45" xfId="0" applyNumberFormat="1" applyFont="1" applyBorder="1" applyAlignment="1">
      <alignment horizontal="center" vertical="center"/>
    </xf>
    <xf numFmtId="4" fontId="18" fillId="0" borderId="45" xfId="0" applyNumberFormat="1" applyFont="1" applyBorder="1" applyAlignment="1">
      <alignment horizontal="center" vertical="center"/>
    </xf>
    <xf numFmtId="169" fontId="13" fillId="0" borderId="11" xfId="0" applyNumberFormat="1" applyFont="1" applyBorder="1" applyAlignment="1">
      <alignment horizontal="center" vertical="center"/>
    </xf>
    <xf numFmtId="4" fontId="59" fillId="0" borderId="10" xfId="0" applyNumberFormat="1" applyFont="1" applyBorder="1" applyAlignment="1">
      <alignment horizontal="center" vertical="center"/>
    </xf>
    <xf numFmtId="0" fontId="12" fillId="0" borderId="0" xfId="0" applyFont="1" applyFill="1" applyBorder="1" applyAlignment="1">
      <alignment wrapText="1"/>
    </xf>
    <xf numFmtId="4" fontId="61" fillId="0" borderId="10" xfId="0" applyNumberFormat="1" applyFont="1" applyBorder="1" applyAlignment="1">
      <alignment horizontal="center" vertical="center"/>
    </xf>
    <xf numFmtId="0" fontId="0" fillId="0" borderId="20" xfId="0" applyBorder="1" applyAlignment="1">
      <alignment vertical="center" wrapText="1"/>
    </xf>
    <xf numFmtId="169" fontId="15" fillId="0" borderId="22" xfId="0" applyNumberFormat="1" applyFont="1" applyBorder="1" applyAlignment="1">
      <alignment horizontal="center" vertical="center"/>
    </xf>
    <xf numFmtId="4" fontId="15" fillId="0" borderId="22" xfId="0" applyNumberFormat="1" applyFont="1" applyBorder="1" applyAlignment="1">
      <alignment horizontal="center" vertical="center"/>
    </xf>
    <xf numFmtId="4" fontId="18" fillId="0" borderId="22" xfId="0" applyNumberFormat="1" applyFont="1" applyBorder="1" applyAlignment="1">
      <alignment horizontal="center" vertical="center"/>
    </xf>
    <xf numFmtId="4" fontId="17" fillId="0" borderId="21" xfId="0" applyNumberFormat="1" applyFont="1" applyFill="1" applyBorder="1" applyAlignment="1">
      <alignment horizontal="center" vertical="center"/>
    </xf>
    <xf numFmtId="10" fontId="61" fillId="0" borderId="10" xfId="85" applyNumberFormat="1" applyFont="1" applyBorder="1" applyAlignment="1">
      <alignment horizontal="center" vertical="center"/>
    </xf>
    <xf numFmtId="169" fontId="17" fillId="0" borderId="20" xfId="0" applyNumberFormat="1" applyFont="1" applyBorder="1" applyAlignment="1">
      <alignment horizontal="center" vertical="center"/>
    </xf>
    <xf numFmtId="169" fontId="60" fillId="0" borderId="20" xfId="0" applyNumberFormat="1" applyFont="1" applyBorder="1" applyAlignment="1">
      <alignment horizontal="center" vertical="center"/>
    </xf>
    <xf numFmtId="4" fontId="17" fillId="0" borderId="20" xfId="0" applyNumberFormat="1" applyFont="1" applyBorder="1" applyAlignment="1">
      <alignment horizontal="center" vertical="center"/>
    </xf>
    <xf numFmtId="4" fontId="17" fillId="0" borderId="19" xfId="0" applyNumberFormat="1" applyFont="1" applyBorder="1" applyAlignment="1">
      <alignment horizontal="center" vertical="center"/>
    </xf>
    <xf numFmtId="0" fontId="60" fillId="0" borderId="22" xfId="0" applyFont="1" applyBorder="1" applyAlignment="1">
      <alignment horizontal="center" vertical="center"/>
    </xf>
    <xf numFmtId="0" fontId="13" fillId="0" borderId="0" xfId="0" applyFont="1" applyAlignment="1">
      <alignment vertical="center"/>
    </xf>
    <xf numFmtId="2" fontId="17" fillId="0" borderId="20" xfId="0" applyNumberFormat="1" applyFont="1" applyBorder="1" applyAlignment="1">
      <alignment horizontal="center" vertical="center"/>
    </xf>
    <xf numFmtId="0" fontId="60" fillId="0" borderId="45" xfId="0" applyFont="1" applyBorder="1" applyAlignment="1">
      <alignment horizontal="center" vertical="center" wrapText="1"/>
    </xf>
    <xf numFmtId="4" fontId="17" fillId="0" borderId="10" xfId="0" applyNumberFormat="1" applyFont="1" applyFill="1" applyBorder="1"/>
    <xf numFmtId="0" fontId="60" fillId="0" borderId="10" xfId="0" applyFont="1" applyFill="1" applyBorder="1"/>
    <xf numFmtId="4" fontId="60" fillId="0" borderId="10" xfId="0" applyNumberFormat="1" applyFont="1" applyFill="1" applyBorder="1"/>
    <xf numFmtId="2" fontId="60" fillId="0" borderId="10" xfId="0" applyNumberFormat="1" applyFont="1" applyFill="1" applyBorder="1"/>
    <xf numFmtId="2" fontId="61" fillId="0" borderId="10" xfId="0" applyNumberFormat="1" applyFont="1" applyFill="1" applyBorder="1"/>
    <xf numFmtId="0" fontId="60" fillId="0" borderId="20" xfId="0" applyFont="1" applyBorder="1"/>
    <xf numFmtId="0" fontId="60" fillId="0" borderId="23" xfId="0" applyFont="1" applyBorder="1"/>
    <xf numFmtId="0" fontId="60" fillId="0" borderId="45" xfId="0" applyFont="1" applyFill="1" applyBorder="1" applyAlignment="1">
      <alignment horizontal="center" vertical="center" wrapText="1"/>
    </xf>
    <xf numFmtId="0" fontId="60" fillId="0" borderId="11" xfId="0" applyFont="1" applyBorder="1"/>
    <xf numFmtId="0" fontId="60" fillId="0" borderId="11" xfId="0" applyFont="1" applyFill="1" applyBorder="1"/>
    <xf numFmtId="0" fontId="60" fillId="0" borderId="38" xfId="0" applyFont="1" applyBorder="1"/>
    <xf numFmtId="2" fontId="60" fillId="0" borderId="45" xfId="0" applyNumberFormat="1" applyFont="1" applyFill="1" applyBorder="1"/>
    <xf numFmtId="4" fontId="60" fillId="0" borderId="20" xfId="0" applyNumberFormat="1" applyFont="1" applyFill="1" applyBorder="1" applyAlignment="1">
      <alignment horizontal="center" vertical="center"/>
    </xf>
    <xf numFmtId="4" fontId="17" fillId="0" borderId="20" xfId="0" applyNumberFormat="1" applyFont="1" applyFill="1" applyBorder="1" applyAlignment="1">
      <alignment horizontal="center" vertical="center"/>
    </xf>
    <xf numFmtId="0" fontId="0" fillId="28" borderId="0" xfId="0" applyFill="1"/>
    <xf numFmtId="0" fontId="60" fillId="0" borderId="64" xfId="0" applyFont="1" applyFill="1" applyBorder="1" applyAlignment="1">
      <alignment horizontal="center" vertical="center" wrapText="1"/>
    </xf>
    <xf numFmtId="0" fontId="60" fillId="0" borderId="63" xfId="0" applyFont="1" applyFill="1" applyBorder="1" applyAlignment="1">
      <alignment horizontal="center" vertical="center" wrapText="1"/>
    </xf>
    <xf numFmtId="0" fontId="60" fillId="0" borderId="22" xfId="0" applyFont="1" applyBorder="1" applyAlignment="1">
      <alignment horizontal="center" vertical="center" wrapText="1"/>
    </xf>
    <xf numFmtId="0" fontId="17" fillId="0" borderId="28" xfId="0" applyFont="1" applyBorder="1" applyAlignment="1">
      <alignment horizontal="center" vertical="center"/>
    </xf>
    <xf numFmtId="4" fontId="60" fillId="0" borderId="0" xfId="0" applyNumberFormat="1" applyFont="1" applyAlignment="1">
      <alignment horizontal="center" vertical="center"/>
    </xf>
    <xf numFmtId="0" fontId="61" fillId="0" borderId="10" xfId="0" applyFont="1" applyFill="1" applyBorder="1" applyAlignment="1">
      <alignment vertical="center"/>
    </xf>
    <xf numFmtId="0" fontId="60" fillId="0" borderId="0" xfId="0" applyFont="1"/>
    <xf numFmtId="0" fontId="60" fillId="0" borderId="28" xfId="0" applyFont="1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13" fillId="25" borderId="0" xfId="0" applyFont="1" applyFill="1"/>
    <xf numFmtId="0" fontId="12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3" fillId="0" borderId="0" xfId="0" applyFont="1" applyFill="1"/>
    <xf numFmtId="10" fontId="13" fillId="0" borderId="0" xfId="85" applyNumberFormat="1" applyFont="1" applyFill="1"/>
    <xf numFmtId="0" fontId="60" fillId="0" borderId="0" xfId="0" applyFont="1" applyAlignment="1">
      <alignment vertical="center"/>
    </xf>
    <xf numFmtId="0" fontId="60" fillId="0" borderId="10" xfId="0" applyFont="1" applyFill="1" applyBorder="1" applyAlignment="1">
      <alignment vertical="center"/>
    </xf>
    <xf numFmtId="0" fontId="83" fillId="0" borderId="10" xfId="0" applyFont="1" applyFill="1" applyBorder="1" applyAlignment="1">
      <alignment vertical="center"/>
    </xf>
    <xf numFmtId="1" fontId="60" fillId="0" borderId="10" xfId="0" applyNumberFormat="1" applyFont="1" applyBorder="1" applyAlignment="1">
      <alignment horizontal="center" vertical="center"/>
    </xf>
    <xf numFmtId="1" fontId="17" fillId="0" borderId="10" xfId="0" applyNumberFormat="1" applyFont="1" applyBorder="1" applyAlignment="1">
      <alignment horizontal="center" vertical="center"/>
    </xf>
    <xf numFmtId="168" fontId="48" fillId="0" borderId="0" xfId="0" applyNumberFormat="1" applyFont="1" applyBorder="1" applyAlignment="1">
      <alignment horizontal="center" vertical="center"/>
    </xf>
    <xf numFmtId="0" fontId="84" fillId="26" borderId="10" xfId="0" applyFont="1" applyFill="1" applyBorder="1" applyAlignment="1">
      <alignment horizontal="center" vertical="center"/>
    </xf>
    <xf numFmtId="4" fontId="84" fillId="26" borderId="10" xfId="0" applyNumberFormat="1" applyFont="1" applyFill="1" applyBorder="1" applyAlignment="1">
      <alignment horizontal="center" vertical="center"/>
    </xf>
    <xf numFmtId="0" fontId="84" fillId="27" borderId="10" xfId="0" applyFont="1" applyFill="1" applyBorder="1" applyAlignment="1">
      <alignment horizontal="center" vertical="center"/>
    </xf>
    <xf numFmtId="4" fontId="84" fillId="27" borderId="10" xfId="0" applyNumberFormat="1" applyFont="1" applyFill="1" applyBorder="1" applyAlignment="1">
      <alignment horizontal="center" vertical="center"/>
    </xf>
    <xf numFmtId="0" fontId="63" fillId="0" borderId="47" xfId="0" applyFont="1" applyBorder="1" applyAlignment="1">
      <alignment vertical="center"/>
    </xf>
    <xf numFmtId="0" fontId="63" fillId="0" borderId="0" xfId="0" applyFont="1" applyBorder="1" applyAlignment="1">
      <alignment vertical="center"/>
    </xf>
    <xf numFmtId="0" fontId="63" fillId="0" borderId="55" xfId="0" applyFont="1" applyBorder="1" applyAlignment="1">
      <alignment vertical="center"/>
    </xf>
    <xf numFmtId="0" fontId="63" fillId="0" borderId="0" xfId="0" applyFont="1" applyAlignment="1">
      <alignment vertical="center"/>
    </xf>
    <xf numFmtId="2" fontId="84" fillId="26" borderId="11" xfId="0" applyNumberFormat="1" applyFont="1" applyFill="1" applyBorder="1" applyAlignment="1">
      <alignment horizontal="center" vertical="center"/>
    </xf>
    <xf numFmtId="174" fontId="84" fillId="26" borderId="11" xfId="0" applyNumberFormat="1" applyFont="1" applyFill="1" applyBorder="1" applyAlignment="1">
      <alignment horizontal="center" vertical="center"/>
    </xf>
    <xf numFmtId="4" fontId="84" fillId="26" borderId="11" xfId="0" applyNumberFormat="1" applyFont="1" applyFill="1" applyBorder="1" applyAlignment="1">
      <alignment horizontal="center" vertical="center"/>
    </xf>
    <xf numFmtId="4" fontId="85" fillId="26" borderId="11" xfId="0" applyNumberFormat="1" applyFont="1" applyFill="1" applyBorder="1" applyAlignment="1">
      <alignment horizontal="center" vertical="center"/>
    </xf>
    <xf numFmtId="4" fontId="84" fillId="26" borderId="38" xfId="0" applyNumberFormat="1" applyFont="1" applyFill="1" applyBorder="1" applyAlignment="1">
      <alignment horizontal="center" vertical="center"/>
    </xf>
    <xf numFmtId="2" fontId="84" fillId="27" borderId="11" xfId="0" applyNumberFormat="1" applyFont="1" applyFill="1" applyBorder="1" applyAlignment="1">
      <alignment horizontal="center" vertical="center"/>
    </xf>
    <xf numFmtId="168" fontId="84" fillId="27" borderId="11" xfId="0" applyNumberFormat="1" applyFont="1" applyFill="1" applyBorder="1" applyAlignment="1">
      <alignment horizontal="center" vertical="center"/>
    </xf>
    <xf numFmtId="4" fontId="84" fillId="27" borderId="11" xfId="0" applyNumberFormat="1" applyFont="1" applyFill="1" applyBorder="1" applyAlignment="1">
      <alignment horizontal="center" vertical="center"/>
    </xf>
    <xf numFmtId="4" fontId="84" fillId="27" borderId="38" xfId="0" applyNumberFormat="1" applyFont="1" applyFill="1" applyBorder="1" applyAlignment="1">
      <alignment horizontal="center" vertical="center"/>
    </xf>
    <xf numFmtId="4" fontId="85" fillId="27" borderId="11" xfId="0" applyNumberFormat="1" applyFont="1" applyFill="1" applyBorder="1" applyAlignment="1">
      <alignment horizontal="center" vertical="center"/>
    </xf>
    <xf numFmtId="174" fontId="85" fillId="26" borderId="10" xfId="0" applyNumberFormat="1" applyFont="1" applyFill="1" applyBorder="1" applyAlignment="1">
      <alignment horizontal="center" vertical="center"/>
    </xf>
    <xf numFmtId="4" fontId="85" fillId="26" borderId="10" xfId="0" applyNumberFormat="1" applyFont="1" applyFill="1" applyBorder="1" applyAlignment="1">
      <alignment horizontal="center" vertical="center"/>
    </xf>
    <xf numFmtId="4" fontId="84" fillId="26" borderId="20" xfId="0" applyNumberFormat="1" applyFont="1" applyFill="1" applyBorder="1" applyAlignment="1">
      <alignment horizontal="center" vertical="center"/>
    </xf>
    <xf numFmtId="2" fontId="84" fillId="27" borderId="10" xfId="0" applyNumberFormat="1" applyFont="1" applyFill="1" applyBorder="1" applyAlignment="1">
      <alignment horizontal="center" vertical="center"/>
    </xf>
    <xf numFmtId="174" fontId="85" fillId="27" borderId="10" xfId="0" applyNumberFormat="1" applyFont="1" applyFill="1" applyBorder="1" applyAlignment="1">
      <alignment horizontal="center" vertical="center"/>
    </xf>
    <xf numFmtId="4" fontId="84" fillId="27" borderId="20" xfId="0" applyNumberFormat="1" applyFont="1" applyFill="1" applyBorder="1" applyAlignment="1">
      <alignment horizontal="center" vertical="center"/>
    </xf>
    <xf numFmtId="4" fontId="85" fillId="27" borderId="10" xfId="0" applyNumberFormat="1" applyFont="1" applyFill="1" applyBorder="1" applyAlignment="1">
      <alignment horizontal="center" vertical="center"/>
    </xf>
    <xf numFmtId="2" fontId="84" fillId="26" borderId="10" xfId="0" applyNumberFormat="1" applyFont="1" applyFill="1" applyBorder="1" applyAlignment="1">
      <alignment horizontal="center" vertical="center"/>
    </xf>
    <xf numFmtId="174" fontId="84" fillId="26" borderId="10" xfId="0" applyNumberFormat="1" applyFont="1" applyFill="1" applyBorder="1" applyAlignment="1">
      <alignment horizontal="center" vertical="center"/>
    </xf>
    <xf numFmtId="168" fontId="84" fillId="27" borderId="10" xfId="0" applyNumberFormat="1" applyFont="1" applyFill="1" applyBorder="1" applyAlignment="1">
      <alignment horizontal="center" vertical="center"/>
    </xf>
    <xf numFmtId="169" fontId="84" fillId="26" borderId="10" xfId="0" applyNumberFormat="1" applyFont="1" applyFill="1" applyBorder="1" applyAlignment="1">
      <alignment horizontal="center" vertical="center"/>
    </xf>
    <xf numFmtId="168" fontId="84" fillId="26" borderId="10" xfId="0" applyNumberFormat="1" applyFont="1" applyFill="1" applyBorder="1" applyAlignment="1">
      <alignment horizontal="center" vertical="center"/>
    </xf>
    <xf numFmtId="169" fontId="84" fillId="27" borderId="10" xfId="0" applyNumberFormat="1" applyFont="1" applyFill="1" applyBorder="1" applyAlignment="1">
      <alignment horizontal="center" vertical="center"/>
    </xf>
    <xf numFmtId="0" fontId="17" fillId="0" borderId="0" xfId="0" applyFont="1" applyBorder="1" applyAlignment="1">
      <alignment horizontal="center"/>
    </xf>
    <xf numFmtId="0" fontId="17" fillId="0" borderId="0" xfId="0" applyFont="1" applyBorder="1" applyAlignment="1">
      <alignment horizontal="center" vertical="center" wrapText="1"/>
    </xf>
    <xf numFmtId="0" fontId="17" fillId="0" borderId="60" xfId="0" applyFont="1" applyBorder="1" applyAlignment="1">
      <alignment horizontal="center" vertical="center" wrapText="1"/>
    </xf>
    <xf numFmtId="0" fontId="60" fillId="0" borderId="39" xfId="0" applyFont="1" applyBorder="1" applyAlignment="1">
      <alignment horizontal="center" vertical="center" wrapText="1"/>
    </xf>
    <xf numFmtId="0" fontId="60" fillId="0" borderId="23" xfId="0" applyFont="1" applyBorder="1" applyAlignment="1">
      <alignment horizontal="center" vertical="center" wrapText="1"/>
    </xf>
    <xf numFmtId="0" fontId="60" fillId="26" borderId="39" xfId="0" applyFont="1" applyFill="1" applyBorder="1" applyAlignment="1">
      <alignment horizontal="center" vertical="center" wrapText="1"/>
    </xf>
    <xf numFmtId="0" fontId="60" fillId="26" borderId="22" xfId="0" applyFont="1" applyFill="1" applyBorder="1" applyAlignment="1">
      <alignment horizontal="center" vertical="center" wrapText="1"/>
    </xf>
    <xf numFmtId="0" fontId="60" fillId="26" borderId="29" xfId="0" applyFont="1" applyFill="1" applyBorder="1" applyAlignment="1">
      <alignment horizontal="center" vertical="center" wrapText="1"/>
    </xf>
    <xf numFmtId="0" fontId="60" fillId="0" borderId="21" xfId="0" applyFont="1" applyBorder="1" applyAlignment="1">
      <alignment horizontal="center" vertical="center" wrapText="1"/>
    </xf>
    <xf numFmtId="0" fontId="60" fillId="0" borderId="29" xfId="0" applyFont="1" applyBorder="1" applyAlignment="1">
      <alignment horizontal="center" vertical="center" wrapText="1"/>
    </xf>
    <xf numFmtId="0" fontId="60" fillId="24" borderId="63" xfId="0" applyFont="1" applyFill="1" applyBorder="1" applyAlignment="1">
      <alignment horizontal="center" vertical="center" wrapText="1"/>
    </xf>
    <xf numFmtId="0" fontId="60" fillId="24" borderId="45" xfId="0" applyFont="1" applyFill="1" applyBorder="1" applyAlignment="1">
      <alignment horizontal="center" vertical="center" wrapText="1"/>
    </xf>
    <xf numFmtId="0" fontId="60" fillId="24" borderId="64" xfId="0" applyFont="1" applyFill="1" applyBorder="1" applyAlignment="1">
      <alignment horizontal="center" vertical="center" wrapText="1"/>
    </xf>
    <xf numFmtId="0" fontId="60" fillId="24" borderId="65" xfId="0" applyFont="1" applyFill="1" applyBorder="1" applyAlignment="1">
      <alignment horizontal="center" vertical="center" wrapText="1"/>
    </xf>
    <xf numFmtId="0" fontId="60" fillId="0" borderId="62" xfId="0" applyFont="1" applyFill="1" applyBorder="1" applyAlignment="1">
      <alignment horizontal="center" vertical="center" wrapText="1"/>
    </xf>
    <xf numFmtId="0" fontId="60" fillId="0" borderId="37" xfId="0" applyFont="1" applyBorder="1" applyAlignment="1">
      <alignment horizontal="left" vertical="center"/>
    </xf>
    <xf numFmtId="0" fontId="60" fillId="0" borderId="31" xfId="0" applyFont="1" applyBorder="1"/>
    <xf numFmtId="0" fontId="60" fillId="26" borderId="37" xfId="0" applyFont="1" applyFill="1" applyBorder="1"/>
    <xf numFmtId="0" fontId="60" fillId="26" borderId="11" xfId="0" applyFont="1" applyFill="1" applyBorder="1"/>
    <xf numFmtId="0" fontId="60" fillId="26" borderId="35" xfId="0" applyFont="1" applyFill="1" applyBorder="1"/>
    <xf numFmtId="0" fontId="60" fillId="0" borderId="37" xfId="0" applyFont="1" applyBorder="1"/>
    <xf numFmtId="0" fontId="60" fillId="0" borderId="35" xfId="0" applyFont="1" applyFill="1" applyBorder="1"/>
    <xf numFmtId="0" fontId="60" fillId="0" borderId="16" xfId="0" applyFont="1" applyBorder="1"/>
    <xf numFmtId="0" fontId="60" fillId="0" borderId="17" xfId="0" applyFont="1" applyBorder="1"/>
    <xf numFmtId="0" fontId="60" fillId="0" borderId="18" xfId="0" applyFont="1" applyFill="1" applyBorder="1"/>
    <xf numFmtId="0" fontId="60" fillId="0" borderId="36" xfId="0" applyFont="1" applyFill="1" applyBorder="1"/>
    <xf numFmtId="0" fontId="60" fillId="24" borderId="16" xfId="0" applyFont="1" applyFill="1" applyBorder="1" applyAlignment="1">
      <alignment horizontal="center" vertical="center"/>
    </xf>
    <xf numFmtId="0" fontId="60" fillId="24" borderId="17" xfId="0" applyFont="1" applyFill="1" applyBorder="1" applyAlignment="1">
      <alignment horizontal="center" vertical="center"/>
    </xf>
    <xf numFmtId="0" fontId="60" fillId="24" borderId="18" xfId="0" applyFont="1" applyFill="1" applyBorder="1" applyAlignment="1">
      <alignment horizontal="center" vertical="center"/>
    </xf>
    <xf numFmtId="0" fontId="60" fillId="24" borderId="30" xfId="0" applyFont="1" applyFill="1" applyBorder="1" applyAlignment="1">
      <alignment horizontal="center" vertical="center"/>
    </xf>
    <xf numFmtId="0" fontId="60" fillId="0" borderId="16" xfId="0" applyFont="1" applyFill="1" applyBorder="1" applyAlignment="1">
      <alignment horizontal="center" vertical="center"/>
    </xf>
    <xf numFmtId="0" fontId="60" fillId="0" borderId="17" xfId="0" applyFont="1" applyFill="1" applyBorder="1" applyAlignment="1">
      <alignment horizontal="center" vertical="center"/>
    </xf>
    <xf numFmtId="0" fontId="60" fillId="0" borderId="27" xfId="0" applyFont="1" applyFill="1" applyBorder="1" applyAlignment="1">
      <alignment horizontal="center" vertical="center"/>
    </xf>
    <xf numFmtId="0" fontId="60" fillId="0" borderId="18" xfId="0" applyFont="1" applyFill="1" applyBorder="1" applyAlignment="1">
      <alignment horizontal="center" vertical="center"/>
    </xf>
    <xf numFmtId="0" fontId="60" fillId="0" borderId="18" xfId="0" applyFont="1" applyBorder="1"/>
    <xf numFmtId="0" fontId="82" fillId="0" borderId="34" xfId="0" applyFont="1" applyBorder="1"/>
    <xf numFmtId="0" fontId="17" fillId="0" borderId="19" xfId="0" applyFont="1" applyBorder="1" applyAlignment="1">
      <alignment horizontal="left" vertical="center"/>
    </xf>
    <xf numFmtId="0" fontId="17" fillId="0" borderId="20" xfId="0" applyFont="1" applyBorder="1" applyAlignment="1">
      <alignment wrapText="1"/>
    </xf>
    <xf numFmtId="1" fontId="17" fillId="0" borderId="28" xfId="0" applyNumberFormat="1" applyFont="1" applyBorder="1" applyAlignment="1">
      <alignment horizontal="right" vertical="center" indent="1"/>
    </xf>
    <xf numFmtId="3" fontId="17" fillId="0" borderId="10" xfId="0" applyNumberFormat="1" applyFont="1" applyBorder="1" applyAlignment="1">
      <alignment horizontal="right" vertical="center" indent="1"/>
    </xf>
    <xf numFmtId="170" fontId="17" fillId="0" borderId="20" xfId="0" applyNumberFormat="1" applyFont="1" applyBorder="1" applyAlignment="1">
      <alignment horizontal="right" vertical="center"/>
    </xf>
    <xf numFmtId="3" fontId="17" fillId="26" borderId="19" xfId="0" applyNumberFormat="1" applyFont="1" applyFill="1" applyBorder="1" applyAlignment="1">
      <alignment horizontal="right" vertical="center" indent="1"/>
    </xf>
    <xf numFmtId="3" fontId="17" fillId="26" borderId="10" xfId="0" applyNumberFormat="1" applyFont="1" applyFill="1" applyBorder="1" applyAlignment="1">
      <alignment horizontal="right" vertical="center" indent="1"/>
    </xf>
    <xf numFmtId="170" fontId="17" fillId="26" borderId="25" xfId="0" applyNumberFormat="1" applyFont="1" applyFill="1" applyBorder="1" applyAlignment="1">
      <alignment horizontal="right" vertical="center"/>
    </xf>
    <xf numFmtId="1" fontId="17" fillId="0" borderId="19" xfId="0" applyNumberFormat="1" applyFont="1" applyBorder="1" applyAlignment="1">
      <alignment horizontal="right" vertical="center" indent="1"/>
    </xf>
    <xf numFmtId="171" fontId="17" fillId="0" borderId="10" xfId="0" applyNumberFormat="1" applyFont="1" applyBorder="1" applyAlignment="1">
      <alignment horizontal="center" vertical="center" wrapText="1"/>
    </xf>
    <xf numFmtId="170" fontId="17" fillId="0" borderId="25" xfId="0" applyNumberFormat="1" applyFont="1" applyBorder="1" applyAlignment="1">
      <alignment horizontal="right" vertical="center"/>
    </xf>
    <xf numFmtId="170" fontId="17" fillId="0" borderId="26" xfId="0" applyNumberFormat="1" applyFont="1" applyBorder="1" applyAlignment="1">
      <alignment horizontal="center" vertical="center"/>
    </xf>
    <xf numFmtId="3" fontId="17" fillId="0" borderId="10" xfId="0" applyNumberFormat="1" applyFont="1" applyBorder="1" applyAlignment="1">
      <alignment horizontal="center" vertical="center"/>
    </xf>
    <xf numFmtId="0" fontId="17" fillId="0" borderId="19" xfId="0" applyFont="1" applyBorder="1" applyAlignment="1">
      <alignment horizontal="center" vertical="center"/>
    </xf>
    <xf numFmtId="169" fontId="17" fillId="0" borderId="25" xfId="0" applyNumberFormat="1" applyFont="1" applyBorder="1" applyAlignment="1">
      <alignment horizontal="center" vertical="center"/>
    </xf>
    <xf numFmtId="1" fontId="17" fillId="0" borderId="19" xfId="0" applyNumberFormat="1" applyFont="1" applyFill="1" applyBorder="1" applyAlignment="1">
      <alignment horizontal="center" vertical="center"/>
    </xf>
    <xf numFmtId="3" fontId="17" fillId="0" borderId="10" xfId="0" applyNumberFormat="1" applyFont="1" applyFill="1" applyBorder="1" applyAlignment="1">
      <alignment horizontal="right" vertical="center" indent="1"/>
    </xf>
    <xf numFmtId="170" fontId="17" fillId="0" borderId="20" xfId="0" applyNumberFormat="1" applyFont="1" applyFill="1" applyBorder="1" applyAlignment="1">
      <alignment horizontal="right" vertical="center"/>
    </xf>
    <xf numFmtId="3" fontId="17" fillId="0" borderId="25" xfId="0" applyNumberFormat="1" applyFont="1" applyFill="1" applyBorder="1" applyAlignment="1">
      <alignment horizontal="right" vertical="center" indent="1"/>
    </xf>
    <xf numFmtId="1" fontId="17" fillId="0" borderId="19" xfId="0" applyNumberFormat="1" applyFont="1" applyFill="1" applyBorder="1" applyAlignment="1">
      <alignment horizontal="right" vertical="center" indent="1"/>
    </xf>
    <xf numFmtId="170" fontId="17" fillId="0" borderId="10" xfId="0" applyNumberFormat="1" applyFont="1" applyFill="1" applyBorder="1" applyAlignment="1">
      <alignment horizontal="right" vertical="center" indent="1"/>
    </xf>
    <xf numFmtId="170" fontId="17" fillId="0" borderId="10" xfId="0" applyNumberFormat="1" applyFont="1" applyFill="1" applyBorder="1" applyAlignment="1">
      <alignment horizontal="right" vertical="center"/>
    </xf>
    <xf numFmtId="170" fontId="17" fillId="0" borderId="20" xfId="0" applyNumberFormat="1" applyFont="1" applyFill="1" applyBorder="1" applyAlignment="1">
      <alignment horizontal="right" vertical="center" indent="1"/>
    </xf>
    <xf numFmtId="170" fontId="17" fillId="0" borderId="25" xfId="0" applyNumberFormat="1" applyFont="1" applyFill="1" applyBorder="1" applyAlignment="1">
      <alignment horizontal="right" vertical="center" indent="1"/>
    </xf>
    <xf numFmtId="170" fontId="17" fillId="0" borderId="25" xfId="0" applyNumberFormat="1" applyFont="1" applyFill="1" applyBorder="1" applyAlignment="1">
      <alignment horizontal="right" vertical="center"/>
    </xf>
    <xf numFmtId="166" fontId="82" fillId="0" borderId="12" xfId="0" applyNumberFormat="1" applyFont="1" applyBorder="1"/>
    <xf numFmtId="0" fontId="60" fillId="0" borderId="19" xfId="0" applyFont="1" applyBorder="1" applyAlignment="1">
      <alignment horizontal="left" vertical="center"/>
    </xf>
    <xf numFmtId="1" fontId="60" fillId="0" borderId="28" xfId="0" applyNumberFormat="1" applyFont="1" applyBorder="1" applyAlignment="1">
      <alignment horizontal="right" vertical="center" indent="1"/>
    </xf>
    <xf numFmtId="3" fontId="60" fillId="0" borderId="10" xfId="0" applyNumberFormat="1" applyFont="1" applyBorder="1" applyAlignment="1">
      <alignment horizontal="right" vertical="center" indent="1"/>
    </xf>
    <xf numFmtId="170" fontId="60" fillId="0" borderId="20" xfId="0" applyNumberFormat="1" applyFont="1" applyBorder="1" applyAlignment="1">
      <alignment horizontal="right" vertical="center"/>
    </xf>
    <xf numFmtId="3" fontId="60" fillId="26" borderId="19" xfId="0" applyNumberFormat="1" applyFont="1" applyFill="1" applyBorder="1" applyAlignment="1">
      <alignment horizontal="right" vertical="center" indent="1"/>
    </xf>
    <xf numFmtId="3" fontId="60" fillId="26" borderId="10" xfId="0" applyNumberFormat="1" applyFont="1" applyFill="1" applyBorder="1" applyAlignment="1">
      <alignment horizontal="right" vertical="center" indent="1"/>
    </xf>
    <xf numFmtId="170" fontId="60" fillId="26" borderId="25" xfId="0" applyNumberFormat="1" applyFont="1" applyFill="1" applyBorder="1" applyAlignment="1">
      <alignment horizontal="right" vertical="center"/>
    </xf>
    <xf numFmtId="1" fontId="60" fillId="0" borderId="19" xfId="0" applyNumberFormat="1" applyFont="1" applyBorder="1" applyAlignment="1">
      <alignment horizontal="right" vertical="center" indent="1"/>
    </xf>
    <xf numFmtId="170" fontId="60" fillId="0" borderId="25" xfId="0" applyNumberFormat="1" applyFont="1" applyBorder="1" applyAlignment="1">
      <alignment horizontal="right" vertical="center"/>
    </xf>
    <xf numFmtId="1" fontId="60" fillId="0" borderId="26" xfId="0" applyNumberFormat="1" applyFont="1" applyBorder="1" applyAlignment="1">
      <alignment horizontal="center" vertical="center"/>
    </xf>
    <xf numFmtId="170" fontId="60" fillId="0" borderId="26" xfId="0" applyNumberFormat="1" applyFont="1" applyBorder="1" applyAlignment="1">
      <alignment horizontal="right" vertical="center"/>
    </xf>
    <xf numFmtId="1" fontId="60" fillId="0" borderId="10" xfId="0" applyNumberFormat="1" applyFont="1" applyFill="1" applyBorder="1" applyAlignment="1">
      <alignment horizontal="center" vertical="center"/>
    </xf>
    <xf numFmtId="169" fontId="60" fillId="0" borderId="25" xfId="0" applyNumberFormat="1" applyFont="1" applyBorder="1" applyAlignment="1">
      <alignment horizontal="center" vertical="center"/>
    </xf>
    <xf numFmtId="0" fontId="60" fillId="0" borderId="19" xfId="0" applyFont="1" applyFill="1" applyBorder="1" applyAlignment="1">
      <alignment horizontal="center" vertical="center"/>
    </xf>
    <xf numFmtId="170" fontId="60" fillId="0" borderId="20" xfId="0" applyNumberFormat="1" applyFont="1" applyFill="1" applyBorder="1" applyAlignment="1">
      <alignment horizontal="right" vertical="center"/>
    </xf>
    <xf numFmtId="3" fontId="60" fillId="0" borderId="25" xfId="0" applyNumberFormat="1" applyFont="1" applyFill="1" applyBorder="1" applyAlignment="1">
      <alignment horizontal="right" vertical="center" indent="1"/>
    </xf>
    <xf numFmtId="170" fontId="60" fillId="0" borderId="10" xfId="0" applyNumberFormat="1" applyFont="1" applyFill="1" applyBorder="1" applyAlignment="1">
      <alignment horizontal="right" vertical="center" indent="1"/>
    </xf>
    <xf numFmtId="170" fontId="60" fillId="0" borderId="10" xfId="0" applyNumberFormat="1" applyFont="1" applyFill="1" applyBorder="1" applyAlignment="1">
      <alignment horizontal="right" vertical="center"/>
    </xf>
    <xf numFmtId="170" fontId="60" fillId="0" borderId="20" xfId="0" applyNumberFormat="1" applyFont="1" applyFill="1" applyBorder="1" applyAlignment="1">
      <alignment horizontal="right" vertical="center" indent="1"/>
    </xf>
    <xf numFmtId="3" fontId="60" fillId="0" borderId="10" xfId="0" applyNumberFormat="1" applyFont="1" applyFill="1" applyBorder="1" applyAlignment="1">
      <alignment horizontal="center" vertical="center"/>
    </xf>
    <xf numFmtId="170" fontId="60" fillId="0" borderId="25" xfId="0" applyNumberFormat="1" applyFont="1" applyFill="1" applyBorder="1" applyAlignment="1">
      <alignment horizontal="right" vertical="center" indent="1"/>
    </xf>
    <xf numFmtId="170" fontId="60" fillId="0" borderId="25" xfId="0" applyNumberFormat="1" applyFont="1" applyFill="1" applyBorder="1" applyAlignment="1">
      <alignment horizontal="right" vertical="center"/>
    </xf>
    <xf numFmtId="169" fontId="60" fillId="0" borderId="19" xfId="0" applyNumberFormat="1" applyFont="1" applyBorder="1" applyAlignment="1">
      <alignment horizontal="right" vertical="center" indent="1"/>
    </xf>
    <xf numFmtId="3" fontId="60" fillId="0" borderId="26" xfId="0" applyNumberFormat="1" applyFont="1" applyBorder="1" applyAlignment="1">
      <alignment horizontal="center" vertical="center"/>
    </xf>
    <xf numFmtId="3" fontId="60" fillId="0" borderId="10" xfId="0" applyNumberFormat="1" applyFont="1" applyBorder="1" applyAlignment="1">
      <alignment horizontal="center" vertical="center"/>
    </xf>
    <xf numFmtId="170" fontId="60" fillId="0" borderId="10" xfId="0" applyNumberFormat="1" applyFont="1" applyBorder="1" applyAlignment="1">
      <alignment horizontal="right" vertical="center"/>
    </xf>
    <xf numFmtId="1" fontId="60" fillId="0" borderId="11" xfId="0" applyNumberFormat="1" applyFont="1" applyFill="1" applyBorder="1" applyAlignment="1">
      <alignment horizontal="center" vertical="center"/>
    </xf>
    <xf numFmtId="1" fontId="86" fillId="0" borderId="19" xfId="0" applyNumberFormat="1" applyFont="1" applyFill="1" applyBorder="1" applyAlignment="1">
      <alignment horizontal="center" vertical="center"/>
    </xf>
    <xf numFmtId="3" fontId="86" fillId="0" borderId="10" xfId="0" applyNumberFormat="1" applyFont="1" applyFill="1" applyBorder="1" applyAlignment="1">
      <alignment horizontal="right" vertical="center" indent="1"/>
    </xf>
    <xf numFmtId="170" fontId="86" fillId="0" borderId="20" xfId="0" applyNumberFormat="1" applyFont="1" applyFill="1" applyBorder="1" applyAlignment="1">
      <alignment horizontal="right" vertical="center"/>
    </xf>
    <xf numFmtId="0" fontId="60" fillId="0" borderId="20" xfId="0" applyFont="1" applyBorder="1" applyAlignment="1">
      <alignment wrapText="1"/>
    </xf>
    <xf numFmtId="0" fontId="60" fillId="0" borderId="21" xfId="0" applyFont="1" applyBorder="1" applyAlignment="1">
      <alignment horizontal="left" vertical="center"/>
    </xf>
    <xf numFmtId="1" fontId="60" fillId="0" borderId="39" xfId="0" applyNumberFormat="1" applyFont="1" applyBorder="1" applyAlignment="1">
      <alignment horizontal="right" vertical="center" indent="1"/>
    </xf>
    <xf numFmtId="3" fontId="60" fillId="0" borderId="22" xfId="0" applyNumberFormat="1" applyFont="1" applyBorder="1" applyAlignment="1">
      <alignment horizontal="right" vertical="center" indent="1"/>
    </xf>
    <xf numFmtId="170" fontId="60" fillId="0" borderId="23" xfId="0" applyNumberFormat="1" applyFont="1" applyBorder="1" applyAlignment="1">
      <alignment horizontal="right" vertical="center"/>
    </xf>
    <xf numFmtId="3" fontId="60" fillId="26" borderId="21" xfId="0" applyNumberFormat="1" applyFont="1" applyFill="1" applyBorder="1" applyAlignment="1">
      <alignment horizontal="right" vertical="center" indent="1"/>
    </xf>
    <xf numFmtId="3" fontId="60" fillId="26" borderId="22" xfId="0" applyNumberFormat="1" applyFont="1" applyFill="1" applyBorder="1" applyAlignment="1">
      <alignment horizontal="right" vertical="center" indent="1"/>
    </xf>
    <xf numFmtId="170" fontId="60" fillId="26" borderId="29" xfId="0" applyNumberFormat="1" applyFont="1" applyFill="1" applyBorder="1" applyAlignment="1">
      <alignment horizontal="right" vertical="center"/>
    </xf>
    <xf numFmtId="1" fontId="60" fillId="0" borderId="21" xfId="0" applyNumberFormat="1" applyFont="1" applyBorder="1" applyAlignment="1">
      <alignment horizontal="right" vertical="center" indent="1"/>
    </xf>
    <xf numFmtId="171" fontId="17" fillId="0" borderId="22" xfId="0" applyNumberFormat="1" applyFont="1" applyBorder="1" applyAlignment="1">
      <alignment horizontal="center" vertical="center" wrapText="1"/>
    </xf>
    <xf numFmtId="170" fontId="60" fillId="0" borderId="29" xfId="0" applyNumberFormat="1" applyFont="1" applyBorder="1" applyAlignment="1">
      <alignment horizontal="right" vertical="center"/>
    </xf>
    <xf numFmtId="3" fontId="60" fillId="0" borderId="84" xfId="0" applyNumberFormat="1" applyFont="1" applyBorder="1" applyAlignment="1">
      <alignment horizontal="center" vertical="center"/>
    </xf>
    <xf numFmtId="3" fontId="60" fillId="0" borderId="22" xfId="0" applyNumberFormat="1" applyFont="1" applyBorder="1" applyAlignment="1">
      <alignment horizontal="center" vertical="center"/>
    </xf>
    <xf numFmtId="170" fontId="60" fillId="0" borderId="84" xfId="0" applyNumberFormat="1" applyFont="1" applyBorder="1" applyAlignment="1">
      <alignment horizontal="right" vertical="center"/>
    </xf>
    <xf numFmtId="0" fontId="60" fillId="0" borderId="21" xfId="0" applyFont="1" applyBorder="1" applyAlignment="1">
      <alignment horizontal="center" vertical="center"/>
    </xf>
    <xf numFmtId="169" fontId="60" fillId="0" borderId="23" xfId="0" applyNumberFormat="1" applyFont="1" applyBorder="1" applyAlignment="1">
      <alignment horizontal="center" vertical="center"/>
    </xf>
    <xf numFmtId="0" fontId="60" fillId="0" borderId="39" xfId="0" applyFont="1" applyBorder="1" applyAlignment="1">
      <alignment horizontal="center" vertical="center"/>
    </xf>
    <xf numFmtId="1" fontId="60" fillId="0" borderId="22" xfId="0" applyNumberFormat="1" applyFont="1" applyFill="1" applyBorder="1" applyAlignment="1">
      <alignment horizontal="center" vertical="center"/>
    </xf>
    <xf numFmtId="169" fontId="60" fillId="0" borderId="29" xfId="0" applyNumberFormat="1" applyFont="1" applyBorder="1" applyAlignment="1">
      <alignment horizontal="center" vertical="center"/>
    </xf>
    <xf numFmtId="0" fontId="60" fillId="0" borderId="21" xfId="0" applyFont="1" applyFill="1" applyBorder="1" applyAlignment="1">
      <alignment horizontal="center" vertical="center"/>
    </xf>
    <xf numFmtId="170" fontId="60" fillId="0" borderId="23" xfId="0" applyNumberFormat="1" applyFont="1" applyFill="1" applyBorder="1" applyAlignment="1">
      <alignment horizontal="right" vertical="center"/>
    </xf>
    <xf numFmtId="3" fontId="60" fillId="0" borderId="29" xfId="0" applyNumberFormat="1" applyFont="1" applyFill="1" applyBorder="1" applyAlignment="1">
      <alignment horizontal="right" vertical="center" indent="1"/>
    </xf>
    <xf numFmtId="3" fontId="60" fillId="0" borderId="22" xfId="0" applyNumberFormat="1" applyFont="1" applyFill="1" applyBorder="1" applyAlignment="1">
      <alignment horizontal="center" vertical="center"/>
    </xf>
    <xf numFmtId="170" fontId="17" fillId="0" borderId="29" xfId="0" applyNumberFormat="1" applyFont="1" applyFill="1" applyBorder="1" applyAlignment="1">
      <alignment horizontal="right" vertical="center" indent="1"/>
    </xf>
    <xf numFmtId="170" fontId="60" fillId="0" borderId="29" xfId="0" applyNumberFormat="1" applyFont="1" applyFill="1" applyBorder="1" applyAlignment="1">
      <alignment horizontal="right" vertical="center" indent="1"/>
    </xf>
    <xf numFmtId="170" fontId="60" fillId="0" borderId="29" xfId="0" applyNumberFormat="1" applyFont="1" applyFill="1" applyBorder="1" applyAlignment="1">
      <alignment horizontal="right" vertical="center"/>
    </xf>
    <xf numFmtId="0" fontId="60" fillId="0" borderId="23" xfId="0" applyFont="1" applyFill="1" applyBorder="1" applyAlignment="1">
      <alignment horizontal="center" vertical="center" wrapText="1"/>
    </xf>
    <xf numFmtId="0" fontId="60" fillId="0" borderId="0" xfId="0" applyFont="1" applyFill="1" applyBorder="1" applyAlignment="1">
      <alignment vertical="center"/>
    </xf>
    <xf numFmtId="0" fontId="60" fillId="0" borderId="38" xfId="0" applyFont="1" applyFill="1" applyBorder="1" applyAlignment="1">
      <alignment vertical="center"/>
    </xf>
    <xf numFmtId="0" fontId="60" fillId="0" borderId="11" xfId="0" applyFont="1" applyFill="1" applyBorder="1" applyAlignment="1">
      <alignment vertical="center"/>
    </xf>
    <xf numFmtId="165" fontId="61" fillId="0" borderId="11" xfId="89" applyFont="1" applyFill="1" applyBorder="1" applyAlignment="1">
      <alignment vertical="center"/>
    </xf>
    <xf numFmtId="165" fontId="60" fillId="0" borderId="11" xfId="89" applyFont="1" applyFill="1" applyBorder="1" applyAlignment="1">
      <alignment vertical="center"/>
    </xf>
    <xf numFmtId="0" fontId="60" fillId="0" borderId="21" xfId="0" applyFont="1" applyFill="1" applyBorder="1" applyAlignment="1">
      <alignment vertical="center"/>
    </xf>
    <xf numFmtId="0" fontId="60" fillId="0" borderId="23" xfId="0" applyFont="1" applyFill="1" applyBorder="1" applyAlignment="1">
      <alignment vertical="center"/>
    </xf>
    <xf numFmtId="0" fontId="60" fillId="0" borderId="47" xfId="0" applyFont="1" applyFill="1" applyBorder="1" applyAlignment="1">
      <alignment vertical="center"/>
    </xf>
    <xf numFmtId="0" fontId="16" fillId="0" borderId="0" xfId="79" applyFont="1" applyFill="1" applyAlignment="1">
      <alignment horizontal="center"/>
    </xf>
    <xf numFmtId="0" fontId="48" fillId="0" borderId="61" xfId="79" applyFont="1" applyFill="1" applyBorder="1" applyAlignment="1">
      <alignment vertical="center" wrapText="1"/>
    </xf>
    <xf numFmtId="170" fontId="48" fillId="0" borderId="11" xfId="79" applyNumberFormat="1" applyFont="1" applyFill="1" applyBorder="1" applyAlignment="1">
      <alignment horizontal="center" vertical="center"/>
    </xf>
    <xf numFmtId="169" fontId="49" fillId="0" borderId="10" xfId="79" applyNumberFormat="1" applyFont="1" applyFill="1" applyBorder="1" applyAlignment="1">
      <alignment horizontal="center" vertical="center"/>
    </xf>
    <xf numFmtId="2" fontId="48" fillId="0" borderId="11" xfId="79" applyNumberFormat="1" applyFont="1" applyFill="1" applyBorder="1" applyAlignment="1">
      <alignment horizontal="center" vertical="center"/>
    </xf>
    <xf numFmtId="170" fontId="49" fillId="0" borderId="10" xfId="79" applyNumberFormat="1" applyFont="1" applyFill="1" applyBorder="1" applyAlignment="1">
      <alignment horizontal="center" vertical="center"/>
    </xf>
    <xf numFmtId="170" fontId="51" fillId="0" borderId="10" xfId="79" applyNumberFormat="1" applyFont="1" applyFill="1" applyBorder="1" applyAlignment="1">
      <alignment horizontal="center" vertical="center"/>
    </xf>
    <xf numFmtId="0" fontId="48" fillId="0" borderId="62" xfId="79" applyFont="1" applyFill="1" applyBorder="1" applyAlignment="1">
      <alignment vertical="center"/>
    </xf>
    <xf numFmtId="0" fontId="48" fillId="0" borderId="35" xfId="79" applyFont="1" applyFill="1" applyBorder="1" applyAlignment="1">
      <alignment vertical="center"/>
    </xf>
    <xf numFmtId="0" fontId="48" fillId="0" borderId="11" xfId="79" applyFont="1" applyFill="1" applyBorder="1" applyAlignment="1">
      <alignment vertical="center"/>
    </xf>
    <xf numFmtId="2" fontId="51" fillId="0" borderId="10" xfId="79" applyNumberFormat="1" applyFont="1" applyFill="1" applyBorder="1" applyAlignment="1">
      <alignment horizontal="center" vertical="center"/>
    </xf>
    <xf numFmtId="169" fontId="51" fillId="0" borderId="10" xfId="79" applyNumberFormat="1" applyFont="1" applyFill="1" applyBorder="1" applyAlignment="1">
      <alignment horizontal="center" vertical="center"/>
    </xf>
    <xf numFmtId="9" fontId="48" fillId="0" borderId="10" xfId="85" applyFont="1" applyFill="1" applyBorder="1" applyAlignment="1">
      <alignment horizontal="center" vertical="center"/>
    </xf>
    <xf numFmtId="2" fontId="48" fillId="0" borderId="10" xfId="79" applyNumberFormat="1" applyFont="1" applyFill="1" applyBorder="1" applyAlignment="1">
      <alignment horizontal="center" vertical="center"/>
    </xf>
    <xf numFmtId="0" fontId="51" fillId="0" borderId="10" xfId="79" applyFont="1" applyFill="1" applyBorder="1" applyAlignment="1">
      <alignment horizontal="center" vertical="center"/>
    </xf>
    <xf numFmtId="0" fontId="10" fillId="0" borderId="0" xfId="79" applyFont="1" applyFill="1"/>
    <xf numFmtId="0" fontId="0" fillId="0" borderId="0" xfId="0" applyFill="1"/>
    <xf numFmtId="0" fontId="88" fillId="0" borderId="0" xfId="0" applyFont="1"/>
    <xf numFmtId="0" fontId="88" fillId="0" borderId="0" xfId="0" applyFont="1" applyFill="1" applyBorder="1"/>
    <xf numFmtId="168" fontId="88" fillId="0" borderId="0" xfId="0" applyNumberFormat="1" applyFont="1"/>
    <xf numFmtId="169" fontId="13" fillId="0" borderId="0" xfId="0" applyNumberFormat="1" applyFont="1" applyBorder="1"/>
    <xf numFmtId="0" fontId="12" fillId="0" borderId="0" xfId="0" applyFont="1" applyBorder="1"/>
    <xf numFmtId="169" fontId="12" fillId="0" borderId="0" xfId="0" applyNumberFormat="1" applyFont="1" applyBorder="1"/>
    <xf numFmtId="168" fontId="13" fillId="0" borderId="0" xfId="0" applyNumberFormat="1" applyFont="1" applyBorder="1"/>
    <xf numFmtId="169" fontId="88" fillId="0" borderId="0" xfId="0" applyNumberFormat="1" applyFont="1"/>
    <xf numFmtId="177" fontId="88" fillId="0" borderId="0" xfId="0" applyNumberFormat="1" applyFont="1"/>
    <xf numFmtId="0" fontId="88" fillId="0" borderId="0" xfId="0" applyFont="1" applyAlignment="1">
      <alignment horizontal="left"/>
    </xf>
    <xf numFmtId="4" fontId="88" fillId="0" borderId="0" xfId="0" applyNumberFormat="1" applyFont="1"/>
    <xf numFmtId="170" fontId="88" fillId="0" borderId="0" xfId="0" applyNumberFormat="1" applyFont="1"/>
    <xf numFmtId="0" fontId="17" fillId="0" borderId="10" xfId="0" applyFont="1" applyFill="1" applyBorder="1" applyAlignment="1">
      <alignment vertical="center" wrapText="1"/>
    </xf>
    <xf numFmtId="0" fontId="17" fillId="0" borderId="10" xfId="0" applyFont="1" applyFill="1" applyBorder="1" applyAlignment="1">
      <alignment vertical="center"/>
    </xf>
    <xf numFmtId="0" fontId="60" fillId="29" borderId="10" xfId="0" applyFont="1" applyFill="1" applyBorder="1" applyAlignment="1">
      <alignment horizontal="center" wrapText="1"/>
    </xf>
    <xf numFmtId="4" fontId="60" fillId="29" borderId="10" xfId="0" applyNumberFormat="1" applyFont="1" applyFill="1" applyBorder="1"/>
    <xf numFmtId="2" fontId="60" fillId="0" borderId="10" xfId="0" applyNumberFormat="1" applyFont="1" applyBorder="1"/>
    <xf numFmtId="2" fontId="60" fillId="29" borderId="10" xfId="0" applyNumberFormat="1" applyFont="1" applyFill="1" applyBorder="1"/>
    <xf numFmtId="4" fontId="17" fillId="29" borderId="10" xfId="0" applyNumberFormat="1" applyFont="1" applyFill="1" applyBorder="1"/>
    <xf numFmtId="2" fontId="60" fillId="0" borderId="22" xfId="0" applyNumberFormat="1" applyFont="1" applyBorder="1" applyAlignment="1">
      <alignment horizontal="center" vertical="center"/>
    </xf>
    <xf numFmtId="0" fontId="17" fillId="0" borderId="10" xfId="0" applyFont="1" applyFill="1" applyBorder="1" applyAlignment="1">
      <alignment horizontal="left" vertical="center"/>
    </xf>
    <xf numFmtId="0" fontId="0" fillId="29" borderId="0" xfId="0" applyFont="1" applyFill="1"/>
    <xf numFmtId="4" fontId="61" fillId="29" borderId="10" xfId="0" applyNumberFormat="1" applyFont="1" applyFill="1" applyBorder="1"/>
    <xf numFmtId="2" fontId="60" fillId="30" borderId="0" xfId="0" applyNumberFormat="1" applyFont="1" applyFill="1"/>
    <xf numFmtId="4" fontId="17" fillId="29" borderId="25" xfId="0" applyNumberFormat="1" applyFont="1" applyFill="1" applyBorder="1"/>
    <xf numFmtId="4" fontId="60" fillId="29" borderId="25" xfId="0" applyNumberFormat="1" applyFont="1" applyFill="1" applyBorder="1"/>
    <xf numFmtId="2" fontId="17" fillId="29" borderId="10" xfId="0" applyNumberFormat="1" applyFont="1" applyFill="1" applyBorder="1"/>
    <xf numFmtId="0" fontId="50" fillId="29" borderId="0" xfId="0" applyFont="1" applyFill="1"/>
    <xf numFmtId="2" fontId="61" fillId="29" borderId="10" xfId="0" applyNumberFormat="1" applyFont="1" applyFill="1" applyBorder="1"/>
    <xf numFmtId="2" fontId="61" fillId="0" borderId="10" xfId="0" applyNumberFormat="1" applyFont="1" applyBorder="1"/>
    <xf numFmtId="2" fontId="61" fillId="30" borderId="0" xfId="0" applyNumberFormat="1" applyFont="1" applyFill="1"/>
    <xf numFmtId="0" fontId="61" fillId="0" borderId="45" xfId="0" applyFont="1" applyFill="1" applyBorder="1" applyAlignment="1">
      <alignment vertical="center"/>
    </xf>
    <xf numFmtId="4" fontId="60" fillId="29" borderId="62" xfId="0" applyNumberFormat="1" applyFont="1" applyFill="1" applyBorder="1"/>
    <xf numFmtId="2" fontId="60" fillId="29" borderId="45" xfId="0" applyNumberFormat="1" applyFont="1" applyFill="1" applyBorder="1"/>
    <xf numFmtId="2" fontId="60" fillId="0" borderId="45" xfId="0" applyNumberFormat="1" applyFont="1" applyBorder="1"/>
    <xf numFmtId="0" fontId="0" fillId="29" borderId="10" xfId="0" applyFont="1" applyFill="1" applyBorder="1"/>
    <xf numFmtId="4" fontId="17" fillId="29" borderId="10" xfId="0" applyNumberFormat="1" applyFont="1" applyFill="1" applyBorder="1" applyAlignment="1">
      <alignment vertical="center"/>
    </xf>
    <xf numFmtId="4" fontId="17" fillId="0" borderId="10" xfId="0" applyNumberFormat="1" applyFont="1" applyFill="1" applyBorder="1" applyAlignment="1">
      <alignment vertical="center"/>
    </xf>
    <xf numFmtId="0" fontId="0" fillId="0" borderId="0" xfId="0" applyFont="1"/>
    <xf numFmtId="2" fontId="7" fillId="0" borderId="0" xfId="0" applyNumberFormat="1" applyFont="1"/>
    <xf numFmtId="10" fontId="7" fillId="0" borderId="0" xfId="0" applyNumberFormat="1" applyFont="1"/>
    <xf numFmtId="9" fontId="7" fillId="0" borderId="0" xfId="0" applyNumberFormat="1" applyFont="1"/>
    <xf numFmtId="0" fontId="60" fillId="0" borderId="85" xfId="0" applyFont="1" applyFill="1" applyBorder="1"/>
    <xf numFmtId="0" fontId="17" fillId="0" borderId="85" xfId="0" applyFont="1" applyFill="1" applyBorder="1"/>
    <xf numFmtId="0" fontId="17" fillId="0" borderId="85" xfId="0" applyFont="1" applyFill="1" applyBorder="1" applyAlignment="1">
      <alignment horizontal="center"/>
    </xf>
    <xf numFmtId="10" fontId="60" fillId="0" borderId="85" xfId="0" applyNumberFormat="1" applyFont="1" applyFill="1" applyBorder="1"/>
    <xf numFmtId="10" fontId="17" fillId="0" borderId="85" xfId="0" applyNumberFormat="1" applyFont="1" applyFill="1" applyBorder="1"/>
    <xf numFmtId="0" fontId="17" fillId="0" borderId="85" xfId="0" applyFont="1" applyFill="1" applyBorder="1" applyAlignment="1">
      <alignment horizontal="center"/>
    </xf>
    <xf numFmtId="176" fontId="60" fillId="0" borderId="85" xfId="0" applyNumberFormat="1" applyFont="1" applyFill="1" applyBorder="1"/>
    <xf numFmtId="0" fontId="60" fillId="0" borderId="85" xfId="0" applyFont="1" applyFill="1" applyBorder="1" applyAlignment="1">
      <alignment vertical="center"/>
    </xf>
    <xf numFmtId="4" fontId="13" fillId="0" borderId="0" xfId="0" applyNumberFormat="1" applyFont="1" applyFill="1"/>
    <xf numFmtId="4" fontId="0" fillId="0" borderId="0" xfId="0" applyNumberFormat="1" applyFill="1"/>
    <xf numFmtId="0" fontId="60" fillId="0" borderId="92" xfId="0" applyFont="1" applyFill="1" applyBorder="1" applyAlignment="1">
      <alignment vertical="center"/>
    </xf>
    <xf numFmtId="0" fontId="0" fillId="0" borderId="92" xfId="0" applyBorder="1"/>
    <xf numFmtId="4" fontId="60" fillId="29" borderId="92" xfId="0" applyNumberFormat="1" applyFont="1" applyFill="1" applyBorder="1"/>
    <xf numFmtId="4" fontId="60" fillId="29" borderId="93" xfId="0" applyNumberFormat="1" applyFont="1" applyFill="1" applyBorder="1"/>
    <xf numFmtId="0" fontId="13" fillId="0" borderId="61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13" fillId="0" borderId="11" xfId="0" applyFont="1" applyBorder="1" applyAlignment="1">
      <alignment horizontal="center" vertical="center" wrapText="1"/>
    </xf>
    <xf numFmtId="0" fontId="0" fillId="0" borderId="22" xfId="0" applyBorder="1" applyAlignment="1">
      <alignment horizontal="center" wrapText="1"/>
    </xf>
    <xf numFmtId="0" fontId="21" fillId="0" borderId="52" xfId="0" applyFont="1" applyBorder="1" applyAlignment="1">
      <alignment horizontal="center" wrapText="1"/>
    </xf>
    <xf numFmtId="0" fontId="21" fillId="0" borderId="53" xfId="0" applyFont="1" applyBorder="1" applyAlignment="1">
      <alignment horizontal="center" wrapText="1"/>
    </xf>
    <xf numFmtId="0" fontId="21" fillId="0" borderId="50" xfId="0" applyFont="1" applyBorder="1" applyAlignment="1">
      <alignment horizontal="center" wrapText="1"/>
    </xf>
    <xf numFmtId="0" fontId="21" fillId="0" borderId="56" xfId="0" applyFont="1" applyBorder="1" applyAlignment="1">
      <alignment horizontal="center" wrapText="1"/>
    </xf>
    <xf numFmtId="0" fontId="21" fillId="0" borderId="33" xfId="0" applyFont="1" applyBorder="1" applyAlignment="1">
      <alignment horizontal="center" wrapText="1"/>
    </xf>
    <xf numFmtId="171" fontId="49" fillId="0" borderId="92" xfId="85" applyNumberFormat="1" applyFont="1" applyFill="1" applyBorder="1" applyAlignment="1">
      <alignment horizontal="center" vertical="center"/>
    </xf>
    <xf numFmtId="170" fontId="48" fillId="0" borderId="92" xfId="79" applyNumberFormat="1" applyFont="1" applyFill="1" applyBorder="1" applyAlignment="1">
      <alignment horizontal="center" vertical="center"/>
    </xf>
    <xf numFmtId="0" fontId="48" fillId="0" borderId="92" xfId="79" applyFont="1" applyFill="1" applyBorder="1" applyAlignment="1">
      <alignment horizontal="center" vertical="center"/>
    </xf>
    <xf numFmtId="170" fontId="49" fillId="0" borderId="92" xfId="79" applyNumberFormat="1" applyFont="1" applyFill="1" applyBorder="1" applyAlignment="1">
      <alignment horizontal="center" vertical="center"/>
    </xf>
    <xf numFmtId="169" fontId="48" fillId="0" borderId="92" xfId="79" applyNumberFormat="1" applyFont="1" applyFill="1" applyBorder="1" applyAlignment="1">
      <alignment horizontal="center" vertical="center"/>
    </xf>
    <xf numFmtId="169" fontId="48" fillId="0" borderId="35" xfId="79" applyNumberFormat="1" applyFont="1" applyFill="1" applyBorder="1" applyAlignment="1">
      <alignment horizontal="center" vertical="center"/>
    </xf>
    <xf numFmtId="169" fontId="48" fillId="0" borderId="93" xfId="79" applyNumberFormat="1" applyFont="1" applyFill="1" applyBorder="1" applyAlignment="1">
      <alignment horizontal="center" vertical="center"/>
    </xf>
    <xf numFmtId="170" fontId="48" fillId="0" borderId="93" xfId="79" applyNumberFormat="1" applyFont="1" applyFill="1" applyBorder="1" applyAlignment="1">
      <alignment horizontal="center" vertical="center"/>
    </xf>
    <xf numFmtId="171" fontId="48" fillId="0" borderId="93" xfId="85" applyNumberFormat="1" applyFont="1" applyFill="1" applyBorder="1" applyAlignment="1">
      <alignment horizontal="center" vertical="center"/>
    </xf>
    <xf numFmtId="170" fontId="51" fillId="0" borderId="93" xfId="79" applyNumberFormat="1" applyFont="1" applyFill="1" applyBorder="1" applyAlignment="1">
      <alignment horizontal="center" vertical="center"/>
    </xf>
    <xf numFmtId="169" fontId="48" fillId="0" borderId="91" xfId="79" applyNumberFormat="1" applyFont="1" applyFill="1" applyBorder="1" applyAlignment="1">
      <alignment horizontal="center" vertical="center"/>
    </xf>
    <xf numFmtId="170" fontId="48" fillId="0" borderId="91" xfId="79" applyNumberFormat="1" applyFont="1" applyFill="1" applyBorder="1" applyAlignment="1">
      <alignment horizontal="center" vertical="center"/>
    </xf>
    <xf numFmtId="171" fontId="49" fillId="0" borderId="91" xfId="85" applyNumberFormat="1" applyFont="1" applyFill="1" applyBorder="1" applyAlignment="1">
      <alignment horizontal="center" vertical="center"/>
    </xf>
    <xf numFmtId="0" fontId="48" fillId="0" borderId="37" xfId="79" applyFont="1" applyFill="1" applyBorder="1" applyAlignment="1">
      <alignment horizontal="center" vertical="center"/>
    </xf>
    <xf numFmtId="169" fontId="48" fillId="0" borderId="19" xfId="79" applyNumberFormat="1" applyFont="1" applyFill="1" applyBorder="1" applyAlignment="1">
      <alignment horizontal="center" vertical="center"/>
    </xf>
    <xf numFmtId="170" fontId="48" fillId="0" borderId="19" xfId="79" applyNumberFormat="1" applyFont="1" applyFill="1" applyBorder="1" applyAlignment="1">
      <alignment horizontal="center" vertical="center"/>
    </xf>
    <xf numFmtId="171" fontId="49" fillId="0" borderId="19" xfId="85" applyNumberFormat="1" applyFont="1" applyFill="1" applyBorder="1" applyAlignment="1">
      <alignment horizontal="center" vertical="center"/>
    </xf>
    <xf numFmtId="170" fontId="51" fillId="0" borderId="22" xfId="79" applyNumberFormat="1" applyFont="1" applyFill="1" applyBorder="1" applyAlignment="1">
      <alignment horizontal="center" vertical="center"/>
    </xf>
    <xf numFmtId="171" fontId="49" fillId="0" borderId="20" xfId="85" applyNumberFormat="1" applyFont="1" applyFill="1" applyBorder="1" applyAlignment="1">
      <alignment horizontal="center" vertical="center"/>
    </xf>
    <xf numFmtId="170" fontId="48" fillId="0" borderId="20" xfId="79" applyNumberFormat="1" applyFont="1" applyFill="1" applyBorder="1" applyAlignment="1">
      <alignment horizontal="center" vertical="center"/>
    </xf>
    <xf numFmtId="0" fontId="48" fillId="0" borderId="91" xfId="79" applyFont="1" applyFill="1" applyBorder="1" applyAlignment="1">
      <alignment horizontal="center" vertical="center"/>
    </xf>
    <xf numFmtId="0" fontId="48" fillId="0" borderId="19" xfId="79" applyFont="1" applyFill="1" applyBorder="1" applyAlignment="1">
      <alignment horizontal="center" vertical="center"/>
    </xf>
    <xf numFmtId="0" fontId="48" fillId="0" borderId="20" xfId="79" applyFont="1" applyFill="1" applyBorder="1" applyAlignment="1">
      <alignment horizontal="center" vertical="center"/>
    </xf>
    <xf numFmtId="4" fontId="48" fillId="0" borderId="20" xfId="79" applyNumberFormat="1" applyFont="1" applyFill="1" applyBorder="1" applyAlignment="1">
      <alignment horizontal="center" vertical="center"/>
    </xf>
    <xf numFmtId="0" fontId="48" fillId="0" borderId="93" xfId="79" applyFont="1" applyFill="1" applyBorder="1" applyAlignment="1">
      <alignment horizontal="center" vertical="center"/>
    </xf>
    <xf numFmtId="0" fontId="48" fillId="0" borderId="20" xfId="79" applyFont="1" applyFill="1" applyBorder="1" applyAlignment="1">
      <alignment horizontal="center" vertical="center" wrapText="1"/>
    </xf>
    <xf numFmtId="9" fontId="48" fillId="0" borderId="92" xfId="85" applyFont="1" applyFill="1" applyBorder="1" applyAlignment="1">
      <alignment horizontal="center" vertical="center"/>
    </xf>
    <xf numFmtId="2" fontId="51" fillId="0" borderId="91" xfId="79" applyNumberFormat="1" applyFont="1" applyFill="1" applyBorder="1" applyAlignment="1">
      <alignment horizontal="center" vertical="center"/>
    </xf>
    <xf numFmtId="2" fontId="48" fillId="0" borderId="91" xfId="79" applyNumberFormat="1" applyFont="1" applyFill="1" applyBorder="1" applyAlignment="1">
      <alignment horizontal="center" vertical="center"/>
    </xf>
    <xf numFmtId="169" fontId="51" fillId="0" borderId="91" xfId="79" applyNumberFormat="1" applyFont="1" applyFill="1" applyBorder="1" applyAlignment="1">
      <alignment horizontal="center" vertical="center"/>
    </xf>
    <xf numFmtId="170" fontId="51" fillId="0" borderId="87" xfId="79" applyNumberFormat="1" applyFont="1" applyFill="1" applyBorder="1" applyAlignment="1">
      <alignment horizontal="center" vertical="center"/>
    </xf>
    <xf numFmtId="170" fontId="49" fillId="0" borderId="87" xfId="79" applyNumberFormat="1" applyFont="1" applyFill="1" applyBorder="1" applyAlignment="1">
      <alignment horizontal="center" vertical="center"/>
    </xf>
    <xf numFmtId="170" fontId="51" fillId="0" borderId="62" xfId="79" applyNumberFormat="1" applyFont="1" applyFill="1" applyBorder="1" applyAlignment="1">
      <alignment horizontal="center" vertical="center"/>
    </xf>
    <xf numFmtId="170" fontId="51" fillId="0" borderId="86" xfId="79" applyNumberFormat="1" applyFont="1" applyFill="1" applyBorder="1" applyAlignment="1">
      <alignment horizontal="center" vertical="center"/>
    </xf>
    <xf numFmtId="171" fontId="52" fillId="0" borderId="87" xfId="85" applyNumberFormat="1" applyFont="1" applyFill="1" applyBorder="1" applyAlignment="1">
      <alignment horizontal="center" vertical="center"/>
    </xf>
    <xf numFmtId="170" fontId="51" fillId="0" borderId="65" xfId="79" applyNumberFormat="1" applyFont="1" applyFill="1" applyBorder="1" applyAlignment="1">
      <alignment horizontal="center" vertical="center"/>
    </xf>
    <xf numFmtId="10" fontId="48" fillId="0" borderId="92" xfId="79" applyNumberFormat="1" applyFont="1" applyFill="1" applyBorder="1" applyAlignment="1">
      <alignment horizontal="center" vertical="center"/>
    </xf>
    <xf numFmtId="0" fontId="48" fillId="0" borderId="12" xfId="79" applyFont="1" applyFill="1" applyBorder="1" applyAlignment="1">
      <alignment vertical="center"/>
    </xf>
    <xf numFmtId="4" fontId="13" fillId="0" borderId="92" xfId="79" applyNumberFormat="1" applyFont="1" applyFill="1" applyBorder="1" applyAlignment="1">
      <alignment horizontal="center" vertical="center"/>
    </xf>
    <xf numFmtId="4" fontId="13" fillId="0" borderId="11" xfId="79" applyNumberFormat="1" applyFont="1" applyFill="1" applyBorder="1" applyAlignment="1">
      <alignment horizontal="center" vertical="center"/>
    </xf>
    <xf numFmtId="4" fontId="13" fillId="0" borderId="38" xfId="79" applyNumberFormat="1" applyFont="1" applyFill="1" applyBorder="1" applyAlignment="1">
      <alignment horizontal="center" vertical="center"/>
    </xf>
    <xf numFmtId="4" fontId="13" fillId="0" borderId="20" xfId="79" applyNumberFormat="1" applyFont="1" applyFill="1" applyBorder="1" applyAlignment="1">
      <alignment horizontal="center" vertical="center"/>
    </xf>
    <xf numFmtId="0" fontId="49" fillId="0" borderId="12" xfId="79" applyFont="1" applyFill="1" applyBorder="1" applyAlignment="1">
      <alignment vertical="center"/>
    </xf>
    <xf numFmtId="0" fontId="49" fillId="0" borderId="91" xfId="79" applyFont="1" applyFill="1" applyBorder="1" applyAlignment="1">
      <alignment horizontal="center" vertical="center"/>
    </xf>
    <xf numFmtId="0" fontId="49" fillId="0" borderId="10" xfId="79" applyFont="1" applyFill="1" applyBorder="1" applyAlignment="1">
      <alignment horizontal="center" vertical="center"/>
    </xf>
    <xf numFmtId="10" fontId="13" fillId="0" borderId="92" xfId="85" applyNumberFormat="1" applyFont="1" applyFill="1" applyBorder="1" applyAlignment="1">
      <alignment horizontal="center" vertical="center"/>
    </xf>
    <xf numFmtId="171" fontId="13" fillId="0" borderId="92" xfId="85" applyNumberFormat="1" applyFont="1" applyFill="1" applyBorder="1" applyAlignment="1">
      <alignment horizontal="center" vertical="center"/>
    </xf>
    <xf numFmtId="0" fontId="48" fillId="0" borderId="12" xfId="79" applyFont="1" applyFill="1" applyBorder="1" applyAlignment="1">
      <alignment vertical="center" wrapText="1"/>
    </xf>
    <xf numFmtId="169" fontId="49" fillId="0" borderId="92" xfId="79" applyNumberFormat="1" applyFont="1" applyFill="1" applyBorder="1" applyAlignment="1">
      <alignment horizontal="center" vertical="center"/>
    </xf>
    <xf numFmtId="0" fontId="51" fillId="0" borderId="14" xfId="79" applyFont="1" applyFill="1" applyBorder="1" applyAlignment="1">
      <alignment vertical="center"/>
    </xf>
    <xf numFmtId="0" fontId="51" fillId="0" borderId="65" xfId="79" applyFont="1" applyFill="1" applyBorder="1" applyAlignment="1">
      <alignment horizontal="center" vertical="center"/>
    </xf>
    <xf numFmtId="0" fontId="51" fillId="0" borderId="87" xfId="79" applyFont="1" applyFill="1" applyBorder="1" applyAlignment="1">
      <alignment horizontal="center" vertical="center"/>
    </xf>
    <xf numFmtId="169" fontId="49" fillId="0" borderId="87" xfId="79" applyNumberFormat="1" applyFont="1" applyFill="1" applyBorder="1" applyAlignment="1">
      <alignment horizontal="center" vertical="center"/>
    </xf>
    <xf numFmtId="4" fontId="12" fillId="0" borderId="87" xfId="79" applyNumberFormat="1" applyFont="1" applyFill="1" applyBorder="1" applyAlignment="1">
      <alignment horizontal="center" vertical="center"/>
    </xf>
    <xf numFmtId="4" fontId="12" fillId="0" borderId="88" xfId="79" applyNumberFormat="1" applyFont="1" applyFill="1" applyBorder="1" applyAlignment="1">
      <alignment horizontal="center" vertical="center"/>
    </xf>
    <xf numFmtId="0" fontId="10" fillId="0" borderId="0" xfId="79" applyFont="1" applyFill="1" applyAlignment="1">
      <alignment vertical="center"/>
    </xf>
    <xf numFmtId="1" fontId="48" fillId="0" borderId="19" xfId="79" applyNumberFormat="1" applyFont="1" applyFill="1" applyBorder="1" applyAlignment="1">
      <alignment horizontal="center" vertical="center"/>
    </xf>
    <xf numFmtId="9" fontId="48" fillId="0" borderId="92" xfId="85" applyNumberFormat="1" applyFont="1" applyFill="1" applyBorder="1" applyAlignment="1">
      <alignment horizontal="center" vertical="center"/>
    </xf>
    <xf numFmtId="10" fontId="48" fillId="0" borderId="92" xfId="85" applyNumberFormat="1" applyFont="1" applyFill="1" applyBorder="1" applyAlignment="1">
      <alignment horizontal="center" vertical="center"/>
    </xf>
    <xf numFmtId="171" fontId="48" fillId="0" borderId="19" xfId="79" applyNumberFormat="1" applyFont="1" applyFill="1" applyBorder="1" applyAlignment="1">
      <alignment horizontal="center" vertical="center"/>
    </xf>
    <xf numFmtId="171" fontId="48" fillId="0" borderId="92" xfId="85" applyNumberFormat="1" applyFont="1" applyFill="1" applyBorder="1" applyAlignment="1">
      <alignment horizontal="center" vertical="center"/>
    </xf>
    <xf numFmtId="9" fontId="48" fillId="0" borderId="10" xfId="85" applyNumberFormat="1" applyFont="1" applyFill="1" applyBorder="1" applyAlignment="1">
      <alignment horizontal="center" vertical="center"/>
    </xf>
    <xf numFmtId="0" fontId="51" fillId="0" borderId="12" xfId="79" applyFont="1" applyFill="1" applyBorder="1" applyAlignment="1">
      <alignment vertical="center"/>
    </xf>
    <xf numFmtId="9" fontId="51" fillId="0" borderId="10" xfId="85" applyFont="1" applyFill="1" applyBorder="1" applyAlignment="1">
      <alignment horizontal="center" vertical="center"/>
    </xf>
    <xf numFmtId="170" fontId="48" fillId="0" borderId="10" xfId="79" applyNumberFormat="1" applyFont="1" applyFill="1" applyBorder="1" applyAlignment="1">
      <alignment vertical="center"/>
    </xf>
    <xf numFmtId="0" fontId="48" fillId="0" borderId="93" xfId="79" applyFont="1" applyFill="1" applyBorder="1" applyAlignment="1">
      <alignment vertical="center"/>
    </xf>
    <xf numFmtId="0" fontId="48" fillId="0" borderId="19" xfId="79" applyFont="1" applyFill="1" applyBorder="1" applyAlignment="1">
      <alignment vertical="center"/>
    </xf>
    <xf numFmtId="0" fontId="48" fillId="0" borderId="92" xfId="79" applyFont="1" applyFill="1" applyBorder="1" applyAlignment="1">
      <alignment vertical="center"/>
    </xf>
    <xf numFmtId="0" fontId="51" fillId="0" borderId="15" xfId="79" applyFont="1" applyFill="1" applyBorder="1" applyAlignment="1">
      <alignment vertical="center"/>
    </xf>
    <xf numFmtId="0" fontId="51" fillId="0" borderId="21" xfId="79" applyFont="1" applyFill="1" applyBorder="1" applyAlignment="1">
      <alignment vertical="center"/>
    </xf>
    <xf numFmtId="170" fontId="51" fillId="0" borderId="29" xfId="79" applyNumberFormat="1" applyFont="1" applyFill="1" applyBorder="1" applyAlignment="1">
      <alignment horizontal="center" vertical="center"/>
    </xf>
    <xf numFmtId="170" fontId="51" fillId="0" borderId="23" xfId="79" applyNumberFormat="1" applyFont="1" applyFill="1" applyBorder="1" applyAlignment="1">
      <alignment horizontal="center" vertical="center"/>
    </xf>
    <xf numFmtId="0" fontId="51" fillId="0" borderId="21" xfId="79" applyFont="1" applyFill="1" applyBorder="1" applyAlignment="1">
      <alignment horizontal="center" vertical="center"/>
    </xf>
    <xf numFmtId="10" fontId="51" fillId="0" borderId="22" xfId="79" applyNumberFormat="1" applyFont="1" applyFill="1" applyBorder="1" applyAlignment="1">
      <alignment horizontal="center" vertical="center"/>
    </xf>
    <xf numFmtId="4" fontId="51" fillId="0" borderId="23" xfId="79" applyNumberFormat="1" applyFont="1" applyFill="1" applyBorder="1" applyAlignment="1">
      <alignment horizontal="center" vertical="center"/>
    </xf>
    <xf numFmtId="0" fontId="10" fillId="0" borderId="0" xfId="79" applyFont="1" applyFill="1" applyAlignment="1">
      <alignment horizontal="center" vertical="center"/>
    </xf>
    <xf numFmtId="0" fontId="7" fillId="0" borderId="0" xfId="79" applyFill="1" applyAlignment="1">
      <alignment vertical="center"/>
    </xf>
    <xf numFmtId="10" fontId="48" fillId="0" borderId="19" xfId="79" applyNumberFormat="1" applyFont="1" applyFill="1" applyBorder="1" applyAlignment="1">
      <alignment horizontal="center" vertical="center"/>
    </xf>
    <xf numFmtId="10" fontId="51" fillId="0" borderId="21" xfId="79" applyNumberFormat="1" applyFont="1" applyFill="1" applyBorder="1" applyAlignment="1">
      <alignment horizontal="center" vertical="center"/>
    </xf>
    <xf numFmtId="2" fontId="48" fillId="0" borderId="37" xfId="79" applyNumberFormat="1" applyFont="1" applyFill="1" applyBorder="1" applyAlignment="1">
      <alignment horizontal="center" vertical="center"/>
    </xf>
    <xf numFmtId="0" fontId="13" fillId="0" borderId="87" xfId="0" applyFont="1" applyBorder="1" applyAlignment="1">
      <alignment horizontal="center" vertical="center" wrapText="1"/>
    </xf>
    <xf numFmtId="169" fontId="13" fillId="0" borderId="92" xfId="0" applyNumberFormat="1" applyFont="1" applyBorder="1" applyAlignment="1">
      <alignment horizontal="center"/>
    </xf>
    <xf numFmtId="169" fontId="13" fillId="0" borderId="92" xfId="0" applyNumberFormat="1" applyFont="1" applyBorder="1" applyAlignment="1">
      <alignment horizontal="center" vertical="center"/>
    </xf>
    <xf numFmtId="0" fontId="13" fillId="0" borderId="92" xfId="0" applyFont="1" applyBorder="1" applyAlignment="1">
      <alignment horizontal="center"/>
    </xf>
    <xf numFmtId="0" fontId="0" fillId="0" borderId="90" xfId="0" applyBorder="1" applyAlignment="1"/>
    <xf numFmtId="169" fontId="14" fillId="0" borderId="92" xfId="0" applyNumberFormat="1" applyFont="1" applyBorder="1" applyAlignment="1">
      <alignment horizontal="center"/>
    </xf>
    <xf numFmtId="0" fontId="0" fillId="0" borderId="91" xfId="0" applyBorder="1" applyAlignment="1">
      <alignment horizontal="center"/>
    </xf>
    <xf numFmtId="0" fontId="82" fillId="0" borderId="91" xfId="0" applyFont="1" applyBorder="1" applyAlignment="1">
      <alignment vertical="center"/>
    </xf>
    <xf numFmtId="0" fontId="61" fillId="0" borderId="91" xfId="0" applyFont="1" applyBorder="1" applyAlignment="1">
      <alignment vertical="center"/>
    </xf>
    <xf numFmtId="0" fontId="17" fillId="0" borderId="13" xfId="0" applyFont="1" applyBorder="1" applyAlignment="1">
      <alignment vertical="center" wrapText="1"/>
    </xf>
    <xf numFmtId="0" fontId="60" fillId="0" borderId="12" xfId="0" applyFont="1" applyBorder="1" applyAlignment="1">
      <alignment vertical="center" wrapText="1"/>
    </xf>
    <xf numFmtId="0" fontId="61" fillId="0" borderId="12" xfId="0" applyFont="1" applyBorder="1" applyAlignment="1">
      <alignment vertical="center" wrapText="1"/>
    </xf>
    <xf numFmtId="0" fontId="17" fillId="0" borderId="12" xfId="0" applyFont="1" applyBorder="1" applyAlignment="1">
      <alignment vertical="center" wrapText="1"/>
    </xf>
    <xf numFmtId="0" fontId="60" fillId="0" borderId="15" xfId="0" applyFont="1" applyBorder="1" applyAlignment="1">
      <alignment vertical="center" wrapText="1"/>
    </xf>
    <xf numFmtId="0" fontId="17" fillId="0" borderId="34" xfId="0" applyFont="1" applyBorder="1" applyAlignment="1">
      <alignment vertical="center" wrapText="1"/>
    </xf>
    <xf numFmtId="0" fontId="82" fillId="0" borderId="93" xfId="0" applyFont="1" applyBorder="1" applyAlignment="1">
      <alignment vertical="center"/>
    </xf>
    <xf numFmtId="4" fontId="17" fillId="0" borderId="16" xfId="0" applyNumberFormat="1" applyFont="1" applyBorder="1" applyAlignment="1">
      <alignment horizontal="right" vertical="center"/>
    </xf>
    <xf numFmtId="4" fontId="17" fillId="0" borderId="17" xfId="0" applyNumberFormat="1" applyFont="1" applyBorder="1" applyAlignment="1">
      <alignment horizontal="right" vertical="center"/>
    </xf>
    <xf numFmtId="10" fontId="61" fillId="0" borderId="92" xfId="85" applyNumberFormat="1" applyFont="1" applyBorder="1" applyAlignment="1">
      <alignment horizontal="right" vertical="center"/>
    </xf>
    <xf numFmtId="0" fontId="60" fillId="0" borderId="30" xfId="0" applyFont="1" applyFill="1" applyBorder="1" applyAlignment="1">
      <alignment horizontal="center" wrapText="1"/>
    </xf>
    <xf numFmtId="0" fontId="60" fillId="0" borderId="17" xfId="0" applyFont="1" applyFill="1" applyBorder="1" applyAlignment="1">
      <alignment horizontal="center" wrapText="1"/>
    </xf>
    <xf numFmtId="0" fontId="60" fillId="0" borderId="27" xfId="0" applyFont="1" applyFill="1" applyBorder="1" applyAlignment="1">
      <alignment horizontal="center" wrapText="1"/>
    </xf>
    <xf numFmtId="4" fontId="60" fillId="0" borderId="18" xfId="0" applyNumberFormat="1" applyFont="1" applyBorder="1" applyAlignment="1">
      <alignment horizontal="right" vertical="center"/>
    </xf>
    <xf numFmtId="0" fontId="56" fillId="0" borderId="19" xfId="0" applyFont="1" applyBorder="1" applyAlignment="1">
      <alignment vertical="center"/>
    </xf>
    <xf numFmtId="4" fontId="56" fillId="0" borderId="92" xfId="0" applyNumberFormat="1" applyFont="1" applyBorder="1" applyAlignment="1">
      <alignment vertical="center" wrapText="1"/>
    </xf>
    <xf numFmtId="0" fontId="56" fillId="0" borderId="92" xfId="0" applyFont="1" applyBorder="1" applyAlignment="1">
      <alignment vertical="center"/>
    </xf>
    <xf numFmtId="0" fontId="56" fillId="0" borderId="20" xfId="0" applyFont="1" applyBorder="1" applyAlignment="1">
      <alignment vertical="center"/>
    </xf>
    <xf numFmtId="0" fontId="56" fillId="0" borderId="92" xfId="0" applyFont="1" applyBorder="1" applyAlignment="1">
      <alignment vertical="center" wrapText="1"/>
    </xf>
    <xf numFmtId="4" fontId="56" fillId="0" borderId="20" xfId="0" applyNumberFormat="1" applyFont="1" applyBorder="1" applyAlignment="1">
      <alignment vertical="center"/>
    </xf>
    <xf numFmtId="0" fontId="0" fillId="0" borderId="19" xfId="0" applyBorder="1" applyAlignment="1">
      <alignment vertical="center"/>
    </xf>
    <xf numFmtId="4" fontId="0" fillId="0" borderId="92" xfId="0" applyNumberFormat="1" applyBorder="1" applyAlignment="1">
      <alignment vertical="center" wrapText="1"/>
    </xf>
    <xf numFmtId="0" fontId="0" fillId="0" borderId="92" xfId="0" applyBorder="1" applyAlignment="1">
      <alignment vertical="center" wrapText="1"/>
    </xf>
    <xf numFmtId="4" fontId="0" fillId="0" borderId="20" xfId="0" applyNumberFormat="1" applyBorder="1" applyAlignment="1">
      <alignment vertical="center" wrapText="1"/>
    </xf>
    <xf numFmtId="0" fontId="8" fillId="0" borderId="21" xfId="0" applyFont="1" applyBorder="1" applyAlignment="1">
      <alignment vertical="center"/>
    </xf>
    <xf numFmtId="0" fontId="8" fillId="0" borderId="22" xfId="0" applyFont="1" applyBorder="1" applyAlignment="1">
      <alignment vertical="center" wrapText="1"/>
    </xf>
    <xf numFmtId="4" fontId="8" fillId="0" borderId="23" xfId="0" applyNumberFormat="1" applyFont="1" applyBorder="1" applyAlignment="1">
      <alignment vertical="center" wrapText="1"/>
    </xf>
    <xf numFmtId="0" fontId="0" fillId="0" borderId="16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0" fillId="0" borderId="18" xfId="0" applyFont="1" applyBorder="1" applyAlignment="1">
      <alignment horizontal="center" vertical="center" wrapText="1"/>
    </xf>
    <xf numFmtId="4" fontId="0" fillId="0" borderId="19" xfId="0" applyNumberFormat="1" applyBorder="1" applyAlignment="1">
      <alignment vertical="center" wrapText="1"/>
    </xf>
    <xf numFmtId="0" fontId="0" fillId="0" borderId="19" xfId="0" applyBorder="1" applyAlignment="1">
      <alignment vertical="center" wrapText="1"/>
    </xf>
    <xf numFmtId="0" fontId="8" fillId="0" borderId="21" xfId="0" applyFont="1" applyBorder="1" applyAlignment="1">
      <alignment vertical="center" wrapText="1"/>
    </xf>
    <xf numFmtId="0" fontId="56" fillId="0" borderId="16" xfId="0" applyFont="1" applyBorder="1" applyAlignment="1">
      <alignment horizontal="center" vertical="center" wrapText="1"/>
    </xf>
    <xf numFmtId="0" fontId="56" fillId="0" borderId="17" xfId="0" applyFont="1" applyBorder="1" applyAlignment="1">
      <alignment horizontal="center" vertical="center" wrapText="1"/>
    </xf>
    <xf numFmtId="0" fontId="56" fillId="0" borderId="18" xfId="0" applyFont="1" applyBorder="1" applyAlignment="1">
      <alignment horizontal="center" vertical="center" wrapText="1"/>
    </xf>
    <xf numFmtId="4" fontId="56" fillId="0" borderId="19" xfId="0" applyNumberFormat="1" applyFont="1" applyBorder="1" applyAlignment="1">
      <alignment vertical="center"/>
    </xf>
    <xf numFmtId="0" fontId="94" fillId="0" borderId="21" xfId="0" applyFont="1" applyBorder="1" applyAlignment="1">
      <alignment vertical="center"/>
    </xf>
    <xf numFmtId="0" fontId="94" fillId="0" borderId="22" xfId="0" applyFont="1" applyBorder="1" applyAlignment="1">
      <alignment vertical="center"/>
    </xf>
    <xf numFmtId="4" fontId="94" fillId="0" borderId="23" xfId="0" applyNumberFormat="1" applyFont="1" applyBorder="1" applyAlignment="1">
      <alignment vertical="center"/>
    </xf>
    <xf numFmtId="0" fontId="94" fillId="0" borderId="22" xfId="0" applyFont="1" applyBorder="1" applyAlignment="1">
      <alignment vertical="center" wrapText="1"/>
    </xf>
    <xf numFmtId="0" fontId="60" fillId="0" borderId="19" xfId="0" applyFont="1" applyBorder="1" applyAlignment="1">
      <alignment horizontal="center" vertical="center"/>
    </xf>
    <xf numFmtId="0" fontId="0" fillId="0" borderId="33" xfId="0" applyBorder="1"/>
    <xf numFmtId="0" fontId="21" fillId="0" borderId="57" xfId="0" applyFont="1" applyBorder="1" applyAlignment="1">
      <alignment horizontal="center" vertical="top" wrapText="1"/>
    </xf>
    <xf numFmtId="0" fontId="21" fillId="0" borderId="33" xfId="0" applyFont="1" applyBorder="1" applyAlignment="1">
      <alignment horizontal="center" vertical="top" wrapText="1"/>
    </xf>
    <xf numFmtId="0" fontId="21" fillId="0" borderId="0" xfId="0" applyFont="1" applyAlignment="1">
      <alignment vertical="top" wrapText="1"/>
    </xf>
    <xf numFmtId="0" fontId="0" fillId="0" borderId="55" xfId="0" applyBorder="1"/>
    <xf numFmtId="0" fontId="0" fillId="0" borderId="56" xfId="0" applyBorder="1"/>
    <xf numFmtId="0" fontId="21" fillId="0" borderId="55" xfId="0" applyFont="1" applyBorder="1" applyAlignment="1">
      <alignment horizontal="right" vertical="top" wrapText="1"/>
    </xf>
    <xf numFmtId="0" fontId="21" fillId="0" borderId="55" xfId="0" applyFont="1" applyBorder="1" applyAlignment="1">
      <alignment vertical="top" wrapText="1"/>
    </xf>
    <xf numFmtId="0" fontId="60" fillId="0" borderId="54" xfId="0" applyFont="1" applyBorder="1"/>
    <xf numFmtId="0" fontId="0" fillId="0" borderId="60" xfId="0" applyBorder="1"/>
    <xf numFmtId="0" fontId="19" fillId="0" borderId="54" xfId="0" applyFont="1" applyBorder="1" applyAlignment="1">
      <alignment horizontal="center"/>
    </xf>
    <xf numFmtId="0" fontId="17" fillId="0" borderId="54" xfId="0" applyFont="1" applyBorder="1" applyAlignment="1">
      <alignment horizontal="center"/>
    </xf>
    <xf numFmtId="0" fontId="14" fillId="0" borderId="0" xfId="0" applyFont="1" applyBorder="1" applyAlignment="1"/>
    <xf numFmtId="0" fontId="0" fillId="0" borderId="0" xfId="0" applyBorder="1" applyAlignment="1"/>
    <xf numFmtId="0" fontId="0" fillId="0" borderId="60" xfId="0" applyBorder="1" applyAlignment="1"/>
    <xf numFmtId="0" fontId="79" fillId="0" borderId="54" xfId="0" applyFont="1" applyBorder="1"/>
    <xf numFmtId="0" fontId="21" fillId="0" borderId="0" xfId="0" applyFont="1" applyBorder="1" applyAlignment="1">
      <alignment horizontal="right" vertical="top" wrapText="1"/>
    </xf>
    <xf numFmtId="0" fontId="13" fillId="0" borderId="54" xfId="0" applyFont="1" applyBorder="1"/>
    <xf numFmtId="0" fontId="0" fillId="0" borderId="54" xfId="0" applyBorder="1"/>
    <xf numFmtId="0" fontId="0" fillId="0" borderId="48" xfId="0" applyBorder="1" applyAlignment="1">
      <alignment horizontal="center"/>
    </xf>
    <xf numFmtId="0" fontId="0" fillId="0" borderId="60" xfId="0" applyBorder="1" applyAlignment="1">
      <alignment horizontal="center"/>
    </xf>
    <xf numFmtId="0" fontId="60" fillId="0" borderId="54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15" fillId="0" borderId="54" xfId="0" applyFont="1" applyBorder="1" applyAlignment="1">
      <alignment horizontal="center" vertical="top" wrapText="1"/>
    </xf>
    <xf numFmtId="0" fontId="15" fillId="0" borderId="0" xfId="0" applyFont="1" applyBorder="1" applyAlignment="1">
      <alignment horizontal="center" vertical="top" wrapText="1"/>
    </xf>
    <xf numFmtId="0" fontId="13" fillId="0" borderId="60" xfId="0" applyFont="1" applyBorder="1" applyAlignment="1">
      <alignment wrapText="1"/>
    </xf>
    <xf numFmtId="0" fontId="13" fillId="0" borderId="33" xfId="0" applyFont="1" applyBorder="1" applyAlignment="1">
      <alignment wrapText="1"/>
    </xf>
    <xf numFmtId="0" fontId="21" fillId="0" borderId="0" xfId="0" applyFont="1" applyBorder="1" applyAlignment="1">
      <alignment vertical="top" wrapText="1"/>
    </xf>
    <xf numFmtId="0" fontId="11" fillId="0" borderId="0" xfId="0" applyFont="1"/>
    <xf numFmtId="0" fontId="11" fillId="28" borderId="0" xfId="0" applyFont="1" applyFill="1"/>
    <xf numFmtId="0" fontId="15" fillId="0" borderId="54" xfId="0" applyFont="1" applyBorder="1" applyAlignment="1">
      <alignment vertical="top" wrapText="1"/>
    </xf>
    <xf numFmtId="0" fontId="17" fillId="0" borderId="54" xfId="0" applyFont="1" applyBorder="1"/>
    <xf numFmtId="0" fontId="23" fillId="0" borderId="54" xfId="0" applyFont="1" applyBorder="1"/>
    <xf numFmtId="0" fontId="8" fillId="28" borderId="0" xfId="0" applyFont="1" applyFill="1"/>
    <xf numFmtId="0" fontId="12" fillId="0" borderId="92" xfId="0" applyFont="1" applyBorder="1" applyAlignment="1">
      <alignment horizontal="center"/>
    </xf>
    <xf numFmtId="169" fontId="12" fillId="0" borderId="92" xfId="0" applyNumberFormat="1" applyFont="1" applyBorder="1" applyAlignment="1">
      <alignment horizontal="center"/>
    </xf>
    <xf numFmtId="4" fontId="60" fillId="0" borderId="92" xfId="0" applyNumberFormat="1" applyFont="1" applyBorder="1" applyAlignment="1">
      <alignment horizontal="center" vertical="center"/>
    </xf>
    <xf numFmtId="0" fontId="13" fillId="0" borderId="92" xfId="0" applyFont="1" applyBorder="1" applyAlignment="1">
      <alignment horizontal="center" vertical="center" wrapText="1"/>
    </xf>
    <xf numFmtId="171" fontId="60" fillId="0" borderId="92" xfId="85" applyNumberFormat="1" applyFont="1" applyBorder="1" applyAlignment="1">
      <alignment horizontal="center" vertical="center"/>
    </xf>
    <xf numFmtId="171" fontId="17" fillId="0" borderId="92" xfId="85" applyNumberFormat="1" applyFont="1" applyBorder="1" applyAlignment="1">
      <alignment horizontal="center" vertical="center"/>
    </xf>
    <xf numFmtId="4" fontId="60" fillId="0" borderId="19" xfId="0" applyNumberFormat="1" applyFont="1" applyBorder="1" applyAlignment="1">
      <alignment horizontal="center" vertical="center"/>
    </xf>
    <xf numFmtId="169" fontId="61" fillId="0" borderId="92" xfId="0" applyNumberFormat="1" applyFont="1" applyBorder="1" applyAlignment="1">
      <alignment horizontal="center" vertical="center"/>
    </xf>
    <xf numFmtId="4" fontId="17" fillId="0" borderId="92" xfId="0" applyNumberFormat="1" applyFont="1" applyBorder="1" applyAlignment="1">
      <alignment horizontal="center" vertical="center"/>
    </xf>
    <xf numFmtId="0" fontId="61" fillId="0" borderId="92" xfId="0" applyFont="1" applyBorder="1" applyAlignment="1">
      <alignment horizontal="center" vertical="center"/>
    </xf>
    <xf numFmtId="0" fontId="60" fillId="0" borderId="12" xfId="0" applyFont="1" applyBorder="1" applyAlignment="1">
      <alignment vertical="center"/>
    </xf>
    <xf numFmtId="0" fontId="17" fillId="0" borderId="12" xfId="0" applyFont="1" applyBorder="1" applyAlignment="1">
      <alignment vertical="center"/>
    </xf>
    <xf numFmtId="0" fontId="17" fillId="0" borderId="14" xfId="0" applyFont="1" applyBorder="1" applyAlignment="1">
      <alignment vertical="center"/>
    </xf>
    <xf numFmtId="4" fontId="17" fillId="0" borderId="86" xfId="0" applyNumberFormat="1" applyFont="1" applyBorder="1" applyAlignment="1">
      <alignment horizontal="center" vertical="center"/>
    </xf>
    <xf numFmtId="169" fontId="61" fillId="0" borderId="87" xfId="0" applyNumberFormat="1" applyFont="1" applyBorder="1" applyAlignment="1">
      <alignment horizontal="center" vertical="center"/>
    </xf>
    <xf numFmtId="4" fontId="17" fillId="0" borderId="87" xfId="0" applyNumberFormat="1" applyFont="1" applyBorder="1" applyAlignment="1">
      <alignment horizontal="center" vertical="center"/>
    </xf>
    <xf numFmtId="4" fontId="60" fillId="0" borderId="87" xfId="0" applyNumberFormat="1" applyFont="1" applyBorder="1" applyAlignment="1">
      <alignment horizontal="center" vertical="center"/>
    </xf>
    <xf numFmtId="4" fontId="17" fillId="0" borderId="88" xfId="0" applyNumberFormat="1" applyFont="1" applyBorder="1" applyAlignment="1">
      <alignment horizontal="center" vertical="center"/>
    </xf>
    <xf numFmtId="171" fontId="17" fillId="0" borderId="87" xfId="85" applyNumberFormat="1" applyFont="1" applyBorder="1" applyAlignment="1">
      <alignment horizontal="center" vertical="center"/>
    </xf>
    <xf numFmtId="171" fontId="17" fillId="0" borderId="76" xfId="85" applyNumberFormat="1" applyFont="1" applyBorder="1" applyAlignment="1">
      <alignment horizontal="center" vertical="center"/>
    </xf>
    <xf numFmtId="0" fontId="12" fillId="0" borderId="92" xfId="0" applyFont="1" applyBorder="1" applyAlignment="1">
      <alignment horizontal="center" vertical="center"/>
    </xf>
    <xf numFmtId="0" fontId="0" fillId="0" borderId="47" xfId="0" applyBorder="1" applyAlignment="1">
      <alignment horizontal="center" wrapText="1"/>
    </xf>
    <xf numFmtId="0" fontId="0" fillId="0" borderId="92" xfId="0" applyBorder="1" applyAlignment="1">
      <alignment horizontal="center" wrapText="1"/>
    </xf>
    <xf numFmtId="168" fontId="0" fillId="0" borderId="92" xfId="0" applyNumberFormat="1" applyBorder="1"/>
    <xf numFmtId="0" fontId="84" fillId="0" borderId="34" xfId="0" applyFont="1" applyBorder="1" applyAlignment="1">
      <alignment vertical="center" wrapText="1"/>
    </xf>
    <xf numFmtId="0" fontId="84" fillId="0" borderId="12" xfId="0" applyFont="1" applyBorder="1" applyAlignment="1">
      <alignment vertical="center" wrapText="1"/>
    </xf>
    <xf numFmtId="0" fontId="84" fillId="0" borderId="12" xfId="0" applyFont="1" applyFill="1" applyBorder="1" applyAlignment="1">
      <alignment vertical="center" wrapText="1"/>
    </xf>
    <xf numFmtId="0" fontId="84" fillId="0" borderId="46" xfId="0" applyFont="1" applyFill="1" applyBorder="1" applyAlignment="1">
      <alignment vertical="center" wrapText="1"/>
    </xf>
    <xf numFmtId="4" fontId="17" fillId="0" borderId="18" xfId="0" applyNumberFormat="1" applyFont="1" applyFill="1" applyBorder="1" applyAlignment="1">
      <alignment horizontal="right" vertical="center"/>
    </xf>
    <xf numFmtId="10" fontId="61" fillId="0" borderId="20" xfId="85" applyNumberFormat="1" applyFont="1" applyFill="1" applyBorder="1" applyAlignment="1">
      <alignment horizontal="right" vertical="center"/>
    </xf>
    <xf numFmtId="4" fontId="61" fillId="0" borderId="20" xfId="0" applyNumberFormat="1" applyFont="1" applyFill="1" applyBorder="1" applyAlignment="1">
      <alignment horizontal="right" vertical="center" wrapText="1"/>
    </xf>
    <xf numFmtId="4" fontId="17" fillId="0" borderId="17" xfId="0" applyNumberFormat="1" applyFont="1" applyFill="1" applyBorder="1" applyAlignment="1">
      <alignment horizontal="right" vertical="center"/>
    </xf>
    <xf numFmtId="0" fontId="17" fillId="0" borderId="17" xfId="0" applyFont="1" applyFill="1" applyBorder="1" applyAlignment="1">
      <alignment horizontal="right" vertical="center"/>
    </xf>
    <xf numFmtId="0" fontId="17" fillId="0" borderId="18" xfId="0" applyFont="1" applyFill="1" applyBorder="1" applyAlignment="1">
      <alignment horizontal="right" vertical="center"/>
    </xf>
    <xf numFmtId="0" fontId="84" fillId="31" borderId="37" xfId="0" applyFont="1" applyFill="1" applyBorder="1" applyAlignment="1">
      <alignment horizontal="center" vertical="center"/>
    </xf>
    <xf numFmtId="168" fontId="84" fillId="31" borderId="11" xfId="0" applyNumberFormat="1" applyFont="1" applyFill="1" applyBorder="1" applyAlignment="1">
      <alignment horizontal="center" vertical="center"/>
    </xf>
    <xf numFmtId="3" fontId="84" fillId="31" borderId="11" xfId="0" applyNumberFormat="1" applyFont="1" applyFill="1" applyBorder="1" applyAlignment="1">
      <alignment horizontal="center" vertical="center"/>
    </xf>
    <xf numFmtId="169" fontId="85" fillId="31" borderId="11" xfId="0" applyNumberFormat="1" applyFont="1" applyFill="1" applyBorder="1" applyAlignment="1">
      <alignment horizontal="center" vertical="center"/>
    </xf>
    <xf numFmtId="4" fontId="84" fillId="31" borderId="11" xfId="0" applyNumberFormat="1" applyFont="1" applyFill="1" applyBorder="1" applyAlignment="1">
      <alignment horizontal="center" vertical="center"/>
    </xf>
    <xf numFmtId="0" fontId="84" fillId="31" borderId="19" xfId="0" applyFont="1" applyFill="1" applyBorder="1" applyAlignment="1">
      <alignment horizontal="center" vertical="center"/>
    </xf>
    <xf numFmtId="168" fontId="84" fillId="31" borderId="10" xfId="0" applyNumberFormat="1" applyFont="1" applyFill="1" applyBorder="1" applyAlignment="1">
      <alignment horizontal="center" vertical="center"/>
    </xf>
    <xf numFmtId="3" fontId="84" fillId="31" borderId="10" xfId="0" applyNumberFormat="1" applyFont="1" applyFill="1" applyBorder="1" applyAlignment="1">
      <alignment horizontal="center" vertical="center"/>
    </xf>
    <xf numFmtId="169" fontId="85" fillId="31" borderId="10" xfId="0" applyNumberFormat="1" applyFont="1" applyFill="1" applyBorder="1" applyAlignment="1">
      <alignment horizontal="center" vertical="center"/>
    </xf>
    <xf numFmtId="4" fontId="84" fillId="31" borderId="10" xfId="0" applyNumberFormat="1" applyFont="1" applyFill="1" applyBorder="1" applyAlignment="1">
      <alignment horizontal="center" vertical="center"/>
    </xf>
    <xf numFmtId="0" fontId="84" fillId="31" borderId="19" xfId="0" applyFont="1" applyFill="1" applyBorder="1" applyAlignment="1">
      <alignment vertical="center"/>
    </xf>
    <xf numFmtId="0" fontId="84" fillId="31" borderId="10" xfId="0" applyFont="1" applyFill="1" applyBorder="1" applyAlignment="1">
      <alignment vertical="center"/>
    </xf>
    <xf numFmtId="0" fontId="84" fillId="31" borderId="10" xfId="0" applyFont="1" applyFill="1" applyBorder="1" applyAlignment="1">
      <alignment horizontal="center" vertical="center"/>
    </xf>
    <xf numFmtId="2" fontId="84" fillId="31" borderId="10" xfId="0" applyNumberFormat="1" applyFont="1" applyFill="1" applyBorder="1" applyAlignment="1">
      <alignment horizontal="center" vertical="center"/>
    </xf>
    <xf numFmtId="169" fontId="84" fillId="31" borderId="10" xfId="0" applyNumberFormat="1" applyFont="1" applyFill="1" applyBorder="1" applyAlignment="1">
      <alignment horizontal="center" vertical="center"/>
    </xf>
    <xf numFmtId="0" fontId="63" fillId="0" borderId="46" xfId="0" applyFont="1" applyBorder="1" applyAlignment="1">
      <alignment vertical="center"/>
    </xf>
    <xf numFmtId="0" fontId="84" fillId="31" borderId="57" xfId="0" applyFont="1" applyFill="1" applyBorder="1" applyAlignment="1">
      <alignment horizontal="center" vertical="center" wrapText="1"/>
    </xf>
    <xf numFmtId="0" fontId="84" fillId="26" borderId="57" xfId="0" applyFont="1" applyFill="1" applyBorder="1" applyAlignment="1">
      <alignment horizontal="center" vertical="center" wrapText="1"/>
    </xf>
    <xf numFmtId="0" fontId="84" fillId="27" borderId="57" xfId="0" applyFont="1" applyFill="1" applyBorder="1" applyAlignment="1">
      <alignment horizontal="center" vertical="center" wrapText="1"/>
    </xf>
    <xf numFmtId="0" fontId="63" fillId="0" borderId="57" xfId="0" applyFont="1" applyBorder="1" applyAlignment="1">
      <alignment vertical="center"/>
    </xf>
    <xf numFmtId="0" fontId="84" fillId="0" borderId="14" xfId="0" applyFont="1" applyBorder="1" applyAlignment="1">
      <alignment vertical="center" wrapText="1"/>
    </xf>
    <xf numFmtId="0" fontId="84" fillId="31" borderId="86" xfId="0" applyFont="1" applyFill="1" applyBorder="1" applyAlignment="1">
      <alignment vertical="center"/>
    </xf>
    <xf numFmtId="0" fontId="84" fillId="31" borderId="87" xfId="0" applyFont="1" applyFill="1" applyBorder="1" applyAlignment="1">
      <alignment vertical="center"/>
    </xf>
    <xf numFmtId="0" fontId="84" fillId="31" borderId="87" xfId="0" applyFont="1" applyFill="1" applyBorder="1" applyAlignment="1">
      <alignment horizontal="center" vertical="center"/>
    </xf>
    <xf numFmtId="0" fontId="84" fillId="26" borderId="87" xfId="0" applyFont="1" applyFill="1" applyBorder="1" applyAlignment="1">
      <alignment horizontal="center" vertical="center"/>
    </xf>
    <xf numFmtId="4" fontId="84" fillId="26" borderId="87" xfId="0" applyNumberFormat="1" applyFont="1" applyFill="1" applyBorder="1" applyAlignment="1">
      <alignment horizontal="center" vertical="center"/>
    </xf>
    <xf numFmtId="4" fontId="85" fillId="26" borderId="87" xfId="0" applyNumberFormat="1" applyFont="1" applyFill="1" applyBorder="1" applyAlignment="1">
      <alignment horizontal="center" vertical="center"/>
    </xf>
    <xf numFmtId="4" fontId="84" fillId="26" borderId="88" xfId="0" applyNumberFormat="1" applyFont="1" applyFill="1" applyBorder="1" applyAlignment="1">
      <alignment horizontal="center" vertical="center"/>
    </xf>
    <xf numFmtId="0" fontId="84" fillId="27" borderId="87" xfId="0" applyFont="1" applyFill="1" applyBorder="1" applyAlignment="1">
      <alignment horizontal="center" vertical="center"/>
    </xf>
    <xf numFmtId="4" fontId="84" fillId="27" borderId="87" xfId="0" applyNumberFormat="1" applyFont="1" applyFill="1" applyBorder="1" applyAlignment="1">
      <alignment horizontal="center" vertical="center"/>
    </xf>
    <xf numFmtId="4" fontId="84" fillId="27" borderId="88" xfId="0" applyNumberFormat="1" applyFont="1" applyFill="1" applyBorder="1" applyAlignment="1">
      <alignment horizontal="center" vertical="center"/>
    </xf>
    <xf numFmtId="4" fontId="85" fillId="27" borderId="87" xfId="0" applyNumberFormat="1" applyFont="1" applyFill="1" applyBorder="1" applyAlignment="1">
      <alignment horizontal="center" vertical="center"/>
    </xf>
    <xf numFmtId="0" fontId="84" fillId="26" borderId="11" xfId="0" applyFont="1" applyFill="1" applyBorder="1" applyAlignment="1">
      <alignment horizontal="center" vertical="center"/>
    </xf>
    <xf numFmtId="0" fontId="84" fillId="27" borderId="11" xfId="0" applyFont="1" applyFill="1" applyBorder="1" applyAlignment="1">
      <alignment horizontal="center" vertical="center"/>
    </xf>
    <xf numFmtId="0" fontId="16" fillId="0" borderId="58" xfId="0" applyFont="1" applyBorder="1" applyAlignment="1">
      <alignment vertical="center" wrapText="1"/>
    </xf>
    <xf numFmtId="0" fontId="63" fillId="0" borderId="53" xfId="0" applyFont="1" applyBorder="1" applyAlignment="1">
      <alignment vertical="center"/>
    </xf>
    <xf numFmtId="0" fontId="16" fillId="31" borderId="75" xfId="0" applyFont="1" applyFill="1" applyBorder="1" applyAlignment="1">
      <alignment vertical="center"/>
    </xf>
    <xf numFmtId="0" fontId="16" fillId="31" borderId="76" xfId="0" applyFont="1" applyFill="1" applyBorder="1" applyAlignment="1">
      <alignment vertical="center"/>
    </xf>
    <xf numFmtId="0" fontId="16" fillId="31" borderId="76" xfId="0" applyFont="1" applyFill="1" applyBorder="1" applyAlignment="1">
      <alignment horizontal="center" vertical="center"/>
    </xf>
    <xf numFmtId="0" fontId="84" fillId="26" borderId="76" xfId="0" applyFont="1" applyFill="1" applyBorder="1" applyAlignment="1">
      <alignment horizontal="center" vertical="center"/>
    </xf>
    <xf numFmtId="4" fontId="84" fillId="26" borderId="76" xfId="0" applyNumberFormat="1" applyFont="1" applyFill="1" applyBorder="1" applyAlignment="1">
      <alignment horizontal="center" vertical="center"/>
    </xf>
    <xf numFmtId="4" fontId="85" fillId="26" borderId="76" xfId="0" applyNumberFormat="1" applyFont="1" applyFill="1" applyBorder="1" applyAlignment="1">
      <alignment horizontal="center" vertical="center"/>
    </xf>
    <xf numFmtId="4" fontId="16" fillId="26" borderId="77" xfId="0" applyNumberFormat="1" applyFont="1" applyFill="1" applyBorder="1" applyAlignment="1">
      <alignment horizontal="center" vertical="center"/>
    </xf>
    <xf numFmtId="0" fontId="84" fillId="27" borderId="76" xfId="0" applyFont="1" applyFill="1" applyBorder="1" applyAlignment="1">
      <alignment horizontal="center" vertical="center"/>
    </xf>
    <xf numFmtId="4" fontId="84" fillId="27" borderId="76" xfId="0" applyNumberFormat="1" applyFont="1" applyFill="1" applyBorder="1" applyAlignment="1">
      <alignment horizontal="center" vertical="center"/>
    </xf>
    <xf numFmtId="4" fontId="16" fillId="27" borderId="77" xfId="0" applyNumberFormat="1" applyFont="1" applyFill="1" applyBorder="1" applyAlignment="1">
      <alignment horizontal="center" vertical="center"/>
    </xf>
    <xf numFmtId="4" fontId="85" fillId="27" borderId="76" xfId="0" applyNumberFormat="1" applyFont="1" applyFill="1" applyBorder="1" applyAlignment="1">
      <alignment horizontal="center" vertical="center"/>
    </xf>
    <xf numFmtId="0" fontId="16" fillId="0" borderId="57" xfId="0" applyFont="1" applyFill="1" applyBorder="1" applyAlignment="1">
      <alignment vertical="center" wrapText="1"/>
    </xf>
    <xf numFmtId="0" fontId="16" fillId="31" borderId="24" xfId="0" applyFont="1" applyFill="1" applyBorder="1" applyAlignment="1">
      <alignment horizontal="center" vertical="center"/>
    </xf>
    <xf numFmtId="4" fontId="16" fillId="31" borderId="43" xfId="0" applyNumberFormat="1" applyFont="1" applyFill="1" applyBorder="1" applyAlignment="1">
      <alignment horizontal="center" vertical="center"/>
    </xf>
    <xf numFmtId="0" fontId="16" fillId="31" borderId="43" xfId="0" applyFont="1" applyFill="1" applyBorder="1" applyAlignment="1">
      <alignment horizontal="center" vertical="center"/>
    </xf>
    <xf numFmtId="0" fontId="16" fillId="26" borderId="43" xfId="0" applyFont="1" applyFill="1" applyBorder="1" applyAlignment="1">
      <alignment horizontal="center" vertical="center"/>
    </xf>
    <xf numFmtId="4" fontId="16" fillId="26" borderId="43" xfId="0" applyNumberFormat="1" applyFont="1" applyFill="1" applyBorder="1" applyAlignment="1">
      <alignment horizontal="center" vertical="center"/>
    </xf>
    <xf numFmtId="4" fontId="16" fillId="26" borderId="44" xfId="0" applyNumberFormat="1" applyFont="1" applyFill="1" applyBorder="1" applyAlignment="1">
      <alignment horizontal="center" vertical="center"/>
    </xf>
    <xf numFmtId="0" fontId="16" fillId="27" borderId="43" xfId="0" applyFont="1" applyFill="1" applyBorder="1" applyAlignment="1">
      <alignment horizontal="center" vertical="center"/>
    </xf>
    <xf numFmtId="4" fontId="16" fillId="27" borderId="43" xfId="0" applyNumberFormat="1" applyFont="1" applyFill="1" applyBorder="1" applyAlignment="1">
      <alignment horizontal="center" vertical="center"/>
    </xf>
    <xf numFmtId="4" fontId="16" fillId="27" borderId="44" xfId="0" applyNumberFormat="1" applyFont="1" applyFill="1" applyBorder="1" applyAlignment="1">
      <alignment horizontal="center" vertical="center"/>
    </xf>
    <xf numFmtId="169" fontId="16" fillId="31" borderId="76" xfId="0" applyNumberFormat="1" applyFont="1" applyFill="1" applyBorder="1" applyAlignment="1">
      <alignment horizontal="center" vertical="center"/>
    </xf>
    <xf numFmtId="0" fontId="84" fillId="31" borderId="37" xfId="0" applyFont="1" applyFill="1" applyBorder="1" applyAlignment="1">
      <alignment vertical="center"/>
    </xf>
    <xf numFmtId="0" fontId="84" fillId="31" borderId="11" xfId="0" applyFont="1" applyFill="1" applyBorder="1" applyAlignment="1">
      <alignment vertical="center"/>
    </xf>
    <xf numFmtId="0" fontId="84" fillId="31" borderId="11" xfId="0" applyFont="1" applyFill="1" applyBorder="1" applyAlignment="1">
      <alignment horizontal="center" vertical="center"/>
    </xf>
    <xf numFmtId="4" fontId="16" fillId="31" borderId="76" xfId="0" applyNumberFormat="1" applyFont="1" applyFill="1" applyBorder="1" applyAlignment="1">
      <alignment horizontal="center" vertical="center"/>
    </xf>
    <xf numFmtId="4" fontId="16" fillId="26" borderId="76" xfId="0" applyNumberFormat="1" applyFont="1" applyFill="1" applyBorder="1" applyAlignment="1">
      <alignment horizontal="center" vertical="center"/>
    </xf>
    <xf numFmtId="4" fontId="16" fillId="27" borderId="76" xfId="0" applyNumberFormat="1" applyFont="1" applyFill="1" applyBorder="1" applyAlignment="1">
      <alignment horizontal="center" vertical="center"/>
    </xf>
    <xf numFmtId="2" fontId="13" fillId="0" borderId="92" xfId="0" applyNumberFormat="1" applyFont="1" applyBorder="1" applyAlignment="1">
      <alignment horizontal="center" vertical="center" wrapText="1"/>
    </xf>
    <xf numFmtId="168" fontId="13" fillId="0" borderId="92" xfId="0" applyNumberFormat="1" applyFont="1" applyBorder="1" applyAlignment="1">
      <alignment horizontal="center" vertical="top" wrapText="1"/>
    </xf>
    <xf numFmtId="168" fontId="13" fillId="0" borderId="92" xfId="0" applyNumberFormat="1" applyFont="1" applyBorder="1" applyAlignment="1">
      <alignment horizontal="center"/>
    </xf>
    <xf numFmtId="4" fontId="12" fillId="0" borderId="92" xfId="0" applyNumberFormat="1" applyFont="1" applyBorder="1" applyAlignment="1">
      <alignment horizontal="center" vertical="center"/>
    </xf>
    <xf numFmtId="168" fontId="13" fillId="0" borderId="92" xfId="0" applyNumberFormat="1" applyFont="1" applyBorder="1"/>
    <xf numFmtId="168" fontId="23" fillId="0" borderId="92" xfId="0" applyNumberFormat="1" applyFont="1" applyBorder="1" applyAlignment="1">
      <alignment horizontal="center"/>
    </xf>
    <xf numFmtId="168" fontId="21" fillId="0" borderId="92" xfId="0" applyNumberFormat="1" applyFont="1" applyBorder="1" applyAlignment="1">
      <alignment horizontal="center"/>
    </xf>
    <xf numFmtId="2" fontId="17" fillId="0" borderId="92" xfId="0" applyNumberFormat="1" applyFont="1" applyBorder="1" applyAlignment="1">
      <alignment horizontal="center" vertical="center"/>
    </xf>
    <xf numFmtId="2" fontId="60" fillId="0" borderId="92" xfId="0" applyNumberFormat="1" applyFont="1" applyBorder="1" applyAlignment="1">
      <alignment horizontal="center" vertical="center" wrapText="1"/>
    </xf>
    <xf numFmtId="0" fontId="60" fillId="0" borderId="92" xfId="0" applyFont="1" applyBorder="1" applyAlignment="1">
      <alignment horizontal="center" vertical="center"/>
    </xf>
    <xf numFmtId="168" fontId="60" fillId="0" borderId="92" xfId="0" applyNumberFormat="1" applyFont="1" applyBorder="1" applyAlignment="1">
      <alignment horizontal="center" vertical="center"/>
    </xf>
    <xf numFmtId="168" fontId="60" fillId="0" borderId="92" xfId="0" applyNumberFormat="1" applyFont="1" applyFill="1" applyBorder="1" applyAlignment="1">
      <alignment horizontal="center" vertical="center"/>
    </xf>
    <xf numFmtId="2" fontId="17" fillId="0" borderId="92" xfId="0" applyNumberFormat="1" applyFont="1" applyBorder="1" applyAlignment="1">
      <alignment horizontal="center" vertical="center"/>
    </xf>
    <xf numFmtId="2" fontId="60" fillId="0" borderId="92" xfId="0" applyNumberFormat="1" applyFont="1" applyBorder="1" applyAlignment="1">
      <alignment horizontal="center" vertical="center"/>
    </xf>
    <xf numFmtId="2" fontId="60" fillId="0" borderId="19" xfId="0" applyNumberFormat="1" applyFont="1" applyBorder="1" applyAlignment="1">
      <alignment horizontal="center" vertical="center" wrapText="1"/>
    </xf>
    <xf numFmtId="2" fontId="60" fillId="0" borderId="92" xfId="0" applyNumberFormat="1" applyFont="1" applyBorder="1" applyAlignment="1">
      <alignment horizontal="center" vertical="center" wrapText="1"/>
    </xf>
    <xf numFmtId="168" fontId="60" fillId="0" borderId="19" xfId="0" applyNumberFormat="1" applyFont="1" applyBorder="1" applyAlignment="1">
      <alignment horizontal="center" vertical="center"/>
    </xf>
    <xf numFmtId="169" fontId="60" fillId="0" borderId="92" xfId="0" applyNumberFormat="1" applyFont="1" applyBorder="1" applyAlignment="1">
      <alignment horizontal="center" vertical="center"/>
    </xf>
    <xf numFmtId="1" fontId="60" fillId="0" borderId="92" xfId="0" applyNumberFormat="1" applyFont="1" applyBorder="1" applyAlignment="1">
      <alignment horizontal="center" vertical="center"/>
    </xf>
    <xf numFmtId="168" fontId="17" fillId="0" borderId="19" xfId="0" applyNumberFormat="1" applyFont="1" applyBorder="1" applyAlignment="1">
      <alignment horizontal="center" vertical="center"/>
    </xf>
    <xf numFmtId="169" fontId="17" fillId="0" borderId="92" xfId="0" applyNumberFormat="1" applyFont="1" applyBorder="1" applyAlignment="1">
      <alignment horizontal="center" vertical="center"/>
    </xf>
    <xf numFmtId="168" fontId="17" fillId="0" borderId="92" xfId="0" applyNumberFormat="1" applyFont="1" applyBorder="1" applyAlignment="1">
      <alignment horizontal="center" vertical="center"/>
    </xf>
    <xf numFmtId="1" fontId="17" fillId="0" borderId="92" xfId="0" applyNumberFormat="1" applyFont="1" applyBorder="1" applyAlignment="1">
      <alignment horizontal="center" vertical="center"/>
    </xf>
    <xf numFmtId="0" fontId="81" fillId="0" borderId="92" xfId="0" applyFont="1" applyBorder="1" applyAlignment="1">
      <alignment horizontal="center" vertical="center"/>
    </xf>
    <xf numFmtId="168" fontId="60" fillId="0" borderId="22" xfId="0" applyNumberFormat="1" applyFont="1" applyBorder="1" applyAlignment="1">
      <alignment horizontal="center" vertical="center"/>
    </xf>
    <xf numFmtId="0" fontId="81" fillId="0" borderId="22" xfId="0" applyFont="1" applyBorder="1" applyAlignment="1">
      <alignment horizontal="center" vertical="center"/>
    </xf>
    <xf numFmtId="2" fontId="60" fillId="0" borderId="12" xfId="0" applyNumberFormat="1" applyFont="1" applyBorder="1" applyAlignment="1">
      <alignment vertical="center"/>
    </xf>
    <xf numFmtId="2" fontId="83" fillId="0" borderId="12" xfId="0" applyNumberFormat="1" applyFont="1" applyBorder="1" applyAlignment="1">
      <alignment vertical="center"/>
    </xf>
    <xf numFmtId="2" fontId="17" fillId="0" borderId="12" xfId="0" applyNumberFormat="1" applyFont="1" applyBorder="1" applyAlignment="1">
      <alignment vertical="center"/>
    </xf>
    <xf numFmtId="2" fontId="60" fillId="0" borderId="12" xfId="0" applyNumberFormat="1" applyFont="1" applyBorder="1" applyAlignment="1">
      <alignment vertical="center" wrapText="1"/>
    </xf>
    <xf numFmtId="2" fontId="17" fillId="0" borderId="12" xfId="0" applyNumberFormat="1" applyFont="1" applyBorder="1" applyAlignment="1">
      <alignment vertical="center" wrapText="1"/>
    </xf>
    <xf numFmtId="2" fontId="60" fillId="0" borderId="15" xfId="0" applyNumberFormat="1" applyFont="1" applyBorder="1" applyAlignment="1">
      <alignment vertical="center" wrapText="1"/>
    </xf>
    <xf numFmtId="2" fontId="60" fillId="0" borderId="20" xfId="0" applyNumberFormat="1" applyFont="1" applyBorder="1" applyAlignment="1">
      <alignment horizontal="center" vertical="center" wrapText="1"/>
    </xf>
    <xf numFmtId="2" fontId="60" fillId="0" borderId="20" xfId="0" applyNumberFormat="1" applyFont="1" applyBorder="1" applyAlignment="1">
      <alignment horizontal="center" vertical="center"/>
    </xf>
    <xf numFmtId="0" fontId="0" fillId="0" borderId="17" xfId="0" applyBorder="1" applyAlignment="1">
      <alignment horizontal="center" vertical="center" wrapText="1"/>
    </xf>
    <xf numFmtId="0" fontId="17" fillId="0" borderId="47" xfId="0" applyFont="1" applyFill="1" applyBorder="1" applyAlignment="1">
      <alignment horizontal="center" vertical="center" wrapText="1"/>
    </xf>
    <xf numFmtId="0" fontId="17" fillId="0" borderId="36" xfId="0" applyFont="1" applyFill="1" applyBorder="1" applyAlignment="1">
      <alignment horizontal="center" vertical="center" wrapText="1"/>
    </xf>
    <xf numFmtId="0" fontId="60" fillId="0" borderId="14" xfId="0" applyFont="1" applyBorder="1" applyAlignment="1">
      <alignment vertical="center" wrapText="1"/>
    </xf>
    <xf numFmtId="2" fontId="60" fillId="0" borderId="100" xfId="0" applyNumberFormat="1" applyFont="1" applyBorder="1" applyAlignment="1">
      <alignment horizontal="center" vertical="center" wrapText="1"/>
    </xf>
    <xf numFmtId="2" fontId="60" fillId="0" borderId="102" xfId="0" applyNumberFormat="1" applyFont="1" applyBorder="1" applyAlignment="1">
      <alignment horizontal="center" vertical="center" wrapText="1"/>
    </xf>
    <xf numFmtId="168" fontId="60" fillId="0" borderId="102" xfId="0" applyNumberFormat="1" applyFont="1" applyBorder="1" applyAlignment="1">
      <alignment horizontal="center" vertical="center"/>
    </xf>
    <xf numFmtId="2" fontId="60" fillId="0" borderId="102" xfId="0" applyNumberFormat="1" applyFont="1" applyBorder="1" applyAlignment="1">
      <alignment horizontal="center" vertical="center"/>
    </xf>
    <xf numFmtId="169" fontId="60" fillId="0" borderId="102" xfId="0" applyNumberFormat="1" applyFont="1" applyBorder="1" applyAlignment="1">
      <alignment horizontal="center" vertical="center"/>
    </xf>
    <xf numFmtId="4" fontId="60" fillId="0" borderId="102" xfId="0" applyNumberFormat="1" applyFont="1" applyBorder="1" applyAlignment="1">
      <alignment horizontal="center" vertical="center"/>
    </xf>
    <xf numFmtId="168" fontId="17" fillId="0" borderId="102" xfId="0" applyNumberFormat="1" applyFont="1" applyBorder="1" applyAlignment="1">
      <alignment horizontal="center" vertical="center"/>
    </xf>
    <xf numFmtId="4" fontId="17" fillId="0" borderId="102" xfId="0" applyNumberFormat="1" applyFont="1" applyBorder="1" applyAlignment="1">
      <alignment horizontal="center" vertical="center"/>
    </xf>
    <xf numFmtId="0" fontId="60" fillId="0" borderId="102" xfId="0" applyFont="1" applyBorder="1" applyAlignment="1">
      <alignment horizontal="center" vertical="center"/>
    </xf>
    <xf numFmtId="2" fontId="17" fillId="0" borderId="102" xfId="0" applyNumberFormat="1" applyFont="1" applyBorder="1" applyAlignment="1">
      <alignment horizontal="center" vertical="center"/>
    </xf>
    <xf numFmtId="0" fontId="60" fillId="0" borderId="96" xfId="0" applyFont="1" applyBorder="1" applyAlignment="1">
      <alignment horizontal="center" vertical="center"/>
    </xf>
    <xf numFmtId="168" fontId="60" fillId="0" borderId="96" xfId="0" applyNumberFormat="1" applyFont="1" applyBorder="1" applyAlignment="1">
      <alignment horizontal="center" vertical="center"/>
    </xf>
    <xf numFmtId="2" fontId="60" fillId="0" borderId="92" xfId="0" applyNumberFormat="1" applyFont="1" applyFill="1" applyBorder="1" applyAlignment="1">
      <alignment horizontal="center" vertical="center" wrapText="1"/>
    </xf>
    <xf numFmtId="2" fontId="60" fillId="0" borderId="92" xfId="0" applyNumberFormat="1" applyFont="1" applyFill="1" applyBorder="1" applyAlignment="1">
      <alignment horizontal="center" vertical="center"/>
    </xf>
    <xf numFmtId="4" fontId="60" fillId="0" borderId="92" xfId="0" applyNumberFormat="1" applyFont="1" applyFill="1" applyBorder="1" applyAlignment="1">
      <alignment horizontal="center" vertical="center"/>
    </xf>
    <xf numFmtId="168" fontId="17" fillId="0" borderId="92" xfId="0" applyNumberFormat="1" applyFont="1" applyFill="1" applyBorder="1" applyAlignment="1">
      <alignment horizontal="center" vertical="center"/>
    </xf>
    <xf numFmtId="4" fontId="17" fillId="0" borderId="92" xfId="0" applyNumberFormat="1" applyFont="1" applyFill="1" applyBorder="1" applyAlignment="1">
      <alignment horizontal="center" vertical="center"/>
    </xf>
    <xf numFmtId="0" fontId="60" fillId="0" borderId="92" xfId="0" applyFont="1" applyFill="1" applyBorder="1" applyAlignment="1">
      <alignment horizontal="center" vertical="center"/>
    </xf>
    <xf numFmtId="0" fontId="60" fillId="0" borderId="22" xfId="0" applyFont="1" applyFill="1" applyBorder="1" applyAlignment="1">
      <alignment horizontal="center" vertical="center"/>
    </xf>
    <xf numFmtId="168" fontId="60" fillId="0" borderId="22" xfId="0" applyNumberFormat="1" applyFont="1" applyFill="1" applyBorder="1" applyAlignment="1">
      <alignment horizontal="center" vertical="center"/>
    </xf>
    <xf numFmtId="168" fontId="60" fillId="0" borderId="19" xfId="0" applyNumberFormat="1" applyFont="1" applyFill="1" applyBorder="1" applyAlignment="1">
      <alignment horizontal="center" vertical="center"/>
    </xf>
    <xf numFmtId="10" fontId="60" fillId="0" borderId="92" xfId="0" applyNumberFormat="1" applyFont="1" applyFill="1" applyBorder="1" applyAlignment="1">
      <alignment horizontal="center" vertical="center"/>
    </xf>
    <xf numFmtId="168" fontId="17" fillId="0" borderId="19" xfId="0" applyNumberFormat="1" applyFont="1" applyFill="1" applyBorder="1" applyAlignment="1">
      <alignment horizontal="center" vertical="center"/>
    </xf>
    <xf numFmtId="10" fontId="60" fillId="0" borderId="96" xfId="0" applyNumberFormat="1" applyFont="1" applyFill="1" applyBorder="1" applyAlignment="1">
      <alignment horizontal="center" vertical="center"/>
    </xf>
    <xf numFmtId="4" fontId="60" fillId="0" borderId="102" xfId="0" applyNumberFormat="1" applyFont="1" applyFill="1" applyBorder="1" applyAlignment="1">
      <alignment horizontal="center" vertical="center"/>
    </xf>
    <xf numFmtId="10" fontId="61" fillId="0" borderId="102" xfId="85" applyNumberFormat="1" applyFont="1" applyFill="1" applyBorder="1" applyAlignment="1">
      <alignment horizontal="center" vertical="center"/>
    </xf>
    <xf numFmtId="4" fontId="61" fillId="0" borderId="102" xfId="0" applyNumberFormat="1" applyFont="1" applyFill="1" applyBorder="1" applyAlignment="1">
      <alignment vertical="center"/>
    </xf>
    <xf numFmtId="4" fontId="17" fillId="0" borderId="102" xfId="0" applyNumberFormat="1" applyFont="1" applyFill="1" applyBorder="1"/>
    <xf numFmtId="2" fontId="60" fillId="0" borderId="102" xfId="0" applyNumberFormat="1" applyFont="1" applyFill="1" applyBorder="1"/>
    <xf numFmtId="2" fontId="61" fillId="0" borderId="102" xfId="0" applyNumberFormat="1" applyFont="1" applyFill="1" applyBorder="1"/>
    <xf numFmtId="4" fontId="60" fillId="0" borderId="102" xfId="0" applyNumberFormat="1" applyFont="1" applyFill="1" applyBorder="1"/>
    <xf numFmtId="2" fontId="60" fillId="0" borderId="97" xfId="0" applyNumberFormat="1" applyFont="1" applyFill="1" applyBorder="1"/>
    <xf numFmtId="4" fontId="17" fillId="0" borderId="102" xfId="0" applyNumberFormat="1" applyFont="1" applyFill="1" applyBorder="1" applyAlignment="1">
      <alignment vertical="center"/>
    </xf>
    <xf numFmtId="0" fontId="60" fillId="29" borderId="102" xfId="0" applyFont="1" applyFill="1" applyBorder="1" applyAlignment="1">
      <alignment horizontal="center" vertical="center"/>
    </xf>
    <xf numFmtId="2" fontId="17" fillId="29" borderId="102" xfId="0" applyNumberFormat="1" applyFont="1" applyFill="1" applyBorder="1"/>
    <xf numFmtId="2" fontId="60" fillId="29" borderId="102" xfId="0" applyNumberFormat="1" applyFont="1" applyFill="1" applyBorder="1"/>
    <xf numFmtId="2" fontId="61" fillId="29" borderId="102" xfId="0" applyNumberFormat="1" applyFont="1" applyFill="1" applyBorder="1"/>
    <xf numFmtId="2" fontId="60" fillId="29" borderId="97" xfId="0" applyNumberFormat="1" applyFont="1" applyFill="1" applyBorder="1"/>
    <xf numFmtId="4" fontId="60" fillId="25" borderId="103" xfId="0" applyNumberFormat="1" applyFont="1" applyFill="1" applyBorder="1" applyAlignment="1">
      <alignment horizontal="center" vertical="center"/>
    </xf>
    <xf numFmtId="10" fontId="61" fillId="25" borderId="103" xfId="85" applyNumberFormat="1" applyFont="1" applyFill="1" applyBorder="1" applyAlignment="1">
      <alignment horizontal="center" vertical="center"/>
    </xf>
    <xf numFmtId="4" fontId="61" fillId="25" borderId="103" xfId="0" applyNumberFormat="1" applyFont="1" applyFill="1" applyBorder="1" applyAlignment="1">
      <alignment horizontal="center" vertical="center"/>
    </xf>
    <xf numFmtId="4" fontId="60" fillId="0" borderId="102" xfId="0" applyNumberFormat="1" applyFont="1" applyFill="1" applyBorder="1" applyAlignment="1">
      <alignment vertical="center"/>
    </xf>
    <xf numFmtId="171" fontId="60" fillId="0" borderId="102" xfId="85" applyNumberFormat="1" applyFont="1" applyFill="1" applyBorder="1" applyAlignment="1">
      <alignment vertical="center"/>
    </xf>
    <xf numFmtId="10" fontId="60" fillId="0" borderId="102" xfId="85" applyNumberFormat="1" applyFont="1" applyFill="1" applyBorder="1"/>
    <xf numFmtId="0" fontId="60" fillId="0" borderId="102" xfId="0" applyFont="1" applyFill="1" applyBorder="1"/>
    <xf numFmtId="171" fontId="60" fillId="0" borderId="102" xfId="85" applyNumberFormat="1" applyFont="1" applyBorder="1" applyAlignment="1">
      <alignment vertical="center"/>
    </xf>
    <xf numFmtId="0" fontId="60" fillId="0" borderId="102" xfId="0" applyFont="1" applyBorder="1" applyAlignment="1">
      <alignment vertical="center"/>
    </xf>
    <xf numFmtId="0" fontId="60" fillId="0" borderId="102" xfId="0" applyFont="1" applyBorder="1"/>
    <xf numFmtId="4" fontId="60" fillId="0" borderId="100" xfId="0" applyNumberFormat="1" applyFont="1" applyBorder="1" applyAlignment="1">
      <alignment horizontal="center" vertical="center"/>
    </xf>
    <xf numFmtId="10" fontId="61" fillId="0" borderId="100" xfId="85" applyNumberFormat="1" applyFont="1" applyBorder="1" applyAlignment="1">
      <alignment horizontal="center" vertical="center"/>
    </xf>
    <xf numFmtId="4" fontId="61" fillId="0" borderId="100" xfId="0" applyNumberFormat="1" applyFont="1" applyBorder="1" applyAlignment="1">
      <alignment horizontal="center" vertical="center"/>
    </xf>
    <xf numFmtId="4" fontId="61" fillId="0" borderId="100" xfId="0" applyNumberFormat="1" applyFont="1" applyBorder="1" applyAlignment="1">
      <alignment vertical="center"/>
    </xf>
    <xf numFmtId="169" fontId="61" fillId="0" borderId="102" xfId="0" applyNumberFormat="1" applyFont="1" applyBorder="1" applyAlignment="1">
      <alignment horizontal="center" vertical="center"/>
    </xf>
    <xf numFmtId="0" fontId="61" fillId="0" borderId="102" xfId="0" applyFont="1" applyBorder="1" applyAlignment="1">
      <alignment horizontal="center" vertical="center"/>
    </xf>
    <xf numFmtId="0" fontId="60" fillId="0" borderId="105" xfId="0" applyFont="1" applyBorder="1" applyAlignment="1">
      <alignment vertical="center"/>
    </xf>
    <xf numFmtId="169" fontId="61" fillId="0" borderId="106" xfId="0" applyNumberFormat="1" applyFont="1" applyBorder="1" applyAlignment="1">
      <alignment horizontal="center" vertical="center"/>
    </xf>
    <xf numFmtId="0" fontId="61" fillId="0" borderId="105" xfId="0" applyFont="1" applyBorder="1" applyAlignment="1">
      <alignment vertical="center"/>
    </xf>
    <xf numFmtId="0" fontId="61" fillId="0" borderId="105" xfId="0" applyFont="1" applyBorder="1" applyAlignment="1">
      <alignment vertical="center" wrapText="1"/>
    </xf>
    <xf numFmtId="0" fontId="60" fillId="0" borderId="106" xfId="0" applyFont="1" applyBorder="1" applyAlignment="1">
      <alignment vertical="center"/>
    </xf>
    <xf numFmtId="0" fontId="60" fillId="0" borderId="106" xfId="0" applyFont="1" applyBorder="1"/>
    <xf numFmtId="0" fontId="60" fillId="0" borderId="96" xfId="0" applyFont="1" applyBorder="1"/>
    <xf numFmtId="4" fontId="60" fillId="0" borderId="105" xfId="0" applyNumberFormat="1" applyFont="1" applyFill="1" applyBorder="1" applyAlignment="1">
      <alignment vertical="center"/>
    </xf>
    <xf numFmtId="4" fontId="60" fillId="0" borderId="106" xfId="0" applyNumberFormat="1" applyFont="1" applyFill="1" applyBorder="1" applyAlignment="1">
      <alignment horizontal="center" vertical="center"/>
    </xf>
    <xf numFmtId="10" fontId="61" fillId="0" borderId="105" xfId="85" applyNumberFormat="1" applyFont="1" applyFill="1" applyBorder="1" applyAlignment="1">
      <alignment horizontal="center" vertical="center"/>
    </xf>
    <xf numFmtId="10" fontId="61" fillId="0" borderId="106" xfId="85" applyNumberFormat="1" applyFont="1" applyFill="1" applyBorder="1" applyAlignment="1">
      <alignment horizontal="center" vertical="center"/>
    </xf>
    <xf numFmtId="4" fontId="60" fillId="0" borderId="105" xfId="0" applyNumberFormat="1" applyFont="1" applyFill="1" applyBorder="1" applyAlignment="1">
      <alignment horizontal="center" vertical="center"/>
    </xf>
    <xf numFmtId="4" fontId="61" fillId="0" borderId="105" xfId="0" applyNumberFormat="1" applyFont="1" applyFill="1" applyBorder="1" applyAlignment="1">
      <alignment vertical="center"/>
    </xf>
    <xf numFmtId="4" fontId="61" fillId="0" borderId="106" xfId="0" applyNumberFormat="1" applyFont="1" applyFill="1" applyBorder="1" applyAlignment="1">
      <alignment vertical="center"/>
    </xf>
    <xf numFmtId="10" fontId="60" fillId="0" borderId="105" xfId="85" applyNumberFormat="1" applyFont="1" applyFill="1" applyBorder="1"/>
    <xf numFmtId="10" fontId="60" fillId="0" borderId="21" xfId="85" applyNumberFormat="1" applyFont="1" applyFill="1" applyBorder="1"/>
    <xf numFmtId="0" fontId="60" fillId="0" borderId="96" xfId="0" applyFont="1" applyFill="1" applyBorder="1"/>
    <xf numFmtId="171" fontId="60" fillId="0" borderId="106" xfId="85" applyNumberFormat="1" applyFont="1" applyBorder="1" applyAlignment="1">
      <alignment vertical="center"/>
    </xf>
    <xf numFmtId="10" fontId="60" fillId="0" borderId="105" xfId="0" applyNumberFormat="1" applyFont="1" applyFill="1" applyBorder="1"/>
    <xf numFmtId="10" fontId="60" fillId="0" borderId="21" xfId="0" applyNumberFormat="1" applyFont="1" applyFill="1" applyBorder="1"/>
    <xf numFmtId="10" fontId="60" fillId="0" borderId="96" xfId="85" applyNumberFormat="1" applyFont="1" applyFill="1" applyBorder="1"/>
    <xf numFmtId="0" fontId="60" fillId="0" borderId="11" xfId="0" applyFont="1" applyBorder="1" applyAlignment="1">
      <alignment vertical="center"/>
    </xf>
    <xf numFmtId="0" fontId="60" fillId="0" borderId="38" xfId="0" applyFont="1" applyBorder="1" applyAlignment="1">
      <alignment vertical="center"/>
    </xf>
    <xf numFmtId="4" fontId="61" fillId="0" borderId="96" xfId="0" applyNumberFormat="1" applyFont="1" applyBorder="1" applyAlignment="1">
      <alignment horizontal="center" vertical="center"/>
    </xf>
    <xf numFmtId="171" fontId="60" fillId="0" borderId="96" xfId="85" applyNumberFormat="1" applyFont="1" applyFill="1" applyBorder="1" applyAlignment="1">
      <alignment vertical="center"/>
    </xf>
    <xf numFmtId="171" fontId="60" fillId="0" borderId="96" xfId="85" applyNumberFormat="1" applyFont="1" applyBorder="1" applyAlignment="1">
      <alignment vertical="center"/>
    </xf>
    <xf numFmtId="171" fontId="60" fillId="0" borderId="23" xfId="85" applyNumberFormat="1" applyFont="1" applyBorder="1" applyAlignment="1">
      <alignment vertical="center"/>
    </xf>
    <xf numFmtId="0" fontId="61" fillId="0" borderId="108" xfId="0" applyFont="1" applyBorder="1" applyAlignment="1">
      <alignment vertical="center"/>
    </xf>
    <xf numFmtId="0" fontId="61" fillId="0" borderId="97" xfId="0" applyFont="1" applyBorder="1" applyAlignment="1">
      <alignment horizontal="center" vertical="center"/>
    </xf>
    <xf numFmtId="169" fontId="61" fillId="0" borderId="107" xfId="0" applyNumberFormat="1" applyFont="1" applyBorder="1" applyAlignment="1">
      <alignment horizontal="center" vertical="center"/>
    </xf>
    <xf numFmtId="4" fontId="61" fillId="0" borderId="110" xfId="0" applyNumberFormat="1" applyFont="1" applyBorder="1" applyAlignment="1">
      <alignment horizontal="center" vertical="center"/>
    </xf>
    <xf numFmtId="4" fontId="61" fillId="0" borderId="97" xfId="0" applyNumberFormat="1" applyFont="1" applyBorder="1" applyAlignment="1">
      <alignment horizontal="center" vertical="center"/>
    </xf>
    <xf numFmtId="4" fontId="60" fillId="0" borderId="97" xfId="0" applyNumberFormat="1" applyFont="1" applyBorder="1" applyAlignment="1">
      <alignment horizontal="center" vertical="center"/>
    </xf>
    <xf numFmtId="4" fontId="60" fillId="25" borderId="104" xfId="0" applyNumberFormat="1" applyFont="1" applyFill="1" applyBorder="1" applyAlignment="1">
      <alignment horizontal="center" vertical="center"/>
    </xf>
    <xf numFmtId="4" fontId="60" fillId="0" borderId="97" xfId="0" applyNumberFormat="1" applyFont="1" applyFill="1" applyBorder="1" applyAlignment="1">
      <alignment horizontal="center" vertical="center"/>
    </xf>
    <xf numFmtId="4" fontId="60" fillId="0" borderId="108" xfId="0" applyNumberFormat="1" applyFont="1" applyFill="1" applyBorder="1" applyAlignment="1">
      <alignment horizontal="center" vertical="center"/>
    </xf>
    <xf numFmtId="171" fontId="60" fillId="0" borderId="97" xfId="85" applyNumberFormat="1" applyFont="1" applyBorder="1" applyAlignment="1">
      <alignment vertical="center"/>
    </xf>
    <xf numFmtId="0" fontId="83" fillId="0" borderId="75" xfId="0" applyFont="1" applyBorder="1" applyAlignment="1">
      <alignment vertical="center"/>
    </xf>
    <xf numFmtId="0" fontId="17" fillId="0" borderId="76" xfId="0" applyFont="1" applyBorder="1" applyAlignment="1">
      <alignment horizontal="center" vertical="center"/>
    </xf>
    <xf numFmtId="169" fontId="17" fillId="0" borderId="76" xfId="0" applyNumberFormat="1" applyFont="1" applyBorder="1" applyAlignment="1">
      <alignment horizontal="center" vertical="center"/>
    </xf>
    <xf numFmtId="169" fontId="61" fillId="0" borderId="77" xfId="0" applyNumberFormat="1" applyFont="1" applyBorder="1" applyAlignment="1">
      <alignment horizontal="center" vertical="center"/>
    </xf>
    <xf numFmtId="4" fontId="17" fillId="0" borderId="80" xfId="0" applyNumberFormat="1" applyFont="1" applyBorder="1" applyAlignment="1">
      <alignment horizontal="center" vertical="center"/>
    </xf>
    <xf numFmtId="4" fontId="17" fillId="0" borderId="76" xfId="0" applyNumberFormat="1" applyFont="1" applyBorder="1" applyAlignment="1">
      <alignment horizontal="center" vertical="center"/>
    </xf>
    <xf numFmtId="4" fontId="61" fillId="0" borderId="76" xfId="0" applyNumberFormat="1" applyFont="1" applyBorder="1" applyAlignment="1">
      <alignment horizontal="center" vertical="center"/>
    </xf>
    <xf numFmtId="4" fontId="17" fillId="25" borderId="81" xfId="0" applyNumberFormat="1" applyFont="1" applyFill="1" applyBorder="1" applyAlignment="1">
      <alignment horizontal="center" vertical="center"/>
    </xf>
    <xf numFmtId="4" fontId="17" fillId="0" borderId="75" xfId="0" applyNumberFormat="1" applyFont="1" applyFill="1" applyBorder="1" applyAlignment="1">
      <alignment horizontal="center" vertical="center"/>
    </xf>
    <xf numFmtId="171" fontId="60" fillId="0" borderId="76" xfId="85" applyNumberFormat="1" applyFont="1" applyFill="1" applyBorder="1" applyAlignment="1">
      <alignment vertical="center"/>
    </xf>
    <xf numFmtId="4" fontId="17" fillId="0" borderId="76" xfId="0" applyNumberFormat="1" applyFont="1" applyFill="1" applyBorder="1" applyAlignment="1">
      <alignment horizontal="center" vertical="center"/>
    </xf>
    <xf numFmtId="4" fontId="17" fillId="0" borderId="77" xfId="0" applyNumberFormat="1" applyFont="1" applyFill="1" applyBorder="1" applyAlignment="1">
      <alignment horizontal="center" vertical="center"/>
    </xf>
    <xf numFmtId="171" fontId="60" fillId="0" borderId="76" xfId="85" applyNumberFormat="1" applyFont="1" applyBorder="1" applyAlignment="1">
      <alignment vertical="center"/>
    </xf>
    <xf numFmtId="171" fontId="60" fillId="0" borderId="77" xfId="85" applyNumberFormat="1" applyFont="1" applyBorder="1" applyAlignment="1">
      <alignment vertical="center"/>
    </xf>
    <xf numFmtId="0" fontId="61" fillId="0" borderId="75" xfId="0" applyFont="1" applyFill="1" applyBorder="1" applyAlignment="1">
      <alignment vertical="center"/>
    </xf>
    <xf numFmtId="0" fontId="60" fillId="0" borderId="76" xfId="0" applyFont="1" applyBorder="1" applyAlignment="1">
      <alignment vertical="center"/>
    </xf>
    <xf numFmtId="0" fontId="60" fillId="0" borderId="77" xfId="0" applyFont="1" applyBorder="1" applyAlignment="1">
      <alignment vertical="center"/>
    </xf>
    <xf numFmtId="4" fontId="61" fillId="0" borderId="80" xfId="0" applyNumberFormat="1" applyFont="1" applyBorder="1" applyAlignment="1">
      <alignment vertical="center"/>
    </xf>
    <xf numFmtId="4" fontId="61" fillId="0" borderId="76" xfId="0" applyNumberFormat="1" applyFont="1" applyBorder="1" applyAlignment="1">
      <alignment vertical="center"/>
    </xf>
    <xf numFmtId="4" fontId="61" fillId="25" borderId="81" xfId="0" applyNumberFormat="1" applyFont="1" applyFill="1" applyBorder="1" applyAlignment="1">
      <alignment vertical="center"/>
    </xf>
    <xf numFmtId="4" fontId="61" fillId="0" borderId="75" xfId="0" applyNumberFormat="1" applyFont="1" applyFill="1" applyBorder="1" applyAlignment="1">
      <alignment vertical="center"/>
    </xf>
    <xf numFmtId="4" fontId="61" fillId="0" borderId="76" xfId="0" applyNumberFormat="1" applyFont="1" applyFill="1" applyBorder="1" applyAlignment="1">
      <alignment vertical="center"/>
    </xf>
    <xf numFmtId="4" fontId="61" fillId="0" borderId="77" xfId="0" applyNumberFormat="1" applyFont="1" applyFill="1" applyBorder="1" applyAlignment="1">
      <alignment vertical="center"/>
    </xf>
    <xf numFmtId="10" fontId="60" fillId="0" borderId="37" xfId="85" applyNumberFormat="1" applyFont="1" applyFill="1" applyBorder="1"/>
    <xf numFmtId="10" fontId="60" fillId="0" borderId="37" xfId="0" applyNumberFormat="1" applyFont="1" applyFill="1" applyBorder="1"/>
    <xf numFmtId="10" fontId="60" fillId="0" borderId="11" xfId="85" applyNumberFormat="1" applyFont="1" applyFill="1" applyBorder="1"/>
    <xf numFmtId="0" fontId="60" fillId="0" borderId="18" xfId="0" applyFont="1" applyBorder="1" applyAlignment="1">
      <alignment vertical="center"/>
    </xf>
    <xf numFmtId="4" fontId="61" fillId="0" borderId="30" xfId="0" applyNumberFormat="1" applyFont="1" applyBorder="1" applyAlignment="1">
      <alignment vertical="center"/>
    </xf>
    <xf numFmtId="4" fontId="61" fillId="0" borderId="17" xfId="0" applyNumberFormat="1" applyFont="1" applyBorder="1" applyAlignment="1">
      <alignment vertical="center"/>
    </xf>
    <xf numFmtId="4" fontId="61" fillId="0" borderId="17" xfId="0" applyNumberFormat="1" applyFont="1" applyBorder="1" applyAlignment="1">
      <alignment horizontal="center" vertical="center"/>
    </xf>
    <xf numFmtId="4" fontId="61" fillId="0" borderId="17" xfId="0" applyNumberFormat="1" applyFont="1" applyFill="1" applyBorder="1" applyAlignment="1">
      <alignment horizontal="center" vertical="center"/>
    </xf>
    <xf numFmtId="4" fontId="61" fillId="25" borderId="27" xfId="0" applyNumberFormat="1" applyFont="1" applyFill="1" applyBorder="1" applyAlignment="1">
      <alignment horizontal="center" vertical="center"/>
    </xf>
    <xf numFmtId="4" fontId="61" fillId="0" borderId="16" xfId="0" applyNumberFormat="1" applyFont="1" applyFill="1" applyBorder="1" applyAlignment="1">
      <alignment vertical="center"/>
    </xf>
    <xf numFmtId="4" fontId="61" fillId="0" borderId="17" xfId="0" applyNumberFormat="1" applyFont="1" applyFill="1" applyBorder="1" applyAlignment="1">
      <alignment vertical="center"/>
    </xf>
    <xf numFmtId="4" fontId="61" fillId="0" borderId="18" xfId="0" applyNumberFormat="1" applyFont="1" applyFill="1" applyBorder="1" applyAlignment="1">
      <alignment vertical="center"/>
    </xf>
    <xf numFmtId="0" fontId="60" fillId="0" borderId="17" xfId="0" applyFont="1" applyBorder="1" applyAlignment="1">
      <alignment vertical="center"/>
    </xf>
    <xf numFmtId="4" fontId="61" fillId="0" borderId="102" xfId="0" applyNumberFormat="1" applyFont="1" applyBorder="1" applyAlignment="1">
      <alignment vertical="center"/>
    </xf>
    <xf numFmtId="4" fontId="61" fillId="0" borderId="102" xfId="0" applyNumberFormat="1" applyFont="1" applyBorder="1" applyAlignment="1">
      <alignment horizontal="center" vertical="center"/>
    </xf>
    <xf numFmtId="4" fontId="61" fillId="0" borderId="102" xfId="0" applyNumberFormat="1" applyFont="1" applyFill="1" applyBorder="1" applyAlignment="1">
      <alignment horizontal="center" vertical="center"/>
    </xf>
    <xf numFmtId="0" fontId="60" fillId="0" borderId="23" xfId="0" applyFont="1" applyBorder="1" applyAlignment="1">
      <alignment vertical="center"/>
    </xf>
    <xf numFmtId="4" fontId="61" fillId="0" borderId="101" xfId="0" applyNumberFormat="1" applyFont="1" applyBorder="1" applyAlignment="1">
      <alignment vertical="center"/>
    </xf>
    <xf numFmtId="4" fontId="61" fillId="0" borderId="96" xfId="0" applyNumberFormat="1" applyFont="1" applyBorder="1" applyAlignment="1">
      <alignment vertical="center"/>
    </xf>
    <xf numFmtId="4" fontId="61" fillId="0" borderId="96" xfId="0" applyNumberFormat="1" applyFont="1" applyFill="1" applyBorder="1" applyAlignment="1">
      <alignment horizontal="center" vertical="center"/>
    </xf>
    <xf numFmtId="4" fontId="61" fillId="25" borderId="109" xfId="0" applyNumberFormat="1" applyFont="1" applyFill="1" applyBorder="1" applyAlignment="1">
      <alignment horizontal="center" vertical="center"/>
    </xf>
    <xf numFmtId="4" fontId="61" fillId="0" borderId="21" xfId="0" applyNumberFormat="1" applyFont="1" applyFill="1" applyBorder="1" applyAlignment="1">
      <alignment vertical="center"/>
    </xf>
    <xf numFmtId="4" fontId="61" fillId="0" borderId="96" xfId="0" applyNumberFormat="1" applyFont="1" applyFill="1" applyBorder="1" applyAlignment="1">
      <alignment vertical="center"/>
    </xf>
    <xf numFmtId="4" fontId="61" fillId="0" borderId="23" xfId="0" applyNumberFormat="1" applyFont="1" applyFill="1" applyBorder="1" applyAlignment="1">
      <alignment vertical="center"/>
    </xf>
    <xf numFmtId="0" fontId="60" fillId="0" borderId="96" xfId="0" applyFont="1" applyBorder="1" applyAlignment="1">
      <alignment vertical="center"/>
    </xf>
    <xf numFmtId="0" fontId="61" fillId="0" borderId="49" xfId="0" applyFont="1" applyBorder="1" applyAlignment="1">
      <alignment vertical="center"/>
    </xf>
    <xf numFmtId="0" fontId="61" fillId="0" borderId="61" xfId="0" applyFont="1" applyBorder="1" applyAlignment="1">
      <alignment horizontal="center" vertical="center"/>
    </xf>
    <xf numFmtId="169" fontId="61" fillId="0" borderId="67" xfId="0" applyNumberFormat="1" applyFont="1" applyBorder="1" applyAlignment="1">
      <alignment horizontal="center" vertical="center"/>
    </xf>
    <xf numFmtId="4" fontId="61" fillId="0" borderId="74" xfId="0" applyNumberFormat="1" applyFont="1" applyBorder="1" applyAlignment="1">
      <alignment horizontal="center" vertical="center"/>
    </xf>
    <xf numFmtId="4" fontId="61" fillId="0" borderId="61" xfId="0" applyNumberFormat="1" applyFont="1" applyBorder="1" applyAlignment="1">
      <alignment horizontal="center" vertical="center"/>
    </xf>
    <xf numFmtId="4" fontId="60" fillId="0" borderId="61" xfId="0" applyNumberFormat="1" applyFont="1" applyBorder="1" applyAlignment="1">
      <alignment horizontal="center" vertical="center"/>
    </xf>
    <xf numFmtId="4" fontId="60" fillId="25" borderId="66" xfId="0" applyNumberFormat="1" applyFont="1" applyFill="1" applyBorder="1" applyAlignment="1">
      <alignment horizontal="center" vertical="center"/>
    </xf>
    <xf numFmtId="0" fontId="60" fillId="0" borderId="103" xfId="0" applyFont="1" applyFill="1" applyBorder="1"/>
    <xf numFmtId="0" fontId="60" fillId="0" borderId="109" xfId="0" applyFont="1" applyFill="1" applyBorder="1"/>
    <xf numFmtId="10" fontId="60" fillId="0" borderId="18" xfId="85" applyNumberFormat="1" applyFont="1" applyFill="1" applyBorder="1"/>
    <xf numFmtId="10" fontId="60" fillId="0" borderId="106" xfId="85" applyNumberFormat="1" applyFont="1" applyFill="1" applyBorder="1"/>
    <xf numFmtId="10" fontId="60" fillId="0" borderId="23" xfId="85" applyNumberFormat="1" applyFont="1" applyFill="1" applyBorder="1"/>
    <xf numFmtId="4" fontId="60" fillId="0" borderId="103" xfId="0" applyNumberFormat="1" applyFont="1" applyFill="1" applyBorder="1" applyAlignment="1">
      <alignment horizontal="center" vertical="center"/>
    </xf>
    <xf numFmtId="10" fontId="61" fillId="0" borderId="103" xfId="85" applyNumberFormat="1" applyFont="1" applyFill="1" applyBorder="1" applyAlignment="1">
      <alignment horizontal="center" vertical="center"/>
    </xf>
    <xf numFmtId="4" fontId="60" fillId="0" borderId="104" xfId="0" applyNumberFormat="1" applyFont="1" applyFill="1" applyBorder="1" applyAlignment="1">
      <alignment horizontal="center" vertical="center"/>
    </xf>
    <xf numFmtId="4" fontId="60" fillId="0" borderId="21" xfId="0" applyNumberFormat="1" applyFont="1" applyFill="1" applyBorder="1" applyAlignment="1">
      <alignment horizontal="center" vertical="center"/>
    </xf>
    <xf numFmtId="4" fontId="60" fillId="0" borderId="96" xfId="0" applyNumberFormat="1" applyFont="1" applyFill="1" applyBorder="1" applyAlignment="1">
      <alignment horizontal="center" vertical="center"/>
    </xf>
    <xf numFmtId="4" fontId="60" fillId="0" borderId="23" xfId="0" applyNumberFormat="1" applyFont="1" applyFill="1" applyBorder="1" applyAlignment="1">
      <alignment horizontal="center" vertical="center"/>
    </xf>
    <xf numFmtId="4" fontId="60" fillId="0" borderId="21" xfId="0" applyNumberFormat="1" applyFont="1" applyFill="1" applyBorder="1" applyAlignment="1">
      <alignment vertical="center"/>
    </xf>
    <xf numFmtId="10" fontId="60" fillId="0" borderId="38" xfId="85" applyNumberFormat="1" applyFont="1" applyFill="1" applyBorder="1"/>
    <xf numFmtId="4" fontId="60" fillId="0" borderId="109" xfId="0" applyNumberFormat="1" applyFont="1" applyFill="1" applyBorder="1" applyAlignment="1">
      <alignment horizontal="center" vertical="center"/>
    </xf>
    <xf numFmtId="4" fontId="17" fillId="0" borderId="81" xfId="0" applyNumberFormat="1" applyFont="1" applyFill="1" applyBorder="1" applyAlignment="1">
      <alignment horizontal="center" vertical="center"/>
    </xf>
    <xf numFmtId="4" fontId="60" fillId="0" borderId="111" xfId="0" applyNumberFormat="1" applyFont="1" applyFill="1" applyBorder="1" applyAlignment="1">
      <alignment horizontal="center" vertical="center"/>
    </xf>
    <xf numFmtId="10" fontId="60" fillId="0" borderId="37" xfId="0" applyNumberFormat="1" applyFont="1" applyBorder="1"/>
    <xf numFmtId="10" fontId="60" fillId="0" borderId="105" xfId="0" applyNumberFormat="1" applyFont="1" applyBorder="1"/>
    <xf numFmtId="10" fontId="60" fillId="0" borderId="21" xfId="0" applyNumberFormat="1" applyFont="1" applyBorder="1"/>
    <xf numFmtId="10" fontId="60" fillId="0" borderId="38" xfId="0" applyNumberFormat="1" applyFont="1" applyBorder="1"/>
    <xf numFmtId="10" fontId="60" fillId="0" borderId="106" xfId="0" applyNumberFormat="1" applyFont="1" applyBorder="1"/>
    <xf numFmtId="10" fontId="60" fillId="0" borderId="23" xfId="0" applyNumberFormat="1" applyFont="1" applyBorder="1"/>
    <xf numFmtId="10" fontId="60" fillId="0" borderId="11" xfId="0" applyNumberFormat="1" applyFont="1" applyBorder="1"/>
    <xf numFmtId="10" fontId="60" fillId="0" borderId="102" xfId="0" applyNumberFormat="1" applyFont="1" applyBorder="1"/>
    <xf numFmtId="10" fontId="60" fillId="0" borderId="96" xfId="0" applyNumberFormat="1" applyFont="1" applyBorder="1"/>
    <xf numFmtId="0" fontId="60" fillId="0" borderId="102" xfId="0" applyFont="1" applyFill="1" applyBorder="1" applyAlignment="1">
      <alignment vertical="center"/>
    </xf>
    <xf numFmtId="169" fontId="60" fillId="0" borderId="102" xfId="0" applyNumberFormat="1" applyFont="1" applyFill="1" applyBorder="1" applyAlignment="1">
      <alignment horizontal="center" vertical="center"/>
    </xf>
    <xf numFmtId="169" fontId="61" fillId="0" borderId="102" xfId="0" applyNumberFormat="1" applyFont="1" applyFill="1" applyBorder="1" applyAlignment="1">
      <alignment horizontal="center" vertical="center"/>
    </xf>
    <xf numFmtId="10" fontId="60" fillId="0" borderId="102" xfId="85" applyNumberFormat="1" applyFont="1" applyFill="1" applyBorder="1" applyAlignment="1">
      <alignment horizontal="center" vertical="center"/>
    </xf>
    <xf numFmtId="0" fontId="61" fillId="0" borderId="102" xfId="0" applyFont="1" applyFill="1" applyBorder="1" applyAlignment="1">
      <alignment horizontal="center" vertical="center"/>
    </xf>
    <xf numFmtId="0" fontId="60" fillId="25" borderId="102" xfId="0" applyFont="1" applyFill="1" applyBorder="1" applyAlignment="1">
      <alignment vertical="center"/>
    </xf>
    <xf numFmtId="10" fontId="60" fillId="0" borderId="102" xfId="85" applyNumberFormat="1" applyFont="1" applyFill="1" applyBorder="1" applyAlignment="1">
      <alignment vertical="center"/>
    </xf>
    <xf numFmtId="0" fontId="0" fillId="0" borderId="102" xfId="0" applyBorder="1"/>
    <xf numFmtId="0" fontId="62" fillId="0" borderId="0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/>
    </xf>
    <xf numFmtId="10" fontId="60" fillId="0" borderId="0" xfId="0" applyNumberFormat="1" applyFont="1" applyFill="1" applyBorder="1"/>
    <xf numFmtId="10" fontId="17" fillId="0" borderId="0" xfId="0" applyNumberFormat="1" applyFont="1" applyFill="1" applyBorder="1"/>
    <xf numFmtId="176" fontId="60" fillId="0" borderId="0" xfId="0" applyNumberFormat="1" applyFont="1" applyFill="1" applyBorder="1"/>
    <xf numFmtId="0" fontId="60" fillId="0" borderId="100" xfId="0" applyFont="1" applyFill="1" applyBorder="1" applyAlignment="1">
      <alignment horizontal="center" vertical="center"/>
    </xf>
    <xf numFmtId="0" fontId="61" fillId="0" borderId="100" xfId="0" applyFont="1" applyFill="1" applyBorder="1" applyAlignment="1">
      <alignment horizontal="center" vertical="center"/>
    </xf>
    <xf numFmtId="0" fontId="60" fillId="0" borderId="114" xfId="0" applyFont="1" applyFill="1" applyBorder="1" applyAlignment="1">
      <alignment vertical="center"/>
    </xf>
    <xf numFmtId="0" fontId="61" fillId="0" borderId="114" xfId="0" applyFont="1" applyFill="1" applyBorder="1" applyAlignment="1">
      <alignment vertical="center"/>
    </xf>
    <xf numFmtId="10" fontId="60" fillId="0" borderId="103" xfId="85" applyNumberFormat="1" applyFont="1" applyFill="1" applyBorder="1" applyAlignment="1">
      <alignment horizontal="center" vertical="center"/>
    </xf>
    <xf numFmtId="0" fontId="60" fillId="0" borderId="100" xfId="0" applyFont="1" applyFill="1" applyBorder="1" applyAlignment="1">
      <alignment vertical="center"/>
    </xf>
    <xf numFmtId="0" fontId="60" fillId="0" borderId="100" xfId="0" applyFont="1" applyBorder="1" applyAlignment="1">
      <alignment vertical="center"/>
    </xf>
    <xf numFmtId="0" fontId="61" fillId="0" borderId="115" xfId="0" applyFont="1" applyFill="1" applyBorder="1" applyAlignment="1">
      <alignment vertical="center"/>
    </xf>
    <xf numFmtId="0" fontId="61" fillId="0" borderId="110" xfId="0" applyFont="1" applyFill="1" applyBorder="1" applyAlignment="1">
      <alignment horizontal="center" vertical="center"/>
    </xf>
    <xf numFmtId="0" fontId="61" fillId="0" borderId="97" xfId="0" applyFont="1" applyFill="1" applyBorder="1" applyAlignment="1">
      <alignment horizontal="center" vertical="center"/>
    </xf>
    <xf numFmtId="0" fontId="60" fillId="0" borderId="103" xfId="0" applyFont="1" applyFill="1" applyBorder="1" applyAlignment="1">
      <alignment vertical="center"/>
    </xf>
    <xf numFmtId="0" fontId="60" fillId="25" borderId="103" xfId="0" applyFont="1" applyFill="1" applyBorder="1" applyAlignment="1">
      <alignment vertical="center"/>
    </xf>
    <xf numFmtId="0" fontId="60" fillId="0" borderId="99" xfId="0" applyFont="1" applyFill="1" applyBorder="1" applyAlignment="1">
      <alignment vertical="center"/>
    </xf>
    <xf numFmtId="0" fontId="60" fillId="0" borderId="113" xfId="0" applyFont="1" applyFill="1" applyBorder="1" applyAlignment="1">
      <alignment vertical="center"/>
    </xf>
    <xf numFmtId="0" fontId="60" fillId="0" borderId="36" xfId="0" applyFont="1" applyFill="1" applyBorder="1" applyAlignment="1">
      <alignment vertical="center"/>
    </xf>
    <xf numFmtId="0" fontId="60" fillId="0" borderId="68" xfId="0" applyFont="1" applyFill="1" applyBorder="1" applyAlignment="1">
      <alignment vertical="center"/>
    </xf>
    <xf numFmtId="10" fontId="60" fillId="0" borderId="11" xfId="85" applyNumberFormat="1" applyFont="1" applyFill="1" applyBorder="1" applyAlignment="1">
      <alignment vertical="center"/>
    </xf>
    <xf numFmtId="0" fontId="60" fillId="0" borderId="31" xfId="0" applyFont="1" applyBorder="1" applyAlignment="1">
      <alignment vertical="center"/>
    </xf>
    <xf numFmtId="4" fontId="60" fillId="0" borderId="106" xfId="0" applyNumberFormat="1" applyFont="1" applyFill="1" applyBorder="1" applyAlignment="1">
      <alignment vertical="center"/>
    </xf>
    <xf numFmtId="10" fontId="60" fillId="0" borderId="105" xfId="85" applyNumberFormat="1" applyFont="1" applyFill="1" applyBorder="1" applyAlignment="1">
      <alignment horizontal="center" vertical="center"/>
    </xf>
    <xf numFmtId="10" fontId="60" fillId="0" borderId="106" xfId="85" applyNumberFormat="1" applyFont="1" applyFill="1" applyBorder="1" applyAlignment="1">
      <alignment horizontal="center" vertical="center"/>
    </xf>
    <xf numFmtId="4" fontId="60" fillId="0" borderId="96" xfId="0" applyNumberFormat="1" applyFont="1" applyFill="1" applyBorder="1" applyAlignment="1">
      <alignment vertical="center"/>
    </xf>
    <xf numFmtId="4" fontId="60" fillId="0" borderId="23" xfId="0" applyNumberFormat="1" applyFont="1" applyFill="1" applyBorder="1" applyAlignment="1">
      <alignment vertical="center"/>
    </xf>
    <xf numFmtId="4" fontId="60" fillId="0" borderId="97" xfId="0" applyNumberFormat="1" applyFont="1" applyFill="1" applyBorder="1" applyAlignment="1">
      <alignment vertical="center"/>
    </xf>
    <xf numFmtId="4" fontId="60" fillId="0" borderId="107" xfId="0" applyNumberFormat="1" applyFont="1" applyFill="1" applyBorder="1" applyAlignment="1">
      <alignment vertical="center"/>
    </xf>
    <xf numFmtId="0" fontId="60" fillId="0" borderId="105" xfId="0" applyFont="1" applyFill="1" applyBorder="1" applyAlignment="1">
      <alignment vertical="center"/>
    </xf>
    <xf numFmtId="10" fontId="60" fillId="0" borderId="96" xfId="85" applyNumberFormat="1" applyFont="1" applyFill="1" applyBorder="1" applyAlignment="1">
      <alignment vertical="center"/>
    </xf>
    <xf numFmtId="0" fontId="60" fillId="0" borderId="96" xfId="0" applyFont="1" applyFill="1" applyBorder="1" applyAlignment="1">
      <alignment vertical="center"/>
    </xf>
    <xf numFmtId="10" fontId="60" fillId="0" borderId="105" xfId="85" applyNumberFormat="1" applyFont="1" applyFill="1" applyBorder="1" applyAlignment="1">
      <alignment vertical="center"/>
    </xf>
    <xf numFmtId="10" fontId="60" fillId="0" borderId="21" xfId="85" applyNumberFormat="1" applyFont="1" applyFill="1" applyBorder="1" applyAlignment="1">
      <alignment vertical="center"/>
    </xf>
    <xf numFmtId="10" fontId="60" fillId="0" borderId="37" xfId="85" applyNumberFormat="1" applyFont="1" applyFill="1" applyBorder="1" applyAlignment="1">
      <alignment vertical="center"/>
    </xf>
    <xf numFmtId="169" fontId="61" fillId="0" borderId="97" xfId="0" applyNumberFormat="1" applyFont="1" applyFill="1" applyBorder="1" applyAlignment="1">
      <alignment horizontal="center" vertical="center"/>
    </xf>
    <xf numFmtId="4" fontId="61" fillId="0" borderId="97" xfId="0" applyNumberFormat="1" applyFont="1" applyFill="1" applyBorder="1" applyAlignment="1">
      <alignment horizontal="center" vertical="center"/>
    </xf>
    <xf numFmtId="0" fontId="60" fillId="25" borderId="11" xfId="0" applyFont="1" applyFill="1" applyBorder="1" applyAlignment="1">
      <alignment vertical="center"/>
    </xf>
    <xf numFmtId="0" fontId="60" fillId="25" borderId="35" xfId="0" applyFont="1" applyFill="1" applyBorder="1" applyAlignment="1">
      <alignment vertical="center"/>
    </xf>
    <xf numFmtId="0" fontId="60" fillId="0" borderId="37" xfId="0" applyFont="1" applyFill="1" applyBorder="1" applyAlignment="1">
      <alignment vertical="center"/>
    </xf>
    <xf numFmtId="0" fontId="60" fillId="0" borderId="101" xfId="0" applyFont="1" applyFill="1" applyBorder="1" applyAlignment="1">
      <alignment vertical="center"/>
    </xf>
    <xf numFmtId="169" fontId="60" fillId="0" borderId="96" xfId="0" applyNumberFormat="1" applyFont="1" applyFill="1" applyBorder="1" applyAlignment="1">
      <alignment horizontal="center" vertical="center"/>
    </xf>
    <xf numFmtId="0" fontId="60" fillId="0" borderId="109" xfId="0" applyFont="1" applyFill="1" applyBorder="1" applyAlignment="1">
      <alignment vertical="center"/>
    </xf>
    <xf numFmtId="0" fontId="60" fillId="0" borderId="31" xfId="0" applyFont="1" applyFill="1" applyBorder="1" applyAlignment="1">
      <alignment vertical="center"/>
    </xf>
    <xf numFmtId="0" fontId="83" fillId="0" borderId="52" xfId="0" applyFont="1" applyFill="1" applyBorder="1" applyAlignment="1">
      <alignment vertical="center"/>
    </xf>
    <xf numFmtId="0" fontId="17" fillId="0" borderId="53" xfId="0" applyFont="1" applyFill="1" applyBorder="1" applyAlignment="1">
      <alignment horizontal="center" vertical="center"/>
    </xf>
    <xf numFmtId="169" fontId="17" fillId="0" borderId="59" xfId="0" applyNumberFormat="1" applyFont="1" applyFill="1" applyBorder="1" applyAlignment="1">
      <alignment horizontal="center" vertical="center"/>
    </xf>
    <xf numFmtId="169" fontId="61" fillId="0" borderId="80" xfId="0" applyNumberFormat="1" applyFont="1" applyFill="1" applyBorder="1" applyAlignment="1">
      <alignment horizontal="center" vertical="center"/>
    </xf>
    <xf numFmtId="4" fontId="61" fillId="0" borderId="76" xfId="0" applyNumberFormat="1" applyFont="1" applyFill="1" applyBorder="1" applyAlignment="1">
      <alignment horizontal="center" vertical="center"/>
    </xf>
    <xf numFmtId="10" fontId="60" fillId="0" borderId="76" xfId="85" applyNumberFormat="1" applyFont="1" applyBorder="1" applyAlignment="1">
      <alignment vertical="center"/>
    </xf>
    <xf numFmtId="169" fontId="60" fillId="0" borderId="11" xfId="0" applyNumberFormat="1" applyFont="1" applyFill="1" applyBorder="1" applyAlignment="1">
      <alignment horizontal="center" vertical="center"/>
    </xf>
    <xf numFmtId="0" fontId="60" fillId="0" borderId="35" xfId="0" applyFont="1" applyFill="1" applyBorder="1" applyAlignment="1">
      <alignment vertical="center"/>
    </xf>
    <xf numFmtId="4" fontId="60" fillId="0" borderId="37" xfId="0" applyNumberFormat="1" applyFont="1" applyFill="1" applyBorder="1" applyAlignment="1">
      <alignment horizontal="center" vertical="center"/>
    </xf>
    <xf numFmtId="4" fontId="60" fillId="0" borderId="38" xfId="0" applyNumberFormat="1" applyFont="1" applyFill="1" applyBorder="1" applyAlignment="1">
      <alignment horizontal="center" vertical="center"/>
    </xf>
    <xf numFmtId="0" fontId="61" fillId="0" borderId="52" xfId="0" applyFont="1" applyFill="1" applyBorder="1" applyAlignment="1">
      <alignment vertical="center"/>
    </xf>
    <xf numFmtId="0" fontId="60" fillId="0" borderId="53" xfId="0" applyFont="1" applyFill="1" applyBorder="1" applyAlignment="1">
      <alignment vertical="center"/>
    </xf>
    <xf numFmtId="0" fontId="60" fillId="0" borderId="59" xfId="0" applyFont="1" applyFill="1" applyBorder="1" applyAlignment="1">
      <alignment vertical="center"/>
    </xf>
    <xf numFmtId="0" fontId="60" fillId="0" borderId="80" xfId="0" applyFont="1" applyFill="1" applyBorder="1" applyAlignment="1">
      <alignment vertical="center"/>
    </xf>
    <xf numFmtId="0" fontId="60" fillId="0" borderId="76" xfId="0" applyFont="1" applyFill="1" applyBorder="1" applyAlignment="1">
      <alignment vertical="center"/>
    </xf>
    <xf numFmtId="170" fontId="60" fillId="0" borderId="76" xfId="0" applyNumberFormat="1" applyFont="1" applyFill="1" applyBorder="1" applyAlignment="1">
      <alignment horizontal="center" vertical="center"/>
    </xf>
    <xf numFmtId="170" fontId="60" fillId="0" borderId="76" xfId="0" applyNumberFormat="1" applyFont="1" applyFill="1" applyBorder="1" applyAlignment="1">
      <alignment vertical="center"/>
    </xf>
    <xf numFmtId="170" fontId="60" fillId="0" borderId="81" xfId="0" applyNumberFormat="1" applyFont="1" applyFill="1" applyBorder="1" applyAlignment="1">
      <alignment vertical="center"/>
    </xf>
    <xf numFmtId="170" fontId="60" fillId="0" borderId="75" xfId="0" applyNumberFormat="1" applyFont="1" applyFill="1" applyBorder="1" applyAlignment="1">
      <alignment vertical="center"/>
    </xf>
    <xf numFmtId="170" fontId="60" fillId="0" borderId="76" xfId="0" applyNumberFormat="1" applyFont="1" applyBorder="1" applyAlignment="1">
      <alignment vertical="center"/>
    </xf>
    <xf numFmtId="170" fontId="60" fillId="0" borderId="77" xfId="0" applyNumberFormat="1" applyFont="1" applyFill="1" applyBorder="1" applyAlignment="1">
      <alignment vertical="center"/>
    </xf>
    <xf numFmtId="10" fontId="60" fillId="0" borderId="37" xfId="0" applyNumberFormat="1" applyFont="1" applyBorder="1" applyAlignment="1">
      <alignment vertical="center"/>
    </xf>
    <xf numFmtId="10" fontId="60" fillId="0" borderId="105" xfId="0" applyNumberFormat="1" applyFont="1" applyBorder="1" applyAlignment="1">
      <alignment vertical="center"/>
    </xf>
    <xf numFmtId="10" fontId="60" fillId="0" borderId="21" xfId="0" applyNumberFormat="1" applyFont="1" applyBorder="1" applyAlignment="1">
      <alignment vertical="center"/>
    </xf>
    <xf numFmtId="4" fontId="60" fillId="0" borderId="16" xfId="0" applyNumberFormat="1" applyFont="1" applyFill="1" applyBorder="1" applyAlignment="1">
      <alignment horizontal="center" vertical="center"/>
    </xf>
    <xf numFmtId="4" fontId="60" fillId="0" borderId="17" xfId="0" applyNumberFormat="1" applyFont="1" applyFill="1" applyBorder="1" applyAlignment="1">
      <alignment horizontal="center" vertical="center"/>
    </xf>
    <xf numFmtId="4" fontId="60" fillId="0" borderId="18" xfId="0" applyNumberFormat="1" applyFont="1" applyFill="1" applyBorder="1" applyAlignment="1">
      <alignment horizontal="center" vertical="center"/>
    </xf>
    <xf numFmtId="4" fontId="0" fillId="0" borderId="102" xfId="0" applyNumberFormat="1" applyBorder="1"/>
    <xf numFmtId="4" fontId="0" fillId="0" borderId="96" xfId="0" applyNumberFormat="1" applyBorder="1"/>
    <xf numFmtId="0" fontId="0" fillId="0" borderId="13" xfId="0" applyBorder="1" applyAlignment="1">
      <alignment horizontal="center" vertical="center"/>
    </xf>
    <xf numFmtId="0" fontId="0" fillId="0" borderId="114" xfId="0" applyBorder="1"/>
    <xf numFmtId="0" fontId="0" fillId="0" borderId="15" xfId="0" applyBorder="1"/>
    <xf numFmtId="0" fontId="0" fillId="0" borderId="16" xfId="0" applyBorder="1" applyAlignment="1">
      <alignment horizontal="center" vertical="center" wrapText="1"/>
    </xf>
    <xf numFmtId="4" fontId="0" fillId="0" borderId="105" xfId="0" applyNumberFormat="1" applyBorder="1"/>
    <xf numFmtId="4" fontId="0" fillId="0" borderId="21" xfId="0" applyNumberFormat="1" applyBorder="1"/>
    <xf numFmtId="0" fontId="60" fillId="0" borderId="117" xfId="0" applyFont="1" applyFill="1" applyBorder="1" applyAlignment="1">
      <alignment horizontal="center" vertical="center" wrapText="1"/>
    </xf>
    <xf numFmtId="0" fontId="60" fillId="0" borderId="71" xfId="0" applyFont="1" applyFill="1" applyBorder="1" applyAlignment="1">
      <alignment horizontal="center" vertical="center"/>
    </xf>
    <xf numFmtId="170" fontId="17" fillId="0" borderId="98" xfId="0" applyNumberFormat="1" applyFont="1" applyFill="1" applyBorder="1" applyAlignment="1">
      <alignment horizontal="right" vertical="center"/>
    </xf>
    <xf numFmtId="170" fontId="60" fillId="0" borderId="98" xfId="0" applyNumberFormat="1" applyFont="1" applyFill="1" applyBorder="1" applyAlignment="1">
      <alignment horizontal="right" vertical="center"/>
    </xf>
    <xf numFmtId="170" fontId="60" fillId="0" borderId="99" xfId="0" applyNumberFormat="1" applyFont="1" applyFill="1" applyBorder="1" applyAlignment="1">
      <alignment horizontal="right" vertical="center"/>
    </xf>
    <xf numFmtId="0" fontId="82" fillId="0" borderId="47" xfId="0" applyFont="1" applyBorder="1"/>
    <xf numFmtId="0" fontId="60" fillId="0" borderId="96" xfId="0" applyFont="1" applyFill="1" applyBorder="1" applyAlignment="1">
      <alignment horizontal="center" vertical="center" wrapText="1"/>
    </xf>
    <xf numFmtId="0" fontId="60" fillId="0" borderId="109" xfId="0" applyFont="1" applyFill="1" applyBorder="1" applyAlignment="1">
      <alignment horizontal="center" vertical="center" wrapText="1"/>
    </xf>
    <xf numFmtId="171" fontId="17" fillId="0" borderId="102" xfId="0" applyNumberFormat="1" applyFont="1" applyFill="1" applyBorder="1" applyAlignment="1">
      <alignment horizontal="center" vertical="center" wrapText="1"/>
    </xf>
    <xf numFmtId="171" fontId="60" fillId="0" borderId="23" xfId="85" applyNumberFormat="1" applyFont="1" applyFill="1" applyBorder="1" applyAlignment="1">
      <alignment vertical="center"/>
    </xf>
    <xf numFmtId="1" fontId="60" fillId="0" borderId="21" xfId="0" applyNumberFormat="1" applyFont="1" applyFill="1" applyBorder="1" applyAlignment="1">
      <alignment vertical="center"/>
    </xf>
    <xf numFmtId="10" fontId="60" fillId="0" borderId="23" xfId="85" applyNumberFormat="1" applyFont="1" applyFill="1" applyBorder="1" applyAlignment="1">
      <alignment vertical="center"/>
    </xf>
    <xf numFmtId="0" fontId="62" fillId="0" borderId="0" xfId="0" applyFont="1" applyBorder="1" applyAlignment="1">
      <alignment horizontal="center" vertical="center" wrapText="1"/>
    </xf>
    <xf numFmtId="0" fontId="82" fillId="0" borderId="0" xfId="0" applyFont="1" applyBorder="1"/>
    <xf numFmtId="166" fontId="82" fillId="0" borderId="0" xfId="0" applyNumberFormat="1" applyFont="1" applyBorder="1"/>
    <xf numFmtId="1" fontId="60" fillId="0" borderId="37" xfId="0" applyNumberFormat="1" applyFont="1" applyFill="1" applyBorder="1" applyAlignment="1">
      <alignment vertical="center"/>
    </xf>
    <xf numFmtId="171" fontId="60" fillId="0" borderId="38" xfId="85" applyNumberFormat="1" applyFont="1" applyFill="1" applyBorder="1" applyAlignment="1">
      <alignment vertical="center"/>
    </xf>
    <xf numFmtId="0" fontId="0" fillId="0" borderId="0" xfId="0" applyAlignment="1">
      <alignment vertical="center"/>
    </xf>
    <xf numFmtId="4" fontId="12" fillId="0" borderId="35" xfId="0" applyNumberFormat="1" applyFont="1" applyBorder="1" applyAlignment="1">
      <alignment horizontal="center" vertical="center" wrapText="1"/>
    </xf>
    <xf numFmtId="4" fontId="17" fillId="0" borderId="105" xfId="0" applyNumberFormat="1" applyFont="1" applyFill="1" applyBorder="1" applyAlignment="1">
      <alignment horizontal="center" vertical="center" wrapText="1"/>
    </xf>
    <xf numFmtId="171" fontId="60" fillId="0" borderId="102" xfId="0" applyNumberFormat="1" applyFont="1" applyFill="1" applyBorder="1" applyAlignment="1">
      <alignment horizontal="center" vertical="center" wrapText="1"/>
    </xf>
    <xf numFmtId="4" fontId="17" fillId="0" borderId="102" xfId="0" applyNumberFormat="1" applyFont="1" applyFill="1" applyBorder="1" applyAlignment="1">
      <alignment horizontal="center" vertical="center" wrapText="1"/>
    </xf>
    <xf numFmtId="4" fontId="17" fillId="0" borderId="106" xfId="0" applyNumberFormat="1" applyFont="1" applyFill="1" applyBorder="1" applyAlignment="1">
      <alignment horizontal="center" vertical="center" wrapText="1"/>
    </xf>
    <xf numFmtId="4" fontId="60" fillId="0" borderId="105" xfId="0" applyNumberFormat="1" applyFont="1" applyFill="1" applyBorder="1" applyAlignment="1">
      <alignment horizontal="center" vertical="center" wrapText="1"/>
    </xf>
    <xf numFmtId="4" fontId="17" fillId="0" borderId="102" xfId="0" applyNumberFormat="1" applyFont="1" applyFill="1" applyBorder="1" applyAlignment="1">
      <alignment horizontal="center" vertical="center"/>
    </xf>
    <xf numFmtId="4" fontId="17" fillId="0" borderId="106" xfId="0" applyNumberFormat="1" applyFont="1" applyFill="1" applyBorder="1" applyAlignment="1">
      <alignment horizontal="center" vertical="center"/>
    </xf>
    <xf numFmtId="4" fontId="17" fillId="0" borderId="105" xfId="0" applyNumberFormat="1" applyFont="1" applyFill="1" applyBorder="1" applyAlignment="1">
      <alignment horizontal="center" vertical="center"/>
    </xf>
    <xf numFmtId="4" fontId="17" fillId="0" borderId="96" xfId="0" applyNumberFormat="1" applyFont="1" applyFill="1" applyBorder="1" applyAlignment="1">
      <alignment horizontal="center" vertical="center"/>
    </xf>
    <xf numFmtId="4" fontId="17" fillId="0" borderId="23" xfId="0" applyNumberFormat="1" applyFont="1" applyFill="1" applyBorder="1" applyAlignment="1">
      <alignment horizontal="center" vertical="center"/>
    </xf>
    <xf numFmtId="0" fontId="13" fillId="0" borderId="100" xfId="0" applyFont="1" applyBorder="1" applyAlignment="1">
      <alignment horizontal="center" vertical="center"/>
    </xf>
    <xf numFmtId="0" fontId="14" fillId="0" borderId="100" xfId="0" applyFont="1" applyBorder="1" applyAlignment="1">
      <alignment horizontal="center" vertical="center"/>
    </xf>
    <xf numFmtId="0" fontId="12" fillId="0" borderId="100" xfId="0" applyFont="1" applyBorder="1" applyAlignment="1">
      <alignment horizontal="center" vertical="center"/>
    </xf>
    <xf numFmtId="0" fontId="12" fillId="0" borderId="110" xfId="0" applyFont="1" applyBorder="1" applyAlignment="1">
      <alignment horizontal="center" vertical="center"/>
    </xf>
    <xf numFmtId="2" fontId="12" fillId="0" borderId="100" xfId="0" applyNumberFormat="1" applyFont="1" applyBorder="1" applyAlignment="1">
      <alignment horizontal="center" vertical="center"/>
    </xf>
    <xf numFmtId="0" fontId="17" fillId="0" borderId="34" xfId="0" applyFont="1" applyBorder="1" applyAlignment="1">
      <alignment horizontal="left" vertical="center"/>
    </xf>
    <xf numFmtId="0" fontId="60" fillId="0" borderId="114" xfId="0" applyFont="1" applyBorder="1" applyAlignment="1">
      <alignment vertical="center"/>
    </xf>
    <xf numFmtId="0" fontId="61" fillId="0" borderId="114" xfId="0" applyFont="1" applyBorder="1" applyAlignment="1">
      <alignment vertical="center"/>
    </xf>
    <xf numFmtId="0" fontId="17" fillId="0" borderId="114" xfId="0" applyFont="1" applyBorder="1" applyAlignment="1">
      <alignment vertical="center"/>
    </xf>
    <xf numFmtId="0" fontId="17" fillId="0" borderId="115" xfId="0" applyFont="1" applyBorder="1" applyAlignment="1">
      <alignment vertical="center" wrapText="1"/>
    </xf>
    <xf numFmtId="0" fontId="17" fillId="0" borderId="114" xfId="0" applyFont="1" applyBorder="1" applyAlignment="1">
      <alignment vertical="center" wrapText="1"/>
    </xf>
    <xf numFmtId="0" fontId="60" fillId="0" borderId="114" xfId="0" applyFont="1" applyBorder="1" applyAlignment="1">
      <alignment vertical="center" wrapText="1"/>
    </xf>
    <xf numFmtId="0" fontId="17" fillId="0" borderId="114" xfId="0" applyFont="1" applyFill="1" applyBorder="1" applyAlignment="1">
      <alignment vertical="center" wrapText="1"/>
    </xf>
    <xf numFmtId="0" fontId="17" fillId="0" borderId="114" xfId="0" applyFont="1" applyFill="1" applyBorder="1" applyAlignment="1">
      <alignment vertical="center"/>
    </xf>
    <xf numFmtId="0" fontId="17" fillId="0" borderId="15" xfId="0" applyFont="1" applyFill="1" applyBorder="1" applyAlignment="1">
      <alignment vertical="center" wrapText="1"/>
    </xf>
    <xf numFmtId="4" fontId="13" fillId="0" borderId="103" xfId="0" applyNumberFormat="1" applyFont="1" applyBorder="1" applyAlignment="1">
      <alignment horizontal="center" vertical="center"/>
    </xf>
    <xf numFmtId="4" fontId="14" fillId="0" borderId="35" xfId="0" applyNumberFormat="1" applyFont="1" applyBorder="1" applyAlignment="1">
      <alignment horizontal="center" vertical="center"/>
    </xf>
    <xf numFmtId="4" fontId="13" fillId="0" borderId="35" xfId="0" applyNumberFormat="1" applyFont="1" applyBorder="1" applyAlignment="1">
      <alignment horizontal="center" vertical="center"/>
    </xf>
    <xf numFmtId="4" fontId="12" fillId="0" borderId="103" xfId="0" applyNumberFormat="1" applyFont="1" applyBorder="1" applyAlignment="1">
      <alignment horizontal="center" vertical="center"/>
    </xf>
    <xf numFmtId="10" fontId="14" fillId="0" borderId="103" xfId="85" applyNumberFormat="1" applyFont="1" applyBorder="1" applyAlignment="1">
      <alignment horizontal="center" vertical="center"/>
    </xf>
    <xf numFmtId="4" fontId="12" fillId="0" borderId="104" xfId="0" applyNumberFormat="1" applyFont="1" applyBorder="1" applyAlignment="1">
      <alignment horizontal="center" vertical="center"/>
    </xf>
    <xf numFmtId="4" fontId="12" fillId="0" borderId="109" xfId="0" applyNumberFormat="1" applyFont="1" applyBorder="1" applyAlignment="1">
      <alignment horizontal="center" vertical="center"/>
    </xf>
    <xf numFmtId="4" fontId="17" fillId="0" borderId="114" xfId="0" applyNumberFormat="1" applyFont="1" applyFill="1" applyBorder="1" applyAlignment="1">
      <alignment horizontal="center" vertical="center" wrapText="1"/>
    </xf>
    <xf numFmtId="4" fontId="60" fillId="0" borderId="114" xfId="0" applyNumberFormat="1" applyFont="1" applyFill="1" applyBorder="1" applyAlignment="1">
      <alignment horizontal="center" vertical="center"/>
    </xf>
    <xf numFmtId="10" fontId="61" fillId="0" borderId="114" xfId="85" applyNumberFormat="1" applyFont="1" applyFill="1" applyBorder="1" applyAlignment="1">
      <alignment horizontal="center" vertical="center"/>
    </xf>
    <xf numFmtId="4" fontId="17" fillId="0" borderId="114" xfId="0" applyNumberFormat="1" applyFont="1" applyFill="1" applyBorder="1" applyAlignment="1">
      <alignment horizontal="center" vertical="center"/>
    </xf>
    <xf numFmtId="4" fontId="17" fillId="0" borderId="15" xfId="0" applyNumberFormat="1" applyFont="1" applyFill="1" applyBorder="1" applyAlignment="1">
      <alignment horizontal="center" vertical="center"/>
    </xf>
    <xf numFmtId="171" fontId="61" fillId="0" borderId="98" xfId="85" applyNumberFormat="1" applyFont="1" applyFill="1" applyBorder="1" applyAlignment="1">
      <alignment horizontal="center" vertical="center"/>
    </xf>
    <xf numFmtId="4" fontId="61" fillId="0" borderId="98" xfId="85" applyNumberFormat="1" applyFont="1" applyFill="1" applyBorder="1" applyAlignment="1">
      <alignment horizontal="center" vertical="center"/>
    </xf>
    <xf numFmtId="171" fontId="61" fillId="0" borderId="102" xfId="85" applyNumberFormat="1" applyFont="1" applyFill="1" applyBorder="1" applyAlignment="1">
      <alignment horizontal="center" vertical="center"/>
    </xf>
    <xf numFmtId="4" fontId="61" fillId="0" borderId="106" xfId="0" applyNumberFormat="1" applyFont="1" applyFill="1" applyBorder="1" applyAlignment="1">
      <alignment horizontal="center" vertical="center"/>
    </xf>
    <xf numFmtId="4" fontId="61" fillId="0" borderId="102" xfId="85" applyNumberFormat="1" applyFont="1" applyFill="1" applyBorder="1" applyAlignment="1">
      <alignment horizontal="center" vertical="center"/>
    </xf>
    <xf numFmtId="0" fontId="0" fillId="0" borderId="17" xfId="0" applyBorder="1" applyAlignment="1">
      <alignment horizontal="center" vertical="center" wrapText="1"/>
    </xf>
    <xf numFmtId="171" fontId="83" fillId="0" borderId="98" xfId="85" applyNumberFormat="1" applyFont="1" applyFill="1" applyBorder="1" applyAlignment="1">
      <alignment horizontal="center" vertical="center"/>
    </xf>
    <xf numFmtId="171" fontId="83" fillId="0" borderId="102" xfId="85" applyNumberFormat="1" applyFont="1" applyFill="1" applyBorder="1" applyAlignment="1">
      <alignment horizontal="center" vertical="center"/>
    </xf>
    <xf numFmtId="0" fontId="56" fillId="0" borderId="16" xfId="0" applyFont="1" applyBorder="1" applyAlignment="1">
      <alignment vertical="center" wrapText="1"/>
    </xf>
    <xf numFmtId="0" fontId="94" fillId="0" borderId="17" xfId="0" applyFont="1" applyBorder="1" applyAlignment="1">
      <alignment vertical="center" wrapText="1"/>
    </xf>
    <xf numFmtId="0" fontId="94" fillId="0" borderId="17" xfId="0" applyFont="1" applyBorder="1" applyAlignment="1">
      <alignment vertical="center"/>
    </xf>
    <xf numFmtId="4" fontId="94" fillId="0" borderId="17" xfId="0" applyNumberFormat="1" applyFont="1" applyBorder="1" applyAlignment="1">
      <alignment vertical="center"/>
    </xf>
    <xf numFmtId="4" fontId="94" fillId="0" borderId="18" xfId="0" applyNumberFormat="1" applyFont="1" applyBorder="1" applyAlignment="1">
      <alignment vertical="center"/>
    </xf>
    <xf numFmtId="0" fontId="56" fillId="0" borderId="108" xfId="0" applyFont="1" applyBorder="1" applyAlignment="1">
      <alignment vertical="center" wrapText="1"/>
    </xf>
    <xf numFmtId="0" fontId="94" fillId="0" borderId="119" xfId="0" applyFont="1" applyBorder="1" applyAlignment="1">
      <alignment vertical="center" wrapText="1"/>
    </xf>
    <xf numFmtId="0" fontId="94" fillId="0" borderId="119" xfId="0" applyFont="1" applyBorder="1" applyAlignment="1">
      <alignment vertical="center"/>
    </xf>
    <xf numFmtId="4" fontId="94" fillId="0" borderId="119" xfId="0" applyNumberFormat="1" applyFont="1" applyBorder="1" applyAlignment="1">
      <alignment vertical="center"/>
    </xf>
    <xf numFmtId="4" fontId="94" fillId="0" borderId="120" xfId="0" applyNumberFormat="1" applyFont="1" applyBorder="1" applyAlignment="1">
      <alignment vertical="center"/>
    </xf>
    <xf numFmtId="4" fontId="0" fillId="0" borderId="105" xfId="0" applyNumberFormat="1" applyFill="1" applyBorder="1"/>
    <xf numFmtId="0" fontId="60" fillId="0" borderId="11" xfId="0" applyFont="1" applyFill="1" applyBorder="1" applyAlignment="1">
      <alignment horizontal="center" vertical="center" wrapText="1"/>
    </xf>
    <xf numFmtId="0" fontId="17" fillId="0" borderId="11" xfId="0" applyFont="1" applyFill="1" applyBorder="1" applyAlignment="1">
      <alignment horizontal="center" vertical="center" wrapText="1"/>
    </xf>
    <xf numFmtId="0" fontId="13" fillId="0" borderId="11" xfId="0" applyFont="1" applyBorder="1" applyAlignment="1">
      <alignment horizontal="center" vertical="center" wrapText="1"/>
    </xf>
    <xf numFmtId="0" fontId="0" fillId="0" borderId="0" xfId="0" applyAlignment="1">
      <alignment vertical="center"/>
    </xf>
    <xf numFmtId="171" fontId="83" fillId="0" borderId="99" xfId="85" applyNumberFormat="1" applyFont="1" applyFill="1" applyBorder="1" applyAlignment="1">
      <alignment horizontal="center" vertical="center"/>
    </xf>
    <xf numFmtId="171" fontId="83" fillId="0" borderId="96" xfId="85" applyNumberFormat="1" applyFont="1" applyFill="1" applyBorder="1" applyAlignment="1">
      <alignment horizontal="center" vertical="center"/>
    </xf>
    <xf numFmtId="171" fontId="17" fillId="0" borderId="96" xfId="0" applyNumberFormat="1" applyFont="1" applyFill="1" applyBorder="1" applyAlignment="1">
      <alignment horizontal="center" vertical="center" wrapText="1"/>
    </xf>
    <xf numFmtId="0" fontId="17" fillId="0" borderId="74" xfId="0" applyFont="1" applyFill="1" applyBorder="1" applyAlignment="1">
      <alignment horizontal="center" vertical="center" wrapText="1"/>
    </xf>
    <xf numFmtId="0" fontId="17" fillId="0" borderId="66" xfId="0" applyFont="1" applyFill="1" applyBorder="1" applyAlignment="1">
      <alignment horizontal="center" vertical="center" wrapText="1"/>
    </xf>
    <xf numFmtId="4" fontId="12" fillId="0" borderId="31" xfId="0" applyNumberFormat="1" applyFont="1" applyFill="1" applyBorder="1" applyAlignment="1">
      <alignment horizontal="center" vertical="center" wrapText="1"/>
    </xf>
    <xf numFmtId="4" fontId="12" fillId="0" borderId="11" xfId="0" applyNumberFormat="1" applyFont="1" applyFill="1" applyBorder="1" applyAlignment="1">
      <alignment horizontal="center" vertical="center" wrapText="1"/>
    </xf>
    <xf numFmtId="4" fontId="12" fillId="0" borderId="35" xfId="0" applyNumberFormat="1" applyFont="1" applyFill="1" applyBorder="1" applyAlignment="1">
      <alignment horizontal="center" vertical="center" wrapText="1"/>
    </xf>
    <xf numFmtId="4" fontId="17" fillId="0" borderId="100" xfId="0" applyNumberFormat="1" applyFont="1" applyFill="1" applyBorder="1" applyAlignment="1">
      <alignment horizontal="center" vertical="center"/>
    </xf>
    <xf numFmtId="4" fontId="60" fillId="0" borderId="100" xfId="0" applyNumberFormat="1" applyFont="1" applyFill="1" applyBorder="1" applyAlignment="1">
      <alignment horizontal="center" vertical="center"/>
    </xf>
    <xf numFmtId="10" fontId="61" fillId="0" borderId="10" xfId="85" applyNumberFormat="1" applyFont="1" applyFill="1" applyBorder="1" applyAlignment="1">
      <alignment horizontal="center" vertical="center"/>
    </xf>
    <xf numFmtId="4" fontId="17" fillId="0" borderId="10" xfId="0" applyNumberFormat="1" applyFont="1" applyFill="1" applyBorder="1" applyAlignment="1">
      <alignment horizontal="center" vertical="center"/>
    </xf>
    <xf numFmtId="4" fontId="17" fillId="0" borderId="101" xfId="0" applyNumberFormat="1" applyFont="1" applyFill="1" applyBorder="1" applyAlignment="1">
      <alignment horizontal="center" vertical="center"/>
    </xf>
    <xf numFmtId="4" fontId="17" fillId="0" borderId="22" xfId="0" applyNumberFormat="1" applyFont="1" applyFill="1" applyBorder="1" applyAlignment="1">
      <alignment horizontal="center" vertical="center"/>
    </xf>
    <xf numFmtId="4" fontId="12" fillId="0" borderId="32" xfId="0" applyNumberFormat="1" applyFont="1" applyFill="1" applyBorder="1" applyAlignment="1">
      <alignment horizontal="center" vertical="center" wrapText="1"/>
    </xf>
    <xf numFmtId="4" fontId="12" fillId="0" borderId="43" xfId="0" applyNumberFormat="1" applyFont="1" applyFill="1" applyBorder="1" applyAlignment="1">
      <alignment horizontal="center" vertical="center" wrapText="1"/>
    </xf>
    <xf numFmtId="4" fontId="12" fillId="0" borderId="79" xfId="0" applyNumberFormat="1" applyFont="1" applyFill="1" applyBorder="1" applyAlignment="1">
      <alignment horizontal="center" vertical="center" wrapText="1"/>
    </xf>
    <xf numFmtId="0" fontId="60" fillId="0" borderId="114" xfId="0" applyFont="1" applyFill="1" applyBorder="1" applyAlignment="1">
      <alignment vertical="center" wrapText="1"/>
    </xf>
    <xf numFmtId="0" fontId="12" fillId="0" borderId="100" xfId="0" applyFont="1" applyBorder="1" applyAlignment="1">
      <alignment vertical="center"/>
    </xf>
    <xf numFmtId="4" fontId="12" fillId="0" borderId="10" xfId="0" applyNumberFormat="1" applyFont="1" applyBorder="1" applyAlignment="1">
      <alignment vertical="center"/>
    </xf>
    <xf numFmtId="0" fontId="12" fillId="0" borderId="101" xfId="0" applyFont="1" applyBorder="1" applyAlignment="1">
      <alignment vertical="center"/>
    </xf>
    <xf numFmtId="0" fontId="12" fillId="0" borderId="22" xfId="0" applyFont="1" applyBorder="1" applyAlignment="1">
      <alignment vertical="center"/>
    </xf>
    <xf numFmtId="4" fontId="12" fillId="0" borderId="22" xfId="0" applyNumberFormat="1" applyFont="1" applyBorder="1" applyAlignment="1">
      <alignment vertical="center"/>
    </xf>
    <xf numFmtId="0" fontId="0" fillId="0" borderId="0" xfId="0" applyFill="1" applyBorder="1" applyAlignment="1"/>
    <xf numFmtId="0" fontId="0" fillId="0" borderId="74" xfId="0" applyFill="1" applyBorder="1" applyAlignment="1"/>
    <xf numFmtId="0" fontId="12" fillId="0" borderId="35" xfId="0" applyFont="1" applyFill="1" applyBorder="1" applyAlignment="1">
      <alignment horizontal="center" vertical="center" wrapText="1"/>
    </xf>
    <xf numFmtId="0" fontId="0" fillId="0" borderId="36" xfId="0" applyFill="1" applyBorder="1" applyAlignment="1"/>
    <xf numFmtId="0" fontId="0" fillId="0" borderId="31" xfId="0" applyFill="1" applyBorder="1" applyAlignment="1"/>
    <xf numFmtId="0" fontId="12" fillId="0" borderId="103" xfId="0" applyFont="1" applyFill="1" applyBorder="1" applyAlignment="1">
      <alignment horizontal="center" vertical="center" wrapText="1"/>
    </xf>
    <xf numFmtId="0" fontId="17" fillId="0" borderId="100" xfId="0" applyFont="1" applyFill="1" applyBorder="1" applyAlignment="1">
      <alignment horizontal="center" vertical="center"/>
    </xf>
    <xf numFmtId="169" fontId="17" fillId="0" borderId="10" xfId="0" applyNumberFormat="1" applyFont="1" applyFill="1" applyBorder="1" applyAlignment="1">
      <alignment horizontal="center" vertical="center"/>
    </xf>
    <xf numFmtId="169" fontId="83" fillId="0" borderId="10" xfId="0" applyNumberFormat="1" applyFont="1" applyFill="1" applyBorder="1" applyAlignment="1">
      <alignment horizontal="center" vertical="center"/>
    </xf>
    <xf numFmtId="169" fontId="61" fillId="0" borderId="10" xfId="0" applyNumberFormat="1" applyFont="1" applyFill="1" applyBorder="1" applyAlignment="1">
      <alignment horizontal="center" vertical="center"/>
    </xf>
    <xf numFmtId="4" fontId="17" fillId="0" borderId="11" xfId="0" applyNumberFormat="1" applyFont="1" applyFill="1" applyBorder="1" applyAlignment="1">
      <alignment horizontal="center" vertical="center"/>
    </xf>
    <xf numFmtId="4" fontId="17" fillId="0" borderId="35" xfId="0" applyNumberFormat="1" applyFont="1" applyFill="1" applyBorder="1" applyAlignment="1">
      <alignment horizontal="center" vertical="center"/>
    </xf>
    <xf numFmtId="4" fontId="17" fillId="0" borderId="34" xfId="0" applyNumberFormat="1" applyFont="1" applyFill="1" applyBorder="1" applyAlignment="1">
      <alignment horizontal="center" vertical="center"/>
    </xf>
    <xf numFmtId="4" fontId="17" fillId="0" borderId="31" xfId="0" applyNumberFormat="1" applyFont="1" applyFill="1" applyBorder="1" applyAlignment="1">
      <alignment horizontal="center" vertical="center"/>
    </xf>
    <xf numFmtId="169" fontId="60" fillId="0" borderId="10" xfId="0" applyNumberFormat="1" applyFont="1" applyFill="1" applyBorder="1" applyAlignment="1">
      <alignment horizontal="center" vertical="center"/>
    </xf>
    <xf numFmtId="4" fontId="61" fillId="0" borderId="10" xfId="0" applyNumberFormat="1" applyFont="1" applyFill="1" applyBorder="1" applyAlignment="1">
      <alignment horizontal="center" vertical="center"/>
    </xf>
    <xf numFmtId="4" fontId="61" fillId="0" borderId="11" xfId="0" applyNumberFormat="1" applyFont="1" applyFill="1" applyBorder="1" applyAlignment="1">
      <alignment horizontal="center" vertical="center"/>
    </xf>
    <xf numFmtId="4" fontId="17" fillId="0" borderId="103" xfId="0" applyNumberFormat="1" applyFont="1" applyFill="1" applyBorder="1" applyAlignment="1">
      <alignment horizontal="center" vertical="center"/>
    </xf>
    <xf numFmtId="0" fontId="60" fillId="0" borderId="103" xfId="0" applyFont="1" applyFill="1" applyBorder="1" applyAlignment="1">
      <alignment horizontal="center" vertical="center"/>
    </xf>
    <xf numFmtId="0" fontId="61" fillId="0" borderId="114" xfId="0" applyFont="1" applyFill="1" applyBorder="1" applyAlignment="1">
      <alignment vertical="center" wrapText="1"/>
    </xf>
    <xf numFmtId="4" fontId="60" fillId="0" borderId="35" xfId="0" applyNumberFormat="1" applyFont="1" applyFill="1" applyBorder="1" applyAlignment="1">
      <alignment horizontal="center" vertical="center"/>
    </xf>
    <xf numFmtId="4" fontId="60" fillId="0" borderId="34" xfId="0" applyNumberFormat="1" applyFont="1" applyFill="1" applyBorder="1" applyAlignment="1">
      <alignment horizontal="center" vertical="center"/>
    </xf>
    <xf numFmtId="4" fontId="83" fillId="0" borderId="10" xfId="0" applyNumberFormat="1" applyFont="1" applyFill="1" applyBorder="1" applyAlignment="1">
      <alignment horizontal="center" vertical="center"/>
    </xf>
    <xf numFmtId="0" fontId="60" fillId="0" borderId="10" xfId="0" applyFont="1" applyFill="1" applyBorder="1" applyAlignment="1">
      <alignment horizontal="center" vertical="center"/>
    </xf>
    <xf numFmtId="0" fontId="17" fillId="0" borderId="115" xfId="0" applyFont="1" applyFill="1" applyBorder="1" applyAlignment="1">
      <alignment vertical="center" wrapText="1"/>
    </xf>
    <xf numFmtId="4" fontId="61" fillId="0" borderId="106" xfId="85" applyNumberFormat="1" applyFont="1" applyFill="1" applyBorder="1" applyAlignment="1">
      <alignment horizontal="center" vertical="center"/>
    </xf>
    <xf numFmtId="4" fontId="92" fillId="0" borderId="100" xfId="0" applyNumberFormat="1" applyFont="1" applyFill="1" applyBorder="1" applyAlignment="1">
      <alignment horizontal="center" vertical="center"/>
    </xf>
    <xf numFmtId="4" fontId="92" fillId="0" borderId="10" xfId="0" applyNumberFormat="1" applyFont="1" applyFill="1" applyBorder="1" applyAlignment="1">
      <alignment horizontal="center" vertical="center"/>
    </xf>
    <xf numFmtId="4" fontId="92" fillId="0" borderId="103" xfId="0" applyNumberFormat="1" applyFont="1" applyFill="1" applyBorder="1" applyAlignment="1">
      <alignment horizontal="center" vertical="center"/>
    </xf>
    <xf numFmtId="4" fontId="17" fillId="0" borderId="98" xfId="0" applyNumberFormat="1" applyFont="1" applyFill="1" applyBorder="1" applyAlignment="1">
      <alignment horizontal="center" vertical="center"/>
    </xf>
    <xf numFmtId="2" fontId="17" fillId="0" borderId="100" xfId="0" applyNumberFormat="1" applyFont="1" applyFill="1" applyBorder="1" applyAlignment="1">
      <alignment horizontal="center" vertical="center"/>
    </xf>
    <xf numFmtId="2" fontId="17" fillId="0" borderId="10" xfId="0" applyNumberFormat="1" applyFont="1" applyFill="1" applyBorder="1" applyAlignment="1">
      <alignment horizontal="center" vertical="center"/>
    </xf>
    <xf numFmtId="4" fontId="60" fillId="0" borderId="10" xfId="0" applyNumberFormat="1" applyFont="1" applyFill="1" applyBorder="1" applyAlignment="1">
      <alignment vertical="center"/>
    </xf>
    <xf numFmtId="0" fontId="17" fillId="0" borderId="100" xfId="0" applyFont="1" applyFill="1" applyBorder="1" applyAlignment="1">
      <alignment vertical="center"/>
    </xf>
    <xf numFmtId="4" fontId="83" fillId="0" borderId="10" xfId="0" applyNumberFormat="1" applyFont="1" applyFill="1" applyBorder="1" applyAlignment="1">
      <alignment horizontal="center" vertical="center" wrapText="1"/>
    </xf>
    <xf numFmtId="0" fontId="60" fillId="0" borderId="22" xfId="0" applyFont="1" applyFill="1" applyBorder="1" applyAlignment="1">
      <alignment vertical="center"/>
    </xf>
    <xf numFmtId="169" fontId="60" fillId="0" borderId="22" xfId="0" applyNumberFormat="1" applyFont="1" applyFill="1" applyBorder="1" applyAlignment="1">
      <alignment horizontal="center" vertical="center"/>
    </xf>
    <xf numFmtId="169" fontId="83" fillId="0" borderId="22" xfId="0" applyNumberFormat="1" applyFont="1" applyFill="1" applyBorder="1" applyAlignment="1">
      <alignment horizontal="center" vertical="center"/>
    </xf>
    <xf numFmtId="0" fontId="60" fillId="0" borderId="109" xfId="0" applyFont="1" applyFill="1" applyBorder="1" applyAlignment="1">
      <alignment horizontal="center" vertical="center"/>
    </xf>
    <xf numFmtId="4" fontId="17" fillId="0" borderId="109" xfId="0" applyNumberFormat="1" applyFont="1" applyFill="1" applyBorder="1" applyAlignment="1">
      <alignment horizontal="center" vertical="center"/>
    </xf>
    <xf numFmtId="0" fontId="13" fillId="0" borderId="113" xfId="0" applyFont="1" applyFill="1" applyBorder="1" applyAlignment="1">
      <alignment vertical="center"/>
    </xf>
    <xf numFmtId="0" fontId="13" fillId="0" borderId="36" xfId="0" applyFont="1" applyFill="1" applyBorder="1"/>
    <xf numFmtId="0" fontId="13" fillId="0" borderId="0" xfId="0" applyFont="1" applyFill="1" applyBorder="1" applyAlignment="1">
      <alignment horizontal="center"/>
    </xf>
    <xf numFmtId="169" fontId="13" fillId="0" borderId="0" xfId="0" applyNumberFormat="1" applyFont="1" applyFill="1" applyBorder="1" applyAlignment="1">
      <alignment horizontal="center"/>
    </xf>
    <xf numFmtId="169" fontId="15" fillId="0" borderId="0" xfId="0" applyNumberFormat="1" applyFont="1" applyFill="1" applyBorder="1" applyAlignment="1">
      <alignment horizontal="center"/>
    </xf>
    <xf numFmtId="169" fontId="58" fillId="0" borderId="0" xfId="0" applyNumberFormat="1" applyFont="1" applyFill="1" applyBorder="1" applyAlignment="1">
      <alignment horizontal="center"/>
    </xf>
    <xf numFmtId="4" fontId="18" fillId="0" borderId="0" xfId="0" applyNumberFormat="1" applyFont="1" applyFill="1" applyBorder="1" applyAlignment="1">
      <alignment horizontal="center"/>
    </xf>
    <xf numFmtId="10" fontId="12" fillId="0" borderId="0" xfId="0" applyNumberFormat="1" applyFont="1" applyFill="1" applyBorder="1" applyAlignment="1">
      <alignment horizontal="center"/>
    </xf>
    <xf numFmtId="4" fontId="17" fillId="0" borderId="0" xfId="0" applyNumberFormat="1" applyFont="1" applyFill="1" applyBorder="1" applyAlignment="1">
      <alignment horizontal="center"/>
    </xf>
    <xf numFmtId="4" fontId="60" fillId="0" borderId="0" xfId="0" applyNumberFormat="1" applyFont="1" applyFill="1" applyBorder="1" applyAlignment="1">
      <alignment horizontal="center"/>
    </xf>
    <xf numFmtId="0" fontId="0" fillId="0" borderId="0" xfId="0" applyFont="1" applyFill="1" applyBorder="1"/>
    <xf numFmtId="0" fontId="13" fillId="0" borderId="26" xfId="0" applyFont="1" applyFill="1" applyBorder="1"/>
    <xf numFmtId="4" fontId="66" fillId="0" borderId="0" xfId="0" applyNumberFormat="1" applyFont="1" applyFill="1" applyBorder="1" applyAlignment="1">
      <alignment horizontal="center"/>
    </xf>
    <xf numFmtId="0" fontId="0" fillId="0" borderId="0" xfId="0" applyFill="1" applyBorder="1"/>
    <xf numFmtId="174" fontId="0" fillId="0" borderId="0" xfId="0" applyNumberFormat="1" applyFill="1"/>
    <xf numFmtId="0" fontId="0" fillId="0" borderId="10" xfId="0" applyFill="1" applyBorder="1" applyAlignment="1">
      <alignment horizontal="center"/>
    </xf>
    <xf numFmtId="4" fontId="0" fillId="0" borderId="10" xfId="0" applyNumberFormat="1" applyFill="1" applyBorder="1"/>
    <xf numFmtId="2" fontId="0" fillId="0" borderId="10" xfId="0" applyNumberFormat="1" applyFill="1" applyBorder="1"/>
    <xf numFmtId="176" fontId="75" fillId="0" borderId="10" xfId="85" applyNumberFormat="1" applyFont="1" applyFill="1" applyBorder="1"/>
    <xf numFmtId="10" fontId="75" fillId="0" borderId="10" xfId="85" applyNumberFormat="1" applyFont="1" applyFill="1" applyBorder="1"/>
    <xf numFmtId="10" fontId="0" fillId="0" borderId="10" xfId="85" applyNumberFormat="1" applyFont="1" applyFill="1" applyBorder="1"/>
    <xf numFmtId="10" fontId="69" fillId="0" borderId="0" xfId="85" applyNumberFormat="1" applyFont="1" applyFill="1"/>
    <xf numFmtId="169" fontId="0" fillId="0" borderId="10" xfId="0" applyNumberFormat="1" applyFill="1" applyBorder="1"/>
    <xf numFmtId="0" fontId="17" fillId="0" borderId="58" xfId="0" applyFont="1" applyFill="1" applyBorder="1" applyAlignment="1">
      <alignment horizontal="center" vertical="center" wrapText="1"/>
    </xf>
    <xf numFmtId="0" fontId="17" fillId="0" borderId="34" xfId="0" applyFont="1" applyFill="1" applyBorder="1" applyAlignment="1">
      <alignment vertical="center" wrapText="1"/>
    </xf>
    <xf numFmtId="0" fontId="17" fillId="0" borderId="31" xfId="0" applyFont="1" applyFill="1" applyBorder="1" applyAlignment="1">
      <alignment horizontal="center" vertical="center"/>
    </xf>
    <xf numFmtId="169" fontId="17" fillId="0" borderId="11" xfId="0" applyNumberFormat="1" applyFont="1" applyFill="1" applyBorder="1" applyAlignment="1">
      <alignment horizontal="center" vertical="center"/>
    </xf>
    <xf numFmtId="169" fontId="83" fillId="0" borderId="11" xfId="0" applyNumberFormat="1" applyFont="1" applyFill="1" applyBorder="1" applyAlignment="1">
      <alignment horizontal="center" vertical="center"/>
    </xf>
    <xf numFmtId="169" fontId="61" fillId="0" borderId="11" xfId="0" applyNumberFormat="1" applyFont="1" applyFill="1" applyBorder="1" applyAlignment="1">
      <alignment horizontal="center" vertical="center"/>
    </xf>
    <xf numFmtId="0" fontId="22" fillId="0" borderId="101" xfId="0" applyFont="1" applyFill="1" applyBorder="1" applyAlignment="1">
      <alignment horizontal="center" vertical="center" wrapText="1"/>
    </xf>
    <xf numFmtId="0" fontId="12" fillId="0" borderId="96" xfId="0" applyFont="1" applyFill="1" applyBorder="1" applyAlignment="1">
      <alignment horizontal="center" vertical="center" wrapText="1"/>
    </xf>
    <xf numFmtId="0" fontId="12" fillId="0" borderId="109" xfId="0" applyFont="1" applyFill="1" applyBorder="1" applyAlignment="1">
      <alignment horizontal="center" vertical="center" wrapText="1"/>
    </xf>
    <xf numFmtId="0" fontId="13" fillId="0" borderId="31" xfId="0" applyFont="1" applyBorder="1" applyAlignment="1">
      <alignment horizontal="center" vertical="center" wrapText="1"/>
    </xf>
    <xf numFmtId="4" fontId="18" fillId="0" borderId="11" xfId="0" applyNumberFormat="1" applyFont="1" applyBorder="1" applyAlignment="1">
      <alignment horizontal="center" vertical="center" wrapText="1"/>
    </xf>
    <xf numFmtId="4" fontId="17" fillId="0" borderId="34" xfId="0" applyNumberFormat="1" applyFont="1" applyFill="1" applyBorder="1" applyAlignment="1">
      <alignment horizontal="center" vertical="center" wrapText="1"/>
    </xf>
    <xf numFmtId="171" fontId="61" fillId="0" borderId="36" xfId="85" applyNumberFormat="1" applyFont="1" applyFill="1" applyBorder="1" applyAlignment="1">
      <alignment horizontal="center" vertical="center"/>
    </xf>
    <xf numFmtId="4" fontId="17" fillId="0" borderId="37" xfId="0" applyNumberFormat="1" applyFont="1" applyFill="1" applyBorder="1" applyAlignment="1">
      <alignment horizontal="center" vertical="center" wrapText="1"/>
    </xf>
    <xf numFmtId="171" fontId="61" fillId="0" borderId="11" xfId="85" applyNumberFormat="1" applyFont="1" applyFill="1" applyBorder="1" applyAlignment="1">
      <alignment horizontal="center" vertical="center"/>
    </xf>
    <xf numFmtId="4" fontId="17" fillId="0" borderId="11" xfId="0" applyNumberFormat="1" applyFont="1" applyFill="1" applyBorder="1" applyAlignment="1">
      <alignment horizontal="center" vertical="center" wrapText="1"/>
    </xf>
    <xf numFmtId="4" fontId="17" fillId="0" borderId="38" xfId="0" applyNumberFormat="1" applyFont="1" applyFill="1" applyBorder="1" applyAlignment="1">
      <alignment horizontal="center" vertical="center" wrapText="1"/>
    </xf>
    <xf numFmtId="171" fontId="60" fillId="0" borderId="11" xfId="0" applyNumberFormat="1" applyFont="1" applyFill="1" applyBorder="1" applyAlignment="1">
      <alignment horizontal="center" vertical="center" wrapText="1"/>
    </xf>
    <xf numFmtId="0" fontId="60" fillId="0" borderId="96" xfId="0" applyFont="1" applyBorder="1" applyAlignment="1">
      <alignment horizontal="center" vertical="center" wrapText="1"/>
    </xf>
    <xf numFmtId="0" fontId="81" fillId="0" borderId="109" xfId="0" applyFont="1" applyBorder="1" applyAlignment="1">
      <alignment vertical="center" wrapText="1"/>
    </xf>
    <xf numFmtId="0" fontId="17" fillId="0" borderId="32" xfId="0" applyFont="1" applyFill="1" applyBorder="1" applyAlignment="1">
      <alignment horizontal="center" vertical="center" wrapText="1"/>
    </xf>
    <xf numFmtId="0" fontId="17" fillId="0" borderId="96" xfId="0" applyFont="1" applyFill="1" applyBorder="1" applyAlignment="1">
      <alignment horizontal="center" vertical="center" wrapText="1"/>
    </xf>
    <xf numFmtId="0" fontId="17" fillId="0" borderId="79" xfId="0" applyFont="1" applyFill="1" applyBorder="1" applyAlignment="1">
      <alignment horizontal="center" vertical="center" wrapText="1"/>
    </xf>
    <xf numFmtId="4" fontId="17" fillId="0" borderId="16" xfId="0" applyNumberFormat="1" applyFont="1" applyFill="1" applyBorder="1" applyAlignment="1">
      <alignment horizontal="center" vertical="center"/>
    </xf>
    <xf numFmtId="4" fontId="17" fillId="0" borderId="17" xfId="0" applyNumberFormat="1" applyFont="1" applyFill="1" applyBorder="1" applyAlignment="1">
      <alignment horizontal="center" vertical="center"/>
    </xf>
    <xf numFmtId="4" fontId="17" fillId="0" borderId="18" xfId="0" applyNumberFormat="1" applyFont="1" applyFill="1" applyBorder="1" applyAlignment="1">
      <alignment horizontal="center" vertical="center"/>
    </xf>
    <xf numFmtId="171" fontId="60" fillId="0" borderId="17" xfId="0" applyNumberFormat="1" applyFont="1" applyFill="1" applyBorder="1" applyAlignment="1">
      <alignment horizontal="center" vertical="center"/>
    </xf>
    <xf numFmtId="0" fontId="81" fillId="0" borderId="0" xfId="0" applyFont="1"/>
    <xf numFmtId="4" fontId="60" fillId="0" borderId="16" xfId="0" applyNumberFormat="1" applyFont="1" applyBorder="1"/>
    <xf numFmtId="4" fontId="60" fillId="0" borderId="17" xfId="0" applyNumberFormat="1" applyFont="1" applyBorder="1"/>
    <xf numFmtId="4" fontId="60" fillId="0" borderId="18" xfId="0" applyNumberFormat="1" applyFont="1" applyBorder="1"/>
    <xf numFmtId="4" fontId="60" fillId="0" borderId="105" xfId="0" applyNumberFormat="1" applyFont="1" applyBorder="1"/>
    <xf numFmtId="4" fontId="60" fillId="0" borderId="102" xfId="0" applyNumberFormat="1" applyFont="1" applyBorder="1"/>
    <xf numFmtId="4" fontId="60" fillId="0" borderId="106" xfId="0" applyNumberFormat="1" applyFont="1" applyBorder="1"/>
    <xf numFmtId="171" fontId="60" fillId="0" borderId="17" xfId="0" applyNumberFormat="1" applyFont="1" applyFill="1" applyBorder="1" applyAlignment="1">
      <alignment horizontal="center" vertical="center" wrapText="1"/>
    </xf>
    <xf numFmtId="0" fontId="60" fillId="0" borderId="13" xfId="0" applyFont="1" applyBorder="1"/>
    <xf numFmtId="0" fontId="60" fillId="0" borderId="114" xfId="0" applyFont="1" applyBorder="1"/>
    <xf numFmtId="0" fontId="60" fillId="0" borderId="30" xfId="0" applyFont="1" applyBorder="1"/>
    <xf numFmtId="0" fontId="60" fillId="0" borderId="121" xfId="0" applyFont="1" applyBorder="1"/>
    <xf numFmtId="4" fontId="60" fillId="0" borderId="13" xfId="0" applyNumberFormat="1" applyFont="1" applyBorder="1"/>
    <xf numFmtId="4" fontId="60" fillId="0" borderId="114" xfId="0" applyNumberFormat="1" applyFont="1" applyBorder="1"/>
    <xf numFmtId="0" fontId="0" fillId="0" borderId="13" xfId="0" applyFont="1" applyFill="1" applyBorder="1"/>
    <xf numFmtId="0" fontId="0" fillId="0" borderId="15" xfId="0" applyFont="1" applyFill="1" applyBorder="1"/>
    <xf numFmtId="0" fontId="17" fillId="0" borderId="0" xfId="0" applyFont="1"/>
    <xf numFmtId="4" fontId="17" fillId="0" borderId="114" xfId="0" applyNumberFormat="1" applyFont="1" applyBorder="1"/>
    <xf numFmtId="0" fontId="17" fillId="0" borderId="121" xfId="0" applyFont="1" applyBorder="1"/>
    <xf numFmtId="4" fontId="17" fillId="0" borderId="102" xfId="0" applyNumberFormat="1" applyFont="1" applyBorder="1"/>
    <xf numFmtId="4" fontId="17" fillId="0" borderId="106" xfId="0" applyNumberFormat="1" applyFont="1" applyBorder="1"/>
    <xf numFmtId="4" fontId="17" fillId="0" borderId="105" xfId="0" applyNumberFormat="1" applyFont="1" applyBorder="1"/>
    <xf numFmtId="2" fontId="17" fillId="0" borderId="114" xfId="0" applyNumberFormat="1" applyFont="1" applyBorder="1"/>
    <xf numFmtId="2" fontId="17" fillId="0" borderId="102" xfId="0" applyNumberFormat="1" applyFont="1" applyBorder="1"/>
    <xf numFmtId="2" fontId="17" fillId="0" borderId="106" xfId="0" applyNumberFormat="1" applyFont="1" applyBorder="1"/>
    <xf numFmtId="2" fontId="17" fillId="0" borderId="105" xfId="0" applyNumberFormat="1" applyFont="1" applyBorder="1"/>
    <xf numFmtId="2" fontId="17" fillId="0" borderId="15" xfId="0" applyNumberFormat="1" applyFont="1" applyBorder="1"/>
    <xf numFmtId="0" fontId="0" fillId="0" borderId="0" xfId="0" applyAlignment="1">
      <alignment wrapText="1"/>
    </xf>
    <xf numFmtId="0" fontId="13" fillId="0" borderId="126" xfId="0" applyFont="1" applyBorder="1" applyAlignment="1">
      <alignment vertical="center"/>
    </xf>
    <xf numFmtId="0" fontId="13" fillId="0" borderId="127" xfId="0" applyFont="1" applyBorder="1" applyAlignment="1">
      <alignment vertical="center"/>
    </xf>
    <xf numFmtId="171" fontId="13" fillId="0" borderId="126" xfId="85" applyNumberFormat="1" applyFont="1" applyBorder="1" applyAlignment="1">
      <alignment vertical="center"/>
    </xf>
    <xf numFmtId="10" fontId="13" fillId="0" borderId="126" xfId="85" applyNumberFormat="1" applyFont="1" applyBorder="1" applyAlignment="1">
      <alignment vertical="center"/>
    </xf>
    <xf numFmtId="10" fontId="13" fillId="0" borderId="127" xfId="85" applyNumberFormat="1" applyFont="1" applyBorder="1" applyAlignment="1">
      <alignment vertical="center"/>
    </xf>
    <xf numFmtId="0" fontId="13" fillId="0" borderId="128" xfId="0" applyFont="1" applyBorder="1" applyAlignment="1">
      <alignment vertical="center"/>
    </xf>
    <xf numFmtId="0" fontId="13" fillId="0" borderId="23" xfId="0" applyFont="1" applyBorder="1" applyAlignment="1">
      <alignment vertical="center"/>
    </xf>
    <xf numFmtId="0" fontId="13" fillId="0" borderId="131" xfId="0" applyFont="1" applyBorder="1" applyAlignment="1">
      <alignment vertical="center" wrapText="1"/>
    </xf>
    <xf numFmtId="0" fontId="13" fillId="0" borderId="15" xfId="0" applyFont="1" applyBorder="1" applyAlignment="1">
      <alignment vertical="center" wrapText="1"/>
    </xf>
    <xf numFmtId="171" fontId="13" fillId="0" borderId="127" xfId="85" applyNumberFormat="1" applyFont="1" applyBorder="1" applyAlignment="1">
      <alignment vertical="center"/>
    </xf>
    <xf numFmtId="0" fontId="13" fillId="0" borderId="130" xfId="0" applyFont="1" applyBorder="1" applyAlignment="1">
      <alignment vertical="center"/>
    </xf>
    <xf numFmtId="10" fontId="13" fillId="0" borderId="130" xfId="85" applyNumberFormat="1" applyFont="1" applyBorder="1" applyAlignment="1">
      <alignment vertical="center"/>
    </xf>
    <xf numFmtId="0" fontId="13" fillId="0" borderId="21" xfId="0" applyFont="1" applyBorder="1" applyAlignment="1">
      <alignment vertical="center"/>
    </xf>
    <xf numFmtId="4" fontId="13" fillId="0" borderId="130" xfId="0" applyNumberFormat="1" applyFont="1" applyFill="1" applyBorder="1" applyAlignment="1">
      <alignment vertical="center"/>
    </xf>
    <xf numFmtId="4" fontId="13" fillId="0" borderId="126" xfId="0" applyNumberFormat="1" applyFont="1" applyFill="1" applyBorder="1" applyAlignment="1">
      <alignment vertical="center"/>
    </xf>
    <xf numFmtId="4" fontId="13" fillId="0" borderId="127" xfId="0" applyNumberFormat="1" applyFont="1" applyFill="1" applyBorder="1" applyAlignment="1">
      <alignment vertical="center"/>
    </xf>
    <xf numFmtId="10" fontId="13" fillId="0" borderId="130" xfId="0" applyNumberFormat="1" applyFont="1" applyFill="1" applyBorder="1" applyAlignment="1">
      <alignment vertical="center"/>
    </xf>
    <xf numFmtId="4" fontId="13" fillId="0" borderId="21" xfId="0" applyNumberFormat="1" applyFont="1" applyFill="1" applyBorder="1" applyAlignment="1">
      <alignment vertical="center"/>
    </xf>
    <xf numFmtId="4" fontId="13" fillId="0" borderId="128" xfId="0" applyNumberFormat="1" applyFont="1" applyFill="1" applyBorder="1" applyAlignment="1">
      <alignment vertical="center"/>
    </xf>
    <xf numFmtId="4" fontId="13" fillId="0" borderId="23" xfId="0" applyNumberFormat="1" applyFont="1" applyFill="1" applyBorder="1" applyAlignment="1">
      <alignment vertical="center"/>
    </xf>
    <xf numFmtId="0" fontId="13" fillId="0" borderId="135" xfId="0" applyFont="1" applyBorder="1" applyAlignment="1">
      <alignment horizontal="center" vertical="center"/>
    </xf>
    <xf numFmtId="4" fontId="13" fillId="0" borderId="16" xfId="0" applyNumberFormat="1" applyFont="1" applyFill="1" applyBorder="1" applyAlignment="1">
      <alignment vertical="center"/>
    </xf>
    <xf numFmtId="4" fontId="13" fillId="0" borderId="17" xfId="0" applyNumberFormat="1" applyFont="1" applyFill="1" applyBorder="1" applyAlignment="1">
      <alignment vertical="center"/>
    </xf>
    <xf numFmtId="4" fontId="13" fillId="0" borderId="18" xfId="0" applyNumberFormat="1" applyFont="1" applyFill="1" applyBorder="1" applyAlignment="1">
      <alignment vertical="center"/>
    </xf>
    <xf numFmtId="0" fontId="13" fillId="0" borderId="13" xfId="0" applyFont="1" applyBorder="1" applyAlignment="1">
      <alignment vertical="center" wrapText="1"/>
    </xf>
    <xf numFmtId="0" fontId="13" fillId="0" borderId="135" xfId="0" applyFont="1" applyFill="1" applyBorder="1" applyAlignment="1">
      <alignment horizontal="center" vertical="center"/>
    </xf>
    <xf numFmtId="0" fontId="13" fillId="0" borderId="17" xfId="0" applyFont="1" applyBorder="1" applyAlignment="1">
      <alignment vertical="center"/>
    </xf>
    <xf numFmtId="0" fontId="13" fillId="0" borderId="18" xfId="0" applyFont="1" applyBorder="1" applyAlignment="1">
      <alignment vertical="center"/>
    </xf>
    <xf numFmtId="0" fontId="13" fillId="0" borderId="16" xfId="0" applyFont="1" applyBorder="1" applyAlignment="1">
      <alignment vertical="center"/>
    </xf>
    <xf numFmtId="0" fontId="13" fillId="33" borderId="135" xfId="0" applyFont="1" applyFill="1" applyBorder="1" applyAlignment="1">
      <alignment horizontal="center" vertical="center"/>
    </xf>
    <xf numFmtId="0" fontId="13" fillId="33" borderId="13" xfId="0" applyFont="1" applyFill="1" applyBorder="1" applyAlignment="1">
      <alignment vertical="center" wrapText="1"/>
    </xf>
    <xf numFmtId="4" fontId="13" fillId="33" borderId="16" xfId="0" applyNumberFormat="1" applyFont="1" applyFill="1" applyBorder="1" applyAlignment="1">
      <alignment vertical="center"/>
    </xf>
    <xf numFmtId="4" fontId="13" fillId="33" borderId="17" xfId="0" applyNumberFormat="1" applyFont="1" applyFill="1" applyBorder="1" applyAlignment="1">
      <alignment vertical="center"/>
    </xf>
    <xf numFmtId="4" fontId="13" fillId="33" borderId="18" xfId="0" applyNumberFormat="1" applyFont="1" applyFill="1" applyBorder="1" applyAlignment="1">
      <alignment vertical="center"/>
    </xf>
    <xf numFmtId="0" fontId="13" fillId="33" borderId="17" xfId="0" applyFont="1" applyFill="1" applyBorder="1" applyAlignment="1">
      <alignment vertical="center"/>
    </xf>
    <xf numFmtId="0" fontId="13" fillId="33" borderId="18" xfId="0" applyFont="1" applyFill="1" applyBorder="1" applyAlignment="1">
      <alignment vertical="center"/>
    </xf>
    <xf numFmtId="0" fontId="13" fillId="33" borderId="16" xfId="0" applyFont="1" applyFill="1" applyBorder="1" applyAlignment="1">
      <alignment vertical="center"/>
    </xf>
    <xf numFmtId="0" fontId="13" fillId="33" borderId="131" xfId="0" applyFont="1" applyFill="1" applyBorder="1" applyAlignment="1">
      <alignment vertical="center" wrapText="1"/>
    </xf>
    <xf numFmtId="4" fontId="13" fillId="33" borderId="130" xfId="0" applyNumberFormat="1" applyFont="1" applyFill="1" applyBorder="1" applyAlignment="1">
      <alignment vertical="center"/>
    </xf>
    <xf numFmtId="4" fontId="13" fillId="33" borderId="126" xfId="0" applyNumberFormat="1" applyFont="1" applyFill="1" applyBorder="1" applyAlignment="1">
      <alignment vertical="center"/>
    </xf>
    <xf numFmtId="4" fontId="13" fillId="33" borderId="127" xfId="0" applyNumberFormat="1" applyFont="1" applyFill="1" applyBorder="1" applyAlignment="1">
      <alignment vertical="center"/>
    </xf>
    <xf numFmtId="10" fontId="13" fillId="33" borderId="130" xfId="0" applyNumberFormat="1" applyFont="1" applyFill="1" applyBorder="1" applyAlignment="1">
      <alignment vertical="center"/>
    </xf>
    <xf numFmtId="171" fontId="13" fillId="33" borderId="126" xfId="85" applyNumberFormat="1" applyFont="1" applyFill="1" applyBorder="1" applyAlignment="1">
      <alignment vertical="center"/>
    </xf>
    <xf numFmtId="171" fontId="13" fillId="33" borderId="127" xfId="85" applyNumberFormat="1" applyFont="1" applyFill="1" applyBorder="1" applyAlignment="1">
      <alignment vertical="center"/>
    </xf>
    <xf numFmtId="10" fontId="13" fillId="33" borderId="130" xfId="85" applyNumberFormat="1" applyFont="1" applyFill="1" applyBorder="1" applyAlignment="1">
      <alignment vertical="center"/>
    </xf>
    <xf numFmtId="10" fontId="13" fillId="33" borderId="126" xfId="85" applyNumberFormat="1" applyFont="1" applyFill="1" applyBorder="1" applyAlignment="1">
      <alignment vertical="center"/>
    </xf>
    <xf numFmtId="10" fontId="13" fillId="33" borderId="127" xfId="85" applyNumberFormat="1" applyFont="1" applyFill="1" applyBorder="1" applyAlignment="1">
      <alignment vertical="center"/>
    </xf>
    <xf numFmtId="0" fontId="13" fillId="33" borderId="126" xfId="0" applyFont="1" applyFill="1" applyBorder="1" applyAlignment="1">
      <alignment vertical="center"/>
    </xf>
    <xf numFmtId="0" fontId="13" fillId="33" borderId="127" xfId="0" applyFont="1" applyFill="1" applyBorder="1" applyAlignment="1">
      <alignment vertical="center"/>
    </xf>
    <xf numFmtId="0" fontId="13" fillId="33" borderId="130" xfId="0" applyFont="1" applyFill="1" applyBorder="1" applyAlignment="1">
      <alignment vertical="center"/>
    </xf>
    <xf numFmtId="0" fontId="13" fillId="33" borderId="15" xfId="0" applyFont="1" applyFill="1" applyBorder="1" applyAlignment="1">
      <alignment vertical="center" wrapText="1"/>
    </xf>
    <xf numFmtId="4" fontId="13" fillId="33" borderId="21" xfId="0" applyNumberFormat="1" applyFont="1" applyFill="1" applyBorder="1" applyAlignment="1">
      <alignment vertical="center"/>
    </xf>
    <xf numFmtId="4" fontId="13" fillId="33" borderId="128" xfId="0" applyNumberFormat="1" applyFont="1" applyFill="1" applyBorder="1" applyAlignment="1">
      <alignment vertical="center"/>
    </xf>
    <xf numFmtId="4" fontId="13" fillId="33" borderId="23" xfId="0" applyNumberFormat="1" applyFont="1" applyFill="1" applyBorder="1" applyAlignment="1">
      <alignment vertical="center"/>
    </xf>
    <xf numFmtId="0" fontId="13" fillId="33" borderId="128" xfId="0" applyFont="1" applyFill="1" applyBorder="1" applyAlignment="1">
      <alignment vertical="center"/>
    </xf>
    <xf numFmtId="0" fontId="13" fillId="33" borderId="23" xfId="0" applyFont="1" applyFill="1" applyBorder="1" applyAlignment="1">
      <alignment vertical="center"/>
    </xf>
    <xf numFmtId="0" fontId="13" fillId="33" borderId="21" xfId="0" applyFont="1" applyFill="1" applyBorder="1" applyAlignment="1">
      <alignment vertical="center"/>
    </xf>
    <xf numFmtId="0" fontId="13" fillId="0" borderId="17" xfId="0" applyFont="1" applyFill="1" applyBorder="1" applyAlignment="1">
      <alignment vertical="center"/>
    </xf>
    <xf numFmtId="0" fontId="13" fillId="0" borderId="18" xfId="0" applyFont="1" applyFill="1" applyBorder="1" applyAlignment="1">
      <alignment vertical="center"/>
    </xf>
    <xf numFmtId="0" fontId="13" fillId="0" borderId="16" xfId="0" applyFont="1" applyFill="1" applyBorder="1" applyAlignment="1">
      <alignment vertical="center"/>
    </xf>
    <xf numFmtId="171" fontId="13" fillId="0" borderId="126" xfId="85" applyNumberFormat="1" applyFont="1" applyFill="1" applyBorder="1" applyAlignment="1">
      <alignment vertical="center"/>
    </xf>
    <xf numFmtId="171" fontId="13" fillId="0" borderId="127" xfId="85" applyNumberFormat="1" applyFont="1" applyFill="1" applyBorder="1" applyAlignment="1">
      <alignment vertical="center"/>
    </xf>
    <xf numFmtId="10" fontId="13" fillId="0" borderId="130" xfId="85" applyNumberFormat="1" applyFont="1" applyFill="1" applyBorder="1" applyAlignment="1">
      <alignment vertical="center"/>
    </xf>
    <xf numFmtId="10" fontId="13" fillId="0" borderId="126" xfId="85" applyNumberFormat="1" applyFont="1" applyFill="1" applyBorder="1" applyAlignment="1">
      <alignment vertical="center"/>
    </xf>
    <xf numFmtId="10" fontId="13" fillId="0" borderId="127" xfId="85" applyNumberFormat="1" applyFont="1" applyFill="1" applyBorder="1" applyAlignment="1">
      <alignment vertical="center"/>
    </xf>
    <xf numFmtId="0" fontId="13" fillId="0" borderId="126" xfId="0" applyFont="1" applyFill="1" applyBorder="1" applyAlignment="1">
      <alignment vertical="center"/>
    </xf>
    <xf numFmtId="0" fontId="13" fillId="0" borderId="127" xfId="0" applyFont="1" applyFill="1" applyBorder="1" applyAlignment="1">
      <alignment vertical="center"/>
    </xf>
    <xf numFmtId="0" fontId="13" fillId="0" borderId="130" xfId="0" applyFont="1" applyFill="1" applyBorder="1" applyAlignment="1">
      <alignment vertical="center"/>
    </xf>
    <xf numFmtId="0" fontId="13" fillId="0" borderId="128" xfId="0" applyFont="1" applyFill="1" applyBorder="1" applyAlignment="1">
      <alignment vertical="center"/>
    </xf>
    <xf numFmtId="0" fontId="13" fillId="0" borderId="23" xfId="0" applyFont="1" applyFill="1" applyBorder="1" applyAlignment="1">
      <alignment vertical="center"/>
    </xf>
    <xf numFmtId="0" fontId="13" fillId="0" borderId="21" xfId="0" applyFont="1" applyFill="1" applyBorder="1" applyAlignment="1">
      <alignment vertical="center"/>
    </xf>
    <xf numFmtId="0" fontId="60" fillId="0" borderId="21" xfId="0" applyFont="1" applyBorder="1" applyAlignment="1">
      <alignment horizontal="center" vertical="center" wrapText="1"/>
    </xf>
    <xf numFmtId="0" fontId="13" fillId="0" borderId="61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/>
    </xf>
    <xf numFmtId="0" fontId="13" fillId="0" borderId="92" xfId="0" applyFont="1" applyBorder="1" applyAlignment="1">
      <alignment horizontal="center"/>
    </xf>
    <xf numFmtId="0" fontId="13" fillId="0" borderId="16" xfId="0" applyFont="1" applyBorder="1" applyAlignment="1">
      <alignment horizontal="center"/>
    </xf>
    <xf numFmtId="0" fontId="13" fillId="0" borderId="19" xfId="0" applyFont="1" applyBorder="1" applyAlignment="1">
      <alignment horizontal="center"/>
    </xf>
    <xf numFmtId="0" fontId="13" fillId="0" borderId="21" xfId="0" applyFont="1" applyBorder="1" applyAlignment="1">
      <alignment horizontal="center"/>
    </xf>
    <xf numFmtId="0" fontId="0" fillId="0" borderId="10" xfId="0" applyBorder="1" applyAlignment="1">
      <alignment horizontal="center" wrapText="1"/>
    </xf>
    <xf numFmtId="0" fontId="21" fillId="0" borderId="56" xfId="0" applyFont="1" applyBorder="1" applyAlignment="1">
      <alignment horizontal="center" wrapText="1"/>
    </xf>
    <xf numFmtId="0" fontId="21" fillId="0" borderId="33" xfId="0" applyFont="1" applyBorder="1" applyAlignment="1">
      <alignment horizontal="center" wrapText="1"/>
    </xf>
    <xf numFmtId="0" fontId="21" fillId="0" borderId="50" xfId="0" applyFont="1" applyBorder="1" applyAlignment="1">
      <alignment horizontal="center" wrapText="1"/>
    </xf>
    <xf numFmtId="0" fontId="21" fillId="0" borderId="52" xfId="0" applyFont="1" applyBorder="1" applyAlignment="1">
      <alignment horizontal="center" wrapText="1"/>
    </xf>
    <xf numFmtId="0" fontId="21" fillId="0" borderId="53" xfId="0" applyFont="1" applyBorder="1" applyAlignment="1">
      <alignment horizontal="center" wrapText="1"/>
    </xf>
    <xf numFmtId="0" fontId="21" fillId="0" borderId="55" xfId="0" applyFont="1" applyBorder="1" applyAlignment="1">
      <alignment horizontal="right" vertical="top" wrapText="1"/>
    </xf>
    <xf numFmtId="0" fontId="0" fillId="0" borderId="0" xfId="0" applyBorder="1" applyAlignment="1"/>
    <xf numFmtId="0" fontId="0" fillId="0" borderId="60" xfId="0" applyBorder="1" applyAlignment="1"/>
    <xf numFmtId="0" fontId="17" fillId="0" borderId="54" xfId="0" applyFont="1" applyBorder="1" applyAlignment="1">
      <alignment horizontal="center"/>
    </xf>
    <xf numFmtId="0" fontId="21" fillId="0" borderId="0" xfId="0" applyFont="1" applyBorder="1" applyAlignment="1">
      <alignment vertical="top" wrapText="1"/>
    </xf>
    <xf numFmtId="0" fontId="15" fillId="0" borderId="54" xfId="0" applyFont="1" applyBorder="1" applyAlignment="1">
      <alignment vertical="top" wrapText="1"/>
    </xf>
    <xf numFmtId="0" fontId="21" fillId="0" borderId="55" xfId="0" applyFont="1" applyBorder="1" applyAlignment="1">
      <alignment vertical="top" wrapText="1"/>
    </xf>
    <xf numFmtId="0" fontId="0" fillId="0" borderId="0" xfId="0" applyBorder="1" applyAlignment="1">
      <alignment horizontal="center"/>
    </xf>
    <xf numFmtId="0" fontId="0" fillId="0" borderId="60" xfId="0" applyBorder="1" applyAlignment="1">
      <alignment horizontal="center"/>
    </xf>
    <xf numFmtId="0" fontId="13" fillId="0" borderId="21" xfId="0" applyFont="1" applyBorder="1" applyAlignment="1">
      <alignment horizontal="left" vertical="center" wrapText="1"/>
    </xf>
    <xf numFmtId="0" fontId="13" fillId="0" borderId="61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60" fillId="0" borderId="21" xfId="0" applyFont="1" applyBorder="1" applyAlignment="1">
      <alignment horizontal="center" vertical="center" wrapText="1"/>
    </xf>
    <xf numFmtId="0" fontId="13" fillId="0" borderId="141" xfId="0" applyFont="1" applyBorder="1" applyAlignment="1">
      <alignment horizontal="center" vertical="center" wrapText="1"/>
    </xf>
    <xf numFmtId="169" fontId="14" fillId="0" borderId="142" xfId="0" applyNumberFormat="1" applyFont="1" applyBorder="1" applyAlignment="1">
      <alignment horizontal="center"/>
    </xf>
    <xf numFmtId="169" fontId="14" fillId="0" borderId="128" xfId="0" applyNumberFormat="1" applyFont="1" applyBorder="1" applyAlignment="1">
      <alignment horizontal="center"/>
    </xf>
    <xf numFmtId="0" fontId="60" fillId="0" borderId="109" xfId="0" applyFont="1" applyBorder="1" applyAlignment="1">
      <alignment horizontal="center" vertical="center" wrapText="1"/>
    </xf>
    <xf numFmtId="0" fontId="0" fillId="0" borderId="142" xfId="0" applyBorder="1"/>
    <xf numFmtId="0" fontId="0" fillId="0" borderId="145" xfId="0" applyBorder="1" applyAlignment="1">
      <alignment horizontal="center"/>
    </xf>
    <xf numFmtId="0" fontId="60" fillId="0" borderId="142" xfId="0" applyFont="1" applyBorder="1" applyAlignment="1">
      <alignment horizontal="center" vertical="center" wrapText="1"/>
    </xf>
    <xf numFmtId="0" fontId="13" fillId="0" borderId="146" xfId="0" applyFont="1" applyBorder="1" applyAlignment="1">
      <alignment horizontal="center" vertical="center" wrapText="1"/>
    </xf>
    <xf numFmtId="0" fontId="13" fillId="0" borderId="74" xfId="0" applyFont="1" applyBorder="1" applyAlignment="1">
      <alignment horizontal="center" vertical="center" wrapText="1"/>
    </xf>
    <xf numFmtId="0" fontId="13" fillId="0" borderId="32" xfId="0" applyFont="1" applyBorder="1" applyAlignment="1">
      <alignment horizontal="center" vertical="center" wrapText="1"/>
    </xf>
    <xf numFmtId="0" fontId="13" fillId="0" borderId="145" xfId="0" applyFont="1" applyBorder="1" applyAlignment="1">
      <alignment horizontal="center"/>
    </xf>
    <xf numFmtId="0" fontId="13" fillId="0" borderId="145" xfId="0" applyFont="1" applyBorder="1" applyAlignment="1">
      <alignment horizontal="center" vertical="center"/>
    </xf>
    <xf numFmtId="169" fontId="13" fillId="0" borderId="145" xfId="0" applyNumberFormat="1" applyFont="1" applyBorder="1" applyAlignment="1">
      <alignment horizontal="center" vertical="center" wrapText="1"/>
    </xf>
    <xf numFmtId="0" fontId="13" fillId="0" borderId="101" xfId="0" applyFont="1" applyBorder="1" applyAlignment="1">
      <alignment horizontal="center"/>
    </xf>
    <xf numFmtId="0" fontId="0" fillId="0" borderId="147" xfId="0" applyBorder="1" applyAlignment="1">
      <alignment horizontal="center"/>
    </xf>
    <xf numFmtId="178" fontId="17" fillId="0" borderId="16" xfId="0" applyNumberFormat="1" applyFont="1" applyFill="1" applyBorder="1" applyAlignment="1">
      <alignment horizontal="right" vertical="center"/>
    </xf>
    <xf numFmtId="178" fontId="17" fillId="0" borderId="17" xfId="0" applyNumberFormat="1" applyFont="1" applyFill="1" applyBorder="1" applyAlignment="1">
      <alignment horizontal="right" vertical="center"/>
    </xf>
    <xf numFmtId="178" fontId="60" fillId="0" borderId="109" xfId="0" applyNumberFormat="1" applyFont="1" applyBorder="1" applyAlignment="1">
      <alignment horizontal="right" vertical="center"/>
    </xf>
    <xf numFmtId="0" fontId="94" fillId="0" borderId="72" xfId="0" applyFont="1" applyBorder="1" applyAlignment="1">
      <alignment vertical="center" wrapText="1"/>
    </xf>
    <xf numFmtId="0" fontId="94" fillId="0" borderId="148" xfId="0" applyFont="1" applyBorder="1" applyAlignment="1">
      <alignment vertical="center" wrapText="1"/>
    </xf>
    <xf numFmtId="0" fontId="94" fillId="0" borderId="148" xfId="0" applyFont="1" applyBorder="1" applyAlignment="1">
      <alignment vertical="center"/>
    </xf>
    <xf numFmtId="4" fontId="94" fillId="0" borderId="148" xfId="0" applyNumberFormat="1" applyFont="1" applyBorder="1" applyAlignment="1">
      <alignment vertical="center"/>
    </xf>
    <xf numFmtId="4" fontId="94" fillId="0" borderId="70" xfId="0" applyNumberFormat="1" applyFont="1" applyBorder="1" applyAlignment="1">
      <alignment vertical="center"/>
    </xf>
    <xf numFmtId="0" fontId="0" fillId="0" borderId="37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0" fillId="0" borderId="38" xfId="0" applyFont="1" applyBorder="1" applyAlignment="1">
      <alignment horizontal="center" vertical="center" wrapText="1"/>
    </xf>
    <xf numFmtId="0" fontId="0" fillId="0" borderId="19" xfId="0" applyFont="1" applyBorder="1" applyAlignment="1">
      <alignment vertical="center"/>
    </xf>
    <xf numFmtId="178" fontId="0" fillId="0" borderId="92" xfId="0" applyNumberFormat="1" applyFont="1" applyBorder="1" applyAlignment="1">
      <alignment vertical="center" wrapText="1"/>
    </xf>
    <xf numFmtId="0" fontId="0" fillId="0" borderId="92" xfId="0" applyFont="1" applyBorder="1" applyAlignment="1">
      <alignment vertical="center"/>
    </xf>
    <xf numFmtId="0" fontId="0" fillId="0" borderId="20" xfId="0" applyFont="1" applyBorder="1" applyAlignment="1">
      <alignment vertical="center"/>
    </xf>
    <xf numFmtId="4" fontId="0" fillId="0" borderId="19" xfId="0" applyNumberFormat="1" applyFont="1" applyBorder="1" applyAlignment="1">
      <alignment vertical="center"/>
    </xf>
    <xf numFmtId="4" fontId="0" fillId="0" borderId="20" xfId="0" applyNumberFormat="1" applyFont="1" applyBorder="1" applyAlignment="1">
      <alignment vertical="center"/>
    </xf>
    <xf numFmtId="178" fontId="8" fillId="0" borderId="22" xfId="0" applyNumberFormat="1" applyFont="1" applyBorder="1" applyAlignment="1">
      <alignment vertical="center" wrapText="1"/>
    </xf>
    <xf numFmtId="0" fontId="8" fillId="0" borderId="22" xfId="0" applyFont="1" applyBorder="1" applyAlignment="1">
      <alignment vertical="center"/>
    </xf>
    <xf numFmtId="4" fontId="8" fillId="0" borderId="23" xfId="0" applyNumberFormat="1" applyFont="1" applyBorder="1" applyAlignment="1">
      <alignment vertical="center"/>
    </xf>
    <xf numFmtId="0" fontId="13" fillId="0" borderId="149" xfId="0" applyFont="1" applyBorder="1" applyAlignment="1">
      <alignment vertical="center" wrapText="1"/>
    </xf>
    <xf numFmtId="0" fontId="13" fillId="0" borderId="150" xfId="0" applyFont="1" applyBorder="1" applyAlignment="1">
      <alignment vertical="center" wrapText="1"/>
    </xf>
    <xf numFmtId="0" fontId="13" fillId="0" borderId="54" xfId="0" applyFont="1" applyBorder="1" applyAlignment="1">
      <alignment horizontal="center" vertical="center" wrapText="1"/>
    </xf>
    <xf numFmtId="0" fontId="13" fillId="0" borderId="56" xfId="0" applyFont="1" applyBorder="1" applyAlignment="1">
      <alignment horizontal="center" vertical="center" wrapText="1"/>
    </xf>
    <xf numFmtId="0" fontId="13" fillId="0" borderId="71" xfId="0" applyFont="1" applyBorder="1" applyAlignment="1">
      <alignment horizontal="center"/>
    </xf>
    <xf numFmtId="0" fontId="13" fillId="0" borderId="147" xfId="0" applyFont="1" applyBorder="1" applyAlignment="1">
      <alignment horizontal="center"/>
    </xf>
    <xf numFmtId="0" fontId="13" fillId="0" borderId="147" xfId="0" applyFont="1" applyBorder="1" applyAlignment="1">
      <alignment horizontal="center" vertical="center"/>
    </xf>
    <xf numFmtId="169" fontId="13" fillId="0" borderId="147" xfId="0" applyNumberFormat="1" applyFont="1" applyBorder="1" applyAlignment="1">
      <alignment horizontal="center" vertical="center" wrapText="1"/>
    </xf>
    <xf numFmtId="0" fontId="13" fillId="0" borderId="99" xfId="0" applyFont="1" applyBorder="1" applyAlignment="1">
      <alignment horizontal="center"/>
    </xf>
    <xf numFmtId="0" fontId="61" fillId="0" borderId="147" xfId="0" applyFont="1" applyBorder="1" applyAlignment="1">
      <alignment vertical="center"/>
    </xf>
    <xf numFmtId="0" fontId="61" fillId="0" borderId="127" xfId="0" applyFont="1" applyBorder="1" applyAlignment="1">
      <alignment vertical="center"/>
    </xf>
    <xf numFmtId="0" fontId="0" fillId="0" borderId="142" xfId="0" applyBorder="1" applyAlignment="1">
      <alignment wrapText="1"/>
    </xf>
    <xf numFmtId="4" fontId="0" fillId="0" borderId="142" xfId="0" applyNumberFormat="1" applyBorder="1"/>
    <xf numFmtId="169" fontId="13" fillId="0" borderId="142" xfId="0" applyNumberFormat="1" applyFont="1" applyBorder="1" applyAlignment="1">
      <alignment horizontal="center"/>
    </xf>
    <xf numFmtId="169" fontId="13" fillId="0" borderId="142" xfId="0" applyNumberFormat="1" applyFont="1" applyBorder="1" applyAlignment="1">
      <alignment horizontal="center" vertical="center"/>
    </xf>
    <xf numFmtId="0" fontId="13" fillId="0" borderId="142" xfId="0" applyFont="1" applyBorder="1" applyAlignment="1">
      <alignment horizontal="center"/>
    </xf>
    <xf numFmtId="169" fontId="13" fillId="0" borderId="128" xfId="0" applyNumberFormat="1" applyFont="1" applyBorder="1" applyAlignment="1">
      <alignment horizontal="center"/>
    </xf>
    <xf numFmtId="0" fontId="0" fillId="0" borderId="147" xfId="0" applyBorder="1" applyAlignment="1"/>
    <xf numFmtId="0" fontId="13" fillId="0" borderId="151" xfId="0" applyFont="1" applyBorder="1" applyAlignment="1">
      <alignment horizontal="center" vertical="center" wrapText="1"/>
    </xf>
    <xf numFmtId="0" fontId="13" fillId="0" borderId="55" xfId="0" applyFont="1" applyBorder="1" applyAlignment="1">
      <alignment horizontal="center" vertical="center" wrapText="1"/>
    </xf>
    <xf numFmtId="0" fontId="13" fillId="0" borderId="55" xfId="0" applyFont="1" applyBorder="1" applyAlignment="1">
      <alignment horizontal="center"/>
    </xf>
    <xf numFmtId="169" fontId="14" fillId="0" borderId="147" xfId="0" applyNumberFormat="1" applyFont="1" applyBorder="1" applyAlignment="1">
      <alignment horizontal="center"/>
    </xf>
    <xf numFmtId="169" fontId="13" fillId="0" borderId="147" xfId="0" applyNumberFormat="1" applyFont="1" applyBorder="1" applyAlignment="1">
      <alignment horizontal="center"/>
    </xf>
    <xf numFmtId="169" fontId="13" fillId="0" borderId="99" xfId="0" applyNumberFormat="1" applyFont="1" applyBorder="1" applyAlignment="1">
      <alignment horizontal="center"/>
    </xf>
    <xf numFmtId="0" fontId="13" fillId="0" borderId="27" xfId="0" applyFont="1" applyBorder="1" applyAlignment="1">
      <alignment horizontal="center"/>
    </xf>
    <xf numFmtId="0" fontId="13" fillId="0" borderId="143" xfId="0" applyFont="1" applyBorder="1" applyAlignment="1">
      <alignment horizontal="center"/>
    </xf>
    <xf numFmtId="0" fontId="13" fillId="0" borderId="143" xfId="0" applyFont="1" applyBorder="1" applyAlignment="1">
      <alignment horizontal="center" vertical="center"/>
    </xf>
    <xf numFmtId="169" fontId="13" fillId="0" borderId="143" xfId="0" applyNumberFormat="1" applyFont="1" applyBorder="1" applyAlignment="1">
      <alignment horizontal="center" vertical="center" wrapText="1"/>
    </xf>
    <xf numFmtId="0" fontId="13" fillId="0" borderId="109" xfId="0" applyFont="1" applyBorder="1" applyAlignment="1">
      <alignment horizontal="center"/>
    </xf>
    <xf numFmtId="0" fontId="13" fillId="0" borderId="35" xfId="0" applyFont="1" applyBorder="1" applyAlignment="1">
      <alignment horizontal="center"/>
    </xf>
    <xf numFmtId="0" fontId="60" fillId="0" borderId="128" xfId="0" applyFont="1" applyBorder="1" applyAlignment="1">
      <alignment horizontal="center" vertical="center" wrapText="1"/>
    </xf>
    <xf numFmtId="0" fontId="60" fillId="0" borderId="128" xfId="0" applyFont="1" applyBorder="1" applyAlignment="1">
      <alignment horizontal="center" vertical="center" wrapText="1"/>
    </xf>
    <xf numFmtId="178" fontId="82" fillId="0" borderId="31" xfId="0" applyNumberFormat="1" applyFont="1" applyBorder="1" applyAlignment="1">
      <alignment vertical="center"/>
    </xf>
    <xf numFmtId="178" fontId="82" fillId="0" borderId="36" xfId="0" applyNumberFormat="1" applyFont="1" applyBorder="1" applyAlignment="1">
      <alignment vertical="center"/>
    </xf>
    <xf numFmtId="178" fontId="82" fillId="0" borderId="17" xfId="0" applyNumberFormat="1" applyFont="1" applyBorder="1" applyAlignment="1">
      <alignment vertical="center"/>
    </xf>
    <xf numFmtId="178" fontId="82" fillId="0" borderId="18" xfId="0" applyNumberFormat="1" applyFont="1" applyBorder="1" applyAlignment="1">
      <alignment vertical="center"/>
    </xf>
    <xf numFmtId="178" fontId="82" fillId="0" borderId="16" xfId="0" applyNumberFormat="1" applyFont="1" applyBorder="1" applyAlignment="1">
      <alignment vertical="center"/>
    </xf>
    <xf numFmtId="178" fontId="82" fillId="0" borderId="71" xfId="0" applyNumberFormat="1" applyFont="1" applyBorder="1" applyAlignment="1">
      <alignment vertical="center"/>
    </xf>
    <xf numFmtId="178" fontId="17" fillId="0" borderId="16" xfId="0" applyNumberFormat="1" applyFont="1" applyBorder="1" applyAlignment="1">
      <alignment horizontal="right" vertical="center"/>
    </xf>
    <xf numFmtId="178" fontId="83" fillId="0" borderId="17" xfId="0" applyNumberFormat="1" applyFont="1" applyBorder="1" applyAlignment="1">
      <alignment horizontal="right" vertical="center"/>
    </xf>
    <xf numFmtId="178" fontId="17" fillId="0" borderId="17" xfId="0" applyNumberFormat="1" applyFont="1" applyBorder="1" applyAlignment="1">
      <alignment horizontal="right" vertical="center"/>
    </xf>
    <xf numFmtId="178" fontId="17" fillId="0" borderId="27" xfId="0" applyNumberFormat="1" applyFont="1" applyBorder="1" applyAlignment="1">
      <alignment horizontal="right" vertical="center"/>
    </xf>
    <xf numFmtId="178" fontId="17" fillId="0" borderId="18" xfId="0" applyNumberFormat="1" applyFont="1" applyFill="1" applyBorder="1" applyAlignment="1">
      <alignment horizontal="right" vertical="center"/>
    </xf>
    <xf numFmtId="178" fontId="17" fillId="0" borderId="18" xfId="0" applyNumberFormat="1" applyFont="1" applyBorder="1" applyAlignment="1">
      <alignment horizontal="right" vertical="center"/>
    </xf>
    <xf numFmtId="178" fontId="82" fillId="0" borderId="91" xfId="0" applyNumberFormat="1" applyFont="1" applyBorder="1" applyAlignment="1">
      <alignment vertical="center"/>
    </xf>
    <xf numFmtId="178" fontId="82" fillId="0" borderId="147" xfId="0" applyNumberFormat="1" applyFont="1" applyBorder="1" applyAlignment="1">
      <alignment vertical="center"/>
    </xf>
    <xf numFmtId="178" fontId="82" fillId="0" borderId="142" xfId="0" applyNumberFormat="1" applyFont="1" applyBorder="1" applyAlignment="1">
      <alignment vertical="center"/>
    </xf>
    <xf numFmtId="178" fontId="82" fillId="0" borderId="127" xfId="0" applyNumberFormat="1" applyFont="1" applyBorder="1" applyAlignment="1">
      <alignment vertical="center"/>
    </xf>
    <xf numFmtId="178" fontId="82" fillId="0" borderId="130" xfId="0" applyNumberFormat="1" applyFont="1" applyBorder="1" applyAlignment="1">
      <alignment vertical="center"/>
    </xf>
    <xf numFmtId="178" fontId="60" fillId="0" borderId="20" xfId="0" applyNumberFormat="1" applyFont="1" applyFill="1" applyBorder="1" applyAlignment="1">
      <alignment horizontal="right" vertical="center"/>
    </xf>
    <xf numFmtId="178" fontId="17" fillId="0" borderId="20" xfId="0" applyNumberFormat="1" applyFont="1" applyFill="1" applyBorder="1" applyAlignment="1">
      <alignment horizontal="right" vertical="center"/>
    </xf>
    <xf numFmtId="178" fontId="60" fillId="0" borderId="91" xfId="0" applyNumberFormat="1" applyFont="1" applyBorder="1" applyAlignment="1">
      <alignment vertical="center"/>
    </xf>
    <xf numFmtId="178" fontId="60" fillId="0" borderId="147" xfId="0" applyNumberFormat="1" applyFont="1" applyBorder="1" applyAlignment="1">
      <alignment vertical="center"/>
    </xf>
    <xf numFmtId="178" fontId="60" fillId="0" borderId="142" xfId="0" applyNumberFormat="1" applyFont="1" applyBorder="1" applyAlignment="1">
      <alignment vertical="center"/>
    </xf>
    <xf numFmtId="178" fontId="60" fillId="0" borderId="127" xfId="0" applyNumberFormat="1" applyFont="1" applyBorder="1" applyAlignment="1">
      <alignment vertical="center"/>
    </xf>
    <xf numFmtId="178" fontId="60" fillId="0" borderId="130" xfId="0" applyNumberFormat="1" applyFont="1" applyBorder="1" applyAlignment="1">
      <alignment vertical="center"/>
    </xf>
    <xf numFmtId="178" fontId="17" fillId="0" borderId="91" xfId="0" applyNumberFormat="1" applyFont="1" applyBorder="1" applyAlignment="1">
      <alignment vertical="center"/>
    </xf>
    <xf numFmtId="178" fontId="17" fillId="0" borderId="147" xfId="0" applyNumberFormat="1" applyFont="1" applyBorder="1" applyAlignment="1">
      <alignment vertical="center"/>
    </xf>
    <xf numFmtId="178" fontId="17" fillId="0" borderId="142" xfId="0" applyNumberFormat="1" applyFont="1" applyBorder="1" applyAlignment="1">
      <alignment vertical="center"/>
    </xf>
    <xf numFmtId="178" fontId="17" fillId="0" borderId="127" xfId="0" applyNumberFormat="1" applyFont="1" applyBorder="1" applyAlignment="1">
      <alignment vertical="center"/>
    </xf>
    <xf numFmtId="178" fontId="17" fillId="0" borderId="130" xfId="0" applyNumberFormat="1" applyFont="1" applyBorder="1" applyAlignment="1">
      <alignment vertical="center"/>
    </xf>
    <xf numFmtId="178" fontId="60" fillId="0" borderId="95" xfId="0" applyNumberFormat="1" applyFont="1" applyBorder="1" applyAlignment="1">
      <alignment vertical="center"/>
    </xf>
    <xf numFmtId="178" fontId="60" fillId="0" borderId="151" xfId="0" applyNumberFormat="1" applyFont="1" applyBorder="1" applyAlignment="1">
      <alignment vertical="center"/>
    </xf>
    <xf numFmtId="178" fontId="60" fillId="0" borderId="141" xfId="0" applyNumberFormat="1" applyFont="1" applyBorder="1" applyAlignment="1">
      <alignment vertical="center"/>
    </xf>
    <xf numFmtId="178" fontId="60" fillId="0" borderId="88" xfId="0" applyNumberFormat="1" applyFont="1" applyFill="1" applyBorder="1" applyAlignment="1">
      <alignment horizontal="right" vertical="center"/>
    </xf>
    <xf numFmtId="178" fontId="60" fillId="0" borderId="99" xfId="0" applyNumberFormat="1" applyFont="1" applyBorder="1" applyAlignment="1">
      <alignment vertical="center"/>
    </xf>
    <xf numFmtId="178" fontId="60" fillId="0" borderId="128" xfId="0" applyNumberFormat="1" applyFont="1" applyBorder="1" applyAlignment="1">
      <alignment vertical="center"/>
    </xf>
    <xf numFmtId="178" fontId="60" fillId="0" borderId="23" xfId="0" applyNumberFormat="1" applyFont="1" applyBorder="1" applyAlignment="1">
      <alignment vertical="center"/>
    </xf>
    <xf numFmtId="178" fontId="60" fillId="0" borderId="21" xfId="0" applyNumberFormat="1" applyFont="1" applyBorder="1" applyAlignment="1">
      <alignment vertical="center"/>
    </xf>
    <xf numFmtId="178" fontId="60" fillId="0" borderId="21" xfId="0" applyNumberFormat="1" applyFont="1" applyBorder="1" applyAlignment="1">
      <alignment horizontal="right" vertical="center"/>
    </xf>
    <xf numFmtId="178" fontId="60" fillId="0" borderId="128" xfId="0" applyNumberFormat="1" applyFont="1" applyBorder="1" applyAlignment="1">
      <alignment horizontal="right" vertical="center"/>
    </xf>
    <xf numFmtId="178" fontId="60" fillId="0" borderId="23" xfId="0" applyNumberFormat="1" applyFont="1" applyFill="1" applyBorder="1" applyAlignment="1">
      <alignment horizontal="right" vertical="center"/>
    </xf>
    <xf numFmtId="178" fontId="60" fillId="0" borderId="23" xfId="0" applyNumberFormat="1" applyFont="1" applyBorder="1" applyAlignment="1">
      <alignment horizontal="right" vertical="center"/>
    </xf>
    <xf numFmtId="178" fontId="60" fillId="0" borderId="130" xfId="0" applyNumberFormat="1" applyFont="1" applyFill="1" applyBorder="1" applyAlignment="1">
      <alignment horizontal="right" vertical="center"/>
    </xf>
    <xf numFmtId="178" fontId="17" fillId="0" borderId="152" xfId="0" applyNumberFormat="1" applyFont="1" applyFill="1" applyBorder="1" applyAlignment="1">
      <alignment horizontal="right" vertical="center"/>
    </xf>
    <xf numFmtId="178" fontId="17" fillId="0" borderId="153" xfId="0" applyNumberFormat="1" applyFont="1" applyFill="1" applyBorder="1" applyAlignment="1">
      <alignment horizontal="right" vertical="center"/>
    </xf>
    <xf numFmtId="178" fontId="60" fillId="0" borderId="127" xfId="0" applyNumberFormat="1" applyFont="1" applyBorder="1" applyAlignment="1">
      <alignment horizontal="right" vertical="center"/>
    </xf>
    <xf numFmtId="178" fontId="60" fillId="0" borderId="152" xfId="0" applyNumberFormat="1" applyFont="1" applyFill="1" applyBorder="1" applyAlignment="1">
      <alignment horizontal="right" vertical="center"/>
    </xf>
    <xf numFmtId="178" fontId="60" fillId="0" borderId="153" xfId="0" applyNumberFormat="1" applyFont="1" applyFill="1" applyBorder="1" applyAlignment="1">
      <alignment horizontal="right" vertical="center"/>
    </xf>
    <xf numFmtId="10" fontId="61" fillId="0" borderId="127" xfId="85" applyNumberFormat="1" applyFont="1" applyFill="1" applyBorder="1" applyAlignment="1">
      <alignment horizontal="right" vertical="center"/>
    </xf>
    <xf numFmtId="4" fontId="60" fillId="0" borderId="127" xfId="0" applyNumberFormat="1" applyFont="1" applyBorder="1" applyAlignment="1">
      <alignment horizontal="right" vertical="center"/>
    </xf>
    <xf numFmtId="178" fontId="17" fillId="0" borderId="130" xfId="0" applyNumberFormat="1" applyFont="1" applyFill="1" applyBorder="1" applyAlignment="1">
      <alignment horizontal="right" vertical="center"/>
    </xf>
    <xf numFmtId="178" fontId="17" fillId="0" borderId="127" xfId="0" applyNumberFormat="1" applyFont="1" applyBorder="1" applyAlignment="1">
      <alignment horizontal="right" vertical="center"/>
    </xf>
    <xf numFmtId="178" fontId="60" fillId="0" borderId="154" xfId="0" applyNumberFormat="1" applyFont="1" applyFill="1" applyBorder="1" applyAlignment="1">
      <alignment horizontal="right" vertical="center"/>
    </xf>
    <xf numFmtId="178" fontId="101" fillId="0" borderId="155" xfId="0" applyNumberFormat="1" applyFont="1" applyFill="1" applyBorder="1" applyAlignment="1">
      <alignment horizontal="right" vertical="center"/>
    </xf>
    <xf numFmtId="178" fontId="60" fillId="0" borderId="156" xfId="0" applyNumberFormat="1" applyFont="1" applyFill="1" applyBorder="1" applyAlignment="1">
      <alignment horizontal="right" vertical="center"/>
    </xf>
    <xf numFmtId="178" fontId="60" fillId="0" borderId="157" xfId="0" applyNumberFormat="1" applyFont="1" applyBorder="1" applyAlignment="1">
      <alignment horizontal="right" vertical="center"/>
    </xf>
    <xf numFmtId="178" fontId="60" fillId="0" borderId="130" xfId="0" applyNumberFormat="1" applyFont="1" applyBorder="1" applyAlignment="1">
      <alignment horizontal="right" vertical="center"/>
    </xf>
    <xf numFmtId="178" fontId="60" fillId="0" borderId="152" xfId="0" applyNumberFormat="1" applyFont="1" applyBorder="1" applyAlignment="1">
      <alignment horizontal="right" vertical="center"/>
    </xf>
    <xf numFmtId="178" fontId="60" fillId="0" borderId="156" xfId="0" applyNumberFormat="1" applyFont="1" applyBorder="1" applyAlignment="1">
      <alignment horizontal="right" vertical="center"/>
    </xf>
    <xf numFmtId="10" fontId="61" fillId="0" borderId="111" xfId="85" applyNumberFormat="1" applyFont="1" applyFill="1" applyBorder="1" applyAlignment="1">
      <alignment horizontal="right" vertical="center"/>
    </xf>
    <xf numFmtId="10" fontId="61" fillId="0" borderId="153" xfId="85" applyNumberFormat="1" applyFont="1" applyFill="1" applyBorder="1" applyAlignment="1">
      <alignment horizontal="right" vertical="center"/>
    </xf>
    <xf numFmtId="178" fontId="61" fillId="0" borderId="152" xfId="85" applyNumberFormat="1" applyFont="1" applyFill="1" applyBorder="1" applyAlignment="1">
      <alignment horizontal="right" vertical="center"/>
    </xf>
    <xf numFmtId="0" fontId="61" fillId="0" borderId="158" xfId="0" applyFont="1" applyBorder="1" applyAlignment="1">
      <alignment vertical="center" wrapText="1"/>
    </xf>
    <xf numFmtId="178" fontId="60" fillId="0" borderId="159" xfId="0" applyNumberFormat="1" applyFont="1" applyBorder="1" applyAlignment="1">
      <alignment vertical="center"/>
    </xf>
    <xf numFmtId="178" fontId="60" fillId="0" borderId="160" xfId="0" applyNumberFormat="1" applyFont="1" applyBorder="1" applyAlignment="1">
      <alignment vertical="center"/>
    </xf>
    <xf numFmtId="178" fontId="60" fillId="0" borderId="155" xfId="0" applyNumberFormat="1" applyFont="1" applyBorder="1" applyAlignment="1">
      <alignment vertical="center"/>
    </xf>
    <xf numFmtId="178" fontId="60" fillId="0" borderId="157" xfId="0" applyNumberFormat="1" applyFont="1" applyBorder="1" applyAlignment="1">
      <alignment vertical="center"/>
    </xf>
    <xf numFmtId="178" fontId="60" fillId="0" borderId="154" xfId="0" applyNumberFormat="1" applyFont="1" applyBorder="1" applyAlignment="1">
      <alignment vertical="center"/>
    </xf>
    <xf numFmtId="178" fontId="60" fillId="0" borderId="154" xfId="0" applyNumberFormat="1" applyFont="1" applyBorder="1" applyAlignment="1">
      <alignment horizontal="right" vertical="center"/>
    </xf>
    <xf numFmtId="178" fontId="60" fillId="0" borderId="155" xfId="0" applyNumberFormat="1" applyFont="1" applyBorder="1" applyAlignment="1">
      <alignment horizontal="right" vertical="center"/>
    </xf>
    <xf numFmtId="178" fontId="60" fillId="0" borderId="157" xfId="0" applyNumberFormat="1" applyFont="1" applyFill="1" applyBorder="1" applyAlignment="1">
      <alignment horizontal="right" vertical="center"/>
    </xf>
    <xf numFmtId="178" fontId="60" fillId="0" borderId="152" xfId="0" applyNumberFormat="1" applyFont="1" applyBorder="1" applyAlignment="1">
      <alignment vertical="center"/>
    </xf>
    <xf numFmtId="178" fontId="60" fillId="0" borderId="17" xfId="0" applyNumberFormat="1" applyFont="1" applyBorder="1" applyAlignment="1">
      <alignment vertical="center"/>
    </xf>
    <xf numFmtId="178" fontId="60" fillId="0" borderId="17" xfId="0" applyNumberFormat="1" applyFont="1" applyBorder="1" applyAlignment="1">
      <alignment horizontal="right" vertical="center"/>
    </xf>
    <xf numFmtId="178" fontId="60" fillId="0" borderId="17" xfId="0" applyNumberFormat="1" applyFont="1" applyFill="1" applyBorder="1" applyAlignment="1">
      <alignment horizontal="right" vertical="center"/>
    </xf>
    <xf numFmtId="0" fontId="0" fillId="0" borderId="18" xfId="0" applyBorder="1" applyAlignment="1">
      <alignment horizontal="left" vertical="center" wrapText="1"/>
    </xf>
    <xf numFmtId="0" fontId="0" fillId="0" borderId="127" xfId="0" applyBorder="1" applyAlignment="1">
      <alignment horizontal="left" vertical="center" wrapText="1"/>
    </xf>
    <xf numFmtId="178" fontId="60" fillId="0" borderId="128" xfId="0" applyNumberFormat="1" applyFont="1" applyFill="1" applyBorder="1" applyAlignment="1">
      <alignment horizontal="right" vertical="center"/>
    </xf>
    <xf numFmtId="0" fontId="0" fillId="0" borderId="23" xfId="0" applyBorder="1" applyAlignment="1">
      <alignment horizontal="left" vertical="center" wrapText="1"/>
    </xf>
    <xf numFmtId="0" fontId="61" fillId="0" borderId="73" xfId="0" applyFont="1" applyBorder="1" applyAlignment="1">
      <alignment vertical="center" wrapText="1"/>
    </xf>
    <xf numFmtId="0" fontId="61" fillId="0" borderId="111" xfId="0" applyFont="1" applyBorder="1" applyAlignment="1">
      <alignment vertical="center" wrapText="1"/>
    </xf>
    <xf numFmtId="0" fontId="61" fillId="0" borderId="42" xfId="0" applyFont="1" applyBorder="1" applyAlignment="1">
      <alignment vertical="center" wrapText="1"/>
    </xf>
    <xf numFmtId="178" fontId="60" fillId="0" borderId="30" xfId="0" applyNumberFormat="1" applyFont="1" applyBorder="1" applyAlignment="1">
      <alignment vertical="center"/>
    </xf>
    <xf numFmtId="178" fontId="60" fillId="0" borderId="163" xfId="0" applyNumberFormat="1" applyFont="1" applyBorder="1" applyAlignment="1">
      <alignment vertical="center"/>
    </xf>
    <xf numFmtId="178" fontId="60" fillId="0" borderId="101" xfId="0" applyNumberFormat="1" applyFont="1" applyBorder="1" applyAlignment="1">
      <alignment vertical="center"/>
    </xf>
    <xf numFmtId="178" fontId="60" fillId="0" borderId="16" xfId="0" applyNumberFormat="1" applyFont="1" applyBorder="1" applyAlignment="1">
      <alignment vertical="center"/>
    </xf>
    <xf numFmtId="178" fontId="60" fillId="0" borderId="18" xfId="0" applyNumberFormat="1" applyFont="1" applyBorder="1" applyAlignment="1">
      <alignment vertical="center"/>
    </xf>
    <xf numFmtId="178" fontId="60" fillId="0" borderId="27" xfId="0" applyNumberFormat="1" applyFont="1" applyBorder="1" applyAlignment="1">
      <alignment vertical="center"/>
    </xf>
    <xf numFmtId="178" fontId="60" fillId="0" borderId="153" xfId="0" applyNumberFormat="1" applyFont="1" applyBorder="1" applyAlignment="1">
      <alignment vertical="center"/>
    </xf>
    <xf numFmtId="178" fontId="60" fillId="0" borderId="109" xfId="0" applyNumberFormat="1" applyFont="1" applyBorder="1" applyAlignment="1">
      <alignment vertical="center"/>
    </xf>
    <xf numFmtId="178" fontId="60" fillId="0" borderId="30" xfId="0" applyNumberFormat="1" applyFont="1" applyBorder="1" applyAlignment="1">
      <alignment horizontal="right" vertical="center"/>
    </xf>
    <xf numFmtId="178" fontId="60" fillId="0" borderId="163" xfId="0" applyNumberFormat="1" applyFont="1" applyBorder="1" applyAlignment="1">
      <alignment horizontal="right" vertical="center"/>
    </xf>
    <xf numFmtId="178" fontId="60" fillId="0" borderId="101" xfId="0" applyNumberFormat="1" applyFont="1" applyBorder="1" applyAlignment="1">
      <alignment horizontal="right" vertical="center"/>
    </xf>
    <xf numFmtId="178" fontId="60" fillId="0" borderId="27" xfId="0" applyNumberFormat="1" applyFont="1" applyFill="1" applyBorder="1" applyAlignment="1">
      <alignment horizontal="right" vertical="center"/>
    </xf>
    <xf numFmtId="178" fontId="60" fillId="0" borderId="109" xfId="0" applyNumberFormat="1" applyFont="1" applyFill="1" applyBorder="1" applyAlignment="1">
      <alignment horizontal="right" vertical="center"/>
    </xf>
    <xf numFmtId="178" fontId="60" fillId="0" borderId="16" xfId="0" applyNumberFormat="1" applyFont="1" applyBorder="1" applyAlignment="1">
      <alignment horizontal="right" vertical="center"/>
    </xf>
    <xf numFmtId="178" fontId="60" fillId="0" borderId="18" xfId="0" applyNumberFormat="1" applyFont="1" applyBorder="1" applyAlignment="1">
      <alignment horizontal="right" vertical="center"/>
    </xf>
    <xf numFmtId="178" fontId="60" fillId="0" borderId="27" xfId="0" applyNumberFormat="1" applyFont="1" applyBorder="1" applyAlignment="1">
      <alignment horizontal="right" vertical="center"/>
    </xf>
    <xf numFmtId="178" fontId="60" fillId="0" borderId="153" xfId="0" applyNumberFormat="1" applyFont="1" applyBorder="1" applyAlignment="1">
      <alignment horizontal="right" vertical="center"/>
    </xf>
    <xf numFmtId="0" fontId="13" fillId="0" borderId="16" xfId="0" applyFont="1" applyBorder="1" applyAlignment="1">
      <alignment horizontal="left" vertical="center" wrapText="1"/>
    </xf>
    <xf numFmtId="0" fontId="13" fillId="0" borderId="130" xfId="0" applyFont="1" applyBorder="1" applyAlignment="1">
      <alignment horizontal="left" vertical="center" wrapText="1"/>
    </xf>
    <xf numFmtId="0" fontId="13" fillId="0" borderId="155" xfId="0" applyFont="1" applyBorder="1" applyAlignment="1">
      <alignment horizontal="center" vertical="center" wrapText="1"/>
    </xf>
    <xf numFmtId="169" fontId="14" fillId="0" borderId="152" xfId="0" applyNumberFormat="1" applyFont="1" applyBorder="1" applyAlignment="1">
      <alignment horizontal="center"/>
    </xf>
    <xf numFmtId="178" fontId="17" fillId="0" borderId="30" xfId="0" applyNumberFormat="1" applyFont="1" applyFill="1" applyBorder="1" applyAlignment="1">
      <alignment horizontal="right" vertical="center"/>
    </xf>
    <xf numFmtId="178" fontId="60" fillId="0" borderId="163" xfId="0" applyNumberFormat="1" applyFont="1" applyFill="1" applyBorder="1" applyAlignment="1">
      <alignment horizontal="right" vertical="center"/>
    </xf>
    <xf numFmtId="10" fontId="61" fillId="0" borderId="164" xfId="85" applyNumberFormat="1" applyFont="1" applyFill="1" applyBorder="1" applyAlignment="1">
      <alignment horizontal="right" vertical="center"/>
    </xf>
    <xf numFmtId="178" fontId="17" fillId="0" borderId="163" xfId="0" applyNumberFormat="1" applyFont="1" applyFill="1" applyBorder="1" applyAlignment="1">
      <alignment horizontal="right" vertical="center"/>
    </xf>
    <xf numFmtId="10" fontId="61" fillId="0" borderId="152" xfId="85" applyNumberFormat="1" applyFont="1" applyBorder="1" applyAlignment="1">
      <alignment horizontal="right" vertical="center"/>
    </xf>
    <xf numFmtId="178" fontId="60" fillId="0" borderId="159" xfId="0" applyNumberFormat="1" applyFont="1" applyFill="1" applyBorder="1" applyAlignment="1">
      <alignment horizontal="right" vertical="center"/>
    </xf>
    <xf numFmtId="178" fontId="60" fillId="0" borderId="160" xfId="0" applyNumberFormat="1" applyFont="1" applyBorder="1" applyAlignment="1">
      <alignment horizontal="right" vertical="center"/>
    </xf>
    <xf numFmtId="0" fontId="0" fillId="0" borderId="152" xfId="0" applyBorder="1"/>
    <xf numFmtId="0" fontId="0" fillId="0" borderId="163" xfId="0" applyBorder="1" applyAlignment="1">
      <alignment horizontal="center"/>
    </xf>
    <xf numFmtId="10" fontId="61" fillId="0" borderId="130" xfId="85" applyNumberFormat="1" applyFont="1" applyBorder="1" applyAlignment="1">
      <alignment horizontal="right" vertical="center"/>
    </xf>
    <xf numFmtId="178" fontId="60" fillId="0" borderId="99" xfId="0" applyNumberFormat="1" applyFont="1" applyBorder="1" applyAlignment="1">
      <alignment horizontal="right" vertical="center"/>
    </xf>
    <xf numFmtId="178" fontId="60" fillId="0" borderId="111" xfId="0" applyNumberFormat="1" applyFont="1" applyBorder="1" applyAlignment="1">
      <alignment horizontal="right" vertical="center"/>
    </xf>
    <xf numFmtId="10" fontId="61" fillId="0" borderId="153" xfId="85" applyNumberFormat="1" applyFont="1" applyBorder="1" applyAlignment="1">
      <alignment horizontal="right" vertical="center"/>
    </xf>
    <xf numFmtId="10" fontId="61" fillId="0" borderId="163" xfId="85" applyNumberFormat="1" applyFont="1" applyFill="1" applyBorder="1" applyAlignment="1">
      <alignment horizontal="right" vertical="center"/>
    </xf>
    <xf numFmtId="4" fontId="61" fillId="0" borderId="163" xfId="0" applyNumberFormat="1" applyFont="1" applyFill="1" applyBorder="1" applyAlignment="1">
      <alignment horizontal="right" vertical="center" wrapText="1"/>
    </xf>
    <xf numFmtId="10" fontId="61" fillId="0" borderId="127" xfId="85" applyNumberFormat="1" applyFont="1" applyBorder="1" applyAlignment="1">
      <alignment horizontal="right" vertical="center"/>
    </xf>
    <xf numFmtId="178" fontId="17" fillId="0" borderId="130" xfId="0" applyNumberFormat="1" applyFont="1" applyBorder="1" applyAlignment="1">
      <alignment horizontal="right" vertical="center"/>
    </xf>
    <xf numFmtId="178" fontId="83" fillId="0" borderId="27" xfId="0" applyNumberFormat="1" applyFont="1" applyBorder="1" applyAlignment="1">
      <alignment horizontal="right" vertical="center"/>
    </xf>
    <xf numFmtId="178" fontId="61" fillId="0" borderId="153" xfId="0" applyNumberFormat="1" applyFont="1" applyBorder="1" applyAlignment="1">
      <alignment horizontal="right" vertical="center"/>
    </xf>
    <xf numFmtId="4" fontId="61" fillId="0" borderId="153" xfId="0" applyNumberFormat="1" applyFont="1" applyBorder="1" applyAlignment="1">
      <alignment horizontal="right" vertical="center"/>
    </xf>
    <xf numFmtId="178" fontId="83" fillId="0" borderId="153" xfId="0" applyNumberFormat="1" applyFont="1" applyBorder="1" applyAlignment="1">
      <alignment horizontal="right" vertical="center"/>
    </xf>
    <xf numFmtId="178" fontId="17" fillId="0" borderId="71" xfId="0" applyNumberFormat="1" applyFont="1" applyBorder="1" applyAlignment="1">
      <alignment horizontal="right" vertical="center"/>
    </xf>
    <xf numFmtId="178" fontId="60" fillId="0" borderId="164" xfId="0" applyNumberFormat="1" applyFont="1" applyBorder="1" applyAlignment="1">
      <alignment horizontal="right" vertical="center"/>
    </xf>
    <xf numFmtId="10" fontId="61" fillId="0" borderId="164" xfId="85" applyNumberFormat="1" applyFont="1" applyBorder="1" applyAlignment="1">
      <alignment horizontal="right" vertical="center"/>
    </xf>
    <xf numFmtId="178" fontId="17" fillId="0" borderId="164" xfId="0" applyNumberFormat="1" applyFont="1" applyBorder="1" applyAlignment="1">
      <alignment horizontal="right" vertical="center"/>
    </xf>
    <xf numFmtId="178" fontId="17" fillId="0" borderId="153" xfId="0" applyNumberFormat="1" applyFont="1" applyBorder="1" applyAlignment="1">
      <alignment horizontal="right" vertical="center"/>
    </xf>
    <xf numFmtId="178" fontId="60" fillId="0" borderId="127" xfId="0" applyNumberFormat="1" applyFont="1" applyFill="1" applyBorder="1" applyAlignment="1">
      <alignment horizontal="right" vertical="center"/>
    </xf>
    <xf numFmtId="178" fontId="17" fillId="0" borderId="152" xfId="0" applyNumberFormat="1" applyFont="1" applyBorder="1" applyAlignment="1">
      <alignment horizontal="right" vertical="center"/>
    </xf>
    <xf numFmtId="178" fontId="17" fillId="0" borderId="127" xfId="0" applyNumberFormat="1" applyFont="1" applyFill="1" applyBorder="1" applyAlignment="1">
      <alignment horizontal="right" vertical="center"/>
    </xf>
    <xf numFmtId="178" fontId="82" fillId="0" borderId="27" xfId="0" applyNumberFormat="1" applyFont="1" applyBorder="1" applyAlignment="1">
      <alignment vertical="center"/>
    </xf>
    <xf numFmtId="178" fontId="82" fillId="0" borderId="153" xfId="0" applyNumberFormat="1" applyFont="1" applyBorder="1" applyAlignment="1">
      <alignment vertical="center"/>
    </xf>
    <xf numFmtId="0" fontId="61" fillId="0" borderId="153" xfId="0" applyFont="1" applyBorder="1" applyAlignment="1">
      <alignment vertical="center"/>
    </xf>
    <xf numFmtId="178" fontId="17" fillId="0" borderId="153" xfId="0" applyNumberFormat="1" applyFont="1" applyBorder="1" applyAlignment="1">
      <alignment vertical="center"/>
    </xf>
    <xf numFmtId="178" fontId="60" fillId="0" borderId="156" xfId="0" applyNumberFormat="1" applyFont="1" applyBorder="1" applyAlignment="1">
      <alignment vertical="center"/>
    </xf>
    <xf numFmtId="178" fontId="17" fillId="0" borderId="30" xfId="0" applyNumberFormat="1" applyFont="1" applyBorder="1" applyAlignment="1">
      <alignment horizontal="right" vertical="center"/>
    </xf>
    <xf numFmtId="10" fontId="61" fillId="0" borderId="163" xfId="85" applyNumberFormat="1" applyFont="1" applyBorder="1" applyAlignment="1">
      <alignment horizontal="right" vertical="center"/>
    </xf>
    <xf numFmtId="178" fontId="17" fillId="0" borderId="163" xfId="0" applyNumberFormat="1" applyFont="1" applyBorder="1" applyAlignment="1">
      <alignment horizontal="right" vertical="center"/>
    </xf>
    <xf numFmtId="178" fontId="60" fillId="0" borderId="159" xfId="0" applyNumberFormat="1" applyFont="1" applyBorder="1" applyAlignment="1">
      <alignment horizontal="right" vertical="center"/>
    </xf>
    <xf numFmtId="178" fontId="82" fillId="0" borderId="164" xfId="0" applyNumberFormat="1" applyFont="1" applyBorder="1" applyAlignment="1">
      <alignment vertical="center"/>
    </xf>
    <xf numFmtId="178" fontId="82" fillId="0" borderId="152" xfId="0" applyNumberFormat="1" applyFont="1" applyBorder="1" applyAlignment="1">
      <alignment vertical="center"/>
    </xf>
    <xf numFmtId="178" fontId="60" fillId="0" borderId="164" xfId="0" applyNumberFormat="1" applyFont="1" applyBorder="1" applyAlignment="1">
      <alignment vertical="center"/>
    </xf>
    <xf numFmtId="178" fontId="17" fillId="0" borderId="164" xfId="0" applyNumberFormat="1" applyFont="1" applyBorder="1" applyAlignment="1">
      <alignment vertical="center"/>
    </xf>
    <xf numFmtId="178" fontId="17" fillId="0" borderId="152" xfId="0" applyNumberFormat="1" applyFont="1" applyBorder="1" applyAlignment="1">
      <alignment vertical="center"/>
    </xf>
    <xf numFmtId="0" fontId="61" fillId="0" borderId="164" xfId="0" applyFont="1" applyBorder="1" applyAlignment="1">
      <alignment vertical="center"/>
    </xf>
    <xf numFmtId="10" fontId="17" fillId="0" borderId="127" xfId="85" applyNumberFormat="1" applyFont="1" applyBorder="1" applyAlignment="1">
      <alignment horizontal="right" vertical="center"/>
    </xf>
    <xf numFmtId="178" fontId="60" fillId="0" borderId="73" xfId="0" applyNumberFormat="1" applyFont="1" applyBorder="1" applyAlignment="1">
      <alignment horizontal="right" vertical="center"/>
    </xf>
    <xf numFmtId="178" fontId="60" fillId="0" borderId="42" xfId="0" applyNumberFormat="1" applyFont="1" applyBorder="1" applyAlignment="1">
      <alignment horizontal="right" vertical="center"/>
    </xf>
    <xf numFmtId="178" fontId="83" fillId="0" borderId="152" xfId="0" applyNumberFormat="1" applyFont="1" applyBorder="1" applyAlignment="1">
      <alignment horizontal="right" vertical="center"/>
    </xf>
    <xf numFmtId="178" fontId="61" fillId="0" borderId="152" xfId="0" applyNumberFormat="1" applyFont="1" applyBorder="1" applyAlignment="1">
      <alignment horizontal="right" vertical="center"/>
    </xf>
    <xf numFmtId="178" fontId="61" fillId="0" borderId="128" xfId="0" applyNumberFormat="1" applyFont="1" applyBorder="1" applyAlignment="1">
      <alignment horizontal="right" vertical="center"/>
    </xf>
    <xf numFmtId="0" fontId="17" fillId="0" borderId="131" xfId="0" applyFont="1" applyBorder="1" applyAlignment="1">
      <alignment vertical="center" wrapText="1"/>
    </xf>
    <xf numFmtId="0" fontId="60" fillId="0" borderId="131" xfId="0" applyFont="1" applyBorder="1" applyAlignment="1">
      <alignment vertical="center" wrapText="1"/>
    </xf>
    <xf numFmtId="178" fontId="60" fillId="0" borderId="101" xfId="0" applyNumberFormat="1" applyFont="1" applyFill="1" applyBorder="1" applyAlignment="1">
      <alignment horizontal="right" vertical="center"/>
    </xf>
    <xf numFmtId="178" fontId="17" fillId="0" borderId="27" xfId="0" applyNumberFormat="1" applyFont="1" applyFill="1" applyBorder="1" applyAlignment="1">
      <alignment horizontal="right" vertical="center"/>
    </xf>
    <xf numFmtId="4" fontId="17" fillId="0" borderId="36" xfId="0" applyNumberFormat="1" applyFont="1" applyFill="1" applyBorder="1" applyAlignment="1">
      <alignment horizontal="center" vertical="center"/>
    </xf>
    <xf numFmtId="4" fontId="60" fillId="0" borderId="98" xfId="0" applyNumberFormat="1" applyFont="1" applyFill="1" applyBorder="1" applyAlignment="1">
      <alignment horizontal="center" vertical="center"/>
    </xf>
    <xf numFmtId="4" fontId="61" fillId="0" borderId="105" xfId="85" applyNumberFormat="1" applyFont="1" applyFill="1" applyBorder="1" applyAlignment="1">
      <alignment horizontal="center" vertical="center"/>
    </xf>
    <xf numFmtId="4" fontId="60" fillId="0" borderId="36" xfId="0" applyNumberFormat="1" applyFont="1" applyFill="1" applyBorder="1" applyAlignment="1">
      <alignment horizontal="center" vertical="center"/>
    </xf>
    <xf numFmtId="4" fontId="60" fillId="0" borderId="31" xfId="0" applyNumberFormat="1" applyFont="1" applyFill="1" applyBorder="1" applyAlignment="1">
      <alignment horizontal="center" vertical="center"/>
    </xf>
    <xf numFmtId="4" fontId="17" fillId="0" borderId="98" xfId="85" applyNumberFormat="1" applyFont="1" applyFill="1" applyBorder="1" applyAlignment="1">
      <alignment horizontal="center" vertical="center"/>
    </xf>
    <xf numFmtId="4" fontId="17" fillId="0" borderId="99" xfId="0" applyNumberFormat="1" applyFont="1" applyFill="1" applyBorder="1" applyAlignment="1">
      <alignment horizontal="center" vertical="center"/>
    </xf>
    <xf numFmtId="0" fontId="13" fillId="0" borderId="61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0" fillId="0" borderId="165" xfId="0" applyBorder="1"/>
    <xf numFmtId="4" fontId="0" fillId="0" borderId="166" xfId="0" applyNumberFormat="1" applyBorder="1"/>
    <xf numFmtId="4" fontId="0" fillId="0" borderId="165" xfId="0" applyNumberFormat="1" applyBorder="1"/>
    <xf numFmtId="0" fontId="0" fillId="0" borderId="166" xfId="0" applyBorder="1"/>
    <xf numFmtId="165" fontId="0" fillId="0" borderId="0" xfId="89" applyFont="1"/>
    <xf numFmtId="0" fontId="13" fillId="0" borderId="167" xfId="0" applyFont="1" applyBorder="1" applyAlignment="1">
      <alignment horizontal="center" vertical="center" wrapText="1"/>
    </xf>
    <xf numFmtId="169" fontId="14" fillId="0" borderId="168" xfId="0" applyNumberFormat="1" applyFont="1" applyBorder="1" applyAlignment="1">
      <alignment horizontal="center"/>
    </xf>
    <xf numFmtId="2" fontId="60" fillId="0" borderId="0" xfId="0" applyNumberFormat="1" applyFont="1"/>
    <xf numFmtId="0" fontId="0" fillId="0" borderId="169" xfId="0" applyBorder="1"/>
    <xf numFmtId="4" fontId="0" fillId="0" borderId="169" xfId="0" applyNumberFormat="1" applyBorder="1"/>
    <xf numFmtId="0" fontId="0" fillId="0" borderId="169" xfId="0" applyBorder="1" applyAlignment="1">
      <alignment horizontal="center"/>
    </xf>
    <xf numFmtId="0" fontId="0" fillId="0" borderId="169" xfId="0" applyBorder="1" applyAlignment="1">
      <alignment wrapText="1"/>
    </xf>
    <xf numFmtId="4" fontId="0" fillId="0" borderId="170" xfId="0" applyNumberFormat="1" applyBorder="1"/>
    <xf numFmtId="0" fontId="0" fillId="0" borderId="170" xfId="0" applyBorder="1"/>
    <xf numFmtId="2" fontId="60" fillId="0" borderId="131" xfId="0" applyNumberFormat="1" applyFont="1" applyBorder="1" applyAlignment="1">
      <alignment vertical="center"/>
    </xf>
    <xf numFmtId="0" fontId="82" fillId="0" borderId="171" xfId="0" applyFont="1" applyBorder="1" applyAlignment="1">
      <alignment vertical="center"/>
    </xf>
    <xf numFmtId="0" fontId="82" fillId="0" borderId="169" xfId="0" applyFont="1" applyBorder="1" applyAlignment="1">
      <alignment vertical="center"/>
    </xf>
    <xf numFmtId="0" fontId="82" fillId="0" borderId="170" xfId="0" applyFont="1" applyBorder="1" applyAlignment="1">
      <alignment vertical="center"/>
    </xf>
    <xf numFmtId="168" fontId="60" fillId="0" borderId="130" xfId="0" applyNumberFormat="1" applyFont="1" applyBorder="1" applyAlignment="1">
      <alignment horizontal="center" vertical="center"/>
    </xf>
    <xf numFmtId="169" fontId="60" fillId="0" borderId="169" xfId="0" applyNumberFormat="1" applyFont="1" applyBorder="1" applyAlignment="1">
      <alignment horizontal="center" vertical="center"/>
    </xf>
    <xf numFmtId="0" fontId="60" fillId="0" borderId="169" xfId="0" applyFont="1" applyBorder="1" applyAlignment="1">
      <alignment horizontal="center" vertical="center"/>
    </xf>
    <xf numFmtId="168" fontId="60" fillId="0" borderId="169" xfId="0" applyNumberFormat="1" applyFont="1" applyBorder="1" applyAlignment="1">
      <alignment horizontal="center" vertical="center"/>
    </xf>
    <xf numFmtId="4" fontId="60" fillId="0" borderId="169" xfId="0" applyNumberFormat="1" applyFont="1" applyBorder="1" applyAlignment="1">
      <alignment horizontal="center" vertical="center"/>
    </xf>
    <xf numFmtId="1" fontId="60" fillId="0" borderId="169" xfId="0" applyNumberFormat="1" applyFont="1" applyBorder="1" applyAlignment="1">
      <alignment horizontal="center" vertical="center"/>
    </xf>
    <xf numFmtId="2" fontId="60" fillId="0" borderId="169" xfId="0" applyNumberFormat="1" applyFont="1" applyBorder="1" applyAlignment="1">
      <alignment horizontal="center" vertical="center"/>
    </xf>
    <xf numFmtId="2" fontId="60" fillId="0" borderId="169" xfId="0" applyNumberFormat="1" applyFont="1" applyFill="1" applyBorder="1" applyAlignment="1">
      <alignment horizontal="center" vertical="center"/>
    </xf>
    <xf numFmtId="4" fontId="60" fillId="0" borderId="169" xfId="0" applyNumberFormat="1" applyFont="1" applyFill="1" applyBorder="1" applyAlignment="1">
      <alignment horizontal="center" vertical="center"/>
    </xf>
    <xf numFmtId="4" fontId="60" fillId="0" borderId="127" xfId="0" applyNumberFormat="1" applyFont="1" applyFill="1" applyBorder="1" applyAlignment="1">
      <alignment horizontal="center" vertical="center"/>
    </xf>
    <xf numFmtId="168" fontId="60" fillId="0" borderId="130" xfId="0" applyNumberFormat="1" applyFont="1" applyFill="1" applyBorder="1" applyAlignment="1">
      <alignment horizontal="center" vertical="center"/>
    </xf>
    <xf numFmtId="10" fontId="60" fillId="0" borderId="169" xfId="0" applyNumberFormat="1" applyFont="1" applyFill="1" applyBorder="1" applyAlignment="1">
      <alignment horizontal="center" vertical="center"/>
    </xf>
    <xf numFmtId="2" fontId="60" fillId="0" borderId="127" xfId="0" applyNumberFormat="1" applyFont="1" applyBorder="1" applyAlignment="1">
      <alignment horizontal="center" vertical="center"/>
    </xf>
    <xf numFmtId="0" fontId="84" fillId="0" borderId="131" xfId="0" applyFont="1" applyBorder="1" applyAlignment="1">
      <alignment vertical="center" wrapText="1"/>
    </xf>
    <xf numFmtId="0" fontId="84" fillId="31" borderId="130" xfId="0" applyFont="1" applyFill="1" applyBorder="1" applyAlignment="1">
      <alignment horizontal="center" vertical="center"/>
    </xf>
    <xf numFmtId="168" fontId="84" fillId="31" borderId="169" xfId="0" applyNumberFormat="1" applyFont="1" applyFill="1" applyBorder="1" applyAlignment="1">
      <alignment horizontal="center" vertical="center"/>
    </xf>
    <xf numFmtId="3" fontId="84" fillId="31" borderId="169" xfId="0" applyNumberFormat="1" applyFont="1" applyFill="1" applyBorder="1" applyAlignment="1">
      <alignment horizontal="center" vertical="center"/>
    </xf>
    <xf numFmtId="169" fontId="85" fillId="31" borderId="169" xfId="0" applyNumberFormat="1" applyFont="1" applyFill="1" applyBorder="1" applyAlignment="1">
      <alignment horizontal="center" vertical="center"/>
    </xf>
    <xf numFmtId="4" fontId="84" fillId="31" borderId="169" xfId="0" applyNumberFormat="1" applyFont="1" applyFill="1" applyBorder="1" applyAlignment="1">
      <alignment horizontal="center" vertical="center"/>
    </xf>
    <xf numFmtId="2" fontId="84" fillId="26" borderId="169" xfId="0" applyNumberFormat="1" applyFont="1" applyFill="1" applyBorder="1" applyAlignment="1">
      <alignment horizontal="center" vertical="center"/>
    </xf>
    <xf numFmtId="174" fontId="84" fillId="26" borderId="169" xfId="0" applyNumberFormat="1" applyFont="1" applyFill="1" applyBorder="1" applyAlignment="1">
      <alignment horizontal="center" vertical="center"/>
    </xf>
    <xf numFmtId="4" fontId="84" fillId="26" borderId="169" xfId="0" applyNumberFormat="1" applyFont="1" applyFill="1" applyBorder="1" applyAlignment="1">
      <alignment horizontal="center" vertical="center"/>
    </xf>
    <xf numFmtId="4" fontId="85" fillId="26" borderId="169" xfId="0" applyNumberFormat="1" applyFont="1" applyFill="1" applyBorder="1" applyAlignment="1">
      <alignment horizontal="center" vertical="center"/>
    </xf>
    <xf numFmtId="4" fontId="84" fillId="26" borderId="127" xfId="0" applyNumberFormat="1" applyFont="1" applyFill="1" applyBorder="1" applyAlignment="1">
      <alignment horizontal="center" vertical="center"/>
    </xf>
    <xf numFmtId="2" fontId="84" fillId="27" borderId="169" xfId="0" applyNumberFormat="1" applyFont="1" applyFill="1" applyBorder="1" applyAlignment="1">
      <alignment horizontal="center" vertical="center"/>
    </xf>
    <xf numFmtId="174" fontId="85" fillId="27" borderId="169" xfId="0" applyNumberFormat="1" applyFont="1" applyFill="1" applyBorder="1" applyAlignment="1">
      <alignment horizontal="center" vertical="center"/>
    </xf>
    <xf numFmtId="4" fontId="84" fillId="27" borderId="169" xfId="0" applyNumberFormat="1" applyFont="1" applyFill="1" applyBorder="1" applyAlignment="1">
      <alignment horizontal="center" vertical="center"/>
    </xf>
    <xf numFmtId="4" fontId="84" fillId="27" borderId="127" xfId="0" applyNumberFormat="1" applyFont="1" applyFill="1" applyBorder="1" applyAlignment="1">
      <alignment horizontal="center" vertical="center"/>
    </xf>
    <xf numFmtId="4" fontId="85" fillId="27" borderId="169" xfId="0" applyNumberFormat="1" applyFont="1" applyFill="1" applyBorder="1" applyAlignment="1">
      <alignment horizontal="center" vertical="center"/>
    </xf>
    <xf numFmtId="0" fontId="17" fillId="0" borderId="131" xfId="0" applyFont="1" applyBorder="1" applyAlignment="1">
      <alignment vertical="center"/>
    </xf>
    <xf numFmtId="0" fontId="12" fillId="0" borderId="171" xfId="0" applyFont="1" applyBorder="1" applyAlignment="1">
      <alignment horizontal="center" vertical="center"/>
    </xf>
    <xf numFmtId="169" fontId="12" fillId="0" borderId="169" xfId="0" applyNumberFormat="1" applyFont="1" applyBorder="1" applyAlignment="1">
      <alignment horizontal="center" vertical="center"/>
    </xf>
    <xf numFmtId="169" fontId="15" fillId="0" borderId="169" xfId="0" applyNumberFormat="1" applyFont="1" applyBorder="1" applyAlignment="1">
      <alignment horizontal="center" vertical="center"/>
    </xf>
    <xf numFmtId="4" fontId="12" fillId="0" borderId="169" xfId="0" applyNumberFormat="1" applyFont="1" applyBorder="1" applyAlignment="1">
      <alignment horizontal="center" vertical="center"/>
    </xf>
    <xf numFmtId="4" fontId="15" fillId="0" borderId="169" xfId="0" applyNumberFormat="1" applyFont="1" applyBorder="1" applyAlignment="1">
      <alignment horizontal="center" vertical="center"/>
    </xf>
    <xf numFmtId="4" fontId="18" fillId="0" borderId="169" xfId="0" applyNumberFormat="1" applyFont="1" applyBorder="1" applyAlignment="1">
      <alignment horizontal="center" vertical="center"/>
    </xf>
    <xf numFmtId="4" fontId="12" fillId="0" borderId="170" xfId="0" applyNumberFormat="1" applyFont="1" applyBorder="1" applyAlignment="1">
      <alignment horizontal="center" vertical="center"/>
    </xf>
    <xf numFmtId="4" fontId="17" fillId="0" borderId="131" xfId="0" applyNumberFormat="1" applyFont="1" applyFill="1" applyBorder="1" applyAlignment="1">
      <alignment horizontal="center" vertical="center"/>
    </xf>
    <xf numFmtId="171" fontId="83" fillId="0" borderId="172" xfId="85" applyNumberFormat="1" applyFont="1" applyFill="1" applyBorder="1" applyAlignment="1">
      <alignment horizontal="center" vertical="center"/>
    </xf>
    <xf numFmtId="4" fontId="17" fillId="0" borderId="130" xfId="0" applyNumberFormat="1" applyFont="1" applyFill="1" applyBorder="1" applyAlignment="1">
      <alignment horizontal="center" vertical="center"/>
    </xf>
    <xf numFmtId="171" fontId="83" fillId="0" borderId="169" xfId="85" applyNumberFormat="1" applyFont="1" applyFill="1" applyBorder="1" applyAlignment="1">
      <alignment horizontal="center" vertical="center"/>
    </xf>
    <xf numFmtId="4" fontId="17" fillId="0" borderId="169" xfId="0" applyNumberFormat="1" applyFont="1" applyFill="1" applyBorder="1" applyAlignment="1">
      <alignment horizontal="center" vertical="center"/>
    </xf>
    <xf numFmtId="4" fontId="17" fillId="0" borderId="127" xfId="0" applyNumberFormat="1" applyFont="1" applyFill="1" applyBorder="1" applyAlignment="1">
      <alignment horizontal="center" vertical="center"/>
    </xf>
    <xf numFmtId="4" fontId="17" fillId="0" borderId="130" xfId="0" applyNumberFormat="1" applyFont="1" applyFill="1" applyBorder="1" applyAlignment="1">
      <alignment horizontal="center" vertical="center" wrapText="1"/>
    </xf>
    <xf numFmtId="171" fontId="17" fillId="0" borderId="169" xfId="0" applyNumberFormat="1" applyFont="1" applyFill="1" applyBorder="1" applyAlignment="1">
      <alignment horizontal="center" vertical="center" wrapText="1"/>
    </xf>
    <xf numFmtId="0" fontId="17" fillId="0" borderId="131" xfId="0" applyFont="1" applyFill="1" applyBorder="1" applyAlignment="1">
      <alignment vertical="center" wrapText="1"/>
    </xf>
    <xf numFmtId="0" fontId="17" fillId="0" borderId="171" xfId="0" applyFont="1" applyFill="1" applyBorder="1" applyAlignment="1">
      <alignment horizontal="center" vertical="center"/>
    </xf>
    <xf numFmtId="169" fontId="17" fillId="0" borderId="169" xfId="0" applyNumberFormat="1" applyFont="1" applyFill="1" applyBorder="1" applyAlignment="1">
      <alignment horizontal="center" vertical="center"/>
    </xf>
    <xf numFmtId="169" fontId="61" fillId="0" borderId="169" xfId="0" applyNumberFormat="1" applyFont="1" applyFill="1" applyBorder="1" applyAlignment="1">
      <alignment horizontal="center" vertical="center"/>
    </xf>
    <xf numFmtId="4" fontId="17" fillId="0" borderId="170" xfId="0" applyNumberFormat="1" applyFont="1" applyFill="1" applyBorder="1" applyAlignment="1">
      <alignment horizontal="center" vertical="center"/>
    </xf>
    <xf numFmtId="4" fontId="17" fillId="0" borderId="172" xfId="0" applyNumberFormat="1" applyFont="1" applyFill="1" applyBorder="1" applyAlignment="1">
      <alignment horizontal="center" vertical="center"/>
    </xf>
    <xf numFmtId="4" fontId="17" fillId="0" borderId="171" xfId="0" applyNumberFormat="1" applyFont="1" applyFill="1" applyBorder="1" applyAlignment="1">
      <alignment horizontal="center" vertical="center"/>
    </xf>
    <xf numFmtId="0" fontId="48" fillId="0" borderId="0" xfId="96" applyFont="1"/>
    <xf numFmtId="0" fontId="84" fillId="26" borderId="175" xfId="96" applyFont="1" applyFill="1" applyBorder="1" applyAlignment="1">
      <alignment horizontal="center" vertical="center" wrapText="1"/>
    </xf>
    <xf numFmtId="0" fontId="102" fillId="34" borderId="169" xfId="96" applyFont="1" applyFill="1" applyBorder="1" applyAlignment="1">
      <alignment horizontal="center" vertical="center"/>
    </xf>
    <xf numFmtId="0" fontId="103" fillId="34" borderId="169" xfId="96" applyFont="1" applyFill="1" applyBorder="1" applyAlignment="1">
      <alignment vertical="center" wrapText="1"/>
    </xf>
    <xf numFmtId="4" fontId="103" fillId="34" borderId="169" xfId="96" applyNumberFormat="1" applyFont="1" applyFill="1" applyBorder="1" applyAlignment="1">
      <alignment horizontal="center" vertical="center" wrapText="1"/>
    </xf>
    <xf numFmtId="0" fontId="84" fillId="34" borderId="169" xfId="96" applyFont="1" applyFill="1" applyBorder="1" applyAlignment="1">
      <alignment horizontal="center" vertical="center" wrapText="1"/>
    </xf>
    <xf numFmtId="0" fontId="48" fillId="34" borderId="0" xfId="96" applyFont="1" applyFill="1"/>
    <xf numFmtId="178" fontId="103" fillId="34" borderId="169" xfId="96" applyNumberFormat="1" applyFont="1" applyFill="1" applyBorder="1" applyAlignment="1">
      <alignment horizontal="center" vertical="center" wrapText="1"/>
    </xf>
    <xf numFmtId="3" fontId="103" fillId="34" borderId="169" xfId="96" applyNumberFormat="1" applyFont="1" applyFill="1" applyBorder="1" applyAlignment="1">
      <alignment horizontal="center" vertical="center" wrapText="1"/>
    </xf>
    <xf numFmtId="0" fontId="16" fillId="35" borderId="169" xfId="96" applyFont="1" applyFill="1" applyBorder="1" applyAlignment="1">
      <alignment horizontal="center" vertical="center"/>
    </xf>
    <xf numFmtId="0" fontId="16" fillId="35" borderId="169" xfId="96" applyFont="1" applyFill="1" applyBorder="1" applyAlignment="1">
      <alignment horizontal="left" vertical="center" wrapText="1"/>
    </xf>
    <xf numFmtId="4" fontId="84" fillId="35" borderId="169" xfId="96" applyNumberFormat="1" applyFont="1" applyFill="1" applyBorder="1" applyAlignment="1">
      <alignment horizontal="center" vertical="center" wrapText="1"/>
    </xf>
    <xf numFmtId="0" fontId="84" fillId="35" borderId="169" xfId="96" applyFont="1" applyFill="1" applyBorder="1" applyAlignment="1">
      <alignment horizontal="center" vertical="center" wrapText="1"/>
    </xf>
    <xf numFmtId="0" fontId="48" fillId="35" borderId="0" xfId="96" applyFont="1" applyFill="1"/>
    <xf numFmtId="0" fontId="84" fillId="28" borderId="169" xfId="96" applyFont="1" applyFill="1" applyBorder="1" applyAlignment="1">
      <alignment horizontal="center" vertical="center"/>
    </xf>
    <xf numFmtId="0" fontId="84" fillId="28" borderId="169" xfId="96" applyFont="1" applyFill="1" applyBorder="1" applyAlignment="1">
      <alignment horizontal="left" vertical="center" wrapText="1"/>
    </xf>
    <xf numFmtId="4" fontId="84" fillId="28" borderId="169" xfId="96" applyNumberFormat="1" applyFont="1" applyFill="1" applyBorder="1" applyAlignment="1">
      <alignment horizontal="center" vertical="center" wrapText="1"/>
    </xf>
    <xf numFmtId="0" fontId="84" fillId="28" borderId="169" xfId="96" applyFont="1" applyFill="1" applyBorder="1" applyAlignment="1">
      <alignment horizontal="center" vertical="center" wrapText="1"/>
    </xf>
    <xf numFmtId="0" fontId="48" fillId="28" borderId="0" xfId="96" applyFont="1" applyFill="1"/>
    <xf numFmtId="0" fontId="84" fillId="36" borderId="169" xfId="96" applyFont="1" applyFill="1" applyBorder="1" applyAlignment="1">
      <alignment horizontal="center" vertical="center"/>
    </xf>
    <xf numFmtId="0" fontId="84" fillId="36" borderId="169" xfId="96" applyFont="1" applyFill="1" applyBorder="1" applyAlignment="1">
      <alignment horizontal="left" vertical="center" wrapText="1" indent="2"/>
    </xf>
    <xf numFmtId="4" fontId="84" fillId="36" borderId="169" xfId="96" applyNumberFormat="1" applyFont="1" applyFill="1" applyBorder="1" applyAlignment="1">
      <alignment horizontal="center" vertical="center" wrapText="1"/>
    </xf>
    <xf numFmtId="0" fontId="84" fillId="36" borderId="169" xfId="96" applyFont="1" applyFill="1" applyBorder="1" applyAlignment="1">
      <alignment horizontal="center" vertical="center" wrapText="1"/>
    </xf>
    <xf numFmtId="0" fontId="48" fillId="36" borderId="0" xfId="96" applyFont="1" applyFill="1"/>
    <xf numFmtId="0" fontId="14" fillId="37" borderId="169" xfId="96" applyFont="1" applyFill="1" applyBorder="1" applyAlignment="1">
      <alignment horizontal="center" vertical="center"/>
    </xf>
    <xf numFmtId="0" fontId="14" fillId="37" borderId="169" xfId="96" applyFont="1" applyFill="1" applyBorder="1" applyAlignment="1">
      <alignment horizontal="left" vertical="center" wrapText="1" indent="3"/>
    </xf>
    <xf numFmtId="4" fontId="14" fillId="37" borderId="169" xfId="96" applyNumberFormat="1" applyFont="1" applyFill="1" applyBorder="1" applyAlignment="1">
      <alignment horizontal="center" vertical="center" wrapText="1"/>
    </xf>
    <xf numFmtId="0" fontId="14" fillId="37" borderId="169" xfId="96" applyFont="1" applyFill="1" applyBorder="1" applyAlignment="1">
      <alignment horizontal="center" vertical="center" wrapText="1"/>
    </xf>
    <xf numFmtId="0" fontId="14" fillId="37" borderId="0" xfId="96" applyFont="1" applyFill="1"/>
    <xf numFmtId="0" fontId="103" fillId="34" borderId="169" xfId="96" applyFont="1" applyFill="1" applyBorder="1" applyAlignment="1">
      <alignment horizontal="center" vertical="center"/>
    </xf>
    <xf numFmtId="0" fontId="104" fillId="34" borderId="169" xfId="96" applyFont="1" applyFill="1" applyBorder="1" applyAlignment="1">
      <alignment horizontal="left" vertical="center" wrapText="1"/>
    </xf>
    <xf numFmtId="0" fontId="105" fillId="34" borderId="169" xfId="96" applyFont="1" applyFill="1" applyBorder="1" applyAlignment="1">
      <alignment horizontal="center"/>
    </xf>
    <xf numFmtId="0" fontId="105" fillId="34" borderId="169" xfId="96" applyFont="1" applyFill="1" applyBorder="1"/>
    <xf numFmtId="0" fontId="105" fillId="34" borderId="0" xfId="96" applyFont="1" applyFill="1"/>
    <xf numFmtId="0" fontId="16" fillId="35" borderId="169" xfId="96" applyFont="1" applyFill="1" applyBorder="1" applyAlignment="1">
      <alignment horizontal="left" vertical="center" wrapText="1" indent="2"/>
    </xf>
    <xf numFmtId="0" fontId="16" fillId="34" borderId="169" xfId="96" applyFont="1" applyFill="1" applyBorder="1" applyAlignment="1">
      <alignment horizontal="center" vertical="center"/>
    </xf>
    <xf numFmtId="0" fontId="16" fillId="34" borderId="169" xfId="96" applyFont="1" applyFill="1" applyBorder="1" applyAlignment="1">
      <alignment horizontal="left" vertical="center" wrapText="1"/>
    </xf>
    <xf numFmtId="4" fontId="84" fillId="34" borderId="169" xfId="96" applyNumberFormat="1" applyFont="1" applyFill="1" applyBorder="1" applyAlignment="1">
      <alignment horizontal="center" vertical="center" wrapText="1"/>
    </xf>
    <xf numFmtId="0" fontId="16" fillId="34" borderId="169" xfId="96" applyFont="1" applyFill="1" applyBorder="1" applyAlignment="1">
      <alignment horizontal="left" vertical="center" wrapText="1" indent="3"/>
    </xf>
    <xf numFmtId="0" fontId="48" fillId="0" borderId="0" xfId="96" applyFont="1" applyAlignment="1">
      <alignment wrapText="1"/>
    </xf>
    <xf numFmtId="0" fontId="51" fillId="38" borderId="169" xfId="96" applyFont="1" applyFill="1" applyBorder="1" applyAlignment="1">
      <alignment horizontal="center"/>
    </xf>
    <xf numFmtId="0" fontId="16" fillId="38" borderId="169" xfId="96" applyFont="1" applyFill="1" applyBorder="1" applyAlignment="1">
      <alignment horizontal="left" vertical="center" wrapText="1"/>
    </xf>
    <xf numFmtId="0" fontId="48" fillId="38" borderId="169" xfId="96" applyFont="1" applyFill="1" applyBorder="1"/>
    <xf numFmtId="0" fontId="16" fillId="38" borderId="169" xfId="96" applyFont="1" applyFill="1" applyBorder="1" applyAlignment="1">
      <alignment horizontal="left" vertical="center" wrapText="1" indent="3"/>
    </xf>
    <xf numFmtId="0" fontId="16" fillId="38" borderId="169" xfId="96" applyFont="1" applyFill="1" applyBorder="1" applyAlignment="1">
      <alignment horizontal="center" vertical="center" wrapText="1"/>
    </xf>
    <xf numFmtId="0" fontId="48" fillId="38" borderId="169" xfId="96" applyFont="1" applyFill="1" applyBorder="1" applyAlignment="1">
      <alignment horizontal="center"/>
    </xf>
    <xf numFmtId="0" fontId="48" fillId="0" borderId="0" xfId="96" applyFont="1" applyAlignment="1">
      <alignment horizontal="center"/>
    </xf>
    <xf numFmtId="0" fontId="0" fillId="0" borderId="169" xfId="0" applyBorder="1" applyAlignment="1">
      <alignment horizontal="center" vertical="center" wrapText="1"/>
    </xf>
    <xf numFmtId="0" fontId="0" fillId="0" borderId="169" xfId="0" applyBorder="1" applyAlignment="1">
      <alignment horizontal="center" vertical="center"/>
    </xf>
    <xf numFmtId="0" fontId="0" fillId="0" borderId="34" xfId="0" applyFont="1" applyBorder="1" applyAlignment="1">
      <alignment horizontal="center" vertical="center"/>
    </xf>
    <xf numFmtId="0" fontId="13" fillId="0" borderId="114" xfId="0" applyFont="1" applyBorder="1" applyAlignment="1">
      <alignment vertical="center" wrapText="1"/>
    </xf>
    <xf numFmtId="0" fontId="0" fillId="0" borderId="114" xfId="0" applyFont="1" applyBorder="1" applyAlignment="1">
      <alignment vertical="center" wrapText="1"/>
    </xf>
    <xf numFmtId="0" fontId="14" fillId="0" borderId="114" xfId="0" applyFont="1" applyBorder="1" applyAlignment="1">
      <alignment vertical="center" wrapText="1"/>
    </xf>
    <xf numFmtId="0" fontId="12" fillId="0" borderId="114" xfId="0" applyFont="1" applyBorder="1" applyAlignment="1">
      <alignment vertical="center" wrapText="1"/>
    </xf>
    <xf numFmtId="2" fontId="13" fillId="0" borderId="114" xfId="0" applyNumberFormat="1" applyFont="1" applyBorder="1" applyAlignment="1">
      <alignment vertical="center" wrapText="1"/>
    </xf>
    <xf numFmtId="2" fontId="12" fillId="0" borderId="114" xfId="0" applyNumberFormat="1" applyFont="1" applyBorder="1" applyAlignment="1">
      <alignment vertical="center" wrapText="1"/>
    </xf>
    <xf numFmtId="0" fontId="13" fillId="0" borderId="114" xfId="0" applyFont="1" applyBorder="1" applyAlignment="1">
      <alignment vertical="center"/>
    </xf>
    <xf numFmtId="9" fontId="13" fillId="0" borderId="114" xfId="0" applyNumberFormat="1" applyFont="1" applyBorder="1" applyAlignment="1">
      <alignment horizontal="center" vertical="center" wrapText="1"/>
    </xf>
    <xf numFmtId="171" fontId="0" fillId="0" borderId="0" xfId="85" applyNumberFormat="1" applyFont="1"/>
    <xf numFmtId="0" fontId="60" fillId="0" borderId="177" xfId="0" applyFont="1" applyBorder="1" applyAlignment="1">
      <alignment vertical="center"/>
    </xf>
    <xf numFmtId="4" fontId="60" fillId="0" borderId="177" xfId="0" applyNumberFormat="1" applyFont="1" applyBorder="1"/>
    <xf numFmtId="0" fontId="60" fillId="0" borderId="178" xfId="0" applyFont="1" applyBorder="1"/>
    <xf numFmtId="4" fontId="60" fillId="0" borderId="179" xfId="0" applyNumberFormat="1" applyFont="1" applyBorder="1"/>
    <xf numFmtId="4" fontId="60" fillId="0" borderId="180" xfId="0" applyNumberFormat="1" applyFont="1" applyBorder="1"/>
    <xf numFmtId="4" fontId="60" fillId="0" borderId="181" xfId="0" applyNumberFormat="1" applyFont="1" applyBorder="1"/>
    <xf numFmtId="171" fontId="60" fillId="0" borderId="179" xfId="0" applyNumberFormat="1" applyFont="1" applyFill="1" applyBorder="1" applyAlignment="1">
      <alignment horizontal="center" vertical="center" wrapText="1"/>
    </xf>
    <xf numFmtId="0" fontId="60" fillId="0" borderId="177" xfId="0" applyFont="1" applyBorder="1"/>
    <xf numFmtId="4" fontId="92" fillId="0" borderId="169" xfId="0" applyNumberFormat="1" applyFont="1" applyFill="1" applyBorder="1" applyAlignment="1">
      <alignment horizontal="center" vertical="center"/>
    </xf>
    <xf numFmtId="171" fontId="111" fillId="0" borderId="0" xfId="85" applyNumberFormat="1" applyFont="1"/>
    <xf numFmtId="0" fontId="13" fillId="0" borderId="61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13" fillId="0" borderId="182" xfId="0" applyFont="1" applyBorder="1" applyAlignment="1">
      <alignment horizontal="center" vertical="center" wrapText="1"/>
    </xf>
    <xf numFmtId="169" fontId="14" fillId="0" borderId="183" xfId="0" applyNumberFormat="1" applyFont="1" applyBorder="1" applyAlignment="1">
      <alignment horizontal="center"/>
    </xf>
    <xf numFmtId="169" fontId="14" fillId="0" borderId="184" xfId="0" applyNumberFormat="1" applyFont="1" applyBorder="1" applyAlignment="1">
      <alignment horizontal="center"/>
    </xf>
    <xf numFmtId="4" fontId="17" fillId="0" borderId="27" xfId="0" applyNumberFormat="1" applyFont="1" applyFill="1" applyBorder="1" applyAlignment="1">
      <alignment horizontal="right" vertical="center"/>
    </xf>
    <xf numFmtId="0" fontId="17" fillId="0" borderId="27" xfId="0" applyFont="1" applyFill="1" applyBorder="1" applyAlignment="1">
      <alignment horizontal="right" vertical="center"/>
    </xf>
    <xf numFmtId="0" fontId="60" fillId="0" borderId="188" xfId="0" applyFont="1" applyFill="1" applyBorder="1" applyAlignment="1">
      <alignment horizontal="center" vertical="center"/>
    </xf>
    <xf numFmtId="169" fontId="60" fillId="0" borderId="189" xfId="0" applyNumberFormat="1" applyFont="1" applyFill="1" applyBorder="1" applyAlignment="1">
      <alignment horizontal="center" vertical="center"/>
    </xf>
    <xf numFmtId="169" fontId="61" fillId="0" borderId="189" xfId="0" applyNumberFormat="1" applyFont="1" applyFill="1" applyBorder="1" applyAlignment="1">
      <alignment horizontal="center" vertical="center"/>
    </xf>
    <xf numFmtId="4" fontId="60" fillId="0" borderId="189" xfId="0" applyNumberFormat="1" applyFont="1" applyFill="1" applyBorder="1" applyAlignment="1">
      <alignment horizontal="center" vertical="center"/>
    </xf>
    <xf numFmtId="4" fontId="61" fillId="0" borderId="189" xfId="0" applyNumberFormat="1" applyFont="1" applyFill="1" applyBorder="1" applyAlignment="1">
      <alignment horizontal="center" vertical="center"/>
    </xf>
    <xf numFmtId="4" fontId="60" fillId="0" borderId="190" xfId="0" applyNumberFormat="1" applyFont="1" applyFill="1" applyBorder="1" applyAlignment="1">
      <alignment horizontal="center" vertical="center"/>
    </xf>
    <xf numFmtId="4" fontId="60" fillId="0" borderId="191" xfId="0" applyNumberFormat="1" applyFont="1" applyFill="1" applyBorder="1" applyAlignment="1">
      <alignment horizontal="center" vertical="center"/>
    </xf>
    <xf numFmtId="171" fontId="60" fillId="0" borderId="189" xfId="85" applyNumberFormat="1" applyFont="1" applyBorder="1" applyAlignment="1">
      <alignment vertical="center"/>
    </xf>
    <xf numFmtId="4" fontId="60" fillId="0" borderId="189" xfId="0" applyNumberFormat="1" applyFont="1" applyFill="1" applyBorder="1" applyAlignment="1">
      <alignment vertical="center"/>
    </xf>
    <xf numFmtId="4" fontId="60" fillId="0" borderId="190" xfId="0" applyNumberFormat="1" applyFont="1" applyFill="1" applyBorder="1" applyAlignment="1">
      <alignment vertical="center"/>
    </xf>
    <xf numFmtId="4" fontId="60" fillId="0" borderId="191" xfId="0" applyNumberFormat="1" applyFont="1" applyFill="1" applyBorder="1" applyAlignment="1">
      <alignment vertical="center"/>
    </xf>
    <xf numFmtId="171" fontId="60" fillId="0" borderId="192" xfId="85" applyNumberFormat="1" applyFont="1" applyBorder="1" applyAlignment="1">
      <alignment vertical="center"/>
    </xf>
    <xf numFmtId="0" fontId="60" fillId="0" borderId="187" xfId="0" applyFont="1" applyFill="1" applyBorder="1" applyAlignment="1">
      <alignment vertical="center" wrapText="1"/>
    </xf>
    <xf numFmtId="0" fontId="61" fillId="0" borderId="187" xfId="0" applyFont="1" applyFill="1" applyBorder="1" applyAlignment="1">
      <alignment vertical="center"/>
    </xf>
    <xf numFmtId="0" fontId="61" fillId="0" borderId="188" xfId="0" applyFont="1" applyFill="1" applyBorder="1" applyAlignment="1">
      <alignment horizontal="center" vertical="center"/>
    </xf>
    <xf numFmtId="4" fontId="61" fillId="0" borderId="190" xfId="0" applyNumberFormat="1" applyFont="1" applyFill="1" applyBorder="1" applyAlignment="1">
      <alignment horizontal="center" vertical="center"/>
    </xf>
    <xf numFmtId="4" fontId="61" fillId="0" borderId="191" xfId="0" applyNumberFormat="1" applyFont="1" applyFill="1" applyBorder="1" applyAlignment="1">
      <alignment horizontal="center" vertical="center"/>
    </xf>
    <xf numFmtId="171" fontId="61" fillId="0" borderId="189" xfId="85" applyNumberFormat="1" applyFont="1" applyBorder="1" applyAlignment="1">
      <alignment vertical="center"/>
    </xf>
    <xf numFmtId="4" fontId="61" fillId="0" borderId="189" xfId="0" applyNumberFormat="1" applyFont="1" applyFill="1" applyBorder="1" applyAlignment="1">
      <alignment vertical="center"/>
    </xf>
    <xf numFmtId="4" fontId="61" fillId="0" borderId="192" xfId="0" applyNumberFormat="1" applyFont="1" applyFill="1" applyBorder="1" applyAlignment="1">
      <alignment vertical="center"/>
    </xf>
    <xf numFmtId="4" fontId="61" fillId="0" borderId="191" xfId="0" applyNumberFormat="1" applyFont="1" applyFill="1" applyBorder="1" applyAlignment="1">
      <alignment vertical="center"/>
    </xf>
    <xf numFmtId="171" fontId="61" fillId="0" borderId="192" xfId="85" applyNumberFormat="1" applyFont="1" applyBorder="1" applyAlignment="1">
      <alignment vertical="center"/>
    </xf>
    <xf numFmtId="169" fontId="60" fillId="0" borderId="189" xfId="0" applyNumberFormat="1" applyFont="1" applyBorder="1" applyAlignment="1">
      <alignment horizontal="center" vertical="center"/>
    </xf>
    <xf numFmtId="4" fontId="60" fillId="0" borderId="189" xfId="0" applyNumberFormat="1" applyFont="1" applyBorder="1" applyAlignment="1">
      <alignment horizontal="center" vertical="center"/>
    </xf>
    <xf numFmtId="0" fontId="60" fillId="0" borderId="189" xfId="0" applyFont="1" applyBorder="1" applyAlignment="1">
      <alignment horizontal="center" vertical="center"/>
    </xf>
    <xf numFmtId="0" fontId="62" fillId="0" borderId="0" xfId="0" applyFont="1" applyAlignment="1">
      <alignment horizontal="center"/>
    </xf>
    <xf numFmtId="0" fontId="6" fillId="0" borderId="0" xfId="147"/>
    <xf numFmtId="0" fontId="114" fillId="0" borderId="189" xfId="147" applyFont="1" applyBorder="1" applyAlignment="1">
      <alignment horizontal="center" wrapText="1"/>
    </xf>
    <xf numFmtId="0" fontId="114" fillId="0" borderId="189" xfId="147" applyFont="1" applyBorder="1" applyAlignment="1">
      <alignment horizontal="center"/>
    </xf>
    <xf numFmtId="0" fontId="114" fillId="0" borderId="189" xfId="147" applyFont="1" applyBorder="1" applyAlignment="1">
      <alignment wrapText="1"/>
    </xf>
    <xf numFmtId="4" fontId="114" fillId="0" borderId="189" xfId="147" applyNumberFormat="1" applyFont="1" applyBorder="1"/>
    <xf numFmtId="4" fontId="114" fillId="0" borderId="189" xfId="148" applyNumberFormat="1" applyFont="1" applyBorder="1"/>
    <xf numFmtId="0" fontId="13" fillId="0" borderId="68" xfId="0" applyFont="1" applyFill="1" applyBorder="1" applyAlignment="1">
      <alignment vertical="center"/>
    </xf>
    <xf numFmtId="0" fontId="13" fillId="0" borderId="112" xfId="0" applyFont="1" applyFill="1" applyBorder="1" applyAlignment="1">
      <alignment vertical="center" wrapText="1"/>
    </xf>
    <xf numFmtId="0" fontId="13" fillId="0" borderId="112" xfId="0" applyFont="1" applyFill="1" applyBorder="1" applyAlignment="1">
      <alignment vertical="center"/>
    </xf>
    <xf numFmtId="0" fontId="14" fillId="0" borderId="68" xfId="0" applyFont="1" applyFill="1" applyBorder="1" applyAlignment="1">
      <alignment vertical="center"/>
    </xf>
    <xf numFmtId="0" fontId="14" fillId="0" borderId="112" xfId="0" applyFont="1" applyFill="1" applyBorder="1" applyAlignment="1">
      <alignment vertical="center"/>
    </xf>
    <xf numFmtId="0" fontId="14" fillId="0" borderId="112" xfId="0" applyFont="1" applyFill="1" applyBorder="1" applyAlignment="1">
      <alignment vertical="center" wrapText="1"/>
    </xf>
    <xf numFmtId="2" fontId="13" fillId="0" borderId="112" xfId="0" applyNumberFormat="1" applyFont="1" applyFill="1" applyBorder="1" applyAlignment="1">
      <alignment vertical="center" wrapText="1"/>
    </xf>
    <xf numFmtId="0" fontId="13" fillId="0" borderId="173" xfId="0" applyFont="1" applyFill="1" applyBorder="1" applyAlignment="1">
      <alignment vertical="center" wrapText="1"/>
    </xf>
    <xf numFmtId="171" fontId="61" fillId="0" borderId="105" xfId="85" applyNumberFormat="1" applyFont="1" applyFill="1" applyBorder="1" applyAlignment="1">
      <alignment horizontal="center" vertical="center"/>
    </xf>
    <xf numFmtId="171" fontId="61" fillId="0" borderId="114" xfId="85" applyNumberFormat="1" applyFont="1" applyFill="1" applyBorder="1" applyAlignment="1">
      <alignment horizontal="center" vertical="center"/>
    </xf>
    <xf numFmtId="171" fontId="61" fillId="0" borderId="106" xfId="85" applyNumberFormat="1" applyFont="1" applyFill="1" applyBorder="1" applyAlignment="1">
      <alignment horizontal="center" vertical="center"/>
    </xf>
    <xf numFmtId="171" fontId="60" fillId="0" borderId="102" xfId="85" applyNumberFormat="1" applyFont="1" applyFill="1" applyBorder="1" applyAlignment="1">
      <alignment horizontal="center" vertical="center"/>
    </xf>
    <xf numFmtId="171" fontId="17" fillId="0" borderId="100" xfId="85" applyNumberFormat="1" applyFont="1" applyFill="1" applyBorder="1" applyAlignment="1">
      <alignment horizontal="center" vertical="center"/>
    </xf>
    <xf numFmtId="171" fontId="17" fillId="0" borderId="10" xfId="85" applyNumberFormat="1" applyFont="1" applyFill="1" applyBorder="1" applyAlignment="1">
      <alignment horizontal="center" vertical="center"/>
    </xf>
    <xf numFmtId="171" fontId="17" fillId="0" borderId="103" xfId="85" applyNumberFormat="1" applyFont="1" applyFill="1" applyBorder="1" applyAlignment="1">
      <alignment horizontal="center" vertical="center"/>
    </xf>
    <xf numFmtId="10" fontId="61" fillId="0" borderId="98" xfId="85" applyNumberFormat="1" applyFont="1" applyFill="1" applyBorder="1" applyAlignment="1">
      <alignment horizontal="center" vertical="center"/>
    </xf>
    <xf numFmtId="10" fontId="17" fillId="0" borderId="100" xfId="85" applyNumberFormat="1" applyFont="1" applyFill="1" applyBorder="1" applyAlignment="1">
      <alignment horizontal="center" vertical="center"/>
    </xf>
    <xf numFmtId="10" fontId="17" fillId="0" borderId="10" xfId="85" applyNumberFormat="1" applyFont="1" applyFill="1" applyBorder="1" applyAlignment="1">
      <alignment horizontal="center" vertical="center"/>
    </xf>
    <xf numFmtId="10" fontId="17" fillId="0" borderId="103" xfId="85" applyNumberFormat="1" applyFont="1" applyFill="1" applyBorder="1" applyAlignment="1">
      <alignment horizontal="center" vertical="center"/>
    </xf>
    <xf numFmtId="0" fontId="55" fillId="0" borderId="80" xfId="147" applyFont="1" applyBorder="1" applyAlignment="1">
      <alignment horizontal="center" vertical="center" wrapText="1"/>
    </xf>
    <xf numFmtId="0" fontId="55" fillId="0" borderId="77" xfId="147" applyFont="1" applyBorder="1" applyAlignment="1">
      <alignment horizontal="center" vertical="center" wrapText="1"/>
    </xf>
    <xf numFmtId="0" fontId="55" fillId="0" borderId="75" xfId="147" applyFont="1" applyBorder="1" applyAlignment="1">
      <alignment horizontal="center" vertical="center" wrapText="1"/>
    </xf>
    <xf numFmtId="1" fontId="55" fillId="0" borderId="40" xfId="147" applyNumberFormat="1" applyFont="1" applyBorder="1" applyAlignment="1">
      <alignment horizontal="center" vertical="center" wrapText="1"/>
    </xf>
    <xf numFmtId="4" fontId="55" fillId="0" borderId="35" xfId="147" applyNumberFormat="1" applyFont="1" applyFill="1" applyBorder="1" applyAlignment="1">
      <alignment horizontal="center" vertical="center" wrapText="1"/>
    </xf>
    <xf numFmtId="1" fontId="55" fillId="0" borderId="40" xfId="147" applyNumberFormat="1" applyFont="1" applyFill="1" applyBorder="1" applyAlignment="1">
      <alignment horizontal="center" vertical="center" wrapText="1"/>
    </xf>
    <xf numFmtId="4" fontId="55" fillId="0" borderId="38" xfId="147" applyNumberFormat="1" applyFont="1" applyFill="1" applyBorder="1" applyAlignment="1">
      <alignment horizontal="center" vertical="center" wrapText="1"/>
    </xf>
    <xf numFmtId="4" fontId="55" fillId="0" borderId="40" xfId="147" applyNumberFormat="1" applyFont="1" applyFill="1" applyBorder="1" applyAlignment="1">
      <alignment horizontal="center" vertical="center" wrapText="1"/>
    </xf>
    <xf numFmtId="4" fontId="55" fillId="0" borderId="193" xfId="147" applyNumberFormat="1" applyFont="1" applyBorder="1" applyAlignment="1">
      <alignment horizontal="center" vertical="center" wrapText="1"/>
    </xf>
    <xf numFmtId="4" fontId="55" fillId="0" borderId="190" xfId="147" applyNumberFormat="1" applyFont="1" applyFill="1" applyBorder="1" applyAlignment="1">
      <alignment horizontal="center" vertical="center" wrapText="1"/>
    </xf>
    <xf numFmtId="178" fontId="55" fillId="0" borderId="193" xfId="147" applyNumberFormat="1" applyFont="1" applyFill="1" applyBorder="1" applyAlignment="1">
      <alignment horizontal="center" vertical="center" wrapText="1"/>
    </xf>
    <xf numFmtId="4" fontId="55" fillId="0" borderId="192" xfId="147" applyNumberFormat="1" applyFont="1" applyFill="1" applyBorder="1" applyAlignment="1">
      <alignment horizontal="center" vertical="center" wrapText="1"/>
    </xf>
    <xf numFmtId="4" fontId="55" fillId="0" borderId="193" xfId="147" applyNumberFormat="1" applyFont="1" applyFill="1" applyBorder="1" applyAlignment="1">
      <alignment horizontal="center" vertical="center" wrapText="1"/>
    </xf>
    <xf numFmtId="1" fontId="55" fillId="0" borderId="193" xfId="147" applyNumberFormat="1" applyFont="1" applyBorder="1" applyAlignment="1">
      <alignment horizontal="center" vertical="center" wrapText="1"/>
    </xf>
    <xf numFmtId="4" fontId="55" fillId="0" borderId="190" xfId="147" applyNumberFormat="1" applyFont="1" applyBorder="1" applyAlignment="1">
      <alignment horizontal="center" vertical="center" wrapText="1"/>
    </xf>
    <xf numFmtId="4" fontId="55" fillId="0" borderId="192" xfId="147" applyNumberFormat="1" applyFont="1" applyBorder="1" applyAlignment="1">
      <alignment horizontal="center" vertical="center" wrapText="1"/>
    </xf>
    <xf numFmtId="171" fontId="55" fillId="0" borderId="154" xfId="147" applyNumberFormat="1" applyFont="1" applyFill="1" applyBorder="1" applyAlignment="1">
      <alignment horizontal="center" vertical="center" wrapText="1"/>
    </xf>
    <xf numFmtId="4" fontId="55" fillId="0" borderId="157" xfId="147" applyNumberFormat="1" applyFont="1" applyBorder="1" applyAlignment="1">
      <alignment horizontal="center" vertical="center" wrapText="1"/>
    </xf>
    <xf numFmtId="9" fontId="55" fillId="0" borderId="193" xfId="147" applyNumberFormat="1" applyFont="1" applyBorder="1" applyAlignment="1">
      <alignment horizontal="center" vertical="center" wrapText="1"/>
    </xf>
    <xf numFmtId="9" fontId="55" fillId="0" borderId="161" xfId="147" applyNumberFormat="1" applyFont="1" applyBorder="1" applyAlignment="1">
      <alignment horizontal="center" vertical="center" wrapText="1"/>
    </xf>
    <xf numFmtId="3" fontId="54" fillId="41" borderId="52" xfId="147" applyNumberFormat="1" applyFont="1" applyFill="1" applyBorder="1" applyAlignment="1">
      <alignment horizontal="center" vertical="center" wrapText="1"/>
    </xf>
    <xf numFmtId="4" fontId="54" fillId="41" borderId="77" xfId="147" applyNumberFormat="1" applyFont="1" applyFill="1" applyBorder="1" applyAlignment="1">
      <alignment horizontal="center" vertical="center" wrapText="1"/>
    </xf>
    <xf numFmtId="0" fontId="13" fillId="0" borderId="0" xfId="147" applyFont="1"/>
    <xf numFmtId="0" fontId="13" fillId="0" borderId="189" xfId="147" applyFont="1" applyBorder="1" applyAlignment="1">
      <alignment horizontal="center"/>
    </xf>
    <xf numFmtId="168" fontId="13" fillId="0" borderId="189" xfId="147" applyNumberFormat="1" applyFont="1" applyBorder="1" applyAlignment="1">
      <alignment horizontal="center"/>
    </xf>
    <xf numFmtId="165" fontId="0" fillId="0" borderId="0" xfId="0" applyNumberFormat="1"/>
    <xf numFmtId="10" fontId="17" fillId="0" borderId="196" xfId="85" applyNumberFormat="1" applyFont="1" applyFill="1" applyBorder="1" applyAlignment="1">
      <alignment vertical="center"/>
    </xf>
    <xf numFmtId="10" fontId="17" fillId="0" borderId="0" xfId="85" applyNumberFormat="1" applyFont="1" applyFill="1" applyBorder="1" applyAlignment="1">
      <alignment vertical="center"/>
    </xf>
    <xf numFmtId="0" fontId="115" fillId="0" borderId="0" xfId="147" applyFont="1"/>
    <xf numFmtId="0" fontId="116" fillId="0" borderId="0" xfId="147" applyFont="1"/>
    <xf numFmtId="0" fontId="117" fillId="0" borderId="0" xfId="147" applyFont="1"/>
    <xf numFmtId="0" fontId="117" fillId="0" borderId="197" xfId="147" applyFont="1" applyBorder="1"/>
    <xf numFmtId="0" fontId="117" fillId="0" borderId="11" xfId="147" applyFont="1" applyBorder="1"/>
    <xf numFmtId="0" fontId="117" fillId="0" borderId="189" xfId="147" applyFont="1" applyBorder="1"/>
    <xf numFmtId="0" fontId="117" fillId="0" borderId="189" xfId="147" applyFont="1" applyBorder="1" applyAlignment="1">
      <alignment horizontal="center"/>
    </xf>
    <xf numFmtId="0" fontId="116" fillId="0" borderId="189" xfId="147" applyFont="1" applyBorder="1"/>
    <xf numFmtId="0" fontId="116" fillId="0" borderId="189" xfId="147" applyFont="1" applyBorder="1" applyAlignment="1">
      <alignment horizontal="center"/>
    </xf>
    <xf numFmtId="0" fontId="116" fillId="0" borderId="61" xfId="147" applyFont="1" applyFill="1" applyBorder="1"/>
    <xf numFmtId="0" fontId="117" fillId="0" borderId="0" xfId="147" applyFont="1" applyAlignment="1">
      <alignment horizontal="center"/>
    </xf>
    <xf numFmtId="0" fontId="117" fillId="0" borderId="189" xfId="147" applyFont="1" applyBorder="1" applyAlignment="1">
      <alignment horizontal="right"/>
    </xf>
    <xf numFmtId="0" fontId="116" fillId="0" borderId="189" xfId="147" applyFont="1" applyFill="1" applyBorder="1"/>
    <xf numFmtId="0" fontId="6" fillId="0" borderId="189" xfId="147" applyBorder="1"/>
    <xf numFmtId="0" fontId="116" fillId="0" borderId="189" xfId="147" applyFont="1" applyFill="1" applyBorder="1" applyAlignment="1">
      <alignment horizontal="center"/>
    </xf>
    <xf numFmtId="0" fontId="115" fillId="0" borderId="189" xfId="147" applyFont="1" applyBorder="1"/>
    <xf numFmtId="0" fontId="115" fillId="0" borderId="189" xfId="147" applyFont="1" applyFill="1" applyBorder="1"/>
    <xf numFmtId="0" fontId="118" fillId="0" borderId="189" xfId="147" applyFont="1" applyBorder="1"/>
    <xf numFmtId="0" fontId="117" fillId="0" borderId="189" xfId="147" applyFont="1" applyFill="1" applyBorder="1"/>
    <xf numFmtId="0" fontId="117" fillId="0" borderId="189" xfId="147" applyFont="1" applyFill="1" applyBorder="1" applyAlignment="1">
      <alignment horizontal="center"/>
    </xf>
    <xf numFmtId="0" fontId="119" fillId="0" borderId="189" xfId="147" applyFont="1" applyFill="1" applyBorder="1"/>
    <xf numFmtId="0" fontId="119" fillId="0" borderId="189" xfId="147" applyFont="1" applyBorder="1"/>
    <xf numFmtId="169" fontId="119" fillId="0" borderId="189" xfId="147" applyNumberFormat="1" applyFont="1" applyBorder="1"/>
    <xf numFmtId="0" fontId="118" fillId="0" borderId="189" xfId="147" applyFont="1" applyFill="1" applyBorder="1"/>
    <xf numFmtId="0" fontId="112" fillId="0" borderId="189" xfId="147" applyFont="1" applyBorder="1"/>
    <xf numFmtId="0" fontId="117" fillId="0" borderId="189" xfId="147" applyFont="1" applyBorder="1" applyAlignment="1">
      <alignment horizontal="left"/>
    </xf>
    <xf numFmtId="0" fontId="116" fillId="0" borderId="189" xfId="147" applyFont="1" applyBorder="1" applyAlignment="1">
      <alignment horizontal="left"/>
    </xf>
    <xf numFmtId="0" fontId="6" fillId="0" borderId="189" xfId="147" applyBorder="1" applyAlignment="1">
      <alignment horizontal="left"/>
    </xf>
    <xf numFmtId="0" fontId="118" fillId="0" borderId="189" xfId="147" applyFont="1" applyBorder="1" applyAlignment="1">
      <alignment horizontal="left"/>
    </xf>
    <xf numFmtId="0" fontId="119" fillId="0" borderId="189" xfId="147" applyFont="1" applyBorder="1" applyAlignment="1">
      <alignment horizontal="left"/>
    </xf>
    <xf numFmtId="0" fontId="120" fillId="0" borderId="189" xfId="147" applyFont="1" applyFill="1" applyBorder="1"/>
    <xf numFmtId="0" fontId="120" fillId="0" borderId="189" xfId="147" applyFont="1" applyBorder="1"/>
    <xf numFmtId="0" fontId="118" fillId="0" borderId="189" xfId="147" applyFont="1" applyFill="1" applyBorder="1" applyAlignment="1">
      <alignment horizontal="left"/>
    </xf>
    <xf numFmtId="0" fontId="117" fillId="0" borderId="197" xfId="147" applyFont="1" applyBorder="1" applyAlignment="1">
      <alignment horizontal="center"/>
    </xf>
    <xf numFmtId="0" fontId="117" fillId="0" borderId="11" xfId="147" applyFont="1" applyBorder="1" applyAlignment="1">
      <alignment horizontal="center"/>
    </xf>
    <xf numFmtId="0" fontId="6" fillId="0" borderId="189" xfId="147" applyBorder="1" applyAlignment="1">
      <alignment horizontal="center"/>
    </xf>
    <xf numFmtId="0" fontId="118" fillId="0" borderId="189" xfId="147" applyFont="1" applyBorder="1" applyAlignment="1">
      <alignment horizontal="center"/>
    </xf>
    <xf numFmtId="0" fontId="112" fillId="0" borderId="189" xfId="147" applyFont="1" applyBorder="1" applyAlignment="1">
      <alignment horizontal="center"/>
    </xf>
    <xf numFmtId="0" fontId="119" fillId="0" borderId="189" xfId="147" applyFont="1" applyBorder="1" applyAlignment="1">
      <alignment horizontal="center"/>
    </xf>
    <xf numFmtId="0" fontId="118" fillId="0" borderId="189" xfId="147" applyFont="1" applyBorder="1" applyAlignment="1">
      <alignment horizontal="center" wrapText="1"/>
    </xf>
    <xf numFmtId="0" fontId="121" fillId="0" borderId="189" xfId="147" applyFont="1" applyFill="1" applyBorder="1"/>
    <xf numFmtId="0" fontId="118" fillId="0" borderId="189" xfId="147" applyFont="1" applyBorder="1" applyAlignment="1">
      <alignment horizontal="left" wrapText="1"/>
    </xf>
    <xf numFmtId="0" fontId="118" fillId="0" borderId="189" xfId="147" applyFont="1" applyBorder="1" applyAlignment="1">
      <alignment wrapText="1"/>
    </xf>
    <xf numFmtId="2" fontId="118" fillId="0" borderId="189" xfId="147" applyNumberFormat="1" applyFont="1" applyBorder="1"/>
    <xf numFmtId="2" fontId="119" fillId="0" borderId="189" xfId="147" applyNumberFormat="1" applyFont="1" applyBorder="1"/>
    <xf numFmtId="2" fontId="112" fillId="0" borderId="189" xfId="147" applyNumberFormat="1" applyFont="1" applyBorder="1"/>
    <xf numFmtId="167" fontId="60" fillId="0" borderId="92" xfId="0" applyNumberFormat="1" applyFont="1" applyFill="1" applyBorder="1" applyAlignment="1">
      <alignment horizontal="center" vertical="center"/>
    </xf>
    <xf numFmtId="167" fontId="60" fillId="0" borderId="22" xfId="0" applyNumberFormat="1" applyFont="1" applyFill="1" applyBorder="1" applyAlignment="1">
      <alignment horizontal="center" vertical="center"/>
    </xf>
    <xf numFmtId="0" fontId="114" fillId="0" borderId="198" xfId="147" applyFont="1" applyBorder="1" applyAlignment="1">
      <alignment wrapText="1"/>
    </xf>
    <xf numFmtId="0" fontId="114" fillId="0" borderId="198" xfId="147" applyFont="1" applyBorder="1" applyAlignment="1">
      <alignment horizontal="center" wrapText="1"/>
    </xf>
    <xf numFmtId="4" fontId="114" fillId="0" borderId="198" xfId="147" applyNumberFormat="1" applyFont="1" applyBorder="1"/>
    <xf numFmtId="0" fontId="114" fillId="0" borderId="198" xfId="147" applyFont="1" applyBorder="1" applyAlignment="1">
      <alignment horizontal="center"/>
    </xf>
    <xf numFmtId="0" fontId="48" fillId="0" borderId="198" xfId="79" applyFont="1" applyFill="1" applyBorder="1" applyAlignment="1">
      <alignment horizontal="center" vertical="center"/>
    </xf>
    <xf numFmtId="170" fontId="48" fillId="0" borderId="198" xfId="79" applyNumberFormat="1" applyFont="1" applyFill="1" applyBorder="1" applyAlignment="1">
      <alignment horizontal="center" vertical="center"/>
    </xf>
    <xf numFmtId="170" fontId="51" fillId="0" borderId="185" xfId="79" applyNumberFormat="1" applyFont="1" applyFill="1" applyBorder="1" applyAlignment="1">
      <alignment horizontal="center" vertical="center"/>
    </xf>
    <xf numFmtId="0" fontId="48" fillId="0" borderId="191" xfId="79" applyFont="1" applyFill="1" applyBorder="1" applyAlignment="1">
      <alignment horizontal="center" vertical="center"/>
    </xf>
    <xf numFmtId="0" fontId="48" fillId="0" borderId="192" xfId="79" applyFont="1" applyFill="1" applyBorder="1" applyAlignment="1">
      <alignment horizontal="center" vertical="center"/>
    </xf>
    <xf numFmtId="10" fontId="48" fillId="0" borderId="191" xfId="79" applyNumberFormat="1" applyFont="1" applyFill="1" applyBorder="1" applyAlignment="1">
      <alignment horizontal="center" vertical="center"/>
    </xf>
    <xf numFmtId="10" fontId="48" fillId="0" borderId="198" xfId="85" applyNumberFormat="1" applyFont="1" applyFill="1" applyBorder="1" applyAlignment="1">
      <alignment horizontal="center" vertical="center"/>
    </xf>
    <xf numFmtId="170" fontId="48" fillId="0" borderId="192" xfId="79" applyNumberFormat="1" applyFont="1" applyFill="1" applyBorder="1" applyAlignment="1">
      <alignment horizontal="center" vertical="center"/>
    </xf>
    <xf numFmtId="10" fontId="51" fillId="0" borderId="184" xfId="79" applyNumberFormat="1" applyFont="1" applyFill="1" applyBorder="1" applyAlignment="1">
      <alignment horizontal="center" vertical="center"/>
    </xf>
    <xf numFmtId="0" fontId="60" fillId="0" borderId="198" xfId="0" applyFont="1" applyBorder="1" applyAlignment="1">
      <alignment horizontal="center" vertical="center"/>
    </xf>
    <xf numFmtId="169" fontId="60" fillId="0" borderId="198" xfId="0" applyNumberFormat="1" applyFont="1" applyBorder="1" applyAlignment="1">
      <alignment horizontal="center" vertical="center"/>
    </xf>
    <xf numFmtId="169" fontId="61" fillId="0" borderId="192" xfId="0" applyNumberFormat="1" applyFont="1" applyBorder="1" applyAlignment="1">
      <alignment horizontal="center" vertical="center"/>
    </xf>
    <xf numFmtId="4" fontId="60" fillId="0" borderId="202" xfId="0" applyNumberFormat="1" applyFont="1" applyBorder="1" applyAlignment="1">
      <alignment horizontal="center" vertical="center"/>
    </xf>
    <xf numFmtId="4" fontId="61" fillId="0" borderId="198" xfId="0" applyNumberFormat="1" applyFont="1" applyBorder="1" applyAlignment="1">
      <alignment horizontal="center" vertical="center"/>
    </xf>
    <xf numFmtId="4" fontId="60" fillId="0" borderId="198" xfId="0" applyNumberFormat="1" applyFont="1" applyBorder="1" applyAlignment="1">
      <alignment horizontal="center" vertical="center"/>
    </xf>
    <xf numFmtId="4" fontId="60" fillId="0" borderId="0" xfId="0" applyNumberFormat="1" applyFont="1" applyBorder="1" applyAlignment="1">
      <alignment horizontal="center" vertical="center"/>
    </xf>
    <xf numFmtId="4" fontId="60" fillId="25" borderId="203" xfId="0" applyNumberFormat="1" applyFont="1" applyFill="1" applyBorder="1" applyAlignment="1">
      <alignment horizontal="center" vertical="center"/>
    </xf>
    <xf numFmtId="171" fontId="60" fillId="0" borderId="198" xfId="85" applyNumberFormat="1" applyFont="1" applyFill="1" applyBorder="1" applyAlignment="1">
      <alignment vertical="center"/>
    </xf>
    <xf numFmtId="4" fontId="60" fillId="0" borderId="198" xfId="0" applyNumberFormat="1" applyFont="1" applyFill="1" applyBorder="1" applyAlignment="1">
      <alignment horizontal="center" vertical="center"/>
    </xf>
    <xf numFmtId="4" fontId="60" fillId="0" borderId="203" xfId="0" applyNumberFormat="1" applyFont="1" applyFill="1" applyBorder="1" applyAlignment="1">
      <alignment horizontal="center" vertical="center"/>
    </xf>
    <xf numFmtId="0" fontId="60" fillId="0" borderId="34" xfId="0" applyFont="1" applyBorder="1" applyAlignment="1">
      <alignment vertical="center"/>
    </xf>
    <xf numFmtId="4" fontId="60" fillId="0" borderId="37" xfId="0" applyNumberFormat="1" applyFont="1" applyBorder="1" applyAlignment="1">
      <alignment horizontal="center" vertical="center"/>
    </xf>
    <xf numFmtId="169" fontId="61" fillId="0" borderId="11" xfId="0" applyNumberFormat="1" applyFont="1" applyBorder="1" applyAlignment="1">
      <alignment horizontal="center" vertical="center"/>
    </xf>
    <xf numFmtId="4" fontId="60" fillId="0" borderId="11" xfId="0" applyNumberFormat="1" applyFont="1" applyBorder="1" applyAlignment="1">
      <alignment horizontal="center" vertical="center"/>
    </xf>
    <xf numFmtId="4" fontId="60" fillId="0" borderId="38" xfId="0" applyNumberFormat="1" applyFont="1" applyBorder="1" applyAlignment="1">
      <alignment horizontal="center" vertical="center"/>
    </xf>
    <xf numFmtId="171" fontId="60" fillId="0" borderId="11" xfId="85" applyNumberFormat="1" applyFont="1" applyBorder="1" applyAlignment="1">
      <alignment horizontal="center" vertical="center"/>
    </xf>
    <xf numFmtId="0" fontId="60" fillId="0" borderId="47" xfId="0" applyFont="1" applyBorder="1" applyAlignment="1">
      <alignment vertical="center"/>
    </xf>
    <xf numFmtId="0" fontId="60" fillId="0" borderId="0" xfId="0" applyFont="1" applyBorder="1" applyAlignment="1">
      <alignment vertical="center"/>
    </xf>
    <xf numFmtId="0" fontId="60" fillId="0" borderId="55" xfId="0" applyFont="1" applyBorder="1" applyAlignment="1">
      <alignment vertical="center"/>
    </xf>
    <xf numFmtId="0" fontId="5" fillId="0" borderId="198" xfId="149" applyBorder="1" applyAlignment="1">
      <alignment wrapText="1"/>
    </xf>
    <xf numFmtId="0" fontId="5" fillId="0" borderId="0" xfId="149"/>
    <xf numFmtId="0" fontId="112" fillId="0" borderId="198" xfId="149" applyFont="1" applyBorder="1" applyAlignment="1">
      <alignment horizontal="center"/>
    </xf>
    <xf numFmtId="4" fontId="5" fillId="0" borderId="198" xfId="149" applyNumberFormat="1" applyBorder="1"/>
    <xf numFmtId="0" fontId="5" fillId="0" borderId="198" xfId="149" applyBorder="1"/>
    <xf numFmtId="4" fontId="112" fillId="0" borderId="198" xfId="149" applyNumberFormat="1" applyFont="1" applyBorder="1"/>
    <xf numFmtId="0" fontId="112" fillId="0" borderId="203" xfId="149" applyFont="1" applyBorder="1" applyAlignment="1">
      <alignment horizontal="center"/>
    </xf>
    <xf numFmtId="4" fontId="5" fillId="0" borderId="203" xfId="149" applyNumberFormat="1" applyBorder="1"/>
    <xf numFmtId="4" fontId="112" fillId="0" borderId="203" xfId="149" applyNumberFormat="1" applyFont="1" applyBorder="1"/>
    <xf numFmtId="0" fontId="5" fillId="0" borderId="203" xfId="149" applyBorder="1"/>
    <xf numFmtId="0" fontId="124" fillId="0" borderId="198" xfId="149" applyFont="1" applyBorder="1" applyAlignment="1">
      <alignment wrapText="1"/>
    </xf>
    <xf numFmtId="4" fontId="124" fillId="0" borderId="198" xfId="149" applyNumberFormat="1" applyFont="1" applyBorder="1"/>
    <xf numFmtId="4" fontId="124" fillId="0" borderId="203" xfId="149" applyNumberFormat="1" applyFont="1" applyBorder="1"/>
    <xf numFmtId="0" fontId="124" fillId="0" borderId="198" xfId="149" applyFont="1" applyBorder="1"/>
    <xf numFmtId="0" fontId="124" fillId="0" borderId="0" xfId="149" applyFont="1"/>
    <xf numFmtId="3" fontId="0" fillId="0" borderId="0" xfId="0" applyNumberFormat="1"/>
    <xf numFmtId="4" fontId="101" fillId="0" borderId="103" xfId="0" applyNumberFormat="1" applyFont="1" applyFill="1" applyBorder="1" applyAlignment="1">
      <alignment horizontal="center" vertical="center"/>
    </xf>
    <xf numFmtId="4" fontId="101" fillId="0" borderId="102" xfId="0" applyNumberFormat="1" applyFont="1" applyFill="1" applyBorder="1" applyAlignment="1">
      <alignment vertical="center"/>
    </xf>
    <xf numFmtId="0" fontId="8" fillId="0" borderId="198" xfId="0" applyFont="1" applyBorder="1" applyAlignment="1">
      <alignment horizontal="center" vertical="center" wrapText="1"/>
    </xf>
    <xf numFmtId="4" fontId="13" fillId="0" borderId="198" xfId="79" applyNumberFormat="1" applyFont="1" applyFill="1" applyBorder="1" applyAlignment="1">
      <alignment horizontal="center" vertical="center"/>
    </xf>
    <xf numFmtId="171" fontId="13" fillId="0" borderId="198" xfId="85" applyNumberFormat="1" applyFont="1" applyFill="1" applyBorder="1" applyAlignment="1">
      <alignment horizontal="center" vertical="center"/>
    </xf>
    <xf numFmtId="169" fontId="48" fillId="0" borderId="191" xfId="79" applyNumberFormat="1" applyFont="1" applyFill="1" applyBorder="1" applyAlignment="1">
      <alignment horizontal="center" vertical="center"/>
    </xf>
    <xf numFmtId="170" fontId="48" fillId="0" borderId="191" xfId="79" applyNumberFormat="1" applyFont="1" applyFill="1" applyBorder="1" applyAlignment="1">
      <alignment horizontal="center" vertical="center"/>
    </xf>
    <xf numFmtId="171" fontId="49" fillId="0" borderId="191" xfId="85" applyNumberFormat="1" applyFont="1" applyFill="1" applyBorder="1" applyAlignment="1">
      <alignment horizontal="center" vertical="center"/>
    </xf>
    <xf numFmtId="171" fontId="49" fillId="0" borderId="11" xfId="85" applyNumberFormat="1" applyFont="1" applyFill="1" applyBorder="1" applyAlignment="1">
      <alignment horizontal="center" vertical="center"/>
    </xf>
    <xf numFmtId="0" fontId="48" fillId="0" borderId="43" xfId="79" applyFont="1" applyFill="1" applyBorder="1" applyAlignment="1">
      <alignment vertical="center" wrapText="1"/>
    </xf>
    <xf numFmtId="0" fontId="0" fillId="0" borderId="198" xfId="0" applyBorder="1"/>
    <xf numFmtId="0" fontId="8" fillId="0" borderId="198" xfId="0" applyFont="1" applyFill="1" applyBorder="1"/>
    <xf numFmtId="0" fontId="0" fillId="0" borderId="198" xfId="0" applyFill="1" applyBorder="1"/>
    <xf numFmtId="0" fontId="0" fillId="0" borderId="198" xfId="0" applyFont="1" applyBorder="1"/>
    <xf numFmtId="4" fontId="0" fillId="0" borderId="198" xfId="0" applyNumberFormat="1" applyFont="1" applyBorder="1"/>
    <xf numFmtId="0" fontId="8" fillId="0" borderId="198" xfId="0" applyFont="1" applyBorder="1"/>
    <xf numFmtId="4" fontId="8" fillId="0" borderId="198" xfId="0" applyNumberFormat="1" applyFont="1" applyBorder="1" applyAlignment="1">
      <alignment horizontal="center" vertical="center"/>
    </xf>
    <xf numFmtId="0" fontId="0" fillId="0" borderId="198" xfId="0" applyBorder="1" applyAlignment="1">
      <alignment horizontal="center" vertical="center"/>
    </xf>
    <xf numFmtId="4" fontId="0" fillId="0" borderId="198" xfId="0" applyNumberFormat="1" applyBorder="1" applyAlignment="1">
      <alignment horizontal="center" vertical="center"/>
    </xf>
    <xf numFmtId="2" fontId="105" fillId="34" borderId="169" xfId="96" applyNumberFormat="1" applyFont="1" applyFill="1" applyBorder="1"/>
    <xf numFmtId="171" fontId="92" fillId="0" borderId="0" xfId="85" applyNumberFormat="1" applyFont="1" applyFill="1" applyBorder="1" applyAlignment="1">
      <alignment horizontal="center"/>
    </xf>
    <xf numFmtId="0" fontId="50" fillId="0" borderId="0" xfId="0" applyFont="1" applyAlignment="1">
      <alignment vertical="center"/>
    </xf>
    <xf numFmtId="171" fontId="61" fillId="0" borderId="11" xfId="0" applyNumberFormat="1" applyFont="1" applyFill="1" applyBorder="1" applyAlignment="1">
      <alignment horizontal="center" vertical="center" wrapText="1"/>
    </xf>
    <xf numFmtId="171" fontId="61" fillId="0" borderId="102" xfId="0" applyNumberFormat="1" applyFont="1" applyFill="1" applyBorder="1" applyAlignment="1">
      <alignment horizontal="center" vertical="center" wrapText="1"/>
    </xf>
    <xf numFmtId="171" fontId="83" fillId="0" borderId="102" xfId="0" applyNumberFormat="1" applyFont="1" applyFill="1" applyBorder="1" applyAlignment="1">
      <alignment horizontal="center" vertical="center" wrapText="1"/>
    </xf>
    <xf numFmtId="171" fontId="83" fillId="0" borderId="169" xfId="0" applyNumberFormat="1" applyFont="1" applyFill="1" applyBorder="1" applyAlignment="1">
      <alignment horizontal="center" vertical="center" wrapText="1"/>
    </xf>
    <xf numFmtId="171" fontId="83" fillId="0" borderId="96" xfId="0" applyNumberFormat="1" applyFont="1" applyFill="1" applyBorder="1" applyAlignment="1">
      <alignment horizontal="center" vertical="center" wrapText="1"/>
    </xf>
    <xf numFmtId="4" fontId="50" fillId="0" borderId="0" xfId="0" applyNumberFormat="1" applyFont="1"/>
    <xf numFmtId="171" fontId="61" fillId="0" borderId="17" xfId="0" applyNumberFormat="1" applyFont="1" applyFill="1" applyBorder="1" applyAlignment="1">
      <alignment horizontal="center" vertical="center" wrapText="1"/>
    </xf>
    <xf numFmtId="171" fontId="61" fillId="0" borderId="179" xfId="0" applyNumberFormat="1" applyFont="1" applyFill="1" applyBorder="1" applyAlignment="1">
      <alignment horizontal="center" vertical="center" wrapText="1"/>
    </xf>
    <xf numFmtId="0" fontId="61" fillId="0" borderId="0" xfId="0" applyFont="1"/>
    <xf numFmtId="171" fontId="61" fillId="0" borderId="17" xfId="85" applyNumberFormat="1" applyFont="1" applyBorder="1"/>
    <xf numFmtId="171" fontId="61" fillId="0" borderId="11" xfId="85" applyNumberFormat="1" applyFont="1" applyBorder="1"/>
    <xf numFmtId="171" fontId="61" fillId="0" borderId="198" xfId="85" applyNumberFormat="1" applyFont="1" applyBorder="1"/>
    <xf numFmtId="0" fontId="60" fillId="0" borderId="208" xfId="0" applyFont="1" applyFill="1" applyBorder="1" applyAlignment="1">
      <alignment horizontal="center" vertical="center" wrapText="1"/>
    </xf>
    <xf numFmtId="0" fontId="60" fillId="0" borderId="213" xfId="0" applyFont="1" applyFill="1" applyBorder="1" applyAlignment="1">
      <alignment horizontal="center" vertical="center" wrapText="1"/>
    </xf>
    <xf numFmtId="4" fontId="60" fillId="0" borderId="191" xfId="0" applyNumberFormat="1" applyFont="1" applyBorder="1"/>
    <xf numFmtId="4" fontId="60" fillId="0" borderId="198" xfId="0" applyNumberFormat="1" applyFont="1" applyBorder="1"/>
    <xf numFmtId="4" fontId="60" fillId="0" borderId="192" xfId="0" applyNumberFormat="1" applyFont="1" applyBorder="1"/>
    <xf numFmtId="4" fontId="17" fillId="0" borderId="191" xfId="0" applyNumberFormat="1" applyFont="1" applyBorder="1"/>
    <xf numFmtId="4" fontId="17" fillId="0" borderId="198" xfId="0" applyNumberFormat="1" applyFont="1" applyBorder="1"/>
    <xf numFmtId="4" fontId="17" fillId="0" borderId="192" xfId="0" applyNumberFormat="1" applyFont="1" applyBorder="1"/>
    <xf numFmtId="2" fontId="17" fillId="0" borderId="191" xfId="0" applyNumberFormat="1" applyFont="1" applyBorder="1"/>
    <xf numFmtId="2" fontId="17" fillId="0" borderId="198" xfId="0" applyNumberFormat="1" applyFont="1" applyBorder="1"/>
    <xf numFmtId="2" fontId="17" fillId="0" borderId="192" xfId="0" applyNumberFormat="1" applyFont="1" applyBorder="1"/>
    <xf numFmtId="0" fontId="14" fillId="0" borderId="0" xfId="0" applyFont="1" applyAlignment="1">
      <alignment vertical="center"/>
    </xf>
    <xf numFmtId="171" fontId="61" fillId="0" borderId="17" xfId="85" applyNumberFormat="1" applyFont="1" applyFill="1" applyBorder="1" applyAlignment="1">
      <alignment horizontal="center" vertical="center"/>
    </xf>
    <xf numFmtId="4" fontId="83" fillId="0" borderId="0" xfId="0" applyNumberFormat="1" applyFont="1" applyFill="1" applyBorder="1" applyAlignment="1">
      <alignment horizontal="center"/>
    </xf>
    <xf numFmtId="171" fontId="61" fillId="0" borderId="17" xfId="0" applyNumberFormat="1" applyFont="1" applyFill="1" applyBorder="1" applyAlignment="1">
      <alignment horizontal="center" vertical="center"/>
    </xf>
    <xf numFmtId="171" fontId="61" fillId="0" borderId="102" xfId="0" applyNumberFormat="1" applyFont="1" applyFill="1" applyBorder="1" applyAlignment="1">
      <alignment horizontal="center" vertical="center"/>
    </xf>
    <xf numFmtId="0" fontId="50" fillId="0" borderId="0" xfId="0" applyFont="1" applyFill="1"/>
    <xf numFmtId="4" fontId="83" fillId="0" borderId="102" xfId="0" applyNumberFormat="1" applyFont="1" applyFill="1" applyBorder="1" applyAlignment="1">
      <alignment horizontal="center" vertical="center"/>
    </xf>
    <xf numFmtId="4" fontId="83" fillId="0" borderId="169" xfId="0" applyNumberFormat="1" applyFont="1" applyFill="1" applyBorder="1" applyAlignment="1">
      <alignment horizontal="center" vertical="center"/>
    </xf>
    <xf numFmtId="4" fontId="83" fillId="0" borderId="96" xfId="0" applyNumberFormat="1" applyFont="1" applyFill="1" applyBorder="1" applyAlignment="1">
      <alignment horizontal="center" vertical="center"/>
    </xf>
    <xf numFmtId="2" fontId="48" fillId="38" borderId="169" xfId="96" applyNumberFormat="1" applyFont="1" applyFill="1" applyBorder="1"/>
    <xf numFmtId="2" fontId="48" fillId="38" borderId="169" xfId="96" applyNumberFormat="1" applyFont="1" applyFill="1" applyBorder="1" applyAlignment="1">
      <alignment horizontal="center"/>
    </xf>
    <xf numFmtId="4" fontId="127" fillId="0" borderId="105" xfId="0" applyNumberFormat="1" applyFont="1" applyFill="1" applyBorder="1" applyAlignment="1">
      <alignment horizontal="center" vertical="center"/>
    </xf>
    <xf numFmtId="171" fontId="128" fillId="0" borderId="102" xfId="0" applyNumberFormat="1" applyFont="1" applyFill="1" applyBorder="1" applyAlignment="1">
      <alignment horizontal="center" vertical="center" wrapText="1"/>
    </xf>
    <xf numFmtId="4" fontId="127" fillId="0" borderId="102" xfId="0" applyNumberFormat="1" applyFont="1" applyFill="1" applyBorder="1" applyAlignment="1">
      <alignment horizontal="center" vertical="center"/>
    </xf>
    <xf numFmtId="4" fontId="127" fillId="0" borderId="106" xfId="0" applyNumberFormat="1" applyFont="1" applyFill="1" applyBorder="1" applyAlignment="1">
      <alignment horizontal="center" vertical="center"/>
    </xf>
    <xf numFmtId="0" fontId="13" fillId="0" borderId="61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60" fillId="0" borderId="21" xfId="0" applyFont="1" applyBorder="1" applyAlignment="1">
      <alignment horizontal="center" vertical="center" wrapText="1"/>
    </xf>
    <xf numFmtId="0" fontId="60" fillId="0" borderId="101" xfId="0" applyFont="1" applyBorder="1" applyAlignment="1">
      <alignment horizontal="center" vertical="center" wrapText="1"/>
    </xf>
    <xf numFmtId="0" fontId="60" fillId="0" borderId="17" xfId="0" applyFont="1" applyFill="1" applyBorder="1" applyAlignment="1">
      <alignment horizontal="center" vertical="center"/>
    </xf>
    <xf numFmtId="0" fontId="60" fillId="0" borderId="16" xfId="0" applyFont="1" applyFill="1" applyBorder="1" applyAlignment="1">
      <alignment horizontal="center" vertical="center"/>
    </xf>
    <xf numFmtId="0" fontId="60" fillId="0" borderId="21" xfId="0" applyFont="1" applyFill="1" applyBorder="1" applyAlignment="1">
      <alignment horizontal="center" vertical="center"/>
    </xf>
    <xf numFmtId="0" fontId="60" fillId="0" borderId="18" xfId="0" applyFont="1" applyFill="1" applyBorder="1" applyAlignment="1">
      <alignment horizontal="center" vertical="center"/>
    </xf>
    <xf numFmtId="0" fontId="60" fillId="0" borderId="101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 wrapText="1"/>
    </xf>
    <xf numFmtId="0" fontId="60" fillId="0" borderId="27" xfId="0" applyFont="1" applyFill="1" applyBorder="1" applyAlignment="1">
      <alignment horizontal="center" vertical="center"/>
    </xf>
    <xf numFmtId="0" fontId="60" fillId="0" borderId="21" xfId="0" applyFont="1" applyBorder="1" applyAlignment="1">
      <alignment horizontal="center" vertical="center"/>
    </xf>
    <xf numFmtId="0" fontId="60" fillId="0" borderId="96" xfId="0" applyFont="1" applyBorder="1" applyAlignment="1">
      <alignment horizontal="center" vertical="center"/>
    </xf>
    <xf numFmtId="0" fontId="60" fillId="0" borderId="102" xfId="0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2" fontId="17" fillId="0" borderId="92" xfId="0" applyNumberFormat="1" applyFont="1" applyBorder="1" applyAlignment="1">
      <alignment horizontal="center" vertical="center"/>
    </xf>
    <xf numFmtId="2" fontId="60" fillId="0" borderId="92" xfId="0" applyNumberFormat="1" applyFont="1" applyBorder="1" applyAlignment="1">
      <alignment horizontal="center" vertical="center" wrapText="1"/>
    </xf>
    <xf numFmtId="2" fontId="60" fillId="0" borderId="92" xfId="0" applyNumberFormat="1" applyFont="1" applyBorder="1" applyAlignment="1">
      <alignment horizontal="center" vertical="center"/>
    </xf>
    <xf numFmtId="2" fontId="13" fillId="0" borderId="10" xfId="0" applyNumberFormat="1" applyFont="1" applyBorder="1" applyAlignment="1">
      <alignment horizontal="center" vertical="center" wrapText="1"/>
    </xf>
    <xf numFmtId="0" fontId="88" fillId="0" borderId="0" xfId="0" applyFont="1" applyFill="1" applyBorder="1" applyAlignment="1">
      <alignment horizontal="center"/>
    </xf>
    <xf numFmtId="0" fontId="88" fillId="0" borderId="0" xfId="0" applyFont="1" applyAlignment="1">
      <alignment horizontal="center"/>
    </xf>
    <xf numFmtId="2" fontId="13" fillId="0" borderId="10" xfId="0" applyNumberFormat="1" applyFont="1" applyBorder="1" applyAlignment="1">
      <alignment horizontal="center" vertical="center"/>
    </xf>
    <xf numFmtId="2" fontId="13" fillId="0" borderId="10" xfId="0" applyNumberFormat="1" applyFont="1" applyBorder="1" applyAlignment="1">
      <alignment horizontal="center"/>
    </xf>
    <xf numFmtId="2" fontId="60" fillId="0" borderId="92" xfId="0" applyNumberFormat="1" applyFont="1" applyFill="1" applyBorder="1" applyAlignment="1">
      <alignment horizontal="center" vertical="center" wrapText="1"/>
    </xf>
    <xf numFmtId="2" fontId="60" fillId="0" borderId="102" xfId="0" applyNumberFormat="1" applyFont="1" applyBorder="1" applyAlignment="1">
      <alignment horizontal="center" vertical="center" wrapText="1"/>
    </xf>
    <xf numFmtId="2" fontId="17" fillId="0" borderId="102" xfId="0" applyNumberFormat="1" applyFont="1" applyBorder="1" applyAlignment="1">
      <alignment horizontal="center" vertical="center"/>
    </xf>
    <xf numFmtId="0" fontId="60" fillId="0" borderId="184" xfId="0" applyFont="1" applyBorder="1" applyAlignment="1">
      <alignment horizontal="center" vertical="center" wrapText="1"/>
    </xf>
    <xf numFmtId="0" fontId="60" fillId="0" borderId="23" xfId="0" applyFont="1" applyBorder="1" applyAlignment="1">
      <alignment horizontal="center" vertical="center" wrapText="1"/>
    </xf>
    <xf numFmtId="0" fontId="17" fillId="0" borderId="47" xfId="0" applyFont="1" applyFill="1" applyBorder="1" applyAlignment="1">
      <alignment horizontal="center" vertical="center" wrapText="1"/>
    </xf>
    <xf numFmtId="0" fontId="17" fillId="0" borderId="36" xfId="0" applyFont="1" applyFill="1" applyBorder="1" applyAlignment="1">
      <alignment horizontal="center" vertical="center" wrapText="1"/>
    </xf>
    <xf numFmtId="0" fontId="4" fillId="0" borderId="0" xfId="147" applyFont="1"/>
    <xf numFmtId="0" fontId="4" fillId="0" borderId="0" xfId="149" applyFont="1"/>
    <xf numFmtId="0" fontId="89" fillId="0" borderId="0" xfId="0" applyFont="1"/>
    <xf numFmtId="0" fontId="64" fillId="0" borderId="0" xfId="0" applyFont="1"/>
    <xf numFmtId="165" fontId="64" fillId="0" borderId="0" xfId="89" applyFont="1"/>
    <xf numFmtId="0" fontId="131" fillId="0" borderId="55" xfId="0" applyFont="1" applyBorder="1" applyAlignment="1">
      <alignment horizontal="right" vertical="top" wrapText="1"/>
    </xf>
    <xf numFmtId="165" fontId="131" fillId="0" borderId="55" xfId="89" applyFont="1" applyBorder="1" applyAlignment="1">
      <alignment horizontal="right" vertical="top" wrapText="1"/>
    </xf>
    <xf numFmtId="0" fontId="130" fillId="0" borderId="55" xfId="0" applyFont="1" applyBorder="1" applyAlignment="1">
      <alignment horizontal="right" vertical="top" wrapText="1"/>
    </xf>
    <xf numFmtId="165" fontId="130" fillId="0" borderId="55" xfId="89" applyFont="1" applyBorder="1" applyAlignment="1">
      <alignment horizontal="right" vertical="top" wrapText="1"/>
    </xf>
    <xf numFmtId="165" fontId="89" fillId="0" borderId="0" xfId="89" applyFont="1"/>
    <xf numFmtId="171" fontId="0" fillId="0" borderId="10" xfId="85" applyNumberFormat="1" applyFont="1" applyBorder="1" applyAlignment="1">
      <alignment wrapText="1"/>
    </xf>
    <xf numFmtId="0" fontId="60" fillId="26" borderId="101" xfId="0" applyFont="1" applyFill="1" applyBorder="1" applyAlignment="1">
      <alignment horizontal="center" vertical="center" wrapText="1"/>
    </xf>
    <xf numFmtId="0" fontId="60" fillId="26" borderId="184" xfId="0" applyFont="1" applyFill="1" applyBorder="1" applyAlignment="1">
      <alignment horizontal="center" vertical="center" wrapText="1"/>
    </xf>
    <xf numFmtId="0" fontId="60" fillId="26" borderId="185" xfId="0" applyFont="1" applyFill="1" applyBorder="1" applyAlignment="1">
      <alignment horizontal="center" vertical="center" wrapText="1"/>
    </xf>
    <xf numFmtId="0" fontId="60" fillId="0" borderId="185" xfId="0" applyFont="1" applyBorder="1" applyAlignment="1">
      <alignment horizontal="center" vertical="center" wrapText="1"/>
    </xf>
    <xf numFmtId="0" fontId="60" fillId="0" borderId="208" xfId="0" applyFont="1" applyBorder="1" applyAlignment="1">
      <alignment horizontal="center" vertical="center" wrapText="1"/>
    </xf>
    <xf numFmtId="0" fontId="60" fillId="24" borderId="212" xfId="0" applyFont="1" applyFill="1" applyBorder="1" applyAlignment="1">
      <alignment horizontal="center" vertical="center" wrapText="1"/>
    </xf>
    <xf numFmtId="0" fontId="60" fillId="24" borderId="208" xfId="0" applyFont="1" applyFill="1" applyBorder="1" applyAlignment="1">
      <alignment horizontal="center" vertical="center" wrapText="1"/>
    </xf>
    <xf numFmtId="0" fontId="60" fillId="24" borderId="213" xfId="0" applyFont="1" applyFill="1" applyBorder="1" applyAlignment="1">
      <alignment horizontal="center" vertical="center" wrapText="1"/>
    </xf>
    <xf numFmtId="0" fontId="60" fillId="24" borderId="201" xfId="0" applyFont="1" applyFill="1" applyBorder="1" applyAlignment="1">
      <alignment horizontal="center" vertical="center" wrapText="1"/>
    </xf>
    <xf numFmtId="0" fontId="60" fillId="0" borderId="212" xfId="0" applyFont="1" applyFill="1" applyBorder="1" applyAlignment="1">
      <alignment horizontal="center" vertical="center" wrapText="1"/>
    </xf>
    <xf numFmtId="0" fontId="60" fillId="0" borderId="199" xfId="0" applyFont="1" applyFill="1" applyBorder="1" applyAlignment="1">
      <alignment horizontal="center" vertical="center" wrapText="1"/>
    </xf>
    <xf numFmtId="0" fontId="60" fillId="0" borderId="196" xfId="0" applyFont="1" applyFill="1" applyBorder="1" applyAlignment="1">
      <alignment horizontal="center" vertical="center" wrapText="1"/>
    </xf>
    <xf numFmtId="0" fontId="60" fillId="0" borderId="198" xfId="0" applyFont="1" applyFill="1" applyBorder="1"/>
    <xf numFmtId="0" fontId="17" fillId="0" borderId="191" xfId="0" applyFont="1" applyBorder="1" applyAlignment="1">
      <alignment horizontal="left" vertical="center"/>
    </xf>
    <xf numFmtId="0" fontId="17" fillId="0" borderId="192" xfId="0" applyFont="1" applyBorder="1" applyAlignment="1">
      <alignment wrapText="1"/>
    </xf>
    <xf numFmtId="1" fontId="17" fillId="0" borderId="211" xfId="0" applyNumberFormat="1" applyFont="1" applyBorder="1" applyAlignment="1">
      <alignment horizontal="right" vertical="center" indent="1"/>
    </xf>
    <xf numFmtId="3" fontId="17" fillId="0" borderId="198" xfId="0" applyNumberFormat="1" applyFont="1" applyBorder="1" applyAlignment="1">
      <alignment horizontal="right" vertical="center" indent="1"/>
    </xf>
    <xf numFmtId="170" fontId="17" fillId="0" borderId="192" xfId="0" applyNumberFormat="1" applyFont="1" applyBorder="1" applyAlignment="1">
      <alignment horizontal="right" vertical="center"/>
    </xf>
    <xf numFmtId="3" fontId="17" fillId="26" borderId="191" xfId="0" applyNumberFormat="1" applyFont="1" applyFill="1" applyBorder="1" applyAlignment="1">
      <alignment horizontal="right" vertical="center" indent="1"/>
    </xf>
    <xf numFmtId="3" fontId="17" fillId="26" borderId="198" xfId="0" applyNumberFormat="1" applyFont="1" applyFill="1" applyBorder="1" applyAlignment="1">
      <alignment horizontal="right" vertical="center" indent="1"/>
    </xf>
    <xf numFmtId="170" fontId="17" fillId="26" borderId="209" xfId="0" applyNumberFormat="1" applyFont="1" applyFill="1" applyBorder="1" applyAlignment="1">
      <alignment horizontal="right" vertical="center"/>
    </xf>
    <xf numFmtId="1" fontId="17" fillId="0" borderId="191" xfId="0" applyNumberFormat="1" applyFont="1" applyBorder="1" applyAlignment="1">
      <alignment horizontal="right" vertical="center" indent="1"/>
    </xf>
    <xf numFmtId="171" fontId="17" fillId="0" borderId="198" xfId="0" applyNumberFormat="1" applyFont="1" applyBorder="1" applyAlignment="1">
      <alignment horizontal="center" vertical="center" wrapText="1"/>
    </xf>
    <xf numFmtId="170" fontId="17" fillId="0" borderId="209" xfId="0" applyNumberFormat="1" applyFont="1" applyBorder="1" applyAlignment="1">
      <alignment horizontal="right" vertical="center"/>
    </xf>
    <xf numFmtId="170" fontId="17" fillId="0" borderId="210" xfId="0" applyNumberFormat="1" applyFont="1" applyBorder="1" applyAlignment="1">
      <alignment horizontal="center" vertical="center"/>
    </xf>
    <xf numFmtId="3" fontId="17" fillId="0" borderId="198" xfId="0" applyNumberFormat="1" applyFont="1" applyBorder="1" applyAlignment="1">
      <alignment horizontal="center" vertical="center"/>
    </xf>
    <xf numFmtId="0" fontId="17" fillId="0" borderId="191" xfId="0" applyFont="1" applyBorder="1" applyAlignment="1">
      <alignment horizontal="center" vertical="center"/>
    </xf>
    <xf numFmtId="1" fontId="17" fillId="0" borderId="198" xfId="0" applyNumberFormat="1" applyFont="1" applyBorder="1" applyAlignment="1">
      <alignment horizontal="center" vertical="center"/>
    </xf>
    <xf numFmtId="169" fontId="17" fillId="0" borderId="192" xfId="0" applyNumberFormat="1" applyFont="1" applyBorder="1" applyAlignment="1">
      <alignment horizontal="center" vertical="center"/>
    </xf>
    <xf numFmtId="0" fontId="17" fillId="0" borderId="211" xfId="0" applyFont="1" applyBorder="1" applyAlignment="1">
      <alignment horizontal="center" vertical="center"/>
    </xf>
    <xf numFmtId="169" fontId="17" fillId="0" borderId="209" xfId="0" applyNumberFormat="1" applyFont="1" applyBorder="1" applyAlignment="1">
      <alignment horizontal="center" vertical="center"/>
    </xf>
    <xf numFmtId="1" fontId="17" fillId="0" borderId="191" xfId="0" applyNumberFormat="1" applyFont="1" applyFill="1" applyBorder="1" applyAlignment="1">
      <alignment horizontal="center" vertical="center"/>
    </xf>
    <xf numFmtId="3" fontId="17" fillId="0" borderId="198" xfId="0" applyNumberFormat="1" applyFont="1" applyFill="1" applyBorder="1" applyAlignment="1">
      <alignment horizontal="right" vertical="center" indent="1"/>
    </xf>
    <xf numFmtId="170" fontId="17" fillId="0" borderId="192" xfId="0" applyNumberFormat="1" applyFont="1" applyFill="1" applyBorder="1" applyAlignment="1">
      <alignment horizontal="right" vertical="center"/>
    </xf>
    <xf numFmtId="3" fontId="17" fillId="0" borderId="209" xfId="0" applyNumberFormat="1" applyFont="1" applyFill="1" applyBorder="1" applyAlignment="1">
      <alignment horizontal="right" vertical="center" indent="1"/>
    </xf>
    <xf numFmtId="1" fontId="17" fillId="0" borderId="191" xfId="0" applyNumberFormat="1" applyFont="1" applyFill="1" applyBorder="1" applyAlignment="1">
      <alignment horizontal="right" vertical="center" indent="1"/>
    </xf>
    <xf numFmtId="170" fontId="17" fillId="0" borderId="198" xfId="0" applyNumberFormat="1" applyFont="1" applyFill="1" applyBorder="1" applyAlignment="1">
      <alignment horizontal="right" vertical="center" indent="1"/>
    </xf>
    <xf numFmtId="170" fontId="17" fillId="0" borderId="198" xfId="0" applyNumberFormat="1" applyFont="1" applyFill="1" applyBorder="1" applyAlignment="1">
      <alignment horizontal="right" vertical="center"/>
    </xf>
    <xf numFmtId="170" fontId="17" fillId="0" borderId="192" xfId="0" applyNumberFormat="1" applyFont="1" applyFill="1" applyBorder="1" applyAlignment="1">
      <alignment horizontal="right" vertical="center" indent="1"/>
    </xf>
    <xf numFmtId="170" fontId="17" fillId="0" borderId="209" xfId="0" applyNumberFormat="1" applyFont="1" applyFill="1" applyBorder="1" applyAlignment="1">
      <alignment horizontal="right" vertical="center" indent="1"/>
    </xf>
    <xf numFmtId="170" fontId="17" fillId="0" borderId="210" xfId="0" applyNumberFormat="1" applyFont="1" applyFill="1" applyBorder="1" applyAlignment="1">
      <alignment horizontal="right" vertical="center"/>
    </xf>
    <xf numFmtId="170" fontId="17" fillId="0" borderId="209" xfId="0" applyNumberFormat="1" applyFont="1" applyFill="1" applyBorder="1" applyAlignment="1">
      <alignment horizontal="right" vertical="center"/>
    </xf>
    <xf numFmtId="166" fontId="82" fillId="0" borderId="187" xfId="0" applyNumberFormat="1" applyFont="1" applyBorder="1"/>
    <xf numFmtId="0" fontId="60" fillId="0" borderId="191" xfId="0" applyFont="1" applyBorder="1" applyAlignment="1">
      <alignment horizontal="left" vertical="center"/>
    </xf>
    <xf numFmtId="0" fontId="60" fillId="0" borderId="192" xfId="0" applyFont="1" applyBorder="1"/>
    <xf numFmtId="1" fontId="60" fillId="0" borderId="211" xfId="0" applyNumberFormat="1" applyFont="1" applyBorder="1" applyAlignment="1">
      <alignment horizontal="right" vertical="center" indent="1"/>
    </xf>
    <xf numFmtId="3" fontId="60" fillId="0" borderId="198" xfId="0" applyNumberFormat="1" applyFont="1" applyBorder="1" applyAlignment="1">
      <alignment horizontal="right" vertical="center" indent="1"/>
    </xf>
    <xf numFmtId="170" fontId="60" fillId="0" borderId="192" xfId="0" applyNumberFormat="1" applyFont="1" applyBorder="1" applyAlignment="1">
      <alignment horizontal="right" vertical="center"/>
    </xf>
    <xf numFmtId="3" fontId="60" fillId="26" borderId="191" xfId="0" applyNumberFormat="1" applyFont="1" applyFill="1" applyBorder="1" applyAlignment="1">
      <alignment horizontal="right" vertical="center" indent="1"/>
    </xf>
    <xf numFmtId="3" fontId="60" fillId="26" borderId="198" xfId="0" applyNumberFormat="1" applyFont="1" applyFill="1" applyBorder="1" applyAlignment="1">
      <alignment horizontal="right" vertical="center" indent="1"/>
    </xf>
    <xf numFmtId="170" fontId="60" fillId="26" borderId="209" xfId="0" applyNumberFormat="1" applyFont="1" applyFill="1" applyBorder="1" applyAlignment="1">
      <alignment horizontal="right" vertical="center"/>
    </xf>
    <xf numFmtId="1" fontId="60" fillId="0" borderId="191" xfId="0" applyNumberFormat="1" applyFont="1" applyBorder="1" applyAlignment="1">
      <alignment horizontal="right" vertical="center" indent="1"/>
    </xf>
    <xf numFmtId="170" fontId="60" fillId="0" borderId="209" xfId="0" applyNumberFormat="1" applyFont="1" applyBorder="1" applyAlignment="1">
      <alignment horizontal="right" vertical="center"/>
    </xf>
    <xf numFmtId="1" fontId="60" fillId="0" borderId="210" xfId="0" applyNumberFormat="1" applyFont="1" applyBorder="1" applyAlignment="1">
      <alignment horizontal="center" vertical="center"/>
    </xf>
    <xf numFmtId="170" fontId="60" fillId="0" borderId="210" xfId="0" applyNumberFormat="1" applyFont="1" applyBorder="1" applyAlignment="1">
      <alignment horizontal="right" vertical="center"/>
    </xf>
    <xf numFmtId="0" fontId="60" fillId="0" borderId="191" xfId="0" applyFont="1" applyBorder="1" applyAlignment="1">
      <alignment horizontal="center" vertical="center"/>
    </xf>
    <xf numFmtId="1" fontId="60" fillId="0" borderId="198" xfId="0" applyNumberFormat="1" applyFont="1" applyBorder="1" applyAlignment="1">
      <alignment horizontal="center" vertical="center"/>
    </xf>
    <xf numFmtId="169" fontId="60" fillId="0" borderId="192" xfId="0" applyNumberFormat="1" applyFont="1" applyBorder="1" applyAlignment="1">
      <alignment horizontal="center" vertical="center"/>
    </xf>
    <xf numFmtId="0" fontId="60" fillId="0" borderId="211" xfId="0" applyFont="1" applyBorder="1" applyAlignment="1">
      <alignment horizontal="center" vertical="center"/>
    </xf>
    <xf numFmtId="1" fontId="60" fillId="0" borderId="198" xfId="0" applyNumberFormat="1" applyFont="1" applyFill="1" applyBorder="1" applyAlignment="1">
      <alignment horizontal="center" vertical="center"/>
    </xf>
    <xf numFmtId="169" fontId="60" fillId="0" borderId="209" xfId="0" applyNumberFormat="1" applyFont="1" applyBorder="1" applyAlignment="1">
      <alignment horizontal="center" vertical="center"/>
    </xf>
    <xf numFmtId="0" fontId="60" fillId="0" borderId="191" xfId="0" applyFont="1" applyFill="1" applyBorder="1" applyAlignment="1">
      <alignment horizontal="center" vertical="center"/>
    </xf>
    <xf numFmtId="170" fontId="60" fillId="0" borderId="192" xfId="0" applyNumberFormat="1" applyFont="1" applyFill="1" applyBorder="1" applyAlignment="1">
      <alignment horizontal="right" vertical="center"/>
    </xf>
    <xf numFmtId="3" fontId="60" fillId="0" borderId="209" xfId="0" applyNumberFormat="1" applyFont="1" applyFill="1" applyBorder="1" applyAlignment="1">
      <alignment horizontal="right" vertical="center" indent="1"/>
    </xf>
    <xf numFmtId="170" fontId="60" fillId="0" borderId="198" xfId="0" applyNumberFormat="1" applyFont="1" applyFill="1" applyBorder="1" applyAlignment="1">
      <alignment horizontal="right" vertical="center" indent="1"/>
    </xf>
    <xf numFmtId="170" fontId="60" fillId="0" borderId="198" xfId="0" applyNumberFormat="1" applyFont="1" applyFill="1" applyBorder="1" applyAlignment="1">
      <alignment horizontal="right" vertical="center"/>
    </xf>
    <xf numFmtId="170" fontId="60" fillId="0" borderId="192" xfId="0" applyNumberFormat="1" applyFont="1" applyFill="1" applyBorder="1" applyAlignment="1">
      <alignment horizontal="right" vertical="center" indent="1"/>
    </xf>
    <xf numFmtId="3" fontId="60" fillId="0" borderId="198" xfId="0" applyNumberFormat="1" applyFont="1" applyFill="1" applyBorder="1" applyAlignment="1">
      <alignment horizontal="center" vertical="center"/>
    </xf>
    <xf numFmtId="170" fontId="60" fillId="0" borderId="209" xfId="0" applyNumberFormat="1" applyFont="1" applyFill="1" applyBorder="1" applyAlignment="1">
      <alignment horizontal="right" vertical="center" indent="1"/>
    </xf>
    <xf numFmtId="170" fontId="60" fillId="0" borderId="210" xfId="0" applyNumberFormat="1" applyFont="1" applyFill="1" applyBorder="1" applyAlignment="1">
      <alignment horizontal="right" vertical="center"/>
    </xf>
    <xf numFmtId="170" fontId="60" fillId="0" borderId="209" xfId="0" applyNumberFormat="1" applyFont="1" applyFill="1" applyBorder="1" applyAlignment="1">
      <alignment horizontal="right" vertical="center"/>
    </xf>
    <xf numFmtId="169" fontId="60" fillId="0" borderId="191" xfId="0" applyNumberFormat="1" applyFont="1" applyBorder="1" applyAlignment="1">
      <alignment horizontal="right" vertical="center" indent="1"/>
    </xf>
    <xf numFmtId="3" fontId="60" fillId="0" borderId="210" xfId="0" applyNumberFormat="1" applyFont="1" applyBorder="1" applyAlignment="1">
      <alignment horizontal="center" vertical="center"/>
    </xf>
    <xf numFmtId="3" fontId="60" fillId="0" borderId="198" xfId="0" applyNumberFormat="1" applyFont="1" applyBorder="1" applyAlignment="1">
      <alignment horizontal="center" vertical="center"/>
    </xf>
    <xf numFmtId="170" fontId="60" fillId="0" borderId="198" xfId="0" applyNumberFormat="1" applyFont="1" applyBorder="1" applyAlignment="1">
      <alignment horizontal="right" vertical="center"/>
    </xf>
    <xf numFmtId="1" fontId="86" fillId="0" borderId="191" xfId="0" applyNumberFormat="1" applyFont="1" applyFill="1" applyBorder="1" applyAlignment="1">
      <alignment horizontal="center" vertical="center"/>
    </xf>
    <xf numFmtId="3" fontId="86" fillId="0" borderId="198" xfId="0" applyNumberFormat="1" applyFont="1" applyFill="1" applyBorder="1" applyAlignment="1">
      <alignment horizontal="right" vertical="center" indent="1"/>
    </xf>
    <xf numFmtId="170" fontId="86" fillId="0" borderId="192" xfId="0" applyNumberFormat="1" applyFont="1" applyFill="1" applyBorder="1" applyAlignment="1">
      <alignment horizontal="right" vertical="center"/>
    </xf>
    <xf numFmtId="0" fontId="60" fillId="0" borderId="192" xfId="0" applyFont="1" applyBorder="1" applyAlignment="1">
      <alignment wrapText="1"/>
    </xf>
    <xf numFmtId="1" fontId="60" fillId="0" borderId="101" xfId="0" applyNumberFormat="1" applyFont="1" applyBorder="1" applyAlignment="1">
      <alignment horizontal="right" vertical="center" indent="1"/>
    </xf>
    <xf numFmtId="3" fontId="60" fillId="0" borderId="184" xfId="0" applyNumberFormat="1" applyFont="1" applyBorder="1" applyAlignment="1">
      <alignment horizontal="right" vertical="center" indent="1"/>
    </xf>
    <xf numFmtId="3" fontId="60" fillId="26" borderId="184" xfId="0" applyNumberFormat="1" applyFont="1" applyFill="1" applyBorder="1" applyAlignment="1">
      <alignment horizontal="right" vertical="center" indent="1"/>
    </xf>
    <xf numFmtId="170" fontId="60" fillId="26" borderId="185" xfId="0" applyNumberFormat="1" applyFont="1" applyFill="1" applyBorder="1" applyAlignment="1">
      <alignment horizontal="right" vertical="center"/>
    </xf>
    <xf numFmtId="171" fontId="17" fillId="0" borderId="184" xfId="0" applyNumberFormat="1" applyFont="1" applyBorder="1" applyAlignment="1">
      <alignment horizontal="center" vertical="center" wrapText="1"/>
    </xf>
    <xf numFmtId="170" fontId="60" fillId="0" borderId="185" xfId="0" applyNumberFormat="1" applyFont="1" applyBorder="1" applyAlignment="1">
      <alignment horizontal="right" vertical="center"/>
    </xf>
    <xf numFmtId="3" fontId="60" fillId="0" borderId="99" xfId="0" applyNumberFormat="1" applyFont="1" applyBorder="1" applyAlignment="1">
      <alignment horizontal="center" vertical="center"/>
    </xf>
    <xf numFmtId="3" fontId="60" fillId="0" borderId="184" xfId="0" applyNumberFormat="1" applyFont="1" applyBorder="1" applyAlignment="1">
      <alignment horizontal="center" vertical="center"/>
    </xf>
    <xf numFmtId="170" fontId="60" fillId="0" borderId="99" xfId="0" applyNumberFormat="1" applyFont="1" applyBorder="1" applyAlignment="1">
      <alignment horizontal="right" vertical="center"/>
    </xf>
    <xf numFmtId="0" fontId="60" fillId="0" borderId="184" xfId="0" applyFont="1" applyBorder="1" applyAlignment="1">
      <alignment horizontal="center" vertical="center"/>
    </xf>
    <xf numFmtId="0" fontId="60" fillId="0" borderId="101" xfId="0" applyFont="1" applyBorder="1" applyAlignment="1">
      <alignment horizontal="center" vertical="center"/>
    </xf>
    <xf numFmtId="1" fontId="60" fillId="0" borderId="184" xfId="0" applyNumberFormat="1" applyFont="1" applyFill="1" applyBorder="1" applyAlignment="1">
      <alignment horizontal="center" vertical="center"/>
    </xf>
    <xf numFmtId="169" fontId="60" fillId="0" borderId="185" xfId="0" applyNumberFormat="1" applyFont="1" applyBorder="1" applyAlignment="1">
      <alignment horizontal="center" vertical="center"/>
    </xf>
    <xf numFmtId="3" fontId="60" fillId="0" borderId="185" xfId="0" applyNumberFormat="1" applyFont="1" applyFill="1" applyBorder="1" applyAlignment="1">
      <alignment horizontal="right" vertical="center" indent="1"/>
    </xf>
    <xf numFmtId="3" fontId="60" fillId="0" borderId="184" xfId="0" applyNumberFormat="1" applyFont="1" applyFill="1" applyBorder="1" applyAlignment="1">
      <alignment horizontal="center" vertical="center"/>
    </xf>
    <xf numFmtId="170" fontId="17" fillId="0" borderId="185" xfId="0" applyNumberFormat="1" applyFont="1" applyFill="1" applyBorder="1" applyAlignment="1">
      <alignment horizontal="right" vertical="center" indent="1"/>
    </xf>
    <xf numFmtId="170" fontId="60" fillId="0" borderId="185" xfId="0" applyNumberFormat="1" applyFont="1" applyFill="1" applyBorder="1" applyAlignment="1">
      <alignment horizontal="right" vertical="center" indent="1"/>
    </xf>
    <xf numFmtId="170" fontId="60" fillId="0" borderId="185" xfId="0" applyNumberFormat="1" applyFont="1" applyFill="1" applyBorder="1" applyAlignment="1">
      <alignment horizontal="right" vertical="center"/>
    </xf>
    <xf numFmtId="0" fontId="60" fillId="0" borderId="184" xfId="0" applyFont="1" applyFill="1" applyBorder="1" applyAlignment="1">
      <alignment horizontal="center" vertical="center" wrapText="1"/>
    </xf>
    <xf numFmtId="0" fontId="60" fillId="0" borderId="185" xfId="0" applyFont="1" applyFill="1" applyBorder="1" applyAlignment="1">
      <alignment horizontal="center" vertical="center" wrapText="1"/>
    </xf>
    <xf numFmtId="0" fontId="60" fillId="0" borderId="191" xfId="0" applyFont="1" applyFill="1" applyBorder="1" applyAlignment="1">
      <alignment horizontal="center" vertical="center" wrapText="1"/>
    </xf>
    <xf numFmtId="0" fontId="60" fillId="0" borderId="198" xfId="0" applyFont="1" applyFill="1" applyBorder="1" applyAlignment="1">
      <alignment horizontal="center" vertical="center" wrapText="1"/>
    </xf>
    <xf numFmtId="0" fontId="60" fillId="0" borderId="192" xfId="0" applyFont="1" applyFill="1" applyBorder="1" applyAlignment="1">
      <alignment horizontal="center" vertical="center" wrapText="1"/>
    </xf>
    <xf numFmtId="0" fontId="60" fillId="0" borderId="209" xfId="0" applyFont="1" applyFill="1" applyBorder="1" applyAlignment="1">
      <alignment horizontal="center" vertical="center" wrapText="1"/>
    </xf>
    <xf numFmtId="0" fontId="60" fillId="0" borderId="192" xfId="0" applyFont="1" applyFill="1" applyBorder="1" applyAlignment="1">
      <alignment vertical="center"/>
    </xf>
    <xf numFmtId="0" fontId="17" fillId="0" borderId="198" xfId="0" applyFont="1" applyFill="1" applyBorder="1" applyAlignment="1">
      <alignment horizontal="center" vertical="center" wrapText="1"/>
    </xf>
    <xf numFmtId="0" fontId="17" fillId="0" borderId="191" xfId="0" applyFont="1" applyFill="1" applyBorder="1" applyAlignment="1">
      <alignment horizontal="left" vertical="center"/>
    </xf>
    <xf numFmtId="0" fontId="17" fillId="0" borderId="192" xfId="0" applyFont="1" applyFill="1" applyBorder="1" applyAlignment="1">
      <alignment vertical="center" wrapText="1"/>
    </xf>
    <xf numFmtId="1" fontId="17" fillId="0" borderId="211" xfId="0" applyNumberFormat="1" applyFont="1" applyFill="1" applyBorder="1" applyAlignment="1">
      <alignment horizontal="right" vertical="center"/>
    </xf>
    <xf numFmtId="3" fontId="17" fillId="0" borderId="198" xfId="0" applyNumberFormat="1" applyFont="1" applyFill="1" applyBorder="1" applyAlignment="1">
      <alignment horizontal="right" vertical="center"/>
    </xf>
    <xf numFmtId="3" fontId="17" fillId="0" borderId="191" xfId="0" applyNumberFormat="1" applyFont="1" applyFill="1" applyBorder="1" applyAlignment="1">
      <alignment horizontal="right" vertical="center"/>
    </xf>
    <xf numFmtId="1" fontId="17" fillId="0" borderId="191" xfId="0" applyNumberFormat="1" applyFont="1" applyFill="1" applyBorder="1" applyAlignment="1">
      <alignment horizontal="right" vertical="center"/>
    </xf>
    <xf numFmtId="171" fontId="17" fillId="0" borderId="198" xfId="0" applyNumberFormat="1" applyFont="1" applyFill="1" applyBorder="1" applyAlignment="1">
      <alignment horizontal="center" vertical="center" wrapText="1"/>
    </xf>
    <xf numFmtId="10" fontId="60" fillId="0" borderId="198" xfId="85" applyNumberFormat="1" applyFont="1" applyFill="1" applyBorder="1" applyAlignment="1">
      <alignment vertical="center"/>
    </xf>
    <xf numFmtId="170" fontId="17" fillId="0" borderId="191" xfId="0" applyNumberFormat="1" applyFont="1" applyFill="1" applyBorder="1" applyAlignment="1">
      <alignment horizontal="center" vertical="center"/>
    </xf>
    <xf numFmtId="3" fontId="17" fillId="0" borderId="198" xfId="0" applyNumberFormat="1" applyFont="1" applyFill="1" applyBorder="1" applyAlignment="1">
      <alignment horizontal="center" vertical="center"/>
    </xf>
    <xf numFmtId="170" fontId="17" fillId="0" borderId="198" xfId="0" applyNumberFormat="1" applyFont="1" applyFill="1" applyBorder="1" applyAlignment="1">
      <alignment horizontal="center" vertical="center"/>
    </xf>
    <xf numFmtId="0" fontId="60" fillId="0" borderId="209" xfId="0" applyFont="1" applyFill="1" applyBorder="1" applyAlignment="1">
      <alignment vertical="center"/>
    </xf>
    <xf numFmtId="10" fontId="60" fillId="0" borderId="192" xfId="85" applyNumberFormat="1" applyFont="1" applyFill="1" applyBorder="1" applyAlignment="1">
      <alignment vertical="center"/>
    </xf>
    <xf numFmtId="0" fontId="60" fillId="0" borderId="191" xfId="0" applyFont="1" applyFill="1" applyBorder="1" applyAlignment="1">
      <alignment horizontal="left" vertical="center"/>
    </xf>
    <xf numFmtId="0" fontId="60" fillId="0" borderId="192" xfId="0" applyFont="1" applyFill="1" applyBorder="1" applyAlignment="1">
      <alignment vertical="center" wrapText="1"/>
    </xf>
    <xf numFmtId="1" fontId="60" fillId="0" borderId="211" xfId="0" applyNumberFormat="1" applyFont="1" applyFill="1" applyBorder="1" applyAlignment="1">
      <alignment horizontal="right" vertical="center"/>
    </xf>
    <xf numFmtId="3" fontId="60" fillId="0" borderId="198" xfId="0" applyNumberFormat="1" applyFont="1" applyFill="1" applyBorder="1" applyAlignment="1">
      <alignment horizontal="right" vertical="center"/>
    </xf>
    <xf numFmtId="3" fontId="60" fillId="0" borderId="191" xfId="0" applyNumberFormat="1" applyFont="1" applyFill="1" applyBorder="1" applyAlignment="1">
      <alignment horizontal="right" vertical="center"/>
    </xf>
    <xf numFmtId="1" fontId="60" fillId="0" borderId="191" xfId="0" applyNumberFormat="1" applyFont="1" applyFill="1" applyBorder="1" applyAlignment="1">
      <alignment horizontal="right" vertical="center"/>
    </xf>
    <xf numFmtId="169" fontId="60" fillId="0" borderId="191" xfId="0" applyNumberFormat="1" applyFont="1" applyFill="1" applyBorder="1" applyAlignment="1">
      <alignment horizontal="center" vertical="center"/>
    </xf>
    <xf numFmtId="169" fontId="60" fillId="0" borderId="191" xfId="0" applyNumberFormat="1" applyFont="1" applyFill="1" applyBorder="1" applyAlignment="1">
      <alignment horizontal="right" vertical="center"/>
    </xf>
    <xf numFmtId="2" fontId="60" fillId="0" borderId="191" xfId="0" applyNumberFormat="1" applyFont="1" applyFill="1" applyBorder="1" applyAlignment="1">
      <alignment horizontal="center" vertical="center"/>
    </xf>
    <xf numFmtId="171" fontId="60" fillId="0" borderId="192" xfId="85" applyNumberFormat="1" applyFont="1" applyFill="1" applyBorder="1" applyAlignment="1">
      <alignment vertical="center"/>
    </xf>
    <xf numFmtId="1" fontId="60" fillId="0" borderId="191" xfId="0" applyNumberFormat="1" applyFont="1" applyFill="1" applyBorder="1" applyAlignment="1">
      <alignment horizontal="center" vertical="center"/>
    </xf>
    <xf numFmtId="3" fontId="60" fillId="0" borderId="191" xfId="0" applyNumberFormat="1" applyFont="1" applyFill="1" applyBorder="1" applyAlignment="1">
      <alignment horizontal="center" vertical="center"/>
    </xf>
    <xf numFmtId="0" fontId="60" fillId="0" borderId="212" xfId="0" applyFont="1" applyFill="1" applyBorder="1" applyAlignment="1">
      <alignment horizontal="left" vertical="center"/>
    </xf>
    <xf numFmtId="0" fontId="60" fillId="0" borderId="213" xfId="0" applyFont="1" applyFill="1" applyBorder="1" applyAlignment="1">
      <alignment vertical="center" wrapText="1"/>
    </xf>
    <xf numFmtId="1" fontId="60" fillId="0" borderId="201" xfId="0" applyNumberFormat="1" applyFont="1" applyFill="1" applyBorder="1" applyAlignment="1">
      <alignment horizontal="right" vertical="center"/>
    </xf>
    <xf numFmtId="3" fontId="60" fillId="0" borderId="208" xfId="0" applyNumberFormat="1" applyFont="1" applyFill="1" applyBorder="1" applyAlignment="1">
      <alignment horizontal="right" vertical="center"/>
    </xf>
    <xf numFmtId="170" fontId="60" fillId="0" borderId="213" xfId="0" applyNumberFormat="1" applyFont="1" applyFill="1" applyBorder="1" applyAlignment="1">
      <alignment horizontal="right" vertical="center"/>
    </xf>
    <xf numFmtId="3" fontId="60" fillId="0" borderId="212" xfId="0" applyNumberFormat="1" applyFont="1" applyFill="1" applyBorder="1" applyAlignment="1">
      <alignment horizontal="right" vertical="center"/>
    </xf>
    <xf numFmtId="170" fontId="60" fillId="0" borderId="199" xfId="0" applyNumberFormat="1" applyFont="1" applyFill="1" applyBorder="1" applyAlignment="1">
      <alignment horizontal="right" vertical="center"/>
    </xf>
    <xf numFmtId="1" fontId="60" fillId="0" borderId="212" xfId="0" applyNumberFormat="1" applyFont="1" applyFill="1" applyBorder="1" applyAlignment="1">
      <alignment horizontal="right" vertical="center"/>
    </xf>
    <xf numFmtId="171" fontId="17" fillId="0" borderId="208" xfId="0" applyNumberFormat="1" applyFont="1" applyFill="1" applyBorder="1" applyAlignment="1">
      <alignment horizontal="center" vertical="center" wrapText="1"/>
    </xf>
    <xf numFmtId="170" fontId="60" fillId="0" borderId="208" xfId="0" applyNumberFormat="1" applyFont="1" applyFill="1" applyBorder="1" applyAlignment="1">
      <alignment horizontal="right" vertical="center"/>
    </xf>
    <xf numFmtId="10" fontId="60" fillId="0" borderId="208" xfId="85" applyNumberFormat="1" applyFont="1" applyFill="1" applyBorder="1" applyAlignment="1">
      <alignment vertical="center"/>
    </xf>
    <xf numFmtId="0" fontId="60" fillId="0" borderId="213" xfId="0" applyFont="1" applyFill="1" applyBorder="1" applyAlignment="1">
      <alignment vertical="center"/>
    </xf>
    <xf numFmtId="3" fontId="60" fillId="0" borderId="212" xfId="0" applyNumberFormat="1" applyFont="1" applyFill="1" applyBorder="1" applyAlignment="1">
      <alignment horizontal="center" vertical="center"/>
    </xf>
    <xf numFmtId="0" fontId="60" fillId="0" borderId="199" xfId="0" applyFont="1" applyFill="1" applyBorder="1" applyAlignment="1">
      <alignment vertical="center"/>
    </xf>
    <xf numFmtId="171" fontId="60" fillId="0" borderId="213" xfId="85" applyNumberFormat="1" applyFont="1" applyFill="1" applyBorder="1" applyAlignment="1">
      <alignment vertical="center"/>
    </xf>
    <xf numFmtId="2" fontId="60" fillId="0" borderId="212" xfId="0" applyNumberFormat="1" applyFont="1" applyFill="1" applyBorder="1" applyAlignment="1">
      <alignment horizontal="center" vertical="center"/>
    </xf>
    <xf numFmtId="10" fontId="60" fillId="0" borderId="31" xfId="85" applyNumberFormat="1" applyFont="1" applyFill="1" applyBorder="1" applyAlignment="1">
      <alignment vertical="center"/>
    </xf>
    <xf numFmtId="0" fontId="60" fillId="0" borderId="211" xfId="0" applyFont="1" applyFill="1" applyBorder="1" applyAlignment="1">
      <alignment vertical="center"/>
    </xf>
    <xf numFmtId="0" fontId="60" fillId="0" borderId="198" xfId="0" applyFont="1" applyFill="1" applyBorder="1" applyAlignment="1">
      <alignment vertical="center"/>
    </xf>
    <xf numFmtId="0" fontId="60" fillId="0" borderId="191" xfId="0" applyFont="1" applyFill="1" applyBorder="1" applyAlignment="1">
      <alignment vertical="center"/>
    </xf>
    <xf numFmtId="3" fontId="60" fillId="0" borderId="198" xfId="0" applyNumberFormat="1" applyFont="1" applyFill="1" applyBorder="1" applyAlignment="1">
      <alignment vertical="center"/>
    </xf>
    <xf numFmtId="1" fontId="60" fillId="0" borderId="191" xfId="0" applyNumberFormat="1" applyFont="1" applyFill="1" applyBorder="1" applyAlignment="1">
      <alignment vertical="center"/>
    </xf>
    <xf numFmtId="0" fontId="60" fillId="0" borderId="210" xfId="0" applyFont="1" applyFill="1" applyBorder="1" applyAlignment="1">
      <alignment vertical="center"/>
    </xf>
    <xf numFmtId="0" fontId="60" fillId="0" borderId="206" xfId="0" applyFont="1" applyFill="1" applyBorder="1" applyAlignment="1">
      <alignment vertical="center"/>
    </xf>
    <xf numFmtId="10" fontId="60" fillId="0" borderId="211" xfId="85" applyNumberFormat="1" applyFont="1" applyFill="1" applyBorder="1" applyAlignment="1">
      <alignment vertical="center"/>
    </xf>
    <xf numFmtId="0" fontId="60" fillId="0" borderId="184" xfId="0" applyFont="1" applyFill="1" applyBorder="1" applyAlignment="1">
      <alignment vertical="center"/>
    </xf>
    <xf numFmtId="0" fontId="60" fillId="0" borderId="185" xfId="0" applyFont="1" applyFill="1" applyBorder="1" applyAlignment="1">
      <alignment vertical="center"/>
    </xf>
    <xf numFmtId="3" fontId="60" fillId="0" borderId="184" xfId="0" applyNumberFormat="1" applyFont="1" applyFill="1" applyBorder="1" applyAlignment="1">
      <alignment vertical="center"/>
    </xf>
    <xf numFmtId="171" fontId="60" fillId="0" borderId="184" xfId="85" applyNumberFormat="1" applyFont="1" applyFill="1" applyBorder="1" applyAlignment="1">
      <alignment vertical="center"/>
    </xf>
    <xf numFmtId="3" fontId="60" fillId="0" borderId="184" xfId="0" applyNumberFormat="1" applyFont="1" applyFill="1" applyBorder="1" applyAlignment="1">
      <alignment horizontal="right" vertical="center"/>
    </xf>
    <xf numFmtId="10" fontId="60" fillId="0" borderId="184" xfId="85" applyNumberFormat="1" applyFont="1" applyFill="1" applyBorder="1" applyAlignment="1">
      <alignment vertical="center"/>
    </xf>
    <xf numFmtId="10" fontId="60" fillId="0" borderId="101" xfId="85" applyNumberFormat="1" applyFont="1" applyFill="1" applyBorder="1" applyAlignment="1">
      <alignment vertical="center"/>
    </xf>
    <xf numFmtId="10" fontId="132" fillId="0" borderId="0" xfId="85" applyNumberFormat="1" applyFont="1" applyFill="1" applyBorder="1"/>
    <xf numFmtId="4" fontId="101" fillId="0" borderId="192" xfId="0" applyNumberFormat="1" applyFont="1" applyFill="1" applyBorder="1" applyAlignment="1">
      <alignment vertical="center"/>
    </xf>
    <xf numFmtId="0" fontId="13" fillId="0" borderId="198" xfId="0" applyFont="1" applyBorder="1" applyAlignment="1">
      <alignment horizontal="center" vertical="center" wrapText="1"/>
    </xf>
    <xf numFmtId="169" fontId="14" fillId="0" borderId="198" xfId="0" applyNumberFormat="1" applyFont="1" applyBorder="1" applyAlignment="1">
      <alignment horizontal="center"/>
    </xf>
    <xf numFmtId="4" fontId="60" fillId="0" borderId="31" xfId="0" applyNumberFormat="1" applyFont="1" applyBorder="1" applyAlignment="1">
      <alignment horizontal="center" vertical="center"/>
    </xf>
    <xf numFmtId="4" fontId="60" fillId="0" borderId="211" xfId="0" applyNumberFormat="1" applyFont="1" applyBorder="1" applyAlignment="1">
      <alignment horizontal="center" vertical="center"/>
    </xf>
    <xf numFmtId="10" fontId="111" fillId="0" borderId="0" xfId="85" applyNumberFormat="1" applyFont="1"/>
    <xf numFmtId="0" fontId="13" fillId="0" borderId="208" xfId="0" applyFont="1" applyBorder="1" applyAlignment="1">
      <alignment horizontal="center" vertical="center" wrapText="1"/>
    </xf>
    <xf numFmtId="0" fontId="18" fillId="0" borderId="69" xfId="0" applyFont="1" applyBorder="1" applyAlignment="1">
      <alignment vertical="center"/>
    </xf>
    <xf numFmtId="0" fontId="93" fillId="0" borderId="0" xfId="0" applyFont="1"/>
    <xf numFmtId="2" fontId="60" fillId="0" borderId="0" xfId="0" applyNumberFormat="1" applyFont="1" applyBorder="1" applyAlignment="1">
      <alignment vertical="center" wrapText="1"/>
    </xf>
    <xf numFmtId="0" fontId="82" fillId="0" borderId="0" xfId="0" applyFont="1" applyBorder="1" applyAlignment="1">
      <alignment vertical="center"/>
    </xf>
    <xf numFmtId="0" fontId="60" fillId="0" borderId="0" xfId="0" applyFont="1" applyBorder="1" applyAlignment="1">
      <alignment horizontal="center" vertical="center"/>
    </xf>
    <xf numFmtId="168" fontId="60" fillId="0" borderId="0" xfId="0" applyNumberFormat="1" applyFont="1" applyBorder="1" applyAlignment="1">
      <alignment horizontal="center" vertical="center"/>
    </xf>
    <xf numFmtId="2" fontId="60" fillId="0" borderId="0" xfId="0" applyNumberFormat="1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60" fillId="0" borderId="0" xfId="0" applyFont="1" applyFill="1" applyBorder="1" applyAlignment="1">
      <alignment horizontal="center" vertical="center"/>
    </xf>
    <xf numFmtId="167" fontId="60" fillId="0" borderId="0" xfId="0" applyNumberFormat="1" applyFont="1" applyFill="1" applyBorder="1" applyAlignment="1">
      <alignment horizontal="center" vertical="center"/>
    </xf>
    <xf numFmtId="168" fontId="60" fillId="0" borderId="0" xfId="0" applyNumberFormat="1" applyFont="1" applyFill="1" applyBorder="1" applyAlignment="1">
      <alignment horizontal="center" vertical="center"/>
    </xf>
    <xf numFmtId="10" fontId="60" fillId="0" borderId="0" xfId="0" applyNumberFormat="1" applyFont="1" applyFill="1" applyBorder="1" applyAlignment="1">
      <alignment horizontal="center" vertical="center"/>
    </xf>
    <xf numFmtId="168" fontId="101" fillId="0" borderId="0" xfId="0" applyNumberFormat="1" applyFont="1" applyBorder="1" applyAlignment="1">
      <alignment horizontal="center" vertical="center"/>
    </xf>
    <xf numFmtId="0" fontId="133" fillId="0" borderId="0" xfId="0" applyFont="1"/>
    <xf numFmtId="0" fontId="97" fillId="0" borderId="0" xfId="0" applyFont="1"/>
    <xf numFmtId="0" fontId="133" fillId="0" borderId="0" xfId="0" applyFont="1" applyFill="1" applyBorder="1"/>
    <xf numFmtId="168" fontId="133" fillId="0" borderId="0" xfId="0" applyNumberFormat="1" applyFont="1"/>
    <xf numFmtId="0" fontId="97" fillId="0" borderId="0" xfId="0" applyFont="1" applyBorder="1"/>
    <xf numFmtId="0" fontId="93" fillId="0" borderId="0" xfId="0" applyFont="1" applyBorder="1"/>
    <xf numFmtId="169" fontId="97" fillId="0" borderId="0" xfId="0" applyNumberFormat="1" applyFont="1" applyBorder="1"/>
    <xf numFmtId="0" fontId="133" fillId="0" borderId="0" xfId="0" applyFont="1" applyFill="1" applyBorder="1" applyAlignment="1">
      <alignment horizontal="center"/>
    </xf>
    <xf numFmtId="0" fontId="133" fillId="0" borderId="0" xfId="0" applyFont="1" applyAlignment="1">
      <alignment horizontal="center"/>
    </xf>
    <xf numFmtId="0" fontId="134" fillId="0" borderId="0" xfId="0" applyFont="1" applyBorder="1"/>
    <xf numFmtId="169" fontId="134" fillId="0" borderId="0" xfId="0" applyNumberFormat="1" applyFont="1" applyBorder="1"/>
    <xf numFmtId="0" fontId="133" fillId="0" borderId="0" xfId="0" applyFont="1" applyAlignment="1">
      <alignment horizontal="left"/>
    </xf>
    <xf numFmtId="177" fontId="133" fillId="0" borderId="0" xfId="0" applyNumberFormat="1" applyFont="1"/>
    <xf numFmtId="169" fontId="133" fillId="0" borderId="0" xfId="0" applyNumberFormat="1" applyFont="1"/>
    <xf numFmtId="170" fontId="133" fillId="0" borderId="0" xfId="0" applyNumberFormat="1" applyFont="1"/>
    <xf numFmtId="178" fontId="133" fillId="0" borderId="0" xfId="0" applyNumberFormat="1" applyFont="1"/>
    <xf numFmtId="4" fontId="133" fillId="0" borderId="0" xfId="0" applyNumberFormat="1" applyFont="1"/>
    <xf numFmtId="168" fontId="135" fillId="0" borderId="0" xfId="0" applyNumberFormat="1" applyFont="1" applyBorder="1" applyAlignment="1">
      <alignment horizontal="center" vertical="center"/>
    </xf>
    <xf numFmtId="168" fontId="97" fillId="0" borderId="0" xfId="0" applyNumberFormat="1" applyFont="1" applyBorder="1"/>
    <xf numFmtId="0" fontId="13" fillId="0" borderId="221" xfId="0" applyFont="1" applyBorder="1"/>
    <xf numFmtId="0" fontId="13" fillId="0" borderId="222" xfId="0" applyFont="1" applyBorder="1"/>
    <xf numFmtId="0" fontId="13" fillId="0" borderId="217" xfId="0" applyFont="1" applyBorder="1"/>
    <xf numFmtId="4" fontId="13" fillId="0" borderId="218" xfId="0" applyNumberFormat="1" applyFont="1" applyBorder="1"/>
    <xf numFmtId="0" fontId="13" fillId="0" borderId="218" xfId="0" applyFont="1" applyBorder="1"/>
    <xf numFmtId="0" fontId="12" fillId="0" borderId="223" xfId="0" applyFont="1" applyBorder="1"/>
    <xf numFmtId="0" fontId="12" fillId="0" borderId="224" xfId="0" applyFont="1" applyBorder="1"/>
    <xf numFmtId="0" fontId="12" fillId="0" borderId="219" xfId="0" applyFont="1" applyBorder="1"/>
    <xf numFmtId="0" fontId="12" fillId="0" borderId="220" xfId="0" applyFont="1" applyBorder="1"/>
    <xf numFmtId="0" fontId="13" fillId="0" borderId="40" xfId="0" applyFont="1" applyBorder="1"/>
    <xf numFmtId="0" fontId="13" fillId="0" borderId="31" xfId="0" applyFont="1" applyBorder="1"/>
    <xf numFmtId="0" fontId="13" fillId="0" borderId="11" xfId="0" applyFont="1" applyBorder="1"/>
    <xf numFmtId="0" fontId="13" fillId="0" borderId="38" xfId="0" applyFont="1" applyBorder="1"/>
    <xf numFmtId="0" fontId="13" fillId="0" borderId="73" xfId="0" applyFont="1" applyBorder="1"/>
    <xf numFmtId="0" fontId="13" fillId="0" borderId="30" xfId="0" applyFont="1" applyBorder="1"/>
    <xf numFmtId="4" fontId="13" fillId="0" borderId="18" xfId="0" applyNumberFormat="1" applyFont="1" applyBorder="1"/>
    <xf numFmtId="4" fontId="12" fillId="0" borderId="220" xfId="0" applyNumberFormat="1" applyFont="1" applyBorder="1"/>
    <xf numFmtId="0" fontId="13" fillId="0" borderId="225" xfId="0" applyFont="1" applyBorder="1"/>
    <xf numFmtId="0" fontId="13" fillId="0" borderId="226" xfId="0" applyFont="1" applyBorder="1"/>
    <xf numFmtId="0" fontId="13" fillId="0" borderId="227" xfId="0" applyFont="1" applyBorder="1"/>
    <xf numFmtId="0" fontId="13" fillId="0" borderId="228" xfId="0" applyFont="1" applyBorder="1"/>
    <xf numFmtId="0" fontId="13" fillId="0" borderId="18" xfId="0" applyFont="1" applyBorder="1"/>
    <xf numFmtId="0" fontId="60" fillId="0" borderId="102" xfId="0" applyFont="1" applyFill="1" applyBorder="1" applyAlignment="1">
      <alignment horizontal="center" vertical="center"/>
    </xf>
    <xf numFmtId="2" fontId="60" fillId="29" borderId="11" xfId="0" applyNumberFormat="1" applyFont="1" applyFill="1" applyBorder="1"/>
    <xf numFmtId="2" fontId="60" fillId="0" borderId="11" xfId="0" applyNumberFormat="1" applyFont="1" applyBorder="1"/>
    <xf numFmtId="2" fontId="60" fillId="29" borderId="38" xfId="0" applyNumberFormat="1" applyFont="1" applyFill="1" applyBorder="1"/>
    <xf numFmtId="0" fontId="60" fillId="0" borderId="102" xfId="0" applyFont="1" applyFill="1" applyBorder="1" applyAlignment="1">
      <alignment horizontal="center" vertical="center"/>
    </xf>
    <xf numFmtId="2" fontId="13" fillId="0" borderId="17" xfId="0" applyNumberFormat="1" applyFont="1" applyBorder="1"/>
    <xf numFmtId="2" fontId="13" fillId="0" borderId="217" xfId="0" applyNumberFormat="1" applyFont="1" applyBorder="1"/>
    <xf numFmtId="2" fontId="12" fillId="0" borderId="219" xfId="0" applyNumberFormat="1" applyFont="1" applyBorder="1"/>
    <xf numFmtId="2" fontId="13" fillId="0" borderId="11" xfId="0" applyNumberFormat="1" applyFont="1" applyBorder="1"/>
    <xf numFmtId="2" fontId="13" fillId="0" borderId="227" xfId="0" applyNumberFormat="1" applyFont="1" applyBorder="1"/>
    <xf numFmtId="168" fontId="60" fillId="0" borderId="102" xfId="0" applyNumberFormat="1" applyFont="1" applyFill="1" applyBorder="1" applyAlignment="1">
      <alignment horizontal="center" vertical="center"/>
    </xf>
    <xf numFmtId="168" fontId="60" fillId="0" borderId="169" xfId="0" applyNumberFormat="1" applyFont="1" applyFill="1" applyBorder="1" applyAlignment="1">
      <alignment horizontal="center" vertical="center"/>
    </xf>
    <xf numFmtId="169" fontId="60" fillId="0" borderId="169" xfId="0" applyNumberFormat="1" applyFont="1" applyFill="1" applyBorder="1" applyAlignment="1">
      <alignment horizontal="center" vertical="center"/>
    </xf>
    <xf numFmtId="168" fontId="17" fillId="0" borderId="102" xfId="0" applyNumberFormat="1" applyFont="1" applyFill="1" applyBorder="1" applyAlignment="1">
      <alignment horizontal="center" vertical="center"/>
    </xf>
    <xf numFmtId="2" fontId="19" fillId="0" borderId="54" xfId="0" applyNumberFormat="1" applyFont="1" applyFill="1" applyBorder="1"/>
    <xf numFmtId="2" fontId="19" fillId="0" borderId="0" xfId="0" applyNumberFormat="1" applyFont="1" applyFill="1" applyBorder="1"/>
    <xf numFmtId="168" fontId="19" fillId="0" borderId="54" xfId="0" applyNumberFormat="1" applyFont="1" applyFill="1" applyBorder="1"/>
    <xf numFmtId="168" fontId="19" fillId="0" borderId="0" xfId="0" applyNumberFormat="1" applyFont="1" applyFill="1" applyBorder="1"/>
    <xf numFmtId="2" fontId="60" fillId="0" borderId="102" xfId="0" applyNumberFormat="1" applyFont="1" applyFill="1" applyBorder="1" applyAlignment="1">
      <alignment horizontal="center" vertical="center"/>
    </xf>
    <xf numFmtId="2" fontId="60" fillId="0" borderId="189" xfId="0" applyNumberFormat="1" applyFont="1" applyBorder="1" applyAlignment="1">
      <alignment horizontal="center" vertical="center"/>
    </xf>
    <xf numFmtId="2" fontId="0" fillId="0" borderId="54" xfId="0" applyNumberFormat="1" applyBorder="1"/>
    <xf numFmtId="2" fontId="0" fillId="0" borderId="0" xfId="0" applyNumberFormat="1" applyBorder="1"/>
    <xf numFmtId="9" fontId="60" fillId="0" borderId="102" xfId="0" applyNumberFormat="1" applyFont="1" applyBorder="1" applyAlignment="1">
      <alignment horizontal="center" vertical="center"/>
    </xf>
    <xf numFmtId="186" fontId="19" fillId="28" borderId="0" xfId="0" applyNumberFormat="1" applyFont="1" applyFill="1" applyBorder="1"/>
    <xf numFmtId="2" fontId="60" fillId="28" borderId="11" xfId="0" applyNumberFormat="1" applyFont="1" applyFill="1" applyBorder="1"/>
    <xf numFmtId="2" fontId="60" fillId="29" borderId="233" xfId="0" applyNumberFormat="1" applyFont="1" applyFill="1" applyBorder="1"/>
    <xf numFmtId="2" fontId="60" fillId="0" borderId="233" xfId="0" applyNumberFormat="1" applyFont="1" applyFill="1" applyBorder="1"/>
    <xf numFmtId="2" fontId="60" fillId="29" borderId="231" xfId="0" applyNumberFormat="1" applyFont="1" applyFill="1" applyBorder="1"/>
    <xf numFmtId="2" fontId="60" fillId="28" borderId="38" xfId="0" applyNumberFormat="1" applyFont="1" applyFill="1" applyBorder="1"/>
    <xf numFmtId="165" fontId="0" fillId="28" borderId="0" xfId="0" applyNumberFormat="1" applyFill="1"/>
    <xf numFmtId="9" fontId="0" fillId="28" borderId="0" xfId="0" applyNumberFormat="1" applyFill="1"/>
    <xf numFmtId="2" fontId="0" fillId="28" borderId="0" xfId="0" applyNumberFormat="1" applyFill="1"/>
    <xf numFmtId="0" fontId="60" fillId="29" borderId="233" xfId="0" applyFont="1" applyFill="1" applyBorder="1" applyAlignment="1">
      <alignment horizontal="center" wrapText="1"/>
    </xf>
    <xf numFmtId="0" fontId="17" fillId="0" borderId="233" xfId="0" applyFont="1" applyFill="1" applyBorder="1" applyAlignment="1">
      <alignment horizontal="left" vertical="center"/>
    </xf>
    <xf numFmtId="4" fontId="17" fillId="29" borderId="233" xfId="0" applyNumberFormat="1" applyFont="1" applyFill="1" applyBorder="1"/>
    <xf numFmtId="4" fontId="17" fillId="29" borderId="215" xfId="0" applyNumberFormat="1" applyFont="1" applyFill="1" applyBorder="1"/>
    <xf numFmtId="4" fontId="17" fillId="0" borderId="233" xfId="0" applyNumberFormat="1" applyFont="1" applyFill="1" applyBorder="1"/>
    <xf numFmtId="2" fontId="17" fillId="29" borderId="233" xfId="0" applyNumberFormat="1" applyFont="1" applyFill="1" applyBorder="1"/>
    <xf numFmtId="0" fontId="60" fillId="0" borderId="233" xfId="0" applyFont="1" applyFill="1" applyBorder="1" applyAlignment="1">
      <alignment vertical="center"/>
    </xf>
    <xf numFmtId="4" fontId="60" fillId="29" borderId="233" xfId="0" applyNumberFormat="1" applyFont="1" applyFill="1" applyBorder="1"/>
    <xf numFmtId="4" fontId="60" fillId="29" borderId="215" xfId="0" applyNumberFormat="1" applyFont="1" applyFill="1" applyBorder="1"/>
    <xf numFmtId="4" fontId="60" fillId="0" borderId="233" xfId="0" applyNumberFormat="1" applyFont="1" applyFill="1" applyBorder="1"/>
    <xf numFmtId="2" fontId="60" fillId="0" borderId="233" xfId="0" applyNumberFormat="1" applyFont="1" applyBorder="1"/>
    <xf numFmtId="0" fontId="61" fillId="0" borderId="233" xfId="0" applyFont="1" applyFill="1" applyBorder="1" applyAlignment="1">
      <alignment vertical="center"/>
    </xf>
    <xf numFmtId="0" fontId="17" fillId="0" borderId="233" xfId="0" applyFont="1" applyFill="1" applyBorder="1" applyAlignment="1">
      <alignment vertical="center"/>
    </xf>
    <xf numFmtId="4" fontId="61" fillId="29" borderId="233" xfId="0" applyNumberFormat="1" applyFont="1" applyFill="1" applyBorder="1"/>
    <xf numFmtId="2" fontId="61" fillId="0" borderId="233" xfId="0" applyNumberFormat="1" applyFont="1" applyFill="1" applyBorder="1"/>
    <xf numFmtId="2" fontId="61" fillId="29" borderId="233" xfId="0" applyNumberFormat="1" applyFont="1" applyFill="1" applyBorder="1"/>
    <xf numFmtId="2" fontId="61" fillId="0" borderId="233" xfId="0" applyNumberFormat="1" applyFont="1" applyBorder="1"/>
    <xf numFmtId="0" fontId="17" fillId="0" borderId="233" xfId="0" applyFont="1" applyFill="1" applyBorder="1" applyAlignment="1">
      <alignment vertical="center" wrapText="1"/>
    </xf>
    <xf numFmtId="0" fontId="61" fillId="0" borderId="231" xfId="0" applyFont="1" applyFill="1" applyBorder="1" applyAlignment="1">
      <alignment vertical="center"/>
    </xf>
    <xf numFmtId="4" fontId="60" fillId="29" borderId="231" xfId="0" applyNumberFormat="1" applyFont="1" applyFill="1" applyBorder="1"/>
    <xf numFmtId="4" fontId="60" fillId="29" borderId="199" xfId="0" applyNumberFormat="1" applyFont="1" applyFill="1" applyBorder="1"/>
    <xf numFmtId="2" fontId="60" fillId="0" borderId="231" xfId="0" applyNumberFormat="1" applyFont="1" applyFill="1" applyBorder="1"/>
    <xf numFmtId="2" fontId="60" fillId="0" borderId="231" xfId="0" applyNumberFormat="1" applyFont="1" applyBorder="1"/>
    <xf numFmtId="0" fontId="83" fillId="0" borderId="233" xfId="0" applyFont="1" applyFill="1" applyBorder="1" applyAlignment="1">
      <alignment vertical="center"/>
    </xf>
    <xf numFmtId="0" fontId="17" fillId="0" borderId="233" xfId="0" applyFont="1" applyFill="1" applyBorder="1"/>
    <xf numFmtId="0" fontId="0" fillId="29" borderId="233" xfId="0" applyFont="1" applyFill="1" applyBorder="1"/>
    <xf numFmtId="4" fontId="17" fillId="29" borderId="233" xfId="0" applyNumberFormat="1" applyFont="1" applyFill="1" applyBorder="1" applyAlignment="1">
      <alignment vertical="center"/>
    </xf>
    <xf numFmtId="4" fontId="17" fillId="0" borderId="233" xfId="0" applyNumberFormat="1" applyFont="1" applyFill="1" applyBorder="1" applyAlignment="1">
      <alignment vertical="center"/>
    </xf>
    <xf numFmtId="0" fontId="0" fillId="28" borderId="0" xfId="0" applyFont="1" applyFill="1"/>
    <xf numFmtId="0" fontId="17" fillId="0" borderId="233" xfId="0" applyFont="1" applyFill="1" applyBorder="1" applyAlignment="1">
      <alignment horizontal="center"/>
    </xf>
    <xf numFmtId="0" fontId="60" fillId="0" borderId="233" xfId="0" applyFont="1" applyFill="1" applyBorder="1"/>
    <xf numFmtId="10" fontId="60" fillId="0" borderId="233" xfId="0" applyNumberFormat="1" applyFont="1" applyFill="1" applyBorder="1"/>
    <xf numFmtId="10" fontId="17" fillId="0" borderId="233" xfId="0" applyNumberFormat="1" applyFont="1" applyFill="1" applyBorder="1"/>
    <xf numFmtId="176" fontId="60" fillId="0" borderId="233" xfId="0" applyNumberFormat="1" applyFont="1" applyFill="1" applyBorder="1"/>
    <xf numFmtId="0" fontId="13" fillId="28" borderId="0" xfId="0" applyFont="1" applyFill="1"/>
    <xf numFmtId="2" fontId="0" fillId="0" borderId="0" xfId="0" applyNumberFormat="1" applyFont="1" applyFill="1"/>
    <xf numFmtId="0" fontId="60" fillId="0" borderId="233" xfId="0" applyFont="1" applyBorder="1" applyAlignment="1">
      <alignment horizontal="center" vertical="center"/>
    </xf>
    <xf numFmtId="174" fontId="13" fillId="0" borderId="0" xfId="0" applyNumberFormat="1" applyFont="1"/>
    <xf numFmtId="0" fontId="13" fillId="30" borderId="135" xfId="0" applyFont="1" applyFill="1" applyBorder="1" applyAlignment="1">
      <alignment horizontal="center" vertical="center"/>
    </xf>
    <xf numFmtId="0" fontId="13" fillId="30" borderId="13" xfId="0" applyFont="1" applyFill="1" applyBorder="1" applyAlignment="1">
      <alignment vertical="center" wrapText="1"/>
    </xf>
    <xf numFmtId="4" fontId="13" fillId="30" borderId="16" xfId="0" applyNumberFormat="1" applyFont="1" applyFill="1" applyBorder="1" applyAlignment="1">
      <alignment vertical="center"/>
    </xf>
    <xf numFmtId="4" fontId="13" fillId="30" borderId="17" xfId="0" applyNumberFormat="1" applyFont="1" applyFill="1" applyBorder="1" applyAlignment="1">
      <alignment vertical="center"/>
    </xf>
    <xf numFmtId="4" fontId="13" fillId="30" borderId="18" xfId="0" applyNumberFormat="1" applyFont="1" applyFill="1" applyBorder="1" applyAlignment="1">
      <alignment vertical="center"/>
    </xf>
    <xf numFmtId="0" fontId="13" fillId="30" borderId="17" xfId="0" applyFont="1" applyFill="1" applyBorder="1" applyAlignment="1">
      <alignment vertical="center"/>
    </xf>
    <xf numFmtId="0" fontId="13" fillId="30" borderId="18" xfId="0" applyFont="1" applyFill="1" applyBorder="1" applyAlignment="1">
      <alignment vertical="center"/>
    </xf>
    <xf numFmtId="0" fontId="13" fillId="30" borderId="16" xfId="0" applyFont="1" applyFill="1" applyBorder="1" applyAlignment="1">
      <alignment vertical="center"/>
    </xf>
    <xf numFmtId="0" fontId="13" fillId="30" borderId="131" xfId="0" applyFont="1" applyFill="1" applyBorder="1" applyAlignment="1">
      <alignment vertical="center" wrapText="1"/>
    </xf>
    <xf numFmtId="4" fontId="13" fillId="30" borderId="130" xfId="0" applyNumberFormat="1" applyFont="1" applyFill="1" applyBorder="1" applyAlignment="1">
      <alignment vertical="center"/>
    </xf>
    <xf numFmtId="4" fontId="13" fillId="30" borderId="126" xfId="0" applyNumberFormat="1" applyFont="1" applyFill="1" applyBorder="1" applyAlignment="1">
      <alignment vertical="center"/>
    </xf>
    <xf numFmtId="4" fontId="13" fillId="30" borderId="127" xfId="0" applyNumberFormat="1" applyFont="1" applyFill="1" applyBorder="1" applyAlignment="1">
      <alignment vertical="center"/>
    </xf>
    <xf numFmtId="10" fontId="13" fillId="30" borderId="130" xfId="0" applyNumberFormat="1" applyFont="1" applyFill="1" applyBorder="1" applyAlignment="1">
      <alignment vertical="center"/>
    </xf>
    <xf numFmtId="171" fontId="13" fillId="30" borderId="126" xfId="85" applyNumberFormat="1" applyFont="1" applyFill="1" applyBorder="1" applyAlignment="1">
      <alignment vertical="center"/>
    </xf>
    <xf numFmtId="171" fontId="13" fillId="30" borderId="127" xfId="85" applyNumberFormat="1" applyFont="1" applyFill="1" applyBorder="1" applyAlignment="1">
      <alignment vertical="center"/>
    </xf>
    <xf numFmtId="10" fontId="13" fillId="30" borderId="130" xfId="85" applyNumberFormat="1" applyFont="1" applyFill="1" applyBorder="1" applyAlignment="1">
      <alignment vertical="center"/>
    </xf>
    <xf numFmtId="10" fontId="13" fillId="30" borderId="126" xfId="85" applyNumberFormat="1" applyFont="1" applyFill="1" applyBorder="1" applyAlignment="1">
      <alignment vertical="center"/>
    </xf>
    <xf numFmtId="10" fontId="13" fillId="30" borderId="127" xfId="85" applyNumberFormat="1" applyFont="1" applyFill="1" applyBorder="1" applyAlignment="1">
      <alignment vertical="center"/>
    </xf>
    <xf numFmtId="0" fontId="13" fillId="30" borderId="126" xfId="0" applyFont="1" applyFill="1" applyBorder="1" applyAlignment="1">
      <alignment vertical="center"/>
    </xf>
    <xf numFmtId="0" fontId="13" fillId="30" borderId="127" xfId="0" applyFont="1" applyFill="1" applyBorder="1" applyAlignment="1">
      <alignment vertical="center"/>
    </xf>
    <xf numFmtId="0" fontId="13" fillId="30" borderId="130" xfId="0" applyFont="1" applyFill="1" applyBorder="1" applyAlignment="1">
      <alignment vertical="center"/>
    </xf>
    <xf numFmtId="0" fontId="13" fillId="30" borderId="15" xfId="0" applyFont="1" applyFill="1" applyBorder="1" applyAlignment="1">
      <alignment vertical="center" wrapText="1"/>
    </xf>
    <xf numFmtId="4" fontId="13" fillId="30" borderId="21" xfId="0" applyNumberFormat="1" applyFont="1" applyFill="1" applyBorder="1" applyAlignment="1">
      <alignment vertical="center"/>
    </xf>
    <xf numFmtId="4" fontId="13" fillId="30" borderId="128" xfId="0" applyNumberFormat="1" applyFont="1" applyFill="1" applyBorder="1" applyAlignment="1">
      <alignment vertical="center"/>
    </xf>
    <xf numFmtId="4" fontId="13" fillId="30" borderId="23" xfId="0" applyNumberFormat="1" applyFont="1" applyFill="1" applyBorder="1" applyAlignment="1">
      <alignment vertical="center"/>
    </xf>
    <xf numFmtId="0" fontId="13" fillId="30" borderId="128" xfId="0" applyFont="1" applyFill="1" applyBorder="1" applyAlignment="1">
      <alignment vertical="center"/>
    </xf>
    <xf numFmtId="0" fontId="13" fillId="30" borderId="23" xfId="0" applyFont="1" applyFill="1" applyBorder="1" applyAlignment="1">
      <alignment vertical="center"/>
    </xf>
    <xf numFmtId="0" fontId="13" fillId="30" borderId="21" xfId="0" applyFont="1" applyFill="1" applyBorder="1" applyAlignment="1">
      <alignment vertical="center"/>
    </xf>
    <xf numFmtId="0" fontId="60" fillId="0" borderId="236" xfId="0" applyFont="1" applyFill="1" applyBorder="1" applyAlignment="1">
      <alignment vertical="center"/>
    </xf>
    <xf numFmtId="4" fontId="60" fillId="29" borderId="235" xfId="0" applyNumberFormat="1" applyFont="1" applyFill="1" applyBorder="1"/>
    <xf numFmtId="2" fontId="60" fillId="0" borderId="236" xfId="0" applyNumberFormat="1" applyFont="1" applyFill="1" applyBorder="1"/>
    <xf numFmtId="0" fontId="84" fillId="26" borderId="243" xfId="96" applyFont="1" applyFill="1" applyBorder="1" applyAlignment="1">
      <alignment horizontal="center" vertical="center" wrapText="1"/>
    </xf>
    <xf numFmtId="0" fontId="102" fillId="34" borderId="238" xfId="96" applyFont="1" applyFill="1" applyBorder="1" applyAlignment="1">
      <alignment horizontal="center" vertical="center"/>
    </xf>
    <xf numFmtId="0" fontId="103" fillId="34" borderId="238" xfId="96" applyFont="1" applyFill="1" applyBorder="1" applyAlignment="1">
      <alignment vertical="center" wrapText="1"/>
    </xf>
    <xf numFmtId="4" fontId="103" fillId="34" borderId="238" xfId="96" applyNumberFormat="1" applyFont="1" applyFill="1" applyBorder="1" applyAlignment="1">
      <alignment horizontal="center" vertical="center" wrapText="1"/>
    </xf>
    <xf numFmtId="0" fontId="84" fillId="34" borderId="238" xfId="96" applyFont="1" applyFill="1" applyBorder="1" applyAlignment="1">
      <alignment horizontal="center" vertical="center" wrapText="1"/>
    </xf>
    <xf numFmtId="178" fontId="103" fillId="34" borderId="238" xfId="96" applyNumberFormat="1" applyFont="1" applyFill="1" applyBorder="1" applyAlignment="1">
      <alignment horizontal="center" vertical="center" wrapText="1"/>
    </xf>
    <xf numFmtId="3" fontId="103" fillId="34" borderId="238" xfId="96" applyNumberFormat="1" applyFont="1" applyFill="1" applyBorder="1" applyAlignment="1">
      <alignment horizontal="center" vertical="center" wrapText="1"/>
    </xf>
    <xf numFmtId="0" fontId="16" fillId="35" borderId="238" xfId="96" applyFont="1" applyFill="1" applyBorder="1" applyAlignment="1">
      <alignment horizontal="center" vertical="center"/>
    </xf>
    <xf numFmtId="0" fontId="16" fillId="35" borderId="238" xfId="96" applyFont="1" applyFill="1" applyBorder="1" applyAlignment="1">
      <alignment horizontal="left" vertical="center" wrapText="1"/>
    </xf>
    <xf numFmtId="4" fontId="84" fillId="35" borderId="238" xfId="96" applyNumberFormat="1" applyFont="1" applyFill="1" applyBorder="1" applyAlignment="1">
      <alignment horizontal="center" vertical="center" wrapText="1"/>
    </xf>
    <xf numFmtId="0" fontId="84" fillId="35" borderId="238" xfId="96" applyFont="1" applyFill="1" applyBorder="1" applyAlignment="1">
      <alignment horizontal="center" vertical="center" wrapText="1"/>
    </xf>
    <xf numFmtId="0" fontId="84" fillId="28" borderId="238" xfId="96" applyFont="1" applyFill="1" applyBorder="1" applyAlignment="1">
      <alignment horizontal="center" vertical="center"/>
    </xf>
    <xf numFmtId="0" fontId="84" fillId="28" borderId="238" xfId="96" applyFont="1" applyFill="1" applyBorder="1" applyAlignment="1">
      <alignment horizontal="left" vertical="center" wrapText="1"/>
    </xf>
    <xf numFmtId="4" fontId="84" fillId="28" borderId="238" xfId="96" applyNumberFormat="1" applyFont="1" applyFill="1" applyBorder="1" applyAlignment="1">
      <alignment horizontal="center" vertical="center" wrapText="1"/>
    </xf>
    <xf numFmtId="0" fontId="84" fillId="28" borderId="238" xfId="96" applyFont="1" applyFill="1" applyBorder="1" applyAlignment="1">
      <alignment horizontal="center" vertical="center" wrapText="1"/>
    </xf>
    <xf numFmtId="0" fontId="84" fillId="36" borderId="238" xfId="96" applyFont="1" applyFill="1" applyBorder="1" applyAlignment="1">
      <alignment horizontal="center" vertical="center"/>
    </xf>
    <xf numFmtId="0" fontId="84" fillId="36" borderId="238" xfId="96" applyFont="1" applyFill="1" applyBorder="1" applyAlignment="1">
      <alignment horizontal="left" vertical="center" wrapText="1" indent="2"/>
    </xf>
    <xf numFmtId="4" fontId="84" fillId="36" borderId="238" xfId="96" applyNumberFormat="1" applyFont="1" applyFill="1" applyBorder="1" applyAlignment="1">
      <alignment horizontal="center" vertical="center" wrapText="1"/>
    </xf>
    <xf numFmtId="0" fontId="14" fillId="37" borderId="238" xfId="96" applyFont="1" applyFill="1" applyBorder="1" applyAlignment="1">
      <alignment horizontal="center" vertical="center"/>
    </xf>
    <xf numFmtId="0" fontId="14" fillId="37" borderId="238" xfId="96" applyFont="1" applyFill="1" applyBorder="1" applyAlignment="1">
      <alignment horizontal="left" vertical="center" wrapText="1" indent="3"/>
    </xf>
    <xf numFmtId="4" fontId="14" fillId="37" borderId="238" xfId="96" applyNumberFormat="1" applyFont="1" applyFill="1" applyBorder="1" applyAlignment="1">
      <alignment horizontal="center" vertical="center" wrapText="1"/>
    </xf>
    <xf numFmtId="0" fontId="103" fillId="34" borderId="238" xfId="96" applyFont="1" applyFill="1" applyBorder="1" applyAlignment="1">
      <alignment horizontal="center" vertical="center"/>
    </xf>
    <xf numFmtId="0" fontId="104" fillId="34" borderId="238" xfId="96" applyFont="1" applyFill="1" applyBorder="1" applyAlignment="1">
      <alignment horizontal="left" vertical="center" wrapText="1"/>
    </xf>
    <xf numFmtId="0" fontId="105" fillId="34" borderId="238" xfId="96" applyFont="1" applyFill="1" applyBorder="1" applyAlignment="1">
      <alignment horizontal="center"/>
    </xf>
    <xf numFmtId="2" fontId="105" fillId="34" borderId="238" xfId="96" applyNumberFormat="1" applyFont="1" applyFill="1" applyBorder="1"/>
    <xf numFmtId="0" fontId="16" fillId="35" borderId="238" xfId="96" applyFont="1" applyFill="1" applyBorder="1" applyAlignment="1">
      <alignment horizontal="left" vertical="center" wrapText="1" indent="2"/>
    </xf>
    <xf numFmtId="0" fontId="16" fillId="34" borderId="238" xfId="96" applyFont="1" applyFill="1" applyBorder="1" applyAlignment="1">
      <alignment horizontal="center" vertical="center"/>
    </xf>
    <xf numFmtId="0" fontId="16" fillId="34" borderId="238" xfId="96" applyFont="1" applyFill="1" applyBorder="1" applyAlignment="1">
      <alignment horizontal="left" vertical="center" wrapText="1"/>
    </xf>
    <xf numFmtId="4" fontId="84" fillId="34" borderId="238" xfId="96" applyNumberFormat="1" applyFont="1" applyFill="1" applyBorder="1" applyAlignment="1">
      <alignment horizontal="center" vertical="center" wrapText="1"/>
    </xf>
    <xf numFmtId="0" fontId="16" fillId="34" borderId="238" xfId="96" applyFont="1" applyFill="1" applyBorder="1" applyAlignment="1">
      <alignment horizontal="left" vertical="center" wrapText="1" indent="3"/>
    </xf>
    <xf numFmtId="0" fontId="48" fillId="0" borderId="66" xfId="96" applyFont="1" applyBorder="1"/>
    <xf numFmtId="0" fontId="48" fillId="0" borderId="0" xfId="96" applyFont="1" applyBorder="1" applyAlignment="1">
      <alignment wrapText="1"/>
    </xf>
    <xf numFmtId="0" fontId="48" fillId="0" borderId="0" xfId="96" applyFont="1" applyBorder="1"/>
    <xf numFmtId="0" fontId="48" fillId="0" borderId="74" xfId="96" applyFont="1" applyBorder="1"/>
    <xf numFmtId="0" fontId="51" fillId="38" borderId="238" xfId="96" applyFont="1" applyFill="1" applyBorder="1" applyAlignment="1">
      <alignment horizontal="center"/>
    </xf>
    <xf numFmtId="0" fontId="16" fillId="38" borderId="238" xfId="96" applyFont="1" applyFill="1" applyBorder="1" applyAlignment="1">
      <alignment horizontal="left" vertical="center" wrapText="1"/>
    </xf>
    <xf numFmtId="0" fontId="48" fillId="38" borderId="238" xfId="96" applyFont="1" applyFill="1" applyBorder="1"/>
    <xf numFmtId="0" fontId="16" fillId="38" borderId="238" xfId="96" applyFont="1" applyFill="1" applyBorder="1" applyAlignment="1">
      <alignment horizontal="left" vertical="center" wrapText="1" indent="3"/>
    </xf>
    <xf numFmtId="0" fontId="16" fillId="38" borderId="238" xfId="96" applyFont="1" applyFill="1" applyBorder="1" applyAlignment="1">
      <alignment horizontal="center" vertical="center" wrapText="1"/>
    </xf>
    <xf numFmtId="2" fontId="48" fillId="38" borderId="238" xfId="96" applyNumberFormat="1" applyFont="1" applyFill="1" applyBorder="1"/>
    <xf numFmtId="0" fontId="48" fillId="38" borderId="238" xfId="96" applyFont="1" applyFill="1" applyBorder="1" applyAlignment="1">
      <alignment horizontal="center"/>
    </xf>
    <xf numFmtId="0" fontId="84" fillId="36" borderId="238" xfId="96" applyFont="1" applyFill="1" applyBorder="1" applyAlignment="1">
      <alignment horizontal="left" vertical="center" wrapText="1"/>
    </xf>
    <xf numFmtId="0" fontId="14" fillId="37" borderId="238" xfId="96" applyFont="1" applyFill="1" applyBorder="1" applyAlignment="1">
      <alignment horizontal="left" vertical="center" wrapText="1"/>
    </xf>
    <xf numFmtId="0" fontId="105" fillId="34" borderId="238" xfId="96" applyFont="1" applyFill="1" applyBorder="1" applyAlignment="1">
      <alignment horizontal="center" vertical="center"/>
    </xf>
    <xf numFmtId="186" fontId="105" fillId="34" borderId="238" xfId="96" applyNumberFormat="1" applyFont="1" applyFill="1" applyBorder="1" applyAlignment="1">
      <alignment vertical="center"/>
    </xf>
    <xf numFmtId="0" fontId="105" fillId="34" borderId="238" xfId="96" applyFont="1" applyFill="1" applyBorder="1" applyAlignment="1">
      <alignment vertical="center"/>
    </xf>
    <xf numFmtId="0" fontId="48" fillId="0" borderId="66" xfId="96" applyFont="1" applyBorder="1" applyAlignment="1">
      <alignment vertical="center"/>
    </xf>
    <xf numFmtId="0" fontId="48" fillId="0" borderId="0" xfId="96" applyFont="1" applyBorder="1" applyAlignment="1">
      <alignment vertical="center" wrapText="1"/>
    </xf>
    <xf numFmtId="0" fontId="48" fillId="0" borderId="0" xfId="96" applyFont="1" applyBorder="1" applyAlignment="1">
      <alignment vertical="center"/>
    </xf>
    <xf numFmtId="0" fontId="48" fillId="0" borderId="74" xfId="96" applyFont="1" applyBorder="1" applyAlignment="1">
      <alignment vertical="center"/>
    </xf>
    <xf numFmtId="0" fontId="51" fillId="38" borderId="238" xfId="96" applyFont="1" applyFill="1" applyBorder="1" applyAlignment="1">
      <alignment horizontal="center" vertical="center"/>
    </xf>
    <xf numFmtId="0" fontId="48" fillId="38" borderId="238" xfId="96" applyFont="1" applyFill="1" applyBorder="1" applyAlignment="1">
      <alignment vertical="center"/>
    </xf>
    <xf numFmtId="2" fontId="48" fillId="38" borderId="238" xfId="96" applyNumberFormat="1" applyFont="1" applyFill="1" applyBorder="1" applyAlignment="1">
      <alignment vertical="center"/>
    </xf>
    <xf numFmtId="2" fontId="48" fillId="38" borderId="238" xfId="96" applyNumberFormat="1" applyFont="1" applyFill="1" applyBorder="1" applyAlignment="1">
      <alignment horizontal="center" vertical="center"/>
    </xf>
    <xf numFmtId="0" fontId="84" fillId="0" borderId="0" xfId="96" applyFont="1" applyBorder="1" applyAlignment="1">
      <alignment vertical="center"/>
    </xf>
    <xf numFmtId="0" fontId="84" fillId="38" borderId="238" xfId="96" applyFont="1" applyFill="1" applyBorder="1" applyAlignment="1">
      <alignment vertical="center"/>
    </xf>
    <xf numFmtId="0" fontId="48" fillId="42" borderId="0" xfId="96" applyFont="1" applyFill="1"/>
    <xf numFmtId="0" fontId="48" fillId="42" borderId="0" xfId="96" applyFont="1" applyFill="1" applyAlignment="1">
      <alignment wrapText="1"/>
    </xf>
    <xf numFmtId="0" fontId="16" fillId="34" borderId="245" xfId="96" applyFont="1" applyFill="1" applyBorder="1" applyAlignment="1">
      <alignment horizontal="center" vertical="center"/>
    </xf>
    <xf numFmtId="0" fontId="16" fillId="34" borderId="245" xfId="96" applyFont="1" applyFill="1" applyBorder="1" applyAlignment="1">
      <alignment horizontal="left" vertical="center" wrapText="1"/>
    </xf>
    <xf numFmtId="4" fontId="84" fillId="34" borderId="245" xfId="96" applyNumberFormat="1" applyFont="1" applyFill="1" applyBorder="1" applyAlignment="1">
      <alignment horizontal="center" vertical="center" wrapText="1"/>
    </xf>
    <xf numFmtId="0" fontId="84" fillId="34" borderId="245" xfId="96" applyFont="1" applyFill="1" applyBorder="1" applyAlignment="1">
      <alignment horizontal="center" vertical="center" wrapText="1"/>
    </xf>
    <xf numFmtId="0" fontId="16" fillId="35" borderId="245" xfId="96" applyFont="1" applyFill="1" applyBorder="1" applyAlignment="1">
      <alignment horizontal="center" vertical="center"/>
    </xf>
    <xf numFmtId="0" fontId="16" fillId="35" borderId="245" xfId="96" applyFont="1" applyFill="1" applyBorder="1" applyAlignment="1">
      <alignment horizontal="left" vertical="center" wrapText="1"/>
    </xf>
    <xf numFmtId="4" fontId="84" fillId="35" borderId="245" xfId="96" applyNumberFormat="1" applyFont="1" applyFill="1" applyBorder="1" applyAlignment="1">
      <alignment horizontal="center" vertical="center" wrapText="1"/>
    </xf>
    <xf numFmtId="0" fontId="84" fillId="35" borderId="245" xfId="96" applyFont="1" applyFill="1" applyBorder="1" applyAlignment="1">
      <alignment horizontal="center" vertical="center" wrapText="1"/>
    </xf>
    <xf numFmtId="2" fontId="105" fillId="34" borderId="238" xfId="96" applyNumberFormat="1" applyFont="1" applyFill="1" applyBorder="1" applyAlignment="1">
      <alignment vertical="center"/>
    </xf>
    <xf numFmtId="0" fontId="91" fillId="35" borderId="238" xfId="96" applyFont="1" applyFill="1" applyBorder="1" applyAlignment="1">
      <alignment horizontal="left" vertical="center" wrapText="1" indent="2"/>
    </xf>
    <xf numFmtId="0" fontId="84" fillId="36" borderId="245" xfId="96" applyFont="1" applyFill="1" applyBorder="1" applyAlignment="1">
      <alignment horizontal="center" vertical="center"/>
    </xf>
    <xf numFmtId="0" fontId="14" fillId="37" borderId="245" xfId="96" applyFont="1" applyFill="1" applyBorder="1" applyAlignment="1">
      <alignment horizontal="center" vertical="center"/>
    </xf>
    <xf numFmtId="0" fontId="48" fillId="38" borderId="245" xfId="96" applyFont="1" applyFill="1" applyBorder="1"/>
    <xf numFmtId="0" fontId="16" fillId="38" borderId="245" xfId="96" applyFont="1" applyFill="1" applyBorder="1" applyAlignment="1">
      <alignment horizontal="center" vertical="center" wrapText="1"/>
    </xf>
    <xf numFmtId="0" fontId="91" fillId="35" borderId="245" xfId="96" applyFont="1" applyFill="1" applyBorder="1" applyAlignment="1">
      <alignment horizontal="center" vertical="center"/>
    </xf>
    <xf numFmtId="0" fontId="91" fillId="35" borderId="238" xfId="96" applyFont="1" applyFill="1" applyBorder="1" applyAlignment="1">
      <alignment horizontal="left" vertical="center" wrapText="1"/>
    </xf>
    <xf numFmtId="0" fontId="91" fillId="35" borderId="238" xfId="96" applyFont="1" applyFill="1" applyBorder="1" applyAlignment="1">
      <alignment horizontal="center" vertical="center"/>
    </xf>
    <xf numFmtId="4" fontId="85" fillId="35" borderId="245" xfId="96" applyNumberFormat="1" applyFont="1" applyFill="1" applyBorder="1" applyAlignment="1">
      <alignment horizontal="center" vertical="center" wrapText="1"/>
    </xf>
    <xf numFmtId="0" fontId="85" fillId="35" borderId="245" xfId="96" applyFont="1" applyFill="1" applyBorder="1" applyAlignment="1">
      <alignment horizontal="center" vertical="center" wrapText="1"/>
    </xf>
    <xf numFmtId="0" fontId="48" fillId="38" borderId="238" xfId="96" applyFont="1" applyFill="1" applyBorder="1" applyAlignment="1">
      <alignment horizontal="center" vertical="center"/>
    </xf>
    <xf numFmtId="0" fontId="60" fillId="0" borderId="96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48" fillId="0" borderId="241" xfId="79" applyFont="1" applyFill="1" applyBorder="1" applyAlignment="1">
      <alignment horizontal="center" vertical="center"/>
    </xf>
    <xf numFmtId="10" fontId="48" fillId="0" borderId="241" xfId="79" applyNumberFormat="1" applyFont="1" applyFill="1" applyBorder="1" applyAlignment="1">
      <alignment horizontal="center" vertical="center"/>
    </xf>
    <xf numFmtId="10" fontId="51" fillId="0" borderId="99" xfId="79" applyNumberFormat="1" applyFont="1" applyFill="1" applyBorder="1" applyAlignment="1">
      <alignment horizontal="center" vertical="center"/>
    </xf>
    <xf numFmtId="4" fontId="13" fillId="0" borderId="246" xfId="79" applyNumberFormat="1" applyFont="1" applyFill="1" applyBorder="1" applyAlignment="1">
      <alignment horizontal="center" vertical="center"/>
    </xf>
    <xf numFmtId="4" fontId="13" fillId="0" borderId="234" xfId="79" applyNumberFormat="1" applyFont="1" applyFill="1" applyBorder="1" applyAlignment="1">
      <alignment horizontal="center" vertical="center"/>
    </xf>
    <xf numFmtId="171" fontId="49" fillId="0" borderId="246" xfId="85" applyNumberFormat="1" applyFont="1" applyFill="1" applyBorder="1" applyAlignment="1">
      <alignment horizontal="center" vertical="center"/>
    </xf>
    <xf numFmtId="170" fontId="48" fillId="0" borderId="246" xfId="79" applyNumberFormat="1" applyFont="1" applyFill="1" applyBorder="1" applyAlignment="1">
      <alignment horizontal="center" vertical="center"/>
    </xf>
    <xf numFmtId="0" fontId="12" fillId="0" borderId="230" xfId="79" applyNumberFormat="1" applyFont="1" applyFill="1" applyBorder="1" applyAlignment="1">
      <alignment horizontal="center" vertical="center"/>
    </xf>
    <xf numFmtId="0" fontId="13" fillId="0" borderId="61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4" fontId="84" fillId="36" borderId="245" xfId="96" applyNumberFormat="1" applyFont="1" applyFill="1" applyBorder="1" applyAlignment="1">
      <alignment horizontal="center" vertical="center"/>
    </xf>
    <xf numFmtId="4" fontId="14" fillId="37" borderId="245" xfId="96" applyNumberFormat="1" applyFont="1" applyFill="1" applyBorder="1" applyAlignment="1">
      <alignment horizontal="center" vertical="center"/>
    </xf>
    <xf numFmtId="4" fontId="84" fillId="28" borderId="245" xfId="96" applyNumberFormat="1" applyFont="1" applyFill="1" applyBorder="1" applyAlignment="1">
      <alignment horizontal="center" vertical="center"/>
    </xf>
    <xf numFmtId="4" fontId="16" fillId="35" borderId="245" xfId="96" applyNumberFormat="1" applyFont="1" applyFill="1" applyBorder="1" applyAlignment="1">
      <alignment horizontal="center" vertical="center"/>
    </xf>
    <xf numFmtId="4" fontId="14" fillId="37" borderId="238" xfId="96" applyNumberFormat="1" applyFont="1" applyFill="1" applyBorder="1" applyAlignment="1">
      <alignment horizontal="center" vertical="center"/>
    </xf>
    <xf numFmtId="4" fontId="84" fillId="34" borderId="245" xfId="96" applyNumberFormat="1" applyFont="1" applyFill="1" applyBorder="1" applyAlignment="1">
      <alignment horizontal="center" vertical="center"/>
    </xf>
    <xf numFmtId="165" fontId="84" fillId="34" borderId="245" xfId="96" applyNumberFormat="1" applyFont="1" applyFill="1" applyBorder="1" applyAlignment="1">
      <alignment horizontal="center" vertical="center"/>
    </xf>
    <xf numFmtId="0" fontId="84" fillId="34" borderId="245" xfId="96" applyFont="1" applyFill="1" applyBorder="1" applyAlignment="1">
      <alignment horizontal="center" vertical="center"/>
    </xf>
    <xf numFmtId="0" fontId="84" fillId="38" borderId="245" xfId="96" applyFont="1" applyFill="1" applyBorder="1" applyAlignment="1">
      <alignment horizontal="center" vertical="center" wrapText="1"/>
    </xf>
    <xf numFmtId="4" fontId="84" fillId="35" borderId="245" xfId="96" applyNumberFormat="1" applyFont="1" applyFill="1" applyBorder="1" applyAlignment="1">
      <alignment horizontal="center" vertical="center"/>
    </xf>
    <xf numFmtId="4" fontId="17" fillId="0" borderId="35" xfId="0" applyNumberFormat="1" applyFont="1" applyFill="1" applyBorder="1" applyAlignment="1">
      <alignment horizontal="center" vertical="center" wrapText="1"/>
    </xf>
    <xf numFmtId="4" fontId="60" fillId="0" borderId="247" xfId="0" applyNumberFormat="1" applyFont="1" applyFill="1" applyBorder="1" applyAlignment="1">
      <alignment horizontal="center" vertical="center"/>
    </xf>
    <xf numFmtId="10" fontId="61" fillId="0" borderId="247" xfId="85" applyNumberFormat="1" applyFont="1" applyFill="1" applyBorder="1" applyAlignment="1">
      <alignment horizontal="center" vertical="center"/>
    </xf>
    <xf numFmtId="4" fontId="17" fillId="0" borderId="247" xfId="0" applyNumberFormat="1" applyFont="1" applyFill="1" applyBorder="1" applyAlignment="1">
      <alignment horizontal="center" vertical="center"/>
    </xf>
    <xf numFmtId="4" fontId="17" fillId="0" borderId="247" xfId="0" applyNumberFormat="1" applyFont="1" applyFill="1" applyBorder="1" applyAlignment="1">
      <alignment horizontal="center" vertical="center" wrapText="1"/>
    </xf>
    <xf numFmtId="4" fontId="17" fillId="0" borderId="185" xfId="0" applyNumberFormat="1" applyFont="1" applyFill="1" applyBorder="1" applyAlignment="1">
      <alignment horizontal="center" vertical="center"/>
    </xf>
    <xf numFmtId="4" fontId="60" fillId="0" borderId="27" xfId="0" applyNumberFormat="1" applyFont="1" applyBorder="1"/>
    <xf numFmtId="4" fontId="60" fillId="0" borderId="247" xfId="0" applyNumberFormat="1" applyFont="1" applyBorder="1"/>
    <xf numFmtId="4" fontId="17" fillId="0" borderId="247" xfId="0" applyNumberFormat="1" applyFont="1" applyBorder="1"/>
    <xf numFmtId="2" fontId="17" fillId="0" borderId="247" xfId="0" applyNumberFormat="1" applyFont="1" applyBorder="1"/>
    <xf numFmtId="49" fontId="84" fillId="34" borderId="238" xfId="96" applyNumberFormat="1" applyFont="1" applyFill="1" applyBorder="1" applyAlignment="1">
      <alignment horizontal="center" vertical="center" wrapText="1"/>
    </xf>
    <xf numFmtId="49" fontId="84" fillId="35" borderId="238" xfId="96" applyNumberFormat="1" applyFont="1" applyFill="1" applyBorder="1" applyAlignment="1">
      <alignment horizontal="center" vertical="center" wrapText="1"/>
    </xf>
    <xf numFmtId="49" fontId="85" fillId="35" borderId="245" xfId="96" applyNumberFormat="1" applyFont="1" applyFill="1" applyBorder="1" applyAlignment="1">
      <alignment horizontal="center" vertical="center" wrapText="1"/>
    </xf>
    <xf numFmtId="49" fontId="84" fillId="28" borderId="238" xfId="96" applyNumberFormat="1" applyFont="1" applyFill="1" applyBorder="1" applyAlignment="1">
      <alignment horizontal="center" vertical="center" wrapText="1"/>
    </xf>
    <xf numFmtId="49" fontId="84" fillId="36" borderId="238" xfId="96" applyNumberFormat="1" applyFont="1" applyFill="1" applyBorder="1" applyAlignment="1">
      <alignment horizontal="center" vertical="center" wrapText="1"/>
    </xf>
    <xf numFmtId="49" fontId="14" fillId="37" borderId="238" xfId="96" applyNumberFormat="1" applyFont="1" applyFill="1" applyBorder="1" applyAlignment="1">
      <alignment horizontal="center" vertical="center" wrapText="1"/>
    </xf>
    <xf numFmtId="49" fontId="84" fillId="35" borderId="245" xfId="96" applyNumberFormat="1" applyFont="1" applyFill="1" applyBorder="1" applyAlignment="1">
      <alignment horizontal="center" vertical="center" wrapText="1"/>
    </xf>
    <xf numFmtId="49" fontId="84" fillId="34" borderId="245" xfId="96" applyNumberFormat="1" applyFont="1" applyFill="1" applyBorder="1" applyAlignment="1">
      <alignment horizontal="center" vertical="center" wrapText="1"/>
    </xf>
    <xf numFmtId="49" fontId="48" fillId="0" borderId="74" xfId="96" applyNumberFormat="1" applyFont="1" applyBorder="1"/>
    <xf numFmtId="49" fontId="48" fillId="38" borderId="238" xfId="96" applyNumberFormat="1" applyFont="1" applyFill="1" applyBorder="1"/>
    <xf numFmtId="49" fontId="84" fillId="36" borderId="238" xfId="96" applyNumberFormat="1" applyFont="1" applyFill="1" applyBorder="1" applyAlignment="1">
      <alignment horizontal="left" vertical="center" wrapText="1"/>
    </xf>
    <xf numFmtId="49" fontId="14" fillId="37" borderId="238" xfId="96" applyNumberFormat="1" applyFont="1" applyFill="1" applyBorder="1" applyAlignment="1">
      <alignment horizontal="left" vertical="center" wrapText="1"/>
    </xf>
    <xf numFmtId="49" fontId="84" fillId="36" borderId="238" xfId="96" applyNumberFormat="1" applyFont="1" applyFill="1" applyBorder="1" applyAlignment="1">
      <alignment vertical="center" wrapText="1"/>
    </xf>
    <xf numFmtId="49" fontId="14" fillId="37" borderId="238" xfId="96" applyNumberFormat="1" applyFont="1" applyFill="1" applyBorder="1" applyAlignment="1">
      <alignment vertical="center" wrapText="1"/>
    </xf>
    <xf numFmtId="49" fontId="84" fillId="28" borderId="238" xfId="96" applyNumberFormat="1" applyFont="1" applyFill="1" applyBorder="1" applyAlignment="1">
      <alignment vertical="center" wrapText="1"/>
    </xf>
    <xf numFmtId="49" fontId="105" fillId="34" borderId="238" xfId="96" applyNumberFormat="1" applyFont="1" applyFill="1" applyBorder="1" applyAlignment="1"/>
    <xf numFmtId="49" fontId="84" fillId="28" borderId="238" xfId="96" applyNumberFormat="1" applyFont="1" applyFill="1" applyBorder="1" applyAlignment="1">
      <alignment horizontal="left" vertical="center" wrapText="1"/>
    </xf>
    <xf numFmtId="49" fontId="105" fillId="34" borderId="238" xfId="96" applyNumberFormat="1" applyFont="1" applyFill="1" applyBorder="1" applyAlignment="1">
      <alignment horizontal="left"/>
    </xf>
    <xf numFmtId="4" fontId="101" fillId="0" borderId="105" xfId="0" applyNumberFormat="1" applyFont="1" applyFill="1" applyBorder="1" applyAlignment="1">
      <alignment horizontal="center" vertical="center"/>
    </xf>
    <xf numFmtId="4" fontId="101" fillId="0" borderId="102" xfId="0" applyNumberFormat="1" applyFont="1" applyFill="1" applyBorder="1" applyAlignment="1">
      <alignment horizontal="center" vertical="center"/>
    </xf>
    <xf numFmtId="4" fontId="101" fillId="0" borderId="247" xfId="0" applyNumberFormat="1" applyFont="1" applyFill="1" applyBorder="1" applyAlignment="1">
      <alignment horizontal="center" vertical="center"/>
    </xf>
    <xf numFmtId="0" fontId="13" fillId="0" borderId="254" xfId="0" applyFont="1" applyBorder="1" applyAlignment="1">
      <alignment horizontal="center" vertical="center" wrapText="1"/>
    </xf>
    <xf numFmtId="169" fontId="14" fillId="0" borderId="255" xfId="0" applyNumberFormat="1" applyFont="1" applyBorder="1" applyAlignment="1">
      <alignment horizontal="center"/>
    </xf>
    <xf numFmtId="169" fontId="14" fillId="0" borderId="253" xfId="0" applyNumberFormat="1" applyFont="1" applyBorder="1" applyAlignment="1">
      <alignment horizontal="center"/>
    </xf>
    <xf numFmtId="0" fontId="60" fillId="0" borderId="96" xfId="0" applyFont="1" applyFill="1" applyBorder="1" applyAlignment="1">
      <alignment horizontal="center" vertical="center" wrapText="1"/>
    </xf>
    <xf numFmtId="0" fontId="60" fillId="0" borderId="11" xfId="0" applyFont="1" applyBorder="1" applyAlignment="1">
      <alignment horizontal="center" vertical="center" wrapText="1"/>
    </xf>
    <xf numFmtId="0" fontId="60" fillId="0" borderId="184" xfId="0" applyFont="1" applyBorder="1" applyAlignment="1">
      <alignment horizontal="center" vertical="center" wrapText="1"/>
    </xf>
    <xf numFmtId="0" fontId="0" fillId="0" borderId="257" xfId="0" applyBorder="1" applyAlignment="1">
      <alignment horizontal="center" wrapText="1"/>
    </xf>
    <xf numFmtId="0" fontId="0" fillId="0" borderId="253" xfId="0" applyBorder="1" applyAlignment="1">
      <alignment horizontal="center" wrapText="1"/>
    </xf>
    <xf numFmtId="168" fontId="0" fillId="0" borderId="257" xfId="0" applyNumberFormat="1" applyBorder="1"/>
    <xf numFmtId="0" fontId="0" fillId="0" borderId="257" xfId="0" applyBorder="1"/>
    <xf numFmtId="0" fontId="0" fillId="0" borderId="253" xfId="0" applyBorder="1"/>
    <xf numFmtId="0" fontId="13" fillId="0" borderId="257" xfId="0" applyFont="1" applyBorder="1" applyAlignment="1">
      <alignment horizontal="center" vertical="center" wrapText="1"/>
    </xf>
    <xf numFmtId="169" fontId="14" fillId="0" borderId="257" xfId="0" applyNumberFormat="1" applyFont="1" applyBorder="1" applyAlignment="1">
      <alignment horizontal="center"/>
    </xf>
    <xf numFmtId="4" fontId="60" fillId="0" borderId="256" xfId="0" applyNumberFormat="1" applyFont="1" applyBorder="1" applyAlignment="1">
      <alignment horizontal="center" vertical="center"/>
    </xf>
    <xf numFmtId="4" fontId="60" fillId="0" borderId="259" xfId="0" applyNumberFormat="1" applyFont="1" applyFill="1" applyBorder="1" applyAlignment="1">
      <alignment horizontal="center" vertical="center"/>
    </xf>
    <xf numFmtId="4" fontId="60" fillId="0" borderId="258" xfId="0" applyNumberFormat="1" applyFont="1" applyFill="1" applyBorder="1" applyAlignment="1">
      <alignment horizontal="center" vertical="center"/>
    </xf>
    <xf numFmtId="4" fontId="84" fillId="28" borderId="238" xfId="96" applyNumberFormat="1" applyFont="1" applyFill="1" applyBorder="1" applyAlignment="1">
      <alignment horizontal="center" vertical="center"/>
    </xf>
    <xf numFmtId="4" fontId="84" fillId="36" borderId="238" xfId="96" applyNumberFormat="1" applyFont="1" applyFill="1" applyBorder="1" applyAlignment="1">
      <alignment horizontal="center" vertical="center"/>
    </xf>
    <xf numFmtId="4" fontId="84" fillId="35" borderId="238" xfId="96" applyNumberFormat="1" applyFont="1" applyFill="1" applyBorder="1" applyAlignment="1">
      <alignment horizontal="center" vertical="center"/>
    </xf>
    <xf numFmtId="0" fontId="84" fillId="35" borderId="245" xfId="96" applyFont="1" applyFill="1" applyBorder="1" applyAlignment="1">
      <alignment horizontal="center" vertical="center"/>
    </xf>
    <xf numFmtId="0" fontId="84" fillId="35" borderId="238" xfId="96" applyFont="1" applyFill="1" applyBorder="1" applyAlignment="1">
      <alignment horizontal="center" vertical="center"/>
    </xf>
    <xf numFmtId="4" fontId="85" fillId="35" borderId="245" xfId="96" applyNumberFormat="1" applyFont="1" applyFill="1" applyBorder="1" applyAlignment="1">
      <alignment horizontal="center" vertical="center"/>
    </xf>
    <xf numFmtId="4" fontId="101" fillId="0" borderId="106" xfId="0" applyNumberFormat="1" applyFont="1" applyFill="1" applyBorder="1" applyAlignment="1">
      <alignment horizontal="center" vertical="center"/>
    </xf>
    <xf numFmtId="4" fontId="60" fillId="28" borderId="16" xfId="0" applyNumberFormat="1" applyFont="1" applyFill="1" applyBorder="1"/>
    <xf numFmtId="4" fontId="60" fillId="28" borderId="17" xfId="0" applyNumberFormat="1" applyFont="1" applyFill="1" applyBorder="1"/>
    <xf numFmtId="4" fontId="60" fillId="28" borderId="18" xfId="0" applyNumberFormat="1" applyFont="1" applyFill="1" applyBorder="1"/>
    <xf numFmtId="0" fontId="13" fillId="0" borderId="40" xfId="0" applyFont="1" applyBorder="1" applyAlignment="1">
      <alignment horizontal="center" vertical="center"/>
    </xf>
    <xf numFmtId="0" fontId="60" fillId="0" borderId="35" xfId="0" applyFont="1" applyBorder="1" applyAlignment="1">
      <alignment vertical="center"/>
    </xf>
    <xf numFmtId="4" fontId="17" fillId="0" borderId="37" xfId="0" applyNumberFormat="1" applyFont="1" applyBorder="1" applyAlignment="1">
      <alignment horizontal="right" vertical="center"/>
    </xf>
    <xf numFmtId="4" fontId="17" fillId="0" borderId="11" xfId="0" applyNumberFormat="1" applyFont="1" applyBorder="1" applyAlignment="1">
      <alignment horizontal="right" vertical="center"/>
    </xf>
    <xf numFmtId="0" fontId="17" fillId="0" borderId="38" xfId="0" applyFont="1" applyFill="1" applyBorder="1" applyAlignment="1">
      <alignment horizontal="right" vertical="center"/>
    </xf>
    <xf numFmtId="0" fontId="17" fillId="0" borderId="11" xfId="0" applyFont="1" applyFill="1" applyBorder="1" applyAlignment="1">
      <alignment horizontal="right" vertical="center"/>
    </xf>
    <xf numFmtId="0" fontId="17" fillId="0" borderId="35" xfId="0" applyFont="1" applyFill="1" applyBorder="1" applyAlignment="1">
      <alignment horizontal="right" vertical="center"/>
    </xf>
    <xf numFmtId="0" fontId="17" fillId="0" borderId="43" xfId="0" applyFont="1" applyFill="1" applyBorder="1" applyAlignment="1">
      <alignment horizontal="right" vertical="center"/>
    </xf>
    <xf numFmtId="0" fontId="17" fillId="0" borderId="44" xfId="0" applyFont="1" applyFill="1" applyBorder="1" applyAlignment="1">
      <alignment horizontal="right" vertical="center"/>
    </xf>
    <xf numFmtId="0" fontId="48" fillId="0" borderId="25" xfId="79" applyFont="1" applyFill="1" applyBorder="1" applyAlignment="1">
      <alignment horizontal="center" vertical="center"/>
    </xf>
    <xf numFmtId="0" fontId="48" fillId="0" borderId="93" xfId="79" applyFont="1" applyFill="1" applyBorder="1" applyAlignment="1">
      <alignment horizontal="center" vertical="center" wrapText="1"/>
    </xf>
    <xf numFmtId="0" fontId="48" fillId="0" borderId="31" xfId="79" applyFont="1" applyFill="1" applyBorder="1" applyAlignment="1">
      <alignment horizontal="center" vertical="center"/>
    </xf>
    <xf numFmtId="0" fontId="48" fillId="0" borderId="35" xfId="79" applyFont="1" applyFill="1" applyBorder="1" applyAlignment="1">
      <alignment horizontal="center" vertical="center"/>
    </xf>
    <xf numFmtId="0" fontId="18" fillId="0" borderId="0" xfId="79" applyFont="1" applyFill="1" applyBorder="1" applyAlignment="1">
      <alignment horizontal="center" vertical="center"/>
    </xf>
    <xf numFmtId="0" fontId="48" fillId="0" borderId="92" xfId="79" applyFont="1" applyFill="1" applyBorder="1" applyAlignment="1">
      <alignment horizontal="center" vertical="center" wrapText="1"/>
    </xf>
    <xf numFmtId="0" fontId="48" fillId="0" borderId="10" xfId="79" applyFont="1" applyFill="1" applyBorder="1" applyAlignment="1">
      <alignment horizontal="center" vertical="center"/>
    </xf>
    <xf numFmtId="0" fontId="48" fillId="0" borderId="19" xfId="79" applyFont="1" applyFill="1" applyBorder="1" applyAlignment="1">
      <alignment horizontal="center" vertical="center" wrapText="1"/>
    </xf>
    <xf numFmtId="4" fontId="17" fillId="28" borderId="16" xfId="0" applyNumberFormat="1" applyFont="1" applyFill="1" applyBorder="1" applyAlignment="1">
      <alignment horizontal="center" vertical="center"/>
    </xf>
    <xf numFmtId="4" fontId="17" fillId="28" borderId="17" xfId="0" applyNumberFormat="1" applyFont="1" applyFill="1" applyBorder="1" applyAlignment="1">
      <alignment horizontal="center" vertical="center"/>
    </xf>
    <xf numFmtId="4" fontId="17" fillId="28" borderId="18" xfId="0" applyNumberFormat="1" applyFont="1" applyFill="1" applyBorder="1" applyAlignment="1">
      <alignment horizontal="center" vertical="center"/>
    </xf>
    <xf numFmtId="4" fontId="17" fillId="0" borderId="272" xfId="0" applyNumberFormat="1" applyFont="1" applyFill="1" applyBorder="1" applyAlignment="1">
      <alignment horizontal="center" vertical="center"/>
    </xf>
    <xf numFmtId="4" fontId="17" fillId="0" borderId="271" xfId="0" applyNumberFormat="1" applyFont="1" applyFill="1" applyBorder="1" applyAlignment="1">
      <alignment horizontal="center" vertical="center"/>
    </xf>
    <xf numFmtId="4" fontId="17" fillId="0" borderId="273" xfId="0" applyNumberFormat="1" applyFont="1" applyFill="1" applyBorder="1" applyAlignment="1">
      <alignment horizontal="center" vertical="center"/>
    </xf>
    <xf numFmtId="171" fontId="83" fillId="0" borderId="272" xfId="85" applyNumberFormat="1" applyFont="1" applyFill="1" applyBorder="1" applyAlignment="1">
      <alignment horizontal="center" vertical="center"/>
    </xf>
    <xf numFmtId="2" fontId="60" fillId="0" borderId="274" xfId="0" applyNumberFormat="1" applyFont="1" applyBorder="1" applyAlignment="1">
      <alignment horizontal="center" vertical="center" wrapText="1"/>
    </xf>
    <xf numFmtId="168" fontId="60" fillId="0" borderId="274" xfId="0" applyNumberFormat="1" applyFont="1" applyBorder="1" applyAlignment="1">
      <alignment horizontal="center" vertical="center"/>
    </xf>
    <xf numFmtId="168" fontId="17" fillId="0" borderId="274" xfId="0" applyNumberFormat="1" applyFont="1" applyBorder="1" applyAlignment="1">
      <alignment horizontal="center" vertical="center"/>
    </xf>
    <xf numFmtId="0" fontId="60" fillId="0" borderId="274" xfId="0" applyFont="1" applyBorder="1" applyAlignment="1">
      <alignment horizontal="center" vertical="center"/>
    </xf>
    <xf numFmtId="0" fontId="60" fillId="0" borderId="275" xfId="0" applyFont="1" applyBorder="1" applyAlignment="1">
      <alignment horizontal="center" vertical="center"/>
    </xf>
    <xf numFmtId="2" fontId="60" fillId="0" borderId="276" xfId="0" applyNumberFormat="1" applyFont="1" applyBorder="1" applyAlignment="1">
      <alignment horizontal="center" vertical="center" wrapText="1"/>
    </xf>
    <xf numFmtId="2" fontId="60" fillId="0" borderId="277" xfId="0" applyNumberFormat="1" applyFont="1" applyBorder="1" applyAlignment="1">
      <alignment horizontal="center" vertical="center" wrapText="1"/>
    </xf>
    <xf numFmtId="168" fontId="60" fillId="0" borderId="277" xfId="0" applyNumberFormat="1" applyFont="1" applyBorder="1" applyAlignment="1">
      <alignment horizontal="center" vertical="center"/>
    </xf>
    <xf numFmtId="169" fontId="60" fillId="0" borderId="277" xfId="0" applyNumberFormat="1" applyFont="1" applyBorder="1" applyAlignment="1">
      <alignment horizontal="center" vertical="center"/>
    </xf>
    <xf numFmtId="4" fontId="60" fillId="0" borderId="277" xfId="0" applyNumberFormat="1" applyFont="1" applyBorder="1" applyAlignment="1">
      <alignment horizontal="center" vertical="center"/>
    </xf>
    <xf numFmtId="2" fontId="60" fillId="0" borderId="277" xfId="0" applyNumberFormat="1" applyFont="1" applyBorder="1" applyAlignment="1">
      <alignment horizontal="center" vertical="center"/>
    </xf>
    <xf numFmtId="4" fontId="17" fillId="0" borderId="277" xfId="0" applyNumberFormat="1" applyFont="1" applyFill="1" applyBorder="1" applyAlignment="1">
      <alignment horizontal="center" vertical="center"/>
    </xf>
    <xf numFmtId="168" fontId="17" fillId="0" borderId="277" xfId="0" applyNumberFormat="1" applyFont="1" applyBorder="1" applyAlignment="1">
      <alignment horizontal="center" vertical="center"/>
    </xf>
    <xf numFmtId="4" fontId="17" fillId="0" borderId="277" xfId="0" applyNumberFormat="1" applyFont="1" applyBorder="1" applyAlignment="1">
      <alignment horizontal="center" vertical="center"/>
    </xf>
    <xf numFmtId="2" fontId="17" fillId="0" borderId="277" xfId="0" applyNumberFormat="1" applyFont="1" applyBorder="1" applyAlignment="1">
      <alignment horizontal="center" vertical="center"/>
    </xf>
    <xf numFmtId="0" fontId="60" fillId="0" borderId="277" xfId="0" applyFont="1" applyBorder="1" applyAlignment="1">
      <alignment horizontal="center" vertical="center"/>
    </xf>
    <xf numFmtId="168" fontId="60" fillId="0" borderId="265" xfId="0" applyNumberFormat="1" applyFont="1" applyBorder="1" applyAlignment="1">
      <alignment horizontal="center" vertical="center"/>
    </xf>
    <xf numFmtId="168" fontId="60" fillId="0" borderId="276" xfId="0" applyNumberFormat="1" applyFont="1" applyBorder="1" applyAlignment="1">
      <alignment horizontal="center" vertical="center"/>
    </xf>
    <xf numFmtId="168" fontId="17" fillId="0" borderId="276" xfId="0" applyNumberFormat="1" applyFont="1" applyBorder="1" applyAlignment="1">
      <alignment horizontal="center" vertical="center"/>
    </xf>
    <xf numFmtId="0" fontId="60" fillId="0" borderId="276" xfId="0" applyFont="1" applyBorder="1" applyAlignment="1">
      <alignment horizontal="center" vertical="center"/>
    </xf>
    <xf numFmtId="2" fontId="60" fillId="0" borderId="276" xfId="0" applyNumberFormat="1" applyFont="1" applyFill="1" applyBorder="1" applyAlignment="1">
      <alignment horizontal="center" vertical="center" wrapText="1"/>
    </xf>
    <xf numFmtId="2" fontId="60" fillId="0" borderId="277" xfId="0" applyNumberFormat="1" applyFont="1" applyFill="1" applyBorder="1" applyAlignment="1">
      <alignment horizontal="center" vertical="center" wrapText="1"/>
    </xf>
    <xf numFmtId="168" fontId="60" fillId="0" borderId="276" xfId="0" applyNumberFormat="1" applyFont="1" applyFill="1" applyBorder="1" applyAlignment="1">
      <alignment vertical="center"/>
    </xf>
    <xf numFmtId="2" fontId="60" fillId="0" borderId="277" xfId="0" applyNumberFormat="1" applyFont="1" applyFill="1" applyBorder="1" applyAlignment="1">
      <alignment vertical="center"/>
    </xf>
    <xf numFmtId="0" fontId="60" fillId="0" borderId="276" xfId="0" applyFont="1" applyFill="1" applyBorder="1" applyAlignment="1">
      <alignment vertical="center"/>
    </xf>
    <xf numFmtId="0" fontId="60" fillId="0" borderId="277" xfId="0" applyFont="1" applyFill="1" applyBorder="1" applyAlignment="1">
      <alignment vertical="center"/>
    </xf>
    <xf numFmtId="168" fontId="17" fillId="0" borderId="276" xfId="0" applyNumberFormat="1" applyFont="1" applyFill="1" applyBorder="1" applyAlignment="1">
      <alignment vertical="center"/>
    </xf>
    <xf numFmtId="2" fontId="17" fillId="0" borderId="277" xfId="0" applyNumberFormat="1" applyFont="1" applyFill="1" applyBorder="1" applyAlignment="1">
      <alignment vertical="center"/>
    </xf>
    <xf numFmtId="0" fontId="60" fillId="0" borderId="269" xfId="0" applyFont="1" applyFill="1" applyBorder="1" applyAlignment="1">
      <alignment vertical="center"/>
    </xf>
    <xf numFmtId="4" fontId="60" fillId="0" borderId="277" xfId="0" applyNumberFormat="1" applyFont="1" applyFill="1" applyBorder="1" applyAlignment="1">
      <alignment vertical="center"/>
    </xf>
    <xf numFmtId="168" fontId="60" fillId="0" borderId="277" xfId="0" applyNumberFormat="1" applyFont="1" applyFill="1" applyBorder="1" applyAlignment="1">
      <alignment vertical="center"/>
    </xf>
    <xf numFmtId="4" fontId="60" fillId="0" borderId="278" xfId="0" applyNumberFormat="1" applyFont="1" applyFill="1" applyBorder="1" applyAlignment="1">
      <alignment vertical="center"/>
    </xf>
    <xf numFmtId="4" fontId="17" fillId="0" borderId="277" xfId="0" applyNumberFormat="1" applyFont="1" applyFill="1" applyBorder="1" applyAlignment="1">
      <alignment vertical="center"/>
    </xf>
    <xf numFmtId="168" fontId="17" fillId="0" borderId="277" xfId="0" applyNumberFormat="1" applyFont="1" applyFill="1" applyBorder="1" applyAlignment="1">
      <alignment vertical="center"/>
    </xf>
    <xf numFmtId="4" fontId="17" fillId="0" borderId="278" xfId="0" applyNumberFormat="1" applyFont="1" applyFill="1" applyBorder="1" applyAlignment="1">
      <alignment vertical="center"/>
    </xf>
    <xf numFmtId="0" fontId="60" fillId="0" borderId="278" xfId="0" applyFont="1" applyFill="1" applyBorder="1" applyAlignment="1">
      <alignment vertical="center"/>
    </xf>
    <xf numFmtId="0" fontId="60" fillId="0" borderId="272" xfId="0" applyFont="1" applyFill="1" applyBorder="1" applyAlignment="1">
      <alignment vertical="center"/>
    </xf>
    <xf numFmtId="10" fontId="60" fillId="0" borderId="38" xfId="85" applyNumberFormat="1" applyFont="1" applyFill="1" applyBorder="1" applyAlignment="1">
      <alignment vertical="center"/>
    </xf>
    <xf numFmtId="0" fontId="13" fillId="0" borderId="0" xfId="79" applyFont="1"/>
    <xf numFmtId="171" fontId="13" fillId="0" borderId="11" xfId="85" applyNumberFormat="1" applyFont="1" applyFill="1" applyBorder="1" applyAlignment="1">
      <alignment vertical="center"/>
    </xf>
    <xf numFmtId="171" fontId="13" fillId="0" borderId="35" xfId="85" applyNumberFormat="1" applyFont="1" applyFill="1" applyBorder="1" applyAlignment="1">
      <alignment vertical="center"/>
    </xf>
    <xf numFmtId="171" fontId="13" fillId="0" borderId="38" xfId="85" applyNumberFormat="1" applyFont="1" applyFill="1" applyBorder="1" applyAlignment="1">
      <alignment vertical="center"/>
    </xf>
    <xf numFmtId="171" fontId="13" fillId="0" borderId="92" xfId="85" applyNumberFormat="1" applyFont="1" applyFill="1" applyBorder="1" applyAlignment="1">
      <alignment vertical="center"/>
    </xf>
    <xf numFmtId="171" fontId="13" fillId="0" borderId="203" xfId="85" applyNumberFormat="1" applyFont="1" applyFill="1" applyBorder="1" applyAlignment="1">
      <alignment vertical="center"/>
    </xf>
    <xf numFmtId="171" fontId="13" fillId="0" borderId="198" xfId="85" applyNumberFormat="1" applyFont="1" applyFill="1" applyBorder="1" applyAlignment="1">
      <alignment vertical="center"/>
    </xf>
    <xf numFmtId="171" fontId="13" fillId="0" borderId="192" xfId="85" applyNumberFormat="1" applyFont="1" applyFill="1" applyBorder="1" applyAlignment="1">
      <alignment vertical="center"/>
    </xf>
    <xf numFmtId="0" fontId="13" fillId="0" borderId="0" xfId="79" applyFont="1" applyFill="1"/>
    <xf numFmtId="171" fontId="13" fillId="0" borderId="192" xfId="85" applyNumberFormat="1" applyFont="1" applyFill="1" applyBorder="1" applyAlignment="1">
      <alignment vertical="center" wrapText="1"/>
    </xf>
    <xf numFmtId="0" fontId="13" fillId="0" borderId="192" xfId="79" applyFont="1" applyBorder="1" applyAlignment="1">
      <alignment wrapText="1"/>
    </xf>
    <xf numFmtId="171" fontId="13" fillId="0" borderId="87" xfId="85" applyNumberFormat="1" applyFont="1" applyFill="1" applyBorder="1" applyAlignment="1">
      <alignment vertical="center"/>
    </xf>
    <xf numFmtId="171" fontId="13" fillId="0" borderId="199" xfId="85" applyNumberFormat="1" applyFont="1" applyFill="1" applyBorder="1" applyAlignment="1">
      <alignment vertical="center"/>
    </xf>
    <xf numFmtId="0" fontId="13" fillId="0" borderId="75" xfId="79" applyFont="1" applyFill="1" applyBorder="1" applyAlignment="1">
      <alignment vertical="center"/>
    </xf>
    <xf numFmtId="0" fontId="13" fillId="0" borderId="76" xfId="79" applyFont="1" applyFill="1" applyBorder="1" applyAlignment="1">
      <alignment vertical="center"/>
    </xf>
    <xf numFmtId="0" fontId="13" fillId="0" borderId="81" xfId="79" applyFont="1" applyFill="1" applyBorder="1" applyAlignment="1">
      <alignment vertical="center"/>
    </xf>
    <xf numFmtId="0" fontId="13" fillId="0" borderId="77" xfId="79" applyFont="1" applyFill="1" applyBorder="1" applyAlignment="1">
      <alignment vertical="center"/>
    </xf>
    <xf numFmtId="10" fontId="13" fillId="0" borderId="76" xfId="85" applyNumberFormat="1" applyFont="1" applyFill="1" applyBorder="1" applyAlignment="1">
      <alignment vertical="center"/>
    </xf>
    <xf numFmtId="0" fontId="13" fillId="0" borderId="53" xfId="79" applyFont="1" applyFill="1" applyBorder="1" applyAlignment="1">
      <alignment vertical="center"/>
    </xf>
    <xf numFmtId="2" fontId="13" fillId="0" borderId="53" xfId="79" applyNumberFormat="1" applyFont="1" applyFill="1" applyBorder="1" applyAlignment="1">
      <alignment vertical="center"/>
    </xf>
    <xf numFmtId="10" fontId="13" fillId="0" borderId="75" xfId="85" applyNumberFormat="1" applyFont="1" applyFill="1" applyBorder="1" applyAlignment="1">
      <alignment vertical="center"/>
    </xf>
    <xf numFmtId="0" fontId="13" fillId="0" borderId="0" xfId="79" applyFont="1" applyFill="1" applyAlignment="1">
      <alignment vertical="center"/>
    </xf>
    <xf numFmtId="0" fontId="13" fillId="0" borderId="0" xfId="79" applyFont="1" applyAlignment="1">
      <alignment vertical="center"/>
    </xf>
    <xf numFmtId="0" fontId="12" fillId="0" borderId="0" xfId="79" applyFont="1"/>
    <xf numFmtId="10" fontId="13" fillId="0" borderId="22" xfId="79" applyNumberFormat="1" applyFont="1" applyFill="1" applyBorder="1" applyAlignment="1">
      <alignment vertical="center"/>
    </xf>
    <xf numFmtId="4" fontId="13" fillId="0" borderId="37" xfId="79" applyNumberFormat="1" applyFont="1" applyFill="1" applyBorder="1" applyAlignment="1">
      <alignment horizontal="center" vertical="center"/>
    </xf>
    <xf numFmtId="4" fontId="13" fillId="0" borderId="285" xfId="79" applyNumberFormat="1" applyFont="1" applyFill="1" applyBorder="1" applyAlignment="1">
      <alignment horizontal="center" vertical="center"/>
    </xf>
    <xf numFmtId="4" fontId="13" fillId="0" borderId="287" xfId="79" applyNumberFormat="1" applyFont="1" applyFill="1" applyBorder="1" applyAlignment="1">
      <alignment horizontal="center" vertical="center"/>
    </xf>
    <xf numFmtId="171" fontId="49" fillId="0" borderId="285" xfId="85" applyNumberFormat="1" applyFont="1" applyFill="1" applyBorder="1" applyAlignment="1">
      <alignment horizontal="center" vertical="center"/>
    </xf>
    <xf numFmtId="171" fontId="49" fillId="0" borderId="287" xfId="85" applyNumberFormat="1" applyFont="1" applyFill="1" applyBorder="1" applyAlignment="1">
      <alignment horizontal="center" vertical="center"/>
    </xf>
    <xf numFmtId="170" fontId="48" fillId="0" borderId="285" xfId="79" applyNumberFormat="1" applyFont="1" applyFill="1" applyBorder="1" applyAlignment="1">
      <alignment horizontal="center" vertical="center"/>
    </xf>
    <xf numFmtId="170" fontId="48" fillId="0" borderId="287" xfId="79" applyNumberFormat="1" applyFont="1" applyFill="1" applyBorder="1" applyAlignment="1">
      <alignment horizontal="center" vertical="center"/>
    </xf>
    <xf numFmtId="4" fontId="17" fillId="28" borderId="16" xfId="0" applyNumberFormat="1" applyFont="1" applyFill="1" applyBorder="1" applyAlignment="1">
      <alignment horizontal="right" vertical="center"/>
    </xf>
    <xf numFmtId="0" fontId="17" fillId="28" borderId="16" xfId="0" applyFont="1" applyFill="1" applyBorder="1" applyAlignment="1">
      <alignment horizontal="right" vertical="center"/>
    </xf>
    <xf numFmtId="0" fontId="60" fillId="0" borderId="234" xfId="0" applyFont="1" applyFill="1" applyBorder="1" applyAlignment="1">
      <alignment horizontal="center" vertical="center"/>
    </xf>
    <xf numFmtId="4" fontId="17" fillId="0" borderId="16" xfId="0" applyNumberFormat="1" applyFont="1" applyFill="1" applyBorder="1" applyAlignment="1">
      <alignment horizontal="right" vertical="center"/>
    </xf>
    <xf numFmtId="2" fontId="60" fillId="0" borderId="232" xfId="0" applyNumberFormat="1" applyFont="1" applyFill="1" applyBorder="1" applyAlignment="1">
      <alignment horizontal="center" vertical="center" wrapText="1"/>
    </xf>
    <xf numFmtId="168" fontId="60" fillId="0" borderId="232" xfId="0" applyNumberFormat="1" applyFont="1" applyFill="1" applyBorder="1" applyAlignment="1">
      <alignment horizontal="center" vertical="center"/>
    </xf>
    <xf numFmtId="2" fontId="60" fillId="0" borderId="255" xfId="0" applyNumberFormat="1" applyFont="1" applyFill="1" applyBorder="1" applyAlignment="1">
      <alignment horizontal="center" vertical="center"/>
    </xf>
    <xf numFmtId="4" fontId="60" fillId="0" borderId="234" xfId="0" applyNumberFormat="1" applyFont="1" applyFill="1" applyBorder="1" applyAlignment="1">
      <alignment horizontal="center" vertical="center"/>
    </xf>
    <xf numFmtId="169" fontId="60" fillId="0" borderId="255" xfId="0" applyNumberFormat="1" applyFont="1" applyFill="1" applyBorder="1" applyAlignment="1">
      <alignment horizontal="center" vertical="center"/>
    </xf>
    <xf numFmtId="168" fontId="17" fillId="0" borderId="232" xfId="0" applyNumberFormat="1" applyFont="1" applyFill="1" applyBorder="1" applyAlignment="1">
      <alignment horizontal="center" vertical="center"/>
    </xf>
    <xf numFmtId="4" fontId="17" fillId="0" borderId="255" xfId="0" applyNumberFormat="1" applyFont="1" applyFill="1" applyBorder="1" applyAlignment="1">
      <alignment horizontal="center" vertical="center"/>
    </xf>
    <xf numFmtId="4" fontId="17" fillId="0" borderId="234" xfId="0" applyNumberFormat="1" applyFont="1" applyFill="1" applyBorder="1" applyAlignment="1">
      <alignment horizontal="center" vertical="center"/>
    </xf>
    <xf numFmtId="0" fontId="60" fillId="0" borderId="232" xfId="0" applyFont="1" applyFill="1" applyBorder="1" applyAlignment="1">
      <alignment horizontal="center" vertical="center"/>
    </xf>
    <xf numFmtId="0" fontId="60" fillId="0" borderId="255" xfId="0" applyFont="1" applyFill="1" applyBorder="1" applyAlignment="1">
      <alignment horizontal="center" vertical="center"/>
    </xf>
    <xf numFmtId="2" fontId="84" fillId="28" borderId="37" xfId="0" applyNumberFormat="1" applyFont="1" applyFill="1" applyBorder="1" applyAlignment="1">
      <alignment horizontal="center" vertical="center"/>
    </xf>
    <xf numFmtId="0" fontId="16" fillId="28" borderId="76" xfId="0" applyFont="1" applyFill="1" applyBorder="1" applyAlignment="1">
      <alignment vertical="center"/>
    </xf>
    <xf numFmtId="4" fontId="16" fillId="28" borderId="76" xfId="0" applyNumberFormat="1" applyFont="1" applyFill="1" applyBorder="1" applyAlignment="1">
      <alignment horizontal="center" vertical="center"/>
    </xf>
    <xf numFmtId="0" fontId="16" fillId="28" borderId="24" xfId="0" applyFont="1" applyFill="1" applyBorder="1" applyAlignment="1">
      <alignment horizontal="center" vertical="center"/>
    </xf>
    <xf numFmtId="4" fontId="16" fillId="28" borderId="43" xfId="0" applyNumberFormat="1" applyFont="1" applyFill="1" applyBorder="1" applyAlignment="1">
      <alignment horizontal="center" vertical="center"/>
    </xf>
    <xf numFmtId="0" fontId="16" fillId="28" borderId="43" xfId="0" applyFont="1" applyFill="1" applyBorder="1" applyAlignment="1">
      <alignment horizontal="center" vertical="center"/>
    </xf>
    <xf numFmtId="4" fontId="60" fillId="0" borderId="16" xfId="0" applyNumberFormat="1" applyFont="1" applyBorder="1" applyAlignment="1">
      <alignment horizontal="center" vertical="center"/>
    </xf>
    <xf numFmtId="4" fontId="60" fillId="0" borderId="17" xfId="0" applyNumberFormat="1" applyFont="1" applyBorder="1" applyAlignment="1">
      <alignment horizontal="center" vertical="center"/>
    </xf>
    <xf numFmtId="171" fontId="60" fillId="0" borderId="18" xfId="85" applyNumberFormat="1" applyFont="1" applyBorder="1" applyAlignment="1">
      <alignment horizontal="center" vertical="center"/>
    </xf>
    <xf numFmtId="4" fontId="60" fillId="0" borderId="285" xfId="0" applyNumberFormat="1" applyFont="1" applyBorder="1" applyAlignment="1">
      <alignment horizontal="center" vertical="center"/>
    </xf>
    <xf numFmtId="171" fontId="60" fillId="0" borderId="286" xfId="85" applyNumberFormat="1" applyFont="1" applyBorder="1" applyAlignment="1">
      <alignment horizontal="center" vertical="center"/>
    </xf>
    <xf numFmtId="4" fontId="17" fillId="0" borderId="285" xfId="0" applyNumberFormat="1" applyFont="1" applyBorder="1" applyAlignment="1">
      <alignment horizontal="center" vertical="center"/>
    </xf>
    <xf numFmtId="4" fontId="17" fillId="0" borderId="287" xfId="0" applyNumberFormat="1" applyFont="1" applyBorder="1" applyAlignment="1">
      <alignment horizontal="center" vertical="center"/>
    </xf>
    <xf numFmtId="4" fontId="60" fillId="0" borderId="287" xfId="0" applyNumberFormat="1" applyFont="1" applyBorder="1" applyAlignment="1">
      <alignment horizontal="center" vertical="center"/>
    </xf>
    <xf numFmtId="4" fontId="17" fillId="0" borderId="273" xfId="0" applyNumberFormat="1" applyFont="1" applyBorder="1" applyAlignment="1">
      <alignment horizontal="center" vertical="center"/>
    </xf>
    <xf numFmtId="4" fontId="17" fillId="0" borderId="279" xfId="0" applyNumberFormat="1" applyFont="1" applyBorder="1" applyAlignment="1">
      <alignment horizontal="center" vertical="center"/>
    </xf>
    <xf numFmtId="171" fontId="17" fillId="0" borderId="271" xfId="85" applyNumberFormat="1" applyFont="1" applyBorder="1" applyAlignment="1">
      <alignment horizontal="center" vertical="center"/>
    </xf>
    <xf numFmtId="171" fontId="17" fillId="0" borderId="77" xfId="85" applyNumberFormat="1" applyFont="1" applyBorder="1" applyAlignment="1">
      <alignment horizontal="center" vertical="center"/>
    </xf>
    <xf numFmtId="4" fontId="60" fillId="28" borderId="16" xfId="0" applyNumberFormat="1" applyFont="1" applyFill="1" applyBorder="1" applyAlignment="1">
      <alignment horizontal="center" vertical="center"/>
    </xf>
    <xf numFmtId="4" fontId="17" fillId="0" borderId="76" xfId="0" applyNumberFormat="1" applyFont="1" applyBorder="1" applyAlignment="1">
      <alignment vertical="center"/>
    </xf>
    <xf numFmtId="0" fontId="17" fillId="0" borderId="58" xfId="0" applyFont="1" applyFill="1" applyBorder="1" applyAlignment="1">
      <alignment vertical="center"/>
    </xf>
    <xf numFmtId="0" fontId="62" fillId="0" borderId="80" xfId="0" applyFont="1" applyBorder="1" applyAlignment="1">
      <alignment vertical="center"/>
    </xf>
    <xf numFmtId="0" fontId="62" fillId="0" borderId="76" xfId="0" applyFont="1" applyBorder="1" applyAlignment="1">
      <alignment vertical="center"/>
    </xf>
    <xf numFmtId="169" fontId="83" fillId="0" borderId="76" xfId="0" applyNumberFormat="1" applyFont="1" applyFill="1" applyBorder="1" applyAlignment="1">
      <alignment horizontal="center" vertical="center"/>
    </xf>
    <xf numFmtId="4" fontId="17" fillId="0" borderId="77" xfId="0" applyNumberFormat="1" applyFont="1" applyBorder="1" applyAlignment="1">
      <alignment vertical="center"/>
    </xf>
    <xf numFmtId="2" fontId="61" fillId="0" borderId="11" xfId="89" applyNumberFormat="1" applyFont="1" applyFill="1" applyBorder="1" applyAlignment="1">
      <alignment vertical="center"/>
    </xf>
    <xf numFmtId="4" fontId="17" fillId="28" borderId="75" xfId="0" applyNumberFormat="1" applyFont="1" applyFill="1" applyBorder="1" applyAlignment="1">
      <alignment horizontal="center" vertical="center"/>
    </xf>
    <xf numFmtId="4" fontId="60" fillId="0" borderId="187" xfId="0" applyNumberFormat="1" applyFont="1" applyFill="1" applyBorder="1" applyAlignment="1">
      <alignment horizontal="center" vertical="center"/>
    </xf>
    <xf numFmtId="4" fontId="60" fillId="0" borderId="15" xfId="0" applyNumberFormat="1" applyFont="1" applyFill="1" applyBorder="1" applyAlignment="1">
      <alignment horizontal="center" vertical="center"/>
    </xf>
    <xf numFmtId="4" fontId="17" fillId="0" borderId="58" xfId="0" applyNumberFormat="1" applyFont="1" applyFill="1" applyBorder="1" applyAlignment="1">
      <alignment horizontal="center" vertical="center"/>
    </xf>
    <xf numFmtId="4" fontId="60" fillId="0" borderId="289" xfId="0" applyNumberFormat="1" applyFont="1" applyFill="1" applyBorder="1" applyAlignment="1">
      <alignment vertical="center"/>
    </xf>
    <xf numFmtId="4" fontId="61" fillId="0" borderId="289" xfId="0" applyNumberFormat="1" applyFont="1" applyFill="1" applyBorder="1" applyAlignment="1">
      <alignment vertical="center"/>
    </xf>
    <xf numFmtId="4" fontId="61" fillId="0" borderId="290" xfId="0" applyNumberFormat="1" applyFont="1" applyFill="1" applyBorder="1" applyAlignment="1">
      <alignment vertical="center"/>
    </xf>
    <xf numFmtId="10" fontId="60" fillId="0" borderId="289" xfId="85" applyNumberFormat="1" applyFont="1" applyFill="1" applyBorder="1" applyAlignment="1">
      <alignment horizontal="center" vertical="center"/>
    </xf>
    <xf numFmtId="10" fontId="60" fillId="0" borderId="290" xfId="85" applyNumberFormat="1" applyFont="1" applyFill="1" applyBorder="1" applyAlignment="1">
      <alignment horizontal="center" vertical="center"/>
    </xf>
    <xf numFmtId="4" fontId="60" fillId="0" borderId="289" xfId="0" applyNumberFormat="1" applyFont="1" applyFill="1" applyBorder="1" applyAlignment="1">
      <alignment horizontal="center" vertical="center"/>
    </xf>
    <xf numFmtId="4" fontId="60" fillId="0" borderId="292" xfId="0" applyNumberFormat="1" applyFont="1" applyFill="1" applyBorder="1" applyAlignment="1">
      <alignment horizontal="center" vertical="center"/>
    </xf>
    <xf numFmtId="4" fontId="60" fillId="0" borderId="290" xfId="0" applyNumberFormat="1" applyFont="1" applyFill="1" applyBorder="1" applyAlignment="1">
      <alignment horizontal="center" vertical="center"/>
    </xf>
    <xf numFmtId="4" fontId="60" fillId="0" borderId="293" xfId="0" applyNumberFormat="1" applyFont="1" applyFill="1" applyBorder="1" applyAlignment="1">
      <alignment horizontal="center" vertical="center"/>
    </xf>
    <xf numFmtId="4" fontId="60" fillId="0" borderId="187" xfId="0" applyNumberFormat="1" applyFont="1" applyFill="1" applyBorder="1" applyAlignment="1">
      <alignment vertical="center"/>
    </xf>
    <xf numFmtId="4" fontId="61" fillId="0" borderId="187" xfId="0" applyNumberFormat="1" applyFont="1" applyFill="1" applyBorder="1" applyAlignment="1">
      <alignment vertical="center"/>
    </xf>
    <xf numFmtId="10" fontId="60" fillId="0" borderId="187" xfId="85" applyNumberFormat="1" applyFont="1" applyFill="1" applyBorder="1" applyAlignment="1">
      <alignment horizontal="center" vertical="center"/>
    </xf>
    <xf numFmtId="4" fontId="101" fillId="0" borderId="187" xfId="0" applyNumberFormat="1" applyFont="1" applyFill="1" applyBorder="1" applyAlignment="1">
      <alignment vertical="center"/>
    </xf>
    <xf numFmtId="4" fontId="60" fillId="0" borderId="15" xfId="0" applyNumberFormat="1" applyFont="1" applyFill="1" applyBorder="1" applyAlignment="1">
      <alignment vertical="center"/>
    </xf>
    <xf numFmtId="170" fontId="60" fillId="0" borderId="58" xfId="0" applyNumberFormat="1" applyFont="1" applyFill="1" applyBorder="1" applyAlignment="1">
      <alignment vertical="center"/>
    </xf>
    <xf numFmtId="4" fontId="60" fillId="0" borderId="13" xfId="0" applyNumberFormat="1" applyFont="1" applyFill="1" applyBorder="1" applyAlignment="1">
      <alignment horizontal="center" vertical="center"/>
    </xf>
    <xf numFmtId="10" fontId="60" fillId="0" borderId="34" xfId="85" applyNumberFormat="1" applyFont="1" applyFill="1" applyBorder="1" applyAlignment="1">
      <alignment vertical="center"/>
    </xf>
    <xf numFmtId="10" fontId="60" fillId="0" borderId="187" xfId="85" applyNumberFormat="1" applyFont="1" applyFill="1" applyBorder="1" applyAlignment="1">
      <alignment vertical="center"/>
    </xf>
    <xf numFmtId="10" fontId="60" fillId="0" borderId="15" xfId="85" applyNumberFormat="1" applyFont="1" applyFill="1" applyBorder="1" applyAlignment="1">
      <alignment vertical="center"/>
    </xf>
    <xf numFmtId="0" fontId="48" fillId="0" borderId="34" xfId="79" applyFont="1" applyFill="1" applyBorder="1" applyAlignment="1">
      <alignment vertical="center"/>
    </xf>
    <xf numFmtId="4" fontId="13" fillId="28" borderId="11" xfId="79" applyNumberFormat="1" applyFont="1" applyFill="1" applyBorder="1" applyAlignment="1">
      <alignment horizontal="center" vertical="center"/>
    </xf>
    <xf numFmtId="0" fontId="60" fillId="0" borderId="96" xfId="0" applyFont="1" applyFill="1" applyBorder="1" applyAlignment="1">
      <alignment horizontal="center" vertical="center" wrapText="1"/>
    </xf>
    <xf numFmtId="0" fontId="0" fillId="0" borderId="114" xfId="0" applyBorder="1" applyAlignment="1">
      <alignment vertical="center"/>
    </xf>
    <xf numFmtId="4" fontId="0" fillId="0" borderId="105" xfId="0" applyNumberFormat="1" applyBorder="1" applyAlignment="1">
      <alignment vertical="center"/>
    </xf>
    <xf numFmtId="0" fontId="0" fillId="0" borderId="102" xfId="0" applyBorder="1" applyAlignment="1">
      <alignment vertical="center"/>
    </xf>
    <xf numFmtId="4" fontId="0" fillId="0" borderId="105" xfId="0" applyNumberFormat="1" applyFill="1" applyBorder="1" applyAlignment="1">
      <alignment vertical="center"/>
    </xf>
    <xf numFmtId="0" fontId="0" fillId="28" borderId="16" xfId="0" applyFill="1" applyBorder="1" applyAlignment="1">
      <alignment horizontal="center" vertical="center" wrapText="1"/>
    </xf>
    <xf numFmtId="4" fontId="0" fillId="28" borderId="105" xfId="0" applyNumberFormat="1" applyFill="1" applyBorder="1"/>
    <xf numFmtId="4" fontId="0" fillId="28" borderId="105" xfId="0" applyNumberFormat="1" applyFill="1" applyBorder="1" applyAlignment="1">
      <alignment vertical="center"/>
    </xf>
    <xf numFmtId="4" fontId="0" fillId="28" borderId="21" xfId="0" applyNumberFormat="1" applyFill="1" applyBorder="1"/>
    <xf numFmtId="0" fontId="60" fillId="0" borderId="260" xfId="0" applyFont="1" applyFill="1" applyBorder="1" applyAlignment="1">
      <alignment horizontal="center" vertical="center" wrapText="1"/>
    </xf>
    <xf numFmtId="0" fontId="60" fillId="0" borderId="229" xfId="0" applyFont="1" applyFill="1" applyBorder="1" applyAlignment="1">
      <alignment horizontal="center" vertical="center" wrapText="1"/>
    </xf>
    <xf numFmtId="4" fontId="60" fillId="0" borderId="261" xfId="0" applyNumberFormat="1" applyFont="1" applyFill="1" applyBorder="1" applyAlignment="1">
      <alignment horizontal="center" vertical="center"/>
    </xf>
    <xf numFmtId="4" fontId="60" fillId="0" borderId="262" xfId="0" applyNumberFormat="1" applyFont="1" applyFill="1" applyBorder="1" applyAlignment="1">
      <alignment horizontal="center" vertical="center"/>
    </xf>
    <xf numFmtId="4" fontId="60" fillId="0" borderId="263" xfId="0" applyNumberFormat="1" applyFont="1" applyFill="1" applyBorder="1" applyAlignment="1">
      <alignment horizontal="center" vertical="center"/>
    </xf>
    <xf numFmtId="10" fontId="61" fillId="0" borderId="261" xfId="85" applyNumberFormat="1" applyFont="1" applyFill="1" applyBorder="1" applyAlignment="1">
      <alignment horizontal="center" vertical="center"/>
    </xf>
    <xf numFmtId="10" fontId="61" fillId="0" borderId="262" xfId="85" applyNumberFormat="1" applyFont="1" applyFill="1" applyBorder="1" applyAlignment="1">
      <alignment horizontal="center" vertical="center"/>
    </xf>
    <xf numFmtId="10" fontId="61" fillId="0" borderId="263" xfId="85" applyNumberFormat="1" applyFont="1" applyFill="1" applyBorder="1" applyAlignment="1">
      <alignment horizontal="center" vertical="center"/>
    </xf>
    <xf numFmtId="4" fontId="17" fillId="0" borderId="261" xfId="0" applyNumberFormat="1" applyFont="1" applyFill="1" applyBorder="1" applyAlignment="1">
      <alignment horizontal="center" vertical="center"/>
    </xf>
    <xf numFmtId="4" fontId="17" fillId="0" borderId="262" xfId="0" applyNumberFormat="1" applyFont="1" applyFill="1" applyBorder="1" applyAlignment="1">
      <alignment horizontal="center" vertical="center"/>
    </xf>
    <xf numFmtId="4" fontId="17" fillId="0" borderId="263" xfId="0" applyNumberFormat="1" applyFont="1" applyFill="1" applyBorder="1" applyAlignment="1">
      <alignment horizontal="center" vertical="center"/>
    </xf>
    <xf numFmtId="4" fontId="17" fillId="0" borderId="276" xfId="0" applyNumberFormat="1" applyFont="1" applyFill="1" applyBorder="1" applyAlignment="1">
      <alignment horizontal="center" vertical="center"/>
    </xf>
    <xf numFmtId="4" fontId="17" fillId="0" borderId="278" xfId="0" applyNumberFormat="1" applyFont="1" applyFill="1" applyBorder="1" applyAlignment="1">
      <alignment horizontal="center" vertical="center"/>
    </xf>
    <xf numFmtId="4" fontId="17" fillId="0" borderId="261" xfId="0" applyNumberFormat="1" applyFont="1" applyFill="1" applyBorder="1" applyAlignment="1">
      <alignment horizontal="center" vertical="center" wrapText="1"/>
    </xf>
    <xf numFmtId="4" fontId="17" fillId="0" borderId="262" xfId="0" applyNumberFormat="1" applyFont="1" applyFill="1" applyBorder="1" applyAlignment="1">
      <alignment horizontal="center" vertical="center" wrapText="1"/>
    </xf>
    <xf numFmtId="4" fontId="17" fillId="0" borderId="263" xfId="0" applyNumberFormat="1" applyFont="1" applyFill="1" applyBorder="1" applyAlignment="1">
      <alignment horizontal="center" vertical="center" wrapText="1"/>
    </xf>
    <xf numFmtId="4" fontId="17" fillId="0" borderId="260" xfId="0" applyNumberFormat="1" applyFont="1" applyFill="1" applyBorder="1" applyAlignment="1">
      <alignment horizontal="center" vertical="center"/>
    </xf>
    <xf numFmtId="4" fontId="17" fillId="0" borderId="229" xfId="0" applyNumberFormat="1" applyFont="1" applyFill="1" applyBorder="1" applyAlignment="1">
      <alignment horizontal="center" vertical="center"/>
    </xf>
    <xf numFmtId="4" fontId="60" fillId="0" borderId="16" xfId="0" applyNumberFormat="1" applyFont="1" applyFill="1" applyBorder="1"/>
    <xf numFmtId="4" fontId="60" fillId="0" borderId="17" xfId="0" applyNumberFormat="1" applyFont="1" applyFill="1" applyBorder="1"/>
    <xf numFmtId="4" fontId="60" fillId="0" borderId="18" xfId="0" applyNumberFormat="1" applyFont="1" applyFill="1" applyBorder="1"/>
    <xf numFmtId="4" fontId="60" fillId="0" borderId="27" xfId="0" applyNumberFormat="1" applyFont="1" applyFill="1" applyBorder="1"/>
    <xf numFmtId="4" fontId="60" fillId="0" borderId="261" xfId="0" applyNumberFormat="1" applyFont="1" applyFill="1" applyBorder="1"/>
    <xf numFmtId="4" fontId="60" fillId="0" borderId="262" xfId="0" applyNumberFormat="1" applyFont="1" applyFill="1" applyBorder="1"/>
    <xf numFmtId="4" fontId="60" fillId="0" borderId="263" xfId="0" applyNumberFormat="1" applyFont="1" applyFill="1" applyBorder="1"/>
    <xf numFmtId="4" fontId="60" fillId="0" borderId="264" xfId="0" applyNumberFormat="1" applyFont="1" applyFill="1" applyBorder="1"/>
    <xf numFmtId="4" fontId="17" fillId="0" borderId="261" xfId="0" applyNumberFormat="1" applyFont="1" applyFill="1" applyBorder="1"/>
    <xf numFmtId="4" fontId="17" fillId="0" borderId="262" xfId="0" applyNumberFormat="1" applyFont="1" applyFill="1" applyBorder="1"/>
    <xf numFmtId="4" fontId="17" fillId="0" borderId="263" xfId="0" applyNumberFormat="1" applyFont="1" applyFill="1" applyBorder="1"/>
    <xf numFmtId="4" fontId="17" fillId="0" borderId="264" xfId="0" applyNumberFormat="1" applyFont="1" applyFill="1" applyBorder="1"/>
    <xf numFmtId="2" fontId="17" fillId="0" borderId="261" xfId="0" applyNumberFormat="1" applyFont="1" applyFill="1" applyBorder="1"/>
    <xf numFmtId="2" fontId="17" fillId="0" borderId="262" xfId="0" applyNumberFormat="1" applyFont="1" applyFill="1" applyBorder="1"/>
    <xf numFmtId="2" fontId="17" fillId="0" borderId="263" xfId="0" applyNumberFormat="1" applyFont="1" applyFill="1" applyBorder="1"/>
    <xf numFmtId="2" fontId="17" fillId="0" borderId="264" xfId="0" applyNumberFormat="1" applyFont="1" applyFill="1" applyBorder="1"/>
    <xf numFmtId="10" fontId="126" fillId="0" borderId="0" xfId="0" applyNumberFormat="1" applyFont="1"/>
    <xf numFmtId="2" fontId="17" fillId="0" borderId="292" xfId="0" applyNumberFormat="1" applyFont="1" applyBorder="1"/>
    <xf numFmtId="171" fontId="61" fillId="0" borderId="297" xfId="85" applyNumberFormat="1" applyFont="1" applyBorder="1"/>
    <xf numFmtId="2" fontId="17" fillId="0" borderId="297" xfId="0" applyNumberFormat="1" applyFont="1" applyBorder="1"/>
    <xf numFmtId="2" fontId="17" fillId="0" borderId="293" xfId="0" applyNumberFormat="1" applyFont="1" applyBorder="1"/>
    <xf numFmtId="2" fontId="17" fillId="0" borderId="292" xfId="0" applyNumberFormat="1" applyFont="1" applyFill="1" applyBorder="1"/>
    <xf numFmtId="2" fontId="17" fillId="0" borderId="297" xfId="0" applyNumberFormat="1" applyFont="1" applyFill="1" applyBorder="1"/>
    <xf numFmtId="2" fontId="17" fillId="0" borderId="293" xfId="0" applyNumberFormat="1" applyFont="1" applyFill="1" applyBorder="1"/>
    <xf numFmtId="2" fontId="17" fillId="0" borderId="298" xfId="0" applyNumberFormat="1" applyFont="1" applyFill="1" applyBorder="1"/>
    <xf numFmtId="0" fontId="17" fillId="0" borderId="55" xfId="0" applyFont="1" applyBorder="1"/>
    <xf numFmtId="0" fontId="17" fillId="0" borderId="299" xfId="0" applyFont="1" applyBorder="1"/>
    <xf numFmtId="171" fontId="17" fillId="0" borderId="297" xfId="0" applyNumberFormat="1" applyFont="1" applyFill="1" applyBorder="1" applyAlignment="1">
      <alignment horizontal="center" vertical="center" wrapText="1"/>
    </xf>
    <xf numFmtId="2" fontId="17" fillId="0" borderId="298" xfId="0" applyNumberFormat="1" applyFont="1" applyBorder="1"/>
    <xf numFmtId="171" fontId="83" fillId="0" borderId="297" xfId="0" applyNumberFormat="1" applyFont="1" applyFill="1" applyBorder="1" applyAlignment="1">
      <alignment horizontal="center" vertical="center" wrapText="1"/>
    </xf>
    <xf numFmtId="0" fontId="13" fillId="0" borderId="13" xfId="0" applyFont="1" applyFill="1" applyBorder="1" applyAlignment="1">
      <alignment vertical="center" wrapText="1"/>
    </xf>
    <xf numFmtId="0" fontId="13" fillId="0" borderId="131" xfId="0" applyFont="1" applyFill="1" applyBorder="1" applyAlignment="1">
      <alignment vertical="center" wrapText="1"/>
    </xf>
    <xf numFmtId="0" fontId="13" fillId="0" borderId="15" xfId="0" applyFont="1" applyFill="1" applyBorder="1" applyAlignment="1">
      <alignment vertical="center" wrapText="1"/>
    </xf>
    <xf numFmtId="4" fontId="103" fillId="34" borderId="300" xfId="96" applyNumberFormat="1" applyFont="1" applyFill="1" applyBorder="1" applyAlignment="1">
      <alignment horizontal="center" vertical="center" wrapText="1"/>
    </xf>
    <xf numFmtId="178" fontId="103" fillId="34" borderId="300" xfId="96" applyNumberFormat="1" applyFont="1" applyFill="1" applyBorder="1" applyAlignment="1">
      <alignment horizontal="center" vertical="center" wrapText="1"/>
    </xf>
    <xf numFmtId="3" fontId="103" fillId="34" borderId="300" xfId="96" applyNumberFormat="1" applyFont="1" applyFill="1" applyBorder="1" applyAlignment="1">
      <alignment horizontal="center" vertical="center" wrapText="1"/>
    </xf>
    <xf numFmtId="4" fontId="84" fillId="35" borderId="300" xfId="96" applyNumberFormat="1" applyFont="1" applyFill="1" applyBorder="1" applyAlignment="1">
      <alignment horizontal="center" vertical="center" wrapText="1"/>
    </xf>
    <xf numFmtId="4" fontId="85" fillId="35" borderId="300" xfId="96" applyNumberFormat="1" applyFont="1" applyFill="1" applyBorder="1" applyAlignment="1">
      <alignment horizontal="center" vertical="center" wrapText="1"/>
    </xf>
    <xf numFmtId="4" fontId="84" fillId="28" borderId="300" xfId="96" applyNumberFormat="1" applyFont="1" applyFill="1" applyBorder="1" applyAlignment="1">
      <alignment horizontal="center" vertical="center" wrapText="1"/>
    </xf>
    <xf numFmtId="4" fontId="84" fillId="36" borderId="300" xfId="96" applyNumberFormat="1" applyFont="1" applyFill="1" applyBorder="1" applyAlignment="1">
      <alignment horizontal="center" vertical="center" wrapText="1"/>
    </xf>
    <xf numFmtId="4" fontId="14" fillId="37" borderId="300" xfId="96" applyNumberFormat="1" applyFont="1" applyFill="1" applyBorder="1" applyAlignment="1">
      <alignment horizontal="center" vertical="center" wrapText="1"/>
    </xf>
    <xf numFmtId="4" fontId="84" fillId="34" borderId="300" xfId="96" applyNumberFormat="1" applyFont="1" applyFill="1" applyBorder="1" applyAlignment="1">
      <alignment horizontal="center" vertical="center" wrapText="1"/>
    </xf>
    <xf numFmtId="0" fontId="48" fillId="38" borderId="300" xfId="96" applyFont="1" applyFill="1" applyBorder="1" applyAlignment="1">
      <alignment vertical="center"/>
    </xf>
    <xf numFmtId="2" fontId="48" fillId="38" borderId="300" xfId="96" applyNumberFormat="1" applyFont="1" applyFill="1" applyBorder="1" applyAlignment="1">
      <alignment horizontal="center" vertical="center"/>
    </xf>
    <xf numFmtId="0" fontId="84" fillId="26" borderId="300" xfId="96" applyFont="1" applyFill="1" applyBorder="1" applyAlignment="1">
      <alignment horizontal="center" vertical="center" wrapText="1"/>
    </xf>
    <xf numFmtId="0" fontId="48" fillId="38" borderId="300" xfId="96" applyFont="1" applyFill="1" applyBorder="1"/>
    <xf numFmtId="0" fontId="48" fillId="38" borderId="300" xfId="96" applyFont="1" applyFill="1" applyBorder="1" applyAlignment="1">
      <alignment horizontal="center"/>
    </xf>
    <xf numFmtId="4" fontId="84" fillId="34" borderId="238" xfId="96" applyNumberFormat="1" applyFont="1" applyFill="1" applyBorder="1" applyAlignment="1">
      <alignment horizontal="center" vertical="center"/>
    </xf>
    <xf numFmtId="2" fontId="84" fillId="38" borderId="238" xfId="96" applyNumberFormat="1" applyFont="1" applyFill="1" applyBorder="1" applyAlignment="1">
      <alignment horizontal="center" vertical="center" wrapText="1"/>
    </xf>
    <xf numFmtId="2" fontId="84" fillId="34" borderId="238" xfId="96" applyNumberFormat="1" applyFont="1" applyFill="1" applyBorder="1" applyAlignment="1">
      <alignment horizontal="center" vertical="center" wrapText="1"/>
    </xf>
    <xf numFmtId="2" fontId="84" fillId="34" borderId="245" xfId="96" applyNumberFormat="1" applyFont="1" applyFill="1" applyBorder="1" applyAlignment="1">
      <alignment horizontal="center" vertical="center"/>
    </xf>
    <xf numFmtId="2" fontId="84" fillId="38" borderId="245" xfId="96" applyNumberFormat="1" applyFont="1" applyFill="1" applyBorder="1" applyAlignment="1">
      <alignment horizontal="center" vertical="center" wrapText="1"/>
    </xf>
    <xf numFmtId="0" fontId="114" fillId="0" borderId="198" xfId="147" applyFont="1" applyFill="1" applyBorder="1" applyAlignment="1">
      <alignment horizontal="center"/>
    </xf>
    <xf numFmtId="0" fontId="114" fillId="0" borderId="189" xfId="147" applyFont="1" applyFill="1" applyBorder="1" applyAlignment="1">
      <alignment wrapText="1"/>
    </xf>
    <xf numFmtId="0" fontId="114" fillId="0" borderId="189" xfId="147" applyFont="1" applyFill="1" applyBorder="1" applyAlignment="1">
      <alignment horizontal="center" wrapText="1"/>
    </xf>
    <xf numFmtId="4" fontId="114" fillId="0" borderId="189" xfId="147" applyNumberFormat="1" applyFont="1" applyFill="1" applyBorder="1"/>
    <xf numFmtId="4" fontId="114" fillId="0" borderId="198" xfId="147" applyNumberFormat="1" applyFont="1" applyFill="1" applyBorder="1"/>
    <xf numFmtId="4" fontId="114" fillId="0" borderId="304" xfId="147" applyNumberFormat="1" applyFont="1" applyFill="1" applyBorder="1"/>
    <xf numFmtId="0" fontId="114" fillId="0" borderId="189" xfId="147" applyFont="1" applyFill="1" applyBorder="1" applyAlignment="1">
      <alignment horizontal="center" vertical="center" wrapText="1"/>
    </xf>
    <xf numFmtId="0" fontId="114" fillId="0" borderId="198" xfId="147" applyFont="1" applyFill="1" applyBorder="1" applyAlignment="1">
      <alignment wrapText="1"/>
    </xf>
    <xf numFmtId="0" fontId="114" fillId="0" borderId="198" xfId="147" applyFont="1" applyFill="1" applyBorder="1" applyAlignment="1">
      <alignment horizontal="center" vertical="center" wrapText="1"/>
    </xf>
    <xf numFmtId="0" fontId="114" fillId="0" borderId="189" xfId="147" applyFont="1" applyFill="1" applyBorder="1" applyAlignment="1">
      <alignment horizontal="center" vertical="center"/>
    </xf>
    <xf numFmtId="4" fontId="114" fillId="0" borderId="189" xfId="148" applyNumberFormat="1" applyFont="1" applyFill="1" applyBorder="1"/>
    <xf numFmtId="0" fontId="114" fillId="0" borderId="198" xfId="147" applyFont="1" applyFill="1" applyBorder="1" applyAlignment="1">
      <alignment horizontal="center" vertical="center"/>
    </xf>
    <xf numFmtId="0" fontId="114" fillId="0" borderId="189" xfId="147" applyFont="1" applyFill="1" applyBorder="1" applyAlignment="1">
      <alignment horizontal="center"/>
    </xf>
    <xf numFmtId="0" fontId="0" fillId="0" borderId="0" xfId="0" applyAlignment="1">
      <alignment horizontal="center"/>
    </xf>
    <xf numFmtId="0" fontId="17" fillId="0" borderId="277" xfId="0" applyFont="1" applyFill="1" applyBorder="1" applyAlignment="1">
      <alignment vertical="center"/>
    </xf>
    <xf numFmtId="0" fontId="17" fillId="0" borderId="278" xfId="0" applyFont="1" applyFill="1" applyBorder="1" applyAlignment="1">
      <alignment vertical="center"/>
    </xf>
    <xf numFmtId="4" fontId="17" fillId="0" borderId="75" xfId="0" applyNumberFormat="1" applyFont="1" applyBorder="1" applyAlignment="1">
      <alignment horizontal="center" vertical="center"/>
    </xf>
    <xf numFmtId="0" fontId="82" fillId="0" borderId="0" xfId="0" applyFont="1" applyAlignment="1">
      <alignment horizontal="center"/>
    </xf>
    <xf numFmtId="4" fontId="101" fillId="0" borderId="261" xfId="0" applyNumberFormat="1" applyFont="1" applyFill="1" applyBorder="1" applyAlignment="1">
      <alignment horizontal="center" vertical="center"/>
    </xf>
    <xf numFmtId="4" fontId="64" fillId="0" borderId="0" xfId="0" applyNumberFormat="1" applyFont="1"/>
    <xf numFmtId="2" fontId="64" fillId="0" borderId="0" xfId="0" applyNumberFormat="1" applyFont="1"/>
    <xf numFmtId="4" fontId="60" fillId="0" borderId="304" xfId="0" applyNumberFormat="1" applyFont="1" applyFill="1" applyBorder="1" applyAlignment="1">
      <alignment horizontal="center" vertical="center"/>
    </xf>
    <xf numFmtId="170" fontId="60" fillId="0" borderId="290" xfId="0" applyNumberFormat="1" applyFont="1" applyFill="1" applyBorder="1" applyAlignment="1">
      <alignment horizontal="right" vertical="center"/>
    </xf>
    <xf numFmtId="10" fontId="61" fillId="0" borderId="289" xfId="85" applyNumberFormat="1" applyFont="1" applyFill="1" applyBorder="1" applyAlignment="1">
      <alignment horizontal="center" vertical="center"/>
    </xf>
    <xf numFmtId="10" fontId="61" fillId="0" borderId="304" xfId="85" applyNumberFormat="1" applyFont="1" applyFill="1" applyBorder="1" applyAlignment="1">
      <alignment horizontal="center" vertical="center"/>
    </xf>
    <xf numFmtId="10" fontId="61" fillId="0" borderId="290" xfId="85" applyNumberFormat="1" applyFont="1" applyFill="1" applyBorder="1" applyAlignment="1">
      <alignment horizontal="center" vertical="center"/>
    </xf>
    <xf numFmtId="4" fontId="60" fillId="0" borderId="297" xfId="0" applyNumberFormat="1" applyFont="1" applyFill="1" applyBorder="1" applyAlignment="1">
      <alignment horizontal="center" vertical="center"/>
    </xf>
    <xf numFmtId="4" fontId="61" fillId="0" borderId="304" xfId="0" applyNumberFormat="1" applyFont="1" applyFill="1" applyBorder="1" applyAlignment="1">
      <alignment vertical="center"/>
    </xf>
    <xf numFmtId="4" fontId="61" fillId="0" borderId="292" xfId="0" applyNumberFormat="1" applyFont="1" applyFill="1" applyBorder="1" applyAlignment="1">
      <alignment vertical="center"/>
    </xf>
    <xf numFmtId="4" fontId="61" fillId="0" borderId="297" xfId="0" applyNumberFormat="1" applyFont="1" applyFill="1" applyBorder="1" applyAlignment="1">
      <alignment vertical="center"/>
    </xf>
    <xf numFmtId="4" fontId="61" fillId="0" borderId="293" xfId="0" applyNumberFormat="1" applyFont="1" applyFill="1" applyBorder="1" applyAlignment="1">
      <alignment vertical="center"/>
    </xf>
    <xf numFmtId="10" fontId="60" fillId="0" borderId="289" xfId="85" applyNumberFormat="1" applyFont="1" applyFill="1" applyBorder="1"/>
    <xf numFmtId="10" fontId="60" fillId="0" borderId="290" xfId="85" applyNumberFormat="1" applyFont="1" applyFill="1" applyBorder="1"/>
    <xf numFmtId="10" fontId="60" fillId="0" borderId="292" xfId="85" applyNumberFormat="1" applyFont="1" applyFill="1" applyBorder="1"/>
    <xf numFmtId="10" fontId="60" fillId="0" borderId="293" xfId="85" applyNumberFormat="1" applyFont="1" applyFill="1" applyBorder="1"/>
    <xf numFmtId="10" fontId="60" fillId="0" borderId="16" xfId="85" applyNumberFormat="1" applyFont="1" applyFill="1" applyBorder="1"/>
    <xf numFmtId="10" fontId="60" fillId="0" borderId="17" xfId="85" applyNumberFormat="1" applyFont="1" applyFill="1" applyBorder="1"/>
    <xf numFmtId="10" fontId="60" fillId="0" borderId="304" xfId="85" applyNumberFormat="1" applyFont="1" applyFill="1" applyBorder="1"/>
    <xf numFmtId="10" fontId="60" fillId="0" borderId="297" xfId="85" applyNumberFormat="1" applyFont="1" applyFill="1" applyBorder="1"/>
    <xf numFmtId="4" fontId="60" fillId="0" borderId="304" xfId="0" applyNumberFormat="1" applyFont="1" applyFill="1" applyBorder="1" applyAlignment="1">
      <alignment vertical="center"/>
    </xf>
    <xf numFmtId="171" fontId="60" fillId="0" borderId="304" xfId="85" applyNumberFormat="1" applyFont="1" applyBorder="1" applyAlignment="1">
      <alignment vertical="center"/>
    </xf>
    <xf numFmtId="0" fontId="48" fillId="0" borderId="0" xfId="96" applyFont="1" applyFill="1"/>
    <xf numFmtId="4" fontId="84" fillId="28" borderId="11" xfId="0" applyNumberFormat="1" applyFont="1" applyFill="1" applyBorder="1" applyAlignment="1">
      <alignment horizontal="center" vertical="center"/>
    </xf>
    <xf numFmtId="0" fontId="84" fillId="28" borderId="76" xfId="0" applyFont="1" applyFill="1" applyBorder="1" applyAlignment="1">
      <alignment horizontal="center" vertical="center"/>
    </xf>
    <xf numFmtId="4" fontId="84" fillId="28" borderId="76" xfId="0" applyNumberFormat="1" applyFont="1" applyFill="1" applyBorder="1" applyAlignment="1">
      <alignment horizontal="center" vertical="center"/>
    </xf>
    <xf numFmtId="4" fontId="16" fillId="28" borderId="77" xfId="0" applyNumberFormat="1" applyFont="1" applyFill="1" applyBorder="1" applyAlignment="1">
      <alignment horizontal="center" vertical="center"/>
    </xf>
    <xf numFmtId="4" fontId="16" fillId="28" borderId="44" xfId="0" applyNumberFormat="1" applyFont="1" applyFill="1" applyBorder="1" applyAlignment="1">
      <alignment horizontal="center" vertical="center"/>
    </xf>
    <xf numFmtId="4" fontId="17" fillId="28" borderId="76" xfId="0" applyNumberFormat="1" applyFont="1" applyFill="1" applyBorder="1" applyAlignment="1">
      <alignment horizontal="center" vertical="center"/>
    </xf>
    <xf numFmtId="4" fontId="60" fillId="0" borderId="309" xfId="0" applyNumberFormat="1" applyFont="1" applyFill="1" applyBorder="1" applyAlignment="1">
      <alignment horizontal="center" vertical="center"/>
    </xf>
    <xf numFmtId="10" fontId="61" fillId="0" borderId="309" xfId="85" applyNumberFormat="1" applyFont="1" applyFill="1" applyBorder="1" applyAlignment="1">
      <alignment horizontal="center" vertical="center"/>
    </xf>
    <xf numFmtId="4" fontId="61" fillId="0" borderId="58" xfId="0" applyNumberFormat="1" applyFont="1" applyFill="1" applyBorder="1" applyAlignment="1">
      <alignment vertical="center"/>
    </xf>
    <xf numFmtId="4" fontId="61" fillId="0" borderId="13" xfId="0" applyNumberFormat="1" applyFont="1" applyFill="1" applyBorder="1" applyAlignment="1">
      <alignment vertical="center"/>
    </xf>
    <xf numFmtId="4" fontId="61" fillId="0" borderId="309" xfId="0" applyNumberFormat="1" applyFont="1" applyFill="1" applyBorder="1" applyAlignment="1">
      <alignment vertical="center"/>
    </xf>
    <xf numFmtId="4" fontId="61" fillId="0" borderId="15" xfId="0" applyNumberFormat="1" applyFont="1" applyFill="1" applyBorder="1" applyAlignment="1">
      <alignment vertical="center"/>
    </xf>
    <xf numFmtId="10" fontId="60" fillId="0" borderId="34" xfId="85" applyNumberFormat="1" applyFont="1" applyFill="1" applyBorder="1"/>
    <xf numFmtId="10" fontId="60" fillId="0" borderId="309" xfId="85" applyNumberFormat="1" applyFont="1" applyFill="1" applyBorder="1"/>
    <xf numFmtId="10" fontId="60" fillId="0" borderId="15" xfId="85" applyNumberFormat="1" applyFont="1" applyFill="1" applyBorder="1"/>
    <xf numFmtId="4" fontId="61" fillId="28" borderId="17" xfId="0" applyNumberFormat="1" applyFont="1" applyFill="1" applyBorder="1" applyAlignment="1">
      <alignment vertical="center"/>
    </xf>
    <xf numFmtId="4" fontId="13" fillId="0" borderId="17" xfId="79" applyNumberFormat="1" applyFont="1" applyFill="1" applyBorder="1" applyAlignment="1">
      <alignment horizontal="center" vertical="center"/>
    </xf>
    <xf numFmtId="4" fontId="13" fillId="0" borderId="18" xfId="79" applyNumberFormat="1" applyFont="1" applyFill="1" applyBorder="1" applyAlignment="1">
      <alignment horizontal="center" vertical="center"/>
    </xf>
    <xf numFmtId="171" fontId="49" fillId="0" borderId="315" xfId="85" applyNumberFormat="1" applyFont="1" applyFill="1" applyBorder="1" applyAlignment="1">
      <alignment horizontal="center" vertical="center"/>
    </xf>
    <xf numFmtId="171" fontId="49" fillId="0" borderId="316" xfId="85" applyNumberFormat="1" applyFont="1" applyFill="1" applyBorder="1" applyAlignment="1">
      <alignment horizontal="center" vertical="center"/>
    </xf>
    <xf numFmtId="0" fontId="12" fillId="0" borderId="308" xfId="79" applyNumberFormat="1" applyFont="1" applyFill="1" applyBorder="1" applyAlignment="1">
      <alignment horizontal="center" vertical="center"/>
    </xf>
    <xf numFmtId="171" fontId="13" fillId="0" borderId="317" xfId="85" applyNumberFormat="1" applyFont="1" applyFill="1" applyBorder="1" applyAlignment="1">
      <alignment vertical="center"/>
    </xf>
    <xf numFmtId="0" fontId="13" fillId="0" borderId="288" xfId="79" applyFont="1" applyFill="1" applyBorder="1" applyAlignment="1">
      <alignment vertical="center"/>
    </xf>
    <xf numFmtId="170" fontId="51" fillId="0" borderId="318" xfId="79" applyNumberFormat="1" applyFont="1" applyFill="1" applyBorder="1" applyAlignment="1">
      <alignment horizontal="center" vertical="center"/>
    </xf>
    <xf numFmtId="170" fontId="51" fillId="0" borderId="319" xfId="79" applyNumberFormat="1" applyFont="1" applyFill="1" applyBorder="1" applyAlignment="1">
      <alignment horizontal="center" vertical="center"/>
    </xf>
    <xf numFmtId="171" fontId="13" fillId="0" borderId="319" xfId="85" applyNumberFormat="1" applyFont="1" applyFill="1" applyBorder="1" applyAlignment="1">
      <alignment vertical="center"/>
    </xf>
    <xf numFmtId="171" fontId="13" fillId="0" borderId="320" xfId="85" applyNumberFormat="1" applyFont="1" applyFill="1" applyBorder="1" applyAlignment="1">
      <alignment vertical="center"/>
    </xf>
    <xf numFmtId="2" fontId="13" fillId="0" borderId="76" xfId="79" applyNumberFormat="1" applyFont="1" applyFill="1" applyBorder="1" applyAlignment="1">
      <alignment vertical="center"/>
    </xf>
    <xf numFmtId="2" fontId="13" fillId="0" borderId="77" xfId="79" applyNumberFormat="1" applyFont="1" applyFill="1" applyBorder="1" applyAlignment="1">
      <alignment vertical="center"/>
    </xf>
    <xf numFmtId="170" fontId="48" fillId="28" borderId="191" xfId="79" applyNumberFormat="1" applyFont="1" applyFill="1" applyBorder="1" applyAlignment="1">
      <alignment horizontal="center" vertical="center"/>
    </xf>
    <xf numFmtId="4" fontId="13" fillId="28" borderId="198" xfId="79" applyNumberFormat="1" applyFont="1" applyFill="1" applyBorder="1" applyAlignment="1">
      <alignment horizontal="center" vertical="center"/>
    </xf>
    <xf numFmtId="2" fontId="48" fillId="38" borderId="238" xfId="96" applyNumberFormat="1" applyFont="1" applyFill="1" applyBorder="1" applyAlignment="1">
      <alignment horizontal="right"/>
    </xf>
    <xf numFmtId="169" fontId="48" fillId="38" borderId="238" xfId="96" applyNumberFormat="1" applyFont="1" applyFill="1" applyBorder="1"/>
    <xf numFmtId="1" fontId="48" fillId="38" borderId="238" xfId="96" applyNumberFormat="1" applyFont="1" applyFill="1" applyBorder="1"/>
    <xf numFmtId="171" fontId="83" fillId="0" borderId="321" xfId="85" applyNumberFormat="1" applyFont="1" applyFill="1" applyBorder="1" applyAlignment="1">
      <alignment horizontal="center" vertical="center"/>
    </xf>
    <xf numFmtId="4" fontId="17" fillId="0" borderId="322" xfId="0" applyNumberFormat="1" applyFont="1" applyFill="1" applyBorder="1" applyAlignment="1">
      <alignment horizontal="center" vertical="center"/>
    </xf>
    <xf numFmtId="169" fontId="61" fillId="0" borderId="325" xfId="0" applyNumberFormat="1" applyFont="1" applyFill="1" applyBorder="1" applyAlignment="1">
      <alignment horizontal="center" vertical="center"/>
    </xf>
    <xf numFmtId="0" fontId="13" fillId="0" borderId="330" xfId="0" applyFont="1" applyFill="1" applyBorder="1" applyAlignment="1">
      <alignment vertical="center"/>
    </xf>
    <xf numFmtId="0" fontId="84" fillId="28" borderId="334" xfId="96" applyFont="1" applyFill="1" applyBorder="1" applyAlignment="1">
      <alignment horizontal="center" vertical="center"/>
    </xf>
    <xf numFmtId="0" fontId="84" fillId="28" borderId="334" xfId="96" applyFont="1" applyFill="1" applyBorder="1" applyAlignment="1">
      <alignment horizontal="left" vertical="center" wrapText="1"/>
    </xf>
    <xf numFmtId="4" fontId="84" fillId="28" borderId="334" xfId="96" applyNumberFormat="1" applyFont="1" applyFill="1" applyBorder="1" applyAlignment="1">
      <alignment horizontal="center" vertical="center" wrapText="1"/>
    </xf>
    <xf numFmtId="49" fontId="84" fillId="28" borderId="334" xfId="96" applyNumberFormat="1" applyFont="1" applyFill="1" applyBorder="1" applyAlignment="1">
      <alignment horizontal="left" vertical="center" wrapText="1"/>
    </xf>
    <xf numFmtId="0" fontId="48" fillId="38" borderId="300" xfId="96" applyFont="1" applyFill="1" applyBorder="1" applyAlignment="1">
      <alignment horizontal="center" vertical="center"/>
    </xf>
    <xf numFmtId="4" fontId="84" fillId="28" borderId="334" xfId="96" applyNumberFormat="1" applyFont="1" applyFill="1" applyBorder="1" applyAlignment="1">
      <alignment horizontal="center" vertical="center"/>
    </xf>
    <xf numFmtId="0" fontId="0" fillId="0" borderId="0" xfId="0" applyAlignment="1"/>
    <xf numFmtId="0" fontId="0" fillId="0" borderId="0" xfId="0" applyFill="1" applyBorder="1" applyAlignment="1"/>
    <xf numFmtId="0" fontId="17" fillId="0" borderId="0" xfId="0" applyFont="1" applyAlignment="1">
      <alignment horizontal="center"/>
    </xf>
    <xf numFmtId="0" fontId="0" fillId="0" borderId="0" xfId="0" applyAlignment="1"/>
    <xf numFmtId="0" fontId="60" fillId="0" borderId="319" xfId="0" applyFont="1" applyBorder="1" applyAlignment="1">
      <alignment horizontal="center" vertical="center"/>
    </xf>
    <xf numFmtId="0" fontId="60" fillId="0" borderId="319" xfId="0" applyFont="1" applyFill="1" applyBorder="1" applyAlignment="1">
      <alignment horizontal="center" vertical="center"/>
    </xf>
    <xf numFmtId="0" fontId="60" fillId="29" borderId="319" xfId="0" applyFont="1" applyFill="1" applyBorder="1" applyAlignment="1">
      <alignment horizontal="center" vertical="center"/>
    </xf>
    <xf numFmtId="0" fontId="60" fillId="29" borderId="320" xfId="0" applyFont="1" applyFill="1" applyBorder="1" applyAlignment="1">
      <alignment horizontal="center" vertical="center"/>
    </xf>
    <xf numFmtId="168" fontId="60" fillId="0" borderId="334" xfId="0" applyNumberFormat="1" applyFont="1" applyBorder="1"/>
    <xf numFmtId="168" fontId="60" fillId="29" borderId="334" xfId="0" applyNumberFormat="1" applyFont="1" applyFill="1" applyBorder="1"/>
    <xf numFmtId="168" fontId="60" fillId="29" borderId="333" xfId="0" applyNumberFormat="1" applyFont="1" applyFill="1" applyBorder="1"/>
    <xf numFmtId="2" fontId="60" fillId="0" borderId="334" xfId="0" applyNumberFormat="1" applyFont="1" applyFill="1" applyBorder="1"/>
    <xf numFmtId="2" fontId="60" fillId="29" borderId="334" xfId="0" applyNumberFormat="1" applyFont="1" applyFill="1" applyBorder="1"/>
    <xf numFmtId="2" fontId="60" fillId="29" borderId="333" xfId="0" applyNumberFormat="1" applyFont="1" applyFill="1" applyBorder="1"/>
    <xf numFmtId="2" fontId="60" fillId="29" borderId="319" xfId="0" applyNumberFormat="1" applyFont="1" applyFill="1" applyBorder="1"/>
    <xf numFmtId="168" fontId="60" fillId="28" borderId="334" xfId="0" applyNumberFormat="1" applyFont="1" applyFill="1" applyBorder="1"/>
    <xf numFmtId="168" fontId="60" fillId="28" borderId="333" xfId="0" applyNumberFormat="1" applyFont="1" applyFill="1" applyBorder="1"/>
    <xf numFmtId="2" fontId="60" fillId="28" borderId="319" xfId="0" applyNumberFormat="1" applyFont="1" applyFill="1" applyBorder="1"/>
    <xf numFmtId="2" fontId="60" fillId="28" borderId="320" xfId="0" applyNumberFormat="1" applyFont="1" applyFill="1" applyBorder="1"/>
    <xf numFmtId="2" fontId="60" fillId="28" borderId="308" xfId="0" applyNumberFormat="1" applyFont="1" applyFill="1" applyBorder="1"/>
    <xf numFmtId="2" fontId="60" fillId="28" borderId="293" xfId="0" applyNumberFormat="1" applyFont="1" applyFill="1" applyBorder="1"/>
    <xf numFmtId="2" fontId="60" fillId="29" borderId="320" xfId="0" applyNumberFormat="1" applyFont="1" applyFill="1" applyBorder="1"/>
    <xf numFmtId="0" fontId="139" fillId="0" borderId="0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 vertical="center"/>
    </xf>
    <xf numFmtId="0" fontId="60" fillId="0" borderId="0" xfId="0" applyFont="1" applyFill="1" applyBorder="1" applyAlignment="1">
      <alignment horizontal="left" vertical="center"/>
    </xf>
    <xf numFmtId="2" fontId="60" fillId="0" borderId="0" xfId="0" applyNumberFormat="1" applyFont="1" applyFill="1" applyBorder="1" applyAlignment="1">
      <alignment vertical="center"/>
    </xf>
    <xf numFmtId="2" fontId="60" fillId="0" borderId="334" xfId="0" applyNumberFormat="1" applyFont="1" applyBorder="1"/>
    <xf numFmtId="0" fontId="58" fillId="0" borderId="0" xfId="0" applyFont="1"/>
    <xf numFmtId="0" fontId="90" fillId="0" borderId="0" xfId="0" applyFont="1"/>
    <xf numFmtId="187" fontId="0" fillId="0" borderId="0" xfId="0" applyNumberFormat="1"/>
    <xf numFmtId="187" fontId="93" fillId="42" borderId="0" xfId="0" applyNumberFormat="1" applyFont="1" applyFill="1"/>
    <xf numFmtId="0" fontId="93" fillId="42" borderId="0" xfId="0" applyFont="1" applyFill="1"/>
    <xf numFmtId="0" fontId="93" fillId="0" borderId="0" xfId="0" applyFont="1" applyFill="1"/>
    <xf numFmtId="0" fontId="0" fillId="30" borderId="0" xfId="0" applyFont="1" applyFill="1"/>
    <xf numFmtId="0" fontId="60" fillId="43" borderId="335" xfId="0" applyFont="1" applyFill="1" applyBorder="1" applyAlignment="1">
      <alignment horizontal="center" wrapText="1"/>
    </xf>
    <xf numFmtId="0" fontId="17" fillId="0" borderId="335" xfId="0" applyFont="1" applyBorder="1" applyAlignment="1">
      <alignment vertical="center" wrapText="1"/>
    </xf>
    <xf numFmtId="0" fontId="60" fillId="0" borderId="335" xfId="0" applyFont="1" applyBorder="1"/>
    <xf numFmtId="4" fontId="17" fillId="43" borderId="335" xfId="0" applyNumberFormat="1" applyFont="1" applyFill="1" applyBorder="1"/>
    <xf numFmtId="169" fontId="17" fillId="30" borderId="0" xfId="0" applyNumberFormat="1" applyFont="1" applyFill="1" applyBorder="1"/>
    <xf numFmtId="0" fontId="60" fillId="0" borderId="335" xfId="0" applyFont="1" applyBorder="1" applyAlignment="1">
      <alignment vertical="center" wrapText="1"/>
    </xf>
    <xf numFmtId="4" fontId="60" fillId="43" borderId="335" xfId="0" applyNumberFormat="1" applyFont="1" applyFill="1" applyBorder="1"/>
    <xf numFmtId="4" fontId="60" fillId="0" borderId="335" xfId="0" applyNumberFormat="1" applyFont="1" applyBorder="1"/>
    <xf numFmtId="169" fontId="60" fillId="30" borderId="0" xfId="0" applyNumberFormat="1" applyFont="1" applyFill="1" applyBorder="1"/>
    <xf numFmtId="0" fontId="61" fillId="0" borderId="335" xfId="0" applyFont="1" applyBorder="1" applyAlignment="1">
      <alignment vertical="center" wrapText="1"/>
    </xf>
    <xf numFmtId="4" fontId="61" fillId="43" borderId="335" xfId="0" applyNumberFormat="1" applyFont="1" applyFill="1" applyBorder="1"/>
    <xf numFmtId="10" fontId="61" fillId="43" borderId="335" xfId="0" applyNumberFormat="1" applyFont="1" applyFill="1" applyBorder="1"/>
    <xf numFmtId="10" fontId="61" fillId="0" borderId="335" xfId="0" applyNumberFormat="1" applyFont="1" applyBorder="1"/>
    <xf numFmtId="2" fontId="17" fillId="43" borderId="335" xfId="0" applyNumberFormat="1" applyFont="1" applyFill="1" applyBorder="1"/>
    <xf numFmtId="2" fontId="60" fillId="0" borderId="335" xfId="0" applyNumberFormat="1" applyFont="1" applyFill="1" applyBorder="1"/>
    <xf numFmtId="2" fontId="60" fillId="43" borderId="335" xfId="0" applyNumberFormat="1" applyFont="1" applyFill="1" applyBorder="1"/>
    <xf numFmtId="4" fontId="17" fillId="0" borderId="335" xfId="0" applyNumberFormat="1" applyFont="1" applyFill="1" applyBorder="1"/>
    <xf numFmtId="2" fontId="60" fillId="0" borderId="335" xfId="0" applyNumberFormat="1" applyFont="1" applyBorder="1"/>
    <xf numFmtId="2" fontId="61" fillId="0" borderId="335" xfId="0" applyNumberFormat="1" applyFont="1" applyBorder="1"/>
    <xf numFmtId="2" fontId="61" fillId="43" borderId="335" xfId="0" applyNumberFormat="1" applyFont="1" applyFill="1" applyBorder="1"/>
    <xf numFmtId="169" fontId="17" fillId="0" borderId="335" xfId="0" applyNumberFormat="1" applyFont="1" applyBorder="1"/>
    <xf numFmtId="0" fontId="60" fillId="0" borderId="336" xfId="0" applyFont="1" applyBorder="1" applyAlignment="1">
      <alignment vertical="center" wrapText="1"/>
    </xf>
    <xf numFmtId="0" fontId="61" fillId="0" borderId="336" xfId="0" applyFont="1" applyBorder="1" applyAlignment="1">
      <alignment vertical="center" wrapText="1"/>
    </xf>
    <xf numFmtId="0" fontId="17" fillId="0" borderId="336" xfId="0" applyFont="1" applyBorder="1" applyAlignment="1">
      <alignment vertical="center" wrapText="1"/>
    </xf>
    <xf numFmtId="2" fontId="17" fillId="0" borderId="335" xfId="0" applyNumberFormat="1" applyFont="1" applyBorder="1"/>
    <xf numFmtId="2" fontId="17" fillId="30" borderId="66" xfId="0" applyNumberFormat="1" applyFont="1" applyFill="1" applyBorder="1"/>
    <xf numFmtId="2" fontId="61" fillId="30" borderId="0" xfId="0" applyNumberFormat="1" applyFont="1" applyFill="1" applyBorder="1"/>
    <xf numFmtId="0" fontId="17" fillId="0" borderId="335" xfId="0" applyFont="1" applyBorder="1" applyAlignment="1">
      <alignment horizontal="left" vertical="center"/>
    </xf>
    <xf numFmtId="169" fontId="17" fillId="30" borderId="0" xfId="0" applyNumberFormat="1" applyFont="1" applyFill="1"/>
    <xf numFmtId="0" fontId="60" fillId="0" borderId="335" xfId="0" applyFont="1" applyBorder="1" applyAlignment="1">
      <alignment vertical="center"/>
    </xf>
    <xf numFmtId="169" fontId="60" fillId="30" borderId="0" xfId="0" applyNumberFormat="1" applyFont="1" applyFill="1"/>
    <xf numFmtId="0" fontId="61" fillId="0" borderId="335" xfId="0" applyFont="1" applyBorder="1" applyAlignment="1">
      <alignment vertical="center"/>
    </xf>
    <xf numFmtId="10" fontId="60" fillId="30" borderId="0" xfId="0" applyNumberFormat="1" applyFont="1" applyFill="1"/>
    <xf numFmtId="0" fontId="17" fillId="0" borderId="335" xfId="0" applyFont="1" applyBorder="1" applyAlignment="1">
      <alignment vertical="center"/>
    </xf>
    <xf numFmtId="0" fontId="60" fillId="0" borderId="335" xfId="0" applyFont="1" applyFill="1" applyBorder="1" applyAlignment="1">
      <alignment vertical="center"/>
    </xf>
    <xf numFmtId="4" fontId="60" fillId="0" borderId="335" xfId="0" applyNumberFormat="1" applyFont="1" applyFill="1" applyBorder="1"/>
    <xf numFmtId="0" fontId="61" fillId="0" borderId="335" xfId="0" applyFont="1" applyFill="1" applyBorder="1" applyAlignment="1">
      <alignment vertical="center"/>
    </xf>
    <xf numFmtId="4" fontId="61" fillId="0" borderId="335" xfId="0" applyNumberFormat="1" applyFont="1" applyFill="1" applyBorder="1"/>
    <xf numFmtId="0" fontId="17" fillId="0" borderId="335" xfId="0" applyFont="1" applyBorder="1"/>
    <xf numFmtId="2" fontId="17" fillId="0" borderId="335" xfId="0" applyNumberFormat="1" applyFont="1" applyFill="1" applyBorder="1"/>
    <xf numFmtId="10" fontId="61" fillId="0" borderId="335" xfId="0" applyNumberFormat="1" applyFont="1" applyFill="1" applyBorder="1"/>
    <xf numFmtId="0" fontId="17" fillId="0" borderId="335" xfId="0" applyFont="1" applyFill="1" applyBorder="1"/>
    <xf numFmtId="0" fontId="61" fillId="0" borderId="335" xfId="0" applyFont="1" applyBorder="1"/>
    <xf numFmtId="2" fontId="17" fillId="0" borderId="335" xfId="0" applyNumberFormat="1" applyFont="1" applyBorder="1" applyAlignment="1">
      <alignment vertical="center"/>
    </xf>
    <xf numFmtId="2" fontId="17" fillId="43" borderId="335" xfId="0" applyNumberFormat="1" applyFont="1" applyFill="1" applyBorder="1" applyAlignment="1">
      <alignment vertical="center"/>
    </xf>
    <xf numFmtId="169" fontId="17" fillId="30" borderId="0" xfId="0" applyNumberFormat="1" applyFont="1" applyFill="1" applyAlignment="1">
      <alignment vertical="center"/>
    </xf>
    <xf numFmtId="0" fontId="17" fillId="0" borderId="335" xfId="0" applyFont="1" applyFill="1" applyBorder="1" applyAlignment="1">
      <alignment vertical="center"/>
    </xf>
    <xf numFmtId="169" fontId="17" fillId="0" borderId="335" xfId="0" applyNumberFormat="1" applyFont="1" applyFill="1" applyBorder="1"/>
    <xf numFmtId="2" fontId="17" fillId="30" borderId="0" xfId="0" applyNumberFormat="1" applyFont="1" applyFill="1"/>
    <xf numFmtId="0" fontId="17" fillId="0" borderId="335" xfId="0" applyFont="1" applyFill="1" applyBorder="1" applyAlignment="1">
      <alignment vertical="center" wrapText="1"/>
    </xf>
    <xf numFmtId="0" fontId="0" fillId="30" borderId="0" xfId="0" applyFill="1"/>
    <xf numFmtId="4" fontId="60" fillId="30" borderId="0" xfId="0" applyNumberFormat="1" applyFont="1" applyFill="1"/>
    <xf numFmtId="0" fontId="60" fillId="30" borderId="0" xfId="0" applyFont="1" applyFill="1"/>
    <xf numFmtId="2" fontId="17" fillId="30" borderId="0" xfId="0" applyNumberFormat="1" applyFont="1" applyFill="1" applyBorder="1"/>
    <xf numFmtId="169" fontId="60" fillId="30" borderId="66" xfId="0" applyNumberFormat="1" applyFont="1" applyFill="1" applyBorder="1"/>
    <xf numFmtId="10" fontId="60" fillId="30" borderId="61" xfId="0" applyNumberFormat="1" applyFont="1" applyFill="1" applyBorder="1"/>
    <xf numFmtId="4" fontId="60" fillId="43" borderId="335" xfId="0" applyNumberFormat="1" applyFont="1" applyFill="1" applyBorder="1" applyAlignment="1">
      <alignment vertical="center"/>
    </xf>
    <xf numFmtId="4" fontId="60" fillId="0" borderId="335" xfId="0" applyNumberFormat="1" applyFont="1" applyFill="1" applyBorder="1" applyAlignment="1">
      <alignment vertical="center"/>
    </xf>
    <xf numFmtId="169" fontId="17" fillId="30" borderId="66" xfId="0" applyNumberFormat="1" applyFont="1" applyFill="1" applyBorder="1"/>
    <xf numFmtId="4" fontId="17" fillId="30" borderId="61" xfId="0" applyNumberFormat="1" applyFont="1" applyFill="1" applyBorder="1"/>
    <xf numFmtId="2" fontId="17" fillId="30" borderId="61" xfId="0" applyNumberFormat="1" applyFont="1" applyFill="1" applyBorder="1"/>
    <xf numFmtId="10" fontId="60" fillId="43" borderId="335" xfId="0" applyNumberFormat="1" applyFont="1" applyFill="1" applyBorder="1"/>
    <xf numFmtId="10" fontId="60" fillId="0" borderId="335" xfId="0" applyNumberFormat="1" applyFont="1" applyFill="1" applyBorder="1"/>
    <xf numFmtId="0" fontId="60" fillId="43" borderId="335" xfId="0" applyFont="1" applyFill="1" applyBorder="1" applyAlignment="1">
      <alignment horizontal="center" vertical="center" wrapText="1"/>
    </xf>
    <xf numFmtId="0" fontId="60" fillId="0" borderId="335" xfId="0" applyFont="1" applyFill="1" applyBorder="1" applyAlignment="1">
      <alignment vertical="center" wrapText="1"/>
    </xf>
    <xf numFmtId="0" fontId="61" fillId="0" borderId="335" xfId="0" applyFont="1" applyFill="1" applyBorder="1" applyAlignment="1">
      <alignment vertical="center" wrapText="1"/>
    </xf>
    <xf numFmtId="0" fontId="61" fillId="0" borderId="339" xfId="0" applyFont="1" applyFill="1" applyBorder="1" applyAlignment="1">
      <alignment vertical="center"/>
    </xf>
    <xf numFmtId="4" fontId="61" fillId="43" borderId="335" xfId="0" applyNumberFormat="1" applyFont="1" applyFill="1" applyBorder="1" applyAlignment="1">
      <alignment vertical="center"/>
    </xf>
    <xf numFmtId="169" fontId="60" fillId="30" borderId="0" xfId="0" applyNumberFormat="1" applyFont="1" applyFill="1" applyAlignment="1">
      <alignment vertical="center"/>
    </xf>
    <xf numFmtId="169" fontId="17" fillId="30" borderId="66" xfId="0" applyNumberFormat="1" applyFont="1" applyFill="1" applyBorder="1" applyAlignment="1">
      <alignment vertical="center"/>
    </xf>
    <xf numFmtId="10" fontId="60" fillId="30" borderId="66" xfId="0" applyNumberFormat="1" applyFont="1" applyFill="1" applyBorder="1"/>
    <xf numFmtId="4" fontId="61" fillId="0" borderId="335" xfId="0" applyNumberFormat="1" applyFont="1" applyFill="1" applyBorder="1" applyAlignment="1">
      <alignment vertical="center"/>
    </xf>
    <xf numFmtId="169" fontId="60" fillId="30" borderId="66" xfId="0" applyNumberFormat="1" applyFont="1" applyFill="1" applyBorder="1" applyAlignment="1">
      <alignment vertical="center"/>
    </xf>
    <xf numFmtId="4" fontId="60" fillId="30" borderId="66" xfId="0" applyNumberFormat="1" applyFont="1" applyFill="1" applyBorder="1"/>
    <xf numFmtId="2" fontId="60" fillId="30" borderId="66" xfId="0" applyNumberFormat="1" applyFont="1" applyFill="1" applyBorder="1"/>
    <xf numFmtId="2" fontId="60" fillId="30" borderId="0" xfId="0" applyNumberFormat="1" applyFont="1" applyFill="1" applyBorder="1"/>
    <xf numFmtId="2" fontId="0" fillId="0" borderId="0" xfId="0" applyNumberFormat="1" applyFill="1" applyBorder="1" applyAlignment="1"/>
    <xf numFmtId="168" fontId="0" fillId="0" borderId="0" xfId="0" applyNumberFormat="1" applyFill="1" applyBorder="1" applyAlignment="1"/>
    <xf numFmtId="167" fontId="0" fillId="0" borderId="0" xfId="0" applyNumberFormat="1" applyFill="1" applyBorder="1" applyAlignment="1"/>
    <xf numFmtId="186" fontId="19" fillId="0" borderId="0" xfId="0" applyNumberFormat="1" applyFont="1" applyFill="1" applyBorder="1"/>
    <xf numFmtId="2" fontId="0" fillId="0" borderId="0" xfId="0" applyNumberFormat="1" applyFont="1" applyFill="1" applyBorder="1"/>
    <xf numFmtId="0" fontId="60" fillId="0" borderId="0" xfId="0" applyFont="1" applyFill="1" applyBorder="1"/>
    <xf numFmtId="0" fontId="60" fillId="0" borderId="0" xfId="0" applyFont="1" applyFill="1" applyBorder="1" applyAlignment="1"/>
    <xf numFmtId="2" fontId="60" fillId="0" borderId="0" xfId="0" applyNumberFormat="1" applyFont="1" applyFill="1" applyBorder="1"/>
    <xf numFmtId="2" fontId="60" fillId="0" borderId="0" xfId="0" applyNumberFormat="1" applyFont="1" applyFill="1" applyBorder="1" applyAlignment="1">
      <alignment vertical="center" wrapText="1"/>
    </xf>
    <xf numFmtId="168" fontId="60" fillId="0" borderId="0" xfId="0" applyNumberFormat="1" applyFont="1" applyFill="1" applyBorder="1"/>
    <xf numFmtId="0" fontId="82" fillId="0" borderId="0" xfId="0" applyFont="1" applyFill="1" applyBorder="1"/>
    <xf numFmtId="0" fontId="64" fillId="0" borderId="0" xfId="0" applyFont="1" applyFill="1" applyBorder="1" applyAlignment="1">
      <alignment horizontal="center" vertical="center"/>
    </xf>
    <xf numFmtId="0" fontId="141" fillId="0" borderId="0" xfId="0" applyFont="1"/>
    <xf numFmtId="0" fontId="144" fillId="28" borderId="0" xfId="0" applyFont="1" applyFill="1" applyAlignment="1">
      <alignment horizontal="center" vertical="center"/>
    </xf>
    <xf numFmtId="0" fontId="142" fillId="28" borderId="0" xfId="0" applyFont="1" applyFill="1"/>
    <xf numFmtId="0" fontId="143" fillId="28" borderId="0" xfId="0" applyFont="1" applyFill="1"/>
    <xf numFmtId="168" fontId="144" fillId="28" borderId="0" xfId="0" applyNumberFormat="1" applyFont="1" applyFill="1" applyAlignment="1">
      <alignment horizontal="center" vertical="center"/>
    </xf>
    <xf numFmtId="0" fontId="13" fillId="43" borderId="111" xfId="0" applyFont="1" applyFill="1" applyBorder="1" applyAlignment="1">
      <alignment vertical="center" wrapText="1"/>
    </xf>
    <xf numFmtId="0" fontId="0" fillId="43" borderId="98" xfId="0" applyFont="1" applyFill="1" applyBorder="1" applyAlignment="1">
      <alignment vertical="center" wrapText="1"/>
    </xf>
    <xf numFmtId="0" fontId="0" fillId="43" borderId="112" xfId="0" applyFont="1" applyFill="1" applyBorder="1" applyAlignment="1">
      <alignment vertical="center" wrapText="1"/>
    </xf>
    <xf numFmtId="0" fontId="13" fillId="43" borderId="193" xfId="0" applyFont="1" applyFill="1" applyBorder="1" applyAlignment="1">
      <alignment vertical="center" wrapText="1"/>
    </xf>
    <xf numFmtId="0" fontId="0" fillId="43" borderId="194" xfId="0" applyFont="1" applyFill="1" applyBorder="1" applyAlignment="1">
      <alignment vertical="center" wrapText="1"/>
    </xf>
    <xf numFmtId="0" fontId="0" fillId="43" borderId="195" xfId="0" applyFont="1" applyFill="1" applyBorder="1" applyAlignment="1">
      <alignment vertical="center" wrapText="1"/>
    </xf>
    <xf numFmtId="0" fontId="60" fillId="43" borderId="335" xfId="0" applyNumberFormat="1" applyFont="1" applyFill="1" applyBorder="1"/>
    <xf numFmtId="0" fontId="61" fillId="43" borderId="335" xfId="0" applyNumberFormat="1" applyFont="1" applyFill="1" applyBorder="1"/>
    <xf numFmtId="2" fontId="61" fillId="0" borderId="335" xfId="0" applyNumberFormat="1" applyFont="1" applyFill="1" applyBorder="1"/>
    <xf numFmtId="2" fontId="17" fillId="0" borderId="335" xfId="0" applyNumberFormat="1" applyFont="1" applyFill="1" applyBorder="1" applyAlignment="1">
      <alignment vertical="center"/>
    </xf>
    <xf numFmtId="4" fontId="61" fillId="43" borderId="340" xfId="0" applyNumberFormat="1" applyFont="1" applyFill="1" applyBorder="1"/>
    <xf numFmtId="4" fontId="61" fillId="0" borderId="340" xfId="0" applyNumberFormat="1" applyFont="1" applyFill="1" applyBorder="1"/>
    <xf numFmtId="4" fontId="13" fillId="0" borderId="341" xfId="79" applyNumberFormat="1" applyFont="1" applyFill="1" applyBorder="1" applyAlignment="1">
      <alignment horizontal="center" vertical="center"/>
    </xf>
    <xf numFmtId="0" fontId="60" fillId="43" borderId="335" xfId="0" applyFont="1" applyFill="1" applyBorder="1" applyAlignment="1">
      <alignment horizontal="center" vertical="center" wrapText="1"/>
    </xf>
    <xf numFmtId="4" fontId="0" fillId="28" borderId="343" xfId="0" applyNumberFormat="1" applyFill="1" applyBorder="1"/>
    <xf numFmtId="4" fontId="0" fillId="0" borderId="344" xfId="0" applyNumberFormat="1" applyFill="1" applyBorder="1"/>
    <xf numFmtId="0" fontId="0" fillId="0" borderId="344" xfId="0" applyFill="1" applyBorder="1"/>
    <xf numFmtId="4" fontId="0" fillId="28" borderId="342" xfId="0" applyNumberFormat="1" applyFill="1" applyBorder="1"/>
    <xf numFmtId="4" fontId="0" fillId="0" borderId="345" xfId="0" applyNumberFormat="1" applyFill="1" applyBorder="1"/>
    <xf numFmtId="0" fontId="17" fillId="0" borderId="346" xfId="0" applyFont="1" applyFill="1" applyBorder="1" applyAlignment="1">
      <alignment vertical="center" wrapText="1"/>
    </xf>
    <xf numFmtId="4" fontId="17" fillId="43" borderId="348" xfId="0" applyNumberFormat="1" applyFont="1" applyFill="1" applyBorder="1"/>
    <xf numFmtId="2" fontId="60" fillId="43" borderId="335" xfId="0" applyNumberFormat="1" applyFont="1" applyFill="1" applyBorder="1" applyAlignment="1">
      <alignment horizontal="right" vertical="center" wrapText="1"/>
    </xf>
    <xf numFmtId="2" fontId="61" fillId="0" borderId="335" xfId="0" applyNumberFormat="1" applyFont="1" applyFill="1" applyBorder="1" applyAlignment="1">
      <alignment vertical="center"/>
    </xf>
    <xf numFmtId="2" fontId="61" fillId="43" borderId="335" xfId="0" applyNumberFormat="1" applyFont="1" applyFill="1" applyBorder="1" applyAlignment="1">
      <alignment vertical="center"/>
    </xf>
    <xf numFmtId="2" fontId="61" fillId="0" borderId="335" xfId="0" applyNumberFormat="1" applyFont="1" applyBorder="1" applyAlignment="1">
      <alignment vertical="center"/>
    </xf>
    <xf numFmtId="2" fontId="60" fillId="0" borderId="335" xfId="0" applyNumberFormat="1" applyFont="1" applyFill="1" applyBorder="1" applyAlignment="1">
      <alignment vertical="center"/>
    </xf>
    <xf numFmtId="2" fontId="60" fillId="43" borderId="335" xfId="0" applyNumberFormat="1" applyFont="1" applyFill="1" applyBorder="1" applyAlignment="1">
      <alignment vertical="center"/>
    </xf>
    <xf numFmtId="2" fontId="60" fillId="0" borderId="335" xfId="0" applyNumberFormat="1" applyFont="1" applyBorder="1" applyAlignment="1">
      <alignment vertical="center"/>
    </xf>
    <xf numFmtId="4" fontId="17" fillId="43" borderId="347" xfId="0" applyNumberFormat="1" applyFont="1" applyFill="1" applyBorder="1"/>
    <xf numFmtId="0" fontId="60" fillId="43" borderId="335" xfId="0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/>
    </xf>
    <xf numFmtId="0" fontId="0" fillId="0" borderId="0" xfId="0" applyAlignment="1"/>
    <xf numFmtId="0" fontId="13" fillId="0" borderId="0" xfId="0" applyFont="1" applyAlignment="1">
      <alignment horizontal="left" vertical="top" wrapText="1"/>
    </xf>
    <xf numFmtId="0" fontId="0" fillId="0" borderId="0" xfId="0" applyAlignment="1">
      <alignment horizontal="left" vertical="top"/>
    </xf>
    <xf numFmtId="0" fontId="84" fillId="0" borderId="0" xfId="0" applyFont="1" applyAlignment="1"/>
    <xf numFmtId="0" fontId="91" fillId="0" borderId="0" xfId="0" applyFont="1" applyAlignment="1">
      <alignment horizontal="center"/>
    </xf>
    <xf numFmtId="0" fontId="60" fillId="0" borderId="351" xfId="0" applyFont="1" applyBorder="1" applyAlignment="1">
      <alignment horizontal="center"/>
    </xf>
    <xf numFmtId="0" fontId="17" fillId="0" borderId="350" xfId="0" applyFont="1" applyBorder="1" applyAlignment="1">
      <alignment vertical="center" wrapText="1"/>
    </xf>
    <xf numFmtId="0" fontId="60" fillId="0" borderId="351" xfId="0" applyFont="1" applyBorder="1"/>
    <xf numFmtId="2" fontId="17" fillId="0" borderId="351" xfId="0" applyNumberFormat="1" applyFont="1" applyBorder="1" applyAlignment="1">
      <alignment horizontal="center"/>
    </xf>
    <xf numFmtId="2" fontId="17" fillId="0" borderId="351" xfId="0" applyNumberFormat="1" applyFont="1" applyFill="1" applyBorder="1"/>
    <xf numFmtId="2" fontId="17" fillId="0" borderId="352" xfId="0" applyNumberFormat="1" applyFont="1" applyFill="1" applyBorder="1"/>
    <xf numFmtId="0" fontId="60" fillId="0" borderId="350" xfId="0" applyFont="1" applyBorder="1" applyAlignment="1">
      <alignment vertical="center" wrapText="1"/>
    </xf>
    <xf numFmtId="2" fontId="60" fillId="0" borderId="351" xfId="0" applyNumberFormat="1" applyFont="1" applyBorder="1" applyAlignment="1">
      <alignment horizontal="center"/>
    </xf>
    <xf numFmtId="2" fontId="60" fillId="0" borderId="351" xfId="0" applyNumberFormat="1" applyFont="1" applyFill="1" applyBorder="1"/>
    <xf numFmtId="0" fontId="61" fillId="0" borderId="350" xfId="0" applyFont="1" applyBorder="1" applyAlignment="1">
      <alignment vertical="center" wrapText="1"/>
    </xf>
    <xf numFmtId="10" fontId="61" fillId="0" borderId="351" xfId="0" applyNumberFormat="1" applyFont="1" applyFill="1" applyBorder="1"/>
    <xf numFmtId="2" fontId="60" fillId="0" borderId="352" xfId="0" applyNumberFormat="1" applyFont="1" applyFill="1" applyBorder="1"/>
    <xf numFmtId="2" fontId="61" fillId="0" borderId="351" xfId="0" applyNumberFormat="1" applyFont="1" applyFill="1" applyBorder="1"/>
    <xf numFmtId="2" fontId="61" fillId="0" borderId="352" xfId="0" applyNumberFormat="1" applyFont="1" applyFill="1" applyBorder="1"/>
    <xf numFmtId="0" fontId="60" fillId="0" borderId="350" xfId="0" applyFont="1" applyBorder="1" applyAlignment="1">
      <alignment vertical="center"/>
    </xf>
    <xf numFmtId="0" fontId="61" fillId="0" borderId="350" xfId="0" applyFont="1" applyBorder="1" applyAlignment="1">
      <alignment vertical="center"/>
    </xf>
    <xf numFmtId="10" fontId="60" fillId="0" borderId="351" xfId="0" applyNumberFormat="1" applyFont="1" applyFill="1" applyBorder="1" applyAlignment="1">
      <alignment horizontal="center"/>
    </xf>
    <xf numFmtId="10" fontId="61" fillId="0" borderId="352" xfId="0" applyNumberFormat="1" applyFont="1" applyFill="1" applyBorder="1"/>
    <xf numFmtId="0" fontId="0" fillId="0" borderId="351" xfId="0" applyFont="1" applyBorder="1"/>
    <xf numFmtId="0" fontId="61" fillId="0" borderId="350" xfId="0" applyFont="1" applyFill="1" applyBorder="1" applyAlignment="1">
      <alignment vertical="center"/>
    </xf>
    <xf numFmtId="0" fontId="17" fillId="0" borderId="350" xfId="0" applyFont="1" applyBorder="1" applyAlignment="1">
      <alignment vertical="center"/>
    </xf>
    <xf numFmtId="4" fontId="17" fillId="0" borderId="351" xfId="0" applyNumberFormat="1" applyFont="1" applyFill="1" applyBorder="1"/>
    <xf numFmtId="4" fontId="17" fillId="0" borderId="352" xfId="0" applyNumberFormat="1" applyFont="1" applyFill="1" applyBorder="1"/>
    <xf numFmtId="0" fontId="17" fillId="0" borderId="350" xfId="0" applyFont="1" applyFill="1" applyBorder="1" applyAlignment="1">
      <alignment vertical="center" wrapText="1"/>
    </xf>
    <xf numFmtId="0" fontId="17" fillId="0" borderId="350" xfId="0" applyFont="1" applyFill="1" applyBorder="1" applyAlignment="1">
      <alignment vertical="center"/>
    </xf>
    <xf numFmtId="0" fontId="17" fillId="0" borderId="342" xfId="0" applyFont="1" applyFill="1" applyBorder="1" applyAlignment="1">
      <alignment vertical="center" wrapText="1"/>
    </xf>
    <xf numFmtId="2" fontId="17" fillId="0" borderId="345" xfId="0" applyNumberFormat="1" applyFont="1" applyBorder="1" applyAlignment="1">
      <alignment horizontal="center"/>
    </xf>
    <xf numFmtId="0" fontId="60" fillId="0" borderId="0" xfId="0" applyFont="1" applyAlignment="1"/>
    <xf numFmtId="0" fontId="60" fillId="0" borderId="0" xfId="0" applyFont="1" applyAlignment="1">
      <alignment horizontal="left" vertical="top" wrapText="1"/>
    </xf>
    <xf numFmtId="0" fontId="82" fillId="0" borderId="0" xfId="0" applyFont="1" applyAlignment="1">
      <alignment horizontal="left" vertical="top"/>
    </xf>
    <xf numFmtId="0" fontId="60" fillId="0" borderId="351" xfId="0" applyFont="1" applyFill="1" applyBorder="1" applyAlignment="1">
      <alignment horizontal="center" vertical="center" wrapText="1"/>
    </xf>
    <xf numFmtId="0" fontId="82" fillId="0" borderId="351" xfId="0" applyFont="1" applyBorder="1" applyAlignment="1">
      <alignment vertical="center"/>
    </xf>
    <xf numFmtId="0" fontId="17" fillId="0" borderId="351" xfId="0" applyFont="1" applyBorder="1" applyAlignment="1">
      <alignment horizontal="center" vertical="center" wrapText="1"/>
    </xf>
    <xf numFmtId="0" fontId="60" fillId="0" borderId="351" xfId="0" applyFont="1" applyBorder="1" applyAlignment="1">
      <alignment horizontal="center" vertical="center" wrapText="1"/>
    </xf>
    <xf numFmtId="0" fontId="60" fillId="0" borderId="351" xfId="0" applyFont="1" applyBorder="1" applyAlignment="1">
      <alignment vertical="center"/>
    </xf>
    <xf numFmtId="4" fontId="17" fillId="0" borderId="351" xfId="0" applyNumberFormat="1" applyFont="1" applyBorder="1" applyAlignment="1">
      <alignment horizontal="right" vertical="center"/>
    </xf>
    <xf numFmtId="4" fontId="83" fillId="0" borderId="351" xfId="0" applyNumberFormat="1" applyFont="1" applyBorder="1" applyAlignment="1">
      <alignment horizontal="right" vertical="center"/>
    </xf>
    <xf numFmtId="0" fontId="17" fillId="0" borderId="351" xfId="0" applyFont="1" applyBorder="1" applyAlignment="1">
      <alignment horizontal="right" vertical="center"/>
    </xf>
    <xf numFmtId="169" fontId="17" fillId="0" borderId="351" xfId="0" applyNumberFormat="1" applyFont="1" applyBorder="1" applyAlignment="1">
      <alignment horizontal="center"/>
    </xf>
    <xf numFmtId="4" fontId="60" fillId="0" borderId="351" xfId="0" applyNumberFormat="1" applyFont="1" applyBorder="1" applyAlignment="1">
      <alignment horizontal="right" vertical="center"/>
    </xf>
    <xf numFmtId="4" fontId="61" fillId="0" borderId="351" xfId="0" applyNumberFormat="1" applyFont="1" applyBorder="1" applyAlignment="1">
      <alignment horizontal="right" vertical="center"/>
    </xf>
    <xf numFmtId="0" fontId="60" fillId="0" borderId="351" xfId="0" applyFont="1" applyBorder="1" applyAlignment="1">
      <alignment horizontal="right" vertical="center"/>
    </xf>
    <xf numFmtId="169" fontId="60" fillId="0" borderId="351" xfId="0" applyNumberFormat="1" applyFont="1" applyBorder="1" applyAlignment="1">
      <alignment horizontal="center"/>
    </xf>
    <xf numFmtId="4" fontId="60" fillId="0" borderId="351" xfId="0" applyNumberFormat="1" applyFont="1" applyFill="1" applyBorder="1" applyAlignment="1">
      <alignment horizontal="center"/>
    </xf>
    <xf numFmtId="0" fontId="50" fillId="0" borderId="351" xfId="0" applyFont="1" applyBorder="1"/>
    <xf numFmtId="0" fontId="0" fillId="28" borderId="351" xfId="0" applyFont="1" applyFill="1" applyBorder="1"/>
    <xf numFmtId="4" fontId="17" fillId="0" borderId="351" xfId="0" applyNumberFormat="1" applyFont="1" applyFill="1" applyBorder="1" applyAlignment="1">
      <alignment horizontal="center"/>
    </xf>
    <xf numFmtId="169" fontId="17" fillId="0" borderId="351" xfId="0" applyNumberFormat="1" applyFont="1" applyFill="1" applyBorder="1" applyAlignment="1">
      <alignment horizontal="center"/>
    </xf>
    <xf numFmtId="2" fontId="17" fillId="0" borderId="351" xfId="0" applyNumberFormat="1" applyFont="1" applyFill="1" applyBorder="1" applyAlignment="1">
      <alignment horizontal="center"/>
    </xf>
    <xf numFmtId="0" fontId="17" fillId="0" borderId="351" xfId="0" applyFont="1" applyFill="1" applyBorder="1" applyAlignment="1">
      <alignment horizontal="center"/>
    </xf>
    <xf numFmtId="2" fontId="17" fillId="0" borderId="345" xfId="0" applyNumberFormat="1" applyFont="1" applyFill="1" applyBorder="1" applyAlignment="1">
      <alignment horizontal="center"/>
    </xf>
    <xf numFmtId="0" fontId="84" fillId="0" borderId="0" xfId="0" applyFont="1"/>
    <xf numFmtId="0" fontId="84" fillId="0" borderId="16" xfId="0" applyFont="1" applyBorder="1" applyAlignment="1">
      <alignment horizontal="center" vertical="center" wrapText="1"/>
    </xf>
    <xf numFmtId="0" fontId="84" fillId="0" borderId="17" xfId="0" applyFont="1" applyBorder="1" applyAlignment="1">
      <alignment horizontal="center" vertical="center" wrapText="1"/>
    </xf>
    <xf numFmtId="0" fontId="84" fillId="0" borderId="18" xfId="0" applyFont="1" applyBorder="1" applyAlignment="1">
      <alignment horizontal="center" vertical="center" wrapText="1"/>
    </xf>
    <xf numFmtId="0" fontId="16" fillId="0" borderId="353" xfId="0" applyFont="1" applyFill="1" applyBorder="1" applyAlignment="1">
      <alignment vertical="center"/>
    </xf>
    <xf numFmtId="0" fontId="84" fillId="0" borderId="354" xfId="0" applyFont="1" applyFill="1" applyBorder="1" applyAlignment="1">
      <alignment vertical="center"/>
    </xf>
    <xf numFmtId="0" fontId="84" fillId="0" borderId="37" xfId="0" applyFont="1" applyFill="1" applyBorder="1" applyAlignment="1">
      <alignment vertical="center"/>
    </xf>
    <xf numFmtId="0" fontId="84" fillId="0" borderId="11" xfId="0" applyFont="1" applyFill="1" applyBorder="1" applyAlignment="1">
      <alignment horizontal="center" vertical="center"/>
    </xf>
    <xf numFmtId="2" fontId="84" fillId="0" borderId="352" xfId="0" applyNumberFormat="1" applyFont="1" applyFill="1" applyBorder="1" applyAlignment="1">
      <alignment vertical="center"/>
    </xf>
    <xf numFmtId="2" fontId="16" fillId="0" borderId="352" xfId="0" applyNumberFormat="1" applyFont="1" applyFill="1" applyBorder="1" applyAlignment="1">
      <alignment vertical="center"/>
    </xf>
    <xf numFmtId="0" fontId="16" fillId="0" borderId="352" xfId="0" applyFont="1" applyFill="1" applyBorder="1" applyAlignment="1">
      <alignment vertical="center"/>
    </xf>
    <xf numFmtId="0" fontId="84" fillId="0" borderId="342" xfId="0" applyFont="1" applyFill="1" applyBorder="1" applyAlignment="1">
      <alignment vertical="center" wrapText="1"/>
    </xf>
    <xf numFmtId="0" fontId="84" fillId="0" borderId="345" xfId="0" applyFont="1" applyFill="1" applyBorder="1" applyAlignment="1">
      <alignment horizontal="center" vertical="center"/>
    </xf>
    <xf numFmtId="2" fontId="84" fillId="0" borderId="345" xfId="0" applyNumberFormat="1" applyFont="1" applyFill="1" applyBorder="1" applyAlignment="1">
      <alignment vertical="center"/>
    </xf>
    <xf numFmtId="2" fontId="84" fillId="0" borderId="293" xfId="0" applyNumberFormat="1" applyFont="1" applyFill="1" applyBorder="1" applyAlignment="1">
      <alignment vertical="center"/>
    </xf>
    <xf numFmtId="0" fontId="63" fillId="0" borderId="0" xfId="0" applyFont="1"/>
    <xf numFmtId="0" fontId="0" fillId="0" borderId="345" xfId="0" applyFont="1" applyBorder="1"/>
    <xf numFmtId="4" fontId="17" fillId="0" borderId="345" xfId="0" applyNumberFormat="1" applyFont="1" applyFill="1" applyBorder="1"/>
    <xf numFmtId="4" fontId="17" fillId="0" borderId="293" xfId="0" applyNumberFormat="1" applyFont="1" applyFill="1" applyBorder="1"/>
    <xf numFmtId="171" fontId="61" fillId="0" borderId="351" xfId="0" applyNumberFormat="1" applyFont="1" applyFill="1" applyBorder="1"/>
    <xf numFmtId="171" fontId="61" fillId="0" borderId="352" xfId="0" applyNumberFormat="1" applyFont="1" applyFill="1" applyBorder="1"/>
    <xf numFmtId="2" fontId="17" fillId="43" borderId="335" xfId="0" applyNumberFormat="1" applyFont="1" applyFill="1" applyBorder="1" applyAlignment="1">
      <alignment horizontal="right" vertical="center" wrapText="1"/>
    </xf>
    <xf numFmtId="0" fontId="0" fillId="0" borderId="0" xfId="0" applyAlignment="1"/>
    <xf numFmtId="0" fontId="60" fillId="0" borderId="0" xfId="0" applyFont="1" applyAlignment="1">
      <alignment horizontal="left" vertical="top" wrapText="1"/>
    </xf>
    <xf numFmtId="0" fontId="82" fillId="0" borderId="0" xfId="0" applyFont="1" applyAlignment="1">
      <alignment horizontal="left" vertical="top"/>
    </xf>
    <xf numFmtId="0" fontId="60" fillId="0" borderId="0" xfId="0" applyFont="1" applyAlignment="1"/>
    <xf numFmtId="0" fontId="60" fillId="0" borderId="0" xfId="0" applyFont="1" applyAlignment="1"/>
    <xf numFmtId="0" fontId="84" fillId="0" borderId="358" xfId="0" applyFont="1" applyFill="1" applyBorder="1" applyAlignment="1">
      <alignment vertical="center"/>
    </xf>
    <xf numFmtId="0" fontId="85" fillId="0" borderId="358" xfId="0" applyFont="1" applyFill="1" applyBorder="1" applyAlignment="1">
      <alignment vertical="center"/>
    </xf>
    <xf numFmtId="2" fontId="84" fillId="0" borderId="359" xfId="0" applyNumberFormat="1" applyFont="1" applyFill="1" applyBorder="1" applyAlignment="1">
      <alignment vertical="center"/>
    </xf>
    <xf numFmtId="0" fontId="84" fillId="0" borderId="360" xfId="0" applyFont="1" applyFill="1" applyBorder="1" applyAlignment="1">
      <alignment horizontal="center" vertical="center"/>
    </xf>
    <xf numFmtId="0" fontId="84" fillId="0" borderId="360" xfId="0" applyFont="1" applyFill="1" applyBorder="1" applyAlignment="1">
      <alignment vertical="center"/>
    </xf>
    <xf numFmtId="0" fontId="84" fillId="0" borderId="359" xfId="0" applyFont="1" applyFill="1" applyBorder="1" applyAlignment="1">
      <alignment horizontal="center" vertical="center"/>
    </xf>
    <xf numFmtId="0" fontId="16" fillId="0" borderId="359" xfId="0" applyFont="1" applyFill="1" applyBorder="1" applyAlignment="1">
      <alignment vertical="center"/>
    </xf>
    <xf numFmtId="2" fontId="16" fillId="0" borderId="359" xfId="0" applyNumberFormat="1" applyFont="1" applyFill="1" applyBorder="1" applyAlignment="1">
      <alignment vertical="center"/>
    </xf>
    <xf numFmtId="0" fontId="84" fillId="0" borderId="359" xfId="0" applyFont="1" applyFill="1" applyBorder="1" applyAlignment="1">
      <alignment vertical="center"/>
    </xf>
    <xf numFmtId="0" fontId="84" fillId="0" borderId="358" xfId="0" applyFont="1" applyFill="1" applyBorder="1" applyAlignment="1">
      <alignment vertical="center" wrapText="1"/>
    </xf>
    <xf numFmtId="0" fontId="146" fillId="0" borderId="358" xfId="0" applyFont="1" applyFill="1" applyBorder="1" applyAlignment="1">
      <alignment vertical="center"/>
    </xf>
    <xf numFmtId="0" fontId="16" fillId="0" borderId="359" xfId="0" applyFont="1" applyFill="1" applyBorder="1" applyAlignment="1">
      <alignment horizontal="center" vertical="center"/>
    </xf>
    <xf numFmtId="0" fontId="16" fillId="0" borderId="358" xfId="0" applyFont="1" applyFill="1" applyBorder="1" applyAlignment="1">
      <alignment vertical="center"/>
    </xf>
    <xf numFmtId="0" fontId="84" fillId="0" borderId="0" xfId="0" applyFont="1" applyFill="1"/>
    <xf numFmtId="0" fontId="3" fillId="0" borderId="0" xfId="150"/>
    <xf numFmtId="0" fontId="114" fillId="0" borderId="0" xfId="150" applyFont="1"/>
    <xf numFmtId="0" fontId="114" fillId="0" borderId="359" xfId="150" applyFont="1" applyBorder="1" applyAlignment="1">
      <alignment horizontal="center" vertical="center"/>
    </xf>
    <xf numFmtId="0" fontId="113" fillId="0" borderId="359" xfId="150" applyFont="1" applyBorder="1" applyAlignment="1">
      <alignment horizontal="center" vertical="center"/>
    </xf>
    <xf numFmtId="2" fontId="113" fillId="0" borderId="359" xfId="150" applyNumberFormat="1" applyFont="1" applyBorder="1" applyAlignment="1">
      <alignment horizontal="center" vertical="center"/>
    </xf>
    <xf numFmtId="2" fontId="114" fillId="0" borderId="0" xfId="150" applyNumberFormat="1" applyFont="1" applyBorder="1" applyAlignment="1">
      <alignment horizontal="center"/>
    </xf>
    <xf numFmtId="0" fontId="114" fillId="0" borderId="0" xfId="150" applyFont="1" applyAlignment="1">
      <alignment horizontal="center"/>
    </xf>
    <xf numFmtId="2" fontId="114" fillId="0" borderId="359" xfId="150" applyNumberFormat="1" applyFont="1" applyBorder="1" applyAlignment="1">
      <alignment horizontal="center" vertical="center"/>
    </xf>
    <xf numFmtId="0" fontId="48" fillId="0" borderId="16" xfId="150" applyFont="1" applyBorder="1" applyAlignment="1">
      <alignment horizontal="center" vertical="center"/>
    </xf>
    <xf numFmtId="0" fontId="48" fillId="0" borderId="17" xfId="150" applyFont="1" applyBorder="1" applyAlignment="1">
      <alignment horizontal="center" vertical="center"/>
    </xf>
    <xf numFmtId="0" fontId="51" fillId="43" borderId="17" xfId="150" applyFont="1" applyFill="1" applyBorder="1" applyAlignment="1">
      <alignment horizontal="center" vertical="center"/>
    </xf>
    <xf numFmtId="0" fontId="51" fillId="43" borderId="18" xfId="150" applyFont="1" applyFill="1" applyBorder="1" applyAlignment="1">
      <alignment horizontal="center" vertical="center"/>
    </xf>
    <xf numFmtId="0" fontId="51" fillId="0" borderId="358" xfId="150" applyFont="1" applyBorder="1" applyAlignment="1">
      <alignment vertical="center" wrapText="1"/>
    </xf>
    <xf numFmtId="2" fontId="51" fillId="43" borderId="359" xfId="150" applyNumberFormat="1" applyFont="1" applyFill="1" applyBorder="1" applyAlignment="1">
      <alignment horizontal="center" vertical="center"/>
    </xf>
    <xf numFmtId="2" fontId="51" fillId="43" borderId="352" xfId="150" applyNumberFormat="1" applyFont="1" applyFill="1" applyBorder="1" applyAlignment="1">
      <alignment horizontal="center" vertical="center"/>
    </xf>
    <xf numFmtId="0" fontId="49" fillId="0" borderId="358" xfId="150" applyFont="1" applyBorder="1" applyAlignment="1">
      <alignment vertical="center" wrapText="1"/>
    </xf>
    <xf numFmtId="2" fontId="49" fillId="0" borderId="359" xfId="150" applyNumberFormat="1" applyFont="1" applyBorder="1" applyAlignment="1">
      <alignment horizontal="center" vertical="center"/>
    </xf>
    <xf numFmtId="2" fontId="51" fillId="0" borderId="359" xfId="150" applyNumberFormat="1" applyFont="1" applyBorder="1" applyAlignment="1">
      <alignment horizontal="center" vertical="center"/>
    </xf>
    <xf numFmtId="2" fontId="52" fillId="43" borderId="359" xfId="150" applyNumberFormat="1" applyFont="1" applyFill="1" applyBorder="1" applyAlignment="1">
      <alignment horizontal="center" vertical="center"/>
    </xf>
    <xf numFmtId="2" fontId="52" fillId="43" borderId="352" xfId="150" applyNumberFormat="1" applyFont="1" applyFill="1" applyBorder="1" applyAlignment="1">
      <alignment horizontal="center" vertical="center"/>
    </xf>
    <xf numFmtId="0" fontId="114" fillId="0" borderId="359" xfId="150" applyFont="1" applyBorder="1" applyAlignment="1">
      <alignment vertical="center"/>
    </xf>
    <xf numFmtId="0" fontId="113" fillId="0" borderId="359" xfId="150" applyFont="1" applyBorder="1" applyAlignment="1">
      <alignment vertical="center"/>
    </xf>
    <xf numFmtId="0" fontId="60" fillId="0" borderId="352" xfId="0" applyFont="1" applyFill="1" applyBorder="1" applyAlignment="1">
      <alignment horizontal="center" vertical="center"/>
    </xf>
    <xf numFmtId="0" fontId="148" fillId="0" borderId="0" xfId="151"/>
    <xf numFmtId="0" fontId="19" fillId="0" borderId="0" xfId="151" applyFont="1"/>
    <xf numFmtId="0" fontId="149" fillId="29" borderId="359" xfId="151" applyFont="1" applyFill="1" applyBorder="1"/>
    <xf numFmtId="0" fontId="148" fillId="29" borderId="359" xfId="151" applyFill="1" applyBorder="1"/>
    <xf numFmtId="0" fontId="19" fillId="0" borderId="359" xfId="151" applyFont="1" applyBorder="1"/>
    <xf numFmtId="2" fontId="19" fillId="0" borderId="359" xfId="151" applyNumberFormat="1" applyFont="1" applyFill="1" applyBorder="1"/>
    <xf numFmtId="168" fontId="19" fillId="0" borderId="359" xfId="151" applyNumberFormat="1" applyFont="1" applyFill="1" applyBorder="1"/>
    <xf numFmtId="169" fontId="19" fillId="0" borderId="359" xfId="151" applyNumberFormat="1" applyFont="1" applyFill="1" applyBorder="1"/>
    <xf numFmtId="0" fontId="149" fillId="0" borderId="359" xfId="151" applyFont="1" applyBorder="1"/>
    <xf numFmtId="2" fontId="149" fillId="0" borderId="359" xfId="151" applyNumberFormat="1" applyFont="1" applyFill="1" applyBorder="1"/>
    <xf numFmtId="168" fontId="149" fillId="0" borderId="359" xfId="151" applyNumberFormat="1" applyFont="1" applyFill="1" applyBorder="1"/>
    <xf numFmtId="0" fontId="19" fillId="29" borderId="359" xfId="151" applyFont="1" applyFill="1" applyBorder="1"/>
    <xf numFmtId="0" fontId="149" fillId="0" borderId="0" xfId="151" applyFont="1"/>
    <xf numFmtId="0" fontId="148" fillId="0" borderId="0" xfId="151" applyBorder="1"/>
    <xf numFmtId="0" fontId="148" fillId="0" borderId="0" xfId="151" applyFill="1" applyBorder="1"/>
    <xf numFmtId="169" fontId="149" fillId="0" borderId="0" xfId="151" applyNumberFormat="1" applyFont="1" applyBorder="1"/>
    <xf numFmtId="2" fontId="19" fillId="29" borderId="359" xfId="151" applyNumberFormat="1" applyFont="1" applyFill="1" applyBorder="1"/>
    <xf numFmtId="169" fontId="19" fillId="29" borderId="359" xfId="151" applyNumberFormat="1" applyFont="1" applyFill="1" applyBorder="1"/>
    <xf numFmtId="175" fontId="19" fillId="0" borderId="359" xfId="152" applyFont="1" applyFill="1" applyBorder="1"/>
    <xf numFmtId="169" fontId="149" fillId="29" borderId="359" xfId="151" applyNumberFormat="1" applyFont="1" applyFill="1" applyBorder="1"/>
    <xf numFmtId="0" fontId="150" fillId="0" borderId="0" xfId="151" applyFont="1"/>
    <xf numFmtId="0" fontId="84" fillId="0" borderId="0" xfId="151" applyFont="1" applyFill="1" applyBorder="1" applyAlignment="1">
      <alignment horizontal="left" vertical="center"/>
    </xf>
    <xf numFmtId="0" fontId="84" fillId="0" borderId="0" xfId="151" applyFont="1"/>
    <xf numFmtId="0" fontId="17" fillId="0" borderId="0" xfId="0" applyFont="1" applyFill="1" applyBorder="1" applyAlignment="1">
      <alignment horizontal="center" vertical="center" wrapText="1"/>
    </xf>
    <xf numFmtId="0" fontId="17" fillId="0" borderId="52" xfId="0" applyFont="1" applyBorder="1" applyAlignment="1">
      <alignment horizontal="center" vertical="center"/>
    </xf>
    <xf numFmtId="0" fontId="17" fillId="0" borderId="53" xfId="0" applyFont="1" applyBorder="1" applyAlignment="1">
      <alignment horizontal="center" vertical="center"/>
    </xf>
    <xf numFmtId="0" fontId="87" fillId="0" borderId="52" xfId="0" applyFont="1" applyBorder="1" applyAlignment="1">
      <alignment horizontal="center"/>
    </xf>
    <xf numFmtId="0" fontId="87" fillId="0" borderId="53" xfId="0" applyFont="1" applyBorder="1" applyAlignment="1">
      <alignment horizontal="center"/>
    </xf>
    <xf numFmtId="0" fontId="60" fillId="0" borderId="348" xfId="0" applyFont="1" applyFill="1" applyBorder="1" applyAlignment="1">
      <alignment horizontal="center" wrapText="1"/>
    </xf>
    <xf numFmtId="0" fontId="60" fillId="0" borderId="359" xfId="0" applyFont="1" applyFill="1" applyBorder="1" applyAlignment="1">
      <alignment horizontal="center" wrapText="1"/>
    </xf>
    <xf numFmtId="0" fontId="60" fillId="0" borderId="336" xfId="0" applyFont="1" applyFill="1" applyBorder="1" applyAlignment="1">
      <alignment horizontal="center" wrapText="1"/>
    </xf>
    <xf numFmtId="0" fontId="60" fillId="0" borderId="331" xfId="0" applyFont="1" applyBorder="1" applyAlignment="1">
      <alignment vertical="center" wrapText="1"/>
    </xf>
    <xf numFmtId="4" fontId="60" fillId="0" borderId="358" xfId="0" applyNumberFormat="1" applyFont="1" applyBorder="1" applyAlignment="1">
      <alignment horizontal="right" vertical="center"/>
    </xf>
    <xf numFmtId="4" fontId="60" fillId="0" borderId="359" xfId="0" applyNumberFormat="1" applyFont="1" applyBorder="1" applyAlignment="1">
      <alignment horizontal="right" vertical="center"/>
    </xf>
    <xf numFmtId="4" fontId="60" fillId="0" borderId="352" xfId="0" applyNumberFormat="1" applyFont="1" applyFill="1" applyBorder="1" applyAlignment="1">
      <alignment horizontal="right" vertical="center"/>
    </xf>
    <xf numFmtId="4" fontId="17" fillId="0" borderId="359" xfId="0" applyNumberFormat="1" applyFont="1" applyFill="1" applyBorder="1" applyAlignment="1">
      <alignment horizontal="right" vertical="center"/>
    </xf>
    <xf numFmtId="4" fontId="17" fillId="0" borderId="336" xfId="0" applyNumberFormat="1" applyFont="1" applyFill="1" applyBorder="1" applyAlignment="1">
      <alignment horizontal="right" vertical="center"/>
    </xf>
    <xf numFmtId="178" fontId="60" fillId="0" borderId="358" xfId="0" applyNumberFormat="1" applyFont="1" applyFill="1" applyBorder="1" applyAlignment="1">
      <alignment horizontal="right" vertical="center"/>
    </xf>
    <xf numFmtId="178" fontId="17" fillId="0" borderId="359" xfId="0" applyNumberFormat="1" applyFont="1" applyFill="1" applyBorder="1" applyAlignment="1">
      <alignment horizontal="right" vertical="center"/>
    </xf>
    <xf numFmtId="178" fontId="17" fillId="0" borderId="336" xfId="0" applyNumberFormat="1" applyFont="1" applyFill="1" applyBorder="1" applyAlignment="1">
      <alignment horizontal="right" vertical="center"/>
    </xf>
    <xf numFmtId="4" fontId="60" fillId="0" borderId="352" xfId="0" applyNumberFormat="1" applyFont="1" applyBorder="1" applyAlignment="1">
      <alignment horizontal="right" vertical="center"/>
    </xf>
    <xf numFmtId="4" fontId="60" fillId="0" borderId="358" xfId="0" applyNumberFormat="1" applyFont="1" applyFill="1" applyBorder="1" applyAlignment="1">
      <alignment horizontal="right" vertical="center"/>
    </xf>
    <xf numFmtId="4" fontId="60" fillId="0" borderId="359" xfId="0" applyNumberFormat="1" applyFont="1" applyFill="1" applyBorder="1" applyAlignment="1">
      <alignment horizontal="right" vertical="center"/>
    </xf>
    <xf numFmtId="0" fontId="17" fillId="0" borderId="352" xfId="0" applyFont="1" applyFill="1" applyBorder="1" applyAlignment="1">
      <alignment horizontal="right" vertical="center"/>
    </xf>
    <xf numFmtId="0" fontId="17" fillId="0" borderId="359" xfId="0" applyFont="1" applyFill="1" applyBorder="1" applyAlignment="1">
      <alignment horizontal="right" vertical="center"/>
    </xf>
    <xf numFmtId="0" fontId="17" fillId="0" borderId="336" xfId="0" applyFont="1" applyFill="1" applyBorder="1" applyAlignment="1">
      <alignment horizontal="right" vertical="center"/>
    </xf>
    <xf numFmtId="178" fontId="17" fillId="0" borderId="358" xfId="0" applyNumberFormat="1" applyFont="1" applyFill="1" applyBorder="1" applyAlignment="1">
      <alignment horizontal="right" vertical="center"/>
    </xf>
    <xf numFmtId="0" fontId="17" fillId="0" borderId="358" xfId="0" applyFont="1" applyFill="1" applyBorder="1" applyAlignment="1">
      <alignment horizontal="right" vertical="center"/>
    </xf>
    <xf numFmtId="10" fontId="61" fillId="0" borderId="352" xfId="85" applyNumberFormat="1" applyFont="1" applyFill="1" applyBorder="1" applyAlignment="1">
      <alignment horizontal="right" vertical="center"/>
    </xf>
    <xf numFmtId="10" fontId="61" fillId="0" borderId="359" xfId="85" applyNumberFormat="1" applyFont="1" applyFill="1" applyBorder="1" applyAlignment="1">
      <alignment horizontal="right" vertical="center"/>
    </xf>
    <xf numFmtId="10" fontId="61" fillId="0" borderId="336" xfId="85" applyNumberFormat="1" applyFont="1" applyFill="1" applyBorder="1" applyAlignment="1">
      <alignment horizontal="right" vertical="center"/>
    </xf>
    <xf numFmtId="178" fontId="61" fillId="0" borderId="359" xfId="85" applyNumberFormat="1" applyFont="1" applyFill="1" applyBorder="1" applyAlignment="1">
      <alignment horizontal="right" vertical="center"/>
    </xf>
    <xf numFmtId="10" fontId="61" fillId="0" borderId="358" xfId="85" applyNumberFormat="1" applyFont="1" applyFill="1" applyBorder="1" applyAlignment="1">
      <alignment horizontal="right" vertical="center"/>
    </xf>
    <xf numFmtId="4" fontId="17" fillId="0" borderId="352" xfId="0" applyNumberFormat="1" applyFont="1" applyFill="1" applyBorder="1" applyAlignment="1">
      <alignment horizontal="right" vertical="center"/>
    </xf>
    <xf numFmtId="4" fontId="17" fillId="0" borderId="358" xfId="0" applyNumberFormat="1" applyFont="1" applyFill="1" applyBorder="1" applyAlignment="1">
      <alignment horizontal="right" vertical="center"/>
    </xf>
    <xf numFmtId="4" fontId="60" fillId="0" borderId="336" xfId="0" applyNumberFormat="1" applyFont="1" applyFill="1" applyBorder="1" applyAlignment="1">
      <alignment horizontal="right" vertical="center"/>
    </xf>
    <xf numFmtId="178" fontId="60" fillId="0" borderId="359" xfId="0" applyNumberFormat="1" applyFont="1" applyFill="1" applyBorder="1" applyAlignment="1">
      <alignment horizontal="right" vertical="center"/>
    </xf>
    <xf numFmtId="178" fontId="60" fillId="0" borderId="336" xfId="0" applyNumberFormat="1" applyFont="1" applyFill="1" applyBorder="1" applyAlignment="1">
      <alignment horizontal="right" vertical="center"/>
    </xf>
    <xf numFmtId="4" fontId="61" fillId="0" borderId="352" xfId="0" applyNumberFormat="1" applyFont="1" applyFill="1" applyBorder="1" applyAlignment="1">
      <alignment horizontal="right" vertical="center" wrapText="1"/>
    </xf>
    <xf numFmtId="4" fontId="61" fillId="0" borderId="359" xfId="0" applyNumberFormat="1" applyFont="1" applyFill="1" applyBorder="1" applyAlignment="1">
      <alignment horizontal="right" vertical="center" wrapText="1"/>
    </xf>
    <xf numFmtId="10" fontId="61" fillId="0" borderId="336" xfId="85" applyNumberFormat="1" applyFont="1" applyFill="1" applyBorder="1" applyAlignment="1">
      <alignment horizontal="right" vertical="center" wrapText="1"/>
    </xf>
    <xf numFmtId="4" fontId="61" fillId="0" borderId="336" xfId="0" applyNumberFormat="1" applyFont="1" applyFill="1" applyBorder="1" applyAlignment="1">
      <alignment horizontal="right" vertical="center" wrapText="1"/>
    </xf>
    <xf numFmtId="178" fontId="61" fillId="0" borderId="358" xfId="0" applyNumberFormat="1" applyFont="1" applyFill="1" applyBorder="1" applyAlignment="1">
      <alignment horizontal="right" vertical="center" wrapText="1"/>
    </xf>
    <xf numFmtId="178" fontId="61" fillId="0" borderId="359" xfId="0" applyNumberFormat="1" applyFont="1" applyFill="1" applyBorder="1" applyAlignment="1">
      <alignment horizontal="right" vertical="center" wrapText="1"/>
    </xf>
    <xf numFmtId="178" fontId="61" fillId="0" borderId="336" xfId="0" applyNumberFormat="1" applyFont="1" applyFill="1" applyBorder="1" applyAlignment="1">
      <alignment horizontal="right" vertical="center" wrapText="1"/>
    </xf>
    <xf numFmtId="4" fontId="61" fillId="0" borderId="358" xfId="0" applyNumberFormat="1" applyFont="1" applyFill="1" applyBorder="1" applyAlignment="1">
      <alignment horizontal="right" vertical="center" wrapText="1"/>
    </xf>
    <xf numFmtId="169" fontId="17" fillId="0" borderId="352" xfId="0" applyNumberFormat="1" applyFont="1" applyFill="1" applyBorder="1" applyAlignment="1">
      <alignment horizontal="right" vertical="center"/>
    </xf>
    <xf numFmtId="169" fontId="17" fillId="0" borderId="359" xfId="0" applyNumberFormat="1" applyFont="1" applyFill="1" applyBorder="1" applyAlignment="1">
      <alignment horizontal="right" vertical="center"/>
    </xf>
    <xf numFmtId="169" fontId="17" fillId="0" borderId="336" xfId="0" applyNumberFormat="1" applyFont="1" applyFill="1" applyBorder="1" applyAlignment="1">
      <alignment horizontal="right" vertical="center"/>
    </xf>
    <xf numFmtId="2" fontId="17" fillId="0" borderId="359" xfId="0" applyNumberFormat="1" applyFont="1" applyFill="1" applyBorder="1" applyAlignment="1">
      <alignment horizontal="right" vertical="center"/>
    </xf>
    <xf numFmtId="2" fontId="17" fillId="0" borderId="336" xfId="0" applyNumberFormat="1" applyFont="1" applyFill="1" applyBorder="1" applyAlignment="1">
      <alignment horizontal="right" vertical="center"/>
    </xf>
    <xf numFmtId="2" fontId="17" fillId="0" borderId="358" xfId="0" applyNumberFormat="1" applyFont="1" applyFill="1" applyBorder="1" applyAlignment="1">
      <alignment horizontal="right" vertical="center"/>
    </xf>
    <xf numFmtId="0" fontId="60" fillId="0" borderId="348" xfId="0" applyFont="1" applyBorder="1" applyAlignment="1">
      <alignment vertical="center"/>
    </xf>
    <xf numFmtId="0" fontId="60" fillId="0" borderId="359" xfId="0" applyFont="1" applyBorder="1" applyAlignment="1">
      <alignment vertical="center"/>
    </xf>
    <xf numFmtId="0" fontId="60" fillId="0" borderId="336" xfId="0" applyFont="1" applyBorder="1" applyAlignment="1">
      <alignment vertical="center"/>
    </xf>
    <xf numFmtId="0" fontId="60" fillId="0" borderId="352" xfId="0" applyFont="1" applyFill="1" applyBorder="1" applyAlignment="1">
      <alignment horizontal="right" vertical="center"/>
    </xf>
    <xf numFmtId="0" fontId="60" fillId="0" borderId="359" xfId="0" applyFont="1" applyFill="1" applyBorder="1" applyAlignment="1">
      <alignment horizontal="right" vertical="center"/>
    </xf>
    <xf numFmtId="0" fontId="60" fillId="0" borderId="336" xfId="0" applyFont="1" applyFill="1" applyBorder="1" applyAlignment="1">
      <alignment horizontal="right" vertical="center"/>
    </xf>
    <xf numFmtId="0" fontId="60" fillId="0" borderId="358" xfId="0" applyFont="1" applyFill="1" applyBorder="1" applyAlignment="1">
      <alignment horizontal="right" vertical="center"/>
    </xf>
    <xf numFmtId="0" fontId="60" fillId="0" borderId="354" xfId="0" applyFont="1" applyFill="1" applyBorder="1" applyAlignment="1">
      <alignment horizontal="right" vertical="center"/>
    </xf>
    <xf numFmtId="0" fontId="60" fillId="0" borderId="360" xfId="0" applyFont="1" applyFill="1" applyBorder="1" applyAlignment="1">
      <alignment horizontal="right" vertical="center"/>
    </xf>
    <xf numFmtId="0" fontId="60" fillId="0" borderId="284" xfId="0" applyFont="1" applyFill="1" applyBorder="1" applyAlignment="1">
      <alignment horizontal="right" vertical="center"/>
    </xf>
    <xf numFmtId="178" fontId="60" fillId="0" borderId="353" xfId="0" applyNumberFormat="1" applyFont="1" applyFill="1" applyBorder="1" applyAlignment="1">
      <alignment horizontal="right" vertical="center"/>
    </xf>
    <xf numFmtId="178" fontId="60" fillId="0" borderId="284" xfId="0" applyNumberFormat="1" applyFont="1" applyFill="1" applyBorder="1" applyAlignment="1">
      <alignment horizontal="right" vertical="center"/>
    </xf>
    <xf numFmtId="0" fontId="61" fillId="0" borderId="359" xfId="0" applyFont="1" applyFill="1" applyBorder="1" applyAlignment="1">
      <alignment horizontal="right" vertical="center"/>
    </xf>
    <xf numFmtId="0" fontId="61" fillId="0" borderId="336" xfId="0" applyFont="1" applyFill="1" applyBorder="1" applyAlignment="1">
      <alignment horizontal="right" vertical="center"/>
    </xf>
    <xf numFmtId="0" fontId="61" fillId="0" borderId="352" xfId="0" applyFont="1" applyFill="1" applyBorder="1" applyAlignment="1">
      <alignment horizontal="right" vertical="center"/>
    </xf>
    <xf numFmtId="0" fontId="61" fillId="0" borderId="358" xfId="0" applyFont="1" applyFill="1" applyBorder="1" applyAlignment="1">
      <alignment horizontal="right" vertical="center"/>
    </xf>
    <xf numFmtId="0" fontId="60" fillId="0" borderId="299" xfId="0" applyFont="1" applyBorder="1" applyAlignment="1">
      <alignment vertical="center"/>
    </xf>
    <xf numFmtId="0" fontId="60" fillId="0" borderId="345" xfId="0" applyFont="1" applyBorder="1" applyAlignment="1">
      <alignment vertical="center"/>
    </xf>
    <xf numFmtId="0" fontId="60" fillId="0" borderId="298" xfId="0" applyFont="1" applyBorder="1" applyAlignment="1">
      <alignment vertical="center"/>
    </xf>
    <xf numFmtId="4" fontId="60" fillId="0" borderId="342" xfId="0" applyNumberFormat="1" applyFont="1" applyBorder="1" applyAlignment="1">
      <alignment horizontal="right" vertical="center"/>
    </xf>
    <xf numFmtId="4" fontId="60" fillId="0" borderId="345" xfId="0" applyNumberFormat="1" applyFont="1" applyBorder="1" applyAlignment="1">
      <alignment horizontal="right" vertical="center"/>
    </xf>
    <xf numFmtId="0" fontId="60" fillId="0" borderId="293" xfId="0" applyFont="1" applyFill="1" applyBorder="1" applyAlignment="1">
      <alignment horizontal="right" vertical="center"/>
    </xf>
    <xf numFmtId="0" fontId="61" fillId="0" borderId="345" xfId="0" applyFont="1" applyFill="1" applyBorder="1" applyAlignment="1">
      <alignment horizontal="right" vertical="center"/>
    </xf>
    <xf numFmtId="0" fontId="61" fillId="0" borderId="298" xfId="0" applyFont="1" applyFill="1" applyBorder="1" applyAlignment="1">
      <alignment horizontal="right" vertical="center"/>
    </xf>
    <xf numFmtId="0" fontId="61" fillId="0" borderId="293" xfId="0" applyFont="1" applyFill="1" applyBorder="1" applyAlignment="1">
      <alignment horizontal="right" vertical="center"/>
    </xf>
    <xf numFmtId="0" fontId="61" fillId="0" borderId="342" xfId="0" applyFont="1" applyFill="1" applyBorder="1" applyAlignment="1">
      <alignment horizontal="right" vertical="center"/>
    </xf>
    <xf numFmtId="0" fontId="60" fillId="0" borderId="359" xfId="0" applyFont="1" applyBorder="1" applyAlignment="1">
      <alignment horizontal="right" vertical="center"/>
    </xf>
    <xf numFmtId="4" fontId="60" fillId="0" borderId="336" xfId="0" applyNumberFormat="1" applyFont="1" applyBorder="1" applyAlignment="1">
      <alignment horizontal="right" vertical="center"/>
    </xf>
    <xf numFmtId="0" fontId="60" fillId="0" borderId="345" xfId="0" applyFont="1" applyBorder="1" applyAlignment="1">
      <alignment horizontal="right" vertical="center"/>
    </xf>
    <xf numFmtId="0" fontId="60" fillId="0" borderId="345" xfId="0" applyFont="1" applyFill="1" applyBorder="1" applyAlignment="1">
      <alignment horizontal="right" vertical="center"/>
    </xf>
    <xf numFmtId="0" fontId="60" fillId="0" borderId="298" xfId="0" applyFont="1" applyFill="1" applyBorder="1" applyAlignment="1">
      <alignment horizontal="right" vertical="center"/>
    </xf>
    <xf numFmtId="4" fontId="60" fillId="0" borderId="298" xfId="0" applyNumberFormat="1" applyFont="1" applyBorder="1" applyAlignment="1">
      <alignment horizontal="right" vertical="center"/>
    </xf>
    <xf numFmtId="4" fontId="60" fillId="0" borderId="293" xfId="0" applyNumberFormat="1" applyFont="1" applyBorder="1" applyAlignment="1">
      <alignment horizontal="right" vertical="center"/>
    </xf>
    <xf numFmtId="4" fontId="17" fillId="0" borderId="13" xfId="0" applyNumberFormat="1" applyFont="1" applyFill="1" applyBorder="1" applyAlignment="1">
      <alignment horizontal="right" vertical="center"/>
    </xf>
    <xf numFmtId="4" fontId="60" fillId="0" borderId="331" xfId="0" applyNumberFormat="1" applyFont="1" applyFill="1" applyBorder="1" applyAlignment="1">
      <alignment horizontal="right" vertical="center"/>
    </xf>
    <xf numFmtId="10" fontId="61" fillId="0" borderId="331" xfId="85" applyNumberFormat="1" applyFont="1" applyFill="1" applyBorder="1" applyAlignment="1">
      <alignment horizontal="right" vertical="center"/>
    </xf>
    <xf numFmtId="4" fontId="17" fillId="0" borderId="331" xfId="0" applyNumberFormat="1" applyFont="1" applyFill="1" applyBorder="1" applyAlignment="1">
      <alignment horizontal="right" vertical="center"/>
    </xf>
    <xf numFmtId="4" fontId="61" fillId="0" borderId="331" xfId="0" applyNumberFormat="1" applyFont="1" applyFill="1" applyBorder="1" applyAlignment="1">
      <alignment horizontal="right" vertical="center" wrapText="1"/>
    </xf>
    <xf numFmtId="2" fontId="17" fillId="0" borderId="331" xfId="0" applyNumberFormat="1" applyFont="1" applyFill="1" applyBorder="1" applyAlignment="1">
      <alignment horizontal="right" vertical="center"/>
    </xf>
    <xf numFmtId="2" fontId="60" fillId="0" borderId="331" xfId="0" applyNumberFormat="1" applyFont="1" applyFill="1" applyBorder="1" applyAlignment="1">
      <alignment horizontal="right" vertical="center"/>
    </xf>
    <xf numFmtId="4" fontId="60" fillId="0" borderId="15" xfId="0" applyNumberFormat="1" applyFont="1" applyFill="1" applyBorder="1" applyAlignment="1">
      <alignment horizontal="right" vertical="center"/>
    </xf>
    <xf numFmtId="2" fontId="17" fillId="0" borderId="34" xfId="0" applyNumberFormat="1" applyFont="1" applyFill="1" applyBorder="1" applyAlignment="1">
      <alignment horizontal="right" vertical="center"/>
    </xf>
    <xf numFmtId="0" fontId="17" fillId="28" borderId="18" xfId="0" applyFont="1" applyFill="1" applyBorder="1" applyAlignment="1">
      <alignment horizontal="right" vertical="center"/>
    </xf>
    <xf numFmtId="0" fontId="17" fillId="28" borderId="75" xfId="0" applyFont="1" applyFill="1" applyBorder="1" applyAlignment="1">
      <alignment horizontal="right" vertical="center"/>
    </xf>
    <xf numFmtId="0" fontId="17" fillId="28" borderId="77" xfId="0" applyFont="1" applyFill="1" applyBorder="1" applyAlignment="1">
      <alignment horizontal="right" vertical="center"/>
    </xf>
    <xf numFmtId="168" fontId="60" fillId="0" borderId="359" xfId="0" applyNumberFormat="1" applyFont="1" applyFill="1" applyBorder="1" applyAlignment="1">
      <alignment horizontal="center" vertical="center"/>
    </xf>
    <xf numFmtId="4" fontId="60" fillId="0" borderId="352" xfId="0" applyNumberFormat="1" applyFont="1" applyFill="1" applyBorder="1" applyAlignment="1">
      <alignment horizontal="center" vertical="center"/>
    </xf>
    <xf numFmtId="169" fontId="60" fillId="0" borderId="359" xfId="0" applyNumberFormat="1" applyFont="1" applyFill="1" applyBorder="1" applyAlignment="1">
      <alignment horizontal="center" vertical="center"/>
    </xf>
    <xf numFmtId="2" fontId="60" fillId="0" borderId="359" xfId="0" applyNumberFormat="1" applyFont="1" applyFill="1" applyBorder="1" applyAlignment="1">
      <alignment horizontal="center" vertical="center"/>
    </xf>
    <xf numFmtId="168" fontId="17" fillId="0" borderId="359" xfId="0" applyNumberFormat="1" applyFont="1" applyFill="1" applyBorder="1" applyAlignment="1">
      <alignment horizontal="center" vertical="center"/>
    </xf>
    <xf numFmtId="4" fontId="17" fillId="0" borderId="359" xfId="0" applyNumberFormat="1" applyFont="1" applyFill="1" applyBorder="1" applyAlignment="1">
      <alignment horizontal="center" vertical="center"/>
    </xf>
    <xf numFmtId="4" fontId="17" fillId="0" borderId="352" xfId="0" applyNumberFormat="1" applyFont="1" applyFill="1" applyBorder="1" applyAlignment="1">
      <alignment horizontal="center" vertical="center"/>
    </xf>
    <xf numFmtId="0" fontId="60" fillId="0" borderId="359" xfId="0" applyFont="1" applyFill="1" applyBorder="1" applyAlignment="1">
      <alignment horizontal="center" vertical="center"/>
    </xf>
    <xf numFmtId="0" fontId="101" fillId="0" borderId="359" xfId="0" applyFont="1" applyFill="1" applyBorder="1" applyAlignment="1">
      <alignment horizontal="center" vertical="center"/>
    </xf>
    <xf numFmtId="168" fontId="101" fillId="0" borderId="352" xfId="0" applyNumberFormat="1" applyFont="1" applyFill="1" applyBorder="1" applyAlignment="1">
      <alignment horizontal="center" vertical="center"/>
    </xf>
    <xf numFmtId="0" fontId="101" fillId="0" borderId="345" xfId="0" applyFont="1" applyFill="1" applyBorder="1" applyAlignment="1">
      <alignment horizontal="center" vertical="center"/>
    </xf>
    <xf numFmtId="168" fontId="101" fillId="0" borderId="293" xfId="0" applyNumberFormat="1" applyFont="1" applyFill="1" applyBorder="1" applyAlignment="1">
      <alignment horizontal="center" vertical="center"/>
    </xf>
    <xf numFmtId="2" fontId="60" fillId="0" borderId="348" xfId="0" applyNumberFormat="1" applyFont="1" applyBorder="1" applyAlignment="1">
      <alignment horizontal="center" vertical="center" wrapText="1"/>
    </xf>
    <xf numFmtId="168" fontId="60" fillId="0" borderId="348" xfId="0" applyNumberFormat="1" applyFont="1" applyBorder="1" applyAlignment="1">
      <alignment horizontal="center" vertical="center"/>
    </xf>
    <xf numFmtId="168" fontId="17" fillId="0" borderId="348" xfId="0" applyNumberFormat="1" applyFont="1" applyBorder="1" applyAlignment="1">
      <alignment horizontal="center" vertical="center"/>
    </xf>
    <xf numFmtId="0" fontId="60" fillId="0" borderId="348" xfId="0" applyFont="1" applyBorder="1" applyAlignment="1">
      <alignment horizontal="center" vertical="center"/>
    </xf>
    <xf numFmtId="0" fontId="60" fillId="0" borderId="299" xfId="0" applyFont="1" applyBorder="1" applyAlignment="1">
      <alignment horizontal="center" vertical="center"/>
    </xf>
    <xf numFmtId="2" fontId="60" fillId="0" borderId="358" xfId="0" applyNumberFormat="1" applyFont="1" applyBorder="1" applyAlignment="1">
      <alignment horizontal="center" vertical="center" wrapText="1"/>
    </xf>
    <xf numFmtId="2" fontId="60" fillId="0" borderId="359" xfId="0" applyNumberFormat="1" applyFont="1" applyBorder="1" applyAlignment="1">
      <alignment horizontal="center" vertical="center" wrapText="1"/>
    </xf>
    <xf numFmtId="2" fontId="60" fillId="0" borderId="352" xfId="0" applyNumberFormat="1" applyFont="1" applyBorder="1" applyAlignment="1">
      <alignment horizontal="center" vertical="center" wrapText="1"/>
    </xf>
    <xf numFmtId="168" fontId="60" fillId="0" borderId="358" xfId="0" applyNumberFormat="1" applyFont="1" applyFill="1" applyBorder="1" applyAlignment="1">
      <alignment horizontal="center" vertical="center"/>
    </xf>
    <xf numFmtId="4" fontId="60" fillId="0" borderId="359" xfId="0" applyNumberFormat="1" applyFont="1" applyFill="1" applyBorder="1" applyAlignment="1">
      <alignment horizontal="center" vertical="center"/>
    </xf>
    <xf numFmtId="10" fontId="60" fillId="0" borderId="359" xfId="0" applyNumberFormat="1" applyFont="1" applyFill="1" applyBorder="1" applyAlignment="1">
      <alignment horizontal="center" vertical="center"/>
    </xf>
    <xf numFmtId="168" fontId="60" fillId="0" borderId="359" xfId="0" applyNumberFormat="1" applyFont="1" applyBorder="1" applyAlignment="1">
      <alignment horizontal="center" vertical="center"/>
    </xf>
    <xf numFmtId="169" fontId="60" fillId="0" borderId="359" xfId="0" applyNumberFormat="1" applyFont="1" applyBorder="1" applyAlignment="1">
      <alignment horizontal="center" vertical="center"/>
    </xf>
    <xf numFmtId="4" fontId="60" fillId="0" borderId="359" xfId="0" applyNumberFormat="1" applyFont="1" applyBorder="1" applyAlignment="1">
      <alignment horizontal="center" vertical="center"/>
    </xf>
    <xf numFmtId="2" fontId="60" fillId="0" borderId="359" xfId="0" applyNumberFormat="1" applyFont="1" applyBorder="1" applyAlignment="1">
      <alignment horizontal="center" vertical="center"/>
    </xf>
    <xf numFmtId="2" fontId="60" fillId="0" borderId="352" xfId="0" applyNumberFormat="1" applyFont="1" applyBorder="1" applyAlignment="1">
      <alignment horizontal="center" vertical="center"/>
    </xf>
    <xf numFmtId="168" fontId="17" fillId="0" borderId="358" xfId="0" applyNumberFormat="1" applyFont="1" applyFill="1" applyBorder="1" applyAlignment="1">
      <alignment horizontal="center" vertical="center"/>
    </xf>
    <xf numFmtId="168" fontId="17" fillId="0" borderId="359" xfId="0" applyNumberFormat="1" applyFont="1" applyBorder="1" applyAlignment="1">
      <alignment horizontal="center" vertical="center"/>
    </xf>
    <xf numFmtId="4" fontId="17" fillId="0" borderId="359" xfId="0" applyNumberFormat="1" applyFont="1" applyBorder="1" applyAlignment="1">
      <alignment horizontal="center" vertical="center"/>
    </xf>
    <xf numFmtId="2" fontId="17" fillId="0" borderId="359" xfId="0" applyNumberFormat="1" applyFont="1" applyBorder="1" applyAlignment="1">
      <alignment horizontal="center" vertical="center"/>
    </xf>
    <xf numFmtId="2" fontId="17" fillId="0" borderId="352" xfId="0" applyNumberFormat="1" applyFont="1" applyBorder="1" applyAlignment="1">
      <alignment horizontal="center" vertical="center"/>
    </xf>
    <xf numFmtId="0" fontId="60" fillId="0" borderId="358" xfId="0" applyFont="1" applyFill="1" applyBorder="1" applyAlignment="1">
      <alignment horizontal="center" vertical="center"/>
    </xf>
    <xf numFmtId="0" fontId="60" fillId="0" borderId="359" xfId="0" applyFont="1" applyBorder="1" applyAlignment="1">
      <alignment horizontal="center" vertical="center"/>
    </xf>
    <xf numFmtId="168" fontId="60" fillId="0" borderId="352" xfId="0" applyNumberFormat="1" applyFont="1" applyBorder="1" applyAlignment="1">
      <alignment horizontal="center" vertical="center"/>
    </xf>
    <xf numFmtId="0" fontId="60" fillId="0" borderId="342" xfId="0" applyFont="1" applyFill="1" applyBorder="1" applyAlignment="1">
      <alignment horizontal="center" vertical="center"/>
    </xf>
    <xf numFmtId="0" fontId="60" fillId="0" borderId="345" xfId="0" applyFont="1" applyFill="1" applyBorder="1" applyAlignment="1">
      <alignment horizontal="center" vertical="center"/>
    </xf>
    <xf numFmtId="168" fontId="60" fillId="0" borderId="345" xfId="0" applyNumberFormat="1" applyFont="1" applyFill="1" applyBorder="1" applyAlignment="1">
      <alignment horizontal="center" vertical="center"/>
    </xf>
    <xf numFmtId="10" fontId="60" fillId="0" borderId="345" xfId="0" applyNumberFormat="1" applyFont="1" applyFill="1" applyBorder="1" applyAlignment="1">
      <alignment horizontal="center" vertical="center"/>
    </xf>
    <xf numFmtId="0" fontId="60" fillId="0" borderId="345" xfId="0" applyFont="1" applyBorder="1" applyAlignment="1">
      <alignment horizontal="center" vertical="center"/>
    </xf>
    <xf numFmtId="168" fontId="60" fillId="0" borderId="345" xfId="0" applyNumberFormat="1" applyFont="1" applyBorder="1" applyAlignment="1">
      <alignment horizontal="center" vertical="center"/>
    </xf>
    <xf numFmtId="168" fontId="60" fillId="0" borderId="293" xfId="0" applyNumberFormat="1" applyFont="1" applyBorder="1" applyAlignment="1">
      <alignment horizontal="center" vertical="center"/>
    </xf>
    <xf numFmtId="168" fontId="60" fillId="0" borderId="358" xfId="0" applyNumberFormat="1" applyFont="1" applyBorder="1" applyAlignment="1">
      <alignment horizontal="center" vertical="center"/>
    </xf>
    <xf numFmtId="4" fontId="60" fillId="0" borderId="352" xfId="0" applyNumberFormat="1" applyFont="1" applyBorder="1" applyAlignment="1">
      <alignment horizontal="center" vertical="center"/>
    </xf>
    <xf numFmtId="168" fontId="17" fillId="0" borderId="358" xfId="0" applyNumberFormat="1" applyFont="1" applyBorder="1" applyAlignment="1">
      <alignment horizontal="center" vertical="center"/>
    </xf>
    <xf numFmtId="4" fontId="17" fillId="0" borderId="352" xfId="0" applyNumberFormat="1" applyFont="1" applyBorder="1" applyAlignment="1">
      <alignment horizontal="center" vertical="center"/>
    </xf>
    <xf numFmtId="0" fontId="60" fillId="0" borderId="358" xfId="0" applyFont="1" applyBorder="1" applyAlignment="1">
      <alignment horizontal="center" vertical="center"/>
    </xf>
    <xf numFmtId="0" fontId="60" fillId="0" borderId="342" xfId="0" applyFont="1" applyBorder="1" applyAlignment="1">
      <alignment horizontal="center" vertical="center"/>
    </xf>
    <xf numFmtId="2" fontId="60" fillId="0" borderId="336" xfId="0" applyNumberFormat="1" applyFont="1" applyBorder="1" applyAlignment="1">
      <alignment horizontal="center" vertical="center" wrapText="1"/>
    </xf>
    <xf numFmtId="2" fontId="60" fillId="0" borderId="336" xfId="0" applyNumberFormat="1" applyFont="1" applyBorder="1" applyAlignment="1">
      <alignment horizontal="center" vertical="center"/>
    </xf>
    <xf numFmtId="2" fontId="17" fillId="0" borderId="336" xfId="0" applyNumberFormat="1" applyFont="1" applyBorder="1" applyAlignment="1">
      <alignment horizontal="center" vertical="center"/>
    </xf>
    <xf numFmtId="168" fontId="60" fillId="0" borderId="336" xfId="0" applyNumberFormat="1" applyFont="1" applyBorder="1" applyAlignment="1">
      <alignment horizontal="center" vertical="center"/>
    </xf>
    <xf numFmtId="168" fontId="60" fillId="0" borderId="298" xfId="0" applyNumberFormat="1" applyFont="1" applyBorder="1" applyAlignment="1">
      <alignment horizontal="center" vertical="center"/>
    </xf>
    <xf numFmtId="2" fontId="60" fillId="0" borderId="358" xfId="0" applyNumberFormat="1" applyFont="1" applyFill="1" applyBorder="1" applyAlignment="1">
      <alignment horizontal="center" vertical="center" wrapText="1"/>
    </xf>
    <xf numFmtId="168" fontId="60" fillId="0" borderId="358" xfId="0" applyNumberFormat="1" applyFont="1" applyFill="1" applyBorder="1" applyAlignment="1">
      <alignment vertical="center"/>
    </xf>
    <xf numFmtId="2" fontId="60" fillId="0" borderId="359" xfId="0" applyNumberFormat="1" applyFont="1" applyFill="1" applyBorder="1" applyAlignment="1">
      <alignment vertical="center"/>
    </xf>
    <xf numFmtId="4" fontId="60" fillId="0" borderId="352" xfId="0" applyNumberFormat="1" applyFont="1" applyFill="1" applyBorder="1" applyAlignment="1">
      <alignment vertical="center"/>
    </xf>
    <xf numFmtId="0" fontId="60" fillId="0" borderId="358" xfId="0" applyFont="1" applyFill="1" applyBorder="1" applyAlignment="1">
      <alignment vertical="center"/>
    </xf>
    <xf numFmtId="0" fontId="60" fillId="0" borderId="359" xfId="0" applyFont="1" applyFill="1" applyBorder="1" applyAlignment="1">
      <alignment vertical="center"/>
    </xf>
    <xf numFmtId="168" fontId="17" fillId="0" borderId="358" xfId="0" applyNumberFormat="1" applyFont="1" applyFill="1" applyBorder="1" applyAlignment="1">
      <alignment vertical="center"/>
    </xf>
    <xf numFmtId="2" fontId="17" fillId="0" borderId="359" xfId="0" applyNumberFormat="1" applyFont="1" applyFill="1" applyBorder="1" applyAlignment="1">
      <alignment vertical="center"/>
    </xf>
    <xf numFmtId="4" fontId="17" fillId="0" borderId="352" xfId="0" applyNumberFormat="1" applyFont="1" applyFill="1" applyBorder="1" applyAlignment="1">
      <alignment vertical="center"/>
    </xf>
    <xf numFmtId="0" fontId="60" fillId="0" borderId="352" xfId="0" applyFont="1" applyFill="1" applyBorder="1" applyAlignment="1">
      <alignment vertical="center"/>
    </xf>
    <xf numFmtId="0" fontId="17" fillId="0" borderId="359" xfId="0" applyFont="1" applyFill="1" applyBorder="1" applyAlignment="1">
      <alignment vertical="center"/>
    </xf>
    <xf numFmtId="0" fontId="17" fillId="0" borderId="352" xfId="0" applyFont="1" applyFill="1" applyBorder="1" applyAlignment="1">
      <alignment vertical="center"/>
    </xf>
    <xf numFmtId="0" fontId="60" fillId="0" borderId="342" xfId="0" applyFont="1" applyFill="1" applyBorder="1" applyAlignment="1">
      <alignment vertical="center"/>
    </xf>
    <xf numFmtId="0" fontId="60" fillId="0" borderId="345" xfId="0" applyFont="1" applyFill="1" applyBorder="1" applyAlignment="1">
      <alignment vertical="center"/>
    </xf>
    <xf numFmtId="2" fontId="60" fillId="0" borderId="359" xfId="0" applyNumberFormat="1" applyFont="1" applyFill="1" applyBorder="1" applyAlignment="1">
      <alignment horizontal="center" vertical="center" wrapText="1"/>
    </xf>
    <xf numFmtId="4" fontId="60" fillId="0" borderId="359" xfId="0" applyNumberFormat="1" applyFont="1" applyFill="1" applyBorder="1" applyAlignment="1">
      <alignment vertical="center"/>
    </xf>
    <xf numFmtId="168" fontId="60" fillId="0" borderId="359" xfId="0" applyNumberFormat="1" applyFont="1" applyFill="1" applyBorder="1" applyAlignment="1">
      <alignment vertical="center"/>
    </xf>
    <xf numFmtId="4" fontId="17" fillId="0" borderId="359" xfId="0" applyNumberFormat="1" applyFont="1" applyFill="1" applyBorder="1" applyAlignment="1">
      <alignment vertical="center"/>
    </xf>
    <xf numFmtId="168" fontId="17" fillId="0" borderId="359" xfId="0" applyNumberFormat="1" applyFont="1" applyFill="1" applyBorder="1" applyAlignment="1">
      <alignment vertical="center"/>
    </xf>
    <xf numFmtId="0" fontId="84" fillId="28" borderId="75" xfId="0" applyFont="1" applyFill="1" applyBorder="1" applyAlignment="1">
      <alignment horizontal="center" vertical="center" wrapText="1"/>
    </xf>
    <xf numFmtId="0" fontId="84" fillId="28" borderId="76" xfId="0" applyFont="1" applyFill="1" applyBorder="1" applyAlignment="1">
      <alignment horizontal="center" vertical="center" wrapText="1"/>
    </xf>
    <xf numFmtId="0" fontId="84" fillId="28" borderId="77" xfId="0" applyFont="1" applyFill="1" applyBorder="1" applyAlignment="1">
      <alignment horizontal="center" vertical="center" wrapText="1"/>
    </xf>
    <xf numFmtId="2" fontId="84" fillId="28" borderId="11" xfId="0" applyNumberFormat="1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/>
    </xf>
    <xf numFmtId="0" fontId="84" fillId="0" borderId="75" xfId="0" applyFont="1" applyFill="1" applyBorder="1" applyAlignment="1">
      <alignment horizontal="center" vertical="center" wrapText="1"/>
    </xf>
    <xf numFmtId="0" fontId="84" fillId="0" borderId="76" xfId="0" applyFont="1" applyFill="1" applyBorder="1" applyAlignment="1">
      <alignment horizontal="center" vertical="center" wrapText="1"/>
    </xf>
    <xf numFmtId="0" fontId="84" fillId="0" borderId="77" xfId="0" applyFont="1" applyFill="1" applyBorder="1" applyAlignment="1">
      <alignment horizontal="center" vertical="center" wrapText="1"/>
    </xf>
    <xf numFmtId="0" fontId="84" fillId="0" borderId="43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0" fontId="84" fillId="0" borderId="37" xfId="0" applyFont="1" applyFill="1" applyBorder="1" applyAlignment="1">
      <alignment horizontal="center" vertical="center"/>
    </xf>
    <xf numFmtId="168" fontId="84" fillId="0" borderId="11" xfId="0" applyNumberFormat="1" applyFont="1" applyFill="1" applyBorder="1" applyAlignment="1">
      <alignment horizontal="center" vertical="center"/>
    </xf>
    <xf numFmtId="3" fontId="84" fillId="0" borderId="11" xfId="0" applyNumberFormat="1" applyFont="1" applyFill="1" applyBorder="1" applyAlignment="1">
      <alignment horizontal="center" vertical="center"/>
    </xf>
    <xf numFmtId="171" fontId="85" fillId="0" borderId="11" xfId="85" applyNumberFormat="1" applyFont="1" applyFill="1" applyBorder="1" applyAlignment="1">
      <alignment horizontal="center" vertical="center"/>
    </xf>
    <xf numFmtId="4" fontId="84" fillId="0" borderId="35" xfId="0" applyNumberFormat="1" applyFont="1" applyFill="1" applyBorder="1" applyAlignment="1">
      <alignment horizontal="center" vertical="center"/>
    </xf>
    <xf numFmtId="2" fontId="84" fillId="0" borderId="37" xfId="0" applyNumberFormat="1" applyFont="1" applyFill="1" applyBorder="1" applyAlignment="1">
      <alignment horizontal="center" vertical="center"/>
    </xf>
    <xf numFmtId="174" fontId="84" fillId="0" borderId="11" xfId="0" applyNumberFormat="1" applyFont="1" applyFill="1" applyBorder="1" applyAlignment="1">
      <alignment horizontal="center" vertical="center"/>
    </xf>
    <xf numFmtId="4" fontId="84" fillId="0" borderId="11" xfId="0" applyNumberFormat="1" applyFont="1" applyFill="1" applyBorder="1" applyAlignment="1">
      <alignment horizontal="center" vertical="center"/>
    </xf>
    <xf numFmtId="10" fontId="85" fillId="0" borderId="11" xfId="85" applyNumberFormat="1" applyFont="1" applyFill="1" applyBorder="1" applyAlignment="1">
      <alignment horizontal="center" vertical="center"/>
    </xf>
    <xf numFmtId="2" fontId="84" fillId="0" borderId="11" xfId="0" applyNumberFormat="1" applyFont="1" applyFill="1" applyBorder="1" applyAlignment="1">
      <alignment horizontal="center" vertical="center"/>
    </xf>
    <xf numFmtId="4" fontId="84" fillId="0" borderId="38" xfId="0" applyNumberFormat="1" applyFont="1" applyFill="1" applyBorder="1" applyAlignment="1">
      <alignment horizontal="center" vertical="center"/>
    </xf>
    <xf numFmtId="4" fontId="13" fillId="0" borderId="0" xfId="0" applyNumberFormat="1" applyFont="1" applyFill="1" applyBorder="1" applyAlignment="1">
      <alignment horizontal="center"/>
    </xf>
    <xf numFmtId="0" fontId="84" fillId="0" borderId="19" xfId="0" applyFont="1" applyFill="1" applyBorder="1" applyAlignment="1">
      <alignment horizontal="center" vertical="center"/>
    </xf>
    <xf numFmtId="168" fontId="84" fillId="0" borderId="10" xfId="0" applyNumberFormat="1" applyFont="1" applyFill="1" applyBorder="1" applyAlignment="1">
      <alignment horizontal="center" vertical="center"/>
    </xf>
    <xf numFmtId="3" fontId="84" fillId="0" borderId="10" xfId="0" applyNumberFormat="1" applyFont="1" applyFill="1" applyBorder="1" applyAlignment="1">
      <alignment horizontal="center" vertical="center"/>
    </xf>
    <xf numFmtId="169" fontId="85" fillId="0" borderId="10" xfId="0" applyNumberFormat="1" applyFont="1" applyFill="1" applyBorder="1" applyAlignment="1">
      <alignment horizontal="center" vertical="center"/>
    </xf>
    <xf numFmtId="4" fontId="84" fillId="0" borderId="25" xfId="0" applyNumberFormat="1" applyFont="1" applyFill="1" applyBorder="1" applyAlignment="1">
      <alignment horizontal="center" vertical="center"/>
    </xf>
    <xf numFmtId="0" fontId="84" fillId="0" borderId="358" xfId="0" applyFont="1" applyFill="1" applyBorder="1" applyAlignment="1">
      <alignment horizontal="center" vertical="center"/>
    </xf>
    <xf numFmtId="174" fontId="85" fillId="0" borderId="359" xfId="0" applyNumberFormat="1" applyFont="1" applyFill="1" applyBorder="1" applyAlignment="1">
      <alignment horizontal="center" vertical="center"/>
    </xf>
    <xf numFmtId="4" fontId="84" fillId="0" borderId="359" xfId="0" applyNumberFormat="1" applyFont="1" applyFill="1" applyBorder="1" applyAlignment="1">
      <alignment horizontal="center" vertical="center"/>
    </xf>
    <xf numFmtId="10" fontId="85" fillId="0" borderId="359" xfId="85" applyNumberFormat="1" applyFont="1" applyFill="1" applyBorder="1" applyAlignment="1">
      <alignment horizontal="center" vertical="center"/>
    </xf>
    <xf numFmtId="2" fontId="84" fillId="0" borderId="359" xfId="0" applyNumberFormat="1" applyFont="1" applyFill="1" applyBorder="1" applyAlignment="1">
      <alignment horizontal="center" vertical="center"/>
    </xf>
    <xf numFmtId="4" fontId="84" fillId="0" borderId="352" xfId="0" applyNumberFormat="1" applyFont="1" applyFill="1" applyBorder="1" applyAlignment="1">
      <alignment horizontal="center" vertical="center"/>
    </xf>
    <xf numFmtId="168" fontId="84" fillId="0" borderId="359" xfId="0" applyNumberFormat="1" applyFont="1" applyFill="1" applyBorder="1" applyAlignment="1">
      <alignment horizontal="center" vertical="center"/>
    </xf>
    <xf numFmtId="2" fontId="84" fillId="0" borderId="10" xfId="0" applyNumberFormat="1" applyFont="1" applyFill="1" applyBorder="1" applyAlignment="1">
      <alignment horizontal="center" vertical="center"/>
    </xf>
    <xf numFmtId="174" fontId="85" fillId="0" borderId="10" xfId="0" applyNumberFormat="1" applyFont="1" applyFill="1" applyBorder="1" applyAlignment="1">
      <alignment horizontal="center" vertical="center"/>
    </xf>
    <xf numFmtId="4" fontId="84" fillId="0" borderId="10" xfId="0" applyNumberFormat="1" applyFont="1" applyFill="1" applyBorder="1" applyAlignment="1">
      <alignment horizontal="center" vertical="center"/>
    </xf>
    <xf numFmtId="4" fontId="84" fillId="0" borderId="20" xfId="0" applyNumberFormat="1" applyFont="1" applyFill="1" applyBorder="1" applyAlignment="1">
      <alignment horizontal="center" vertical="center"/>
    </xf>
    <xf numFmtId="10" fontId="85" fillId="0" borderId="10" xfId="85" applyNumberFormat="1" applyFont="1" applyFill="1" applyBorder="1" applyAlignment="1">
      <alignment horizontal="center" vertical="center"/>
    </xf>
    <xf numFmtId="2" fontId="84" fillId="0" borderId="358" xfId="0" applyNumberFormat="1" applyFont="1" applyFill="1" applyBorder="1" applyAlignment="1">
      <alignment horizontal="center" vertical="center"/>
    </xf>
    <xf numFmtId="174" fontId="84" fillId="0" borderId="359" xfId="0" applyNumberFormat="1" applyFont="1" applyFill="1" applyBorder="1" applyAlignment="1">
      <alignment horizontal="center" vertical="center"/>
    </xf>
    <xf numFmtId="171" fontId="85" fillId="0" borderId="10" xfId="85" applyNumberFormat="1" applyFont="1" applyFill="1" applyBorder="1" applyAlignment="1">
      <alignment horizontal="center" vertical="center"/>
    </xf>
    <xf numFmtId="0" fontId="84" fillId="0" borderId="130" xfId="0" applyFont="1" applyFill="1" applyBorder="1" applyAlignment="1">
      <alignment horizontal="center" vertical="center"/>
    </xf>
    <xf numFmtId="168" fontId="84" fillId="0" borderId="169" xfId="0" applyNumberFormat="1" applyFont="1" applyFill="1" applyBorder="1" applyAlignment="1">
      <alignment horizontal="center" vertical="center"/>
    </xf>
    <xf numFmtId="3" fontId="84" fillId="0" borderId="169" xfId="0" applyNumberFormat="1" applyFont="1" applyFill="1" applyBorder="1" applyAlignment="1">
      <alignment horizontal="center" vertical="center"/>
    </xf>
    <xf numFmtId="171" fontId="85" fillId="0" borderId="169" xfId="85" applyNumberFormat="1" applyFont="1" applyFill="1" applyBorder="1" applyAlignment="1">
      <alignment horizontal="center" vertical="center"/>
    </xf>
    <xf numFmtId="4" fontId="84" fillId="0" borderId="170" xfId="0" applyNumberFormat="1" applyFont="1" applyFill="1" applyBorder="1" applyAlignment="1">
      <alignment horizontal="center" vertical="center"/>
    </xf>
    <xf numFmtId="2" fontId="84" fillId="0" borderId="169" xfId="0" applyNumberFormat="1" applyFont="1" applyFill="1" applyBorder="1" applyAlignment="1">
      <alignment horizontal="center" vertical="center"/>
    </xf>
    <xf numFmtId="170" fontId="84" fillId="0" borderId="169" xfId="0" applyNumberFormat="1" applyFont="1" applyFill="1" applyBorder="1" applyAlignment="1">
      <alignment horizontal="center" vertical="center"/>
    </xf>
    <xf numFmtId="4" fontId="84" fillId="0" borderId="127" xfId="0" applyNumberFormat="1" applyFont="1" applyFill="1" applyBorder="1" applyAlignment="1">
      <alignment horizontal="center" vertical="center"/>
    </xf>
    <xf numFmtId="174" fontId="85" fillId="0" borderId="169" xfId="0" applyNumberFormat="1" applyFont="1" applyFill="1" applyBorder="1" applyAlignment="1">
      <alignment horizontal="center" vertical="center"/>
    </xf>
    <xf numFmtId="4" fontId="84" fillId="0" borderId="169" xfId="0" applyNumberFormat="1" applyFont="1" applyFill="1" applyBorder="1" applyAlignment="1">
      <alignment horizontal="center" vertical="center"/>
    </xf>
    <xf numFmtId="0" fontId="84" fillId="0" borderId="19" xfId="0" applyFont="1" applyFill="1" applyBorder="1" applyAlignment="1">
      <alignment vertical="center"/>
    </xf>
    <xf numFmtId="0" fontId="84" fillId="0" borderId="10" xfId="0" applyFont="1" applyFill="1" applyBorder="1" applyAlignment="1">
      <alignment vertical="center"/>
    </xf>
    <xf numFmtId="0" fontId="84" fillId="0" borderId="25" xfId="0" applyFont="1" applyFill="1" applyBorder="1" applyAlignment="1">
      <alignment horizontal="center" vertical="center"/>
    </xf>
    <xf numFmtId="4" fontId="85" fillId="0" borderId="359" xfId="0" applyNumberFormat="1" applyFont="1" applyFill="1" applyBorder="1" applyAlignment="1">
      <alignment horizontal="center" vertical="center"/>
    </xf>
    <xf numFmtId="0" fontId="84" fillId="0" borderId="10" xfId="0" applyFont="1" applyFill="1" applyBorder="1" applyAlignment="1">
      <alignment horizontal="center" vertical="center"/>
    </xf>
    <xf numFmtId="0" fontId="84" fillId="0" borderId="86" xfId="0" applyFont="1" applyFill="1" applyBorder="1" applyAlignment="1">
      <alignment vertical="center"/>
    </xf>
    <xf numFmtId="0" fontId="84" fillId="0" borderId="87" xfId="0" applyFont="1" applyFill="1" applyBorder="1" applyAlignment="1">
      <alignment vertical="center"/>
    </xf>
    <xf numFmtId="0" fontId="84" fillId="0" borderId="62" xfId="0" applyFont="1" applyFill="1" applyBorder="1" applyAlignment="1">
      <alignment horizontal="center" vertical="center"/>
    </xf>
    <xf numFmtId="0" fontId="84" fillId="0" borderId="353" xfId="0" applyFont="1" applyFill="1" applyBorder="1" applyAlignment="1">
      <alignment horizontal="center" vertical="center"/>
    </xf>
    <xf numFmtId="4" fontId="84" fillId="0" borderId="360" xfId="0" applyNumberFormat="1" applyFont="1" applyFill="1" applyBorder="1" applyAlignment="1">
      <alignment horizontal="center" vertical="center"/>
    </xf>
    <xf numFmtId="4" fontId="85" fillId="0" borderId="360" xfId="0" applyNumberFormat="1" applyFont="1" applyFill="1" applyBorder="1" applyAlignment="1">
      <alignment horizontal="center" vertical="center"/>
    </xf>
    <xf numFmtId="4" fontId="84" fillId="0" borderId="354" xfId="0" applyNumberFormat="1" applyFont="1" applyFill="1" applyBorder="1" applyAlignment="1">
      <alignment horizontal="center" vertical="center"/>
    </xf>
    <xf numFmtId="0" fontId="84" fillId="0" borderId="353" xfId="0" applyFont="1" applyFill="1" applyBorder="1" applyAlignment="1">
      <alignment vertical="center"/>
    </xf>
    <xf numFmtId="0" fontId="84" fillId="0" borderId="87" xfId="0" applyFont="1" applyFill="1" applyBorder="1" applyAlignment="1">
      <alignment horizontal="center" vertical="center"/>
    </xf>
    <xf numFmtId="4" fontId="84" fillId="0" borderId="87" xfId="0" applyNumberFormat="1" applyFont="1" applyFill="1" applyBorder="1" applyAlignment="1">
      <alignment horizontal="center" vertical="center"/>
    </xf>
    <xf numFmtId="4" fontId="84" fillId="0" borderId="88" xfId="0" applyNumberFormat="1" applyFont="1" applyFill="1" applyBorder="1" applyAlignment="1">
      <alignment horizontal="center" vertical="center"/>
    </xf>
    <xf numFmtId="0" fontId="16" fillId="0" borderId="75" xfId="0" applyFont="1" applyFill="1" applyBorder="1" applyAlignment="1">
      <alignment vertical="center"/>
    </xf>
    <xf numFmtId="0" fontId="16" fillId="0" borderId="76" xfId="0" applyFont="1" applyFill="1" applyBorder="1" applyAlignment="1">
      <alignment vertical="center"/>
    </xf>
    <xf numFmtId="0" fontId="16" fillId="0" borderId="81" xfId="0" applyFont="1" applyFill="1" applyBorder="1" applyAlignment="1">
      <alignment horizontal="center" vertical="center"/>
    </xf>
    <xf numFmtId="0" fontId="84" fillId="0" borderId="75" xfId="0" applyFont="1" applyFill="1" applyBorder="1" applyAlignment="1">
      <alignment horizontal="center" vertical="center"/>
    </xf>
    <xf numFmtId="0" fontId="84" fillId="0" borderId="76" xfId="0" applyFont="1" applyFill="1" applyBorder="1" applyAlignment="1">
      <alignment horizontal="center" vertical="center"/>
    </xf>
    <xf numFmtId="4" fontId="84" fillId="0" borderId="76" xfId="0" applyNumberFormat="1" applyFont="1" applyFill="1" applyBorder="1" applyAlignment="1">
      <alignment horizontal="center" vertical="center"/>
    </xf>
    <xf numFmtId="4" fontId="85" fillId="0" borderId="76" xfId="0" applyNumberFormat="1" applyFont="1" applyFill="1" applyBorder="1" applyAlignment="1">
      <alignment horizontal="center" vertical="center"/>
    </xf>
    <xf numFmtId="4" fontId="16" fillId="0" borderId="76" xfId="0" applyNumberFormat="1" applyFont="1" applyFill="1" applyBorder="1" applyAlignment="1">
      <alignment horizontal="center" vertical="center"/>
    </xf>
    <xf numFmtId="4" fontId="16" fillId="0" borderId="77" xfId="0" applyNumberFormat="1" applyFont="1" applyFill="1" applyBorder="1" applyAlignment="1">
      <alignment horizontal="center" vertical="center"/>
    </xf>
    <xf numFmtId="0" fontId="16" fillId="0" borderId="76" xfId="0" applyFont="1" applyFill="1" applyBorder="1" applyAlignment="1">
      <alignment horizontal="center" vertical="center"/>
    </xf>
    <xf numFmtId="4" fontId="12" fillId="0" borderId="0" xfId="0" applyNumberFormat="1" applyFont="1" applyFill="1" applyBorder="1" applyAlignment="1">
      <alignment horizontal="center"/>
    </xf>
    <xf numFmtId="4" fontId="12" fillId="0" borderId="0" xfId="0" applyNumberFormat="1" applyFont="1" applyFill="1" applyBorder="1" applyAlignment="1">
      <alignment horizontal="center" vertical="center"/>
    </xf>
    <xf numFmtId="0" fontId="84" fillId="0" borderId="11" xfId="0" applyFont="1" applyFill="1" applyBorder="1" applyAlignment="1">
      <alignment vertical="center"/>
    </xf>
    <xf numFmtId="0" fontId="84" fillId="0" borderId="35" xfId="0" applyFont="1" applyFill="1" applyBorder="1" applyAlignment="1">
      <alignment horizontal="center" vertical="center"/>
    </xf>
    <xf numFmtId="4" fontId="85" fillId="0" borderId="11" xfId="0" applyNumberFormat="1" applyFont="1" applyFill="1" applyBorder="1" applyAlignment="1">
      <alignment horizontal="center" vertical="center"/>
    </xf>
    <xf numFmtId="169" fontId="84" fillId="0" borderId="11" xfId="0" applyNumberFormat="1" applyFont="1" applyFill="1" applyBorder="1" applyAlignment="1">
      <alignment horizontal="center" vertical="center"/>
    </xf>
    <xf numFmtId="169" fontId="84" fillId="0" borderId="25" xfId="0" applyNumberFormat="1" applyFont="1" applyFill="1" applyBorder="1" applyAlignment="1">
      <alignment horizontal="center" vertical="center"/>
    </xf>
    <xf numFmtId="169" fontId="84" fillId="0" borderId="359" xfId="0" applyNumberFormat="1" applyFont="1" applyFill="1" applyBorder="1" applyAlignment="1">
      <alignment horizontal="center" vertical="center"/>
    </xf>
    <xf numFmtId="169" fontId="84" fillId="0" borderId="10" xfId="0" applyNumberFormat="1" applyFont="1" applyFill="1" applyBorder="1" applyAlignment="1">
      <alignment horizontal="center" vertical="center"/>
    </xf>
    <xf numFmtId="178" fontId="85" fillId="0" borderId="10" xfId="0" applyNumberFormat="1" applyFont="1" applyFill="1" applyBorder="1" applyAlignment="1">
      <alignment horizontal="center" vertical="center"/>
    </xf>
    <xf numFmtId="169" fontId="16" fillId="0" borderId="81" xfId="0" applyNumberFormat="1" applyFont="1" applyFill="1" applyBorder="1" applyAlignment="1">
      <alignment horizontal="center" vertical="center"/>
    </xf>
    <xf numFmtId="169" fontId="16" fillId="0" borderId="76" xfId="0" applyNumberFormat="1" applyFont="1" applyFill="1" applyBorder="1" applyAlignment="1">
      <alignment horizontal="center" vertical="center"/>
    </xf>
    <xf numFmtId="0" fontId="16" fillId="0" borderId="24" xfId="0" applyFont="1" applyFill="1" applyBorder="1" applyAlignment="1">
      <alignment horizontal="center" vertical="center"/>
    </xf>
    <xf numFmtId="4" fontId="16" fillId="0" borderId="43" xfId="0" applyNumberFormat="1" applyFont="1" applyFill="1" applyBorder="1" applyAlignment="1">
      <alignment horizontal="center" vertical="center"/>
    </xf>
    <xf numFmtId="0" fontId="16" fillId="0" borderId="43" xfId="0" applyFont="1" applyFill="1" applyBorder="1" applyAlignment="1">
      <alignment horizontal="center" vertical="center"/>
    </xf>
    <xf numFmtId="0" fontId="16" fillId="0" borderId="79" xfId="0" applyFont="1" applyFill="1" applyBorder="1" applyAlignment="1">
      <alignment horizontal="center" vertical="center"/>
    </xf>
    <xf numFmtId="4" fontId="16" fillId="0" borderId="44" xfId="0" applyNumberFormat="1" applyFont="1" applyFill="1" applyBorder="1" applyAlignment="1">
      <alignment horizontal="center" vertical="center"/>
    </xf>
    <xf numFmtId="167" fontId="84" fillId="0" borderId="11" xfId="0" applyNumberFormat="1" applyFont="1" applyFill="1" applyBorder="1" applyAlignment="1">
      <alignment horizontal="center" vertical="center"/>
    </xf>
    <xf numFmtId="167" fontId="84" fillId="0" borderId="359" xfId="0" applyNumberFormat="1" applyFont="1" applyFill="1" applyBorder="1" applyAlignment="1">
      <alignment horizontal="center" vertical="center"/>
    </xf>
    <xf numFmtId="2" fontId="84" fillId="0" borderId="360" xfId="0" applyNumberFormat="1" applyFont="1" applyFill="1" applyBorder="1" applyAlignment="1">
      <alignment horizontal="center" vertical="center"/>
    </xf>
    <xf numFmtId="2" fontId="84" fillId="28" borderId="17" xfId="0" applyNumberFormat="1" applyFont="1" applyFill="1" applyBorder="1" applyAlignment="1">
      <alignment horizontal="center" vertical="center"/>
    </xf>
    <xf numFmtId="4" fontId="84" fillId="28" borderId="17" xfId="0" applyNumberFormat="1" applyFont="1" applyFill="1" applyBorder="1" applyAlignment="1">
      <alignment horizontal="center" vertical="center"/>
    </xf>
    <xf numFmtId="4" fontId="84" fillId="28" borderId="18" xfId="0" applyNumberFormat="1" applyFont="1" applyFill="1" applyBorder="1" applyAlignment="1">
      <alignment horizontal="center" vertical="center"/>
    </xf>
    <xf numFmtId="4" fontId="13" fillId="0" borderId="287" xfId="79" applyNumberFormat="1" applyFont="1" applyFill="1" applyBorder="1" applyAlignment="1">
      <alignment horizontal="center" vertical="center"/>
    </xf>
    <xf numFmtId="4" fontId="60" fillId="0" borderId="35" xfId="0" applyNumberFormat="1" applyFont="1" applyBorder="1" applyAlignment="1">
      <alignment horizontal="center" vertical="center"/>
    </xf>
    <xf numFmtId="4" fontId="60" fillId="0" borderId="362" xfId="0" applyNumberFormat="1" applyFont="1" applyBorder="1" applyAlignment="1">
      <alignment horizontal="center" vertical="center"/>
    </xf>
    <xf numFmtId="4" fontId="17" fillId="0" borderId="362" xfId="0" applyNumberFormat="1" applyFont="1" applyBorder="1" applyAlignment="1">
      <alignment horizontal="center" vertical="center"/>
    </xf>
    <xf numFmtId="4" fontId="17" fillId="0" borderId="363" xfId="0" applyNumberFormat="1" applyFont="1" applyBorder="1" applyAlignment="1">
      <alignment horizontal="center" vertical="center"/>
    </xf>
    <xf numFmtId="4" fontId="17" fillId="0" borderId="81" xfId="0" applyNumberFormat="1" applyFont="1" applyBorder="1" applyAlignment="1">
      <alignment horizontal="center" vertical="center"/>
    </xf>
    <xf numFmtId="4" fontId="60" fillId="0" borderId="13" xfId="0" applyNumberFormat="1" applyFont="1" applyBorder="1" applyAlignment="1">
      <alignment horizontal="center" vertical="center"/>
    </xf>
    <xf numFmtId="4" fontId="60" fillId="0" borderId="34" xfId="0" applyNumberFormat="1" applyFont="1" applyBorder="1" applyAlignment="1">
      <alignment horizontal="center" vertical="center"/>
    </xf>
    <xf numFmtId="4" fontId="17" fillId="0" borderId="364" xfId="0" applyNumberFormat="1" applyFont="1" applyBorder="1" applyAlignment="1">
      <alignment horizontal="center" vertical="center"/>
    </xf>
    <xf numFmtId="4" fontId="60" fillId="0" borderId="364" xfId="0" applyNumberFormat="1" applyFont="1" applyBorder="1" applyAlignment="1">
      <alignment horizontal="center" vertical="center"/>
    </xf>
    <xf numFmtId="4" fontId="17" fillId="0" borderId="365" xfId="0" applyNumberFormat="1" applyFont="1" applyBorder="1" applyAlignment="1">
      <alignment horizontal="center" vertical="center"/>
    </xf>
    <xf numFmtId="4" fontId="17" fillId="0" borderId="58" xfId="0" applyNumberFormat="1" applyFont="1" applyBorder="1" applyAlignment="1">
      <alignment horizontal="center" vertical="center"/>
    </xf>
    <xf numFmtId="4" fontId="60" fillId="28" borderId="18" xfId="0" applyNumberFormat="1" applyFont="1" applyFill="1" applyBorder="1" applyAlignment="1">
      <alignment horizontal="center" vertical="center"/>
    </xf>
    <xf numFmtId="4" fontId="17" fillId="28" borderId="367" xfId="0" applyNumberFormat="1" applyFont="1" applyFill="1" applyBorder="1" applyAlignment="1">
      <alignment horizontal="center" vertical="center"/>
    </xf>
    <xf numFmtId="4" fontId="60" fillId="28" borderId="367" xfId="0" applyNumberFormat="1" applyFont="1" applyFill="1" applyBorder="1" applyAlignment="1">
      <alignment horizontal="center" vertical="center"/>
    </xf>
    <xf numFmtId="4" fontId="17" fillId="28" borderId="77" xfId="0" applyNumberFormat="1" applyFont="1" applyFill="1" applyBorder="1" applyAlignment="1">
      <alignment horizontal="center" vertical="center"/>
    </xf>
    <xf numFmtId="171" fontId="60" fillId="0" borderId="18" xfId="85" applyNumberFormat="1" applyFont="1" applyFill="1" applyBorder="1" applyAlignment="1">
      <alignment horizontal="center" vertical="center"/>
    </xf>
    <xf numFmtId="4" fontId="60" fillId="0" borderId="285" xfId="0" applyNumberFormat="1" applyFont="1" applyFill="1" applyBorder="1" applyAlignment="1">
      <alignment horizontal="center" vertical="center"/>
    </xf>
    <xf numFmtId="171" fontId="60" fillId="0" borderId="290" xfId="85" applyNumberFormat="1" applyFont="1" applyFill="1" applyBorder="1" applyAlignment="1">
      <alignment horizontal="center" vertical="center"/>
    </xf>
    <xf numFmtId="4" fontId="17" fillId="0" borderId="285" xfId="0" applyNumberFormat="1" applyFont="1" applyFill="1" applyBorder="1" applyAlignment="1">
      <alignment horizontal="center" vertical="center"/>
    </xf>
    <xf numFmtId="4" fontId="17" fillId="0" borderId="287" xfId="0" applyNumberFormat="1" applyFont="1" applyFill="1" applyBorder="1" applyAlignment="1">
      <alignment horizontal="center" vertical="center"/>
    </xf>
    <xf numFmtId="4" fontId="60" fillId="0" borderId="287" xfId="0" applyNumberFormat="1" applyFont="1" applyFill="1" applyBorder="1" applyAlignment="1">
      <alignment horizontal="center" vertical="center"/>
    </xf>
    <xf numFmtId="4" fontId="17" fillId="0" borderId="279" xfId="0" applyNumberFormat="1" applyFont="1" applyFill="1" applyBorder="1" applyAlignment="1">
      <alignment horizontal="center" vertical="center"/>
    </xf>
    <xf numFmtId="171" fontId="60" fillId="0" borderId="293" xfId="85" applyNumberFormat="1" applyFont="1" applyFill="1" applyBorder="1" applyAlignment="1">
      <alignment horizontal="center" vertical="center"/>
    </xf>
    <xf numFmtId="171" fontId="60" fillId="0" borderId="77" xfId="85" applyNumberFormat="1" applyFont="1" applyFill="1" applyBorder="1" applyAlignment="1">
      <alignment horizontal="center" vertical="center"/>
    </xf>
    <xf numFmtId="0" fontId="60" fillId="0" borderId="366" xfId="0" applyFont="1" applyFill="1" applyBorder="1" applyAlignment="1">
      <alignment horizontal="center" vertical="center" wrapText="1"/>
    </xf>
    <xf numFmtId="0" fontId="60" fillId="0" borderId="368" xfId="0" applyFont="1" applyFill="1" applyBorder="1" applyAlignment="1">
      <alignment horizontal="center" vertical="center" wrapText="1"/>
    </xf>
    <xf numFmtId="0" fontId="60" fillId="0" borderId="368" xfId="0" applyFont="1" applyFill="1" applyBorder="1" applyAlignment="1">
      <alignment vertical="center"/>
    </xf>
    <xf numFmtId="0" fontId="60" fillId="0" borderId="367" xfId="0" applyFont="1" applyFill="1" applyBorder="1" applyAlignment="1">
      <alignment horizontal="center" vertical="center" wrapText="1"/>
    </xf>
    <xf numFmtId="170" fontId="17" fillId="0" borderId="366" xfId="0" applyNumberFormat="1" applyFont="1" applyFill="1" applyBorder="1" applyAlignment="1">
      <alignment horizontal="center" vertical="center"/>
    </xf>
    <xf numFmtId="3" fontId="17" fillId="0" borderId="368" xfId="0" applyNumberFormat="1" applyFont="1" applyFill="1" applyBorder="1" applyAlignment="1">
      <alignment horizontal="center" vertical="center"/>
    </xf>
    <xf numFmtId="170" fontId="17" fillId="0" borderId="368" xfId="0" applyNumberFormat="1" applyFont="1" applyFill="1" applyBorder="1" applyAlignment="1">
      <alignment horizontal="center" vertical="center"/>
    </xf>
    <xf numFmtId="10" fontId="60" fillId="0" borderId="368" xfId="85" applyNumberFormat="1" applyFont="1" applyFill="1" applyBorder="1" applyAlignment="1">
      <alignment vertical="center"/>
    </xf>
    <xf numFmtId="1" fontId="17" fillId="0" borderId="368" xfId="0" applyNumberFormat="1" applyFont="1" applyFill="1" applyBorder="1" applyAlignment="1">
      <alignment horizontal="right" vertical="center"/>
    </xf>
    <xf numFmtId="3" fontId="17" fillId="0" borderId="368" xfId="0" applyNumberFormat="1" applyFont="1" applyFill="1" applyBorder="1" applyAlignment="1">
      <alignment horizontal="right" vertical="center"/>
    </xf>
    <xf numFmtId="170" fontId="17" fillId="0" borderId="368" xfId="0" applyNumberFormat="1" applyFont="1" applyFill="1" applyBorder="1" applyAlignment="1">
      <alignment horizontal="right" vertical="center"/>
    </xf>
    <xf numFmtId="10" fontId="60" fillId="0" borderId="367" xfId="85" applyNumberFormat="1" applyFont="1" applyFill="1" applyBorder="1" applyAlignment="1">
      <alignment vertical="center"/>
    </xf>
    <xf numFmtId="2" fontId="60" fillId="0" borderId="366" xfId="0" applyNumberFormat="1" applyFont="1" applyFill="1" applyBorder="1" applyAlignment="1">
      <alignment horizontal="center" vertical="center"/>
    </xf>
    <xf numFmtId="3" fontId="60" fillId="0" borderId="368" xfId="0" applyNumberFormat="1" applyFont="1" applyFill="1" applyBorder="1" applyAlignment="1">
      <alignment horizontal="right" vertical="center"/>
    </xf>
    <xf numFmtId="170" fontId="60" fillId="0" borderId="368" xfId="0" applyNumberFormat="1" applyFont="1" applyFill="1" applyBorder="1" applyAlignment="1">
      <alignment horizontal="right" vertical="center"/>
    </xf>
    <xf numFmtId="1" fontId="60" fillId="0" borderId="368" xfId="0" applyNumberFormat="1" applyFont="1" applyFill="1" applyBorder="1" applyAlignment="1">
      <alignment horizontal="right" vertical="center"/>
    </xf>
    <xf numFmtId="169" fontId="60" fillId="0" borderId="368" xfId="0" applyNumberFormat="1" applyFont="1" applyFill="1" applyBorder="1" applyAlignment="1">
      <alignment horizontal="right" vertical="center"/>
    </xf>
    <xf numFmtId="2" fontId="60" fillId="0" borderId="342" xfId="0" applyNumberFormat="1" applyFont="1" applyFill="1" applyBorder="1" applyAlignment="1">
      <alignment horizontal="center" vertical="center"/>
    </xf>
    <xf numFmtId="3" fontId="60" fillId="0" borderId="369" xfId="0" applyNumberFormat="1" applyFont="1" applyFill="1" applyBorder="1" applyAlignment="1">
      <alignment horizontal="right" vertical="center"/>
    </xf>
    <xf numFmtId="170" fontId="60" fillId="0" borderId="369" xfId="0" applyNumberFormat="1" applyFont="1" applyFill="1" applyBorder="1" applyAlignment="1">
      <alignment horizontal="right" vertical="center"/>
    </xf>
    <xf numFmtId="10" fontId="60" fillId="0" borderId="369" xfId="85" applyNumberFormat="1" applyFont="1" applyFill="1" applyBorder="1" applyAlignment="1">
      <alignment vertical="center"/>
    </xf>
    <xf numFmtId="0" fontId="60" fillId="0" borderId="369" xfId="0" applyFont="1" applyFill="1" applyBorder="1" applyAlignment="1">
      <alignment vertical="center"/>
    </xf>
    <xf numFmtId="1" fontId="60" fillId="0" borderId="369" xfId="0" applyNumberFormat="1" applyFont="1" applyFill="1" applyBorder="1" applyAlignment="1">
      <alignment horizontal="right" vertical="center"/>
    </xf>
    <xf numFmtId="10" fontId="60" fillId="0" borderId="370" xfId="85" applyNumberFormat="1" applyFont="1" applyFill="1" applyBorder="1" applyAlignment="1">
      <alignment vertical="center"/>
    </xf>
    <xf numFmtId="0" fontId="60" fillId="0" borderId="16" xfId="0" applyFont="1" applyFill="1" applyBorder="1" applyAlignment="1">
      <alignment vertical="center"/>
    </xf>
    <xf numFmtId="171" fontId="60" fillId="0" borderId="17" xfId="85" applyNumberFormat="1" applyFont="1" applyFill="1" applyBorder="1" applyAlignment="1">
      <alignment vertical="center"/>
    </xf>
    <xf numFmtId="0" fontId="60" fillId="0" borderId="17" xfId="0" applyFont="1" applyFill="1" applyBorder="1" applyAlignment="1">
      <alignment vertical="center"/>
    </xf>
    <xf numFmtId="1" fontId="60" fillId="0" borderId="17" xfId="0" applyNumberFormat="1" applyFont="1" applyFill="1" applyBorder="1" applyAlignment="1">
      <alignment vertical="center"/>
    </xf>
    <xf numFmtId="2" fontId="61" fillId="0" borderId="17" xfId="89" applyNumberFormat="1" applyFont="1" applyFill="1" applyBorder="1" applyAlignment="1">
      <alignment vertical="center"/>
    </xf>
    <xf numFmtId="165" fontId="60" fillId="0" borderId="17" xfId="89" applyFont="1" applyFill="1" applyBorder="1" applyAlignment="1">
      <alignment vertical="center"/>
    </xf>
    <xf numFmtId="10" fontId="60" fillId="0" borderId="17" xfId="85" applyNumberFormat="1" applyFont="1" applyFill="1" applyBorder="1" applyAlignment="1">
      <alignment vertical="center"/>
    </xf>
    <xf numFmtId="0" fontId="60" fillId="0" borderId="366" xfId="0" applyFont="1" applyFill="1" applyBorder="1" applyAlignment="1">
      <alignment vertical="center"/>
    </xf>
    <xf numFmtId="171" fontId="60" fillId="0" borderId="368" xfId="85" applyNumberFormat="1" applyFont="1" applyFill="1" applyBorder="1" applyAlignment="1">
      <alignment vertical="center"/>
    </xf>
    <xf numFmtId="1" fontId="60" fillId="0" borderId="368" xfId="0" applyNumberFormat="1" applyFont="1" applyFill="1" applyBorder="1" applyAlignment="1">
      <alignment vertical="center"/>
    </xf>
    <xf numFmtId="3" fontId="60" fillId="0" borderId="368" xfId="0" applyNumberFormat="1" applyFont="1" applyFill="1" applyBorder="1" applyAlignment="1">
      <alignment vertical="center"/>
    </xf>
    <xf numFmtId="171" fontId="60" fillId="0" borderId="369" xfId="85" applyNumberFormat="1" applyFont="1" applyFill="1" applyBorder="1" applyAlignment="1">
      <alignment vertical="center"/>
    </xf>
    <xf numFmtId="1" fontId="60" fillId="0" borderId="369" xfId="0" applyNumberFormat="1" applyFont="1" applyFill="1" applyBorder="1" applyAlignment="1">
      <alignment vertical="center"/>
    </xf>
    <xf numFmtId="3" fontId="60" fillId="0" borderId="369" xfId="0" applyNumberFormat="1" applyFont="1" applyFill="1" applyBorder="1" applyAlignment="1">
      <alignment vertical="center"/>
    </xf>
    <xf numFmtId="10" fontId="60" fillId="0" borderId="372" xfId="85" applyNumberFormat="1" applyFont="1" applyFill="1" applyBorder="1" applyAlignment="1">
      <alignment vertical="center"/>
    </xf>
    <xf numFmtId="10" fontId="60" fillId="0" borderId="361" xfId="85" applyNumberFormat="1" applyFont="1" applyFill="1" applyBorder="1" applyAlignment="1">
      <alignment vertical="center"/>
    </xf>
    <xf numFmtId="165" fontId="60" fillId="0" borderId="18" xfId="89" applyFont="1" applyFill="1" applyBorder="1" applyAlignment="1">
      <alignment vertical="center"/>
    </xf>
    <xf numFmtId="3" fontId="60" fillId="0" borderId="367" xfId="0" applyNumberFormat="1" applyFont="1" applyFill="1" applyBorder="1" applyAlignment="1">
      <alignment horizontal="right" vertical="center"/>
    </xf>
    <xf numFmtId="3" fontId="60" fillId="0" borderId="370" xfId="0" applyNumberFormat="1" applyFont="1" applyFill="1" applyBorder="1" applyAlignment="1">
      <alignment horizontal="right" vertical="center"/>
    </xf>
    <xf numFmtId="1" fontId="17" fillId="0" borderId="366" xfId="0" applyNumberFormat="1" applyFont="1" applyFill="1" applyBorder="1" applyAlignment="1">
      <alignment horizontal="right" vertical="center"/>
    </xf>
    <xf numFmtId="10" fontId="17" fillId="0" borderId="367" xfId="85" applyNumberFormat="1" applyFont="1" applyFill="1" applyBorder="1" applyAlignment="1">
      <alignment vertical="center"/>
    </xf>
    <xf numFmtId="1" fontId="60" fillId="0" borderId="366" xfId="0" applyNumberFormat="1" applyFont="1" applyFill="1" applyBorder="1" applyAlignment="1">
      <alignment horizontal="right" vertical="center"/>
    </xf>
    <xf numFmtId="169" fontId="60" fillId="0" borderId="366" xfId="0" applyNumberFormat="1" applyFont="1" applyFill="1" applyBorder="1" applyAlignment="1">
      <alignment horizontal="right" vertical="center"/>
    </xf>
    <xf numFmtId="1" fontId="60" fillId="0" borderId="342" xfId="0" applyNumberFormat="1" applyFont="1" applyFill="1" applyBorder="1" applyAlignment="1">
      <alignment horizontal="right" vertical="center"/>
    </xf>
    <xf numFmtId="10" fontId="60" fillId="0" borderId="373" xfId="85" applyNumberFormat="1" applyFont="1" applyFill="1" applyBorder="1" applyAlignment="1">
      <alignment vertical="center"/>
    </xf>
    <xf numFmtId="0" fontId="60" fillId="0" borderId="18" xfId="0" applyFont="1" applyFill="1" applyBorder="1" applyAlignment="1">
      <alignment vertical="center"/>
    </xf>
    <xf numFmtId="0" fontId="60" fillId="0" borderId="367" xfId="0" applyFont="1" applyFill="1" applyBorder="1" applyAlignment="1">
      <alignment vertical="center"/>
    </xf>
    <xf numFmtId="0" fontId="60" fillId="0" borderId="370" xfId="0" applyFont="1" applyFill="1" applyBorder="1" applyAlignment="1">
      <alignment vertical="center"/>
    </xf>
    <xf numFmtId="0" fontId="60" fillId="28" borderId="367" xfId="0" applyFont="1" applyFill="1" applyBorder="1" applyAlignment="1">
      <alignment horizontal="center" vertical="center" wrapText="1"/>
    </xf>
    <xf numFmtId="3" fontId="60" fillId="28" borderId="369" xfId="0" applyNumberFormat="1" applyFont="1" applyFill="1" applyBorder="1" applyAlignment="1">
      <alignment horizontal="right" vertical="center"/>
    </xf>
    <xf numFmtId="1" fontId="60" fillId="28" borderId="369" xfId="0" applyNumberFormat="1" applyFont="1" applyFill="1" applyBorder="1" applyAlignment="1">
      <alignment horizontal="right" vertical="center"/>
    </xf>
    <xf numFmtId="0" fontId="60" fillId="28" borderId="369" xfId="0" applyFont="1" applyFill="1" applyBorder="1" applyAlignment="1">
      <alignment vertical="center"/>
    </xf>
    <xf numFmtId="4" fontId="60" fillId="28" borderId="369" xfId="0" applyNumberFormat="1" applyFont="1" applyFill="1" applyBorder="1" applyAlignment="1">
      <alignment horizontal="right" vertical="center"/>
    </xf>
    <xf numFmtId="0" fontId="60" fillId="0" borderId="373" xfId="0" applyFont="1" applyFill="1" applyBorder="1" applyAlignment="1">
      <alignment horizontal="center" vertical="center" wrapText="1"/>
    </xf>
    <xf numFmtId="0" fontId="60" fillId="0" borderId="369" xfId="0" applyFont="1" applyFill="1" applyBorder="1" applyAlignment="1">
      <alignment horizontal="center" vertical="center" wrapText="1"/>
    </xf>
    <xf numFmtId="0" fontId="60" fillId="0" borderId="370" xfId="0" applyFont="1" applyFill="1" applyBorder="1" applyAlignment="1">
      <alignment horizontal="center" vertical="center" wrapText="1"/>
    </xf>
    <xf numFmtId="0" fontId="60" fillId="0" borderId="371" xfId="0" applyFont="1" applyFill="1" applyBorder="1" applyAlignment="1">
      <alignment horizontal="center" vertical="center" wrapText="1"/>
    </xf>
    <xf numFmtId="0" fontId="60" fillId="0" borderId="362" xfId="0" applyFont="1" applyFill="1" applyBorder="1" applyAlignment="1">
      <alignment horizontal="center" vertical="center" wrapText="1"/>
    </xf>
    <xf numFmtId="0" fontId="17" fillId="0" borderId="366" xfId="0" applyFont="1" applyFill="1" applyBorder="1" applyAlignment="1">
      <alignment horizontal="left" vertical="center"/>
    </xf>
    <xf numFmtId="0" fontId="17" fillId="0" borderId="367" xfId="0" applyFont="1" applyFill="1" applyBorder="1" applyAlignment="1">
      <alignment vertical="center" wrapText="1"/>
    </xf>
    <xf numFmtId="1" fontId="17" fillId="0" borderId="372" xfId="0" applyNumberFormat="1" applyFont="1" applyFill="1" applyBorder="1" applyAlignment="1">
      <alignment horizontal="right" vertical="center"/>
    </xf>
    <xf numFmtId="170" fontId="17" fillId="0" borderId="367" xfId="0" applyNumberFormat="1" applyFont="1" applyFill="1" applyBorder="1" applyAlignment="1">
      <alignment horizontal="right" vertical="center"/>
    </xf>
    <xf numFmtId="3" fontId="17" fillId="0" borderId="366" xfId="0" applyNumberFormat="1" applyFont="1" applyFill="1" applyBorder="1" applyAlignment="1">
      <alignment horizontal="right" vertical="center"/>
    </xf>
    <xf numFmtId="170" fontId="17" fillId="0" borderId="362" xfId="0" applyNumberFormat="1" applyFont="1" applyFill="1" applyBorder="1" applyAlignment="1">
      <alignment horizontal="right" vertical="center"/>
    </xf>
    <xf numFmtId="171" fontId="17" fillId="0" borderId="368" xfId="0" applyNumberFormat="1" applyFont="1" applyFill="1" applyBorder="1" applyAlignment="1">
      <alignment horizontal="center" vertical="center" wrapText="1"/>
    </xf>
    <xf numFmtId="0" fontId="60" fillId="0" borderId="362" xfId="0" applyFont="1" applyFill="1" applyBorder="1" applyAlignment="1">
      <alignment vertical="center"/>
    </xf>
    <xf numFmtId="0" fontId="60" fillId="0" borderId="366" xfId="0" applyFont="1" applyFill="1" applyBorder="1" applyAlignment="1">
      <alignment horizontal="left" vertical="center"/>
    </xf>
    <xf numFmtId="0" fontId="60" fillId="0" borderId="367" xfId="0" applyFont="1" applyFill="1" applyBorder="1" applyAlignment="1">
      <alignment vertical="center" wrapText="1"/>
    </xf>
    <xf numFmtId="1" fontId="60" fillId="0" borderId="372" xfId="0" applyNumberFormat="1" applyFont="1" applyFill="1" applyBorder="1" applyAlignment="1">
      <alignment horizontal="right" vertical="center"/>
    </xf>
    <xf numFmtId="170" fontId="60" fillId="0" borderId="367" xfId="0" applyNumberFormat="1" applyFont="1" applyFill="1" applyBorder="1" applyAlignment="1">
      <alignment horizontal="right" vertical="center"/>
    </xf>
    <xf numFmtId="3" fontId="60" fillId="0" borderId="366" xfId="0" applyNumberFormat="1" applyFont="1" applyFill="1" applyBorder="1" applyAlignment="1">
      <alignment horizontal="right" vertical="center"/>
    </xf>
    <xf numFmtId="170" fontId="60" fillId="0" borderId="362" xfId="0" applyNumberFormat="1" applyFont="1" applyFill="1" applyBorder="1" applyAlignment="1">
      <alignment horizontal="right" vertical="center"/>
    </xf>
    <xf numFmtId="169" fontId="60" fillId="0" borderId="366" xfId="0" applyNumberFormat="1" applyFont="1" applyFill="1" applyBorder="1" applyAlignment="1">
      <alignment horizontal="center" vertical="center"/>
    </xf>
    <xf numFmtId="171" fontId="60" fillId="0" borderId="367" xfId="85" applyNumberFormat="1" applyFont="1" applyFill="1" applyBorder="1" applyAlignment="1">
      <alignment vertical="center"/>
    </xf>
    <xf numFmtId="1" fontId="60" fillId="0" borderId="366" xfId="0" applyNumberFormat="1" applyFont="1" applyFill="1" applyBorder="1" applyAlignment="1">
      <alignment horizontal="center" vertical="center"/>
    </xf>
    <xf numFmtId="3" fontId="60" fillId="0" borderId="366" xfId="0" applyNumberFormat="1" applyFont="1" applyFill="1" applyBorder="1" applyAlignment="1">
      <alignment horizontal="center" vertical="center"/>
    </xf>
    <xf numFmtId="0" fontId="60" fillId="0" borderId="374" xfId="0" applyFont="1" applyFill="1" applyBorder="1" applyAlignment="1">
      <alignment horizontal="left" vertical="center"/>
    </xf>
    <xf numFmtId="0" fontId="60" fillId="0" borderId="375" xfId="0" applyFont="1" applyFill="1" applyBorder="1" applyAlignment="1">
      <alignment vertical="center" wrapText="1"/>
    </xf>
    <xf numFmtId="1" fontId="60" fillId="0" borderId="376" xfId="0" applyNumberFormat="1" applyFont="1" applyFill="1" applyBorder="1" applyAlignment="1">
      <alignment horizontal="right" vertical="center"/>
    </xf>
    <xf numFmtId="3" fontId="60" fillId="0" borderId="377" xfId="0" applyNumberFormat="1" applyFont="1" applyFill="1" applyBorder="1" applyAlignment="1">
      <alignment horizontal="right" vertical="center"/>
    </xf>
    <xf numFmtId="170" fontId="60" fillId="0" borderId="375" xfId="0" applyNumberFormat="1" applyFont="1" applyFill="1" applyBorder="1" applyAlignment="1">
      <alignment horizontal="right" vertical="center"/>
    </xf>
    <xf numFmtId="3" fontId="60" fillId="0" borderId="374" xfId="0" applyNumberFormat="1" applyFont="1" applyFill="1" applyBorder="1" applyAlignment="1">
      <alignment horizontal="right" vertical="center"/>
    </xf>
    <xf numFmtId="170" fontId="60" fillId="0" borderId="363" xfId="0" applyNumberFormat="1" applyFont="1" applyFill="1" applyBorder="1" applyAlignment="1">
      <alignment horizontal="right" vertical="center"/>
    </xf>
    <xf numFmtId="1" fontId="60" fillId="0" borderId="374" xfId="0" applyNumberFormat="1" applyFont="1" applyFill="1" applyBorder="1" applyAlignment="1">
      <alignment horizontal="right" vertical="center"/>
    </xf>
    <xf numFmtId="171" fontId="17" fillId="0" borderId="377" xfId="0" applyNumberFormat="1" applyFont="1" applyFill="1" applyBorder="1" applyAlignment="1">
      <alignment horizontal="center" vertical="center" wrapText="1"/>
    </xf>
    <xf numFmtId="170" fontId="60" fillId="0" borderId="377" xfId="0" applyNumberFormat="1" applyFont="1" applyFill="1" applyBorder="1" applyAlignment="1">
      <alignment horizontal="right" vertical="center"/>
    </xf>
    <xf numFmtId="10" fontId="60" fillId="0" borderId="377" xfId="85" applyNumberFormat="1" applyFont="1" applyFill="1" applyBorder="1" applyAlignment="1">
      <alignment vertical="center"/>
    </xf>
    <xf numFmtId="0" fontId="60" fillId="0" borderId="375" xfId="0" applyFont="1" applyFill="1" applyBorder="1" applyAlignment="1">
      <alignment vertical="center"/>
    </xf>
    <xf numFmtId="3" fontId="60" fillId="0" borderId="374" xfId="0" applyNumberFormat="1" applyFont="1" applyFill="1" applyBorder="1" applyAlignment="1">
      <alignment horizontal="center" vertical="center"/>
    </xf>
    <xf numFmtId="0" fontId="60" fillId="0" borderId="363" xfId="0" applyFont="1" applyFill="1" applyBorder="1" applyAlignment="1">
      <alignment vertical="center"/>
    </xf>
    <xf numFmtId="171" fontId="60" fillId="0" borderId="375" xfId="85" applyNumberFormat="1" applyFont="1" applyFill="1" applyBorder="1" applyAlignment="1">
      <alignment vertical="center"/>
    </xf>
    <xf numFmtId="0" fontId="60" fillId="0" borderId="372" xfId="0" applyFont="1" applyFill="1" applyBorder="1" applyAlignment="1">
      <alignment vertical="center"/>
    </xf>
    <xf numFmtId="1" fontId="60" fillId="0" borderId="366" xfId="0" applyNumberFormat="1" applyFont="1" applyFill="1" applyBorder="1" applyAlignment="1">
      <alignment vertical="center"/>
    </xf>
    <xf numFmtId="0" fontId="60" fillId="0" borderId="378" xfId="0" applyFont="1" applyFill="1" applyBorder="1" applyAlignment="1">
      <alignment vertical="center"/>
    </xf>
    <xf numFmtId="0" fontId="60" fillId="0" borderId="373" xfId="0" applyFont="1" applyFill="1" applyBorder="1" applyAlignment="1">
      <alignment vertical="center"/>
    </xf>
    <xf numFmtId="0" fontId="60" fillId="0" borderId="371" xfId="0" applyFont="1" applyFill="1" applyBorder="1" applyAlignment="1">
      <alignment vertical="center"/>
    </xf>
    <xf numFmtId="171" fontId="60" fillId="0" borderId="370" xfId="85" applyNumberFormat="1" applyFont="1" applyFill="1" applyBorder="1" applyAlignment="1">
      <alignment vertical="center"/>
    </xf>
    <xf numFmtId="1" fontId="60" fillId="0" borderId="342" xfId="0" applyNumberFormat="1" applyFont="1" applyFill="1" applyBorder="1" applyAlignment="1">
      <alignment vertical="center"/>
    </xf>
    <xf numFmtId="0" fontId="60" fillId="0" borderId="379" xfId="0" applyFont="1" applyFill="1" applyBorder="1" applyAlignment="1">
      <alignment vertical="center"/>
    </xf>
    <xf numFmtId="4" fontId="60" fillId="0" borderId="368" xfId="0" applyNumberFormat="1" applyFont="1" applyFill="1" applyBorder="1" applyAlignment="1">
      <alignment horizontal="right" vertical="center"/>
    </xf>
    <xf numFmtId="10" fontId="60" fillId="0" borderId="18" xfId="85" applyNumberFormat="1" applyFont="1" applyFill="1" applyBorder="1" applyAlignment="1">
      <alignment vertical="center"/>
    </xf>
    <xf numFmtId="4" fontId="60" fillId="0" borderId="311" xfId="0" applyNumberFormat="1" applyFont="1" applyFill="1" applyBorder="1" applyAlignment="1">
      <alignment horizontal="center" vertical="center"/>
    </xf>
    <xf numFmtId="4" fontId="60" fillId="0" borderId="312" xfId="0" applyNumberFormat="1" applyFont="1" applyFill="1" applyBorder="1" applyAlignment="1">
      <alignment horizontal="center" vertical="center"/>
    </xf>
    <xf numFmtId="171" fontId="60" fillId="0" borderId="307" xfId="85" applyNumberFormat="1" applyFont="1" applyFill="1" applyBorder="1" applyAlignment="1">
      <alignment vertical="center"/>
    </xf>
    <xf numFmtId="10" fontId="61" fillId="0" borderId="311" xfId="85" applyNumberFormat="1" applyFont="1" applyFill="1" applyBorder="1" applyAlignment="1">
      <alignment horizontal="center" vertical="center"/>
    </xf>
    <xf numFmtId="10" fontId="61" fillId="0" borderId="306" xfId="85" applyNumberFormat="1" applyFont="1" applyFill="1" applyBorder="1" applyAlignment="1">
      <alignment horizontal="center" vertical="center"/>
    </xf>
    <xf numFmtId="171" fontId="60" fillId="0" borderId="313" xfId="85" applyNumberFormat="1" applyFont="1" applyFill="1" applyBorder="1" applyAlignment="1">
      <alignment vertical="center"/>
    </xf>
    <xf numFmtId="4" fontId="101" fillId="0" borderId="312" xfId="0" applyNumberFormat="1" applyFont="1" applyFill="1" applyBorder="1" applyAlignment="1">
      <alignment horizontal="center" vertical="center"/>
    </xf>
    <xf numFmtId="4" fontId="60" fillId="0" borderId="310" xfId="0" applyNumberFormat="1" applyFont="1" applyFill="1" applyBorder="1" applyAlignment="1">
      <alignment horizontal="center" vertical="center"/>
    </xf>
    <xf numFmtId="4" fontId="60" fillId="0" borderId="314" xfId="0" applyNumberFormat="1" applyFont="1" applyFill="1" applyBorder="1" applyAlignment="1">
      <alignment horizontal="center" vertical="center"/>
    </xf>
    <xf numFmtId="171" fontId="60" fillId="0" borderId="305" xfId="85" applyNumberFormat="1" applyFont="1" applyFill="1" applyBorder="1" applyAlignment="1">
      <alignment vertical="center"/>
    </xf>
    <xf numFmtId="171" fontId="60" fillId="0" borderId="77" xfId="85" applyNumberFormat="1" applyFont="1" applyFill="1" applyBorder="1" applyAlignment="1">
      <alignment vertical="center"/>
    </xf>
    <xf numFmtId="4" fontId="61" fillId="0" borderId="310" xfId="0" applyNumberFormat="1" applyFont="1" applyFill="1" applyBorder="1" applyAlignment="1">
      <alignment vertical="center"/>
    </xf>
    <xf numFmtId="4" fontId="61" fillId="0" borderId="306" xfId="0" applyNumberFormat="1" applyFont="1" applyFill="1" applyBorder="1" applyAlignment="1">
      <alignment vertical="center"/>
    </xf>
    <xf numFmtId="4" fontId="61" fillId="0" borderId="308" xfId="0" applyNumberFormat="1" applyFont="1" applyFill="1" applyBorder="1" applyAlignment="1">
      <alignment vertical="center"/>
    </xf>
    <xf numFmtId="171" fontId="60" fillId="0" borderId="293" xfId="85" applyNumberFormat="1" applyFont="1" applyFill="1" applyBorder="1" applyAlignment="1">
      <alignment vertical="center"/>
    </xf>
    <xf numFmtId="10" fontId="60" fillId="0" borderId="17" xfId="0" applyNumberFormat="1" applyFont="1" applyFill="1" applyBorder="1"/>
    <xf numFmtId="171" fontId="60" fillId="0" borderId="18" xfId="85" applyNumberFormat="1" applyFont="1" applyFill="1" applyBorder="1" applyAlignment="1">
      <alignment vertical="center"/>
    </xf>
    <xf numFmtId="10" fontId="60" fillId="0" borderId="310" xfId="0" applyNumberFormat="1" applyFont="1" applyFill="1" applyBorder="1"/>
    <xf numFmtId="10" fontId="60" fillId="0" borderId="306" xfId="0" applyNumberFormat="1" applyFont="1" applyFill="1" applyBorder="1"/>
    <xf numFmtId="10" fontId="60" fillId="0" borderId="292" xfId="0" applyNumberFormat="1" applyFont="1" applyFill="1" applyBorder="1"/>
    <xf numFmtId="10" fontId="60" fillId="0" borderId="308" xfId="0" applyNumberFormat="1" applyFont="1" applyFill="1" applyBorder="1"/>
    <xf numFmtId="171" fontId="60" fillId="0" borderId="372" xfId="85" applyNumberFormat="1" applyFont="1" applyBorder="1" applyAlignment="1">
      <alignment vertical="center"/>
    </xf>
    <xf numFmtId="10" fontId="61" fillId="0" borderId="372" xfId="85" applyNumberFormat="1" applyFont="1" applyFill="1" applyBorder="1" applyAlignment="1">
      <alignment horizontal="center" vertical="center"/>
    </xf>
    <xf numFmtId="171" fontId="60" fillId="0" borderId="373" xfId="85" applyNumberFormat="1" applyFont="1" applyBorder="1" applyAlignment="1">
      <alignment vertical="center"/>
    </xf>
    <xf numFmtId="4" fontId="60" fillId="0" borderId="366" xfId="0" applyNumberFormat="1" applyFont="1" applyFill="1" applyBorder="1" applyAlignment="1">
      <alignment horizontal="center" vertical="center"/>
    </xf>
    <xf numFmtId="4" fontId="60" fillId="0" borderId="367" xfId="0" applyNumberFormat="1" applyFont="1" applyFill="1" applyBorder="1" applyAlignment="1">
      <alignment horizontal="center" vertical="center"/>
    </xf>
    <xf numFmtId="10" fontId="61" fillId="0" borderId="366" xfId="85" applyNumberFormat="1" applyFont="1" applyFill="1" applyBorder="1" applyAlignment="1">
      <alignment horizontal="center" vertical="center"/>
    </xf>
    <xf numFmtId="10" fontId="61" fillId="0" borderId="367" xfId="85" applyNumberFormat="1" applyFont="1" applyFill="1" applyBorder="1" applyAlignment="1">
      <alignment horizontal="center" vertical="center"/>
    </xf>
    <xf numFmtId="4" fontId="60" fillId="0" borderId="342" xfId="0" applyNumberFormat="1" applyFont="1" applyFill="1" applyBorder="1" applyAlignment="1">
      <alignment horizontal="center" vertical="center"/>
    </xf>
    <xf numFmtId="4" fontId="60" fillId="0" borderId="370" xfId="0" applyNumberFormat="1" applyFont="1" applyFill="1" applyBorder="1" applyAlignment="1">
      <alignment horizontal="center" vertical="center"/>
    </xf>
    <xf numFmtId="4" fontId="60" fillId="0" borderId="302" xfId="0" applyNumberFormat="1" applyFont="1" applyFill="1" applyBorder="1" applyAlignment="1">
      <alignment vertical="center"/>
    </xf>
    <xf numFmtId="171" fontId="60" fillId="0" borderId="106" xfId="85" applyNumberFormat="1" applyFont="1" applyFill="1" applyBorder="1" applyAlignment="1">
      <alignment vertical="center"/>
    </xf>
    <xf numFmtId="4" fontId="61" fillId="0" borderId="302" xfId="0" applyNumberFormat="1" applyFont="1" applyFill="1" applyBorder="1" applyAlignment="1">
      <alignment vertical="center"/>
    </xf>
    <xf numFmtId="10" fontId="60" fillId="0" borderId="302" xfId="85" applyNumberFormat="1" applyFont="1" applyFill="1" applyBorder="1" applyAlignment="1">
      <alignment horizontal="center" vertical="center"/>
    </xf>
    <xf numFmtId="10" fontId="60" fillId="0" borderId="306" xfId="85" applyNumberFormat="1" applyFont="1" applyFill="1" applyBorder="1" applyAlignment="1">
      <alignment horizontal="center" vertical="center"/>
    </xf>
    <xf numFmtId="4" fontId="60" fillId="0" borderId="302" xfId="0" applyNumberFormat="1" applyFont="1" applyFill="1" applyBorder="1" applyAlignment="1">
      <alignment horizontal="center" vertical="center"/>
    </xf>
    <xf numFmtId="4" fontId="60" fillId="0" borderId="299" xfId="0" applyNumberFormat="1" applyFont="1" applyFill="1" applyBorder="1" applyAlignment="1">
      <alignment vertical="center"/>
    </xf>
    <xf numFmtId="4" fontId="60" fillId="0" borderId="76" xfId="0" applyNumberFormat="1" applyFont="1" applyFill="1" applyBorder="1" applyAlignment="1">
      <alignment vertical="center"/>
    </xf>
    <xf numFmtId="10" fontId="60" fillId="0" borderId="37" xfId="0" applyNumberFormat="1" applyFont="1" applyFill="1" applyBorder="1" applyAlignment="1">
      <alignment vertical="center"/>
    </xf>
    <xf numFmtId="10" fontId="60" fillId="0" borderId="17" xfId="0" applyNumberFormat="1" applyFont="1" applyFill="1" applyBorder="1" applyAlignment="1">
      <alignment vertical="center"/>
    </xf>
    <xf numFmtId="10" fontId="60" fillId="0" borderId="105" xfId="0" applyNumberFormat="1" applyFont="1" applyFill="1" applyBorder="1" applyAlignment="1">
      <alignment vertical="center"/>
    </xf>
    <xf numFmtId="10" fontId="60" fillId="0" borderId="306" xfId="0" applyNumberFormat="1" applyFont="1" applyFill="1" applyBorder="1" applyAlignment="1">
      <alignment vertical="center"/>
    </xf>
    <xf numFmtId="10" fontId="60" fillId="0" borderId="21" xfId="0" applyNumberFormat="1" applyFont="1" applyFill="1" applyBorder="1" applyAlignment="1">
      <alignment vertical="center"/>
    </xf>
    <xf numFmtId="10" fontId="60" fillId="0" borderId="308" xfId="0" applyNumberFormat="1" applyFont="1" applyFill="1" applyBorder="1" applyAlignment="1">
      <alignment vertical="center"/>
    </xf>
    <xf numFmtId="4" fontId="60" fillId="0" borderId="290" xfId="0" applyNumberFormat="1" applyFont="1" applyFill="1" applyBorder="1" applyAlignment="1">
      <alignment horizontal="right" vertical="center"/>
    </xf>
    <xf numFmtId="0" fontId="60" fillId="0" borderId="96" xfId="0" applyFont="1" applyFill="1" applyBorder="1" applyAlignment="1">
      <alignment horizontal="center" vertical="center" wrapText="1"/>
    </xf>
    <xf numFmtId="0" fontId="48" fillId="28" borderId="366" xfId="79" applyFont="1" applyFill="1" applyBorder="1" applyAlignment="1">
      <alignment horizontal="center" vertical="center"/>
    </xf>
    <xf numFmtId="0" fontId="0" fillId="0" borderId="368" xfId="0" applyBorder="1" applyAlignment="1"/>
    <xf numFmtId="0" fontId="48" fillId="28" borderId="368" xfId="79" applyFont="1" applyFill="1" applyBorder="1" applyAlignment="1">
      <alignment horizontal="center" vertical="center"/>
    </xf>
    <xf numFmtId="0" fontId="48" fillId="28" borderId="367" xfId="79" applyFont="1" applyFill="1" applyBorder="1" applyAlignment="1">
      <alignment horizontal="center" vertical="center"/>
    </xf>
    <xf numFmtId="10" fontId="48" fillId="28" borderId="366" xfId="79" applyNumberFormat="1" applyFont="1" applyFill="1" applyBorder="1" applyAlignment="1">
      <alignment horizontal="center" vertical="center"/>
    </xf>
    <xf numFmtId="10" fontId="48" fillId="28" borderId="368" xfId="85" applyNumberFormat="1" applyFont="1" applyFill="1" applyBorder="1" applyAlignment="1">
      <alignment horizontal="center" vertical="center"/>
    </xf>
    <xf numFmtId="10" fontId="48" fillId="28" borderId="367" xfId="85" applyNumberFormat="1" applyFont="1" applyFill="1" applyBorder="1" applyAlignment="1">
      <alignment horizontal="center" vertical="center"/>
    </xf>
    <xf numFmtId="10" fontId="51" fillId="28" borderId="342" xfId="79" applyNumberFormat="1" applyFont="1" applyFill="1" applyBorder="1" applyAlignment="1">
      <alignment horizontal="center" vertical="center"/>
    </xf>
    <xf numFmtId="0" fontId="0" fillId="0" borderId="369" xfId="0" applyBorder="1" applyAlignment="1"/>
    <xf numFmtId="10" fontId="51" fillId="28" borderId="369" xfId="79" applyNumberFormat="1" applyFont="1" applyFill="1" applyBorder="1" applyAlignment="1">
      <alignment horizontal="center" vertical="center"/>
    </xf>
    <xf numFmtId="10" fontId="51" fillId="28" borderId="370" xfId="79" applyNumberFormat="1" applyFont="1" applyFill="1" applyBorder="1" applyAlignment="1">
      <alignment horizontal="center" vertical="center"/>
    </xf>
    <xf numFmtId="2" fontId="12" fillId="0" borderId="293" xfId="79" applyNumberFormat="1" applyFont="1" applyFill="1" applyBorder="1" applyAlignment="1">
      <alignment horizontal="center" vertical="center"/>
    </xf>
    <xf numFmtId="0" fontId="0" fillId="28" borderId="368" xfId="0" applyFill="1" applyBorder="1" applyAlignment="1"/>
    <xf numFmtId="2" fontId="0" fillId="28" borderId="368" xfId="0" applyNumberFormat="1" applyFill="1" applyBorder="1" applyAlignment="1"/>
    <xf numFmtId="0" fontId="0" fillId="28" borderId="369" xfId="0" applyFill="1" applyBorder="1" applyAlignment="1"/>
    <xf numFmtId="0" fontId="48" fillId="0" borderId="332" xfId="79" applyFont="1" applyFill="1" applyBorder="1" applyAlignment="1">
      <alignment horizontal="center" vertical="center"/>
    </xf>
    <xf numFmtId="0" fontId="48" fillId="0" borderId="335" xfId="79" applyFont="1" applyFill="1" applyBorder="1" applyAlignment="1">
      <alignment horizontal="center" vertical="center"/>
    </xf>
    <xf numFmtId="0" fontId="48" fillId="0" borderId="333" xfId="79" applyFont="1" applyFill="1" applyBorder="1" applyAlignment="1">
      <alignment horizontal="center" vertical="center"/>
    </xf>
    <xf numFmtId="10" fontId="48" fillId="0" borderId="332" xfId="79" applyNumberFormat="1" applyFont="1" applyFill="1" applyBorder="1" applyAlignment="1">
      <alignment horizontal="center" vertical="center"/>
    </xf>
    <xf numFmtId="170" fontId="48" fillId="0" borderId="335" xfId="79" applyNumberFormat="1" applyFont="1" applyFill="1" applyBorder="1" applyAlignment="1">
      <alignment horizontal="center" vertical="center"/>
    </xf>
    <xf numFmtId="10" fontId="48" fillId="0" borderId="335" xfId="85" applyNumberFormat="1" applyFont="1" applyFill="1" applyBorder="1" applyAlignment="1">
      <alignment horizontal="center" vertical="center"/>
    </xf>
    <xf numFmtId="170" fontId="48" fillId="0" borderId="333" xfId="79" applyNumberFormat="1" applyFont="1" applyFill="1" applyBorder="1" applyAlignment="1">
      <alignment horizontal="center" vertical="center"/>
    </xf>
    <xf numFmtId="10" fontId="51" fillId="0" borderId="292" xfId="79" applyNumberFormat="1" applyFont="1" applyFill="1" applyBorder="1" applyAlignment="1">
      <alignment horizontal="center" vertical="center"/>
    </xf>
    <xf numFmtId="170" fontId="51" fillId="0" borderId="308" xfId="79" applyNumberFormat="1" applyFont="1" applyFill="1" applyBorder="1" applyAlignment="1">
      <alignment horizontal="center" vertical="center"/>
    </xf>
    <xf numFmtId="170" fontId="51" fillId="0" borderId="298" xfId="79" applyNumberFormat="1" applyFont="1" applyFill="1" applyBorder="1" applyAlignment="1">
      <alignment horizontal="center" vertical="center"/>
    </xf>
    <xf numFmtId="10" fontId="51" fillId="0" borderId="308" xfId="79" applyNumberFormat="1" applyFont="1" applyFill="1" applyBorder="1" applyAlignment="1">
      <alignment horizontal="center" vertical="center"/>
    </xf>
    <xf numFmtId="170" fontId="51" fillId="0" borderId="293" xfId="79" applyNumberFormat="1" applyFont="1" applyFill="1" applyBorder="1" applyAlignment="1">
      <alignment horizontal="center" vertical="center"/>
    </xf>
    <xf numFmtId="2" fontId="138" fillId="0" borderId="37" xfId="79" applyNumberFormat="1" applyFont="1" applyFill="1" applyBorder="1" applyAlignment="1">
      <alignment horizontal="center" vertical="center"/>
    </xf>
    <xf numFmtId="4" fontId="125" fillId="0" borderId="198" xfId="79" applyNumberFormat="1" applyFont="1" applyFill="1" applyBorder="1" applyAlignment="1">
      <alignment horizontal="center" vertical="center"/>
    </xf>
    <xf numFmtId="171" fontId="125" fillId="0" borderId="198" xfId="85" applyNumberFormat="1" applyFont="1" applyFill="1" applyBorder="1" applyAlignment="1">
      <alignment vertical="center"/>
    </xf>
    <xf numFmtId="0" fontId="13" fillId="0" borderId="192" xfId="79" applyFont="1" applyFill="1" applyBorder="1" applyAlignment="1">
      <alignment wrapText="1"/>
    </xf>
    <xf numFmtId="170" fontId="51" fillId="0" borderId="292" xfId="79" applyNumberFormat="1" applyFont="1" applyFill="1" applyBorder="1" applyAlignment="1">
      <alignment horizontal="center" vertical="center"/>
    </xf>
    <xf numFmtId="171" fontId="13" fillId="0" borderId="293" xfId="85" applyNumberFormat="1" applyFont="1" applyFill="1" applyBorder="1" applyAlignment="1">
      <alignment vertical="center"/>
    </xf>
    <xf numFmtId="4" fontId="12" fillId="0" borderId="0" xfId="79" applyNumberFormat="1" applyFont="1" applyFill="1" applyAlignment="1">
      <alignment vertical="center"/>
    </xf>
    <xf numFmtId="4" fontId="12" fillId="0" borderId="0" xfId="79" applyNumberFormat="1" applyFont="1" applyFill="1" applyAlignment="1">
      <alignment horizontal="right" vertical="center"/>
    </xf>
    <xf numFmtId="171" fontId="61" fillId="0" borderId="296" xfId="0" applyNumberFormat="1" applyFont="1" applyFill="1" applyBorder="1" applyAlignment="1">
      <alignment horizontal="center" vertical="center" wrapText="1"/>
    </xf>
    <xf numFmtId="171" fontId="61" fillId="0" borderId="308" xfId="0" applyNumberFormat="1" applyFont="1" applyFill="1" applyBorder="1" applyAlignment="1">
      <alignment horizontal="center" vertical="center" wrapText="1"/>
    </xf>
    <xf numFmtId="4" fontId="60" fillId="0" borderId="105" xfId="0" applyNumberFormat="1" applyFont="1" applyFill="1" applyBorder="1"/>
    <xf numFmtId="4" fontId="60" fillId="0" borderId="106" xfId="0" applyNumberFormat="1" applyFont="1" applyFill="1" applyBorder="1"/>
    <xf numFmtId="4" fontId="60" fillId="0" borderId="191" xfId="0" applyNumberFormat="1" applyFont="1" applyFill="1" applyBorder="1"/>
    <xf numFmtId="4" fontId="60" fillId="0" borderId="198" xfId="0" applyNumberFormat="1" applyFont="1" applyFill="1" applyBorder="1"/>
    <xf numFmtId="4" fontId="60" fillId="0" borderId="192" xfId="0" applyNumberFormat="1" applyFont="1" applyFill="1" applyBorder="1"/>
    <xf numFmtId="4" fontId="17" fillId="0" borderId="105" xfId="0" applyNumberFormat="1" applyFont="1" applyFill="1" applyBorder="1"/>
    <xf numFmtId="4" fontId="17" fillId="0" borderId="106" xfId="0" applyNumberFormat="1" applyFont="1" applyFill="1" applyBorder="1"/>
    <xf numFmtId="4" fontId="17" fillId="0" borderId="191" xfId="0" applyNumberFormat="1" applyFont="1" applyFill="1" applyBorder="1"/>
    <xf numFmtId="4" fontId="17" fillId="0" borderId="198" xfId="0" applyNumberFormat="1" applyFont="1" applyFill="1" applyBorder="1"/>
    <xf numFmtId="4" fontId="17" fillId="0" borderId="192" xfId="0" applyNumberFormat="1" applyFont="1" applyFill="1" applyBorder="1"/>
    <xf numFmtId="2" fontId="17" fillId="0" borderId="105" xfId="0" applyNumberFormat="1" applyFont="1" applyFill="1" applyBorder="1"/>
    <xf numFmtId="2" fontId="17" fillId="0" borderId="102" xfId="0" applyNumberFormat="1" applyFont="1" applyFill="1" applyBorder="1"/>
    <xf numFmtId="2" fontId="17" fillId="0" borderId="106" xfId="0" applyNumberFormat="1" applyFont="1" applyFill="1" applyBorder="1"/>
    <xf numFmtId="2" fontId="17" fillId="0" borderId="191" xfId="0" applyNumberFormat="1" applyFont="1" applyFill="1" applyBorder="1"/>
    <xf numFmtId="2" fontId="17" fillId="0" borderId="198" xfId="0" applyNumberFormat="1" applyFont="1" applyFill="1" applyBorder="1"/>
    <xf numFmtId="2" fontId="17" fillId="0" borderId="192" xfId="0" applyNumberFormat="1" applyFont="1" applyFill="1" applyBorder="1"/>
    <xf numFmtId="171" fontId="61" fillId="0" borderId="297" xfId="0" applyNumberFormat="1" applyFont="1" applyFill="1" applyBorder="1" applyAlignment="1">
      <alignment horizontal="center" vertical="center" wrapText="1"/>
    </xf>
    <xf numFmtId="171" fontId="61" fillId="0" borderId="322" xfId="85" applyNumberFormat="1" applyFont="1" applyFill="1" applyBorder="1" applyAlignment="1">
      <alignment horizontal="center" vertical="center"/>
    </xf>
    <xf numFmtId="171" fontId="61" fillId="0" borderId="321" xfId="85" applyNumberFormat="1" applyFont="1" applyFill="1" applyBorder="1" applyAlignment="1">
      <alignment horizontal="center" vertical="center"/>
    </xf>
    <xf numFmtId="10" fontId="61" fillId="0" borderId="322" xfId="85" applyNumberFormat="1" applyFont="1" applyFill="1" applyBorder="1" applyAlignment="1">
      <alignment horizontal="center" vertical="center"/>
    </xf>
    <xf numFmtId="171" fontId="61" fillId="0" borderId="324" xfId="85" applyNumberFormat="1" applyFont="1" applyFill="1" applyBorder="1" applyAlignment="1">
      <alignment horizontal="center" vertical="center"/>
    </xf>
    <xf numFmtId="171" fontId="61" fillId="0" borderId="325" xfId="85" applyNumberFormat="1" applyFont="1" applyFill="1" applyBorder="1" applyAlignment="1">
      <alignment horizontal="center" vertical="center"/>
    </xf>
    <xf numFmtId="171" fontId="61" fillId="0" borderId="326" xfId="85" applyNumberFormat="1" applyFont="1" applyFill="1" applyBorder="1" applyAlignment="1">
      <alignment horizontal="center" vertical="center"/>
    </xf>
    <xf numFmtId="171" fontId="61" fillId="0" borderId="325" xfId="0" applyNumberFormat="1" applyFont="1" applyFill="1" applyBorder="1" applyAlignment="1">
      <alignment horizontal="center" vertical="center"/>
    </xf>
    <xf numFmtId="171" fontId="61" fillId="0" borderId="328" xfId="85" applyNumberFormat="1" applyFont="1" applyFill="1" applyBorder="1" applyAlignment="1">
      <alignment horizontal="center" vertical="center"/>
    </xf>
    <xf numFmtId="171" fontId="61" fillId="0" borderId="297" xfId="0" applyNumberFormat="1" applyFont="1" applyFill="1" applyBorder="1" applyAlignment="1">
      <alignment horizontal="center" vertical="center"/>
    </xf>
    <xf numFmtId="171" fontId="61" fillId="0" borderId="308" xfId="85" applyNumberFormat="1" applyFont="1" applyFill="1" applyBorder="1" applyAlignment="1">
      <alignment horizontal="center" vertical="center"/>
    </xf>
    <xf numFmtId="0" fontId="16" fillId="0" borderId="0" xfId="0" applyFont="1"/>
    <xf numFmtId="4" fontId="84" fillId="0" borderId="0" xfId="0" applyNumberFormat="1" applyFont="1"/>
    <xf numFmtId="0" fontId="151" fillId="0" borderId="0" xfId="0" applyFont="1"/>
    <xf numFmtId="0" fontId="84" fillId="0" borderId="0" xfId="0" applyFont="1" applyAlignment="1">
      <alignment horizontal="right"/>
    </xf>
    <xf numFmtId="4" fontId="84" fillId="38" borderId="380" xfId="0" applyNumberFormat="1" applyFont="1" applyFill="1" applyBorder="1" applyAlignment="1">
      <alignment horizontal="center" vertical="center" wrapText="1"/>
    </xf>
    <xf numFmtId="0" fontId="84" fillId="38" borderId="380" xfId="0" applyFont="1" applyFill="1" applyBorder="1" applyAlignment="1">
      <alignment horizontal="center" vertical="center" wrapText="1"/>
    </xf>
    <xf numFmtId="0" fontId="84" fillId="0" borderId="0" xfId="0" applyFont="1" applyAlignment="1">
      <alignment vertical="center"/>
    </xf>
    <xf numFmtId="0" fontId="151" fillId="0" borderId="0" xfId="0" applyFont="1" applyAlignment="1">
      <alignment vertical="center"/>
    </xf>
    <xf numFmtId="0" fontId="84" fillId="38" borderId="380" xfId="0" applyFont="1" applyFill="1" applyBorder="1"/>
    <xf numFmtId="4" fontId="84" fillId="38" borderId="380" xfId="0" applyNumberFormat="1" applyFont="1" applyFill="1" applyBorder="1"/>
    <xf numFmtId="4" fontId="84" fillId="36" borderId="380" xfId="0" applyNumberFormat="1" applyFont="1" applyFill="1" applyBorder="1" applyAlignment="1">
      <alignment horizontal="center" vertical="center"/>
    </xf>
    <xf numFmtId="2" fontId="84" fillId="36" borderId="380" xfId="0" applyNumberFormat="1" applyFont="1" applyFill="1" applyBorder="1" applyAlignment="1">
      <alignment horizontal="center"/>
    </xf>
    <xf numFmtId="4" fontId="84" fillId="38" borderId="380" xfId="0" applyNumberFormat="1" applyFont="1" applyFill="1" applyBorder="1" applyAlignment="1">
      <alignment horizontal="center" vertical="center"/>
    </xf>
    <xf numFmtId="0" fontId="114" fillId="0" borderId="0" xfId="153" applyFont="1"/>
    <xf numFmtId="0" fontId="114" fillId="0" borderId="385" xfId="153" applyFont="1" applyBorder="1" applyAlignment="1">
      <alignment horizontal="center"/>
    </xf>
    <xf numFmtId="0" fontId="114" fillId="38" borderId="385" xfId="153" applyFont="1" applyFill="1" applyBorder="1" applyAlignment="1">
      <alignment wrapText="1"/>
    </xf>
    <xf numFmtId="0" fontId="114" fillId="38" borderId="385" xfId="153" applyFont="1" applyFill="1" applyBorder="1" applyAlignment="1">
      <alignment horizontal="center" wrapText="1"/>
    </xf>
    <xf numFmtId="4" fontId="114" fillId="38" borderId="385" xfId="153" applyNumberFormat="1" applyFont="1" applyFill="1" applyBorder="1"/>
    <xf numFmtId="0" fontId="114" fillId="38" borderId="385" xfId="153" applyFont="1" applyFill="1" applyBorder="1" applyAlignment="1">
      <alignment horizontal="center"/>
    </xf>
    <xf numFmtId="0" fontId="114" fillId="44" borderId="385" xfId="153" applyFont="1" applyFill="1" applyBorder="1" applyAlignment="1">
      <alignment wrapText="1"/>
    </xf>
    <xf numFmtId="0" fontId="114" fillId="44" borderId="385" xfId="153" applyFont="1" applyFill="1" applyBorder="1" applyAlignment="1">
      <alignment horizontal="center" wrapText="1"/>
    </xf>
    <xf numFmtId="4" fontId="114" fillId="44" borderId="385" xfId="153" applyNumberFormat="1" applyFont="1" applyFill="1" applyBorder="1"/>
    <xf numFmtId="0" fontId="114" fillId="44" borderId="385" xfId="153" applyFont="1" applyFill="1" applyBorder="1" applyAlignment="1">
      <alignment horizontal="center"/>
    </xf>
    <xf numFmtId="4" fontId="114" fillId="44" borderId="385" xfId="154" applyNumberFormat="1" applyFont="1" applyFill="1" applyBorder="1"/>
    <xf numFmtId="0" fontId="114" fillId="44" borderId="385" xfId="153" applyFont="1" applyFill="1" applyBorder="1" applyAlignment="1">
      <alignment vertical="center" wrapText="1"/>
    </xf>
    <xf numFmtId="0" fontId="114" fillId="44" borderId="385" xfId="153" applyFont="1" applyFill="1" applyBorder="1" applyAlignment="1">
      <alignment horizontal="center" vertical="center" wrapText="1"/>
    </xf>
    <xf numFmtId="4" fontId="114" fillId="44" borderId="385" xfId="153" applyNumberFormat="1" applyFont="1" applyFill="1" applyBorder="1" applyAlignment="1">
      <alignment vertical="center"/>
    </xf>
    <xf numFmtId="0" fontId="114" fillId="44" borderId="385" xfId="153" applyFont="1" applyFill="1" applyBorder="1" applyAlignment="1">
      <alignment horizontal="center" vertical="center"/>
    </xf>
    <xf numFmtId="0" fontId="114" fillId="0" borderId="0" xfId="153" applyFont="1" applyAlignment="1">
      <alignment vertical="center"/>
    </xf>
    <xf numFmtId="0" fontId="114" fillId="36" borderId="385" xfId="153" applyFont="1" applyFill="1" applyBorder="1" applyAlignment="1">
      <alignment wrapText="1"/>
    </xf>
    <xf numFmtId="0" fontId="114" fillId="36" borderId="385" xfId="153" applyFont="1" applyFill="1" applyBorder="1" applyAlignment="1">
      <alignment horizontal="center" wrapText="1"/>
    </xf>
    <xf numFmtId="4" fontId="114" fillId="36" borderId="385" xfId="153" applyNumberFormat="1" applyFont="1" applyFill="1" applyBorder="1"/>
    <xf numFmtId="0" fontId="114" fillId="36" borderId="385" xfId="153" applyFont="1" applyFill="1" applyBorder="1" applyAlignment="1">
      <alignment horizontal="center"/>
    </xf>
    <xf numFmtId="4" fontId="114" fillId="36" borderId="385" xfId="154" applyNumberFormat="1" applyFont="1" applyFill="1" applyBorder="1"/>
    <xf numFmtId="0" fontId="114" fillId="36" borderId="385" xfId="153" applyFont="1" applyFill="1" applyBorder="1" applyAlignment="1">
      <alignment vertical="center" wrapText="1"/>
    </xf>
    <xf numFmtId="0" fontId="114" fillId="36" borderId="385" xfId="153" applyFont="1" applyFill="1" applyBorder="1" applyAlignment="1">
      <alignment horizontal="center" vertical="center" wrapText="1"/>
    </xf>
    <xf numFmtId="4" fontId="114" fillId="36" borderId="385" xfId="153" applyNumberFormat="1" applyFont="1" applyFill="1" applyBorder="1" applyAlignment="1">
      <alignment vertical="center"/>
    </xf>
    <xf numFmtId="0" fontId="114" fillId="36" borderId="385" xfId="153" applyFont="1" applyFill="1" applyBorder="1" applyAlignment="1">
      <alignment horizontal="center" vertical="center"/>
    </xf>
    <xf numFmtId="4" fontId="114" fillId="0" borderId="0" xfId="153" applyNumberFormat="1" applyFont="1"/>
    <xf numFmtId="0" fontId="13" fillId="38" borderId="380" xfId="0" applyFont="1" applyFill="1" applyBorder="1" applyAlignment="1">
      <alignment horizontal="center" vertical="center" wrapText="1"/>
    </xf>
    <xf numFmtId="0" fontId="13" fillId="38" borderId="380" xfId="0" applyFont="1" applyFill="1" applyBorder="1" applyAlignment="1">
      <alignment vertical="center"/>
    </xf>
    <xf numFmtId="4" fontId="13" fillId="36" borderId="380" xfId="0" applyNumberFormat="1" applyFont="1" applyFill="1" applyBorder="1" applyAlignment="1">
      <alignment vertical="center" wrapText="1"/>
    </xf>
    <xf numFmtId="0" fontId="13" fillId="36" borderId="380" xfId="0" applyFont="1" applyFill="1" applyBorder="1" applyAlignment="1">
      <alignment vertical="center"/>
    </xf>
    <xf numFmtId="4" fontId="13" fillId="36" borderId="380" xfId="0" applyNumberFormat="1" applyFont="1" applyFill="1" applyBorder="1" applyAlignment="1">
      <alignment vertical="center"/>
    </xf>
    <xf numFmtId="4" fontId="13" fillId="0" borderId="380" xfId="0" applyNumberFormat="1" applyFont="1" applyBorder="1" applyAlignment="1">
      <alignment vertical="center"/>
    </xf>
    <xf numFmtId="0" fontId="13" fillId="0" borderId="380" xfId="0" applyFont="1" applyBorder="1" applyAlignment="1">
      <alignment vertical="center"/>
    </xf>
    <xf numFmtId="0" fontId="13" fillId="36" borderId="380" xfId="0" applyFont="1" applyFill="1" applyBorder="1" applyAlignment="1">
      <alignment vertical="center" wrapText="1"/>
    </xf>
    <xf numFmtId="0" fontId="12" fillId="38" borderId="380" xfId="0" applyFont="1" applyFill="1" applyBorder="1" applyAlignment="1">
      <alignment vertical="center"/>
    </xf>
    <xf numFmtId="0" fontId="12" fillId="38" borderId="380" xfId="0" applyFont="1" applyFill="1" applyBorder="1" applyAlignment="1">
      <alignment vertical="center" wrapText="1"/>
    </xf>
    <xf numFmtId="4" fontId="12" fillId="38" borderId="380" xfId="0" applyNumberFormat="1" applyFont="1" applyFill="1" applyBorder="1" applyAlignment="1">
      <alignment vertical="center"/>
    </xf>
    <xf numFmtId="0" fontId="12" fillId="0" borderId="380" xfId="0" applyFont="1" applyBorder="1" applyAlignment="1">
      <alignment vertical="center"/>
    </xf>
    <xf numFmtId="4" fontId="12" fillId="0" borderId="380" xfId="0" applyNumberFormat="1" applyFont="1" applyBorder="1" applyAlignment="1">
      <alignment vertical="center"/>
    </xf>
    <xf numFmtId="0" fontId="13" fillId="38" borderId="380" xfId="0" applyFont="1" applyFill="1" applyBorder="1" applyAlignment="1">
      <alignment vertical="center" wrapText="1"/>
    </xf>
    <xf numFmtId="0" fontId="12" fillId="36" borderId="380" xfId="0" applyFont="1" applyFill="1" applyBorder="1" applyAlignment="1">
      <alignment vertical="center" wrapText="1"/>
    </xf>
    <xf numFmtId="0" fontId="12" fillId="36" borderId="380" xfId="0" applyFont="1" applyFill="1" applyBorder="1" applyAlignment="1">
      <alignment vertical="center"/>
    </xf>
    <xf numFmtId="4" fontId="12" fillId="36" borderId="380" xfId="0" applyNumberFormat="1" applyFont="1" applyFill="1" applyBorder="1" applyAlignment="1">
      <alignment vertical="center"/>
    </xf>
    <xf numFmtId="0" fontId="13" fillId="0" borderId="380" xfId="0" applyFont="1" applyBorder="1" applyAlignment="1">
      <alignment horizontal="center" vertical="center" wrapText="1"/>
    </xf>
    <xf numFmtId="0" fontId="13" fillId="0" borderId="380" xfId="0" applyFont="1" applyBorder="1"/>
    <xf numFmtId="4" fontId="13" fillId="0" borderId="380" xfId="0" applyNumberFormat="1" applyFont="1" applyBorder="1" applyAlignment="1">
      <alignment vertical="center" wrapText="1"/>
    </xf>
    <xf numFmtId="0" fontId="13" fillId="0" borderId="380" xfId="0" applyFont="1" applyBorder="1" applyAlignment="1">
      <alignment vertical="center" wrapText="1"/>
    </xf>
    <xf numFmtId="0" fontId="12" fillId="0" borderId="380" xfId="0" applyFont="1" applyBorder="1" applyAlignment="1">
      <alignment vertical="center" wrapText="1"/>
    </xf>
    <xf numFmtId="4" fontId="12" fillId="0" borderId="380" xfId="0" applyNumberFormat="1" applyFont="1" applyBorder="1" applyAlignment="1">
      <alignment vertical="center" wrapText="1"/>
    </xf>
    <xf numFmtId="178" fontId="13" fillId="36" borderId="380" xfId="0" applyNumberFormat="1" applyFont="1" applyFill="1" applyBorder="1" applyAlignment="1">
      <alignment vertical="center" wrapText="1"/>
    </xf>
    <xf numFmtId="178" fontId="12" fillId="38" borderId="380" xfId="0" applyNumberFormat="1" applyFont="1" applyFill="1" applyBorder="1" applyAlignment="1">
      <alignment vertical="center" wrapText="1"/>
    </xf>
    <xf numFmtId="0" fontId="13" fillId="38" borderId="380" xfId="0" applyFont="1" applyFill="1" applyBorder="1"/>
    <xf numFmtId="0" fontId="13" fillId="36" borderId="380" xfId="0" applyFont="1" applyFill="1" applyBorder="1"/>
    <xf numFmtId="171" fontId="13" fillId="36" borderId="380" xfId="85" applyNumberFormat="1" applyFont="1" applyFill="1" applyBorder="1"/>
    <xf numFmtId="171" fontId="13" fillId="0" borderId="0" xfId="85" applyNumberFormat="1" applyFont="1"/>
    <xf numFmtId="4" fontId="12" fillId="36" borderId="380" xfId="0" applyNumberFormat="1" applyFont="1" applyFill="1" applyBorder="1"/>
    <xf numFmtId="4" fontId="13" fillId="36" borderId="380" xfId="0" applyNumberFormat="1" applyFont="1" applyFill="1" applyBorder="1"/>
    <xf numFmtId="0" fontId="12" fillId="0" borderId="380" xfId="0" applyFont="1" applyFill="1" applyBorder="1" applyAlignment="1">
      <alignment horizontal="center" vertical="center"/>
    </xf>
    <xf numFmtId="4" fontId="60" fillId="0" borderId="68" xfId="0" applyNumberFormat="1" applyFont="1" applyBorder="1" applyAlignment="1">
      <alignment horizontal="right" vertical="center"/>
    </xf>
    <xf numFmtId="4" fontId="17" fillId="0" borderId="77" xfId="0" applyNumberFormat="1" applyFont="1" applyBorder="1" applyAlignment="1">
      <alignment horizontal="right" vertical="center"/>
    </xf>
    <xf numFmtId="4" fontId="60" fillId="0" borderId="75" xfId="0" applyNumberFormat="1" applyFont="1" applyBorder="1" applyAlignment="1">
      <alignment horizontal="right" vertical="center"/>
    </xf>
    <xf numFmtId="4" fontId="60" fillId="0" borderId="76" xfId="0" applyNumberFormat="1" applyFont="1" applyBorder="1" applyAlignment="1">
      <alignment horizontal="right" vertical="center"/>
    </xf>
    <xf numFmtId="2" fontId="13" fillId="0" borderId="380" xfId="0" applyNumberFormat="1" applyFont="1" applyBorder="1" applyAlignment="1">
      <alignment vertical="center" wrapText="1"/>
    </xf>
    <xf numFmtId="4" fontId="16" fillId="38" borderId="380" xfId="0" applyNumberFormat="1" applyFont="1" applyFill="1" applyBorder="1" applyAlignment="1">
      <alignment horizontal="center" vertical="center"/>
    </xf>
    <xf numFmtId="2" fontId="13" fillId="0" borderId="0" xfId="79" applyNumberFormat="1" applyFont="1" applyAlignment="1">
      <alignment vertical="center"/>
    </xf>
    <xf numFmtId="4" fontId="17" fillId="28" borderId="400" xfId="0" applyNumberFormat="1" applyFont="1" applyFill="1" applyBorder="1" applyAlignment="1">
      <alignment horizontal="center" vertical="center"/>
    </xf>
    <xf numFmtId="4" fontId="17" fillId="28" borderId="369" xfId="0" applyNumberFormat="1" applyFont="1" applyFill="1" applyBorder="1" applyAlignment="1">
      <alignment horizontal="center" vertical="center"/>
    </xf>
    <xf numFmtId="4" fontId="17" fillId="28" borderId="402" xfId="0" applyNumberFormat="1" applyFont="1" applyFill="1" applyBorder="1" applyAlignment="1">
      <alignment horizontal="center" vertical="center"/>
    </xf>
    <xf numFmtId="2" fontId="12" fillId="0" borderId="0" xfId="79" applyNumberFormat="1" applyFont="1" applyAlignment="1">
      <alignment vertical="center"/>
    </xf>
    <xf numFmtId="0" fontId="17" fillId="0" borderId="0" xfId="0" applyFont="1" applyAlignment="1">
      <alignment horizontal="center"/>
    </xf>
    <xf numFmtId="0" fontId="12" fillId="0" borderId="389" xfId="0" applyFont="1" applyBorder="1" applyAlignment="1">
      <alignment horizontal="center" vertical="center" wrapText="1"/>
    </xf>
    <xf numFmtId="0" fontId="13" fillId="0" borderId="389" xfId="0" applyFont="1" applyBorder="1"/>
    <xf numFmtId="4" fontId="13" fillId="0" borderId="389" xfId="0" applyNumberFormat="1" applyFont="1" applyBorder="1"/>
    <xf numFmtId="0" fontId="13" fillId="45" borderId="389" xfId="0" applyFont="1" applyFill="1" applyBorder="1"/>
    <xf numFmtId="4" fontId="13" fillId="45" borderId="389" xfId="0" applyNumberFormat="1" applyFont="1" applyFill="1" applyBorder="1"/>
    <xf numFmtId="0" fontId="12" fillId="0" borderId="389" xfId="0" applyFont="1" applyFill="1" applyBorder="1"/>
    <xf numFmtId="0" fontId="12" fillId="0" borderId="389" xfId="0" applyFont="1" applyBorder="1"/>
    <xf numFmtId="4" fontId="12" fillId="0" borderId="389" xfId="0" applyNumberFormat="1" applyFont="1" applyBorder="1" applyAlignment="1">
      <alignment horizontal="center" vertical="center"/>
    </xf>
    <xf numFmtId="0" fontId="13" fillId="0" borderId="389" xfId="0" applyFont="1" applyFill="1" applyBorder="1"/>
    <xf numFmtId="0" fontId="13" fillId="0" borderId="389" xfId="0" applyFont="1" applyBorder="1" applyAlignment="1">
      <alignment horizontal="center" vertical="center"/>
    </xf>
    <xf numFmtId="4" fontId="13" fillId="0" borderId="389" xfId="0" applyNumberFormat="1" applyFont="1" applyBorder="1" applyAlignment="1">
      <alignment horizontal="center" vertical="center"/>
    </xf>
    <xf numFmtId="2" fontId="13" fillId="0" borderId="0" xfId="0" applyNumberFormat="1" applyFont="1"/>
    <xf numFmtId="0" fontId="114" fillId="0" borderId="0" xfId="155" applyFont="1"/>
    <xf numFmtId="2" fontId="60" fillId="0" borderId="359" xfId="0" applyNumberFormat="1" applyFont="1" applyFill="1" applyBorder="1" applyAlignment="1">
      <alignment horizontal="center" vertical="center" wrapText="1"/>
    </xf>
    <xf numFmtId="2" fontId="60" fillId="0" borderId="352" xfId="0" applyNumberFormat="1" applyFont="1" applyFill="1" applyBorder="1" applyAlignment="1">
      <alignment horizontal="center" vertical="center" wrapText="1"/>
    </xf>
    <xf numFmtId="0" fontId="0" fillId="0" borderId="0" xfId="0" applyFill="1" applyBorder="1" applyAlignment="1"/>
    <xf numFmtId="0" fontId="114" fillId="0" borderId="389" xfId="155" applyFont="1" applyFill="1" applyBorder="1" applyAlignment="1">
      <alignment horizontal="center" vertical="center" wrapText="1"/>
    </xf>
    <xf numFmtId="0" fontId="84" fillId="26" borderId="300" xfId="96" applyFont="1" applyFill="1" applyBorder="1" applyAlignment="1">
      <alignment horizontal="center" vertical="center" wrapText="1"/>
    </xf>
    <xf numFmtId="0" fontId="84" fillId="26" borderId="243" xfId="96" applyFont="1" applyFill="1" applyBorder="1" applyAlignment="1">
      <alignment horizontal="center" vertical="center" wrapText="1"/>
    </xf>
    <xf numFmtId="0" fontId="48" fillId="0" borderId="389" xfId="155" applyFont="1" applyFill="1" applyBorder="1" applyAlignment="1">
      <alignment horizontal="center" vertical="center"/>
    </xf>
    <xf numFmtId="0" fontId="48" fillId="0" borderId="389" xfId="155" applyFont="1" applyFill="1" applyBorder="1" applyAlignment="1">
      <alignment vertical="center"/>
    </xf>
    <xf numFmtId="0" fontId="49" fillId="0" borderId="389" xfId="155" applyFont="1" applyFill="1" applyBorder="1" applyAlignment="1">
      <alignment vertical="center"/>
    </xf>
    <xf numFmtId="0" fontId="49" fillId="0" borderId="389" xfId="155" applyFont="1" applyFill="1" applyBorder="1" applyAlignment="1">
      <alignment vertical="center" wrapText="1"/>
    </xf>
    <xf numFmtId="0" fontId="49" fillId="0" borderId="389" xfId="155" applyFont="1" applyFill="1" applyBorder="1" applyAlignment="1">
      <alignment horizontal="center" vertical="center"/>
    </xf>
    <xf numFmtId="0" fontId="51" fillId="0" borderId="389" xfId="155" applyFont="1" applyFill="1" applyBorder="1" applyAlignment="1">
      <alignment vertical="center"/>
    </xf>
    <xf numFmtId="0" fontId="48" fillId="0" borderId="389" xfId="155" applyFont="1" applyFill="1" applyBorder="1" applyAlignment="1">
      <alignment horizontal="center" vertical="center" wrapText="1"/>
    </xf>
    <xf numFmtId="2" fontId="48" fillId="0" borderId="389" xfId="155" applyNumberFormat="1" applyFont="1" applyFill="1" applyBorder="1" applyAlignment="1">
      <alignment vertical="center"/>
    </xf>
    <xf numFmtId="2" fontId="51" fillId="0" borderId="389" xfId="155" applyNumberFormat="1" applyFont="1" applyFill="1" applyBorder="1" applyAlignment="1">
      <alignment vertical="center"/>
    </xf>
    <xf numFmtId="4" fontId="17" fillId="28" borderId="16" xfId="0" applyNumberFormat="1" applyFont="1" applyFill="1" applyBorder="1" applyAlignment="1">
      <alignment horizontal="center" vertical="center" wrapText="1"/>
    </xf>
    <xf numFmtId="4" fontId="17" fillId="28" borderId="17" xfId="0" applyNumberFormat="1" applyFont="1" applyFill="1" applyBorder="1" applyAlignment="1">
      <alignment horizontal="center" vertical="center" wrapText="1"/>
    </xf>
    <xf numFmtId="4" fontId="17" fillId="28" borderId="18" xfId="0" applyNumberFormat="1" applyFont="1" applyFill="1" applyBorder="1" applyAlignment="1">
      <alignment horizontal="center" vertical="center" wrapText="1"/>
    </xf>
    <xf numFmtId="4" fontId="17" fillId="28" borderId="397" xfId="0" applyNumberFormat="1" applyFont="1" applyFill="1" applyBorder="1" applyAlignment="1">
      <alignment horizontal="center" vertical="center"/>
    </xf>
    <xf numFmtId="4" fontId="17" fillId="28" borderId="389" xfId="0" applyNumberFormat="1" applyFont="1" applyFill="1" applyBorder="1" applyAlignment="1">
      <alignment horizontal="center" vertical="center"/>
    </xf>
    <xf numFmtId="4" fontId="17" fillId="28" borderId="397" xfId="0" applyNumberFormat="1" applyFont="1" applyFill="1" applyBorder="1" applyAlignment="1">
      <alignment horizontal="center" vertical="center" wrapText="1"/>
    </xf>
    <xf numFmtId="4" fontId="17" fillId="28" borderId="389" xfId="0" applyNumberFormat="1" applyFont="1" applyFill="1" applyBorder="1" applyAlignment="1">
      <alignment horizontal="center" vertical="center" wrapText="1"/>
    </xf>
    <xf numFmtId="4" fontId="17" fillId="28" borderId="367" xfId="0" applyNumberFormat="1" applyFont="1" applyFill="1" applyBorder="1" applyAlignment="1">
      <alignment horizontal="center" vertical="center" wrapText="1"/>
    </xf>
    <xf numFmtId="4" fontId="60" fillId="28" borderId="397" xfId="0" applyNumberFormat="1" applyFont="1" applyFill="1" applyBorder="1" applyAlignment="1">
      <alignment horizontal="center" vertical="center"/>
    </xf>
    <xf numFmtId="4" fontId="60" fillId="28" borderId="389" xfId="0" applyNumberFormat="1" applyFont="1" applyFill="1" applyBorder="1" applyAlignment="1">
      <alignment horizontal="center" vertical="center"/>
    </xf>
    <xf numFmtId="4" fontId="60" fillId="28" borderId="397" xfId="0" applyNumberFormat="1" applyFont="1" applyFill="1" applyBorder="1" applyAlignment="1">
      <alignment horizontal="center" vertical="center" wrapText="1"/>
    </xf>
    <xf numFmtId="10" fontId="61" fillId="28" borderId="397" xfId="85" applyNumberFormat="1" applyFont="1" applyFill="1" applyBorder="1" applyAlignment="1">
      <alignment horizontal="center" vertical="center"/>
    </xf>
    <xf numFmtId="10" fontId="61" fillId="28" borderId="389" xfId="85" applyNumberFormat="1" applyFont="1" applyFill="1" applyBorder="1" applyAlignment="1">
      <alignment horizontal="center" vertical="center"/>
    </xf>
    <xf numFmtId="10" fontId="61" fillId="28" borderId="367" xfId="85" applyNumberFormat="1" applyFont="1" applyFill="1" applyBorder="1" applyAlignment="1">
      <alignment horizontal="center" vertical="center"/>
    </xf>
    <xf numFmtId="2" fontId="60" fillId="0" borderId="352" xfId="0" applyNumberFormat="1" applyFont="1" applyFill="1" applyBorder="1" applyAlignment="1">
      <alignment horizontal="center" vertical="center"/>
    </xf>
    <xf numFmtId="2" fontId="17" fillId="0" borderId="359" xfId="0" applyNumberFormat="1" applyFont="1" applyFill="1" applyBorder="1" applyAlignment="1">
      <alignment horizontal="center" vertical="center"/>
    </xf>
    <xf numFmtId="2" fontId="17" fillId="0" borderId="352" xfId="0" applyNumberFormat="1" applyFont="1" applyFill="1" applyBorder="1" applyAlignment="1">
      <alignment horizontal="center" vertical="center"/>
    </xf>
    <xf numFmtId="168" fontId="101" fillId="0" borderId="359" xfId="0" applyNumberFormat="1" applyFont="1" applyFill="1" applyBorder="1" applyAlignment="1">
      <alignment horizontal="center" vertical="center"/>
    </xf>
    <xf numFmtId="168" fontId="101" fillId="0" borderId="345" xfId="0" applyNumberFormat="1" applyFont="1" applyFill="1" applyBorder="1" applyAlignment="1">
      <alignment horizontal="center" vertical="center"/>
    </xf>
    <xf numFmtId="0" fontId="12" fillId="0" borderId="390" xfId="0" applyFont="1" applyFill="1" applyBorder="1" applyAlignment="1">
      <alignment horizontal="center" vertical="center" wrapText="1"/>
    </xf>
    <xf numFmtId="0" fontId="60" fillId="0" borderId="402" xfId="0" applyFont="1" applyFill="1" applyBorder="1" applyAlignment="1">
      <alignment horizontal="center" vertical="center" wrapText="1"/>
    </xf>
    <xf numFmtId="0" fontId="22" fillId="0" borderId="373" xfId="0" applyFont="1" applyFill="1" applyBorder="1" applyAlignment="1">
      <alignment horizontal="center" vertical="center" wrapText="1"/>
    </xf>
    <xf numFmtId="0" fontId="12" fillId="0" borderId="369" xfId="0" applyFont="1" applyFill="1" applyBorder="1" applyAlignment="1">
      <alignment horizontal="center" vertical="center" wrapText="1"/>
    </xf>
    <xf numFmtId="0" fontId="12" fillId="0" borderId="401" xfId="0" applyFont="1" applyFill="1" applyBorder="1" applyAlignment="1">
      <alignment horizontal="center" vertical="center" wrapText="1"/>
    </xf>
    <xf numFmtId="0" fontId="60" fillId="0" borderId="401" xfId="0" applyFont="1" applyFill="1" applyBorder="1" applyAlignment="1">
      <alignment horizontal="center" vertical="center" wrapText="1"/>
    </xf>
    <xf numFmtId="0" fontId="60" fillId="28" borderId="369" xfId="0" applyFont="1" applyFill="1" applyBorder="1" applyAlignment="1">
      <alignment horizontal="center" vertical="center" wrapText="1"/>
    </xf>
    <xf numFmtId="0" fontId="60" fillId="28" borderId="402" xfId="0" applyFont="1" applyFill="1" applyBorder="1" applyAlignment="1">
      <alignment horizontal="center" vertical="center" wrapText="1"/>
    </xf>
    <xf numFmtId="0" fontId="60" fillId="0" borderId="364" xfId="0" applyFont="1" applyBorder="1" applyAlignment="1">
      <alignment vertical="center"/>
    </xf>
    <xf numFmtId="0" fontId="60" fillId="0" borderId="0" xfId="0" applyFont="1" applyBorder="1"/>
    <xf numFmtId="171" fontId="61" fillId="28" borderId="389" xfId="85" applyNumberFormat="1" applyFont="1" applyFill="1" applyBorder="1" applyAlignment="1">
      <alignment horizontal="center" vertical="center"/>
    </xf>
    <xf numFmtId="4" fontId="60" fillId="0" borderId="364" xfId="0" applyNumberFormat="1" applyFont="1" applyBorder="1"/>
    <xf numFmtId="4" fontId="60" fillId="0" borderId="397" xfId="0" applyNumberFormat="1" applyFont="1" applyBorder="1"/>
    <xf numFmtId="4" fontId="60" fillId="0" borderId="389" xfId="0" applyNumberFormat="1" applyFont="1" applyBorder="1"/>
    <xf numFmtId="4" fontId="60" fillId="0" borderId="367" xfId="0" applyNumberFormat="1" applyFont="1" applyBorder="1"/>
    <xf numFmtId="171" fontId="60" fillId="0" borderId="389" xfId="0" applyNumberFormat="1" applyFont="1" applyFill="1" applyBorder="1" applyAlignment="1">
      <alignment horizontal="center" vertical="center"/>
    </xf>
    <xf numFmtId="171" fontId="61" fillId="0" borderId="389" xfId="0" applyNumberFormat="1" applyFont="1" applyFill="1" applyBorder="1" applyAlignment="1">
      <alignment horizontal="center" vertical="center"/>
    </xf>
    <xf numFmtId="0" fontId="0" fillId="0" borderId="364" xfId="0" applyFont="1" applyFill="1" applyBorder="1"/>
    <xf numFmtId="4" fontId="60" fillId="28" borderId="397" xfId="0" applyNumberFormat="1" applyFont="1" applyFill="1" applyBorder="1"/>
    <xf numFmtId="4" fontId="60" fillId="28" borderId="389" xfId="0" applyNumberFormat="1" applyFont="1" applyFill="1" applyBorder="1"/>
    <xf numFmtId="4" fontId="60" fillId="28" borderId="367" xfId="0" applyNumberFormat="1" applyFont="1" applyFill="1" applyBorder="1"/>
    <xf numFmtId="0" fontId="60" fillId="0" borderId="364" xfId="0" applyFont="1" applyBorder="1" applyAlignment="1">
      <alignment vertical="center" wrapText="1"/>
    </xf>
    <xf numFmtId="0" fontId="17" fillId="0" borderId="364" xfId="0" applyFont="1" applyBorder="1" applyAlignment="1">
      <alignment vertical="center"/>
    </xf>
    <xf numFmtId="0" fontId="17" fillId="0" borderId="0" xfId="0" applyFont="1" applyBorder="1"/>
    <xf numFmtId="4" fontId="17" fillId="0" borderId="364" xfId="0" applyNumberFormat="1" applyFont="1" applyBorder="1"/>
    <xf numFmtId="4" fontId="17" fillId="0" borderId="397" xfId="0" applyNumberFormat="1" applyFont="1" applyBorder="1"/>
    <xf numFmtId="4" fontId="17" fillId="0" borderId="389" xfId="0" applyNumberFormat="1" applyFont="1" applyBorder="1"/>
    <xf numFmtId="4" fontId="17" fillId="0" borderId="367" xfId="0" applyNumberFormat="1" applyFont="1" applyBorder="1"/>
    <xf numFmtId="171" fontId="17" fillId="0" borderId="389" xfId="0" applyNumberFormat="1" applyFont="1" applyFill="1" applyBorder="1" applyAlignment="1">
      <alignment horizontal="center" vertical="center"/>
    </xf>
    <xf numFmtId="171" fontId="83" fillId="0" borderId="389" xfId="0" applyNumberFormat="1" applyFont="1" applyFill="1" applyBorder="1" applyAlignment="1">
      <alignment horizontal="center" vertical="center"/>
    </xf>
    <xf numFmtId="4" fontId="17" fillId="28" borderId="397" xfId="0" applyNumberFormat="1" applyFont="1" applyFill="1" applyBorder="1"/>
    <xf numFmtId="4" fontId="17" fillId="28" borderId="389" xfId="0" applyNumberFormat="1" applyFont="1" applyFill="1" applyBorder="1"/>
    <xf numFmtId="4" fontId="17" fillId="28" borderId="367" xfId="0" applyNumberFormat="1" applyFont="1" applyFill="1" applyBorder="1"/>
    <xf numFmtId="0" fontId="17" fillId="0" borderId="364" xfId="0" applyFont="1" applyFill="1" applyBorder="1" applyAlignment="1">
      <alignment vertical="center" wrapText="1"/>
    </xf>
    <xf numFmtId="2" fontId="17" fillId="0" borderId="364" xfId="0" applyNumberFormat="1" applyFont="1" applyBorder="1"/>
    <xf numFmtId="2" fontId="17" fillId="0" borderId="397" xfId="0" applyNumberFormat="1" applyFont="1" applyBorder="1"/>
    <xf numFmtId="2" fontId="17" fillId="0" borderId="389" xfId="0" applyNumberFormat="1" applyFont="1" applyBorder="1"/>
    <xf numFmtId="2" fontId="17" fillId="0" borderId="367" xfId="0" applyNumberFormat="1" applyFont="1" applyBorder="1"/>
    <xf numFmtId="2" fontId="17" fillId="28" borderId="397" xfId="0" applyNumberFormat="1" applyFont="1" applyFill="1" applyBorder="1"/>
    <xf numFmtId="2" fontId="17" fillId="28" borderId="389" xfId="0" applyNumberFormat="1" applyFont="1" applyFill="1" applyBorder="1"/>
    <xf numFmtId="2" fontId="17" fillId="28" borderId="367" xfId="0" applyNumberFormat="1" applyFont="1" applyFill="1" applyBorder="1"/>
    <xf numFmtId="0" fontId="17" fillId="0" borderId="364" xfId="0" applyFont="1" applyFill="1" applyBorder="1" applyAlignment="1">
      <alignment vertical="center"/>
    </xf>
    <xf numFmtId="2" fontId="17" fillId="0" borderId="400" xfId="0" applyNumberFormat="1" applyFont="1" applyBorder="1"/>
    <xf numFmtId="2" fontId="17" fillId="0" borderId="369" xfId="0" applyNumberFormat="1" applyFont="1" applyBorder="1"/>
    <xf numFmtId="2" fontId="17" fillId="0" borderId="402" xfId="0" applyNumberFormat="1" applyFont="1" applyBorder="1"/>
    <xf numFmtId="171" fontId="17" fillId="0" borderId="369" xfId="0" applyNumberFormat="1" applyFont="1" applyFill="1" applyBorder="1" applyAlignment="1">
      <alignment horizontal="center" vertical="center"/>
    </xf>
    <xf numFmtId="171" fontId="83" fillId="0" borderId="369" xfId="0" applyNumberFormat="1" applyFont="1" applyFill="1" applyBorder="1" applyAlignment="1">
      <alignment horizontal="center" vertical="center"/>
    </xf>
    <xf numFmtId="2" fontId="17" fillId="28" borderId="400" xfId="0" applyNumberFormat="1" applyFont="1" applyFill="1" applyBorder="1"/>
    <xf numFmtId="2" fontId="17" fillId="28" borderId="369" xfId="0" applyNumberFormat="1" applyFont="1" applyFill="1" applyBorder="1"/>
    <xf numFmtId="2" fontId="17" fillId="28" borderId="402" xfId="0" applyNumberFormat="1" applyFont="1" applyFill="1" applyBorder="1"/>
    <xf numFmtId="2" fontId="51" fillId="34" borderId="238" xfId="96" applyNumberFormat="1" applyFont="1" applyFill="1" applyBorder="1"/>
    <xf numFmtId="0" fontId="51" fillId="34" borderId="238" xfId="96" applyFont="1" applyFill="1" applyBorder="1"/>
    <xf numFmtId="0" fontId="60" fillId="0" borderId="369" xfId="0" applyFont="1" applyFill="1" applyBorder="1" applyAlignment="1">
      <alignment horizontal="center" vertical="center" wrapText="1"/>
    </xf>
    <xf numFmtId="168" fontId="105" fillId="34" borderId="238" xfId="96" applyNumberFormat="1" applyFont="1" applyFill="1" applyBorder="1" applyAlignment="1">
      <alignment vertical="center"/>
    </xf>
    <xf numFmtId="168" fontId="48" fillId="38" borderId="238" xfId="96" applyNumberFormat="1" applyFont="1" applyFill="1" applyBorder="1" applyAlignment="1">
      <alignment vertical="center"/>
    </xf>
    <xf numFmtId="171" fontId="61" fillId="0" borderId="389" xfId="85" applyNumberFormat="1" applyFont="1" applyFill="1" applyBorder="1" applyAlignment="1">
      <alignment horizontal="center" vertical="center"/>
    </xf>
    <xf numFmtId="4" fontId="60" fillId="0" borderId="397" xfId="0" applyNumberFormat="1" applyFont="1" applyFill="1" applyBorder="1"/>
    <xf numFmtId="4" fontId="60" fillId="0" borderId="389" xfId="0" applyNumberFormat="1" applyFont="1" applyFill="1" applyBorder="1"/>
    <xf numFmtId="4" fontId="60" fillId="0" borderId="367" xfId="0" applyNumberFormat="1" applyFont="1" applyFill="1" applyBorder="1"/>
    <xf numFmtId="4" fontId="17" fillId="0" borderId="397" xfId="0" applyNumberFormat="1" applyFont="1" applyFill="1" applyBorder="1"/>
    <xf numFmtId="4" fontId="17" fillId="0" borderId="389" xfId="0" applyNumberFormat="1" applyFont="1" applyFill="1" applyBorder="1"/>
    <xf numFmtId="4" fontId="17" fillId="0" borderId="367" xfId="0" applyNumberFormat="1" applyFont="1" applyFill="1" applyBorder="1"/>
    <xf numFmtId="2" fontId="17" fillId="0" borderId="397" xfId="0" applyNumberFormat="1" applyFont="1" applyFill="1" applyBorder="1"/>
    <xf numFmtId="2" fontId="17" fillId="0" borderId="389" xfId="0" applyNumberFormat="1" applyFont="1" applyFill="1" applyBorder="1"/>
    <xf numFmtId="2" fontId="17" fillId="0" borderId="367" xfId="0" applyNumberFormat="1" applyFont="1" applyFill="1" applyBorder="1"/>
    <xf numFmtId="2" fontId="17" fillId="0" borderId="400" xfId="0" applyNumberFormat="1" applyFont="1" applyFill="1" applyBorder="1"/>
    <xf numFmtId="171" fontId="61" fillId="0" borderId="369" xfId="0" applyNumberFormat="1" applyFont="1" applyFill="1" applyBorder="1" applyAlignment="1">
      <alignment horizontal="center" vertical="center"/>
    </xf>
    <xf numFmtId="2" fontId="17" fillId="0" borderId="369" xfId="0" applyNumberFormat="1" applyFont="1" applyFill="1" applyBorder="1"/>
    <xf numFmtId="2" fontId="17" fillId="0" borderId="402" xfId="0" applyNumberFormat="1" applyFont="1" applyFill="1" applyBorder="1"/>
    <xf numFmtId="171" fontId="61" fillId="0" borderId="369" xfId="85" applyNumberFormat="1" applyFont="1" applyFill="1" applyBorder="1" applyAlignment="1">
      <alignment horizontal="center" vertical="center"/>
    </xf>
    <xf numFmtId="178" fontId="60" fillId="0" borderId="360" xfId="0" applyNumberFormat="1" applyFont="1" applyFill="1" applyBorder="1" applyAlignment="1">
      <alignment horizontal="right" vertical="center"/>
    </xf>
    <xf numFmtId="178" fontId="61" fillId="0" borderId="367" xfId="85" applyNumberFormat="1" applyFont="1" applyFill="1" applyBorder="1" applyAlignment="1">
      <alignment horizontal="right" vertical="center"/>
    </xf>
    <xf numFmtId="0" fontId="0" fillId="0" borderId="0" xfId="0" applyAlignment="1"/>
    <xf numFmtId="0" fontId="60" fillId="29" borderId="11" xfId="0" applyFont="1" applyFill="1" applyBorder="1" applyAlignment="1">
      <alignment horizontal="center" vertical="center"/>
    </xf>
    <xf numFmtId="0" fontId="84" fillId="26" borderId="384" xfId="96" applyFont="1" applyFill="1" applyBorder="1" applyAlignment="1">
      <alignment horizontal="center" vertical="center" wrapText="1"/>
    </xf>
    <xf numFmtId="0" fontId="17" fillId="0" borderId="77" xfId="0" applyFont="1" applyFill="1" applyBorder="1" applyAlignment="1">
      <alignment horizontal="right" vertical="center"/>
    </xf>
    <xf numFmtId="4" fontId="17" fillId="0" borderId="17" xfId="0" applyNumberFormat="1" applyFont="1" applyFill="1" applyBorder="1" applyAlignment="1">
      <alignment horizontal="center" vertical="center" wrapText="1"/>
    </xf>
    <xf numFmtId="4" fontId="17" fillId="0" borderId="18" xfId="0" applyNumberFormat="1" applyFont="1" applyFill="1" applyBorder="1" applyAlignment="1">
      <alignment horizontal="center" vertical="center" wrapText="1"/>
    </xf>
    <xf numFmtId="4" fontId="60" fillId="0" borderId="397" xfId="0" applyNumberFormat="1" applyFont="1" applyFill="1" applyBorder="1" applyAlignment="1">
      <alignment horizontal="center" vertical="center"/>
    </xf>
    <xf numFmtId="4" fontId="60" fillId="0" borderId="389" xfId="0" applyNumberFormat="1" applyFont="1" applyFill="1" applyBorder="1" applyAlignment="1">
      <alignment horizontal="center" vertical="center"/>
    </xf>
    <xf numFmtId="10" fontId="61" fillId="0" borderId="389" xfId="85" applyNumberFormat="1" applyFont="1" applyFill="1" applyBorder="1" applyAlignment="1">
      <alignment horizontal="center" vertical="center"/>
    </xf>
    <xf numFmtId="4" fontId="17" fillId="0" borderId="389" xfId="0" applyNumberFormat="1" applyFont="1" applyFill="1" applyBorder="1" applyAlignment="1">
      <alignment horizontal="center" vertical="center"/>
    </xf>
    <xf numFmtId="4" fontId="17" fillId="0" borderId="367" xfId="0" applyNumberFormat="1" applyFont="1" applyFill="1" applyBorder="1" applyAlignment="1">
      <alignment horizontal="center" vertical="center"/>
    </xf>
    <xf numFmtId="4" fontId="17" fillId="0" borderId="389" xfId="0" applyNumberFormat="1" applyFont="1" applyFill="1" applyBorder="1" applyAlignment="1">
      <alignment horizontal="center" vertical="center" wrapText="1"/>
    </xf>
    <xf numFmtId="4" fontId="17" fillId="0" borderId="367" xfId="0" applyNumberFormat="1" applyFont="1" applyFill="1" applyBorder="1" applyAlignment="1">
      <alignment horizontal="center" vertical="center" wrapText="1"/>
    </xf>
    <xf numFmtId="4" fontId="17" fillId="0" borderId="369" xfId="0" applyNumberFormat="1" applyFont="1" applyFill="1" applyBorder="1" applyAlignment="1">
      <alignment horizontal="center" vertical="center"/>
    </xf>
    <xf numFmtId="4" fontId="17" fillId="0" borderId="402" xfId="0" applyNumberFormat="1" applyFont="1" applyFill="1" applyBorder="1" applyAlignment="1">
      <alignment horizontal="center" vertical="center"/>
    </xf>
    <xf numFmtId="0" fontId="60" fillId="0" borderId="384" xfId="0" applyFont="1" applyFill="1" applyBorder="1" applyAlignment="1">
      <alignment horizontal="center" vertical="center"/>
    </xf>
    <xf numFmtId="168" fontId="60" fillId="0" borderId="389" xfId="0" applyNumberFormat="1" applyFont="1" applyBorder="1"/>
    <xf numFmtId="2" fontId="60" fillId="0" borderId="389" xfId="0" applyNumberFormat="1" applyFont="1" applyFill="1" applyBorder="1"/>
    <xf numFmtId="168" fontId="60" fillId="29" borderId="389" xfId="0" applyNumberFormat="1" applyFont="1" applyFill="1" applyBorder="1"/>
    <xf numFmtId="2" fontId="60" fillId="29" borderId="389" xfId="0" applyNumberFormat="1" applyFont="1" applyFill="1" applyBorder="1"/>
    <xf numFmtId="2" fontId="60" fillId="0" borderId="389" xfId="0" applyNumberFormat="1" applyFont="1" applyBorder="1"/>
    <xf numFmtId="2" fontId="60" fillId="29" borderId="384" xfId="0" applyNumberFormat="1" applyFont="1" applyFill="1" applyBorder="1"/>
    <xf numFmtId="168" fontId="60" fillId="28" borderId="389" xfId="0" applyNumberFormat="1" applyFont="1" applyFill="1" applyBorder="1"/>
    <xf numFmtId="2" fontId="60" fillId="28" borderId="384" xfId="0" applyNumberFormat="1" applyFont="1" applyFill="1" applyBorder="1"/>
    <xf numFmtId="2" fontId="60" fillId="28" borderId="369" xfId="0" applyNumberFormat="1" applyFont="1" applyFill="1" applyBorder="1"/>
    <xf numFmtId="3" fontId="84" fillId="0" borderId="17" xfId="0" applyNumberFormat="1" applyFont="1" applyFill="1" applyBorder="1" applyAlignment="1">
      <alignment horizontal="center" vertical="center"/>
    </xf>
    <xf numFmtId="4" fontId="84" fillId="0" borderId="17" xfId="0" applyNumberFormat="1" applyFont="1" applyFill="1" applyBorder="1" applyAlignment="1">
      <alignment horizontal="center" vertical="center"/>
    </xf>
    <xf numFmtId="4" fontId="60" fillId="0" borderId="369" xfId="0" applyNumberFormat="1" applyFont="1" applyFill="1" applyBorder="1" applyAlignment="1">
      <alignment horizontal="right" vertical="center"/>
    </xf>
    <xf numFmtId="0" fontId="60" fillId="29" borderId="384" xfId="0" applyFont="1" applyFill="1" applyBorder="1" applyAlignment="1">
      <alignment horizontal="center" vertical="center"/>
    </xf>
    <xf numFmtId="2" fontId="17" fillId="29" borderId="389" xfId="0" applyNumberFormat="1" applyFont="1" applyFill="1" applyBorder="1"/>
    <xf numFmtId="2" fontId="61" fillId="29" borderId="389" xfId="0" applyNumberFormat="1" applyFont="1" applyFill="1" applyBorder="1"/>
    <xf numFmtId="0" fontId="60" fillId="29" borderId="66" xfId="0" applyFont="1" applyFill="1" applyBorder="1" applyAlignment="1">
      <alignment horizontal="center" vertical="center"/>
    </xf>
    <xf numFmtId="2" fontId="17" fillId="29" borderId="0" xfId="0" applyNumberFormat="1" applyFont="1" applyFill="1" applyBorder="1"/>
    <xf numFmtId="2" fontId="60" fillId="29" borderId="0" xfId="0" applyNumberFormat="1" applyFont="1" applyFill="1" applyBorder="1"/>
    <xf numFmtId="2" fontId="61" fillId="29" borderId="0" xfId="0" applyNumberFormat="1" applyFont="1" applyFill="1" applyBorder="1"/>
    <xf numFmtId="171" fontId="13" fillId="0" borderId="390" xfId="85" applyNumberFormat="1" applyFont="1" applyFill="1" applyBorder="1" applyAlignment="1">
      <alignment vertical="center"/>
    </xf>
    <xf numFmtId="171" fontId="125" fillId="0" borderId="390" xfId="85" applyNumberFormat="1" applyFont="1" applyFill="1" applyBorder="1" applyAlignment="1">
      <alignment vertical="center"/>
    </xf>
    <xf numFmtId="0" fontId="60" fillId="0" borderId="21" xfId="0" applyFont="1" applyFill="1" applyBorder="1" applyAlignment="1">
      <alignment horizontal="center" vertical="center"/>
    </xf>
    <xf numFmtId="0" fontId="60" fillId="0" borderId="102" xfId="0" applyFont="1" applyBorder="1" applyAlignment="1">
      <alignment horizontal="center" vertical="center"/>
    </xf>
    <xf numFmtId="0" fontId="60" fillId="0" borderId="96" xfId="0" applyFont="1" applyBorder="1" applyAlignment="1">
      <alignment horizontal="center" vertical="center"/>
    </xf>
    <xf numFmtId="168" fontId="60" fillId="0" borderId="20" xfId="0" applyNumberFormat="1" applyFont="1" applyBorder="1" applyAlignment="1">
      <alignment horizontal="center" vertical="center"/>
    </xf>
    <xf numFmtId="168" fontId="60" fillId="0" borderId="234" xfId="0" applyNumberFormat="1" applyFont="1" applyFill="1" applyBorder="1" applyAlignment="1">
      <alignment horizontal="center" vertical="center"/>
    </xf>
    <xf numFmtId="168" fontId="60" fillId="0" borderId="352" xfId="0" applyNumberFormat="1" applyFont="1" applyFill="1" applyBorder="1" applyAlignment="1">
      <alignment horizontal="center" vertical="center"/>
    </xf>
    <xf numFmtId="9" fontId="60" fillId="0" borderId="359" xfId="0" applyNumberFormat="1" applyFont="1" applyFill="1" applyBorder="1" applyAlignment="1">
      <alignment horizontal="center" vertical="center"/>
    </xf>
    <xf numFmtId="168" fontId="60" fillId="0" borderId="23" xfId="0" applyNumberFormat="1" applyFont="1" applyBorder="1" applyAlignment="1">
      <alignment horizontal="center" vertical="center"/>
    </xf>
    <xf numFmtId="0" fontId="60" fillId="0" borderId="253" xfId="0" applyFont="1" applyFill="1" applyBorder="1" applyAlignment="1">
      <alignment horizontal="center" vertical="center"/>
    </xf>
    <xf numFmtId="168" fontId="60" fillId="0" borderId="229" xfId="0" applyNumberFormat="1" applyFont="1" applyFill="1" applyBorder="1" applyAlignment="1">
      <alignment horizontal="center" vertical="center"/>
    </xf>
    <xf numFmtId="0" fontId="60" fillId="0" borderId="269" xfId="0" applyFont="1" applyBorder="1" applyAlignment="1">
      <alignment horizontal="center" vertical="center"/>
    </xf>
    <xf numFmtId="0" fontId="60" fillId="0" borderId="265" xfId="0" applyFont="1" applyBorder="1" applyAlignment="1">
      <alignment horizontal="center" vertical="center"/>
    </xf>
    <xf numFmtId="168" fontId="60" fillId="0" borderId="293" xfId="0" applyNumberFormat="1" applyFont="1" applyFill="1" applyBorder="1" applyAlignment="1">
      <alignment horizontal="center" vertical="center"/>
    </xf>
    <xf numFmtId="168" fontId="60" fillId="0" borderId="345" xfId="0" applyNumberFormat="1" applyFont="1" applyFill="1" applyBorder="1" applyAlignment="1">
      <alignment vertical="center"/>
    </xf>
    <xf numFmtId="168" fontId="60" fillId="0" borderId="352" xfId="0" applyNumberFormat="1" applyFont="1" applyFill="1" applyBorder="1" applyAlignment="1">
      <alignment vertical="center"/>
    </xf>
    <xf numFmtId="168" fontId="60" fillId="0" borderId="293" xfId="0" applyNumberFormat="1" applyFont="1" applyFill="1" applyBorder="1" applyAlignment="1">
      <alignment vertical="center"/>
    </xf>
    <xf numFmtId="168" fontId="60" fillId="0" borderId="278" xfId="0" applyNumberFormat="1" applyFont="1" applyFill="1" applyBorder="1" applyAlignment="1">
      <alignment vertical="center"/>
    </xf>
    <xf numFmtId="168" fontId="60" fillId="0" borderId="272" xfId="0" applyNumberFormat="1" applyFont="1" applyFill="1" applyBorder="1" applyAlignment="1">
      <alignment vertical="center"/>
    </xf>
    <xf numFmtId="168" fontId="60" fillId="0" borderId="270" xfId="0" applyNumberFormat="1" applyFont="1" applyFill="1" applyBorder="1" applyAlignment="1">
      <alignment vertical="center"/>
    </xf>
    <xf numFmtId="0" fontId="101" fillId="0" borderId="16" xfId="0" applyFont="1" applyFill="1" applyBorder="1" applyAlignment="1">
      <alignment vertical="center"/>
    </xf>
    <xf numFmtId="0" fontId="101" fillId="0" borderId="366" xfId="0" applyFont="1" applyFill="1" applyBorder="1" applyAlignment="1">
      <alignment vertical="center"/>
    </xf>
    <xf numFmtId="0" fontId="101" fillId="0" borderId="342" xfId="0" applyFont="1" applyFill="1" applyBorder="1" applyAlignment="1">
      <alignment vertical="center"/>
    </xf>
    <xf numFmtId="4" fontId="60" fillId="0" borderId="397" xfId="0" applyNumberFormat="1" applyFont="1" applyFill="1" applyBorder="1" applyAlignment="1">
      <alignment horizontal="center" vertical="center" wrapText="1"/>
    </xf>
    <xf numFmtId="10" fontId="61" fillId="0" borderId="397" xfId="85" applyNumberFormat="1" applyFont="1" applyFill="1" applyBorder="1" applyAlignment="1">
      <alignment horizontal="center" vertical="center"/>
    </xf>
    <xf numFmtId="4" fontId="17" fillId="0" borderId="397" xfId="0" applyNumberFormat="1" applyFont="1" applyFill="1" applyBorder="1" applyAlignment="1">
      <alignment horizontal="center" vertical="center"/>
    </xf>
    <xf numFmtId="4" fontId="17" fillId="0" borderId="400" xfId="0" applyNumberFormat="1" applyFont="1" applyFill="1" applyBorder="1" applyAlignment="1">
      <alignment horizontal="center" vertical="center"/>
    </xf>
    <xf numFmtId="4" fontId="17" fillId="0" borderId="16" xfId="0" applyNumberFormat="1" applyFont="1" applyFill="1" applyBorder="1" applyAlignment="1">
      <alignment horizontal="center" vertical="center" wrapText="1"/>
    </xf>
    <xf numFmtId="4" fontId="17" fillId="0" borderId="397" xfId="0" applyNumberFormat="1" applyFont="1" applyFill="1" applyBorder="1" applyAlignment="1">
      <alignment horizontal="center" vertical="center" wrapText="1"/>
    </xf>
    <xf numFmtId="0" fontId="60" fillId="0" borderId="367" xfId="0" applyFont="1" applyFill="1" applyBorder="1" applyAlignment="1">
      <alignment horizontal="center" vertical="center" wrapText="1"/>
    </xf>
    <xf numFmtId="0" fontId="60" fillId="28" borderId="400" xfId="0" applyFont="1" applyFill="1" applyBorder="1" applyAlignment="1">
      <alignment horizontal="center" vertical="center"/>
    </xf>
    <xf numFmtId="0" fontId="60" fillId="28" borderId="397" xfId="0" applyFont="1" applyFill="1" applyBorder="1" applyAlignment="1">
      <alignment horizontal="center" vertical="center"/>
    </xf>
    <xf numFmtId="0" fontId="60" fillId="28" borderId="389" xfId="0" applyFont="1" applyFill="1" applyBorder="1" applyAlignment="1">
      <alignment horizontal="center" vertical="center"/>
    </xf>
    <xf numFmtId="0" fontId="60" fillId="28" borderId="367" xfId="0" applyFont="1" applyFill="1" applyBorder="1" applyAlignment="1">
      <alignment horizontal="center" vertical="center"/>
    </xf>
    <xf numFmtId="0" fontId="60" fillId="0" borderId="392" xfId="0" applyFont="1" applyFill="1" applyBorder="1" applyAlignment="1">
      <alignment horizontal="center" vertical="center" wrapText="1"/>
    </xf>
    <xf numFmtId="2" fontId="60" fillId="0" borderId="359" xfId="0" applyNumberFormat="1" applyFont="1" applyFill="1" applyBorder="1" applyAlignment="1">
      <alignment horizontal="center" vertical="center" wrapText="1"/>
    </xf>
    <xf numFmtId="0" fontId="16" fillId="0" borderId="76" xfId="0" applyFont="1" applyFill="1" applyBorder="1" applyAlignment="1">
      <alignment horizontal="center" vertical="center"/>
    </xf>
    <xf numFmtId="0" fontId="16" fillId="28" borderId="76" xfId="0" applyFont="1" applyFill="1" applyBorder="1" applyAlignment="1">
      <alignment horizontal="center" vertical="center"/>
    </xf>
    <xf numFmtId="0" fontId="60" fillId="0" borderId="368" xfId="0" applyFont="1" applyFill="1" applyBorder="1" applyAlignment="1">
      <alignment horizontal="center" vertical="center" wrapText="1"/>
    </xf>
    <xf numFmtId="0" fontId="152" fillId="34" borderId="238" xfId="96" applyFont="1" applyFill="1" applyBorder="1" applyAlignment="1">
      <alignment horizontal="center" vertical="center"/>
    </xf>
    <xf numFmtId="0" fontId="60" fillId="0" borderId="369" xfId="0" applyFont="1" applyFill="1" applyBorder="1" applyAlignment="1">
      <alignment horizontal="center" vertical="center" wrapText="1"/>
    </xf>
    <xf numFmtId="0" fontId="60" fillId="0" borderId="96" xfId="0" applyFont="1" applyFill="1" applyBorder="1" applyAlignment="1">
      <alignment horizontal="center" vertical="center" wrapText="1"/>
    </xf>
    <xf numFmtId="4" fontId="17" fillId="28" borderId="17" xfId="0" applyNumberFormat="1" applyFont="1" applyFill="1" applyBorder="1" applyAlignment="1">
      <alignment horizontal="right" vertical="center"/>
    </xf>
    <xf numFmtId="4" fontId="60" fillId="28" borderId="389" xfId="0" applyNumberFormat="1" applyFont="1" applyFill="1" applyBorder="1" applyAlignment="1">
      <alignment horizontal="right" vertical="center"/>
    </xf>
    <xf numFmtId="2" fontId="17" fillId="28" borderId="389" xfId="0" applyNumberFormat="1" applyFont="1" applyFill="1" applyBorder="1" applyAlignment="1">
      <alignment horizontal="right" vertical="center"/>
    </xf>
    <xf numFmtId="0" fontId="60" fillId="28" borderId="389" xfId="0" applyFont="1" applyFill="1" applyBorder="1" applyAlignment="1">
      <alignment horizontal="right" vertical="center"/>
    </xf>
    <xf numFmtId="2" fontId="60" fillId="28" borderId="389" xfId="0" applyNumberFormat="1" applyFont="1" applyFill="1" applyBorder="1" applyAlignment="1">
      <alignment horizontal="right" vertical="center"/>
    </xf>
    <xf numFmtId="0" fontId="61" fillId="28" borderId="389" xfId="0" applyFont="1" applyFill="1" applyBorder="1" applyAlignment="1">
      <alignment horizontal="right" vertical="center"/>
    </xf>
    <xf numFmtId="0" fontId="61" fillId="28" borderId="369" xfId="0" applyFont="1" applyFill="1" applyBorder="1" applyAlignment="1">
      <alignment horizontal="right" vertical="center"/>
    </xf>
    <xf numFmtId="0" fontId="82" fillId="0" borderId="282" xfId="0" applyFont="1" applyFill="1" applyBorder="1"/>
    <xf numFmtId="0" fontId="82" fillId="0" borderId="360" xfId="0" applyFont="1" applyFill="1" applyBorder="1"/>
    <xf numFmtId="0" fontId="82" fillId="0" borderId="284" xfId="0" applyFont="1" applyFill="1" applyBorder="1"/>
    <xf numFmtId="0" fontId="60" fillId="0" borderId="360" xfId="0" applyFont="1" applyFill="1" applyBorder="1" applyAlignment="1">
      <alignment horizontal="center" vertical="center" wrapText="1"/>
    </xf>
    <xf numFmtId="0" fontId="60" fillId="0" borderId="284" xfId="0" applyFont="1" applyFill="1" applyBorder="1" applyAlignment="1">
      <alignment horizontal="center" vertical="center" wrapText="1"/>
    </xf>
    <xf numFmtId="0" fontId="60" fillId="0" borderId="345" xfId="0" applyFont="1" applyFill="1" applyBorder="1" applyAlignment="1">
      <alignment horizontal="center" vertical="center" wrapText="1"/>
    </xf>
    <xf numFmtId="0" fontId="60" fillId="0" borderId="293" xfId="0" applyFont="1" applyFill="1" applyBorder="1" applyAlignment="1">
      <alignment horizontal="center" vertical="center" wrapText="1"/>
    </xf>
    <xf numFmtId="0" fontId="82" fillId="0" borderId="31" xfId="0" applyFont="1" applyFill="1" applyBorder="1" applyAlignment="1">
      <alignment vertical="center"/>
    </xf>
    <xf numFmtId="0" fontId="82" fillId="0" borderId="11" xfId="0" applyFont="1" applyFill="1" applyBorder="1" applyAlignment="1">
      <alignment vertical="center"/>
    </xf>
    <xf numFmtId="0" fontId="82" fillId="0" borderId="35" xfId="0" applyFont="1" applyFill="1" applyBorder="1" applyAlignment="1">
      <alignment vertical="center"/>
    </xf>
    <xf numFmtId="0" fontId="60" fillId="0" borderId="331" xfId="0" applyFont="1" applyFill="1" applyBorder="1" applyAlignment="1">
      <alignment vertical="center" wrapText="1"/>
    </xf>
    <xf numFmtId="0" fontId="82" fillId="0" borderId="348" xfId="0" applyFont="1" applyFill="1" applyBorder="1" applyAlignment="1">
      <alignment vertical="center"/>
    </xf>
    <xf numFmtId="0" fontId="82" fillId="0" borderId="359" xfId="0" applyFont="1" applyFill="1" applyBorder="1" applyAlignment="1">
      <alignment vertical="center"/>
    </xf>
    <xf numFmtId="0" fontId="82" fillId="0" borderId="336" xfId="0" applyFont="1" applyFill="1" applyBorder="1" applyAlignment="1">
      <alignment vertical="center"/>
    </xf>
    <xf numFmtId="0" fontId="17" fillId="0" borderId="331" xfId="0" applyFont="1" applyFill="1" applyBorder="1" applyAlignment="1">
      <alignment vertical="center" wrapText="1"/>
    </xf>
    <xf numFmtId="0" fontId="17" fillId="0" borderId="348" xfId="0" applyFont="1" applyFill="1" applyBorder="1" applyAlignment="1">
      <alignment vertical="center"/>
    </xf>
    <xf numFmtId="0" fontId="17" fillId="0" borderId="336" xfId="0" applyFont="1" applyFill="1" applyBorder="1" applyAlignment="1">
      <alignment vertical="center"/>
    </xf>
    <xf numFmtId="2" fontId="17" fillId="0" borderId="352" xfId="0" applyNumberFormat="1" applyFont="1" applyFill="1" applyBorder="1" applyAlignment="1">
      <alignment horizontal="right" vertical="center"/>
    </xf>
    <xf numFmtId="0" fontId="61" fillId="0" borderId="331" xfId="0" applyFont="1" applyFill="1" applyBorder="1" applyAlignment="1">
      <alignment vertical="center" wrapText="1"/>
    </xf>
    <xf numFmtId="0" fontId="61" fillId="0" borderId="348" xfId="0" applyFont="1" applyFill="1" applyBorder="1" applyAlignment="1">
      <alignment vertical="center"/>
    </xf>
    <xf numFmtId="0" fontId="61" fillId="0" borderId="359" xfId="0" applyFont="1" applyFill="1" applyBorder="1" applyAlignment="1">
      <alignment vertical="center"/>
    </xf>
    <xf numFmtId="0" fontId="61" fillId="0" borderId="336" xfId="0" applyFont="1" applyFill="1" applyBorder="1" applyAlignment="1">
      <alignment vertical="center"/>
    </xf>
    <xf numFmtId="4" fontId="60" fillId="0" borderId="357" xfId="0" applyNumberFormat="1" applyFont="1" applyFill="1" applyBorder="1" applyAlignment="1">
      <alignment horizontal="right" vertical="center"/>
    </xf>
    <xf numFmtId="4" fontId="61" fillId="0" borderId="359" xfId="0" applyNumberFormat="1" applyFont="1" applyFill="1" applyBorder="1" applyAlignment="1">
      <alignment horizontal="right" vertical="center"/>
    </xf>
    <xf numFmtId="4" fontId="61" fillId="0" borderId="358" xfId="0" applyNumberFormat="1" applyFont="1" applyFill="1" applyBorder="1" applyAlignment="1">
      <alignment horizontal="right" vertical="center"/>
    </xf>
    <xf numFmtId="168" fontId="17" fillId="0" borderId="352" xfId="0" applyNumberFormat="1" applyFont="1" applyFill="1" applyBorder="1" applyAlignment="1">
      <alignment horizontal="right" vertical="center"/>
    </xf>
    <xf numFmtId="0" fontId="60" fillId="0" borderId="348" xfId="0" applyFont="1" applyFill="1" applyBorder="1" applyAlignment="1">
      <alignment vertical="center"/>
    </xf>
    <xf numFmtId="0" fontId="60" fillId="0" borderId="336" xfId="0" applyFont="1" applyFill="1" applyBorder="1" applyAlignment="1">
      <alignment vertical="center"/>
    </xf>
    <xf numFmtId="2" fontId="60" fillId="0" borderId="352" xfId="0" applyNumberFormat="1" applyFont="1" applyFill="1" applyBorder="1" applyAlignment="1">
      <alignment horizontal="right" vertical="center"/>
    </xf>
    <xf numFmtId="1" fontId="60" fillId="0" borderId="358" xfId="0" applyNumberFormat="1" applyFont="1" applyFill="1" applyBorder="1" applyAlignment="1">
      <alignment horizontal="right" vertical="center"/>
    </xf>
    <xf numFmtId="0" fontId="60" fillId="0" borderId="266" xfId="0" applyFont="1" applyFill="1" applyBorder="1" applyAlignment="1">
      <alignment vertical="center" wrapText="1"/>
    </xf>
    <xf numFmtId="0" fontId="60" fillId="0" borderId="282" xfId="0" applyFont="1" applyFill="1" applyBorder="1" applyAlignment="1">
      <alignment vertical="center"/>
    </xf>
    <xf numFmtId="0" fontId="60" fillId="0" borderId="360" xfId="0" applyFont="1" applyFill="1" applyBorder="1" applyAlignment="1">
      <alignment vertical="center"/>
    </xf>
    <xf numFmtId="0" fontId="60" fillId="0" borderId="284" xfId="0" applyFont="1" applyFill="1" applyBorder="1" applyAlignment="1">
      <alignment vertical="center"/>
    </xf>
    <xf numFmtId="4" fontId="60" fillId="0" borderId="353" xfId="0" applyNumberFormat="1" applyFont="1" applyFill="1" applyBorder="1" applyAlignment="1">
      <alignment horizontal="right" vertical="center"/>
    </xf>
    <xf numFmtId="4" fontId="60" fillId="0" borderId="360" xfId="0" applyNumberFormat="1" applyFont="1" applyFill="1" applyBorder="1" applyAlignment="1">
      <alignment horizontal="right" vertical="center"/>
    </xf>
    <xf numFmtId="4" fontId="60" fillId="0" borderId="354" xfId="0" applyNumberFormat="1" applyFont="1" applyFill="1" applyBorder="1" applyAlignment="1">
      <alignment horizontal="right" vertical="center"/>
    </xf>
    <xf numFmtId="178" fontId="60" fillId="0" borderId="397" xfId="0" applyNumberFormat="1" applyFont="1" applyFill="1" applyBorder="1" applyAlignment="1">
      <alignment horizontal="right" vertical="center"/>
    </xf>
    <xf numFmtId="178" fontId="60" fillId="0" borderId="389" xfId="0" applyNumberFormat="1" applyFont="1" applyFill="1" applyBorder="1" applyAlignment="1">
      <alignment horizontal="right" vertical="center"/>
    </xf>
    <xf numFmtId="178" fontId="60" fillId="0" borderId="398" xfId="0" applyNumberFormat="1" applyFont="1" applyFill="1" applyBorder="1" applyAlignment="1">
      <alignment horizontal="right" vertical="center"/>
    </xf>
    <xf numFmtId="4" fontId="60" fillId="0" borderId="395" xfId="0" applyNumberFormat="1" applyFont="1" applyFill="1" applyBorder="1" applyAlignment="1">
      <alignment horizontal="right" vertical="center"/>
    </xf>
    <xf numFmtId="178" fontId="61" fillId="0" borderId="397" xfId="0" applyNumberFormat="1" applyFont="1" applyFill="1" applyBorder="1" applyAlignment="1">
      <alignment horizontal="right" vertical="center"/>
    </xf>
    <xf numFmtId="178" fontId="61" fillId="0" borderId="399" xfId="0" applyNumberFormat="1" applyFont="1" applyFill="1" applyBorder="1" applyAlignment="1">
      <alignment horizontal="right" vertical="center"/>
    </xf>
    <xf numFmtId="178" fontId="61" fillId="0" borderId="398" xfId="0" applyNumberFormat="1" applyFont="1" applyFill="1" applyBorder="1" applyAlignment="1">
      <alignment horizontal="right" vertical="center"/>
    </xf>
    <xf numFmtId="4" fontId="61" fillId="0" borderId="395" xfId="0" applyNumberFormat="1" applyFont="1" applyFill="1" applyBorder="1" applyAlignment="1">
      <alignment horizontal="right" vertical="center"/>
    </xf>
    <xf numFmtId="178" fontId="61" fillId="0" borderId="359" xfId="0" applyNumberFormat="1" applyFont="1" applyFill="1" applyBorder="1" applyAlignment="1">
      <alignment horizontal="right" vertical="center"/>
    </xf>
    <xf numFmtId="178" fontId="61" fillId="0" borderId="284" xfId="0" applyNumberFormat="1" applyFont="1" applyFill="1" applyBorder="1" applyAlignment="1">
      <alignment horizontal="right" vertical="center"/>
    </xf>
    <xf numFmtId="0" fontId="61" fillId="0" borderId="15" xfId="0" applyFont="1" applyFill="1" applyBorder="1" applyAlignment="1">
      <alignment vertical="center" wrapText="1"/>
    </xf>
    <xf numFmtId="0" fontId="60" fillId="0" borderId="299" xfId="0" applyFont="1" applyFill="1" applyBorder="1" applyAlignment="1">
      <alignment vertical="center"/>
    </xf>
    <xf numFmtId="0" fontId="60" fillId="0" borderId="298" xfId="0" applyFont="1" applyFill="1" applyBorder="1" applyAlignment="1">
      <alignment vertical="center"/>
    </xf>
    <xf numFmtId="4" fontId="60" fillId="0" borderId="342" xfId="0" applyNumberFormat="1" applyFont="1" applyFill="1" applyBorder="1" applyAlignment="1">
      <alignment horizontal="right" vertical="center"/>
    </xf>
    <xf numFmtId="4" fontId="60" fillId="0" borderId="345" xfId="0" applyNumberFormat="1" applyFont="1" applyFill="1" applyBorder="1" applyAlignment="1">
      <alignment horizontal="right" vertical="center"/>
    </xf>
    <xf numFmtId="4" fontId="61" fillId="0" borderId="342" xfId="0" applyNumberFormat="1" applyFont="1" applyFill="1" applyBorder="1" applyAlignment="1">
      <alignment horizontal="right" vertical="center"/>
    </xf>
    <xf numFmtId="4" fontId="61" fillId="0" borderId="345" xfId="0" applyNumberFormat="1" applyFont="1" applyFill="1" applyBorder="1" applyAlignment="1">
      <alignment horizontal="right" vertical="center"/>
    </xf>
    <xf numFmtId="178" fontId="61" fillId="0" borderId="400" xfId="0" applyNumberFormat="1" applyFont="1" applyFill="1" applyBorder="1" applyAlignment="1">
      <alignment horizontal="right" vertical="center"/>
    </xf>
    <xf numFmtId="178" fontId="61" fillId="0" borderId="401" xfId="0" applyNumberFormat="1" applyFont="1" applyFill="1" applyBorder="1" applyAlignment="1">
      <alignment horizontal="right" vertical="center"/>
    </xf>
    <xf numFmtId="178" fontId="61" fillId="0" borderId="402" xfId="0" applyNumberFormat="1" applyFont="1" applyFill="1" applyBorder="1" applyAlignment="1">
      <alignment horizontal="right" vertical="center"/>
    </xf>
    <xf numFmtId="4" fontId="61" fillId="0" borderId="396" xfId="0" applyNumberFormat="1" applyFont="1" applyFill="1" applyBorder="1" applyAlignment="1">
      <alignment horizontal="right" vertical="center"/>
    </xf>
    <xf numFmtId="178" fontId="61" fillId="0" borderId="345" xfId="0" applyNumberFormat="1" applyFont="1" applyFill="1" applyBorder="1" applyAlignment="1">
      <alignment horizontal="right" vertical="center"/>
    </xf>
    <xf numFmtId="178" fontId="61" fillId="0" borderId="298" xfId="0" applyNumberFormat="1" applyFont="1" applyFill="1" applyBorder="1" applyAlignment="1">
      <alignment horizontal="right" vertical="center"/>
    </xf>
    <xf numFmtId="0" fontId="17" fillId="0" borderId="75" xfId="0" applyFont="1" applyFill="1" applyBorder="1" applyAlignment="1">
      <alignment horizontal="right" vertical="center"/>
    </xf>
    <xf numFmtId="0" fontId="17" fillId="0" borderId="16" xfId="0" applyFont="1" applyFill="1" applyBorder="1" applyAlignment="1">
      <alignment horizontal="right" vertical="center"/>
    </xf>
    <xf numFmtId="0" fontId="60" fillId="0" borderId="342" xfId="0" applyFont="1" applyFill="1" applyBorder="1" applyAlignment="1">
      <alignment horizontal="right" vertical="center"/>
    </xf>
    <xf numFmtId="4" fontId="17" fillId="0" borderId="58" xfId="0" applyNumberFormat="1" applyFont="1" applyFill="1" applyBorder="1" applyAlignment="1">
      <alignment horizontal="right" vertical="center"/>
    </xf>
    <xf numFmtId="4" fontId="60" fillId="28" borderId="397" xfId="0" applyNumberFormat="1" applyFont="1" applyFill="1" applyBorder="1" applyAlignment="1">
      <alignment horizontal="right" vertical="center"/>
    </xf>
    <xf numFmtId="0" fontId="17" fillId="28" borderId="397" xfId="0" applyFont="1" applyFill="1" applyBorder="1" applyAlignment="1">
      <alignment horizontal="right" vertical="center"/>
    </xf>
    <xf numFmtId="10" fontId="61" fillId="28" borderId="397" xfId="85" applyNumberFormat="1" applyFont="1" applyFill="1" applyBorder="1" applyAlignment="1">
      <alignment horizontal="right" vertical="center"/>
    </xf>
    <xf numFmtId="10" fontId="61" fillId="28" borderId="389" xfId="85" applyNumberFormat="1" applyFont="1" applyFill="1" applyBorder="1" applyAlignment="1">
      <alignment horizontal="right" vertical="center"/>
    </xf>
    <xf numFmtId="4" fontId="17" fillId="28" borderId="397" xfId="0" applyNumberFormat="1" applyFont="1" applyFill="1" applyBorder="1" applyAlignment="1">
      <alignment horizontal="right" vertical="center"/>
    </xf>
    <xf numFmtId="4" fontId="17" fillId="28" borderId="389" xfId="0" applyNumberFormat="1" applyFont="1" applyFill="1" applyBorder="1" applyAlignment="1">
      <alignment horizontal="right" vertical="center"/>
    </xf>
    <xf numFmtId="4" fontId="61" fillId="28" borderId="397" xfId="0" applyNumberFormat="1" applyFont="1" applyFill="1" applyBorder="1" applyAlignment="1">
      <alignment horizontal="right" vertical="center" wrapText="1"/>
    </xf>
    <xf numFmtId="4" fontId="61" fillId="28" borderId="389" xfId="0" applyNumberFormat="1" applyFont="1" applyFill="1" applyBorder="1" applyAlignment="1">
      <alignment horizontal="right" vertical="center" wrapText="1"/>
    </xf>
    <xf numFmtId="2" fontId="17" fillId="28" borderId="397" xfId="0" applyNumberFormat="1" applyFont="1" applyFill="1" applyBorder="1" applyAlignment="1">
      <alignment horizontal="right" vertical="center"/>
    </xf>
    <xf numFmtId="0" fontId="60" fillId="28" borderId="397" xfId="0" applyFont="1" applyFill="1" applyBorder="1" applyAlignment="1">
      <alignment horizontal="right" vertical="center"/>
    </xf>
    <xf numFmtId="2" fontId="60" fillId="28" borderId="397" xfId="0" applyNumberFormat="1" applyFont="1" applyFill="1" applyBorder="1" applyAlignment="1">
      <alignment horizontal="right" vertical="center"/>
    </xf>
    <xf numFmtId="0" fontId="61" fillId="28" borderId="397" xfId="0" applyFont="1" applyFill="1" applyBorder="1" applyAlignment="1">
      <alignment horizontal="right" vertical="center"/>
    </xf>
    <xf numFmtId="0" fontId="61" fillId="28" borderId="400" xfId="0" applyFont="1" applyFill="1" applyBorder="1" applyAlignment="1">
      <alignment horizontal="right" vertical="center"/>
    </xf>
    <xf numFmtId="0" fontId="17" fillId="28" borderId="76" xfId="0" applyFont="1" applyFill="1" applyBorder="1" applyAlignment="1">
      <alignment horizontal="right" vertical="center"/>
    </xf>
    <xf numFmtId="0" fontId="17" fillId="28" borderId="17" xfId="0" applyFont="1" applyFill="1" applyBorder="1" applyAlignment="1">
      <alignment horizontal="right" vertical="center"/>
    </xf>
    <xf numFmtId="0" fontId="60" fillId="28" borderId="367" xfId="0" applyFont="1" applyFill="1" applyBorder="1" applyAlignment="1">
      <alignment horizontal="right" vertical="center"/>
    </xf>
    <xf numFmtId="0" fontId="60" fillId="28" borderId="400" xfId="0" applyFont="1" applyFill="1" applyBorder="1" applyAlignment="1">
      <alignment horizontal="right" vertical="center"/>
    </xf>
    <xf numFmtId="0" fontId="60" fillId="28" borderId="369" xfId="0" applyFont="1" applyFill="1" applyBorder="1" applyAlignment="1">
      <alignment horizontal="right" vertical="center"/>
    </xf>
    <xf numFmtId="0" fontId="60" fillId="28" borderId="402" xfId="0" applyFont="1" applyFill="1" applyBorder="1" applyAlignment="1">
      <alignment horizontal="right" vertical="center"/>
    </xf>
    <xf numFmtId="169" fontId="60" fillId="28" borderId="389" xfId="0" applyNumberFormat="1" applyFont="1" applyFill="1" applyBorder="1" applyAlignment="1">
      <alignment horizontal="center" vertical="center"/>
    </xf>
    <xf numFmtId="2" fontId="60" fillId="28" borderId="389" xfId="0" applyNumberFormat="1" applyFont="1" applyFill="1" applyBorder="1" applyAlignment="1">
      <alignment horizontal="center" vertical="center"/>
    </xf>
    <xf numFmtId="168" fontId="60" fillId="28" borderId="389" xfId="0" applyNumberFormat="1" applyFont="1" applyFill="1" applyBorder="1" applyAlignment="1">
      <alignment horizontal="center" vertical="center"/>
    </xf>
    <xf numFmtId="168" fontId="60" fillId="28" borderId="397" xfId="0" applyNumberFormat="1" applyFont="1" applyFill="1" applyBorder="1" applyAlignment="1">
      <alignment horizontal="center" vertical="center"/>
    </xf>
    <xf numFmtId="168" fontId="17" fillId="28" borderId="397" xfId="0" applyNumberFormat="1" applyFont="1" applyFill="1" applyBorder="1" applyAlignment="1">
      <alignment horizontal="center" vertical="center"/>
    </xf>
    <xf numFmtId="168" fontId="17" fillId="28" borderId="389" xfId="0" applyNumberFormat="1" applyFont="1" applyFill="1" applyBorder="1" applyAlignment="1">
      <alignment horizontal="center" vertical="center"/>
    </xf>
    <xf numFmtId="0" fontId="60" fillId="28" borderId="369" xfId="0" applyFont="1" applyFill="1" applyBorder="1" applyAlignment="1">
      <alignment horizontal="center" vertical="center"/>
    </xf>
    <xf numFmtId="168" fontId="60" fillId="28" borderId="369" xfId="0" applyNumberFormat="1" applyFont="1" applyFill="1" applyBorder="1" applyAlignment="1">
      <alignment horizontal="center" vertical="center"/>
    </xf>
    <xf numFmtId="2" fontId="60" fillId="28" borderId="397" xfId="0" applyNumberFormat="1" applyFont="1" applyFill="1" applyBorder="1" applyAlignment="1">
      <alignment horizontal="center" vertical="center" wrapText="1"/>
    </xf>
    <xf numFmtId="2" fontId="60" fillId="28" borderId="389" xfId="0" applyNumberFormat="1" applyFont="1" applyFill="1" applyBorder="1" applyAlignment="1">
      <alignment horizontal="center" vertical="center" wrapText="1"/>
    </xf>
    <xf numFmtId="1" fontId="60" fillId="0" borderId="359" xfId="0" applyNumberFormat="1" applyFont="1" applyFill="1" applyBorder="1" applyAlignment="1">
      <alignment vertical="center"/>
    </xf>
    <xf numFmtId="168" fontId="60" fillId="28" borderId="397" xfId="0" applyNumberFormat="1" applyFont="1" applyFill="1" applyBorder="1" applyAlignment="1">
      <alignment vertical="center"/>
    </xf>
    <xf numFmtId="2" fontId="60" fillId="28" borderId="389" xfId="0" applyNumberFormat="1" applyFont="1" applyFill="1" applyBorder="1" applyAlignment="1">
      <alignment vertical="center"/>
    </xf>
    <xf numFmtId="168" fontId="60" fillId="28" borderId="389" xfId="0" applyNumberFormat="1" applyFont="1" applyFill="1" applyBorder="1" applyAlignment="1">
      <alignment vertical="center"/>
    </xf>
    <xf numFmtId="2" fontId="60" fillId="28" borderId="367" xfId="0" applyNumberFormat="1" applyFont="1" applyFill="1" applyBorder="1" applyAlignment="1">
      <alignment vertical="center"/>
    </xf>
    <xf numFmtId="0" fontId="60" fillId="28" borderId="397" xfId="0" applyFont="1" applyFill="1" applyBorder="1" applyAlignment="1">
      <alignment vertical="center"/>
    </xf>
    <xf numFmtId="0" fontId="60" fillId="28" borderId="389" xfId="0" applyFont="1" applyFill="1" applyBorder="1" applyAlignment="1">
      <alignment vertical="center"/>
    </xf>
    <xf numFmtId="168" fontId="17" fillId="28" borderId="397" xfId="0" applyNumberFormat="1" applyFont="1" applyFill="1" applyBorder="1" applyAlignment="1">
      <alignment vertical="center"/>
    </xf>
    <xf numFmtId="2" fontId="17" fillId="28" borderId="389" xfId="0" applyNumberFormat="1" applyFont="1" applyFill="1" applyBorder="1" applyAlignment="1">
      <alignment vertical="center"/>
    </xf>
    <xf numFmtId="4" fontId="17" fillId="28" borderId="389" xfId="0" applyNumberFormat="1" applyFont="1" applyFill="1" applyBorder="1" applyAlignment="1">
      <alignment vertical="center"/>
    </xf>
    <xf numFmtId="168" fontId="17" fillId="28" borderId="389" xfId="0" applyNumberFormat="1" applyFont="1" applyFill="1" applyBorder="1" applyAlignment="1">
      <alignment vertical="center"/>
    </xf>
    <xf numFmtId="4" fontId="17" fillId="28" borderId="367" xfId="0" applyNumberFormat="1" applyFont="1" applyFill="1" applyBorder="1" applyAlignment="1">
      <alignment vertical="center"/>
    </xf>
    <xf numFmtId="2" fontId="17" fillId="28" borderId="367" xfId="0" applyNumberFormat="1" applyFont="1" applyFill="1" applyBorder="1" applyAlignment="1">
      <alignment vertical="center"/>
    </xf>
    <xf numFmtId="168" fontId="60" fillId="28" borderId="367" xfId="0" applyNumberFormat="1" applyFont="1" applyFill="1" applyBorder="1" applyAlignment="1">
      <alignment vertical="center"/>
    </xf>
    <xf numFmtId="0" fontId="60" fillId="28" borderId="400" xfId="0" applyFont="1" applyFill="1" applyBorder="1" applyAlignment="1">
      <alignment vertical="center"/>
    </xf>
    <xf numFmtId="168" fontId="60" fillId="28" borderId="369" xfId="0" applyNumberFormat="1" applyFont="1" applyFill="1" applyBorder="1" applyAlignment="1">
      <alignment vertical="center"/>
    </xf>
    <xf numFmtId="168" fontId="60" fillId="28" borderId="402" xfId="0" applyNumberFormat="1" applyFont="1" applyFill="1" applyBorder="1" applyAlignment="1">
      <alignment vertical="center"/>
    </xf>
    <xf numFmtId="171" fontId="85" fillId="0" borderId="17" xfId="85" applyNumberFormat="1" applyFont="1" applyFill="1" applyBorder="1" applyAlignment="1">
      <alignment horizontal="center" vertical="center"/>
    </xf>
    <xf numFmtId="2" fontId="84" fillId="0" borderId="17" xfId="0" applyNumberFormat="1" applyFont="1" applyFill="1" applyBorder="1" applyAlignment="1">
      <alignment horizontal="center" vertical="center"/>
    </xf>
    <xf numFmtId="4" fontId="84" fillId="0" borderId="345" xfId="0" applyNumberFormat="1" applyFont="1" applyFill="1" applyBorder="1" applyAlignment="1">
      <alignment horizontal="center" vertical="center"/>
    </xf>
    <xf numFmtId="168" fontId="85" fillId="28" borderId="11" xfId="0" applyNumberFormat="1" applyFont="1" applyFill="1" applyBorder="1" applyAlignment="1">
      <alignment horizontal="center" vertical="center"/>
    </xf>
    <xf numFmtId="4" fontId="84" fillId="28" borderId="389" xfId="0" applyNumberFormat="1" applyFont="1" applyFill="1" applyBorder="1" applyAlignment="1">
      <alignment horizontal="center" vertical="center"/>
    </xf>
    <xf numFmtId="4" fontId="84" fillId="28" borderId="367" xfId="0" applyNumberFormat="1" applyFont="1" applyFill="1" applyBorder="1" applyAlignment="1">
      <alignment horizontal="center" vertical="center"/>
    </xf>
    <xf numFmtId="0" fontId="84" fillId="28" borderId="389" xfId="0" applyFont="1" applyFill="1" applyBorder="1" applyAlignment="1">
      <alignment vertical="center"/>
    </xf>
    <xf numFmtId="0" fontId="84" fillId="28" borderId="384" xfId="0" applyFont="1" applyFill="1" applyBorder="1" applyAlignment="1">
      <alignment vertical="center"/>
    </xf>
    <xf numFmtId="4" fontId="84" fillId="28" borderId="369" xfId="0" applyNumberFormat="1" applyFont="1" applyFill="1" applyBorder="1" applyAlignment="1">
      <alignment horizontal="center" vertical="center"/>
    </xf>
    <xf numFmtId="4" fontId="84" fillId="28" borderId="402" xfId="0" applyNumberFormat="1" applyFont="1" applyFill="1" applyBorder="1" applyAlignment="1">
      <alignment horizontal="center" vertical="center"/>
    </xf>
    <xf numFmtId="169" fontId="84" fillId="28" borderId="11" xfId="0" applyNumberFormat="1" applyFont="1" applyFill="1" applyBorder="1" applyAlignment="1">
      <alignment horizontal="center" vertical="center"/>
    </xf>
    <xf numFmtId="168" fontId="84" fillId="28" borderId="11" xfId="0" applyNumberFormat="1" applyFont="1" applyFill="1" applyBorder="1" applyAlignment="1">
      <alignment horizontal="center" vertical="center"/>
    </xf>
    <xf numFmtId="2" fontId="84" fillId="28" borderId="389" xfId="0" applyNumberFormat="1" applyFont="1" applyFill="1" applyBorder="1" applyAlignment="1">
      <alignment horizontal="center" vertical="center"/>
    </xf>
    <xf numFmtId="0" fontId="84" fillId="28" borderId="389" xfId="0" applyFont="1" applyFill="1" applyBorder="1" applyAlignment="1">
      <alignment horizontal="center" vertical="center"/>
    </xf>
    <xf numFmtId="2" fontId="84" fillId="28" borderId="16" xfId="0" applyNumberFormat="1" applyFont="1" applyFill="1" applyBorder="1" applyAlignment="1">
      <alignment horizontal="center" vertical="center"/>
    </xf>
    <xf numFmtId="168" fontId="85" fillId="28" borderId="17" xfId="0" applyNumberFormat="1" applyFont="1" applyFill="1" applyBorder="1" applyAlignment="1">
      <alignment horizontal="center" vertical="center"/>
    </xf>
    <xf numFmtId="174" fontId="85" fillId="28" borderId="389" xfId="0" applyNumberFormat="1" applyFont="1" applyFill="1" applyBorder="1" applyAlignment="1">
      <alignment horizontal="center" vertical="center"/>
    </xf>
    <xf numFmtId="2" fontId="84" fillId="28" borderId="397" xfId="0" applyNumberFormat="1" applyFont="1" applyFill="1" applyBorder="1" applyAlignment="1">
      <alignment horizontal="center" vertical="center"/>
    </xf>
    <xf numFmtId="0" fontId="84" fillId="28" borderId="397" xfId="0" applyFont="1" applyFill="1" applyBorder="1" applyAlignment="1">
      <alignment horizontal="center" vertical="center"/>
    </xf>
    <xf numFmtId="0" fontId="84" fillId="28" borderId="374" xfId="0" applyFont="1" applyFill="1" applyBorder="1" applyAlignment="1">
      <alignment horizontal="center" vertical="center"/>
    </xf>
    <xf numFmtId="0" fontId="84" fillId="28" borderId="384" xfId="0" applyFont="1" applyFill="1" applyBorder="1" applyAlignment="1">
      <alignment horizontal="center" vertical="center"/>
    </xf>
    <xf numFmtId="4" fontId="84" fillId="28" borderId="384" xfId="0" applyNumberFormat="1" applyFont="1" applyFill="1" applyBorder="1" applyAlignment="1">
      <alignment horizontal="center" vertical="center"/>
    </xf>
    <xf numFmtId="0" fontId="84" fillId="28" borderId="75" xfId="0" applyFont="1" applyFill="1" applyBorder="1" applyAlignment="1">
      <alignment horizontal="center" vertical="center"/>
    </xf>
    <xf numFmtId="169" fontId="84" fillId="28" borderId="37" xfId="0" applyNumberFormat="1" applyFont="1" applyFill="1" applyBorder="1" applyAlignment="1">
      <alignment horizontal="center" vertical="center"/>
    </xf>
    <xf numFmtId="178" fontId="84" fillId="28" borderId="389" xfId="0" applyNumberFormat="1" applyFont="1" applyFill="1" applyBorder="1" applyAlignment="1">
      <alignment horizontal="center" vertical="center"/>
    </xf>
    <xf numFmtId="178" fontId="85" fillId="28" borderId="389" xfId="0" applyNumberFormat="1" applyFont="1" applyFill="1" applyBorder="1" applyAlignment="1">
      <alignment horizontal="center" vertical="center"/>
    </xf>
    <xf numFmtId="168" fontId="84" fillId="28" borderId="389" xfId="0" applyNumberFormat="1" applyFont="1" applyFill="1" applyBorder="1" applyAlignment="1">
      <alignment horizontal="center" vertical="center"/>
    </xf>
    <xf numFmtId="168" fontId="85" fillId="28" borderId="389" xfId="0" applyNumberFormat="1" applyFont="1" applyFill="1" applyBorder="1" applyAlignment="1">
      <alignment horizontal="center" vertical="center"/>
    </xf>
    <xf numFmtId="4" fontId="17" fillId="0" borderId="366" xfId="0" applyNumberFormat="1" applyFont="1" applyFill="1" applyBorder="1" applyAlignment="1">
      <alignment horizontal="center" vertical="center"/>
    </xf>
    <xf numFmtId="4" fontId="17" fillId="0" borderId="342" xfId="0" applyNumberFormat="1" applyFont="1" applyFill="1" applyBorder="1" applyAlignment="1">
      <alignment horizontal="center" vertical="center"/>
    </xf>
    <xf numFmtId="4" fontId="60" fillId="28" borderId="17" xfId="0" applyNumberFormat="1" applyFont="1" applyFill="1" applyBorder="1" applyAlignment="1">
      <alignment horizontal="center" vertical="center"/>
    </xf>
    <xf numFmtId="1" fontId="17" fillId="0" borderId="392" xfId="0" applyNumberFormat="1" applyFont="1" applyFill="1" applyBorder="1" applyAlignment="1">
      <alignment horizontal="right" vertical="center"/>
    </xf>
    <xf numFmtId="1" fontId="60" fillId="0" borderId="392" xfId="0" applyNumberFormat="1" applyFont="1" applyFill="1" applyBorder="1" applyAlignment="1">
      <alignment horizontal="right" vertical="center"/>
    </xf>
    <xf numFmtId="1" fontId="60" fillId="0" borderId="373" xfId="0" applyNumberFormat="1" applyFont="1" applyFill="1" applyBorder="1" applyAlignment="1">
      <alignment horizontal="right" vertical="center"/>
    </xf>
    <xf numFmtId="0" fontId="60" fillId="28" borderId="397" xfId="0" applyFont="1" applyFill="1" applyBorder="1" applyAlignment="1">
      <alignment horizontal="center" vertical="center" wrapText="1"/>
    </xf>
    <xf numFmtId="0" fontId="60" fillId="28" borderId="389" xfId="0" applyFont="1" applyFill="1" applyBorder="1" applyAlignment="1">
      <alignment horizontal="center" vertical="center" wrapText="1"/>
    </xf>
    <xf numFmtId="1" fontId="60" fillId="28" borderId="389" xfId="0" applyNumberFormat="1" applyFont="1" applyFill="1" applyBorder="1" applyAlignment="1">
      <alignment horizontal="right" vertical="center"/>
    </xf>
    <xf numFmtId="4" fontId="60" fillId="28" borderId="367" xfId="0" applyNumberFormat="1" applyFont="1" applyFill="1" applyBorder="1" applyAlignment="1">
      <alignment horizontal="right" vertical="center"/>
    </xf>
    <xf numFmtId="4" fontId="60" fillId="28" borderId="402" xfId="0" applyNumberFormat="1" applyFont="1" applyFill="1" applyBorder="1" applyAlignment="1">
      <alignment horizontal="right" vertical="center"/>
    </xf>
    <xf numFmtId="1" fontId="17" fillId="28" borderId="397" xfId="0" applyNumberFormat="1" applyFont="1" applyFill="1" applyBorder="1" applyAlignment="1">
      <alignment horizontal="right" vertical="center"/>
    </xf>
    <xf numFmtId="3" fontId="17" fillId="28" borderId="389" xfId="0" applyNumberFormat="1" applyFont="1" applyFill="1" applyBorder="1" applyAlignment="1">
      <alignment horizontal="center" vertical="center"/>
    </xf>
    <xf numFmtId="170" fontId="17" fillId="28" borderId="389" xfId="0" applyNumberFormat="1" applyFont="1" applyFill="1" applyBorder="1" applyAlignment="1">
      <alignment horizontal="center" vertical="center"/>
    </xf>
    <xf numFmtId="1" fontId="17" fillId="28" borderId="389" xfId="0" applyNumberFormat="1" applyFont="1" applyFill="1" applyBorder="1" applyAlignment="1">
      <alignment horizontal="right" vertical="center"/>
    </xf>
    <xf numFmtId="1" fontId="60" fillId="28" borderId="397" xfId="0" applyNumberFormat="1" applyFont="1" applyFill="1" applyBorder="1" applyAlignment="1">
      <alignment horizontal="right" vertical="center"/>
    </xf>
    <xf numFmtId="3" fontId="60" fillId="28" borderId="389" xfId="0" applyNumberFormat="1" applyFont="1" applyFill="1" applyBorder="1" applyAlignment="1">
      <alignment horizontal="right" vertical="center"/>
    </xf>
    <xf numFmtId="170" fontId="60" fillId="28" borderId="389" xfId="0" applyNumberFormat="1" applyFont="1" applyFill="1" applyBorder="1" applyAlignment="1">
      <alignment horizontal="right" vertical="center"/>
    </xf>
    <xf numFmtId="1" fontId="60" fillId="28" borderId="400" xfId="0" applyNumberFormat="1" applyFont="1" applyFill="1" applyBorder="1" applyAlignment="1">
      <alignment horizontal="right" vertical="center"/>
    </xf>
    <xf numFmtId="170" fontId="60" fillId="28" borderId="369" xfId="0" applyNumberFormat="1" applyFont="1" applyFill="1" applyBorder="1" applyAlignment="1">
      <alignment horizontal="right" vertical="center"/>
    </xf>
    <xf numFmtId="170" fontId="17" fillId="28" borderId="367" xfId="0" applyNumberFormat="1" applyFont="1" applyFill="1" applyBorder="1" applyAlignment="1">
      <alignment horizontal="center" vertical="center"/>
    </xf>
    <xf numFmtId="2" fontId="60" fillId="28" borderId="367" xfId="0" applyNumberFormat="1" applyFont="1" applyFill="1" applyBorder="1" applyAlignment="1">
      <alignment horizontal="center" vertical="center" wrapText="1"/>
    </xf>
    <xf numFmtId="0" fontId="60" fillId="28" borderId="384" xfId="0" applyFont="1" applyFill="1" applyBorder="1" applyAlignment="1">
      <alignment horizontal="center" vertical="center" wrapText="1"/>
    </xf>
    <xf numFmtId="4" fontId="61" fillId="28" borderId="75" xfId="0" applyNumberFormat="1" applyFont="1" applyFill="1" applyBorder="1" applyAlignment="1">
      <alignment horizontal="center" vertical="center"/>
    </xf>
    <xf numFmtId="4" fontId="61" fillId="28" borderId="76" xfId="0" applyNumberFormat="1" applyFont="1" applyFill="1" applyBorder="1" applyAlignment="1">
      <alignment horizontal="center" vertical="center"/>
    </xf>
    <xf numFmtId="4" fontId="61" fillId="28" borderId="77" xfId="0" applyNumberFormat="1" applyFont="1" applyFill="1" applyBorder="1" applyAlignment="1">
      <alignment horizontal="center" vertical="center"/>
    </xf>
    <xf numFmtId="4" fontId="61" fillId="28" borderId="16" xfId="0" applyNumberFormat="1" applyFont="1" applyFill="1" applyBorder="1" applyAlignment="1">
      <alignment horizontal="right" vertical="center"/>
    </xf>
    <xf numFmtId="0" fontId="61" fillId="28" borderId="17" xfId="0" applyFont="1" applyFill="1" applyBorder="1" applyAlignment="1">
      <alignment horizontal="right" vertical="center" wrapText="1"/>
    </xf>
    <xf numFmtId="2" fontId="60" fillId="28" borderId="18" xfId="0" applyNumberFormat="1" applyFont="1" applyFill="1" applyBorder="1" applyAlignment="1">
      <alignment horizontal="right" vertical="center" wrapText="1"/>
    </xf>
    <xf numFmtId="4" fontId="61" fillId="28" borderId="397" xfId="0" applyNumberFormat="1" applyFont="1" applyFill="1" applyBorder="1" applyAlignment="1">
      <alignment horizontal="right" vertical="center"/>
    </xf>
    <xf numFmtId="0" fontId="61" fillId="28" borderId="389" xfId="0" applyFont="1" applyFill="1" applyBorder="1" applyAlignment="1">
      <alignment horizontal="right" vertical="center" wrapText="1"/>
    </xf>
    <xf numFmtId="2" fontId="60" fillId="28" borderId="367" xfId="0" applyNumberFormat="1" applyFont="1" applyFill="1" applyBorder="1" applyAlignment="1">
      <alignment horizontal="right" vertical="center" wrapText="1"/>
    </xf>
    <xf numFmtId="4" fontId="61" fillId="28" borderId="400" xfId="0" applyNumberFormat="1" applyFont="1" applyFill="1" applyBorder="1" applyAlignment="1">
      <alignment horizontal="right" vertical="center"/>
    </xf>
    <xf numFmtId="0" fontId="61" fillId="28" borderId="369" xfId="0" applyFont="1" applyFill="1" applyBorder="1" applyAlignment="1">
      <alignment horizontal="right" vertical="center" wrapText="1"/>
    </xf>
    <xf numFmtId="2" fontId="60" fillId="28" borderId="402" xfId="0" applyNumberFormat="1" applyFont="1" applyFill="1" applyBorder="1" applyAlignment="1">
      <alignment horizontal="right" vertical="center" wrapText="1"/>
    </xf>
    <xf numFmtId="10" fontId="60" fillId="28" borderId="16" xfId="85" applyNumberFormat="1" applyFont="1" applyFill="1" applyBorder="1" applyAlignment="1">
      <alignment horizontal="right"/>
    </xf>
    <xf numFmtId="10" fontId="60" fillId="28" borderId="17" xfId="85" applyNumberFormat="1" applyFont="1" applyFill="1" applyBorder="1" applyAlignment="1">
      <alignment horizontal="right"/>
    </xf>
    <xf numFmtId="10" fontId="60" fillId="28" borderId="38" xfId="0" applyNumberFormat="1" applyFont="1" applyFill="1" applyBorder="1" applyAlignment="1">
      <alignment horizontal="right"/>
    </xf>
    <xf numFmtId="10" fontId="60" fillId="28" borderId="397" xfId="85" applyNumberFormat="1" applyFont="1" applyFill="1" applyBorder="1" applyAlignment="1">
      <alignment horizontal="right"/>
    </xf>
    <xf numFmtId="10" fontId="60" fillId="28" borderId="389" xfId="85" applyNumberFormat="1" applyFont="1" applyFill="1" applyBorder="1" applyAlignment="1">
      <alignment horizontal="right"/>
    </xf>
    <xf numFmtId="10" fontId="60" fillId="28" borderId="367" xfId="0" applyNumberFormat="1" applyFont="1" applyFill="1" applyBorder="1" applyAlignment="1">
      <alignment horizontal="right"/>
    </xf>
    <xf numFmtId="10" fontId="60" fillId="28" borderId="400" xfId="85" applyNumberFormat="1" applyFont="1" applyFill="1" applyBorder="1" applyAlignment="1">
      <alignment horizontal="right"/>
    </xf>
    <xf numFmtId="10" fontId="60" fillId="28" borderId="369" xfId="85" applyNumberFormat="1" applyFont="1" applyFill="1" applyBorder="1" applyAlignment="1">
      <alignment horizontal="right"/>
    </xf>
    <xf numFmtId="10" fontId="60" fillId="28" borderId="402" xfId="0" applyNumberFormat="1" applyFont="1" applyFill="1" applyBorder="1" applyAlignment="1">
      <alignment horizontal="right"/>
    </xf>
    <xf numFmtId="4" fontId="60" fillId="0" borderId="391" xfId="0" applyNumberFormat="1" applyFont="1" applyFill="1" applyBorder="1" applyAlignment="1">
      <alignment horizontal="center" vertical="center"/>
    </xf>
    <xf numFmtId="10" fontId="61" fillId="0" borderId="391" xfId="85" applyNumberFormat="1" applyFont="1" applyFill="1" applyBorder="1" applyAlignment="1">
      <alignment horizontal="center" vertical="center"/>
    </xf>
    <xf numFmtId="4" fontId="60" fillId="0" borderId="392" xfId="0" applyNumberFormat="1" applyFont="1" applyFill="1" applyBorder="1" applyAlignment="1">
      <alignment horizontal="center" vertical="center"/>
    </xf>
    <xf numFmtId="4" fontId="17" fillId="0" borderId="80" xfId="0" applyNumberFormat="1" applyFont="1" applyFill="1" applyBorder="1" applyAlignment="1">
      <alignment horizontal="center" vertical="center"/>
    </xf>
    <xf numFmtId="4" fontId="61" fillId="0" borderId="80" xfId="0" applyNumberFormat="1" applyFont="1" applyFill="1" applyBorder="1" applyAlignment="1">
      <alignment vertical="center"/>
    </xf>
    <xf numFmtId="4" fontId="61" fillId="0" borderId="30" xfId="0" applyNumberFormat="1" applyFont="1" applyFill="1" applyBorder="1" applyAlignment="1">
      <alignment vertical="center"/>
    </xf>
    <xf numFmtId="4" fontId="61" fillId="0" borderId="392" xfId="0" applyNumberFormat="1" applyFont="1" applyFill="1" applyBorder="1" applyAlignment="1">
      <alignment vertical="center"/>
    </xf>
    <xf numFmtId="4" fontId="61" fillId="0" borderId="373" xfId="0" applyNumberFormat="1" applyFont="1" applyFill="1" applyBorder="1" applyAlignment="1">
      <alignment vertical="center"/>
    </xf>
    <xf numFmtId="10" fontId="60" fillId="0" borderId="31" xfId="0" applyNumberFormat="1" applyFont="1" applyFill="1" applyBorder="1"/>
    <xf numFmtId="10" fontId="60" fillId="0" borderId="392" xfId="0" applyNumberFormat="1" applyFont="1" applyFill="1" applyBorder="1"/>
    <xf numFmtId="10" fontId="60" fillId="0" borderId="373" xfId="0" applyNumberFormat="1" applyFont="1" applyFill="1" applyBorder="1"/>
    <xf numFmtId="171" fontId="60" fillId="0" borderId="390" xfId="85" applyNumberFormat="1" applyFont="1" applyFill="1" applyBorder="1" applyAlignment="1">
      <alignment vertical="center"/>
    </xf>
    <xf numFmtId="171" fontId="60" fillId="0" borderId="391" xfId="85" applyNumberFormat="1" applyFont="1" applyFill="1" applyBorder="1" applyAlignment="1">
      <alignment vertical="center"/>
    </xf>
    <xf numFmtId="171" fontId="60" fillId="0" borderId="399" xfId="85" applyNumberFormat="1" applyFont="1" applyFill="1" applyBorder="1" applyAlignment="1">
      <alignment vertical="center"/>
    </xf>
    <xf numFmtId="171" fontId="60" fillId="0" borderId="81" xfId="85" applyNumberFormat="1" applyFont="1" applyFill="1" applyBorder="1" applyAlignment="1">
      <alignment vertical="center"/>
    </xf>
    <xf numFmtId="171" fontId="60" fillId="0" borderId="35" xfId="85" applyNumberFormat="1" applyFont="1" applyFill="1" applyBorder="1" applyAlignment="1">
      <alignment vertical="center"/>
    </xf>
    <xf numFmtId="171" fontId="60" fillId="0" borderId="401" xfId="85" applyNumberFormat="1" applyFont="1" applyFill="1" applyBorder="1" applyAlignment="1">
      <alignment vertical="center"/>
    </xf>
    <xf numFmtId="171" fontId="60" fillId="0" borderId="27" xfId="85" applyNumberFormat="1" applyFont="1" applyFill="1" applyBorder="1" applyAlignment="1">
      <alignment vertical="center"/>
    </xf>
    <xf numFmtId="4" fontId="61" fillId="28" borderId="367" xfId="0" applyNumberFormat="1" applyFont="1" applyFill="1" applyBorder="1" applyAlignment="1">
      <alignment vertical="center"/>
    </xf>
    <xf numFmtId="10" fontId="60" fillId="28" borderId="367" xfId="85" applyNumberFormat="1" applyFont="1" applyFill="1" applyBorder="1" applyAlignment="1">
      <alignment horizontal="center" vertical="center"/>
    </xf>
    <xf numFmtId="4" fontId="61" fillId="28" borderId="397" xfId="0" applyNumberFormat="1" applyFont="1" applyFill="1" applyBorder="1" applyAlignment="1">
      <alignment vertical="center"/>
    </xf>
    <xf numFmtId="4" fontId="61" fillId="28" borderId="389" xfId="0" applyNumberFormat="1" applyFont="1" applyFill="1" applyBorder="1" applyAlignment="1">
      <alignment vertical="center"/>
    </xf>
    <xf numFmtId="10" fontId="60" fillId="28" borderId="397" xfId="85" applyNumberFormat="1" applyFont="1" applyFill="1" applyBorder="1" applyAlignment="1">
      <alignment horizontal="center" vertical="center"/>
    </xf>
    <xf numFmtId="10" fontId="60" fillId="28" borderId="389" xfId="85" applyNumberFormat="1" applyFont="1" applyFill="1" applyBorder="1" applyAlignment="1">
      <alignment horizontal="center" vertical="center"/>
    </xf>
    <xf numFmtId="4" fontId="60" fillId="28" borderId="400" xfId="0" applyNumberFormat="1" applyFont="1" applyFill="1" applyBorder="1" applyAlignment="1">
      <alignment horizontal="center" vertical="center"/>
    </xf>
    <xf numFmtId="4" fontId="60" fillId="28" borderId="369" xfId="0" applyNumberFormat="1" applyFont="1" applyFill="1" applyBorder="1" applyAlignment="1">
      <alignment horizontal="center" vertical="center"/>
    </xf>
    <xf numFmtId="170" fontId="60" fillId="28" borderId="75" xfId="0" applyNumberFormat="1" applyFont="1" applyFill="1" applyBorder="1" applyAlignment="1">
      <alignment vertical="center"/>
    </xf>
    <xf numFmtId="170" fontId="60" fillId="28" borderId="76" xfId="0" applyNumberFormat="1" applyFont="1" applyFill="1" applyBorder="1" applyAlignment="1">
      <alignment vertical="center"/>
    </xf>
    <xf numFmtId="170" fontId="60" fillId="28" borderId="77" xfId="0" applyNumberFormat="1" applyFont="1" applyFill="1" applyBorder="1" applyAlignment="1">
      <alignment vertical="center"/>
    </xf>
    <xf numFmtId="4" fontId="61" fillId="28" borderId="16" xfId="0" applyNumberFormat="1" applyFont="1" applyFill="1" applyBorder="1" applyAlignment="1">
      <alignment vertical="center"/>
    </xf>
    <xf numFmtId="4" fontId="61" fillId="28" borderId="18" xfId="0" applyNumberFormat="1" applyFont="1" applyFill="1" applyBorder="1" applyAlignment="1">
      <alignment vertical="center"/>
    </xf>
    <xf numFmtId="4" fontId="61" fillId="28" borderId="400" xfId="0" applyNumberFormat="1" applyFont="1" applyFill="1" applyBorder="1" applyAlignment="1">
      <alignment vertical="center"/>
    </xf>
    <xf numFmtId="4" fontId="61" fillId="28" borderId="369" xfId="0" applyNumberFormat="1" applyFont="1" applyFill="1" applyBorder="1" applyAlignment="1">
      <alignment vertical="center"/>
    </xf>
    <xf numFmtId="4" fontId="61" fillId="28" borderId="402" xfId="0" applyNumberFormat="1" applyFont="1" applyFill="1" applyBorder="1" applyAlignment="1">
      <alignment vertical="center"/>
    </xf>
    <xf numFmtId="10" fontId="60" fillId="28" borderId="16" xfId="85" applyNumberFormat="1" applyFont="1" applyFill="1" applyBorder="1"/>
    <xf numFmtId="10" fontId="60" fillId="28" borderId="17" xfId="85" applyNumberFormat="1" applyFont="1" applyFill="1" applyBorder="1"/>
    <xf numFmtId="10" fontId="60" fillId="28" borderId="18" xfId="85" applyNumberFormat="1" applyFont="1" applyFill="1" applyBorder="1"/>
    <xf numFmtId="10" fontId="60" fillId="28" borderId="397" xfId="85" applyNumberFormat="1" applyFont="1" applyFill="1" applyBorder="1"/>
    <xf numFmtId="10" fontId="60" fillId="28" borderId="389" xfId="85" applyNumberFormat="1" applyFont="1" applyFill="1" applyBorder="1"/>
    <xf numFmtId="10" fontId="60" fillId="28" borderId="367" xfId="85" applyNumberFormat="1" applyFont="1" applyFill="1" applyBorder="1"/>
    <xf numFmtId="10" fontId="60" fillId="28" borderId="400" xfId="85" applyNumberFormat="1" applyFont="1" applyFill="1" applyBorder="1"/>
    <xf numFmtId="10" fontId="60" fillId="28" borderId="369" xfId="85" applyNumberFormat="1" applyFont="1" applyFill="1" applyBorder="1"/>
    <xf numFmtId="10" fontId="60" fillId="28" borderId="402" xfId="85" applyNumberFormat="1" applyFont="1" applyFill="1" applyBorder="1"/>
    <xf numFmtId="4" fontId="60" fillId="0" borderId="392" xfId="0" applyNumberFormat="1" applyFont="1" applyFill="1" applyBorder="1" applyAlignment="1">
      <alignment vertical="center"/>
    </xf>
    <xf numFmtId="10" fontId="60" fillId="0" borderId="392" xfId="85" applyNumberFormat="1" applyFont="1" applyFill="1" applyBorder="1" applyAlignment="1">
      <alignment horizontal="center" vertical="center"/>
    </xf>
    <xf numFmtId="4" fontId="60" fillId="0" borderId="373" xfId="0" applyNumberFormat="1" applyFont="1" applyFill="1" applyBorder="1" applyAlignment="1">
      <alignment vertical="center"/>
    </xf>
    <xf numFmtId="170" fontId="60" fillId="0" borderId="80" xfId="0" applyNumberFormat="1" applyFont="1" applyFill="1" applyBorder="1" applyAlignment="1">
      <alignment vertical="center"/>
    </xf>
    <xf numFmtId="10" fontId="60" fillId="0" borderId="31" xfId="0" applyNumberFormat="1" applyFont="1" applyFill="1" applyBorder="1" applyAlignment="1">
      <alignment vertical="center"/>
    </xf>
    <xf numFmtId="10" fontId="60" fillId="0" borderId="392" xfId="0" applyNumberFormat="1" applyFont="1" applyFill="1" applyBorder="1" applyAlignment="1">
      <alignment vertical="center"/>
    </xf>
    <xf numFmtId="10" fontId="60" fillId="0" borderId="373" xfId="0" applyNumberFormat="1" applyFont="1" applyFill="1" applyBorder="1" applyAlignment="1">
      <alignment vertical="center"/>
    </xf>
    <xf numFmtId="171" fontId="13" fillId="0" borderId="34" xfId="85" applyNumberFormat="1" applyFont="1" applyFill="1" applyBorder="1" applyAlignment="1">
      <alignment vertical="center"/>
    </xf>
    <xf numFmtId="171" fontId="13" fillId="0" borderId="364" xfId="85" applyNumberFormat="1" applyFont="1" applyFill="1" applyBorder="1" applyAlignment="1">
      <alignment vertical="center"/>
    </xf>
    <xf numFmtId="171" fontId="13" fillId="0" borderId="364" xfId="85" applyNumberFormat="1" applyFont="1" applyFill="1" applyBorder="1" applyAlignment="1">
      <alignment vertical="center" wrapText="1"/>
    </xf>
    <xf numFmtId="0" fontId="13" fillId="0" borderId="364" xfId="79" applyFont="1" applyFill="1" applyBorder="1" applyAlignment="1">
      <alignment wrapText="1"/>
    </xf>
    <xf numFmtId="171" fontId="13" fillId="0" borderId="15" xfId="85" applyNumberFormat="1" applyFont="1" applyFill="1" applyBorder="1" applyAlignment="1">
      <alignment vertical="center"/>
    </xf>
    <xf numFmtId="0" fontId="13" fillId="0" borderId="58" xfId="79" applyFont="1" applyFill="1" applyBorder="1" applyAlignment="1">
      <alignment vertical="center"/>
    </xf>
    <xf numFmtId="0" fontId="13" fillId="28" borderId="81" xfId="79" applyFont="1" applyFill="1" applyBorder="1" applyAlignment="1">
      <alignment vertical="center"/>
    </xf>
    <xf numFmtId="0" fontId="84" fillId="26" borderId="300" xfId="96" applyFont="1" applyFill="1" applyBorder="1" applyAlignment="1">
      <alignment horizontal="center" vertical="center" wrapText="1"/>
    </xf>
    <xf numFmtId="171" fontId="61" fillId="0" borderId="389" xfId="0" applyNumberFormat="1" applyFont="1" applyFill="1" applyBorder="1" applyAlignment="1">
      <alignment horizontal="center" vertical="center" wrapText="1"/>
    </xf>
    <xf numFmtId="171" fontId="61" fillId="0" borderId="369" xfId="0" applyNumberFormat="1" applyFont="1" applyFill="1" applyBorder="1" applyAlignment="1">
      <alignment horizontal="center" vertical="center" wrapText="1"/>
    </xf>
    <xf numFmtId="4" fontId="60" fillId="28" borderId="389" xfId="0" applyNumberFormat="1" applyFont="1" applyFill="1" applyBorder="1" applyAlignment="1">
      <alignment horizontal="center" vertical="center" wrapText="1"/>
    </xf>
    <xf numFmtId="4" fontId="61" fillId="28" borderId="389" xfId="85" applyNumberFormat="1" applyFont="1" applyFill="1" applyBorder="1" applyAlignment="1">
      <alignment horizontal="center" vertical="center"/>
    </xf>
    <xf numFmtId="2" fontId="12" fillId="0" borderId="230" xfId="79" applyNumberFormat="1" applyFont="1" applyFill="1" applyBorder="1" applyAlignment="1">
      <alignment horizontal="center" vertical="center"/>
    </xf>
    <xf numFmtId="2" fontId="12" fillId="0" borderId="308" xfId="79" applyNumberFormat="1" applyFont="1" applyFill="1" applyBorder="1" applyAlignment="1">
      <alignment horizontal="center" vertical="center"/>
    </xf>
    <xf numFmtId="4" fontId="13" fillId="28" borderId="17" xfId="79" applyNumberFormat="1" applyFont="1" applyFill="1" applyBorder="1" applyAlignment="1">
      <alignment horizontal="center" vertical="center"/>
    </xf>
    <xf numFmtId="4" fontId="13" fillId="28" borderId="18" xfId="79" applyNumberFormat="1" applyFont="1" applyFill="1" applyBorder="1" applyAlignment="1">
      <alignment horizontal="center" vertical="center"/>
    </xf>
    <xf numFmtId="4" fontId="13" fillId="28" borderId="389" xfId="79" applyNumberFormat="1" applyFont="1" applyFill="1" applyBorder="1" applyAlignment="1">
      <alignment horizontal="center" vertical="center"/>
    </xf>
    <xf numFmtId="4" fontId="13" fillId="28" borderId="38" xfId="79" applyNumberFormat="1" applyFont="1" applyFill="1" applyBorder="1" applyAlignment="1">
      <alignment horizontal="center" vertical="center"/>
    </xf>
    <xf numFmtId="170" fontId="13" fillId="28" borderId="389" xfId="0" applyNumberFormat="1" applyFont="1" applyFill="1" applyBorder="1" applyAlignment="1">
      <alignment horizontal="right" vertical="center"/>
    </xf>
    <xf numFmtId="170" fontId="13" fillId="28" borderId="367" xfId="0" applyNumberFormat="1" applyFont="1" applyFill="1" applyBorder="1" applyAlignment="1">
      <alignment horizontal="right" vertical="center"/>
    </xf>
    <xf numFmtId="171" fontId="49" fillId="28" borderId="389" xfId="85" applyNumberFormat="1" applyFont="1" applyFill="1" applyBorder="1" applyAlignment="1">
      <alignment horizontal="center" vertical="center"/>
    </xf>
    <xf numFmtId="171" fontId="49" fillId="28" borderId="367" xfId="85" applyNumberFormat="1" applyFont="1" applyFill="1" applyBorder="1" applyAlignment="1">
      <alignment horizontal="center" vertical="center"/>
    </xf>
    <xf numFmtId="170" fontId="48" fillId="28" borderId="389" xfId="79" applyNumberFormat="1" applyFont="1" applyFill="1" applyBorder="1" applyAlignment="1">
      <alignment horizontal="center" vertical="center"/>
    </xf>
    <xf numFmtId="170" fontId="48" fillId="28" borderId="367" xfId="79" applyNumberFormat="1" applyFont="1" applyFill="1" applyBorder="1" applyAlignment="1">
      <alignment horizontal="center" vertical="center"/>
    </xf>
    <xf numFmtId="0" fontId="12" fillId="28" borderId="369" xfId="79" applyNumberFormat="1" applyFont="1" applyFill="1" applyBorder="1" applyAlignment="1">
      <alignment horizontal="center" vertical="center"/>
    </xf>
    <xf numFmtId="0" fontId="12" fillId="28" borderId="402" xfId="79" applyNumberFormat="1" applyFont="1" applyFill="1" applyBorder="1" applyAlignment="1">
      <alignment horizontal="center" vertical="center"/>
    </xf>
    <xf numFmtId="0" fontId="13" fillId="28" borderId="52" xfId="79" applyFont="1" applyFill="1" applyBorder="1" applyAlignment="1">
      <alignment vertical="center"/>
    </xf>
    <xf numFmtId="2" fontId="13" fillId="28" borderId="76" xfId="79" applyNumberFormat="1" applyFont="1" applyFill="1" applyBorder="1" applyAlignment="1">
      <alignment vertical="center"/>
    </xf>
    <xf numFmtId="2" fontId="13" fillId="28" borderId="77" xfId="79" applyNumberFormat="1" applyFont="1" applyFill="1" applyBorder="1" applyAlignment="1">
      <alignment vertical="center"/>
    </xf>
    <xf numFmtId="2" fontId="13" fillId="28" borderId="40" xfId="85" applyNumberFormat="1" applyFont="1" applyFill="1" applyBorder="1" applyAlignment="1">
      <alignment vertical="center"/>
    </xf>
    <xf numFmtId="2" fontId="13" fillId="28" borderId="35" xfId="85" applyNumberFormat="1" applyFont="1" applyFill="1" applyBorder="1" applyAlignment="1">
      <alignment vertical="center"/>
    </xf>
    <xf numFmtId="0" fontId="13" fillId="28" borderId="35" xfId="85" applyNumberFormat="1" applyFont="1" applyFill="1" applyBorder="1" applyAlignment="1">
      <alignment vertical="center"/>
    </xf>
    <xf numFmtId="0" fontId="13" fillId="28" borderId="355" xfId="85" applyNumberFormat="1" applyFont="1" applyFill="1" applyBorder="1" applyAlignment="1">
      <alignment vertical="center"/>
    </xf>
    <xf numFmtId="0" fontId="13" fillId="28" borderId="390" xfId="85" applyNumberFormat="1" applyFont="1" applyFill="1" applyBorder="1" applyAlignment="1">
      <alignment vertical="center"/>
    </xf>
    <xf numFmtId="2" fontId="13" fillId="28" borderId="390" xfId="85" applyNumberFormat="1" applyFont="1" applyFill="1" applyBorder="1" applyAlignment="1">
      <alignment vertical="center"/>
    </xf>
    <xf numFmtId="171" fontId="49" fillId="28" borderId="397" xfId="85" applyNumberFormat="1" applyFont="1" applyFill="1" applyBorder="1" applyAlignment="1">
      <alignment horizontal="center" vertical="center"/>
    </xf>
    <xf numFmtId="2" fontId="13" fillId="28" borderId="355" xfId="85" applyNumberFormat="1" applyFont="1" applyFill="1" applyBorder="1" applyAlignment="1">
      <alignment vertical="center"/>
    </xf>
    <xf numFmtId="170" fontId="51" fillId="28" borderId="292" xfId="79" applyNumberFormat="1" applyFont="1" applyFill="1" applyBorder="1" applyAlignment="1">
      <alignment horizontal="center" vertical="center"/>
    </xf>
    <xf numFmtId="170" fontId="51" fillId="28" borderId="308" xfId="79" applyNumberFormat="1" applyFont="1" applyFill="1" applyBorder="1" applyAlignment="1">
      <alignment horizontal="center" vertical="center"/>
    </xf>
    <xf numFmtId="171" fontId="61" fillId="28" borderId="397" xfId="85" applyNumberFormat="1" applyFont="1" applyFill="1" applyBorder="1" applyAlignment="1">
      <alignment horizontal="center" vertical="center"/>
    </xf>
    <xf numFmtId="171" fontId="61" fillId="28" borderId="367" xfId="85" applyNumberFormat="1" applyFont="1" applyFill="1" applyBorder="1" applyAlignment="1">
      <alignment horizontal="center" vertical="center"/>
    </xf>
    <xf numFmtId="4" fontId="61" fillId="28" borderId="367" xfId="85" applyNumberFormat="1" applyFont="1" applyFill="1" applyBorder="1" applyAlignment="1">
      <alignment horizontal="center" vertical="center"/>
    </xf>
    <xf numFmtId="170" fontId="61" fillId="0" borderId="106" xfId="85" applyNumberFormat="1" applyFont="1" applyFill="1" applyBorder="1" applyAlignment="1">
      <alignment horizontal="center" vertical="center"/>
    </xf>
    <xf numFmtId="4" fontId="153" fillId="35" borderId="238" xfId="96" applyNumberFormat="1" applyFont="1" applyFill="1" applyBorder="1" applyAlignment="1">
      <alignment horizontal="center" vertical="center" wrapText="1"/>
    </xf>
    <xf numFmtId="4" fontId="101" fillId="0" borderId="367" xfId="0" applyNumberFormat="1" applyFont="1" applyFill="1" applyBorder="1" applyAlignment="1">
      <alignment horizontal="center" vertical="center"/>
    </xf>
    <xf numFmtId="4" fontId="101" fillId="0" borderId="352" xfId="0" applyNumberFormat="1" applyFont="1" applyFill="1" applyBorder="1" applyAlignment="1">
      <alignment horizontal="center" vertical="center"/>
    </xf>
    <xf numFmtId="169" fontId="101" fillId="0" borderId="359" xfId="0" applyNumberFormat="1" applyFont="1" applyFill="1" applyBorder="1" applyAlignment="1">
      <alignment horizontal="center" vertical="center"/>
    </xf>
    <xf numFmtId="2" fontId="101" fillId="0" borderId="359" xfId="0" applyNumberFormat="1" applyFont="1" applyFill="1" applyBorder="1" applyAlignment="1">
      <alignment horizontal="center" vertical="center"/>
    </xf>
    <xf numFmtId="168" fontId="92" fillId="0" borderId="359" xfId="0" applyNumberFormat="1" applyFont="1" applyFill="1" applyBorder="1" applyAlignment="1">
      <alignment horizontal="center" vertical="center"/>
    </xf>
    <xf numFmtId="4" fontId="92" fillId="0" borderId="359" xfId="0" applyNumberFormat="1" applyFont="1" applyFill="1" applyBorder="1" applyAlignment="1">
      <alignment horizontal="center" vertical="center"/>
    </xf>
    <xf numFmtId="4" fontId="92" fillId="0" borderId="352" xfId="0" applyNumberFormat="1" applyFont="1" applyFill="1" applyBorder="1" applyAlignment="1">
      <alignment horizontal="center" vertical="center"/>
    </xf>
    <xf numFmtId="168" fontId="101" fillId="0" borderId="359" xfId="0" applyNumberFormat="1" applyFont="1" applyFill="1" applyBorder="1" applyAlignment="1">
      <alignment vertical="center"/>
    </xf>
    <xf numFmtId="2" fontId="101" fillId="0" borderId="359" xfId="0" applyNumberFormat="1" applyFont="1" applyFill="1" applyBorder="1" applyAlignment="1">
      <alignment vertical="center"/>
    </xf>
    <xf numFmtId="2" fontId="101" fillId="0" borderId="352" xfId="0" applyNumberFormat="1" applyFont="1" applyFill="1" applyBorder="1" applyAlignment="1">
      <alignment vertical="center"/>
    </xf>
    <xf numFmtId="0" fontId="101" fillId="0" borderId="359" xfId="0" applyFont="1" applyFill="1" applyBorder="1" applyAlignment="1">
      <alignment vertical="center"/>
    </xf>
    <xf numFmtId="4" fontId="101" fillId="0" borderId="352" xfId="0" applyNumberFormat="1" applyFont="1" applyFill="1" applyBorder="1" applyAlignment="1">
      <alignment vertical="center"/>
    </xf>
    <xf numFmtId="168" fontId="92" fillId="0" borderId="359" xfId="0" applyNumberFormat="1" applyFont="1" applyFill="1" applyBorder="1" applyAlignment="1">
      <alignment vertical="center"/>
    </xf>
    <xf numFmtId="2" fontId="92" fillId="0" borderId="359" xfId="0" applyNumberFormat="1" applyFont="1" applyFill="1" applyBorder="1" applyAlignment="1">
      <alignment vertical="center"/>
    </xf>
    <xf numFmtId="4" fontId="92" fillId="0" borderId="352" xfId="0" applyNumberFormat="1" applyFont="1" applyFill="1" applyBorder="1" applyAlignment="1">
      <alignment vertical="center"/>
    </xf>
    <xf numFmtId="1" fontId="101" fillId="0" borderId="352" xfId="0" applyNumberFormat="1" applyFont="1" applyFill="1" applyBorder="1" applyAlignment="1">
      <alignment vertical="center"/>
    </xf>
    <xf numFmtId="2" fontId="92" fillId="0" borderId="352" xfId="0" applyNumberFormat="1" applyFont="1" applyFill="1" applyBorder="1" applyAlignment="1">
      <alignment vertical="center"/>
    </xf>
    <xf numFmtId="168" fontId="101" fillId="0" borderId="352" xfId="0" applyNumberFormat="1" applyFont="1" applyFill="1" applyBorder="1" applyAlignment="1">
      <alignment vertical="center"/>
    </xf>
    <xf numFmtId="0" fontId="101" fillId="0" borderId="345" xfId="0" applyFont="1" applyFill="1" applyBorder="1" applyAlignment="1">
      <alignment vertical="center"/>
    </xf>
    <xf numFmtId="168" fontId="101" fillId="0" borderId="293" xfId="0" applyNumberFormat="1" applyFont="1" applyFill="1" applyBorder="1" applyAlignment="1">
      <alignment vertical="center"/>
    </xf>
    <xf numFmtId="4" fontId="153" fillId="0" borderId="18" xfId="0" applyNumberFormat="1" applyFont="1" applyFill="1" applyBorder="1" applyAlignment="1">
      <alignment horizontal="center" vertical="center"/>
    </xf>
    <xf numFmtId="4" fontId="153" fillId="0" borderId="352" xfId="0" applyNumberFormat="1" applyFont="1" applyFill="1" applyBorder="1" applyAlignment="1">
      <alignment horizontal="center" vertical="center"/>
    </xf>
    <xf numFmtId="4" fontId="153" fillId="0" borderId="293" xfId="0" applyNumberFormat="1" applyFont="1" applyFill="1" applyBorder="1" applyAlignment="1">
      <alignment horizontal="center" vertical="center"/>
    </xf>
    <xf numFmtId="4" fontId="152" fillId="0" borderId="77" xfId="0" applyNumberFormat="1" applyFont="1" applyFill="1" applyBorder="1" applyAlignment="1">
      <alignment horizontal="center" vertical="center"/>
    </xf>
    <xf numFmtId="4" fontId="101" fillId="0" borderId="18" xfId="0" applyNumberFormat="1" applyFont="1" applyFill="1" applyBorder="1" applyAlignment="1">
      <alignment horizontal="center" vertical="center"/>
    </xf>
    <xf numFmtId="4" fontId="92" fillId="0" borderId="367" xfId="0" applyNumberFormat="1" applyFont="1" applyFill="1" applyBorder="1" applyAlignment="1">
      <alignment horizontal="center" vertical="center"/>
    </xf>
    <xf numFmtId="4" fontId="92" fillId="0" borderId="370" xfId="0" applyNumberFormat="1" applyFont="1" applyFill="1" applyBorder="1" applyAlignment="1">
      <alignment horizontal="center" vertical="center"/>
    </xf>
    <xf numFmtId="4" fontId="92" fillId="0" borderId="77" xfId="0" applyNumberFormat="1" applyFont="1" applyFill="1" applyBorder="1" applyAlignment="1">
      <alignment horizontal="center" vertical="center"/>
    </xf>
    <xf numFmtId="170" fontId="92" fillId="0" borderId="368" xfId="0" applyNumberFormat="1" applyFont="1" applyFill="1" applyBorder="1" applyAlignment="1">
      <alignment horizontal="right" vertical="center"/>
    </xf>
    <xf numFmtId="10" fontId="101" fillId="0" borderId="367" xfId="85" applyNumberFormat="1" applyFont="1" applyFill="1" applyBorder="1" applyAlignment="1">
      <alignment vertical="center"/>
    </xf>
    <xf numFmtId="4" fontId="101" fillId="0" borderId="368" xfId="0" applyNumberFormat="1" applyFont="1" applyFill="1" applyBorder="1" applyAlignment="1">
      <alignment horizontal="right" vertical="center"/>
    </xf>
    <xf numFmtId="170" fontId="92" fillId="0" borderId="368" xfId="0" applyNumberFormat="1" applyFont="1" applyFill="1" applyBorder="1" applyAlignment="1">
      <alignment horizontal="center" vertical="center"/>
    </xf>
    <xf numFmtId="4" fontId="101" fillId="0" borderId="369" xfId="0" applyNumberFormat="1" applyFont="1" applyFill="1" applyBorder="1" applyAlignment="1">
      <alignment horizontal="right" vertical="center"/>
    </xf>
    <xf numFmtId="10" fontId="101" fillId="0" borderId="370" xfId="85" applyNumberFormat="1" applyFont="1" applyFill="1" applyBorder="1" applyAlignment="1">
      <alignment vertical="center"/>
    </xf>
    <xf numFmtId="0" fontId="84" fillId="26" borderId="300" xfId="96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/>
    </xf>
    <xf numFmtId="4" fontId="13" fillId="28" borderId="389" xfId="79" applyNumberFormat="1" applyFont="1" applyFill="1" applyBorder="1" applyAlignment="1">
      <alignment horizontal="center" vertical="center"/>
    </xf>
    <xf numFmtId="4" fontId="84" fillId="38" borderId="380" xfId="0" applyNumberFormat="1" applyFont="1" applyFill="1" applyBorder="1" applyAlignment="1">
      <alignment horizontal="center" vertical="center"/>
    </xf>
    <xf numFmtId="0" fontId="84" fillId="0" borderId="0" xfId="0" applyFont="1" applyAlignment="1">
      <alignment horizontal="right"/>
    </xf>
    <xf numFmtId="0" fontId="13" fillId="38" borderId="380" xfId="0" applyFont="1" applyFill="1" applyBorder="1" applyAlignment="1">
      <alignment horizontal="center" vertical="center" wrapText="1"/>
    </xf>
    <xf numFmtId="0" fontId="12" fillId="0" borderId="392" xfId="0" applyFont="1" applyBorder="1" applyAlignment="1">
      <alignment horizontal="center" vertical="center"/>
    </xf>
    <xf numFmtId="0" fontId="84" fillId="26" borderId="300" xfId="96" applyFont="1" applyFill="1" applyBorder="1" applyAlignment="1">
      <alignment horizontal="center" vertical="center" wrapText="1"/>
    </xf>
    <xf numFmtId="171" fontId="60" fillId="0" borderId="357" xfId="85" applyNumberFormat="1" applyFont="1" applyFill="1" applyBorder="1" applyAlignment="1">
      <alignment vertical="center"/>
    </xf>
    <xf numFmtId="4" fontId="61" fillId="0" borderId="397" xfId="0" applyNumberFormat="1" applyFont="1" applyFill="1" applyBorder="1" applyAlignment="1">
      <alignment vertical="center"/>
    </xf>
    <xf numFmtId="4" fontId="61" fillId="0" borderId="389" xfId="0" applyNumberFormat="1" applyFont="1" applyFill="1" applyBorder="1" applyAlignment="1">
      <alignment vertical="center"/>
    </xf>
    <xf numFmtId="0" fontId="13" fillId="46" borderId="389" xfId="0" applyFont="1" applyFill="1" applyBorder="1" applyAlignment="1">
      <alignment horizontal="left" vertical="center" wrapText="1"/>
    </xf>
    <xf numFmtId="0" fontId="13" fillId="46" borderId="389" xfId="0" applyFont="1" applyFill="1" applyBorder="1" applyAlignment="1">
      <alignment horizontal="center" vertical="center" wrapText="1"/>
    </xf>
    <xf numFmtId="0" fontId="13" fillId="37" borderId="389" xfId="0" applyFont="1" applyFill="1" applyBorder="1" applyAlignment="1">
      <alignment horizontal="center" vertical="center" wrapText="1"/>
    </xf>
    <xf numFmtId="0" fontId="13" fillId="37" borderId="389" xfId="0" applyFont="1" applyFill="1" applyBorder="1" applyAlignment="1">
      <alignment horizontal="left" vertical="center" wrapText="1"/>
    </xf>
    <xf numFmtId="0" fontId="154" fillId="37" borderId="389" xfId="0" applyFont="1" applyFill="1" applyBorder="1" applyAlignment="1">
      <alignment vertical="center" wrapText="1"/>
    </xf>
    <xf numFmtId="0" fontId="155" fillId="32" borderId="389" xfId="0" applyFont="1" applyFill="1" applyBorder="1" applyAlignment="1">
      <alignment horizontal="center" vertical="center" wrapText="1"/>
    </xf>
    <xf numFmtId="0" fontId="155" fillId="32" borderId="389" xfId="0" applyFont="1" applyFill="1" applyBorder="1" applyAlignment="1">
      <alignment vertical="center" wrapText="1"/>
    </xf>
    <xf numFmtId="0" fontId="91" fillId="32" borderId="389" xfId="0" applyFont="1" applyFill="1" applyBorder="1" applyAlignment="1">
      <alignment horizontal="center" vertical="center" wrapText="1"/>
    </xf>
    <xf numFmtId="0" fontId="13" fillId="38" borderId="380" xfId="0" applyFont="1" applyFill="1" applyBorder="1" applyAlignment="1">
      <alignment horizontal="center" vertical="center"/>
    </xf>
    <xf numFmtId="4" fontId="13" fillId="36" borderId="380" xfId="0" applyNumberFormat="1" applyFont="1" applyFill="1" applyBorder="1" applyAlignment="1">
      <alignment horizontal="center" vertical="center"/>
    </xf>
    <xf numFmtId="0" fontId="13" fillId="36" borderId="380" xfId="0" applyFont="1" applyFill="1" applyBorder="1" applyAlignment="1">
      <alignment horizontal="center"/>
    </xf>
    <xf numFmtId="4" fontId="13" fillId="38" borderId="380" xfId="0" applyNumberFormat="1" applyFont="1" applyFill="1" applyBorder="1" applyAlignment="1">
      <alignment horizontal="center"/>
    </xf>
    <xf numFmtId="4" fontId="13" fillId="38" borderId="380" xfId="0" applyNumberFormat="1" applyFont="1" applyFill="1" applyBorder="1"/>
    <xf numFmtId="4" fontId="12" fillId="38" borderId="380" xfId="0" applyNumberFormat="1" applyFont="1" applyFill="1" applyBorder="1" applyAlignment="1">
      <alignment horizontal="center"/>
    </xf>
    <xf numFmtId="4" fontId="13" fillId="36" borderId="380" xfId="0" applyNumberFormat="1" applyFont="1" applyFill="1" applyBorder="1" applyAlignment="1">
      <alignment horizontal="center"/>
    </xf>
    <xf numFmtId="169" fontId="12" fillId="0" borderId="389" xfId="0" applyNumberFormat="1" applyFont="1" applyBorder="1" applyAlignment="1">
      <alignment horizontal="center" vertical="center"/>
    </xf>
    <xf numFmtId="169" fontId="15" fillId="0" borderId="389" xfId="0" applyNumberFormat="1" applyFont="1" applyBorder="1" applyAlignment="1">
      <alignment horizontal="center" vertical="center"/>
    </xf>
    <xf numFmtId="4" fontId="15" fillId="0" borderId="389" xfId="0" applyNumberFormat="1" applyFont="1" applyBorder="1" applyAlignment="1">
      <alignment horizontal="center" vertical="center"/>
    </xf>
    <xf numFmtId="4" fontId="18" fillId="0" borderId="389" xfId="0" applyNumberFormat="1" applyFont="1" applyBorder="1" applyAlignment="1">
      <alignment horizontal="center" vertical="center"/>
    </xf>
    <xf numFmtId="4" fontId="12" fillId="0" borderId="390" xfId="0" applyNumberFormat="1" applyFont="1" applyBorder="1" applyAlignment="1">
      <alignment horizontal="center" vertical="center"/>
    </xf>
    <xf numFmtId="4" fontId="17" fillId="0" borderId="364" xfId="0" applyNumberFormat="1" applyFont="1" applyFill="1" applyBorder="1" applyAlignment="1">
      <alignment horizontal="center" vertical="center"/>
    </xf>
    <xf numFmtId="171" fontId="83" fillId="0" borderId="391" xfId="85" applyNumberFormat="1" applyFont="1" applyFill="1" applyBorder="1" applyAlignment="1">
      <alignment horizontal="center" vertical="center"/>
    </xf>
    <xf numFmtId="171" fontId="83" fillId="0" borderId="389" xfId="85" applyNumberFormat="1" applyFont="1" applyFill="1" applyBorder="1" applyAlignment="1">
      <alignment horizontal="center" vertical="center"/>
    </xf>
    <xf numFmtId="171" fontId="17" fillId="0" borderId="389" xfId="0" applyNumberFormat="1" applyFont="1" applyFill="1" applyBorder="1" applyAlignment="1">
      <alignment horizontal="center" vertical="center" wrapText="1"/>
    </xf>
    <xf numFmtId="4" fontId="17" fillId="0" borderId="392" xfId="0" applyNumberFormat="1" applyFont="1" applyFill="1" applyBorder="1" applyAlignment="1">
      <alignment horizontal="center" vertical="center"/>
    </xf>
    <xf numFmtId="4" fontId="17" fillId="0" borderId="391" xfId="0" applyNumberFormat="1" applyFont="1" applyFill="1" applyBorder="1" applyAlignment="1">
      <alignment horizontal="center" vertical="center"/>
    </xf>
    <xf numFmtId="4" fontId="17" fillId="0" borderId="390" xfId="0" applyNumberFormat="1" applyFont="1" applyFill="1" applyBorder="1" applyAlignment="1">
      <alignment horizontal="center" vertical="center"/>
    </xf>
    <xf numFmtId="171" fontId="83" fillId="0" borderId="389" xfId="0" applyNumberFormat="1" applyFont="1" applyFill="1" applyBorder="1" applyAlignment="1">
      <alignment horizontal="center" vertical="center" wrapText="1"/>
    </xf>
    <xf numFmtId="0" fontId="13" fillId="0" borderId="364" xfId="0" applyFont="1" applyBorder="1" applyAlignment="1">
      <alignment vertical="center" wrapText="1"/>
    </xf>
    <xf numFmtId="0" fontId="60" fillId="0" borderId="389" xfId="0" applyFont="1" applyFill="1" applyBorder="1" applyAlignment="1">
      <alignment horizontal="left" vertical="center" wrapText="1"/>
    </xf>
    <xf numFmtId="0" fontId="156" fillId="0" borderId="389" xfId="0" applyFont="1" applyFill="1" applyBorder="1" applyAlignment="1">
      <alignment vertical="center" wrapText="1"/>
    </xf>
    <xf numFmtId="0" fontId="157" fillId="0" borderId="389" xfId="0" applyFont="1" applyFill="1" applyBorder="1" applyAlignment="1">
      <alignment vertical="center" wrapText="1"/>
    </xf>
    <xf numFmtId="0" fontId="17" fillId="0" borderId="392" xfId="0" applyFont="1" applyBorder="1"/>
    <xf numFmtId="4" fontId="17" fillId="0" borderId="390" xfId="0" applyNumberFormat="1" applyFont="1" applyBorder="1"/>
    <xf numFmtId="171" fontId="61" fillId="0" borderId="389" xfId="85" applyNumberFormat="1" applyFont="1" applyBorder="1"/>
    <xf numFmtId="0" fontId="60" fillId="0" borderId="364" xfId="0" applyFont="1" applyBorder="1"/>
    <xf numFmtId="4" fontId="17" fillId="0" borderId="390" xfId="0" applyNumberFormat="1" applyFont="1" applyFill="1" applyBorder="1"/>
    <xf numFmtId="0" fontId="17" fillId="0" borderId="392" xfId="0" applyFont="1" applyFill="1" applyBorder="1" applyAlignment="1">
      <alignment horizontal="center" vertical="center"/>
    </xf>
    <xf numFmtId="169" fontId="17" fillId="0" borderId="389" xfId="0" applyNumberFormat="1" applyFont="1" applyFill="1" applyBorder="1" applyAlignment="1">
      <alignment horizontal="center" vertical="center"/>
    </xf>
    <xf numFmtId="169" fontId="61" fillId="0" borderId="389" xfId="0" applyNumberFormat="1" applyFont="1" applyFill="1" applyBorder="1" applyAlignment="1">
      <alignment horizontal="center" vertical="center"/>
    </xf>
    <xf numFmtId="4" fontId="83" fillId="0" borderId="389" xfId="0" applyNumberFormat="1" applyFont="1" applyFill="1" applyBorder="1" applyAlignment="1">
      <alignment horizontal="center" vertical="center"/>
    </xf>
    <xf numFmtId="171" fontId="83" fillId="0" borderId="390" xfId="85" applyNumberFormat="1" applyFont="1" applyFill="1" applyBorder="1" applyAlignment="1">
      <alignment horizontal="center" vertical="center"/>
    </xf>
    <xf numFmtId="0" fontId="13" fillId="0" borderId="357" xfId="0" applyFont="1" applyFill="1" applyBorder="1" applyAlignment="1">
      <alignment vertical="center"/>
    </xf>
    <xf numFmtId="171" fontId="61" fillId="0" borderId="390" xfId="85" applyNumberFormat="1" applyFont="1" applyFill="1" applyBorder="1" applyAlignment="1">
      <alignment horizontal="center" vertical="center"/>
    </xf>
    <xf numFmtId="4" fontId="60" fillId="0" borderId="397" xfId="0" applyNumberFormat="1" applyFont="1" applyFill="1" applyBorder="1" applyAlignment="1">
      <alignment vertical="center"/>
    </xf>
    <xf numFmtId="4" fontId="60" fillId="0" borderId="389" xfId="0" applyNumberFormat="1" applyFont="1" applyFill="1" applyBorder="1" applyAlignment="1">
      <alignment vertical="center"/>
    </xf>
    <xf numFmtId="4" fontId="91" fillId="32" borderId="389" xfId="0" applyNumberFormat="1" applyFont="1" applyFill="1" applyBorder="1" applyAlignment="1">
      <alignment horizontal="center" vertical="center" wrapText="1"/>
    </xf>
    <xf numFmtId="4" fontId="13" fillId="37" borderId="389" xfId="0" applyNumberFormat="1" applyFont="1" applyFill="1" applyBorder="1" applyAlignment="1">
      <alignment horizontal="center" vertical="center" wrapText="1"/>
    </xf>
    <xf numFmtId="4" fontId="7" fillId="0" borderId="0" xfId="79" applyNumberFormat="1"/>
    <xf numFmtId="2" fontId="12" fillId="47" borderId="0" xfId="79" applyNumberFormat="1" applyFont="1" applyFill="1" applyAlignment="1">
      <alignment vertical="center"/>
    </xf>
    <xf numFmtId="2" fontId="13" fillId="28" borderId="17" xfId="85" applyNumberFormat="1" applyFont="1" applyFill="1" applyBorder="1" applyAlignment="1">
      <alignment vertical="center"/>
    </xf>
    <xf numFmtId="0" fontId="13" fillId="28" borderId="17" xfId="85" applyNumberFormat="1" applyFont="1" applyFill="1" applyBorder="1" applyAlignment="1">
      <alignment vertical="center"/>
    </xf>
    <xf numFmtId="0" fontId="13" fillId="28" borderId="389" xfId="85" applyNumberFormat="1" applyFont="1" applyFill="1" applyBorder="1" applyAlignment="1">
      <alignment vertical="center"/>
    </xf>
    <xf numFmtId="2" fontId="13" fillId="28" borderId="389" xfId="85" applyNumberFormat="1" applyFont="1" applyFill="1" applyBorder="1" applyAlignment="1">
      <alignment vertical="center"/>
    </xf>
    <xf numFmtId="170" fontId="51" fillId="28" borderId="369" xfId="79" applyNumberFormat="1" applyFont="1" applyFill="1" applyBorder="1" applyAlignment="1">
      <alignment horizontal="center" vertical="center"/>
    </xf>
    <xf numFmtId="0" fontId="13" fillId="38" borderId="410" xfId="0" applyFont="1" applyFill="1" applyBorder="1" applyAlignment="1">
      <alignment horizontal="center" vertical="center"/>
    </xf>
    <xf numFmtId="0" fontId="13" fillId="38" borderId="412" xfId="0" applyFont="1" applyFill="1" applyBorder="1" applyAlignment="1">
      <alignment horizontal="center" vertical="center"/>
    </xf>
    <xf numFmtId="0" fontId="13" fillId="38" borderId="405" xfId="0" applyFont="1" applyFill="1" applyBorder="1" applyAlignment="1">
      <alignment wrapText="1"/>
    </xf>
    <xf numFmtId="0" fontId="13" fillId="38" borderId="405" xfId="0" applyFont="1" applyFill="1" applyBorder="1" applyAlignment="1">
      <alignment horizontal="center" vertical="center"/>
    </xf>
    <xf numFmtId="0" fontId="13" fillId="36" borderId="405" xfId="0" applyFont="1" applyFill="1" applyBorder="1" applyAlignment="1">
      <alignment horizontal="center" vertical="center"/>
    </xf>
    <xf numFmtId="0" fontId="13" fillId="36" borderId="407" xfId="0" applyFont="1" applyFill="1" applyBorder="1" applyAlignment="1">
      <alignment horizontal="center" vertical="center"/>
    </xf>
    <xf numFmtId="169" fontId="13" fillId="37" borderId="414" xfId="0" applyNumberFormat="1" applyFont="1" applyFill="1" applyBorder="1" applyAlignment="1">
      <alignment horizontal="center" vertical="center"/>
    </xf>
    <xf numFmtId="2" fontId="13" fillId="45" borderId="394" xfId="0" applyNumberFormat="1" applyFont="1" applyFill="1" applyBorder="1" applyAlignment="1">
      <alignment horizontal="center" vertical="center"/>
    </xf>
    <xf numFmtId="2" fontId="13" fillId="45" borderId="415" xfId="0" applyNumberFormat="1" applyFont="1" applyFill="1" applyBorder="1" applyAlignment="1">
      <alignment horizontal="center" vertical="center"/>
    </xf>
    <xf numFmtId="0" fontId="13" fillId="38" borderId="410" xfId="0" applyFont="1" applyFill="1" applyBorder="1" applyAlignment="1">
      <alignment vertical="center" wrapText="1"/>
    </xf>
    <xf numFmtId="0" fontId="13" fillId="36" borderId="410" xfId="0" applyFont="1" applyFill="1" applyBorder="1" applyAlignment="1">
      <alignment horizontal="center" vertical="center"/>
    </xf>
    <xf numFmtId="0" fontId="13" fillId="36" borderId="412" xfId="0" applyFont="1" applyFill="1" applyBorder="1" applyAlignment="1">
      <alignment horizontal="center" vertical="center"/>
    </xf>
    <xf numFmtId="169" fontId="13" fillId="37" borderId="416" xfId="0" applyNumberFormat="1" applyFont="1" applyFill="1" applyBorder="1" applyAlignment="1">
      <alignment horizontal="center" vertical="center"/>
    </xf>
    <xf numFmtId="0" fontId="13" fillId="45" borderId="410" xfId="0" applyFont="1" applyFill="1" applyBorder="1" applyAlignment="1">
      <alignment horizontal="center" vertical="center"/>
    </xf>
    <xf numFmtId="2" fontId="13" fillId="45" borderId="417" xfId="0" applyNumberFormat="1" applyFont="1" applyFill="1" applyBorder="1" applyAlignment="1">
      <alignment horizontal="center" vertical="center"/>
    </xf>
    <xf numFmtId="0" fontId="13" fillId="38" borderId="405" xfId="0" applyFont="1" applyFill="1" applyBorder="1" applyAlignment="1">
      <alignment vertical="center" wrapText="1"/>
    </xf>
    <xf numFmtId="169" fontId="13" fillId="37" borderId="418" xfId="0" applyNumberFormat="1" applyFont="1" applyFill="1" applyBorder="1" applyAlignment="1">
      <alignment horizontal="center" vertical="center"/>
    </xf>
    <xf numFmtId="2" fontId="13" fillId="45" borderId="405" xfId="0" applyNumberFormat="1" applyFont="1" applyFill="1" applyBorder="1" applyAlignment="1">
      <alignment horizontal="center" vertical="center"/>
    </xf>
    <xf numFmtId="2" fontId="13" fillId="45" borderId="419" xfId="0" applyNumberFormat="1" applyFont="1" applyFill="1" applyBorder="1" applyAlignment="1">
      <alignment horizontal="center" vertical="center"/>
    </xf>
    <xf numFmtId="2" fontId="13" fillId="45" borderId="410" xfId="0" applyNumberFormat="1" applyFont="1" applyFill="1" applyBorder="1" applyAlignment="1">
      <alignment horizontal="center" vertical="center"/>
    </xf>
    <xf numFmtId="0" fontId="13" fillId="45" borderId="405" xfId="0" applyFont="1" applyFill="1" applyBorder="1" applyAlignment="1">
      <alignment horizontal="center" vertical="center"/>
    </xf>
    <xf numFmtId="0" fontId="13" fillId="38" borderId="410" xfId="0" applyFont="1" applyFill="1" applyBorder="1" applyAlignment="1">
      <alignment wrapText="1"/>
    </xf>
    <xf numFmtId="2" fontId="13" fillId="45" borderId="394" xfId="0" applyNumberFormat="1" applyFont="1" applyFill="1" applyBorder="1" applyAlignment="1">
      <alignment vertical="center"/>
    </xf>
    <xf numFmtId="0" fontId="13" fillId="36" borderId="394" xfId="0" applyFont="1" applyFill="1" applyBorder="1" applyAlignment="1">
      <alignment horizontal="center" vertical="center"/>
    </xf>
    <xf numFmtId="0" fontId="13" fillId="36" borderId="421" xfId="0" applyFont="1" applyFill="1" applyBorder="1" applyAlignment="1">
      <alignment horizontal="center" vertical="center"/>
    </xf>
    <xf numFmtId="0" fontId="13" fillId="45" borderId="394" xfId="0" applyFont="1" applyFill="1" applyBorder="1"/>
    <xf numFmtId="0" fontId="13" fillId="36" borderId="380" xfId="0" applyFont="1" applyFill="1" applyBorder="1" applyAlignment="1">
      <alignment horizontal="center" vertical="center"/>
    </xf>
    <xf numFmtId="0" fontId="13" fillId="36" borderId="381" xfId="0" applyFont="1" applyFill="1" applyBorder="1" applyAlignment="1">
      <alignment horizontal="center" vertical="center"/>
    </xf>
    <xf numFmtId="169" fontId="13" fillId="37" borderId="423" xfId="0" applyNumberFormat="1" applyFont="1" applyFill="1" applyBorder="1" applyAlignment="1">
      <alignment horizontal="center" vertical="center"/>
    </xf>
    <xf numFmtId="0" fontId="13" fillId="45" borderId="380" xfId="0" applyFont="1" applyFill="1" applyBorder="1"/>
    <xf numFmtId="2" fontId="13" fillId="45" borderId="424" xfId="0" applyNumberFormat="1" applyFont="1" applyFill="1" applyBorder="1" applyAlignment="1">
      <alignment horizontal="center" vertical="center"/>
    </xf>
    <xf numFmtId="0" fontId="13" fillId="38" borderId="393" xfId="0" applyFont="1" applyFill="1" applyBorder="1" applyAlignment="1">
      <alignment vertical="center" wrapText="1"/>
    </xf>
    <xf numFmtId="0" fontId="13" fillId="36" borderId="393" xfId="0" applyFont="1" applyFill="1" applyBorder="1" applyAlignment="1">
      <alignment horizontal="center" vertical="center"/>
    </xf>
    <xf numFmtId="0" fontId="13" fillId="36" borderId="426" xfId="0" applyFont="1" applyFill="1" applyBorder="1" applyAlignment="1">
      <alignment horizontal="center" vertical="center"/>
    </xf>
    <xf numFmtId="169" fontId="13" fillId="37" borderId="427" xfId="0" applyNumberFormat="1" applyFont="1" applyFill="1" applyBorder="1" applyAlignment="1">
      <alignment horizontal="center" vertical="center"/>
    </xf>
    <xf numFmtId="0" fontId="13" fillId="45" borderId="393" xfId="0" applyFont="1" applyFill="1" applyBorder="1"/>
    <xf numFmtId="2" fontId="13" fillId="45" borderId="428" xfId="0" applyNumberFormat="1" applyFont="1" applyFill="1" applyBorder="1" applyAlignment="1">
      <alignment horizontal="center" vertical="center"/>
    </xf>
    <xf numFmtId="0" fontId="13" fillId="38" borderId="393" xfId="0" applyFont="1" applyFill="1" applyBorder="1" applyAlignment="1">
      <alignment horizontal="center" vertical="center"/>
    </xf>
    <xf numFmtId="0" fontId="13" fillId="48" borderId="404" xfId="0" applyFont="1" applyFill="1" applyBorder="1"/>
    <xf numFmtId="0" fontId="13" fillId="48" borderId="405" xfId="0" applyFont="1" applyFill="1" applyBorder="1"/>
    <xf numFmtId="169" fontId="13" fillId="48" borderId="405" xfId="0" applyNumberFormat="1" applyFont="1" applyFill="1" applyBorder="1"/>
    <xf numFmtId="0" fontId="13" fillId="48" borderId="408" xfId="0" applyFont="1" applyFill="1" applyBorder="1"/>
    <xf numFmtId="2" fontId="12" fillId="48" borderId="429" xfId="0" applyNumberFormat="1" applyFont="1" applyFill="1" applyBorder="1"/>
    <xf numFmtId="0" fontId="13" fillId="48" borderId="409" xfId="0" applyFont="1" applyFill="1" applyBorder="1"/>
    <xf numFmtId="0" fontId="13" fillId="48" borderId="410" xfId="0" applyFont="1" applyFill="1" applyBorder="1"/>
    <xf numFmtId="169" fontId="13" fillId="48" borderId="410" xfId="0" applyNumberFormat="1" applyFont="1" applyFill="1" applyBorder="1"/>
    <xf numFmtId="0" fontId="13" fillId="48" borderId="413" xfId="0" applyFont="1" applyFill="1" applyBorder="1"/>
    <xf numFmtId="2" fontId="12" fillId="48" borderId="430" xfId="0" applyNumberFormat="1" applyFont="1" applyFill="1" applyBorder="1"/>
    <xf numFmtId="0" fontId="12" fillId="38" borderId="380" xfId="0" applyFont="1" applyFill="1" applyBorder="1" applyAlignment="1">
      <alignment horizontal="center" vertical="center" wrapText="1"/>
    </xf>
    <xf numFmtId="4" fontId="13" fillId="38" borderId="380" xfId="0" applyNumberFormat="1" applyFont="1" applyFill="1" applyBorder="1" applyAlignment="1">
      <alignment horizontal="center" vertical="center" wrapText="1"/>
    </xf>
    <xf numFmtId="0" fontId="12" fillId="36" borderId="380" xfId="0" applyFont="1" applyFill="1" applyBorder="1" applyAlignment="1">
      <alignment horizontal="center" vertical="center" wrapText="1"/>
    </xf>
    <xf numFmtId="4" fontId="13" fillId="36" borderId="380" xfId="0" applyNumberFormat="1" applyFont="1" applyFill="1" applyBorder="1" applyAlignment="1">
      <alignment horizontal="center" vertical="center" wrapText="1"/>
    </xf>
    <xf numFmtId="0" fontId="13" fillId="36" borderId="380" xfId="0" applyFont="1" applyFill="1" applyBorder="1" applyAlignment="1">
      <alignment horizontal="center" vertical="center" wrapText="1"/>
    </xf>
    <xf numFmtId="178" fontId="13" fillId="36" borderId="380" xfId="0" applyNumberFormat="1" applyFont="1" applyFill="1" applyBorder="1" applyAlignment="1">
      <alignment horizontal="center" vertical="center" wrapText="1"/>
    </xf>
    <xf numFmtId="0" fontId="159" fillId="36" borderId="380" xfId="0" applyFont="1" applyFill="1" applyBorder="1" applyAlignment="1">
      <alignment horizontal="center"/>
    </xf>
    <xf numFmtId="0" fontId="159" fillId="36" borderId="380" xfId="0" applyFont="1" applyFill="1" applyBorder="1"/>
    <xf numFmtId="171" fontId="61" fillId="0" borderId="392" xfId="0" applyNumberFormat="1" applyFont="1" applyFill="1" applyBorder="1" applyAlignment="1">
      <alignment horizontal="center" vertical="center" wrapText="1"/>
    </xf>
    <xf numFmtId="0" fontId="84" fillId="26" borderId="300" xfId="96" applyFont="1" applyFill="1" applyBorder="1" applyAlignment="1">
      <alignment horizontal="center" vertical="center" wrapText="1"/>
    </xf>
    <xf numFmtId="4" fontId="60" fillId="0" borderId="367" xfId="0" applyNumberFormat="1" applyFont="1" applyFill="1" applyBorder="1" applyAlignment="1">
      <alignment vertical="center"/>
    </xf>
    <xf numFmtId="4" fontId="17" fillId="0" borderId="397" xfId="0" applyNumberFormat="1" applyFont="1" applyFill="1" applyBorder="1" applyAlignment="1">
      <alignment vertical="center"/>
    </xf>
    <xf numFmtId="4" fontId="17" fillId="0" borderId="367" xfId="0" applyNumberFormat="1" applyFont="1" applyFill="1" applyBorder="1" applyAlignment="1">
      <alignment vertical="center"/>
    </xf>
    <xf numFmtId="171" fontId="61" fillId="0" borderId="367" xfId="85" applyNumberFormat="1" applyFont="1" applyFill="1" applyBorder="1" applyAlignment="1">
      <alignment horizontal="center" vertical="center"/>
    </xf>
    <xf numFmtId="10" fontId="60" fillId="0" borderId="369" xfId="0" applyNumberFormat="1" applyFont="1" applyFill="1" applyBorder="1"/>
    <xf numFmtId="0" fontId="60" fillId="0" borderId="323" xfId="0" applyFont="1" applyFill="1" applyBorder="1" applyAlignment="1">
      <alignment vertical="center" wrapText="1"/>
    </xf>
    <xf numFmtId="0" fontId="60" fillId="0" borderId="327" xfId="0" applyFont="1" applyFill="1" applyBorder="1" applyAlignment="1">
      <alignment horizontal="center" vertical="center"/>
    </xf>
    <xf numFmtId="169" fontId="60" fillId="0" borderId="325" xfId="0" applyNumberFormat="1" applyFont="1" applyFill="1" applyBorder="1" applyAlignment="1">
      <alignment horizontal="center" vertical="center"/>
    </xf>
    <xf numFmtId="4" fontId="60" fillId="0" borderId="325" xfId="0" applyNumberFormat="1" applyFont="1" applyFill="1" applyBorder="1" applyAlignment="1">
      <alignment horizontal="center" vertical="center"/>
    </xf>
    <xf numFmtId="4" fontId="60" fillId="0" borderId="328" xfId="0" applyNumberFormat="1" applyFont="1" applyFill="1" applyBorder="1" applyAlignment="1">
      <alignment horizontal="center" vertical="center"/>
    </xf>
    <xf numFmtId="4" fontId="60" fillId="0" borderId="323" xfId="0" applyNumberFormat="1" applyFont="1" applyFill="1" applyBorder="1" applyAlignment="1">
      <alignment horizontal="center" vertical="center"/>
    </xf>
    <xf numFmtId="4" fontId="60" fillId="0" borderId="329" xfId="0" applyNumberFormat="1" applyFont="1" applyFill="1" applyBorder="1" applyAlignment="1">
      <alignment horizontal="center" vertical="center"/>
    </xf>
    <xf numFmtId="4" fontId="60" fillId="0" borderId="324" xfId="0" applyNumberFormat="1" applyFont="1" applyFill="1" applyBorder="1" applyAlignment="1">
      <alignment horizontal="center" vertical="center"/>
    </xf>
    <xf numFmtId="4" fontId="60" fillId="0" borderId="326" xfId="0" applyNumberFormat="1" applyFont="1" applyFill="1" applyBorder="1" applyAlignment="1">
      <alignment horizontal="center" vertical="center"/>
    </xf>
    <xf numFmtId="4" fontId="60" fillId="0" borderId="327" xfId="0" applyNumberFormat="1" applyFont="1" applyFill="1" applyBorder="1" applyAlignment="1">
      <alignment horizontal="center" vertical="center"/>
    </xf>
    <xf numFmtId="4" fontId="61" fillId="0" borderId="325" xfId="0" applyNumberFormat="1" applyFont="1" applyFill="1" applyBorder="1" applyAlignment="1">
      <alignment horizontal="center" vertical="center"/>
    </xf>
    <xf numFmtId="0" fontId="60" fillId="0" borderId="364" xfId="0" applyFont="1" applyFill="1" applyBorder="1" applyAlignment="1">
      <alignment vertical="center" wrapText="1"/>
    </xf>
    <xf numFmtId="4" fontId="17" fillId="0" borderId="389" xfId="0" applyNumberFormat="1" applyFont="1" applyFill="1" applyBorder="1" applyAlignment="1">
      <alignment vertical="center"/>
    </xf>
    <xf numFmtId="0" fontId="160" fillId="0" borderId="336" xfId="0" applyFont="1" applyBorder="1" applyAlignment="1">
      <alignment vertical="center" wrapText="1"/>
    </xf>
    <xf numFmtId="0" fontId="60" fillId="0" borderId="73" xfId="0" applyFont="1" applyBorder="1" applyAlignment="1">
      <alignment horizontal="left" vertical="center"/>
    </xf>
    <xf numFmtId="2" fontId="60" fillId="0" borderId="355" xfId="0" applyNumberFormat="1" applyFont="1" applyBorder="1" applyAlignment="1">
      <alignment vertical="center"/>
    </xf>
    <xf numFmtId="0" fontId="60" fillId="0" borderId="355" xfId="0" applyFont="1" applyBorder="1" applyAlignment="1">
      <alignment horizontal="left" vertical="center"/>
    </xf>
    <xf numFmtId="0" fontId="60" fillId="29" borderId="355" xfId="0" applyFont="1" applyFill="1" applyBorder="1" applyAlignment="1">
      <alignment horizontal="left" vertical="center"/>
    </xf>
    <xf numFmtId="0" fontId="60" fillId="29" borderId="223" xfId="0" applyFont="1" applyFill="1" applyBorder="1" applyAlignment="1">
      <alignment horizontal="left" vertical="center"/>
    </xf>
    <xf numFmtId="0" fontId="60" fillId="28" borderId="73" xfId="0" applyFont="1" applyFill="1" applyBorder="1" applyAlignment="1">
      <alignment horizontal="left" vertical="center"/>
    </xf>
    <xf numFmtId="2" fontId="60" fillId="28" borderId="355" xfId="0" applyNumberFormat="1" applyFont="1" applyFill="1" applyBorder="1" applyAlignment="1">
      <alignment vertical="center"/>
    </xf>
    <xf numFmtId="0" fontId="60" fillId="28" borderId="223" xfId="0" applyFont="1" applyFill="1" applyBorder="1" applyAlignment="1">
      <alignment horizontal="left" vertical="center"/>
    </xf>
    <xf numFmtId="0" fontId="60" fillId="29" borderId="399" xfId="0" applyFont="1" applyFill="1" applyBorder="1" applyAlignment="1">
      <alignment horizontal="center" vertical="center"/>
    </xf>
    <xf numFmtId="2" fontId="60" fillId="29" borderId="35" xfId="0" applyNumberFormat="1" applyFont="1" applyFill="1" applyBorder="1"/>
    <xf numFmtId="168" fontId="60" fillId="29" borderId="390" xfId="0" applyNumberFormat="1" applyFont="1" applyFill="1" applyBorder="1"/>
    <xf numFmtId="2" fontId="60" fillId="29" borderId="390" xfId="0" applyNumberFormat="1" applyFont="1" applyFill="1" applyBorder="1"/>
    <xf numFmtId="2" fontId="60" fillId="29" borderId="399" xfId="0" applyNumberFormat="1" applyFont="1" applyFill="1" applyBorder="1"/>
    <xf numFmtId="2" fontId="60" fillId="28" borderId="35" xfId="0" applyNumberFormat="1" applyFont="1" applyFill="1" applyBorder="1"/>
    <xf numFmtId="168" fontId="60" fillId="28" borderId="390" xfId="0" applyNumberFormat="1" applyFont="1" applyFill="1" applyBorder="1"/>
    <xf numFmtId="2" fontId="60" fillId="28" borderId="399" xfId="0" applyNumberFormat="1" applyFont="1" applyFill="1" applyBorder="1"/>
    <xf numFmtId="2" fontId="60" fillId="28" borderId="401" xfId="0" applyNumberFormat="1" applyFont="1" applyFill="1" applyBorder="1"/>
    <xf numFmtId="0" fontId="13" fillId="33" borderId="364" xfId="0" applyFont="1" applyFill="1" applyBorder="1"/>
    <xf numFmtId="2" fontId="60" fillId="33" borderId="364" xfId="0" applyNumberFormat="1" applyFont="1" applyFill="1" applyBorder="1"/>
    <xf numFmtId="168" fontId="60" fillId="33" borderId="364" xfId="0" applyNumberFormat="1" applyFont="1" applyFill="1" applyBorder="1"/>
    <xf numFmtId="171" fontId="60" fillId="0" borderId="306" xfId="0" applyNumberFormat="1" applyFont="1" applyFill="1" applyBorder="1"/>
    <xf numFmtId="4" fontId="0" fillId="0" borderId="0" xfId="0" applyNumberFormat="1" applyFont="1" applyFill="1"/>
    <xf numFmtId="4" fontId="82" fillId="0" borderId="0" xfId="0" applyNumberFormat="1" applyFont="1"/>
    <xf numFmtId="4" fontId="161" fillId="0" borderId="0" xfId="0" applyNumberFormat="1" applyFont="1"/>
    <xf numFmtId="4" fontId="125" fillId="0" borderId="11" xfId="79" applyNumberFormat="1" applyFont="1" applyFill="1" applyBorder="1" applyAlignment="1">
      <alignment horizontal="center" vertical="center"/>
    </xf>
    <xf numFmtId="0" fontId="17" fillId="0" borderId="389" xfId="0" applyFont="1" applyFill="1" applyBorder="1" applyAlignment="1">
      <alignment vertical="center"/>
    </xf>
    <xf numFmtId="0" fontId="60" fillId="29" borderId="233" xfId="0" applyFont="1" applyFill="1" applyBorder="1" applyAlignment="1">
      <alignment horizontal="center" vertical="center" wrapText="1"/>
    </xf>
    <xf numFmtId="4" fontId="17" fillId="43" borderId="389" xfId="0" applyNumberFormat="1" applyFont="1" applyFill="1" applyBorder="1"/>
    <xf numFmtId="4" fontId="83" fillId="43" borderId="389" xfId="0" applyNumberFormat="1" applyFont="1" applyFill="1" applyBorder="1" applyAlignment="1">
      <alignment vertical="center"/>
    </xf>
    <xf numFmtId="2" fontId="83" fillId="0" borderId="335" xfId="0" applyNumberFormat="1" applyFont="1" applyBorder="1" applyAlignment="1">
      <alignment vertical="center"/>
    </xf>
    <xf numFmtId="2" fontId="83" fillId="43" borderId="335" xfId="0" applyNumberFormat="1" applyFont="1" applyFill="1" applyBorder="1" applyAlignment="1">
      <alignment vertical="center"/>
    </xf>
    <xf numFmtId="2" fontId="83" fillId="0" borderId="335" xfId="0" applyNumberFormat="1" applyFont="1" applyFill="1" applyBorder="1" applyAlignment="1">
      <alignment vertical="center"/>
    </xf>
    <xf numFmtId="4" fontId="17" fillId="0" borderId="335" xfId="0" applyNumberFormat="1" applyFont="1" applyBorder="1"/>
    <xf numFmtId="0" fontId="60" fillId="43" borderId="335" xfId="0" applyFont="1" applyFill="1" applyBorder="1"/>
    <xf numFmtId="0" fontId="61" fillId="0" borderId="335" xfId="0" applyFont="1" applyFill="1" applyBorder="1"/>
    <xf numFmtId="10" fontId="60" fillId="0" borderId="11" xfId="0" applyNumberFormat="1" applyFont="1" applyBorder="1" applyAlignment="1">
      <alignment vertical="center"/>
    </xf>
    <xf numFmtId="10" fontId="60" fillId="0" borderId="102" xfId="0" applyNumberFormat="1" applyFont="1" applyBorder="1" applyAlignment="1">
      <alignment vertical="center"/>
    </xf>
    <xf numFmtId="10" fontId="60" fillId="0" borderId="96" xfId="0" applyNumberFormat="1" applyFont="1" applyBorder="1" applyAlignment="1">
      <alignment vertical="center"/>
    </xf>
    <xf numFmtId="4" fontId="84" fillId="0" borderId="0" xfId="0" applyNumberFormat="1" applyFont="1" applyFill="1"/>
    <xf numFmtId="4" fontId="60" fillId="0" borderId="0" xfId="0" applyNumberFormat="1" applyFont="1" applyFill="1"/>
    <xf numFmtId="0" fontId="60" fillId="0" borderId="344" xfId="0" applyFont="1" applyFill="1" applyBorder="1" applyAlignment="1">
      <alignment vertical="center" wrapText="1"/>
    </xf>
    <xf numFmtId="4" fontId="17" fillId="43" borderId="335" xfId="0" applyNumberFormat="1" applyFont="1" applyFill="1" applyBorder="1" applyAlignment="1">
      <alignment horizontal="right" vertical="center" wrapText="1"/>
    </xf>
    <xf numFmtId="2" fontId="17" fillId="0" borderId="335" xfId="0" applyNumberFormat="1" applyFont="1" applyBorder="1" applyAlignment="1">
      <alignment horizontal="center" vertical="center"/>
    </xf>
    <xf numFmtId="2" fontId="17" fillId="43" borderId="335" xfId="0" applyNumberFormat="1" applyFont="1" applyFill="1" applyBorder="1" applyAlignment="1">
      <alignment horizontal="center" vertical="center"/>
    </xf>
    <xf numFmtId="4" fontId="17" fillId="43" borderId="335" xfId="0" applyNumberFormat="1" applyFont="1" applyFill="1" applyBorder="1" applyAlignment="1">
      <alignment horizontal="right" vertical="center"/>
    </xf>
    <xf numFmtId="4" fontId="60" fillId="43" borderId="335" xfId="0" applyNumberFormat="1" applyFont="1" applyFill="1" applyBorder="1" applyAlignment="1">
      <alignment horizontal="right" vertical="center"/>
    </xf>
    <xf numFmtId="169" fontId="60" fillId="0" borderId="335" xfId="0" applyNumberFormat="1" applyFont="1" applyBorder="1"/>
    <xf numFmtId="4" fontId="61" fillId="43" borderId="344" xfId="0" applyNumberFormat="1" applyFont="1" applyFill="1" applyBorder="1"/>
    <xf numFmtId="0" fontId="60" fillId="0" borderId="389" xfId="0" applyFont="1" applyFill="1" applyBorder="1" applyAlignment="1">
      <alignment vertical="center" wrapText="1"/>
    </xf>
    <xf numFmtId="0" fontId="60" fillId="43" borderId="335" xfId="0" applyFont="1" applyFill="1" applyBorder="1" applyAlignment="1">
      <alignment horizontal="center" vertical="center" wrapText="1"/>
    </xf>
    <xf numFmtId="0" fontId="17" fillId="0" borderId="351" xfId="0" applyFont="1" applyBorder="1" applyAlignment="1">
      <alignment horizontal="center" vertical="center" wrapText="1"/>
    </xf>
    <xf numFmtId="4" fontId="17" fillId="30" borderId="66" xfId="0" applyNumberFormat="1" applyFont="1" applyFill="1" applyBorder="1"/>
    <xf numFmtId="4" fontId="60" fillId="43" borderId="349" xfId="0" applyNumberFormat="1" applyFont="1" applyFill="1" applyBorder="1"/>
    <xf numFmtId="4" fontId="60" fillId="0" borderId="349" xfId="0" applyNumberFormat="1" applyFont="1" applyFill="1" applyBorder="1"/>
    <xf numFmtId="2" fontId="17" fillId="0" borderId="335" xfId="0" applyNumberFormat="1" applyFont="1" applyFill="1" applyBorder="1" applyAlignment="1">
      <alignment horizontal="right" vertical="center" wrapText="1"/>
    </xf>
    <xf numFmtId="2" fontId="60" fillId="0" borderId="335" xfId="0" applyNumberFormat="1" applyFont="1" applyFill="1" applyBorder="1" applyAlignment="1">
      <alignment horizontal="right" vertical="center" wrapText="1"/>
    </xf>
    <xf numFmtId="0" fontId="17" fillId="0" borderId="397" xfId="0" applyFont="1" applyBorder="1" applyAlignment="1">
      <alignment vertical="center"/>
    </xf>
    <xf numFmtId="0" fontId="0" fillId="0" borderId="389" xfId="0" applyFont="1" applyBorder="1"/>
    <xf numFmtId="0" fontId="85" fillId="0" borderId="397" xfId="0" applyFont="1" applyFill="1" applyBorder="1" applyAlignment="1">
      <alignment vertical="center"/>
    </xf>
    <xf numFmtId="0" fontId="84" fillId="0" borderId="397" xfId="0" applyFont="1" applyFill="1" applyBorder="1" applyAlignment="1">
      <alignment vertical="center"/>
    </xf>
    <xf numFmtId="0" fontId="84" fillId="0" borderId="37" xfId="0" applyFont="1" applyFill="1" applyBorder="1" applyAlignment="1">
      <alignment vertical="center" wrapText="1"/>
    </xf>
    <xf numFmtId="2" fontId="84" fillId="0" borderId="11" xfId="0" applyNumberFormat="1" applyFont="1" applyFill="1" applyBorder="1" applyAlignment="1">
      <alignment vertical="center"/>
    </xf>
    <xf numFmtId="2" fontId="84" fillId="0" borderId="38" xfId="0" applyNumberFormat="1" applyFont="1" applyFill="1" applyBorder="1" applyAlignment="1">
      <alignment vertical="center"/>
    </xf>
    <xf numFmtId="0" fontId="16" fillId="0" borderId="400" xfId="0" applyFont="1" applyFill="1" applyBorder="1" applyAlignment="1">
      <alignment vertical="center"/>
    </xf>
    <xf numFmtId="0" fontId="16" fillId="0" borderId="369" xfId="0" applyFont="1" applyFill="1" applyBorder="1" applyAlignment="1">
      <alignment horizontal="center" vertical="center"/>
    </xf>
    <xf numFmtId="2" fontId="16" fillId="0" borderId="369" xfId="0" applyNumberFormat="1" applyFont="1" applyFill="1" applyBorder="1" applyAlignment="1">
      <alignment vertical="center"/>
    </xf>
    <xf numFmtId="2" fontId="16" fillId="0" borderId="402" xfId="0" applyNumberFormat="1" applyFont="1" applyFill="1" applyBorder="1" applyAlignment="1">
      <alignment vertical="center"/>
    </xf>
    <xf numFmtId="0" fontId="16" fillId="0" borderId="11" xfId="0" applyFont="1" applyFill="1" applyBorder="1" applyAlignment="1">
      <alignment horizontal="center" vertical="center"/>
    </xf>
    <xf numFmtId="2" fontId="16" fillId="0" borderId="367" xfId="0" applyNumberFormat="1" applyFont="1" applyFill="1" applyBorder="1" applyAlignment="1">
      <alignment vertical="center"/>
    </xf>
    <xf numFmtId="2" fontId="85" fillId="0" borderId="359" xfId="0" applyNumberFormat="1" applyFont="1" applyFill="1" applyBorder="1" applyAlignment="1">
      <alignment vertical="center"/>
    </xf>
    <xf numFmtId="2" fontId="85" fillId="0" borderId="352" xfId="0" applyNumberFormat="1" applyFont="1" applyFill="1" applyBorder="1" applyAlignment="1">
      <alignment vertical="center"/>
    </xf>
    <xf numFmtId="2" fontId="16" fillId="0" borderId="389" xfId="0" applyNumberFormat="1" applyFont="1" applyFill="1" applyBorder="1" applyAlignment="1">
      <alignment vertical="center"/>
    </xf>
    <xf numFmtId="2" fontId="85" fillId="0" borderId="389" xfId="0" applyNumberFormat="1" applyFont="1" applyFill="1" applyBorder="1" applyAlignment="1">
      <alignment vertical="center"/>
    </xf>
    <xf numFmtId="2" fontId="84" fillId="0" borderId="389" xfId="0" applyNumberFormat="1" applyFont="1" applyFill="1" applyBorder="1" applyAlignment="1">
      <alignment vertical="center"/>
    </xf>
    <xf numFmtId="2" fontId="85" fillId="0" borderId="367" xfId="0" applyNumberFormat="1" applyFont="1" applyFill="1" applyBorder="1" applyAlignment="1">
      <alignment vertical="center"/>
    </xf>
    <xf numFmtId="0" fontId="70" fillId="0" borderId="0" xfId="0" applyFont="1" applyAlignment="1">
      <alignment horizontal="center"/>
    </xf>
    <xf numFmtId="0" fontId="89" fillId="0" borderId="0" xfId="0" applyFont="1" applyAlignment="1"/>
    <xf numFmtId="0" fontId="60" fillId="0" borderId="389" xfId="0" applyFont="1" applyFill="1" applyBorder="1" applyAlignment="1">
      <alignment horizontal="center" vertical="center"/>
    </xf>
    <xf numFmtId="0" fontId="60" fillId="0" borderId="389" xfId="0" applyFont="1" applyFill="1" applyBorder="1" applyAlignment="1">
      <alignment horizontal="center" vertical="center" wrapText="1"/>
    </xf>
    <xf numFmtId="2" fontId="84" fillId="0" borderId="367" xfId="0" applyNumberFormat="1" applyFont="1" applyFill="1" applyBorder="1" applyAlignment="1">
      <alignment vertical="center"/>
    </xf>
    <xf numFmtId="0" fontId="51" fillId="0" borderId="397" xfId="150" applyFont="1" applyBorder="1" applyAlignment="1">
      <alignment vertical="center" wrapText="1"/>
    </xf>
    <xf numFmtId="2" fontId="51" fillId="0" borderId="389" xfId="0" applyNumberFormat="1" applyFont="1" applyBorder="1" applyAlignment="1">
      <alignment horizontal="center" vertical="center"/>
    </xf>
    <xf numFmtId="2" fontId="51" fillId="43" borderId="389" xfId="150" applyNumberFormat="1" applyFont="1" applyFill="1" applyBorder="1" applyAlignment="1">
      <alignment horizontal="center" vertical="center"/>
    </xf>
    <xf numFmtId="2" fontId="51" fillId="43" borderId="367" xfId="150" applyNumberFormat="1" applyFont="1" applyFill="1" applyBorder="1" applyAlignment="1">
      <alignment horizontal="center" vertical="center"/>
    </xf>
    <xf numFmtId="0" fontId="51" fillId="0" borderId="400" xfId="150" applyFont="1" applyFill="1" applyBorder="1" applyAlignment="1">
      <alignment vertical="center" wrapText="1"/>
    </xf>
    <xf numFmtId="2" fontId="51" fillId="0" borderId="369" xfId="150" applyNumberFormat="1" applyFont="1" applyBorder="1" applyAlignment="1">
      <alignment horizontal="center" vertical="center"/>
    </xf>
    <xf numFmtId="2" fontId="51" fillId="43" borderId="369" xfId="150" applyNumberFormat="1" applyFont="1" applyFill="1" applyBorder="1" applyAlignment="1">
      <alignment horizontal="center" vertical="center"/>
    </xf>
    <xf numFmtId="2" fontId="51" fillId="43" borderId="402" xfId="150" applyNumberFormat="1" applyFont="1" applyFill="1" applyBorder="1" applyAlignment="1">
      <alignment horizontal="center" vertical="center"/>
    </xf>
    <xf numFmtId="0" fontId="18" fillId="0" borderId="0" xfId="0" applyFont="1" applyAlignment="1" applyProtection="1">
      <alignment horizontal="left"/>
    </xf>
    <xf numFmtId="0" fontId="64" fillId="0" borderId="0" xfId="0" applyFont="1" applyAlignment="1" applyProtection="1">
      <alignment horizontal="left"/>
    </xf>
    <xf numFmtId="0" fontId="0" fillId="0" borderId="0" xfId="0" applyAlignment="1" applyProtection="1">
      <alignment horizontal="left"/>
    </xf>
    <xf numFmtId="0" fontId="0" fillId="0" borderId="0" xfId="0" applyAlignment="1" applyProtection="1">
      <alignment horizontal="left"/>
      <protection locked="0"/>
    </xf>
    <xf numFmtId="0" fontId="13" fillId="0" borderId="0" xfId="0" applyFont="1" applyProtection="1"/>
    <xf numFmtId="0" fontId="0" fillId="0" borderId="0" xfId="0" applyProtection="1"/>
    <xf numFmtId="0" fontId="18" fillId="0" borderId="0" xfId="0" applyFont="1" applyProtection="1"/>
    <xf numFmtId="0" fontId="13" fillId="0" borderId="0" xfId="0" applyFont="1" applyProtection="1">
      <protection locked="0"/>
    </xf>
    <xf numFmtId="0" fontId="17" fillId="28" borderId="390" xfId="0" applyFont="1" applyFill="1" applyBorder="1" applyAlignment="1" applyProtection="1">
      <alignment horizontal="left"/>
    </xf>
    <xf numFmtId="0" fontId="0" fillId="28" borderId="391" xfId="0" applyFill="1" applyBorder="1" applyAlignment="1" applyProtection="1"/>
    <xf numFmtId="0" fontId="0" fillId="28" borderId="392" xfId="0" applyFill="1" applyBorder="1" applyAlignment="1" applyProtection="1"/>
    <xf numFmtId="0" fontId="13" fillId="0" borderId="0" xfId="0" applyFont="1" applyAlignment="1" applyProtection="1">
      <alignment vertical="center"/>
    </xf>
    <xf numFmtId="0" fontId="0" fillId="0" borderId="0" xfId="0" applyAlignment="1" applyProtection="1">
      <alignment vertical="center"/>
    </xf>
    <xf numFmtId="0" fontId="17" fillId="0" borderId="389" xfId="0" applyFont="1" applyBorder="1" applyAlignment="1" applyProtection="1">
      <alignment vertical="center" wrapText="1"/>
    </xf>
    <xf numFmtId="4" fontId="92" fillId="0" borderId="389" xfId="0" applyNumberFormat="1" applyFont="1" applyFill="1" applyBorder="1" applyAlignment="1" applyProtection="1">
      <alignment vertical="center"/>
    </xf>
    <xf numFmtId="4" fontId="17" fillId="0" borderId="389" xfId="0" applyNumberFormat="1" applyFont="1" applyFill="1" applyBorder="1" applyAlignment="1" applyProtection="1">
      <alignment vertical="center"/>
      <protection locked="0"/>
    </xf>
    <xf numFmtId="4" fontId="92" fillId="43" borderId="389" xfId="0" applyNumberFormat="1" applyFont="1" applyFill="1" applyBorder="1" applyAlignment="1" applyProtection="1">
      <alignment vertical="center"/>
    </xf>
    <xf numFmtId="0" fontId="60" fillId="0" borderId="389" xfId="0" applyFont="1" applyBorder="1" applyAlignment="1" applyProtection="1">
      <alignment vertical="center" wrapText="1"/>
    </xf>
    <xf numFmtId="4" fontId="101" fillId="0" borderId="389" xfId="0" applyNumberFormat="1" applyFont="1" applyFill="1" applyBorder="1" applyAlignment="1" applyProtection="1">
      <alignment vertical="center"/>
    </xf>
    <xf numFmtId="4" fontId="60" fillId="0" borderId="389" xfId="0" applyNumberFormat="1" applyFont="1" applyFill="1" applyBorder="1" applyAlignment="1" applyProtection="1">
      <alignment vertical="center"/>
      <protection locked="0"/>
    </xf>
    <xf numFmtId="4" fontId="101" fillId="43" borderId="389" xfId="0" applyNumberFormat="1" applyFont="1" applyFill="1" applyBorder="1" applyAlignment="1" applyProtection="1">
      <alignment vertical="center"/>
    </xf>
    <xf numFmtId="0" fontId="61" fillId="0" borderId="389" xfId="0" applyFont="1" applyBorder="1" applyAlignment="1" applyProtection="1">
      <alignment vertical="center" wrapText="1"/>
    </xf>
    <xf numFmtId="10" fontId="162" fillId="0" borderId="389" xfId="0" applyNumberFormat="1" applyFont="1" applyFill="1" applyBorder="1" applyAlignment="1" applyProtection="1">
      <alignment vertical="center"/>
    </xf>
    <xf numFmtId="10" fontId="162" fillId="43" borderId="389" xfId="0" applyNumberFormat="1" applyFont="1" applyFill="1" applyBorder="1" applyAlignment="1" applyProtection="1">
      <alignment vertical="center"/>
    </xf>
    <xf numFmtId="4" fontId="162" fillId="0" borderId="389" xfId="0" applyNumberFormat="1" applyFont="1" applyFill="1" applyBorder="1" applyAlignment="1" applyProtection="1">
      <alignment vertical="center"/>
    </xf>
    <xf numFmtId="4" fontId="61" fillId="0" borderId="389" xfId="0" applyNumberFormat="1" applyFont="1" applyFill="1" applyBorder="1" applyAlignment="1" applyProtection="1">
      <alignment vertical="center"/>
      <protection locked="0"/>
    </xf>
    <xf numFmtId="4" fontId="162" fillId="43" borderId="389" xfId="0" applyNumberFormat="1" applyFont="1" applyFill="1" applyBorder="1" applyAlignment="1" applyProtection="1">
      <alignment vertical="center"/>
    </xf>
    <xf numFmtId="0" fontId="0" fillId="28" borderId="391" xfId="0" applyFill="1" applyBorder="1" applyAlignment="1" applyProtection="1">
      <alignment horizontal="left"/>
    </xf>
    <xf numFmtId="0" fontId="0" fillId="28" borderId="392" xfId="0" applyFill="1" applyBorder="1" applyAlignment="1" applyProtection="1">
      <alignment horizontal="left"/>
    </xf>
    <xf numFmtId="0" fontId="60" fillId="0" borderId="0" xfId="0" applyFont="1" applyAlignment="1" applyProtection="1">
      <alignment vertical="center"/>
    </xf>
    <xf numFmtId="0" fontId="17" fillId="0" borderId="389" xfId="0" applyFont="1" applyBorder="1" applyAlignment="1" applyProtection="1">
      <alignment horizontal="left" vertical="center"/>
    </xf>
    <xf numFmtId="0" fontId="60" fillId="0" borderId="389" xfId="0" applyFont="1" applyBorder="1" applyAlignment="1" applyProtection="1">
      <alignment vertical="center"/>
    </xf>
    <xf numFmtId="2" fontId="101" fillId="0" borderId="389" xfId="0" applyNumberFormat="1" applyFont="1" applyFill="1" applyBorder="1" applyAlignment="1" applyProtection="1">
      <alignment vertical="center"/>
    </xf>
    <xf numFmtId="2" fontId="60" fillId="0" borderId="389" xfId="0" applyNumberFormat="1" applyFont="1" applyFill="1" applyBorder="1" applyAlignment="1" applyProtection="1">
      <alignment vertical="center"/>
      <protection locked="0"/>
    </xf>
    <xf numFmtId="2" fontId="101" fillId="43" borderId="389" xfId="0" applyNumberFormat="1" applyFont="1" applyFill="1" applyBorder="1" applyAlignment="1" applyProtection="1">
      <alignment vertical="center"/>
    </xf>
    <xf numFmtId="0" fontId="61" fillId="0" borderId="389" xfId="0" applyFont="1" applyBorder="1" applyAlignment="1" applyProtection="1">
      <alignment vertical="center"/>
    </xf>
    <xf numFmtId="0" fontId="17" fillId="0" borderId="389" xfId="0" applyFont="1" applyBorder="1" applyAlignment="1" applyProtection="1">
      <alignment vertical="center"/>
    </xf>
    <xf numFmtId="4" fontId="163" fillId="43" borderId="389" xfId="0" applyNumberFormat="1" applyFont="1" applyFill="1" applyBorder="1" applyAlignment="1" applyProtection="1">
      <alignment vertical="center"/>
    </xf>
    <xf numFmtId="0" fontId="60" fillId="0" borderId="389" xfId="0" applyFont="1" applyFill="1" applyBorder="1" applyAlignment="1" applyProtection="1">
      <alignment vertical="center"/>
    </xf>
    <xf numFmtId="0" fontId="61" fillId="0" borderId="389" xfId="0" applyFont="1" applyFill="1" applyBorder="1" applyAlignment="1" applyProtection="1">
      <alignment vertical="center"/>
    </xf>
    <xf numFmtId="0" fontId="61" fillId="0" borderId="389" xfId="0" applyFont="1" applyFill="1" applyBorder="1" applyAlignment="1">
      <alignment vertical="center"/>
    </xf>
    <xf numFmtId="0" fontId="17" fillId="0" borderId="389" xfId="0" applyFont="1" applyFill="1" applyBorder="1" applyAlignment="1" applyProtection="1">
      <alignment vertical="center"/>
    </xf>
    <xf numFmtId="4" fontId="162" fillId="0" borderId="389" xfId="0" applyNumberFormat="1" applyFont="1" applyFill="1" applyBorder="1" applyAlignment="1" applyProtection="1">
      <alignment vertical="center"/>
      <protection locked="0"/>
    </xf>
    <xf numFmtId="4" fontId="92" fillId="0" borderId="389" xfId="0" applyNumberFormat="1" applyFont="1" applyFill="1" applyBorder="1" applyProtection="1"/>
    <xf numFmtId="4" fontId="92" fillId="43" borderId="389" xfId="0" applyNumberFormat="1" applyFont="1" applyFill="1" applyBorder="1" applyProtection="1"/>
    <xf numFmtId="0" fontId="0" fillId="28" borderId="391" xfId="0" applyFill="1" applyBorder="1" applyProtection="1"/>
    <xf numFmtId="0" fontId="0" fillId="28" borderId="392" xfId="0" applyFill="1" applyBorder="1" applyProtection="1"/>
    <xf numFmtId="2" fontId="162" fillId="43" borderId="389" xfId="0" applyNumberFormat="1" applyFont="1" applyFill="1" applyBorder="1" applyAlignment="1" applyProtection="1">
      <alignment vertical="center"/>
    </xf>
    <xf numFmtId="4" fontId="101" fillId="0" borderId="389" xfId="0" applyNumberFormat="1" applyFont="1" applyFill="1" applyBorder="1" applyProtection="1"/>
    <xf numFmtId="4" fontId="101" fillId="43" borderId="389" xfId="0" applyNumberFormat="1" applyFont="1" applyFill="1" applyBorder="1" applyProtection="1"/>
    <xf numFmtId="10" fontId="162" fillId="0" borderId="389" xfId="0" applyNumberFormat="1" applyFont="1" applyFill="1" applyBorder="1" applyProtection="1"/>
    <xf numFmtId="10" fontId="162" fillId="43" borderId="389" xfId="0" applyNumberFormat="1" applyFont="1" applyFill="1" applyBorder="1" applyProtection="1"/>
    <xf numFmtId="4" fontId="162" fillId="0" borderId="389" xfId="0" applyNumberFormat="1" applyFont="1" applyFill="1" applyBorder="1" applyProtection="1"/>
    <xf numFmtId="4" fontId="162" fillId="43" borderId="389" xfId="0" applyNumberFormat="1" applyFont="1" applyFill="1" applyBorder="1" applyProtection="1"/>
    <xf numFmtId="0" fontId="60" fillId="0" borderId="0" xfId="0" applyFont="1" applyProtection="1"/>
    <xf numFmtId="0" fontId="18" fillId="0" borderId="0" xfId="0" applyFont="1" applyAlignment="1">
      <alignment horizontal="left"/>
    </xf>
    <xf numFmtId="0" fontId="18" fillId="0" borderId="0" xfId="0" applyFont="1"/>
    <xf numFmtId="0" fontId="17" fillId="28" borderId="390" xfId="0" applyFont="1" applyFill="1" applyBorder="1" applyAlignment="1">
      <alignment horizontal="left"/>
    </xf>
    <xf numFmtId="0" fontId="0" fillId="28" borderId="391" xfId="0" applyFont="1" applyFill="1" applyBorder="1"/>
    <xf numFmtId="0" fontId="0" fillId="28" borderId="392" xfId="0" applyFont="1" applyFill="1" applyBorder="1"/>
    <xf numFmtId="0" fontId="60" fillId="43" borderId="11" xfId="0" applyFont="1" applyFill="1" applyBorder="1" applyAlignment="1">
      <alignment horizontal="center" vertical="center" wrapText="1"/>
    </xf>
    <xf numFmtId="0" fontId="17" fillId="0" borderId="389" xfId="0" applyFont="1" applyFill="1" applyBorder="1" applyAlignment="1">
      <alignment vertical="center" wrapText="1"/>
    </xf>
    <xf numFmtId="4" fontId="92" fillId="0" borderId="389" xfId="0" applyNumberFormat="1" applyFont="1" applyFill="1" applyBorder="1" applyAlignment="1">
      <alignment vertical="center"/>
    </xf>
    <xf numFmtId="4" fontId="92" fillId="43" borderId="389" xfId="0" applyNumberFormat="1" applyFont="1" applyFill="1" applyBorder="1" applyAlignment="1">
      <alignment vertical="center"/>
    </xf>
    <xf numFmtId="4" fontId="92" fillId="43" borderId="389" xfId="0" applyNumberFormat="1" applyFont="1" applyFill="1" applyBorder="1" applyAlignment="1">
      <alignment horizontal="right" wrapText="1"/>
    </xf>
    <xf numFmtId="4" fontId="101" fillId="0" borderId="389" xfId="0" applyNumberFormat="1" applyFont="1" applyFill="1" applyBorder="1" applyAlignment="1">
      <alignment vertical="center"/>
    </xf>
    <xf numFmtId="4" fontId="101" fillId="43" borderId="389" xfId="0" applyNumberFormat="1" applyFont="1" applyFill="1" applyBorder="1" applyAlignment="1">
      <alignment vertical="center"/>
    </xf>
    <xf numFmtId="4" fontId="101" fillId="43" borderId="389" xfId="0" applyNumberFormat="1" applyFont="1" applyFill="1" applyBorder="1" applyAlignment="1">
      <alignment horizontal="right" wrapText="1"/>
    </xf>
    <xf numFmtId="0" fontId="61" fillId="0" borderId="389" xfId="0" applyFont="1" applyFill="1" applyBorder="1" applyAlignment="1">
      <alignment vertical="center" wrapText="1"/>
    </xf>
    <xf numFmtId="10" fontId="162" fillId="0" borderId="389" xfId="0" applyNumberFormat="1" applyFont="1" applyFill="1" applyBorder="1" applyAlignment="1">
      <alignment vertical="center"/>
    </xf>
    <xf numFmtId="10" fontId="162" fillId="43" borderId="389" xfId="0" applyNumberFormat="1" applyFont="1" applyFill="1" applyBorder="1" applyAlignment="1">
      <alignment vertical="center"/>
    </xf>
    <xf numFmtId="10" fontId="162" fillId="43" borderId="389" xfId="0" applyNumberFormat="1" applyFont="1" applyFill="1" applyBorder="1" applyAlignment="1">
      <alignment horizontal="right" wrapText="1"/>
    </xf>
    <xf numFmtId="4" fontId="162" fillId="0" borderId="389" xfId="0" applyNumberFormat="1" applyFont="1" applyFill="1" applyBorder="1" applyAlignment="1">
      <alignment vertical="center"/>
    </xf>
    <xf numFmtId="4" fontId="162" fillId="43" borderId="389" xfId="0" applyNumberFormat="1" applyFont="1" applyFill="1" applyBorder="1" applyAlignment="1">
      <alignment vertical="center"/>
    </xf>
    <xf numFmtId="4" fontId="162" fillId="43" borderId="389" xfId="0" applyNumberFormat="1" applyFont="1" applyFill="1" applyBorder="1" applyAlignment="1">
      <alignment horizontal="right" wrapText="1"/>
    </xf>
    <xf numFmtId="0" fontId="0" fillId="28" borderId="391" xfId="0" applyFont="1" applyFill="1" applyBorder="1" applyAlignment="1">
      <alignment horizontal="left"/>
    </xf>
    <xf numFmtId="0" fontId="60" fillId="0" borderId="389" xfId="0" applyFont="1" applyBorder="1" applyAlignment="1">
      <alignment vertical="center"/>
    </xf>
    <xf numFmtId="4" fontId="101" fillId="0" borderId="389" xfId="0" applyNumberFormat="1" applyFont="1" applyFill="1" applyBorder="1"/>
    <xf numFmtId="4" fontId="60" fillId="0" borderId="389" xfId="0" applyNumberFormat="1" applyFont="1" applyFill="1" applyBorder="1" applyProtection="1">
      <protection locked="0"/>
    </xf>
    <xf numFmtId="0" fontId="61" fillId="0" borderId="389" xfId="0" applyFont="1" applyBorder="1" applyAlignment="1">
      <alignment vertical="center"/>
    </xf>
    <xf numFmtId="10" fontId="162" fillId="0" borderId="389" xfId="0" applyNumberFormat="1" applyFont="1" applyFill="1" applyBorder="1"/>
    <xf numFmtId="10" fontId="162" fillId="43" borderId="389" xfId="0" applyNumberFormat="1" applyFont="1" applyFill="1" applyBorder="1"/>
    <xf numFmtId="2" fontId="162" fillId="43" borderId="389" xfId="0" applyNumberFormat="1" applyFont="1" applyFill="1" applyBorder="1" applyAlignment="1">
      <alignment horizontal="right" wrapText="1"/>
    </xf>
    <xf numFmtId="2" fontId="101" fillId="0" borderId="389" xfId="0" applyNumberFormat="1" applyFont="1" applyFill="1" applyBorder="1"/>
    <xf numFmtId="2" fontId="101" fillId="0" borderId="389" xfId="0" applyNumberFormat="1" applyFont="1" applyFill="1" applyBorder="1" applyProtection="1">
      <protection locked="0"/>
    </xf>
    <xf numFmtId="2" fontId="101" fillId="43" borderId="389" xfId="0" applyNumberFormat="1" applyFont="1" applyFill="1" applyBorder="1" applyAlignment="1">
      <alignment vertical="center"/>
    </xf>
    <xf numFmtId="2" fontId="101" fillId="43" borderId="389" xfId="0" applyNumberFormat="1" applyFont="1" applyFill="1" applyBorder="1" applyAlignment="1">
      <alignment horizontal="right" wrapText="1"/>
    </xf>
    <xf numFmtId="4" fontId="101" fillId="0" borderId="389" xfId="0" applyNumberFormat="1" applyFont="1" applyFill="1" applyBorder="1" applyProtection="1">
      <protection locked="0"/>
    </xf>
    <xf numFmtId="2" fontId="162" fillId="0" borderId="389" xfId="0" applyNumberFormat="1" applyFont="1" applyFill="1" applyBorder="1"/>
    <xf numFmtId="2" fontId="61" fillId="0" borderId="389" xfId="0" applyNumberFormat="1" applyFont="1" applyFill="1" applyBorder="1" applyProtection="1">
      <protection locked="0"/>
    </xf>
    <xf numFmtId="2" fontId="162" fillId="43" borderId="389" xfId="0" applyNumberFormat="1" applyFont="1" applyFill="1" applyBorder="1" applyAlignment="1">
      <alignment vertical="center"/>
    </xf>
    <xf numFmtId="4" fontId="61" fillId="0" borderId="389" xfId="0" applyNumberFormat="1" applyFont="1" applyFill="1" applyBorder="1" applyProtection="1">
      <protection locked="0"/>
    </xf>
    <xf numFmtId="4" fontId="162" fillId="0" borderId="389" xfId="0" applyNumberFormat="1" applyFont="1" applyFill="1" applyBorder="1"/>
    <xf numFmtId="0" fontId="60" fillId="0" borderId="389" xfId="0" applyFont="1" applyBorder="1" applyAlignment="1">
      <alignment vertical="center" wrapText="1"/>
    </xf>
    <xf numFmtId="2" fontId="60" fillId="0" borderId="389" xfId="0" applyNumberFormat="1" applyFont="1" applyFill="1" applyBorder="1" applyProtection="1">
      <protection locked="0"/>
    </xf>
    <xf numFmtId="0" fontId="17" fillId="0" borderId="389" xfId="0" applyFont="1" applyBorder="1" applyAlignment="1">
      <alignment vertical="center"/>
    </xf>
    <xf numFmtId="2" fontId="92" fillId="0" borderId="389" xfId="0" applyNumberFormat="1" applyFont="1" applyFill="1" applyBorder="1"/>
    <xf numFmtId="2" fontId="92" fillId="43" borderId="389" xfId="0" applyNumberFormat="1" applyFont="1" applyFill="1" applyBorder="1" applyAlignment="1">
      <alignment vertical="center"/>
    </xf>
    <xf numFmtId="2" fontId="92" fillId="43" borderId="389" xfId="0" applyNumberFormat="1" applyFont="1" applyFill="1" applyBorder="1" applyAlignment="1">
      <alignment horizontal="right" wrapText="1"/>
    </xf>
    <xf numFmtId="2" fontId="92" fillId="43" borderId="389" xfId="0" applyNumberFormat="1" applyFont="1" applyFill="1" applyBorder="1"/>
    <xf numFmtId="4" fontId="92" fillId="0" borderId="389" xfId="0" applyNumberFormat="1" applyFont="1" applyFill="1" applyBorder="1"/>
    <xf numFmtId="4" fontId="92" fillId="43" borderId="389" xfId="0" applyNumberFormat="1" applyFont="1" applyFill="1" applyBorder="1"/>
    <xf numFmtId="2" fontId="92" fillId="0" borderId="389" xfId="0" applyNumberFormat="1" applyFont="1" applyFill="1" applyBorder="1" applyProtection="1">
      <protection locked="0"/>
    </xf>
    <xf numFmtId="2" fontId="17" fillId="0" borderId="389" xfId="0" applyNumberFormat="1" applyFont="1" applyFill="1" applyBorder="1" applyProtection="1">
      <protection locked="0"/>
    </xf>
    <xf numFmtId="4" fontId="17" fillId="0" borderId="389" xfId="0" applyNumberFormat="1" applyFont="1" applyFill="1" applyBorder="1" applyProtection="1">
      <protection locked="0"/>
    </xf>
    <xf numFmtId="4" fontId="92" fillId="0" borderId="389" xfId="0" applyNumberFormat="1" applyFont="1" applyFill="1" applyBorder="1" applyProtection="1">
      <protection locked="0"/>
    </xf>
    <xf numFmtId="2" fontId="92" fillId="0" borderId="389" xfId="0" applyNumberFormat="1" applyFont="1" applyFill="1" applyBorder="1" applyAlignment="1">
      <alignment vertical="center"/>
    </xf>
    <xf numFmtId="2" fontId="162" fillId="0" borderId="389" xfId="0" applyNumberFormat="1" applyFont="1" applyFill="1" applyBorder="1" applyAlignment="1">
      <alignment vertical="center"/>
    </xf>
    <xf numFmtId="0" fontId="60" fillId="0" borderId="0" xfId="0" applyFont="1" applyFill="1"/>
    <xf numFmtId="0" fontId="17" fillId="28" borderId="390" xfId="0" applyFont="1" applyFill="1" applyBorder="1" applyAlignment="1">
      <alignment horizontal="left" vertical="center" wrapText="1"/>
    </xf>
    <xf numFmtId="0" fontId="17" fillId="28" borderId="391" xfId="0" applyFont="1" applyFill="1" applyBorder="1" applyAlignment="1">
      <alignment horizontal="center" vertical="center" wrapText="1"/>
    </xf>
    <xf numFmtId="0" fontId="0" fillId="28" borderId="391" xfId="0" applyFill="1" applyBorder="1" applyAlignment="1"/>
    <xf numFmtId="0" fontId="0" fillId="28" borderId="391" xfId="0" applyFill="1" applyBorder="1"/>
    <xf numFmtId="0" fontId="0" fillId="28" borderId="392" xfId="0" applyFill="1" applyBorder="1"/>
    <xf numFmtId="0" fontId="60" fillId="0" borderId="389" xfId="0" applyNumberFormat="1" applyFont="1" applyFill="1" applyBorder="1" applyAlignment="1">
      <alignment horizontal="center" vertical="center" wrapText="1"/>
    </xf>
    <xf numFmtId="0" fontId="60" fillId="0" borderId="389" xfId="0" applyNumberFormat="1" applyFont="1" applyFill="1" applyBorder="1" applyAlignment="1">
      <alignment horizontal="center" vertical="center"/>
    </xf>
    <xf numFmtId="0" fontId="60" fillId="43" borderId="389" xfId="0" applyNumberFormat="1" applyFont="1" applyFill="1" applyBorder="1" applyAlignment="1">
      <alignment horizontal="center" vertical="center" wrapText="1"/>
    </xf>
    <xf numFmtId="0" fontId="17" fillId="0" borderId="389" xfId="0" applyFont="1" applyBorder="1" applyAlignment="1">
      <alignment horizontal="left" vertical="center"/>
    </xf>
    <xf numFmtId="2" fontId="92" fillId="0" borderId="389" xfId="0" applyNumberFormat="1" applyFont="1" applyFill="1" applyBorder="1" applyAlignment="1">
      <alignment horizontal="right" vertical="center" wrapText="1"/>
    </xf>
    <xf numFmtId="2" fontId="92" fillId="43" borderId="389" xfId="0" applyNumberFormat="1" applyFont="1" applyFill="1" applyBorder="1" applyAlignment="1">
      <alignment horizontal="right" vertical="center"/>
    </xf>
    <xf numFmtId="0" fontId="92" fillId="0" borderId="389" xfId="0" applyNumberFormat="1" applyFont="1" applyFill="1" applyBorder="1" applyAlignment="1">
      <alignment vertical="center"/>
    </xf>
    <xf numFmtId="0" fontId="17" fillId="0" borderId="389" xfId="0" applyFont="1" applyBorder="1" applyAlignment="1">
      <alignment vertical="center" wrapText="1"/>
    </xf>
    <xf numFmtId="2" fontId="92" fillId="0" borderId="389" xfId="0" applyNumberFormat="1" applyFont="1" applyFill="1" applyBorder="1" applyAlignment="1">
      <alignment horizontal="right" vertical="center"/>
    </xf>
    <xf numFmtId="2" fontId="92" fillId="0" borderId="389" xfId="0" applyNumberFormat="1" applyFont="1" applyFill="1" applyBorder="1" applyAlignment="1">
      <alignment horizontal="right"/>
    </xf>
    <xf numFmtId="2" fontId="101" fillId="0" borderId="389" xfId="0" applyNumberFormat="1" applyFont="1" applyFill="1" applyBorder="1" applyAlignment="1">
      <alignment horizontal="right" vertical="center" wrapText="1"/>
    </xf>
    <xf numFmtId="2" fontId="60" fillId="0" borderId="389" xfId="0" applyNumberFormat="1" applyFont="1" applyFill="1" applyBorder="1" applyAlignment="1" applyProtection="1">
      <alignment horizontal="right" vertical="center"/>
      <protection locked="0"/>
    </xf>
    <xf numFmtId="2" fontId="101" fillId="43" borderId="389" xfId="0" applyNumberFormat="1" applyFont="1" applyFill="1" applyBorder="1" applyAlignment="1">
      <alignment horizontal="right" vertical="center"/>
    </xf>
    <xf numFmtId="2" fontId="60" fillId="0" borderId="389" xfId="0" applyNumberFormat="1" applyFont="1" applyFill="1" applyBorder="1" applyAlignment="1" applyProtection="1">
      <alignment horizontal="right"/>
      <protection locked="0"/>
    </xf>
    <xf numFmtId="0" fontId="0" fillId="28" borderId="391" xfId="0" applyFill="1" applyBorder="1" applyAlignment="1">
      <alignment horizontal="center"/>
    </xf>
    <xf numFmtId="10" fontId="162" fillId="43" borderId="389" xfId="0" applyNumberFormat="1" applyFont="1" applyFill="1" applyBorder="1" applyAlignment="1">
      <alignment horizontal="right" vertical="center"/>
    </xf>
    <xf numFmtId="0" fontId="60" fillId="0" borderId="389" xfId="0" applyFont="1" applyFill="1" applyBorder="1" applyAlignment="1">
      <alignment vertical="center"/>
    </xf>
    <xf numFmtId="2" fontId="162" fillId="43" borderId="389" xfId="0" applyNumberFormat="1" applyFont="1" applyFill="1" applyBorder="1" applyAlignment="1">
      <alignment horizontal="right" vertical="center"/>
    </xf>
    <xf numFmtId="0" fontId="17" fillId="0" borderId="61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vertical="center" wrapText="1"/>
    </xf>
    <xf numFmtId="4" fontId="92" fillId="0" borderId="389" xfId="0" applyNumberFormat="1" applyFont="1" applyFill="1" applyBorder="1" applyAlignment="1">
      <alignment horizontal="right" vertical="center"/>
    </xf>
    <xf numFmtId="4" fontId="101" fillId="0" borderId="389" xfId="0" applyNumberFormat="1" applyFont="1" applyFill="1" applyBorder="1" applyAlignment="1">
      <alignment horizontal="right" vertical="center"/>
    </xf>
    <xf numFmtId="2" fontId="101" fillId="43" borderId="389" xfId="0" applyNumberFormat="1" applyFont="1" applyFill="1" applyBorder="1"/>
    <xf numFmtId="0" fontId="61" fillId="0" borderId="389" xfId="0" applyFont="1" applyBorder="1" applyAlignment="1">
      <alignment vertical="center" wrapText="1"/>
    </xf>
    <xf numFmtId="2" fontId="162" fillId="43" borderId="389" xfId="0" applyNumberFormat="1" applyFont="1" applyFill="1" applyBorder="1"/>
    <xf numFmtId="4" fontId="162" fillId="43" borderId="389" xfId="0" applyNumberFormat="1" applyFont="1" applyFill="1" applyBorder="1"/>
    <xf numFmtId="4" fontId="101" fillId="43" borderId="389" xfId="0" applyNumberFormat="1" applyFont="1" applyFill="1" applyBorder="1"/>
    <xf numFmtId="4" fontId="101" fillId="0" borderId="389" xfId="0" applyNumberFormat="1" applyFont="1" applyBorder="1"/>
    <xf numFmtId="2" fontId="92" fillId="0" borderId="389" xfId="0" applyNumberFormat="1" applyFont="1" applyBorder="1"/>
    <xf numFmtId="4" fontId="162" fillId="0" borderId="389" xfId="0" applyNumberFormat="1" applyFont="1" applyBorder="1"/>
    <xf numFmtId="4" fontId="92" fillId="0" borderId="389" xfId="0" applyNumberFormat="1" applyFont="1" applyBorder="1"/>
    <xf numFmtId="0" fontId="17" fillId="0" borderId="389" xfId="0" applyFont="1" applyBorder="1"/>
    <xf numFmtId="0" fontId="0" fillId="28" borderId="244" xfId="0" applyFill="1" applyBorder="1"/>
    <xf numFmtId="0" fontId="17" fillId="0" borderId="389" xfId="0" applyFont="1" applyFill="1" applyBorder="1" applyAlignment="1">
      <alignment horizontal="left"/>
    </xf>
    <xf numFmtId="2" fontId="92" fillId="0" borderId="389" xfId="0" applyNumberFormat="1" applyFont="1" applyFill="1" applyBorder="1" applyAlignment="1">
      <alignment horizontal="right" wrapText="1"/>
    </xf>
    <xf numFmtId="4" fontId="92" fillId="0" borderId="389" xfId="0" applyNumberFormat="1" applyFont="1" applyFill="1" applyBorder="1" applyAlignment="1">
      <alignment horizontal="right" wrapText="1"/>
    </xf>
    <xf numFmtId="4" fontId="17" fillId="0" borderId="389" xfId="0" applyNumberFormat="1" applyFont="1" applyFill="1" applyBorder="1" applyAlignment="1">
      <alignment horizontal="right" wrapText="1"/>
    </xf>
    <xf numFmtId="0" fontId="92" fillId="0" borderId="389" xfId="0" applyFont="1" applyFill="1" applyBorder="1" applyAlignment="1">
      <alignment horizontal="right" wrapText="1"/>
    </xf>
    <xf numFmtId="0" fontId="17" fillId="0" borderId="389" xfId="0" applyFont="1" applyFill="1" applyBorder="1" applyAlignment="1">
      <alignment horizontal="right" wrapText="1"/>
    </xf>
    <xf numFmtId="0" fontId="92" fillId="43" borderId="389" xfId="0" applyFont="1" applyFill="1" applyBorder="1" applyAlignment="1">
      <alignment horizontal="right" wrapText="1"/>
    </xf>
    <xf numFmtId="4" fontId="92" fillId="43" borderId="389" xfId="0" applyNumberFormat="1" applyFont="1" applyFill="1" applyBorder="1" applyAlignment="1">
      <alignment horizontal="right"/>
    </xf>
    <xf numFmtId="4" fontId="92" fillId="43" borderId="11" xfId="0" applyNumberFormat="1" applyFont="1" applyFill="1" applyBorder="1" applyAlignment="1">
      <alignment horizontal="right"/>
    </xf>
    <xf numFmtId="2" fontId="101" fillId="0" borderId="389" xfId="0" applyNumberFormat="1" applyFont="1" applyFill="1" applyBorder="1" applyAlignment="1">
      <alignment horizontal="right" wrapText="1"/>
    </xf>
    <xf numFmtId="4" fontId="101" fillId="0" borderId="389" xfId="0" applyNumberFormat="1" applyFont="1" applyFill="1" applyBorder="1" applyAlignment="1">
      <alignment horizontal="right" wrapText="1"/>
    </xf>
    <xf numFmtId="4" fontId="60" fillId="0" borderId="389" xfId="0" applyNumberFormat="1" applyFont="1" applyFill="1" applyBorder="1" applyAlignment="1">
      <alignment horizontal="right" wrapText="1"/>
    </xf>
    <xf numFmtId="0" fontId="101" fillId="0" borderId="389" xfId="0" applyFont="1" applyFill="1" applyBorder="1" applyAlignment="1">
      <alignment horizontal="right" wrapText="1"/>
    </xf>
    <xf numFmtId="0" fontId="17" fillId="28" borderId="390" xfId="0" applyFont="1" applyFill="1" applyBorder="1" applyAlignment="1">
      <alignment vertical="center"/>
    </xf>
    <xf numFmtId="4" fontId="60" fillId="28" borderId="391" xfId="0" applyNumberFormat="1" applyFont="1" applyFill="1" applyBorder="1" applyAlignment="1">
      <alignment horizontal="right" vertical="center"/>
    </xf>
    <xf numFmtId="4" fontId="60" fillId="28" borderId="391" xfId="0" applyNumberFormat="1" applyFont="1" applyFill="1" applyBorder="1"/>
    <xf numFmtId="4" fontId="0" fillId="28" borderId="391" xfId="0" applyNumberFormat="1" applyFill="1" applyBorder="1"/>
    <xf numFmtId="4" fontId="60" fillId="0" borderId="389" xfId="0" applyNumberFormat="1" applyFont="1" applyFill="1" applyBorder="1" applyAlignment="1" applyProtection="1">
      <alignment horizontal="right" vertical="center"/>
      <protection locked="0"/>
    </xf>
    <xf numFmtId="4" fontId="162" fillId="0" borderId="389" xfId="0" applyNumberFormat="1" applyFont="1" applyFill="1" applyBorder="1" applyAlignment="1">
      <alignment horizontal="right" vertical="center"/>
    </xf>
    <xf numFmtId="4" fontId="61" fillId="0" borderId="389" xfId="0" applyNumberFormat="1" applyFont="1" applyFill="1" applyBorder="1" applyAlignment="1" applyProtection="1">
      <alignment horizontal="right" vertical="center"/>
      <protection locked="0"/>
    </xf>
    <xf numFmtId="4" fontId="92" fillId="43" borderId="389" xfId="0" applyNumberFormat="1" applyFont="1" applyFill="1" applyBorder="1" applyAlignment="1">
      <alignment horizontal="right" vertical="center"/>
    </xf>
    <xf numFmtId="4" fontId="0" fillId="28" borderId="391" xfId="0" applyNumberFormat="1" applyFill="1" applyBorder="1" applyAlignment="1">
      <alignment horizontal="left"/>
    </xf>
    <xf numFmtId="4" fontId="60" fillId="28" borderId="391" xfId="0" applyNumberFormat="1" applyFont="1" applyFill="1" applyBorder="1" applyAlignment="1">
      <alignment horizontal="left"/>
    </xf>
    <xf numFmtId="4" fontId="60" fillId="28" borderId="392" xfId="0" applyNumberFormat="1" applyFont="1" applyFill="1" applyBorder="1" applyAlignment="1">
      <alignment horizontal="left"/>
    </xf>
    <xf numFmtId="4" fontId="101" fillId="43" borderId="390" xfId="0" applyNumberFormat="1" applyFont="1" applyFill="1" applyBorder="1"/>
    <xf numFmtId="10" fontId="162" fillId="43" borderId="390" xfId="0" applyNumberFormat="1" applyFont="1" applyFill="1" applyBorder="1"/>
    <xf numFmtId="4" fontId="162" fillId="43" borderId="390" xfId="0" applyNumberFormat="1" applyFont="1" applyFill="1" applyBorder="1"/>
    <xf numFmtId="4" fontId="92" fillId="43" borderId="390" xfId="0" applyNumberFormat="1" applyFont="1" applyFill="1" applyBorder="1"/>
    <xf numFmtId="4" fontId="17" fillId="43" borderId="391" xfId="0" applyNumberFormat="1" applyFont="1" applyFill="1" applyBorder="1"/>
    <xf numFmtId="4" fontId="92" fillId="43" borderId="390" xfId="0" applyNumberFormat="1" applyFont="1" applyFill="1" applyBorder="1" applyAlignment="1">
      <alignment vertical="center"/>
    </xf>
    <xf numFmtId="4" fontId="162" fillId="43" borderId="390" xfId="0" applyNumberFormat="1" applyFont="1" applyFill="1" applyBorder="1" applyAlignment="1">
      <alignment vertical="center"/>
    </xf>
    <xf numFmtId="0" fontId="17" fillId="0" borderId="0" xfId="0" applyFont="1" applyFill="1" applyBorder="1" applyAlignment="1">
      <alignment vertical="center"/>
    </xf>
    <xf numFmtId="4" fontId="92" fillId="0" borderId="0" xfId="0" applyNumberFormat="1" applyFont="1" applyFill="1" applyBorder="1"/>
    <xf numFmtId="4" fontId="92" fillId="0" borderId="0" xfId="0" applyNumberFormat="1" applyFont="1" applyFill="1" applyBorder="1" applyAlignment="1">
      <alignment vertical="center"/>
    </xf>
    <xf numFmtId="2" fontId="101" fillId="0" borderId="0" xfId="0" applyNumberFormat="1" applyFont="1" applyFill="1" applyBorder="1" applyAlignment="1">
      <alignment horizontal="right" wrapText="1"/>
    </xf>
    <xf numFmtId="4" fontId="0" fillId="0" borderId="0" xfId="0" applyNumberFormat="1" applyFill="1" applyBorder="1"/>
    <xf numFmtId="4" fontId="60" fillId="0" borderId="0" xfId="0" applyNumberFormat="1" applyFont="1"/>
    <xf numFmtId="0" fontId="60" fillId="43" borderId="389" xfId="0" applyFont="1" applyFill="1" applyBorder="1" applyAlignment="1">
      <alignment horizontal="center" vertical="center" wrapText="1"/>
    </xf>
    <xf numFmtId="178" fontId="101" fillId="0" borderId="389" xfId="0" applyNumberFormat="1" applyFont="1" applyFill="1" applyBorder="1" applyAlignment="1">
      <alignment vertical="center"/>
    </xf>
    <xf numFmtId="178" fontId="92" fillId="43" borderId="389" xfId="0" applyNumberFormat="1" applyFont="1" applyFill="1" applyBorder="1" applyAlignment="1">
      <alignment vertical="center"/>
    </xf>
    <xf numFmtId="178" fontId="101" fillId="43" borderId="389" xfId="0" applyNumberFormat="1" applyFont="1" applyFill="1" applyBorder="1" applyAlignment="1">
      <alignment vertical="center"/>
    </xf>
    <xf numFmtId="178" fontId="162" fillId="43" borderId="389" xfId="0" applyNumberFormat="1" applyFont="1" applyFill="1" applyBorder="1" applyAlignment="1">
      <alignment vertical="center"/>
    </xf>
    <xf numFmtId="178" fontId="162" fillId="43" borderId="384" xfId="0" applyNumberFormat="1" applyFont="1" applyFill="1" applyBorder="1" applyAlignment="1">
      <alignment vertical="center"/>
    </xf>
    <xf numFmtId="178" fontId="92" fillId="0" borderId="389" xfId="0" applyNumberFormat="1" applyFont="1" applyFill="1" applyBorder="1" applyAlignment="1">
      <alignment vertical="center"/>
    </xf>
    <xf numFmtId="178" fontId="17" fillId="0" borderId="389" xfId="0" applyNumberFormat="1" applyFont="1" applyFill="1" applyBorder="1" applyAlignment="1" applyProtection="1">
      <alignment vertical="center"/>
      <protection locked="0"/>
    </xf>
    <xf numFmtId="178" fontId="60" fillId="0" borderId="389" xfId="0" applyNumberFormat="1" applyFont="1" applyFill="1" applyBorder="1" applyAlignment="1" applyProtection="1">
      <alignment vertical="center"/>
      <protection locked="0"/>
    </xf>
    <xf numFmtId="178" fontId="162" fillId="0" borderId="389" xfId="0" applyNumberFormat="1" applyFont="1" applyFill="1" applyBorder="1" applyAlignment="1">
      <alignment vertical="center"/>
    </xf>
    <xf numFmtId="178" fontId="61" fillId="0" borderId="389" xfId="0" applyNumberFormat="1" applyFont="1" applyFill="1" applyBorder="1" applyAlignment="1" applyProtection="1">
      <alignment vertical="center"/>
      <protection locked="0"/>
    </xf>
    <xf numFmtId="4" fontId="163" fillId="43" borderId="389" xfId="0" applyNumberFormat="1" applyFont="1" applyFill="1" applyBorder="1" applyAlignment="1">
      <alignment horizontal="right" wrapText="1"/>
    </xf>
    <xf numFmtId="2" fontId="162" fillId="0" borderId="335" xfId="0" applyNumberFormat="1" applyFont="1" applyFill="1" applyBorder="1"/>
    <xf numFmtId="2" fontId="162" fillId="43" borderId="335" xfId="0" applyNumberFormat="1" applyFont="1" applyFill="1" applyBorder="1"/>
    <xf numFmtId="0" fontId="82" fillId="28" borderId="0" xfId="0" applyFont="1" applyFill="1"/>
    <xf numFmtId="0" fontId="60" fillId="0" borderId="389" xfId="0" applyNumberFormat="1" applyFont="1" applyFill="1" applyBorder="1" applyAlignment="1" applyProtection="1">
      <alignment vertical="center" wrapText="1"/>
      <protection locked="0"/>
    </xf>
    <xf numFmtId="0" fontId="60" fillId="0" borderId="389" xfId="0" applyNumberFormat="1" applyFont="1" applyFill="1" applyBorder="1" applyAlignment="1" applyProtection="1">
      <alignment vertical="center"/>
      <protection locked="0"/>
    </xf>
    <xf numFmtId="2" fontId="92" fillId="0" borderId="389" xfId="0" applyNumberFormat="1" applyFont="1" applyFill="1" applyBorder="1" applyAlignment="1">
      <alignment vertical="center" wrapText="1"/>
    </xf>
    <xf numFmtId="0" fontId="60" fillId="0" borderId="389" xfId="0" applyNumberFormat="1" applyFont="1" applyFill="1" applyBorder="1" applyAlignment="1">
      <alignment vertical="center" wrapText="1"/>
    </xf>
    <xf numFmtId="0" fontId="92" fillId="0" borderId="389" xfId="0" applyFont="1" applyFill="1" applyBorder="1" applyAlignment="1">
      <alignment vertical="center"/>
    </xf>
    <xf numFmtId="2" fontId="17" fillId="0" borderId="389" xfId="0" applyNumberFormat="1" applyFont="1" applyFill="1" applyBorder="1" applyAlignment="1">
      <alignment horizontal="right" wrapText="1"/>
    </xf>
    <xf numFmtId="4" fontId="162" fillId="43" borderId="389" xfId="0" applyNumberFormat="1" applyFont="1" applyFill="1" applyBorder="1" applyAlignment="1">
      <alignment horizontal="right" vertical="center"/>
    </xf>
    <xf numFmtId="10" fontId="61" fillId="0" borderId="389" xfId="0" applyNumberFormat="1" applyFont="1" applyFill="1" applyBorder="1" applyAlignment="1">
      <alignment vertical="center" wrapText="1"/>
    </xf>
    <xf numFmtId="2" fontId="162" fillId="43" borderId="389" xfId="0" applyNumberFormat="1" applyFont="1" applyFill="1" applyBorder="1" applyAlignment="1">
      <alignment horizontal="right" vertical="center" wrapText="1"/>
    </xf>
    <xf numFmtId="0" fontId="19" fillId="0" borderId="0" xfId="77"/>
    <xf numFmtId="0" fontId="131" fillId="0" borderId="0" xfId="77" applyFont="1"/>
    <xf numFmtId="0" fontId="84" fillId="38" borderId="389" xfId="77" applyFont="1" applyFill="1" applyBorder="1" applyAlignment="1">
      <alignment horizontal="center" wrapText="1"/>
    </xf>
    <xf numFmtId="0" fontId="84" fillId="0" borderId="389" xfId="77" applyFont="1" applyFill="1" applyBorder="1"/>
    <xf numFmtId="4" fontId="84" fillId="0" borderId="389" xfId="77" applyNumberFormat="1" applyFont="1" applyFill="1" applyBorder="1" applyAlignment="1">
      <alignment horizontal="center" vertical="center"/>
    </xf>
    <xf numFmtId="0" fontId="84" fillId="0" borderId="389" xfId="77" applyFont="1" applyFill="1" applyBorder="1" applyAlignment="1">
      <alignment horizontal="center"/>
    </xf>
    <xf numFmtId="4" fontId="84" fillId="0" borderId="389" xfId="77" applyNumberFormat="1" applyFont="1" applyFill="1" applyBorder="1" applyAlignment="1">
      <alignment horizontal="center"/>
    </xf>
    <xf numFmtId="4" fontId="16" fillId="0" borderId="389" xfId="77" applyNumberFormat="1" applyFont="1" applyFill="1" applyBorder="1" applyAlignment="1">
      <alignment horizontal="center"/>
    </xf>
    <xf numFmtId="0" fontId="16" fillId="0" borderId="389" xfId="77" applyFont="1" applyFill="1" applyBorder="1"/>
    <xf numFmtId="2" fontId="84" fillId="0" borderId="389" xfId="77" applyNumberFormat="1" applyFont="1" applyFill="1" applyBorder="1" applyAlignment="1">
      <alignment horizontal="center"/>
    </xf>
    <xf numFmtId="2" fontId="16" fillId="0" borderId="389" xfId="77" applyNumberFormat="1" applyFont="1" applyFill="1" applyBorder="1" applyAlignment="1">
      <alignment horizontal="center"/>
    </xf>
    <xf numFmtId="0" fontId="84" fillId="0" borderId="0" xfId="0" applyFont="1" applyProtection="1"/>
    <xf numFmtId="0" fontId="84" fillId="0" borderId="0" xfId="0" applyFont="1" applyFill="1" applyBorder="1" applyAlignment="1">
      <alignment vertical="center"/>
    </xf>
    <xf numFmtId="4" fontId="84" fillId="0" borderId="0" xfId="0" applyNumberFormat="1" applyFont="1" applyFill="1" applyBorder="1"/>
    <xf numFmtId="2" fontId="163" fillId="43" borderId="389" xfId="0" applyNumberFormat="1" applyFont="1" applyFill="1" applyBorder="1" applyAlignment="1">
      <alignment horizontal="right" vertical="center"/>
    </xf>
    <xf numFmtId="0" fontId="84" fillId="38" borderId="390" xfId="77" applyFont="1" applyFill="1" applyBorder="1" applyAlignment="1">
      <alignment horizontal="center" wrapText="1"/>
    </xf>
    <xf numFmtId="0" fontId="19" fillId="0" borderId="392" xfId="77" applyBorder="1" applyAlignment="1">
      <alignment horizontal="center" wrapText="1"/>
    </xf>
    <xf numFmtId="0" fontId="84" fillId="38" borderId="384" xfId="77" applyFont="1" applyFill="1" applyBorder="1" applyAlignment="1">
      <alignment horizontal="center" wrapText="1"/>
    </xf>
    <xf numFmtId="0" fontId="84" fillId="38" borderId="11" xfId="77" applyFont="1" applyFill="1" applyBorder="1" applyAlignment="1">
      <alignment horizontal="center" wrapText="1"/>
    </xf>
    <xf numFmtId="0" fontId="19" fillId="0" borderId="391" xfId="77" applyBorder="1" applyAlignment="1">
      <alignment horizontal="center" wrapText="1"/>
    </xf>
    <xf numFmtId="0" fontId="0" fillId="0" borderId="392" xfId="0" applyBorder="1" applyAlignment="1">
      <alignment horizontal="center" wrapText="1"/>
    </xf>
    <xf numFmtId="0" fontId="91" fillId="28" borderId="36" xfId="77" applyFont="1" applyFill="1" applyBorder="1" applyAlignment="1">
      <alignment horizontal="left" vertical="center"/>
    </xf>
    <xf numFmtId="0" fontId="0" fillId="0" borderId="36" xfId="0" applyBorder="1" applyAlignment="1"/>
    <xf numFmtId="0" fontId="84" fillId="38" borderId="384" xfId="77" applyFont="1" applyFill="1" applyBorder="1" applyAlignment="1">
      <alignment horizontal="center"/>
    </xf>
    <xf numFmtId="0" fontId="84" fillId="38" borderId="11" xfId="77" applyFont="1" applyFill="1" applyBorder="1" applyAlignment="1">
      <alignment horizontal="center"/>
    </xf>
    <xf numFmtId="0" fontId="16" fillId="0" borderId="0" xfId="77" applyFont="1" applyAlignment="1">
      <alignment horizontal="center"/>
    </xf>
    <xf numFmtId="0" fontId="0" fillId="0" borderId="0" xfId="0" applyAlignment="1"/>
    <xf numFmtId="0" fontId="60" fillId="0" borderId="389" xfId="0" applyFont="1" applyBorder="1" applyAlignment="1">
      <alignment horizontal="center" vertical="center"/>
    </xf>
    <xf numFmtId="0" fontId="60" fillId="0" borderId="389" xfId="0" applyFont="1" applyFill="1" applyBorder="1" applyAlignment="1">
      <alignment horizontal="center" vertical="center" wrapText="1"/>
    </xf>
    <xf numFmtId="0" fontId="0" fillId="0" borderId="389" xfId="0" applyFill="1" applyBorder="1" applyAlignment="1">
      <alignment horizontal="center" vertical="center" wrapText="1"/>
    </xf>
    <xf numFmtId="0" fontId="60" fillId="43" borderId="390" xfId="0" applyFont="1" applyFill="1" applyBorder="1" applyAlignment="1">
      <alignment horizontal="center" vertical="center" wrapText="1"/>
    </xf>
    <xf numFmtId="0" fontId="0" fillId="43" borderId="391" xfId="0" applyFill="1" applyBorder="1" applyAlignment="1">
      <alignment horizontal="center" vertical="center" wrapText="1"/>
    </xf>
    <xf numFmtId="0" fontId="0" fillId="0" borderId="391" xfId="0" applyBorder="1" applyAlignment="1">
      <alignment horizontal="center" vertical="center" wrapText="1"/>
    </xf>
    <xf numFmtId="0" fontId="0" fillId="0" borderId="392" xfId="0" applyBorder="1" applyAlignment="1">
      <alignment horizontal="center" vertical="center" wrapText="1"/>
    </xf>
    <xf numFmtId="0" fontId="60" fillId="0" borderId="384" xfId="0" applyFont="1" applyFill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60" fillId="43" borderId="384" xfId="0" applyFont="1" applyFill="1" applyBorder="1" applyAlignment="1">
      <alignment horizontal="center" vertical="center" wrapText="1"/>
    </xf>
    <xf numFmtId="0" fontId="60" fillId="43" borderId="389" xfId="0" applyFont="1" applyFill="1" applyBorder="1" applyAlignment="1">
      <alignment horizontal="center" vertical="center" wrapText="1"/>
    </xf>
    <xf numFmtId="0" fontId="0" fillId="43" borderId="389" xfId="0" applyFill="1" applyBorder="1" applyAlignment="1">
      <alignment horizontal="center" vertical="center" wrapText="1"/>
    </xf>
    <xf numFmtId="0" fontId="0" fillId="0" borderId="389" xfId="0" applyBorder="1" applyAlignment="1">
      <alignment horizontal="center" vertical="center" wrapText="1"/>
    </xf>
    <xf numFmtId="0" fontId="13" fillId="43" borderId="389" xfId="0" applyFont="1" applyFill="1" applyBorder="1" applyAlignment="1">
      <alignment horizontal="center" vertical="center" wrapText="1"/>
    </xf>
    <xf numFmtId="0" fontId="60" fillId="43" borderId="391" xfId="0" applyFont="1" applyFill="1" applyBorder="1" applyAlignment="1">
      <alignment horizontal="center" vertical="center" wrapText="1"/>
    </xf>
    <xf numFmtId="0" fontId="60" fillId="43" borderId="392" xfId="0" applyFont="1" applyFill="1" applyBorder="1" applyAlignment="1">
      <alignment horizontal="center" vertical="center" wrapText="1"/>
    </xf>
    <xf numFmtId="0" fontId="60" fillId="43" borderId="61" xfId="0" applyFont="1" applyFill="1" applyBorder="1" applyAlignment="1">
      <alignment horizontal="center" vertical="center" wrapText="1"/>
    </xf>
    <xf numFmtId="0" fontId="60" fillId="0" borderId="390" xfId="0" applyNumberFormat="1" applyFont="1" applyFill="1" applyBorder="1" applyAlignment="1">
      <alignment horizontal="center" vertical="center" wrapText="1"/>
    </xf>
    <xf numFmtId="0" fontId="0" fillId="0" borderId="391" xfId="0" applyNumberFormat="1" applyFill="1" applyBorder="1" applyAlignment="1">
      <alignment horizontal="center" vertical="center"/>
    </xf>
    <xf numFmtId="0" fontId="0" fillId="0" borderId="392" xfId="0" applyNumberFormat="1" applyFill="1" applyBorder="1" applyAlignment="1">
      <alignment horizontal="center" vertical="center"/>
    </xf>
    <xf numFmtId="0" fontId="60" fillId="43" borderId="390" xfId="0" applyNumberFormat="1" applyFont="1" applyFill="1" applyBorder="1" applyAlignment="1">
      <alignment horizontal="center" vertical="center" wrapText="1"/>
    </xf>
    <xf numFmtId="0" fontId="0" fillId="0" borderId="391" xfId="0" applyNumberFormat="1" applyBorder="1" applyAlignment="1">
      <alignment horizontal="center" vertical="center"/>
    </xf>
    <xf numFmtId="0" fontId="0" fillId="0" borderId="392" xfId="0" applyNumberFormat="1" applyBorder="1" applyAlignment="1">
      <alignment horizontal="center" vertical="center"/>
    </xf>
    <xf numFmtId="0" fontId="60" fillId="0" borderId="390" xfId="0" applyFont="1" applyFill="1" applyBorder="1" applyAlignment="1">
      <alignment horizontal="center" vertical="center" wrapText="1"/>
    </xf>
    <xf numFmtId="0" fontId="0" fillId="0" borderId="391" xfId="0" applyFill="1" applyBorder="1" applyAlignment="1">
      <alignment horizontal="center" vertical="center"/>
    </xf>
    <xf numFmtId="0" fontId="0" fillId="0" borderId="392" xfId="0" applyFill="1" applyBorder="1" applyAlignment="1">
      <alignment horizontal="center" vertical="center"/>
    </xf>
    <xf numFmtId="0" fontId="60" fillId="0" borderId="389" xfId="0" applyNumberFormat="1" applyFont="1" applyFill="1" applyBorder="1" applyAlignment="1">
      <alignment horizontal="center" vertical="center" wrapText="1"/>
    </xf>
    <xf numFmtId="0" fontId="0" fillId="0" borderId="389" xfId="0" applyNumberFormat="1" applyFill="1" applyBorder="1" applyAlignment="1">
      <alignment horizontal="center" vertical="center"/>
    </xf>
    <xf numFmtId="0" fontId="60" fillId="43" borderId="389" xfId="0" applyNumberFormat="1" applyFont="1" applyFill="1" applyBorder="1" applyAlignment="1">
      <alignment horizontal="center" vertical="center" wrapText="1"/>
    </xf>
    <xf numFmtId="0" fontId="0" fillId="0" borderId="389" xfId="0" applyNumberFormat="1" applyBorder="1" applyAlignment="1">
      <alignment horizontal="center" vertical="center"/>
    </xf>
    <xf numFmtId="0" fontId="0" fillId="0" borderId="389" xfId="0" applyFill="1" applyBorder="1" applyAlignment="1">
      <alignment horizontal="center" vertical="center"/>
    </xf>
    <xf numFmtId="0" fontId="60" fillId="43" borderId="389" xfId="0" applyFont="1" applyFill="1" applyBorder="1" applyAlignment="1" applyProtection="1">
      <alignment horizontal="center" vertical="center"/>
    </xf>
    <xf numFmtId="0" fontId="60" fillId="0" borderId="389" xfId="0" applyFont="1" applyFill="1" applyBorder="1" applyAlignment="1" applyProtection="1">
      <alignment horizontal="center" vertical="center" wrapText="1"/>
    </xf>
    <xf numFmtId="0" fontId="60" fillId="0" borderId="389" xfId="0" applyFont="1" applyFill="1" applyBorder="1" applyAlignment="1" applyProtection="1">
      <alignment horizontal="center" vertical="center"/>
    </xf>
    <xf numFmtId="0" fontId="60" fillId="43" borderId="389" xfId="0" applyFont="1" applyFill="1" applyBorder="1" applyAlignment="1" applyProtection="1">
      <alignment horizontal="center" vertical="center" wrapText="1"/>
    </xf>
    <xf numFmtId="0" fontId="60" fillId="0" borderId="389" xfId="0" applyFont="1" applyBorder="1" applyAlignment="1" applyProtection="1">
      <alignment horizontal="center" vertical="center" wrapText="1"/>
    </xf>
    <xf numFmtId="0" fontId="0" fillId="0" borderId="389" xfId="0" applyBorder="1" applyAlignment="1" applyProtection="1">
      <alignment horizontal="center" vertical="center"/>
    </xf>
    <xf numFmtId="0" fontId="60" fillId="29" borderId="389" xfId="0" applyFont="1" applyFill="1" applyBorder="1" applyAlignment="1" applyProtection="1">
      <alignment horizontal="center" vertical="center"/>
    </xf>
    <xf numFmtId="0" fontId="0" fillId="0" borderId="389" xfId="0" applyFill="1" applyBorder="1" applyAlignment="1" applyProtection="1">
      <alignment horizontal="center" vertical="center"/>
    </xf>
    <xf numFmtId="0" fontId="20" fillId="0" borderId="0" xfId="151" applyFont="1" applyAlignment="1">
      <alignment horizontal="center"/>
    </xf>
    <xf numFmtId="0" fontId="149" fillId="0" borderId="360" xfId="151" applyFont="1" applyBorder="1" applyAlignment="1">
      <alignment horizontal="center" vertical="center"/>
    </xf>
    <xf numFmtId="0" fontId="19" fillId="0" borderId="11" xfId="151" applyFont="1" applyBorder="1" applyAlignment="1">
      <alignment horizontal="center" vertical="center"/>
    </xf>
    <xf numFmtId="0" fontId="19" fillId="0" borderId="360" xfId="151" applyFont="1" applyBorder="1" applyAlignment="1">
      <alignment horizontal="center" vertical="center"/>
    </xf>
    <xf numFmtId="0" fontId="148" fillId="0" borderId="11" xfId="151" applyBorder="1" applyAlignment="1">
      <alignment horizontal="center" vertical="center"/>
    </xf>
    <xf numFmtId="0" fontId="113" fillId="0" borderId="0" xfId="150" applyFont="1" applyAlignment="1">
      <alignment horizontal="center"/>
    </xf>
    <xf numFmtId="0" fontId="13" fillId="0" borderId="0" xfId="0" applyFont="1" applyAlignment="1">
      <alignment horizontal="center"/>
    </xf>
    <xf numFmtId="0" fontId="114" fillId="0" borderId="0" xfId="150" applyFont="1" applyAlignment="1">
      <alignment horizontal="center"/>
    </xf>
    <xf numFmtId="0" fontId="0" fillId="0" borderId="0" xfId="0" applyAlignment="1">
      <alignment horizontal="center"/>
    </xf>
    <xf numFmtId="0" fontId="145" fillId="0" borderId="0" xfId="150" applyFont="1" applyAlignment="1">
      <alignment horizontal="center"/>
    </xf>
    <xf numFmtId="0" fontId="147" fillId="0" borderId="0" xfId="150" applyFont="1" applyAlignment="1">
      <alignment horizontal="center"/>
    </xf>
    <xf numFmtId="0" fontId="114" fillId="0" borderId="0" xfId="150" applyFont="1" applyAlignment="1">
      <alignment horizontal="left"/>
    </xf>
    <xf numFmtId="0" fontId="0" fillId="0" borderId="0" xfId="0" applyAlignment="1">
      <alignment horizontal="left"/>
    </xf>
    <xf numFmtId="0" fontId="16" fillId="0" borderId="355" xfId="0" applyFont="1" applyFill="1" applyBorder="1" applyAlignment="1">
      <alignment horizontal="center" vertical="center"/>
    </xf>
    <xf numFmtId="0" fontId="0" fillId="0" borderId="356" xfId="0" applyFont="1" applyFill="1" applyBorder="1" applyAlignment="1">
      <alignment horizontal="center" vertical="center"/>
    </xf>
    <xf numFmtId="0" fontId="0" fillId="0" borderId="357" xfId="0" applyFont="1" applyFill="1" applyBorder="1" applyAlignment="1">
      <alignment horizontal="center" vertical="center"/>
    </xf>
    <xf numFmtId="0" fontId="63" fillId="0" borderId="0" xfId="0" applyFont="1" applyAlignment="1">
      <alignment wrapText="1"/>
    </xf>
    <xf numFmtId="0" fontId="60" fillId="0" borderId="0" xfId="0" applyFont="1" applyAlignment="1">
      <alignment horizontal="left" vertical="top" wrapText="1"/>
    </xf>
    <xf numFmtId="0" fontId="82" fillId="0" borderId="0" xfId="0" applyFont="1" applyAlignment="1">
      <alignment horizontal="left" vertical="top"/>
    </xf>
    <xf numFmtId="0" fontId="60" fillId="0" borderId="0" xfId="0" applyFont="1" applyAlignment="1">
      <alignment horizontal="left" vertical="top"/>
    </xf>
    <xf numFmtId="0" fontId="60" fillId="0" borderId="0" xfId="0" applyFont="1" applyAlignment="1"/>
    <xf numFmtId="0" fontId="145" fillId="0" borderId="0" xfId="0" applyFont="1" applyAlignment="1">
      <alignment horizontal="center" vertical="center" wrapText="1"/>
    </xf>
    <xf numFmtId="0" fontId="64" fillId="0" borderId="0" xfId="0" applyFont="1" applyAlignment="1">
      <alignment horizontal="center" vertical="center" wrapText="1"/>
    </xf>
    <xf numFmtId="0" fontId="60" fillId="0" borderId="351" xfId="0" applyFont="1" applyFill="1" applyBorder="1" applyAlignment="1">
      <alignment horizontal="center" vertical="center"/>
    </xf>
    <xf numFmtId="0" fontId="60" fillId="0" borderId="352" xfId="0" applyFont="1" applyFill="1" applyBorder="1" applyAlignment="1">
      <alignment horizontal="center" vertical="center"/>
    </xf>
    <xf numFmtId="0" fontId="17" fillId="28" borderId="350" xfId="0" applyFont="1" applyFill="1" applyBorder="1" applyAlignment="1">
      <alignment horizontal="center"/>
    </xf>
    <xf numFmtId="0" fontId="0" fillId="0" borderId="351" xfId="0" applyFont="1" applyBorder="1" applyAlignment="1">
      <alignment horizontal="center"/>
    </xf>
    <xf numFmtId="0" fontId="0" fillId="0" borderId="351" xfId="0" applyFont="1" applyBorder="1" applyAlignment="1"/>
    <xf numFmtId="0" fontId="0" fillId="0" borderId="352" xfId="0" applyFont="1" applyBorder="1" applyAlignment="1"/>
    <xf numFmtId="0" fontId="60" fillId="0" borderId="350" xfId="0" applyFont="1" applyBorder="1" applyAlignment="1">
      <alignment horizontal="center" vertical="center"/>
    </xf>
    <xf numFmtId="0" fontId="17" fillId="0" borderId="351" xfId="0" applyFont="1" applyBorder="1" applyAlignment="1">
      <alignment horizontal="center" vertical="center" wrapText="1"/>
    </xf>
    <xf numFmtId="0" fontId="70" fillId="0" borderId="0" xfId="0" applyFont="1" applyAlignment="1">
      <alignment horizontal="center" wrapText="1"/>
    </xf>
    <xf numFmtId="0" fontId="89" fillId="0" borderId="0" xfId="0" applyFont="1" applyAlignment="1">
      <alignment wrapText="1"/>
    </xf>
    <xf numFmtId="0" fontId="0" fillId="0" borderId="0" xfId="0" applyAlignment="1">
      <alignment wrapText="1"/>
    </xf>
    <xf numFmtId="0" fontId="17" fillId="25" borderId="16" xfId="0" applyFont="1" applyFill="1" applyBorder="1" applyAlignment="1">
      <alignment horizontal="center" vertical="center" wrapText="1"/>
    </xf>
    <xf numFmtId="0" fontId="17" fillId="25" borderId="17" xfId="0" applyFont="1" applyFill="1" applyBorder="1" applyAlignment="1">
      <alignment horizontal="center" vertical="center" wrapText="1"/>
    </xf>
    <xf numFmtId="0" fontId="0" fillId="0" borderId="17" xfId="0" applyBorder="1" applyAlignment="1"/>
    <xf numFmtId="0" fontId="0" fillId="0" borderId="18" xfId="0" applyBorder="1" applyAlignment="1"/>
    <xf numFmtId="0" fontId="60" fillId="0" borderId="351" xfId="0" applyFont="1" applyBorder="1" applyAlignment="1">
      <alignment horizontal="center" vertical="center"/>
    </xf>
    <xf numFmtId="0" fontId="60" fillId="0" borderId="350" xfId="0" applyFont="1" applyBorder="1" applyAlignment="1">
      <alignment horizontal="center" vertical="center" wrapText="1"/>
    </xf>
    <xf numFmtId="0" fontId="0" fillId="0" borderId="350" xfId="0" applyFont="1" applyBorder="1" applyAlignment="1">
      <alignment horizontal="center" vertical="center" wrapText="1"/>
    </xf>
    <xf numFmtId="0" fontId="17" fillId="28" borderId="16" xfId="0" applyFont="1" applyFill="1" applyBorder="1" applyAlignment="1">
      <alignment horizontal="center"/>
    </xf>
    <xf numFmtId="0" fontId="0" fillId="0" borderId="17" xfId="0" applyBorder="1" applyAlignment="1">
      <alignment horizontal="center"/>
    </xf>
    <xf numFmtId="0" fontId="70" fillId="0" borderId="0" xfId="0" applyFont="1" applyAlignment="1">
      <alignment horizontal="center"/>
    </xf>
    <xf numFmtId="0" fontId="89" fillId="0" borderId="0" xfId="0" applyFont="1" applyAlignment="1"/>
    <xf numFmtId="0" fontId="17" fillId="25" borderId="335" xfId="0" applyFont="1" applyFill="1" applyBorder="1" applyAlignment="1">
      <alignment horizontal="center" vertical="center" wrapText="1"/>
    </xf>
    <xf numFmtId="0" fontId="0" fillId="0" borderId="335" xfId="0" applyBorder="1" applyAlignment="1"/>
    <xf numFmtId="0" fontId="60" fillId="0" borderId="335" xfId="0" applyFont="1" applyBorder="1" applyAlignment="1">
      <alignment horizontal="center" vertical="center"/>
    </xf>
    <xf numFmtId="0" fontId="60" fillId="43" borderId="335" xfId="0" applyFont="1" applyFill="1" applyBorder="1" applyAlignment="1">
      <alignment horizontal="center" vertical="center" wrapText="1"/>
    </xf>
    <xf numFmtId="0" fontId="0" fillId="43" borderId="335" xfId="0" applyFill="1" applyBorder="1" applyAlignment="1">
      <alignment horizontal="center" vertical="center" wrapText="1"/>
    </xf>
    <xf numFmtId="0" fontId="60" fillId="43" borderId="335" xfId="0" applyFont="1" applyFill="1" applyBorder="1" applyAlignment="1">
      <alignment horizontal="center" vertical="center"/>
    </xf>
    <xf numFmtId="0" fontId="60" fillId="30" borderId="0" xfId="0" applyFont="1" applyFill="1" applyBorder="1" applyAlignment="1">
      <alignment vertical="center"/>
    </xf>
    <xf numFmtId="0" fontId="17" fillId="28" borderId="336" xfId="0" applyFont="1" applyFill="1" applyBorder="1" applyAlignment="1">
      <alignment horizontal="center" vertical="center" wrapText="1"/>
    </xf>
    <xf numFmtId="0" fontId="8" fillId="28" borderId="337" xfId="0" applyFont="1" applyFill="1" applyBorder="1" applyAlignment="1">
      <alignment horizontal="center"/>
    </xf>
    <xf numFmtId="0" fontId="8" fillId="28" borderId="338" xfId="0" applyFont="1" applyFill="1" applyBorder="1" applyAlignment="1">
      <alignment horizontal="center"/>
    </xf>
    <xf numFmtId="0" fontId="60" fillId="0" borderId="335" xfId="0" applyFont="1" applyBorder="1" applyAlignment="1">
      <alignment horizontal="center" vertical="center" wrapText="1"/>
    </xf>
    <xf numFmtId="0" fontId="0" fillId="0" borderId="335" xfId="0" applyFont="1" applyBorder="1" applyAlignment="1">
      <alignment horizontal="center" vertical="center" wrapText="1"/>
    </xf>
    <xf numFmtId="0" fontId="17" fillId="28" borderId="336" xfId="0" applyFont="1" applyFill="1" applyBorder="1" applyAlignment="1">
      <alignment horizontal="center"/>
    </xf>
    <xf numFmtId="0" fontId="0" fillId="0" borderId="337" xfId="0" applyFont="1" applyBorder="1" applyAlignment="1">
      <alignment horizontal="center"/>
    </xf>
    <xf numFmtId="0" fontId="0" fillId="0" borderId="337" xfId="0" applyFont="1" applyBorder="1" applyAlignment="1"/>
    <xf numFmtId="0" fontId="0" fillId="0" borderId="338" xfId="0" applyFont="1" applyBorder="1" applyAlignment="1"/>
    <xf numFmtId="0" fontId="0" fillId="43" borderId="335" xfId="0" applyFont="1" applyFill="1" applyBorder="1" applyAlignment="1">
      <alignment horizontal="center" vertical="center" wrapText="1"/>
    </xf>
    <xf numFmtId="0" fontId="0" fillId="0" borderId="338" xfId="0" applyFont="1" applyBorder="1" applyAlignment="1">
      <alignment horizontal="center"/>
    </xf>
    <xf numFmtId="0" fontId="13" fillId="0" borderId="0" xfId="0" applyFont="1" applyBorder="1" applyAlignment="1">
      <alignment horizontal="right"/>
    </xf>
    <xf numFmtId="0" fontId="0" fillId="0" borderId="0" xfId="0" applyBorder="1" applyAlignment="1">
      <alignment horizontal="right"/>
    </xf>
    <xf numFmtId="0" fontId="17" fillId="28" borderId="335" xfId="0" applyFont="1" applyFill="1" applyBorder="1" applyAlignment="1">
      <alignment horizontal="center"/>
    </xf>
    <xf numFmtId="0" fontId="0" fillId="0" borderId="335" xfId="0" applyFont="1" applyBorder="1" applyAlignment="1">
      <alignment horizontal="center"/>
    </xf>
    <xf numFmtId="0" fontId="0" fillId="0" borderId="335" xfId="0" applyFont="1" applyBorder="1" applyAlignment="1"/>
    <xf numFmtId="0" fontId="17" fillId="28" borderId="35" xfId="0" applyFont="1" applyFill="1" applyBorder="1" applyAlignment="1">
      <alignment horizontal="center" vertical="center" wrapText="1"/>
    </xf>
    <xf numFmtId="0" fontId="70" fillId="0" borderId="0" xfId="0" applyFont="1" applyAlignment="1">
      <alignment horizontal="center" vertical="center"/>
    </xf>
    <xf numFmtId="0" fontId="89" fillId="0" borderId="0" xfId="0" applyFont="1" applyAlignment="1">
      <alignment vertical="center"/>
    </xf>
    <xf numFmtId="0" fontId="17" fillId="28" borderId="335" xfId="0" applyFont="1" applyFill="1" applyBorder="1" applyAlignment="1">
      <alignment horizontal="center" vertical="center"/>
    </xf>
    <xf numFmtId="0" fontId="0" fillId="0" borderId="335" xfId="0" applyBorder="1" applyAlignment="1">
      <alignment horizontal="center" vertical="center"/>
    </xf>
    <xf numFmtId="0" fontId="17" fillId="28" borderId="335" xfId="0" applyFont="1" applyFill="1" applyBorder="1" applyAlignment="1">
      <alignment horizontal="center" vertical="center" wrapText="1"/>
    </xf>
    <xf numFmtId="0" fontId="0" fillId="0" borderId="335" xfId="0" applyBorder="1" applyAlignment="1">
      <alignment horizontal="center"/>
    </xf>
    <xf numFmtId="0" fontId="60" fillId="30" borderId="66" xfId="0" applyFont="1" applyFill="1" applyBorder="1" applyAlignment="1">
      <alignment horizontal="center" vertical="center"/>
    </xf>
    <xf numFmtId="0" fontId="84" fillId="26" borderId="243" xfId="96" applyFont="1" applyFill="1" applyBorder="1" applyAlignment="1">
      <alignment horizontal="center" vertical="center" wrapText="1"/>
    </xf>
    <xf numFmtId="178" fontId="84" fillId="34" borderId="243" xfId="96" applyNumberFormat="1" applyFont="1" applyFill="1" applyBorder="1" applyAlignment="1">
      <alignment horizontal="center" vertical="center" wrapText="1"/>
    </xf>
    <xf numFmtId="178" fontId="84" fillId="34" borderId="61" xfId="96" applyNumberFormat="1" applyFont="1" applyFill="1" applyBorder="1" applyAlignment="1">
      <alignment horizontal="center" vertical="center" wrapText="1"/>
    </xf>
    <xf numFmtId="178" fontId="84" fillId="34" borderId="11" xfId="96" applyNumberFormat="1" applyFont="1" applyFill="1" applyBorder="1" applyAlignment="1">
      <alignment horizontal="center" vertical="center" wrapText="1"/>
    </xf>
    <xf numFmtId="0" fontId="84" fillId="26" borderId="399" xfId="96" applyFont="1" applyFill="1" applyBorder="1" applyAlignment="1">
      <alignment horizontal="center" vertical="center" wrapText="1"/>
    </xf>
    <xf numFmtId="0" fontId="84" fillId="26" borderId="244" xfId="96" applyFont="1" applyFill="1" applyBorder="1" applyAlignment="1">
      <alignment horizontal="center" vertical="center" wrapText="1"/>
    </xf>
    <xf numFmtId="0" fontId="84" fillId="26" borderId="376" xfId="96" applyFont="1" applyFill="1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0" fillId="0" borderId="36" xfId="0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48" fillId="42" borderId="0" xfId="96" applyFont="1" applyFill="1" applyAlignment="1">
      <alignment horizontal="right"/>
    </xf>
    <xf numFmtId="0" fontId="0" fillId="0" borderId="0" xfId="0" applyAlignment="1">
      <alignment horizontal="right"/>
    </xf>
    <xf numFmtId="0" fontId="17" fillId="42" borderId="0" xfId="96" applyFont="1" applyFill="1" applyAlignment="1">
      <alignment horizontal="center"/>
    </xf>
    <xf numFmtId="0" fontId="84" fillId="26" borderId="238" xfId="96" applyFont="1" applyFill="1" applyBorder="1" applyAlignment="1">
      <alignment horizontal="center" vertical="center" wrapText="1"/>
    </xf>
    <xf numFmtId="0" fontId="84" fillId="26" borderId="239" xfId="96" applyFont="1" applyFill="1" applyBorder="1" applyAlignment="1">
      <alignment horizontal="center" vertical="center" wrapText="1"/>
    </xf>
    <xf numFmtId="0" fontId="84" fillId="26" borderId="240" xfId="96" applyFont="1" applyFill="1" applyBorder="1" applyAlignment="1">
      <alignment horizontal="center" vertical="center" wrapText="1"/>
    </xf>
    <xf numFmtId="0" fontId="84" fillId="26" borderId="241" xfId="96" applyFont="1" applyFill="1" applyBorder="1" applyAlignment="1">
      <alignment horizontal="center" vertical="center" wrapText="1"/>
    </xf>
    <xf numFmtId="0" fontId="84" fillId="26" borderId="242" xfId="96" applyFont="1" applyFill="1" applyBorder="1" applyAlignment="1">
      <alignment horizontal="center" vertical="center" wrapText="1"/>
    </xf>
    <xf numFmtId="0" fontId="84" fillId="26" borderId="31" xfId="96" applyFont="1" applyFill="1" applyBorder="1" applyAlignment="1">
      <alignment horizontal="center" vertical="center" wrapText="1"/>
    </xf>
    <xf numFmtId="0" fontId="84" fillId="26" borderId="300" xfId="96" applyFont="1" applyFill="1" applyBorder="1" applyAlignment="1">
      <alignment horizontal="center" vertical="center" wrapText="1"/>
    </xf>
    <xf numFmtId="0" fontId="0" fillId="0" borderId="300" xfId="0" applyBorder="1" applyAlignment="1">
      <alignment horizontal="center" vertical="center" wrapText="1"/>
    </xf>
    <xf numFmtId="0" fontId="84" fillId="26" borderId="390" xfId="96" applyFont="1" applyFill="1" applyBorder="1" applyAlignment="1">
      <alignment horizontal="center" vertical="center" wrapText="1"/>
    </xf>
    <xf numFmtId="0" fontId="84" fillId="26" borderId="391" xfId="96" applyFont="1" applyFill="1" applyBorder="1" applyAlignment="1">
      <alignment horizontal="center" vertical="center" wrapText="1"/>
    </xf>
    <xf numFmtId="0" fontId="84" fillId="26" borderId="392" xfId="96" applyFont="1" applyFill="1" applyBorder="1" applyAlignment="1">
      <alignment horizontal="center" vertical="center" wrapText="1"/>
    </xf>
    <xf numFmtId="4" fontId="103" fillId="34" borderId="384" xfId="96" applyNumberFormat="1" applyFont="1" applyFill="1" applyBorder="1" applyAlignment="1">
      <alignment horizontal="center" vertical="center" wrapText="1"/>
    </xf>
    <xf numFmtId="0" fontId="0" fillId="0" borderId="61" xfId="0" applyBorder="1" applyAlignment="1">
      <alignment horizontal="center" vertical="center" wrapText="1"/>
    </xf>
    <xf numFmtId="0" fontId="84" fillId="34" borderId="243" xfId="96" applyFont="1" applyFill="1" applyBorder="1" applyAlignment="1">
      <alignment horizontal="center" vertical="center" wrapText="1"/>
    </xf>
    <xf numFmtId="0" fontId="84" fillId="34" borderId="61" xfId="96" applyFont="1" applyFill="1" applyBorder="1" applyAlignment="1">
      <alignment horizontal="center" vertical="center" wrapText="1"/>
    </xf>
    <xf numFmtId="0" fontId="84" fillId="34" borderId="11" xfId="96" applyFont="1" applyFill="1" applyBorder="1" applyAlignment="1">
      <alignment horizontal="center" vertical="center" wrapText="1"/>
    </xf>
    <xf numFmtId="0" fontId="84" fillId="26" borderId="301" xfId="96" applyFont="1" applyFill="1" applyBorder="1" applyAlignment="1">
      <alignment horizontal="center" vertical="center" wrapText="1"/>
    </xf>
    <xf numFmtId="0" fontId="84" fillId="26" borderId="302" xfId="96" applyFont="1" applyFill="1" applyBorder="1" applyAlignment="1">
      <alignment horizontal="center" vertical="center" wrapText="1"/>
    </xf>
    <xf numFmtId="0" fontId="13" fillId="38" borderId="404" xfId="0" applyFont="1" applyFill="1" applyBorder="1" applyAlignment="1">
      <alignment horizontal="center" vertical="center" wrapText="1"/>
    </xf>
    <xf numFmtId="0" fontId="13" fillId="38" borderId="409" xfId="0" applyFont="1" applyFill="1" applyBorder="1" applyAlignment="1">
      <alignment horizontal="center" vertical="center" wrapText="1"/>
    </xf>
    <xf numFmtId="0" fontId="13" fillId="38" borderId="420" xfId="0" applyFont="1" applyFill="1" applyBorder="1" applyAlignment="1">
      <alignment horizontal="center" vertical="center" wrapText="1"/>
    </xf>
    <xf numFmtId="0" fontId="13" fillId="38" borderId="422" xfId="0" applyFont="1" applyFill="1" applyBorder="1" applyAlignment="1">
      <alignment horizontal="center" vertical="center" wrapText="1"/>
    </xf>
    <xf numFmtId="0" fontId="13" fillId="38" borderId="425" xfId="0" applyFont="1" applyFill="1" applyBorder="1" applyAlignment="1">
      <alignment horizontal="center" vertical="center" wrapText="1"/>
    </xf>
    <xf numFmtId="0" fontId="51" fillId="0" borderId="0" xfId="0" applyFont="1" applyBorder="1" applyAlignment="1">
      <alignment horizontal="center"/>
    </xf>
    <xf numFmtId="0" fontId="52" fillId="0" borderId="55" xfId="0" applyFont="1" applyBorder="1" applyAlignment="1">
      <alignment horizontal="left"/>
    </xf>
    <xf numFmtId="0" fontId="13" fillId="38" borderId="405" xfId="0" applyFont="1" applyFill="1" applyBorder="1" applyAlignment="1">
      <alignment horizontal="center" vertical="center"/>
    </xf>
    <xf numFmtId="0" fontId="13" fillId="38" borderId="410" xfId="0" applyFont="1" applyFill="1" applyBorder="1" applyAlignment="1">
      <alignment horizontal="center" vertical="center"/>
    </xf>
    <xf numFmtId="0" fontId="13" fillId="38" borderId="406" xfId="0" applyFont="1" applyFill="1" applyBorder="1" applyAlignment="1">
      <alignment horizontal="center" vertical="center" wrapText="1"/>
    </xf>
    <xf numFmtId="0" fontId="13" fillId="38" borderId="411" xfId="0" applyFont="1" applyFill="1" applyBorder="1" applyAlignment="1">
      <alignment horizontal="center" vertical="center" wrapText="1"/>
    </xf>
    <xf numFmtId="0" fontId="13" fillId="38" borderId="407" xfId="0" applyFont="1" applyFill="1" applyBorder="1" applyAlignment="1">
      <alignment horizontal="center" vertical="center"/>
    </xf>
    <xf numFmtId="0" fontId="13" fillId="38" borderId="404" xfId="0" applyFont="1" applyFill="1" applyBorder="1" applyAlignment="1">
      <alignment horizontal="center" vertical="center"/>
    </xf>
    <xf numFmtId="0" fontId="13" fillId="38" borderId="409" xfId="0" applyFont="1" applyFill="1" applyBorder="1" applyAlignment="1">
      <alignment horizontal="center" vertical="center"/>
    </xf>
    <xf numFmtId="0" fontId="13" fillId="38" borderId="408" xfId="0" applyFont="1" applyFill="1" applyBorder="1" applyAlignment="1">
      <alignment horizontal="center" vertical="center"/>
    </xf>
    <xf numFmtId="0" fontId="13" fillId="38" borderId="413" xfId="0" applyFont="1" applyFill="1" applyBorder="1" applyAlignment="1">
      <alignment horizontal="center" vertical="center"/>
    </xf>
    <xf numFmtId="0" fontId="12" fillId="0" borderId="0" xfId="0" applyFont="1" applyAlignment="1">
      <alignment horizontal="center"/>
    </xf>
    <xf numFmtId="0" fontId="15" fillId="0" borderId="403" xfId="0" applyFont="1" applyBorder="1" applyAlignment="1">
      <alignment horizontal="left" vertical="center"/>
    </xf>
    <xf numFmtId="0" fontId="13" fillId="0" borderId="267" xfId="0" applyFont="1" applyBorder="1" applyAlignment="1">
      <alignment horizontal="center" vertical="center" wrapText="1"/>
    </xf>
    <xf numFmtId="0" fontId="13" fillId="0" borderId="49" xfId="0" applyFont="1" applyBorder="1" applyAlignment="1">
      <alignment horizontal="center" vertical="center" wrapText="1"/>
    </xf>
    <xf numFmtId="0" fontId="13" fillId="0" borderId="24" xfId="0" applyFont="1" applyBorder="1" applyAlignment="1">
      <alignment horizontal="center" vertical="center" wrapText="1"/>
    </xf>
    <xf numFmtId="0" fontId="17" fillId="0" borderId="52" xfId="0" applyFont="1" applyFill="1" applyBorder="1" applyAlignment="1">
      <alignment horizontal="center" vertical="center"/>
    </xf>
    <xf numFmtId="0" fontId="62" fillId="0" borderId="53" xfId="0" applyFont="1" applyFill="1" applyBorder="1" applyAlignment="1"/>
    <xf numFmtId="0" fontId="0" fillId="0" borderId="53" xfId="0" applyFont="1" applyFill="1" applyBorder="1" applyAlignment="1"/>
    <xf numFmtId="0" fontId="0" fillId="0" borderId="47" xfId="0" applyFont="1" applyFill="1" applyBorder="1" applyAlignment="1"/>
    <xf numFmtId="0" fontId="0" fillId="0" borderId="59" xfId="0" applyFont="1" applyFill="1" applyBorder="1" applyAlignment="1"/>
    <xf numFmtId="0" fontId="60" fillId="0" borderId="284" xfId="0" applyFont="1" applyFill="1" applyBorder="1" applyAlignment="1">
      <alignment horizontal="center" vertical="center" wrapText="1"/>
    </xf>
    <xf numFmtId="0" fontId="60" fillId="0" borderId="282" xfId="0" applyFont="1" applyFill="1" applyBorder="1" applyAlignment="1">
      <alignment horizontal="center" vertical="center" wrapText="1"/>
    </xf>
    <xf numFmtId="0" fontId="60" fillId="0" borderId="66" xfId="0" applyFont="1" applyFill="1" applyBorder="1" applyAlignment="1">
      <alignment horizontal="center" vertical="center" wrapText="1"/>
    </xf>
    <xf numFmtId="0" fontId="60" fillId="0" borderId="74" xfId="0" applyFont="1" applyFill="1" applyBorder="1" applyAlignment="1">
      <alignment horizontal="center" vertical="center" wrapText="1"/>
    </xf>
    <xf numFmtId="0" fontId="13" fillId="0" borderId="40" xfId="0" applyFont="1" applyBorder="1" applyAlignment="1">
      <alignment horizontal="center" vertical="center"/>
    </xf>
    <xf numFmtId="0" fontId="13" fillId="0" borderId="36" xfId="0" applyFont="1" applyBorder="1" applyAlignment="1">
      <alignment horizontal="center" vertical="center"/>
    </xf>
    <xf numFmtId="0" fontId="13" fillId="0" borderId="68" xfId="0" applyFont="1" applyBorder="1" applyAlignment="1">
      <alignment horizontal="center" vertical="center"/>
    </xf>
    <xf numFmtId="0" fontId="13" fillId="0" borderId="46" xfId="0" applyFont="1" applyBorder="1" applyAlignment="1">
      <alignment horizontal="center" vertical="center" wrapText="1"/>
    </xf>
    <xf numFmtId="0" fontId="13" fillId="0" borderId="57" xfId="0" applyFont="1" applyBorder="1" applyAlignment="1">
      <alignment horizontal="center" vertical="center" wrapText="1"/>
    </xf>
    <xf numFmtId="0" fontId="13" fillId="0" borderId="46" xfId="0" applyFont="1" applyBorder="1" applyAlignment="1">
      <alignment horizontal="center" vertical="center"/>
    </xf>
    <xf numFmtId="0" fontId="13" fillId="0" borderId="57" xfId="0" applyFont="1" applyBorder="1" applyAlignment="1">
      <alignment horizontal="center" vertical="center"/>
    </xf>
    <xf numFmtId="0" fontId="17" fillId="25" borderId="52" xfId="0" applyFont="1" applyFill="1" applyBorder="1" applyAlignment="1">
      <alignment horizontal="center" vertical="center"/>
    </xf>
    <xf numFmtId="0" fontId="17" fillId="25" borderId="53" xfId="0" applyFont="1" applyFill="1" applyBorder="1" applyAlignment="1">
      <alignment horizontal="center" vertical="center"/>
    </xf>
    <xf numFmtId="0" fontId="0" fillId="0" borderId="53" xfId="0" applyFont="1" applyBorder="1" applyAlignment="1"/>
    <xf numFmtId="0" fontId="0" fillId="0" borderId="59" xfId="0" applyFont="1" applyBorder="1" applyAlignment="1"/>
    <xf numFmtId="0" fontId="60" fillId="0" borderId="353" xfId="0" applyFont="1" applyFill="1" applyBorder="1" applyAlignment="1">
      <alignment horizontal="center" vertical="center" wrapText="1"/>
    </xf>
    <xf numFmtId="0" fontId="60" fillId="0" borderId="49" xfId="0" applyFont="1" applyFill="1" applyBorder="1" applyAlignment="1">
      <alignment horizontal="center" vertical="center" wrapText="1"/>
    </xf>
    <xf numFmtId="0" fontId="0" fillId="0" borderId="24" xfId="0" applyFont="1" applyFill="1" applyBorder="1" applyAlignment="1">
      <alignment horizontal="center" vertical="center" wrapText="1"/>
    </xf>
    <xf numFmtId="0" fontId="60" fillId="0" borderId="354" xfId="0" applyFont="1" applyFill="1" applyBorder="1" applyAlignment="1">
      <alignment horizontal="center" vertical="center" wrapText="1"/>
    </xf>
    <xf numFmtId="0" fontId="60" fillId="0" borderId="67" xfId="0" applyFont="1" applyFill="1" applyBorder="1" applyAlignment="1">
      <alignment horizontal="center" vertical="center" wrapText="1"/>
    </xf>
    <xf numFmtId="0" fontId="0" fillId="0" borderId="44" xfId="0" applyFont="1" applyFill="1" applyBorder="1" applyAlignment="1">
      <alignment horizontal="center" vertical="center" wrapText="1"/>
    </xf>
    <xf numFmtId="0" fontId="13" fillId="0" borderId="268" xfId="0" applyFont="1" applyBorder="1" applyAlignment="1">
      <alignment horizontal="center" vertical="center" wrapText="1"/>
    </xf>
    <xf numFmtId="0" fontId="13" fillId="0" borderId="67" xfId="0" applyFont="1" applyBorder="1" applyAlignment="1">
      <alignment horizontal="center" vertical="center" wrapText="1"/>
    </xf>
    <xf numFmtId="0" fontId="13" fillId="0" borderId="44" xfId="0" applyFont="1" applyBorder="1" applyAlignment="1">
      <alignment horizontal="center" vertical="center" wrapText="1"/>
    </xf>
    <xf numFmtId="0" fontId="17" fillId="0" borderId="73" xfId="0" applyFont="1" applyFill="1" applyBorder="1" applyAlignment="1">
      <alignment horizontal="center" vertical="center" wrapText="1"/>
    </xf>
    <xf numFmtId="0" fontId="0" fillId="0" borderId="69" xfId="0" applyFont="1" applyFill="1" applyBorder="1" applyAlignment="1">
      <alignment horizontal="center" vertical="center"/>
    </xf>
    <xf numFmtId="0" fontId="17" fillId="0" borderId="16" xfId="0" applyFont="1" applyFill="1" applyBorder="1" applyAlignment="1">
      <alignment horizontal="center" vertical="center" wrapText="1"/>
    </xf>
    <xf numFmtId="0" fontId="17" fillId="0" borderId="17" xfId="0" applyFont="1" applyFill="1" applyBorder="1" applyAlignment="1">
      <alignment horizontal="center" vertical="center" wrapText="1"/>
    </xf>
    <xf numFmtId="0" fontId="17" fillId="0" borderId="18" xfId="0" applyFont="1" applyFill="1" applyBorder="1" applyAlignment="1">
      <alignment horizontal="center" vertical="center" wrapText="1"/>
    </xf>
    <xf numFmtId="0" fontId="60" fillId="0" borderId="358" xfId="0" applyFont="1" applyFill="1" applyBorder="1" applyAlignment="1">
      <alignment horizontal="center" vertical="center" wrapText="1"/>
    </xf>
    <xf numFmtId="0" fontId="60" fillId="0" borderId="342" xfId="0" applyFont="1" applyFill="1" applyBorder="1" applyAlignment="1">
      <alignment horizontal="center" vertical="center" wrapText="1"/>
    </xf>
    <xf numFmtId="0" fontId="60" fillId="0" borderId="360" xfId="0" applyFont="1" applyFill="1" applyBorder="1" applyAlignment="1">
      <alignment horizontal="center" vertical="center" wrapText="1"/>
    </xf>
    <xf numFmtId="0" fontId="60" fillId="0" borderId="61" xfId="0" applyFont="1" applyFill="1" applyBorder="1" applyAlignment="1">
      <alignment horizontal="center" vertical="center" wrapText="1"/>
    </xf>
    <xf numFmtId="0" fontId="17" fillId="0" borderId="71" xfId="0" applyFont="1" applyFill="1" applyBorder="1" applyAlignment="1">
      <alignment horizontal="center" vertical="center" wrapText="1"/>
    </xf>
    <xf numFmtId="0" fontId="0" fillId="0" borderId="71" xfId="0" applyFont="1" applyFill="1" applyBorder="1" applyAlignment="1">
      <alignment horizontal="center" vertical="center" wrapText="1"/>
    </xf>
    <xf numFmtId="0" fontId="0" fillId="0" borderId="69" xfId="0" applyFont="1" applyFill="1" applyBorder="1" applyAlignment="1">
      <alignment horizontal="center" vertical="center" wrapText="1"/>
    </xf>
    <xf numFmtId="0" fontId="60" fillId="0" borderId="352" xfId="0" applyFont="1" applyFill="1" applyBorder="1" applyAlignment="1">
      <alignment horizontal="center" vertical="center" wrapText="1"/>
    </xf>
    <xf numFmtId="0" fontId="0" fillId="0" borderId="352" xfId="0" applyFont="1" applyFill="1" applyBorder="1" applyAlignment="1">
      <alignment horizontal="center" vertical="center" wrapText="1"/>
    </xf>
    <xf numFmtId="0" fontId="0" fillId="0" borderId="354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wrapText="1"/>
    </xf>
    <xf numFmtId="0" fontId="60" fillId="0" borderId="359" xfId="0" applyFont="1" applyFill="1" applyBorder="1" applyAlignment="1">
      <alignment horizontal="center" vertical="center" wrapText="1"/>
    </xf>
    <xf numFmtId="0" fontId="58" fillId="0" borderId="0" xfId="0" applyFont="1" applyAlignment="1">
      <alignment horizontal="right" vertical="center"/>
    </xf>
    <xf numFmtId="0" fontId="17" fillId="0" borderId="0" xfId="0" applyFont="1" applyBorder="1" applyAlignment="1">
      <alignment horizontal="right" vertical="center"/>
    </xf>
    <xf numFmtId="0" fontId="62" fillId="0" borderId="0" xfId="0" applyFont="1" applyBorder="1" applyAlignment="1">
      <alignment horizontal="right" vertical="center"/>
    </xf>
    <xf numFmtId="0" fontId="62" fillId="0" borderId="0" xfId="0" applyFont="1" applyAlignment="1">
      <alignment vertical="center"/>
    </xf>
    <xf numFmtId="0" fontId="87" fillId="0" borderId="0" xfId="0" applyFont="1" applyAlignment="1">
      <alignment horizontal="center" vertical="center"/>
    </xf>
    <xf numFmtId="0" fontId="136" fillId="0" borderId="0" xfId="0" applyFont="1" applyAlignment="1">
      <alignment vertical="center"/>
    </xf>
    <xf numFmtId="0" fontId="17" fillId="0" borderId="50" xfId="0" applyFont="1" applyFill="1" applyBorder="1" applyAlignment="1">
      <alignment horizontal="center" vertical="center" wrapText="1"/>
    </xf>
    <xf numFmtId="0" fontId="17" fillId="0" borderId="47" xfId="0" applyFont="1" applyFill="1" applyBorder="1" applyAlignment="1">
      <alignment horizontal="center" vertical="center" wrapText="1"/>
    </xf>
    <xf numFmtId="0" fontId="17" fillId="0" borderId="48" xfId="0" applyFont="1" applyFill="1" applyBorder="1" applyAlignment="1">
      <alignment horizontal="center" vertical="center" wrapText="1"/>
    </xf>
    <xf numFmtId="0" fontId="0" fillId="0" borderId="54" xfId="0" applyFont="1" applyFill="1" applyBorder="1" applyAlignment="1">
      <alignment wrapText="1"/>
    </xf>
    <xf numFmtId="0" fontId="0" fillId="0" borderId="0" xfId="0" applyFont="1" applyFill="1" applyBorder="1" applyAlignment="1">
      <alignment wrapText="1"/>
    </xf>
    <xf numFmtId="0" fontId="0" fillId="0" borderId="60" xfId="0" applyFont="1" applyFill="1" applyBorder="1" applyAlignment="1">
      <alignment wrapText="1"/>
    </xf>
    <xf numFmtId="0" fontId="0" fillId="0" borderId="56" xfId="0" applyFont="1" applyFill="1" applyBorder="1" applyAlignment="1">
      <alignment wrapText="1"/>
    </xf>
    <xf numFmtId="0" fontId="0" fillId="0" borderId="55" xfId="0" applyFont="1" applyFill="1" applyBorder="1" applyAlignment="1">
      <alignment wrapText="1"/>
    </xf>
    <xf numFmtId="0" fontId="0" fillId="0" borderId="33" xfId="0" applyFont="1" applyFill="1" applyBorder="1" applyAlignment="1">
      <alignment wrapText="1"/>
    </xf>
    <xf numFmtId="0" fontId="12" fillId="0" borderId="52" xfId="0" applyFont="1" applyBorder="1" applyAlignment="1">
      <alignment horizontal="center" vertical="center"/>
    </xf>
    <xf numFmtId="0" fontId="12" fillId="0" borderId="53" xfId="0" applyFont="1" applyBorder="1" applyAlignment="1">
      <alignment horizontal="center" vertical="center"/>
    </xf>
    <xf numFmtId="0" fontId="12" fillId="0" borderId="59" xfId="0" applyFont="1" applyBorder="1" applyAlignment="1">
      <alignment horizontal="center" vertical="center"/>
    </xf>
    <xf numFmtId="0" fontId="60" fillId="0" borderId="13" xfId="0" applyFont="1" applyFill="1" applyBorder="1" applyAlignment="1">
      <alignment horizontal="center" vertical="center"/>
    </xf>
    <xf numFmtId="0" fontId="60" fillId="0" borderId="331" xfId="0" applyFont="1" applyFill="1" applyBorder="1" applyAlignment="1">
      <alignment horizontal="center" vertical="center"/>
    </xf>
    <xf numFmtId="0" fontId="60" fillId="0" borderId="266" xfId="0" applyFont="1" applyFill="1" applyBorder="1" applyAlignment="1">
      <alignment horizontal="center" vertical="center"/>
    </xf>
    <xf numFmtId="0" fontId="0" fillId="0" borderId="359" xfId="0" applyFont="1" applyFill="1" applyBorder="1" applyAlignment="1">
      <alignment horizontal="center" vertical="center" wrapText="1"/>
    </xf>
    <xf numFmtId="0" fontId="0" fillId="0" borderId="360" xfId="0" applyFont="1" applyFill="1" applyBorder="1" applyAlignment="1">
      <alignment horizontal="center" vertical="center" wrapText="1"/>
    </xf>
    <xf numFmtId="0" fontId="12" fillId="0" borderId="52" xfId="0" applyFont="1" applyBorder="1" applyAlignment="1">
      <alignment horizontal="center"/>
    </xf>
    <xf numFmtId="0" fontId="12" fillId="0" borderId="53" xfId="0" applyFont="1" applyBorder="1" applyAlignment="1">
      <alignment horizontal="center"/>
    </xf>
    <xf numFmtId="0" fontId="12" fillId="0" borderId="59" xfId="0" applyFont="1" applyBorder="1" applyAlignment="1">
      <alignment horizontal="center"/>
    </xf>
    <xf numFmtId="0" fontId="67" fillId="0" borderId="0" xfId="0" applyFont="1" applyAlignment="1">
      <alignment horizontal="center"/>
    </xf>
    <xf numFmtId="0" fontId="13" fillId="0" borderId="40" xfId="0" applyFont="1" applyBorder="1" applyAlignment="1">
      <alignment horizontal="center" vertical="center" wrapText="1"/>
    </xf>
    <xf numFmtId="0" fontId="13" fillId="0" borderId="36" xfId="0" applyFont="1" applyBorder="1" applyAlignment="1">
      <alignment horizontal="center" vertical="center" wrapText="1"/>
    </xf>
    <xf numFmtId="0" fontId="13" fillId="0" borderId="68" xfId="0" applyFont="1" applyBorder="1" applyAlignment="1">
      <alignment horizontal="center" vertical="center" wrapText="1"/>
    </xf>
    <xf numFmtId="0" fontId="0" fillId="0" borderId="11" xfId="0" applyFont="1" applyFill="1" applyBorder="1" applyAlignment="1">
      <alignment vertical="center" wrapText="1"/>
    </xf>
    <xf numFmtId="0" fontId="0" fillId="0" borderId="38" xfId="0" applyFont="1" applyFill="1" applyBorder="1" applyAlignment="1">
      <alignment vertical="center" wrapText="1"/>
    </xf>
    <xf numFmtId="0" fontId="0" fillId="0" borderId="69" xfId="0" applyFont="1" applyFill="1" applyBorder="1" applyAlignment="1"/>
    <xf numFmtId="0" fontId="60" fillId="28" borderId="16" xfId="0" applyFont="1" applyFill="1" applyBorder="1" applyAlignment="1">
      <alignment horizontal="center" vertical="center"/>
    </xf>
    <xf numFmtId="0" fontId="60" fillId="28" borderId="17" xfId="0" applyFont="1" applyFill="1" applyBorder="1" applyAlignment="1">
      <alignment horizontal="center" vertical="center"/>
    </xf>
    <xf numFmtId="0" fontId="60" fillId="28" borderId="18" xfId="0" applyFont="1" applyFill="1" applyBorder="1" applyAlignment="1">
      <alignment horizontal="center" vertical="center"/>
    </xf>
    <xf numFmtId="0" fontId="60" fillId="28" borderId="397" xfId="0" applyFont="1" applyFill="1" applyBorder="1" applyAlignment="1">
      <alignment horizontal="center" vertical="center" wrapText="1"/>
    </xf>
    <xf numFmtId="0" fontId="0" fillId="28" borderId="397" xfId="0" applyFont="1" applyFill="1" applyBorder="1" applyAlignment="1">
      <alignment horizontal="center" vertical="center" wrapText="1"/>
    </xf>
    <xf numFmtId="0" fontId="0" fillId="28" borderId="400" xfId="0" applyFont="1" applyFill="1" applyBorder="1" applyAlignment="1">
      <alignment horizontal="center" vertical="center" wrapText="1"/>
    </xf>
    <xf numFmtId="0" fontId="60" fillId="28" borderId="389" xfId="0" applyFont="1" applyFill="1" applyBorder="1" applyAlignment="1">
      <alignment horizontal="center" vertical="center" wrapText="1"/>
    </xf>
    <xf numFmtId="0" fontId="0" fillId="28" borderId="389" xfId="0" applyFont="1" applyFill="1" applyBorder="1" applyAlignment="1">
      <alignment horizontal="center" vertical="center" wrapText="1"/>
    </xf>
    <xf numFmtId="0" fontId="0" fillId="28" borderId="369" xfId="0" applyFont="1" applyFill="1" applyBorder="1" applyAlignment="1">
      <alignment horizontal="center" vertical="center" wrapText="1"/>
    </xf>
    <xf numFmtId="0" fontId="60" fillId="28" borderId="367" xfId="0" applyFont="1" applyFill="1" applyBorder="1" applyAlignment="1">
      <alignment horizontal="center" vertical="center" wrapText="1"/>
    </xf>
    <xf numFmtId="0" fontId="0" fillId="28" borderId="367" xfId="0" applyFont="1" applyFill="1" applyBorder="1" applyAlignment="1">
      <alignment horizontal="center" vertical="center" wrapText="1"/>
    </xf>
    <xf numFmtId="0" fontId="0" fillId="28" borderId="402" xfId="0" applyFont="1" applyFill="1" applyBorder="1" applyAlignment="1">
      <alignment horizontal="center" vertical="center" wrapText="1"/>
    </xf>
    <xf numFmtId="0" fontId="13" fillId="0" borderId="63" xfId="0" applyFont="1" applyBorder="1" applyAlignment="1">
      <alignment horizontal="center" vertical="center" wrapText="1"/>
    </xf>
    <xf numFmtId="0" fontId="17" fillId="0" borderId="0" xfId="0" applyFont="1" applyAlignment="1">
      <alignment horizontal="center"/>
    </xf>
    <xf numFmtId="0" fontId="13" fillId="0" borderId="69" xfId="0" applyFont="1" applyBorder="1" applyAlignment="1">
      <alignment horizontal="center" vertical="center" wrapText="1"/>
    </xf>
    <xf numFmtId="0" fontId="13" fillId="0" borderId="64" xfId="0" applyFont="1" applyBorder="1" applyAlignment="1">
      <alignment horizontal="center" vertical="center" wrapText="1"/>
    </xf>
    <xf numFmtId="0" fontId="13" fillId="0" borderId="45" xfId="0" applyFont="1" applyBorder="1" applyAlignment="1">
      <alignment horizontal="center" vertical="center" wrapText="1"/>
    </xf>
    <xf numFmtId="0" fontId="13" fillId="0" borderId="61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60" fillId="0" borderId="13" xfId="0" applyFont="1" applyBorder="1" applyAlignment="1">
      <alignment horizontal="center" vertical="center"/>
    </xf>
    <xf numFmtId="0" fontId="60" fillId="0" borderId="12" xfId="0" applyFont="1" applyBorder="1" applyAlignment="1">
      <alignment horizontal="center" vertical="center"/>
    </xf>
    <xf numFmtId="0" fontId="60" fillId="0" borderId="14" xfId="0" applyFont="1" applyBorder="1" applyAlignment="1">
      <alignment horizontal="center" vertical="center"/>
    </xf>
    <xf numFmtId="0" fontId="17" fillId="0" borderId="73" xfId="0" applyFont="1" applyBorder="1" applyAlignment="1">
      <alignment horizontal="center" vertical="center" wrapText="1"/>
    </xf>
    <xf numFmtId="0" fontId="17" fillId="0" borderId="71" xfId="0" applyFont="1" applyBorder="1" applyAlignment="1">
      <alignment horizontal="center" vertical="center" wrapText="1"/>
    </xf>
    <xf numFmtId="0" fontId="0" fillId="0" borderId="71" xfId="0" applyBorder="1" applyAlignment="1"/>
    <xf numFmtId="0" fontId="0" fillId="0" borderId="69" xfId="0" applyBorder="1" applyAlignment="1"/>
    <xf numFmtId="0" fontId="0" fillId="0" borderId="71" xfId="0" applyBorder="1" applyAlignment="1">
      <alignment horizontal="center" vertical="center" wrapText="1"/>
    </xf>
    <xf numFmtId="0" fontId="0" fillId="0" borderId="69" xfId="0" applyBorder="1" applyAlignment="1">
      <alignment horizontal="center" vertical="center" wrapText="1"/>
    </xf>
    <xf numFmtId="0" fontId="60" fillId="0" borderId="30" xfId="0" applyFont="1" applyBorder="1" applyAlignment="1">
      <alignment horizontal="center" vertical="center"/>
    </xf>
    <xf numFmtId="0" fontId="60" fillId="0" borderId="18" xfId="0" applyFont="1" applyBorder="1" applyAlignment="1">
      <alignment horizontal="center" vertical="center"/>
    </xf>
    <xf numFmtId="0" fontId="60" fillId="0" borderId="91" xfId="0" applyFont="1" applyBorder="1" applyAlignment="1">
      <alignment horizontal="center" vertical="center"/>
    </xf>
    <xf numFmtId="0" fontId="60" fillId="0" borderId="20" xfId="0" applyFont="1" applyBorder="1" applyAlignment="1">
      <alignment horizontal="center" vertical="center"/>
    </xf>
    <xf numFmtId="0" fontId="60" fillId="0" borderId="65" xfId="0" applyFont="1" applyBorder="1" applyAlignment="1">
      <alignment horizontal="center" vertical="center"/>
    </xf>
    <xf numFmtId="0" fontId="60" fillId="0" borderId="88" xfId="0" applyFont="1" applyBorder="1" applyAlignment="1">
      <alignment horizontal="center" vertical="center"/>
    </xf>
    <xf numFmtId="0" fontId="60" fillId="0" borderId="130" xfId="0" applyFont="1" applyBorder="1" applyAlignment="1">
      <alignment horizontal="center" vertical="center" wrapText="1"/>
    </xf>
    <xf numFmtId="0" fontId="60" fillId="0" borderId="21" xfId="0" applyFont="1" applyBorder="1" applyAlignment="1">
      <alignment horizontal="center" vertical="center" wrapText="1"/>
    </xf>
    <xf numFmtId="0" fontId="60" fillId="0" borderId="142" xfId="0" applyFont="1" applyBorder="1" applyAlignment="1">
      <alignment horizontal="center" vertical="center" wrapText="1"/>
    </xf>
    <xf numFmtId="0" fontId="60" fillId="0" borderId="128" xfId="0" applyFont="1" applyBorder="1" applyAlignment="1">
      <alignment horizontal="center" vertical="center" wrapText="1"/>
    </xf>
    <xf numFmtId="0" fontId="60" fillId="0" borderId="161" xfId="0" applyFont="1" applyBorder="1" applyAlignment="1">
      <alignment horizontal="center" vertical="center" wrapText="1"/>
    </xf>
    <xf numFmtId="0" fontId="60" fillId="0" borderId="159" xfId="0" applyFont="1" applyBorder="1" applyAlignment="1">
      <alignment horizontal="center" vertical="center" wrapText="1"/>
    </xf>
    <xf numFmtId="0" fontId="60" fillId="0" borderId="54" xfId="0" applyFont="1" applyBorder="1" applyAlignment="1">
      <alignment horizontal="center" vertical="center" wrapText="1"/>
    </xf>
    <xf numFmtId="0" fontId="60" fillId="0" borderId="74" xfId="0" applyFont="1" applyBorder="1" applyAlignment="1">
      <alignment horizontal="center" vertical="center" wrapText="1"/>
    </xf>
    <xf numFmtId="0" fontId="60" fillId="0" borderId="20" xfId="0" applyFont="1" applyBorder="1" applyAlignment="1">
      <alignment horizontal="center" vertical="center" wrapText="1"/>
    </xf>
    <xf numFmtId="0" fontId="60" fillId="0" borderId="88" xfId="0" applyFont="1" applyBorder="1" applyAlignment="1">
      <alignment horizontal="center" vertical="center" wrapText="1"/>
    </xf>
    <xf numFmtId="0" fontId="60" fillId="0" borderId="156" xfId="0" applyFont="1" applyBorder="1" applyAlignment="1">
      <alignment horizontal="center" vertical="center" wrapText="1"/>
    </xf>
    <xf numFmtId="0" fontId="60" fillId="0" borderId="66" xfId="0" applyFont="1" applyBorder="1" applyAlignment="1">
      <alignment horizontal="center" vertical="center" wrapText="1"/>
    </xf>
    <xf numFmtId="0" fontId="60" fillId="0" borderId="127" xfId="0" applyFont="1" applyBorder="1" applyAlignment="1">
      <alignment horizontal="center" vertical="center" wrapText="1"/>
    </xf>
    <xf numFmtId="0" fontId="0" fillId="0" borderId="127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60" fillId="0" borderId="144" xfId="0" applyFont="1" applyBorder="1" applyAlignment="1">
      <alignment horizontal="center" vertical="center" wrapText="1"/>
    </xf>
    <xf numFmtId="0" fontId="60" fillId="0" borderId="146" xfId="0" applyFont="1" applyBorder="1" applyAlignment="1">
      <alignment horizontal="center" vertical="center" wrapText="1"/>
    </xf>
    <xf numFmtId="0" fontId="13" fillId="0" borderId="163" xfId="0" applyFont="1" applyBorder="1" applyAlignment="1">
      <alignment horizontal="left" vertical="center" wrapText="1"/>
    </xf>
    <xf numFmtId="0" fontId="13" fillId="0" borderId="127" xfId="0" applyFont="1" applyBorder="1" applyAlignment="1">
      <alignment horizontal="left" vertical="center" wrapText="1"/>
    </xf>
    <xf numFmtId="0" fontId="13" fillId="0" borderId="101" xfId="0" applyFont="1" applyBorder="1" applyAlignment="1">
      <alignment horizontal="left" vertical="center" wrapText="1"/>
    </xf>
    <xf numFmtId="0" fontId="13" fillId="0" borderId="23" xfId="0" applyFont="1" applyBorder="1" applyAlignment="1">
      <alignment horizontal="left" vertical="center" wrapText="1"/>
    </xf>
    <xf numFmtId="0" fontId="61" fillId="0" borderId="19" xfId="0" applyFont="1" applyBorder="1" applyAlignment="1">
      <alignment horizontal="left" vertical="center" wrapText="1"/>
    </xf>
    <xf numFmtId="0" fontId="61" fillId="0" borderId="20" xfId="0" applyFont="1" applyBorder="1" applyAlignment="1">
      <alignment horizontal="left" vertical="center" wrapText="1"/>
    </xf>
    <xf numFmtId="0" fontId="60" fillId="0" borderId="19" xfId="0" applyFont="1" applyBorder="1" applyAlignment="1">
      <alignment horizontal="left" vertical="center" wrapText="1"/>
    </xf>
    <xf numFmtId="0" fontId="60" fillId="0" borderId="20" xfId="0" applyFont="1" applyBorder="1" applyAlignment="1">
      <alignment horizontal="left" vertical="center" wrapText="1"/>
    </xf>
    <xf numFmtId="0" fontId="13" fillId="0" borderId="19" xfId="0" applyFont="1" applyBorder="1" applyAlignment="1">
      <alignment horizontal="left" vertical="center" wrapText="1"/>
    </xf>
    <xf numFmtId="0" fontId="13" fillId="0" borderId="20" xfId="0" applyFont="1" applyBorder="1" applyAlignment="1">
      <alignment horizontal="left" vertical="center" wrapText="1"/>
    </xf>
    <xf numFmtId="0" fontId="0" fillId="0" borderId="25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147" xfId="0" applyBorder="1" applyAlignment="1">
      <alignment horizontal="center"/>
    </xf>
    <xf numFmtId="0" fontId="0" fillId="0" borderId="10" xfId="0" applyBorder="1" applyAlignment="1">
      <alignment horizontal="center"/>
    </xf>
    <xf numFmtId="0" fontId="17" fillId="0" borderId="69" xfId="0" applyFont="1" applyFill="1" applyBorder="1" applyAlignment="1">
      <alignment horizontal="center" vertical="center" wrapText="1"/>
    </xf>
    <xf numFmtId="0" fontId="60" fillId="0" borderId="149" xfId="0" applyFont="1" applyBorder="1" applyAlignment="1">
      <alignment horizontal="center" vertical="center" wrapText="1"/>
    </xf>
    <xf numFmtId="0" fontId="60" fillId="0" borderId="163" xfId="0" applyFont="1" applyBorder="1" applyAlignment="1">
      <alignment horizontal="left" vertical="center" wrapText="1"/>
    </xf>
    <xf numFmtId="0" fontId="60" fillId="0" borderId="127" xfId="0" applyFont="1" applyBorder="1" applyAlignment="1">
      <alignment horizontal="left" vertical="center" wrapText="1"/>
    </xf>
    <xf numFmtId="0" fontId="13" fillId="0" borderId="41" xfId="0" applyFont="1" applyBorder="1" applyAlignment="1">
      <alignment horizontal="left" vertical="center" wrapText="1"/>
    </xf>
    <xf numFmtId="0" fontId="0" fillId="0" borderId="89" xfId="0" applyBorder="1" applyAlignment="1">
      <alignment horizontal="left" vertical="center" wrapText="1"/>
    </xf>
    <xf numFmtId="0" fontId="13" fillId="0" borderId="161" xfId="0" applyFont="1" applyBorder="1" applyAlignment="1">
      <alignment horizontal="left" vertical="center" wrapText="1"/>
    </xf>
    <xf numFmtId="0" fontId="0" fillId="0" borderId="162" xfId="0" applyBorder="1" applyAlignment="1">
      <alignment horizontal="left" vertical="center" wrapText="1"/>
    </xf>
    <xf numFmtId="0" fontId="17" fillId="25" borderId="54" xfId="0" applyFont="1" applyFill="1" applyBorder="1" applyAlignment="1">
      <alignment horizontal="center" vertical="center" wrapText="1"/>
    </xf>
    <xf numFmtId="0" fontId="17" fillId="25" borderId="0" xfId="0" applyFont="1" applyFill="1" applyBorder="1" applyAlignment="1">
      <alignment horizontal="center" vertical="center" wrapText="1"/>
    </xf>
    <xf numFmtId="0" fontId="17" fillId="25" borderId="60" xfId="0" applyFont="1" applyFill="1" applyBorder="1" applyAlignment="1">
      <alignment horizontal="center" vertical="center" wrapText="1"/>
    </xf>
    <xf numFmtId="0" fontId="60" fillId="0" borderId="143" xfId="0" applyFont="1" applyBorder="1" applyAlignment="1">
      <alignment horizontal="center" vertical="center" wrapText="1"/>
    </xf>
    <xf numFmtId="0" fontId="60" fillId="0" borderId="30" xfId="0" applyFont="1" applyBorder="1" applyAlignment="1">
      <alignment horizontal="left" vertical="center" wrapText="1"/>
    </xf>
    <xf numFmtId="0" fontId="60" fillId="0" borderId="18" xfId="0" applyFont="1" applyBorder="1" applyAlignment="1">
      <alignment horizontal="left" vertical="center" wrapText="1"/>
    </xf>
    <xf numFmtId="0" fontId="17" fillId="28" borderId="52" xfId="0" applyFont="1" applyFill="1" applyBorder="1" applyAlignment="1">
      <alignment horizontal="center" vertical="center"/>
    </xf>
    <xf numFmtId="0" fontId="62" fillId="28" borderId="53" xfId="0" applyFont="1" applyFill="1" applyBorder="1" applyAlignment="1"/>
    <xf numFmtId="0" fontId="62" fillId="28" borderId="55" xfId="0" applyFont="1" applyFill="1" applyBorder="1" applyAlignment="1"/>
    <xf numFmtId="0" fontId="62" fillId="28" borderId="59" xfId="0" applyFont="1" applyFill="1" applyBorder="1" applyAlignment="1"/>
    <xf numFmtId="0" fontId="60" fillId="0" borderId="16" xfId="0" applyFont="1" applyBorder="1" applyAlignment="1">
      <alignment horizontal="left" vertical="center" wrapText="1"/>
    </xf>
    <xf numFmtId="0" fontId="0" fillId="0" borderId="20" xfId="0" applyBorder="1" applyAlignment="1">
      <alignment horizontal="left" vertical="center" wrapText="1"/>
    </xf>
    <xf numFmtId="0" fontId="60" fillId="0" borderId="92" xfId="0" applyFont="1" applyBorder="1" applyAlignment="1">
      <alignment horizontal="center" vertical="center" wrapText="1"/>
    </xf>
    <xf numFmtId="0" fontId="60" fillId="0" borderId="87" xfId="0" applyFont="1" applyBorder="1" applyAlignment="1">
      <alignment horizontal="center" vertical="center" wrapText="1"/>
    </xf>
    <xf numFmtId="0" fontId="60" fillId="0" borderId="145" xfId="0" applyFont="1" applyBorder="1" applyAlignment="1">
      <alignment horizontal="center" vertical="center" wrapText="1"/>
    </xf>
    <xf numFmtId="0" fontId="68" fillId="0" borderId="0" xfId="0" applyFont="1" applyAlignment="1">
      <alignment horizontal="center"/>
    </xf>
    <xf numFmtId="0" fontId="137" fillId="0" borderId="0" xfId="0" applyFont="1" applyAlignment="1"/>
    <xf numFmtId="0" fontId="18" fillId="0" borderId="75" xfId="0" applyFont="1" applyFill="1" applyBorder="1" applyAlignment="1">
      <alignment horizontal="center" vertical="center" wrapText="1"/>
    </xf>
    <xf numFmtId="0" fontId="18" fillId="0" borderId="76" xfId="0" applyFont="1" applyFill="1" applyBorder="1" applyAlignment="1">
      <alignment horizontal="center" vertical="center" wrapText="1"/>
    </xf>
    <xf numFmtId="0" fontId="18" fillId="0" borderId="77" xfId="0" applyFont="1" applyFill="1" applyBorder="1" applyAlignment="1">
      <alignment horizontal="center" vertical="center" wrapText="1"/>
    </xf>
    <xf numFmtId="0" fontId="17" fillId="0" borderId="58" xfId="0" applyFont="1" applyFill="1" applyBorder="1" applyAlignment="1">
      <alignment horizontal="center" vertical="center" wrapText="1"/>
    </xf>
    <xf numFmtId="0" fontId="8" fillId="0" borderId="58" xfId="0" applyFont="1" applyFill="1" applyBorder="1" applyAlignment="1">
      <alignment horizontal="center" vertical="center" wrapText="1"/>
    </xf>
    <xf numFmtId="0" fontId="60" fillId="0" borderId="37" xfId="0" applyFont="1" applyFill="1" applyBorder="1" applyAlignment="1">
      <alignment horizontal="center" vertical="center" wrapText="1"/>
    </xf>
    <xf numFmtId="0" fontId="0" fillId="0" borderId="21" xfId="0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50" fillId="0" borderId="96" xfId="0" applyFont="1" applyFill="1" applyBorder="1" applyAlignment="1">
      <alignment horizontal="center" vertical="center" wrapText="1"/>
    </xf>
    <xf numFmtId="0" fontId="60" fillId="0" borderId="11" xfId="0" applyFont="1" applyFill="1" applyBorder="1" applyAlignment="1">
      <alignment horizontal="center" vertical="center" wrapText="1"/>
    </xf>
    <xf numFmtId="0" fontId="0" fillId="0" borderId="38" xfId="0" applyFill="1" applyBorder="1" applyAlignment="1">
      <alignment horizontal="center" vertical="center" wrapText="1"/>
    </xf>
    <xf numFmtId="0" fontId="0" fillId="0" borderId="212" xfId="0" applyFill="1" applyBorder="1" applyAlignment="1">
      <alignment horizontal="center" vertical="center" wrapText="1"/>
    </xf>
    <xf numFmtId="0" fontId="61" fillId="0" borderId="17" xfId="0" applyFont="1" applyFill="1" applyBorder="1" applyAlignment="1">
      <alignment horizontal="center" vertical="center" wrapText="1"/>
    </xf>
    <xf numFmtId="0" fontId="50" fillId="0" borderId="308" xfId="0" applyFont="1" applyFill="1" applyBorder="1" applyAlignment="1">
      <alignment horizontal="center" vertical="center" wrapText="1"/>
    </xf>
    <xf numFmtId="0" fontId="17" fillId="0" borderId="50" xfId="0" applyFont="1" applyFill="1" applyBorder="1" applyAlignment="1">
      <alignment horizontal="center" vertical="center"/>
    </xf>
    <xf numFmtId="0" fontId="17" fillId="0" borderId="47" xfId="0" applyFont="1" applyFill="1" applyBorder="1" applyAlignment="1">
      <alignment horizontal="center" vertical="center"/>
    </xf>
    <xf numFmtId="0" fontId="17" fillId="0" borderId="48" xfId="0" applyFont="1" applyFill="1" applyBorder="1" applyAlignment="1">
      <alignment horizontal="center" vertical="center"/>
    </xf>
    <xf numFmtId="0" fontId="0" fillId="0" borderId="56" xfId="0" applyBorder="1" applyAlignment="1">
      <alignment horizontal="center" vertical="center"/>
    </xf>
    <xf numFmtId="0" fontId="0" fillId="0" borderId="55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60" fillId="0" borderId="114" xfId="0" applyFont="1" applyBorder="1" applyAlignment="1">
      <alignment horizontal="center" vertical="center"/>
    </xf>
    <xf numFmtId="0" fontId="60" fillId="0" borderId="15" xfId="0" applyFont="1" applyBorder="1" applyAlignment="1">
      <alignment horizontal="center" vertical="center"/>
    </xf>
    <xf numFmtId="0" fontId="60" fillId="0" borderId="355" xfId="0" applyFont="1" applyBorder="1" applyAlignment="1">
      <alignment horizontal="center" vertical="center"/>
    </xf>
    <xf numFmtId="0" fontId="60" fillId="0" borderId="223" xfId="0" applyFont="1" applyBorder="1" applyAlignment="1">
      <alignment horizontal="center" vertical="center"/>
    </xf>
    <xf numFmtId="0" fontId="60" fillId="0" borderId="21" xfId="0" applyFont="1" applyFill="1" applyBorder="1" applyAlignment="1">
      <alignment horizontal="center" vertical="center" wrapText="1"/>
    </xf>
    <xf numFmtId="0" fontId="60" fillId="0" borderId="51" xfId="0" applyFont="1" applyBorder="1" applyAlignment="1">
      <alignment horizontal="center" vertical="center"/>
    </xf>
    <xf numFmtId="0" fontId="60" fillId="0" borderId="46" xfId="0" applyFont="1" applyBorder="1" applyAlignment="1">
      <alignment horizontal="center" vertical="center"/>
    </xf>
    <xf numFmtId="0" fontId="60" fillId="0" borderId="57" xfId="0" applyFont="1" applyBorder="1" applyAlignment="1">
      <alignment horizontal="center" vertical="center"/>
    </xf>
    <xf numFmtId="0" fontId="18" fillId="0" borderId="52" xfId="0" applyFont="1" applyBorder="1" applyAlignment="1">
      <alignment horizontal="center" vertical="center" wrapText="1"/>
    </xf>
    <xf numFmtId="0" fontId="0" fillId="0" borderId="53" xfId="0" applyBorder="1" applyAlignment="1">
      <alignment horizontal="center" vertical="center" wrapText="1"/>
    </xf>
    <xf numFmtId="0" fontId="0" fillId="0" borderId="59" xfId="0" applyBorder="1" applyAlignment="1">
      <alignment horizontal="center" vertical="center" wrapText="1"/>
    </xf>
    <xf numFmtId="0" fontId="17" fillId="0" borderId="17" xfId="0" applyFont="1" applyBorder="1" applyAlignment="1">
      <alignment horizontal="center" vertical="center"/>
    </xf>
    <xf numFmtId="0" fontId="17" fillId="0" borderId="27" xfId="0" applyFont="1" applyBorder="1" applyAlignment="1">
      <alignment horizontal="center" vertical="center"/>
    </xf>
    <xf numFmtId="0" fontId="17" fillId="0" borderId="30" xfId="0" applyFont="1" applyBorder="1" applyAlignment="1">
      <alignment horizontal="center" vertical="center"/>
    </xf>
    <xf numFmtId="0" fontId="17" fillId="0" borderId="71" xfId="0" applyFont="1" applyBorder="1" applyAlignment="1">
      <alignment horizontal="center" vertical="center"/>
    </xf>
    <xf numFmtId="0" fontId="60" fillId="0" borderId="17" xfId="0" applyFont="1" applyBorder="1" applyAlignment="1">
      <alignment horizontal="center" vertical="center"/>
    </xf>
    <xf numFmtId="0" fontId="60" fillId="0" borderId="102" xfId="0" applyFont="1" applyBorder="1" applyAlignment="1">
      <alignment horizontal="center" vertical="center" wrapText="1"/>
    </xf>
    <xf numFmtId="0" fontId="60" fillId="0" borderId="96" xfId="0" applyFont="1" applyBorder="1" applyAlignment="1">
      <alignment horizontal="center" vertical="center" wrapText="1"/>
    </xf>
    <xf numFmtId="0" fontId="18" fillId="0" borderId="53" xfId="0" applyFont="1" applyBorder="1" applyAlignment="1">
      <alignment horizontal="center" vertical="center" wrapText="1"/>
    </xf>
    <xf numFmtId="0" fontId="58" fillId="0" borderId="53" xfId="0" applyFont="1" applyBorder="1" applyAlignment="1">
      <alignment horizontal="center" vertical="center" wrapText="1"/>
    </xf>
    <xf numFmtId="0" fontId="58" fillId="0" borderId="59" xfId="0" applyFont="1" applyBorder="1" applyAlignment="1">
      <alignment horizontal="center" vertical="center" wrapText="1"/>
    </xf>
    <xf numFmtId="0" fontId="60" fillId="0" borderId="122" xfId="0" applyFont="1" applyBorder="1" applyAlignment="1">
      <alignment horizontal="center" vertical="center" wrapText="1"/>
    </xf>
    <xf numFmtId="0" fontId="60" fillId="0" borderId="61" xfId="0" applyFont="1" applyBorder="1" applyAlignment="1">
      <alignment horizontal="center" vertical="center" wrapText="1"/>
    </xf>
    <xf numFmtId="0" fontId="60" fillId="0" borderId="43" xfId="0" applyFont="1" applyBorder="1" applyAlignment="1">
      <alignment horizontal="center" vertical="center" wrapText="1"/>
    </xf>
    <xf numFmtId="0" fontId="18" fillId="0" borderId="75" xfId="0" applyFont="1" applyBorder="1" applyAlignment="1">
      <alignment horizontal="center" vertical="center" wrapText="1"/>
    </xf>
    <xf numFmtId="0" fontId="18" fillId="0" borderId="76" xfId="0" applyFont="1" applyBorder="1" applyAlignment="1">
      <alignment horizontal="center" vertical="center" wrapText="1"/>
    </xf>
    <xf numFmtId="0" fontId="18" fillId="0" borderId="77" xfId="0" applyFont="1" applyBorder="1" applyAlignment="1">
      <alignment horizontal="center" vertical="center" wrapText="1"/>
    </xf>
    <xf numFmtId="0" fontId="60" fillId="0" borderId="103" xfId="0" applyFont="1" applyBorder="1" applyAlignment="1">
      <alignment horizontal="center" vertical="center" wrapText="1"/>
    </xf>
    <xf numFmtId="0" fontId="60" fillId="0" borderId="121" xfId="0" applyFont="1" applyBorder="1" applyAlignment="1">
      <alignment horizontal="center" vertical="center" wrapText="1"/>
    </xf>
    <xf numFmtId="0" fontId="0" fillId="0" borderId="96" xfId="0" applyFill="1" applyBorder="1" applyAlignment="1">
      <alignment horizontal="center" vertical="center" wrapText="1"/>
    </xf>
    <xf numFmtId="0" fontId="0" fillId="0" borderId="28" xfId="0" applyBorder="1" applyAlignment="1">
      <alignment horizontal="center"/>
    </xf>
    <xf numFmtId="0" fontId="60" fillId="0" borderId="36" xfId="0" applyFont="1" applyFill="1" applyBorder="1" applyAlignment="1">
      <alignment horizontal="center" vertical="center" wrapText="1"/>
    </xf>
    <xf numFmtId="0" fontId="60" fillId="0" borderId="125" xfId="0" applyFont="1" applyFill="1" applyBorder="1" applyAlignment="1">
      <alignment horizontal="center" vertical="center" wrapText="1"/>
    </xf>
    <xf numFmtId="0" fontId="60" fillId="0" borderId="99" xfId="0" applyFont="1" applyFill="1" applyBorder="1" applyAlignment="1">
      <alignment horizontal="center" vertical="center" wrapText="1"/>
    </xf>
    <xf numFmtId="0" fontId="81" fillId="0" borderId="102" xfId="0" applyFont="1" applyBorder="1" applyAlignment="1">
      <alignment horizontal="center" vertical="center" wrapText="1"/>
    </xf>
    <xf numFmtId="0" fontId="81" fillId="0" borderId="103" xfId="0" applyFont="1" applyBorder="1" applyAlignment="1">
      <alignment horizontal="center" vertical="center" wrapText="1"/>
    </xf>
    <xf numFmtId="0" fontId="8" fillId="25" borderId="26" xfId="0" applyFont="1" applyFill="1" applyBorder="1" applyAlignment="1">
      <alignment horizontal="center"/>
    </xf>
    <xf numFmtId="0" fontId="8" fillId="25" borderId="0" xfId="0" applyFont="1" applyFill="1" applyBorder="1" applyAlignment="1">
      <alignment horizontal="center"/>
    </xf>
    <xf numFmtId="0" fontId="8" fillId="25" borderId="36" xfId="0" applyFont="1" applyFill="1" applyBorder="1" applyAlignment="1">
      <alignment horizontal="center"/>
    </xf>
    <xf numFmtId="0" fontId="60" fillId="0" borderId="30" xfId="0" applyFont="1" applyBorder="1" applyAlignment="1">
      <alignment horizontal="center" vertical="center" wrapText="1"/>
    </xf>
    <xf numFmtId="0" fontId="60" fillId="0" borderId="101" xfId="0" applyFont="1" applyBorder="1" applyAlignment="1">
      <alignment horizontal="center" vertical="center" wrapText="1"/>
    </xf>
    <xf numFmtId="0" fontId="17" fillId="0" borderId="27" xfId="0" applyFont="1" applyBorder="1" applyAlignment="1">
      <alignment horizontal="center" vertical="center" wrapText="1"/>
    </xf>
    <xf numFmtId="0" fontId="8" fillId="25" borderId="25" xfId="0" applyFont="1" applyFill="1" applyBorder="1" applyAlignment="1">
      <alignment horizontal="center"/>
    </xf>
    <xf numFmtId="0" fontId="8" fillId="25" borderId="28" xfId="0" applyFont="1" applyFill="1" applyBorder="1" applyAlignment="1">
      <alignment horizontal="center"/>
    </xf>
    <xf numFmtId="0" fontId="0" fillId="0" borderId="25" xfId="0" applyBorder="1" applyAlignment="1">
      <alignment horizontal="left" wrapText="1"/>
    </xf>
    <xf numFmtId="0" fontId="0" fillId="0" borderId="28" xfId="0" applyBorder="1" applyAlignment="1">
      <alignment horizontal="left" wrapText="1"/>
    </xf>
    <xf numFmtId="0" fontId="60" fillId="0" borderId="13" xfId="0" applyFont="1" applyFill="1" applyBorder="1" applyAlignment="1">
      <alignment horizontal="center" vertical="center" wrapText="1"/>
    </xf>
    <xf numFmtId="0" fontId="60" fillId="0" borderId="1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50" fillId="0" borderId="208" xfId="0" applyFont="1" applyFill="1" applyBorder="1" applyAlignment="1">
      <alignment horizontal="center" vertical="center" wrapText="1"/>
    </xf>
    <xf numFmtId="0" fontId="60" fillId="28" borderId="72" xfId="0" applyFont="1" applyFill="1" applyBorder="1" applyAlignment="1">
      <alignment horizontal="center" vertical="center"/>
    </xf>
    <xf numFmtId="0" fontId="0" fillId="28" borderId="148" xfId="0" applyFill="1" applyBorder="1" applyAlignment="1">
      <alignment horizontal="center" vertical="center"/>
    </xf>
    <xf numFmtId="0" fontId="0" fillId="28" borderId="76" xfId="0" applyFill="1" applyBorder="1" applyAlignment="1">
      <alignment horizontal="center" vertical="center"/>
    </xf>
    <xf numFmtId="0" fontId="0" fillId="28" borderId="77" xfId="0" applyFill="1" applyBorder="1" applyAlignment="1">
      <alignment horizontal="center" vertical="center"/>
    </xf>
    <xf numFmtId="0" fontId="60" fillId="28" borderId="16" xfId="0" applyFont="1" applyFill="1" applyBorder="1" applyAlignment="1">
      <alignment horizontal="center" vertical="center" wrapText="1"/>
    </xf>
    <xf numFmtId="0" fontId="0" fillId="28" borderId="400" xfId="0" applyFill="1" applyBorder="1" applyAlignment="1">
      <alignment horizontal="center" vertical="center" wrapText="1"/>
    </xf>
    <xf numFmtId="0" fontId="60" fillId="28" borderId="17" xfId="0" applyFont="1" applyFill="1" applyBorder="1" applyAlignment="1">
      <alignment horizontal="center" vertical="center" wrapText="1"/>
    </xf>
    <xf numFmtId="0" fontId="0" fillId="28" borderId="17" xfId="0" applyFill="1" applyBorder="1" applyAlignment="1">
      <alignment horizontal="center" vertical="center" wrapText="1"/>
    </xf>
    <xf numFmtId="0" fontId="60" fillId="28" borderId="148" xfId="0" applyFont="1" applyFill="1" applyBorder="1" applyAlignment="1">
      <alignment horizontal="center" vertical="center"/>
    </xf>
    <xf numFmtId="0" fontId="0" fillId="28" borderId="369" xfId="0" applyFill="1" applyBorder="1" applyAlignment="1">
      <alignment horizontal="center" vertical="center" wrapText="1"/>
    </xf>
    <xf numFmtId="0" fontId="60" fillId="28" borderId="70" xfId="0" applyFont="1" applyFill="1" applyBorder="1" applyAlignment="1">
      <alignment horizontal="center" vertical="center"/>
    </xf>
    <xf numFmtId="0" fontId="0" fillId="28" borderId="18" xfId="0" applyFill="1" applyBorder="1" applyAlignment="1">
      <alignment horizontal="center" vertical="center" wrapText="1"/>
    </xf>
    <xf numFmtId="0" fontId="60" fillId="28" borderId="50" xfId="0" applyFont="1" applyFill="1" applyBorder="1" applyAlignment="1">
      <alignment horizontal="center" vertical="center"/>
    </xf>
    <xf numFmtId="0" fontId="0" fillId="28" borderId="47" xfId="0" applyFill="1" applyBorder="1" applyAlignment="1">
      <alignment horizontal="center" vertical="center"/>
    </xf>
    <xf numFmtId="0" fontId="0" fillId="28" borderId="53" xfId="0" applyFill="1" applyBorder="1" applyAlignment="1">
      <alignment horizontal="center" vertical="center"/>
    </xf>
    <xf numFmtId="0" fontId="0" fillId="28" borderId="59" xfId="0" applyFill="1" applyBorder="1" applyAlignment="1">
      <alignment horizontal="center" vertical="center"/>
    </xf>
    <xf numFmtId="0" fontId="60" fillId="28" borderId="37" xfId="0" applyFont="1" applyFill="1" applyBorder="1" applyAlignment="1">
      <alignment horizontal="center" vertical="center" wrapText="1"/>
    </xf>
    <xf numFmtId="0" fontId="60" fillId="28" borderId="11" xfId="0" applyFont="1" applyFill="1" applyBorder="1" applyAlignment="1">
      <alignment horizontal="center" vertical="center" wrapText="1"/>
    </xf>
    <xf numFmtId="0" fontId="0" fillId="28" borderId="11" xfId="0" applyFill="1" applyBorder="1" applyAlignment="1">
      <alignment horizontal="center" vertical="center" wrapText="1"/>
    </xf>
    <xf numFmtId="0" fontId="0" fillId="28" borderId="38" xfId="0" applyFill="1" applyBorder="1" applyAlignment="1">
      <alignment horizontal="center" vertical="center" wrapText="1"/>
    </xf>
    <xf numFmtId="0" fontId="60" fillId="28" borderId="37" xfId="0" applyFont="1" applyFill="1" applyBorder="1" applyAlignment="1">
      <alignment horizontal="center" vertical="center"/>
    </xf>
    <xf numFmtId="0" fontId="60" fillId="28" borderId="400" xfId="0" applyFont="1" applyFill="1" applyBorder="1" applyAlignment="1">
      <alignment horizontal="center" vertical="center"/>
    </xf>
    <xf numFmtId="0" fontId="60" fillId="28" borderId="11" xfId="0" applyFont="1" applyFill="1" applyBorder="1" applyAlignment="1">
      <alignment horizontal="center" vertical="center"/>
    </xf>
    <xf numFmtId="0" fontId="60" fillId="28" borderId="369" xfId="0" applyFont="1" applyFill="1" applyBorder="1" applyAlignment="1">
      <alignment horizontal="center" vertical="center"/>
    </xf>
    <xf numFmtId="0" fontId="60" fillId="28" borderId="38" xfId="0" applyFont="1" applyFill="1" applyBorder="1" applyAlignment="1">
      <alignment horizontal="center" vertical="center"/>
    </xf>
    <xf numFmtId="0" fontId="87" fillId="0" borderId="0" xfId="0" applyFont="1" applyAlignment="1">
      <alignment horizontal="center"/>
    </xf>
    <xf numFmtId="0" fontId="18" fillId="0" borderId="52" xfId="0" applyFont="1" applyFill="1" applyBorder="1" applyAlignment="1">
      <alignment horizontal="center" vertical="center" wrapText="1"/>
    </xf>
    <xf numFmtId="0" fontId="18" fillId="0" borderId="53" xfId="0" applyFont="1" applyFill="1" applyBorder="1" applyAlignment="1">
      <alignment horizontal="center" vertical="center" wrapText="1"/>
    </xf>
    <xf numFmtId="0" fontId="18" fillId="0" borderId="59" xfId="0" applyFont="1" applyFill="1" applyBorder="1" applyAlignment="1">
      <alignment horizontal="center" vertical="center" wrapText="1"/>
    </xf>
    <xf numFmtId="0" fontId="17" fillId="0" borderId="54" xfId="0" applyFont="1" applyFill="1" applyBorder="1" applyAlignment="1">
      <alignment horizontal="center" vertical="center" wrapText="1"/>
    </xf>
    <xf numFmtId="0" fontId="62" fillId="0" borderId="0" xfId="0" applyFont="1" applyFill="1" applyBorder="1"/>
    <xf numFmtId="0" fontId="17" fillId="0" borderId="52" xfId="0" applyFont="1" applyFill="1" applyBorder="1" applyAlignment="1">
      <alignment horizontal="center" vertical="center" wrapText="1"/>
    </xf>
    <xf numFmtId="0" fontId="17" fillId="0" borderId="53" xfId="0" applyFont="1" applyFill="1" applyBorder="1" applyAlignment="1">
      <alignment horizontal="center" vertical="center" wrapText="1"/>
    </xf>
    <xf numFmtId="0" fontId="17" fillId="0" borderId="59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/>
    </xf>
    <xf numFmtId="0" fontId="60" fillId="0" borderId="400" xfId="0" applyFont="1" applyFill="1" applyBorder="1" applyAlignment="1">
      <alignment horizontal="center" vertical="center"/>
    </xf>
    <xf numFmtId="0" fontId="61" fillId="0" borderId="369" xfId="0" applyFont="1" applyFill="1" applyBorder="1" applyAlignment="1">
      <alignment horizontal="center" vertical="center" wrapText="1"/>
    </xf>
    <xf numFmtId="0" fontId="60" fillId="0" borderId="17" xfId="0" applyFont="1" applyFill="1" applyBorder="1" applyAlignment="1">
      <alignment horizontal="center" vertical="center"/>
    </xf>
    <xf numFmtId="0" fontId="60" fillId="0" borderId="27" xfId="0" applyFont="1" applyFill="1" applyBorder="1" applyAlignment="1">
      <alignment horizontal="center" vertical="center"/>
    </xf>
    <xf numFmtId="0" fontId="60" fillId="0" borderId="397" xfId="0" applyFont="1" applyFill="1" applyBorder="1" applyAlignment="1">
      <alignment horizontal="center" vertical="center"/>
    </xf>
    <xf numFmtId="0" fontId="61" fillId="0" borderId="389" xfId="0" applyFont="1" applyFill="1" applyBorder="1" applyAlignment="1">
      <alignment horizontal="center" vertical="center" wrapText="1"/>
    </xf>
    <xf numFmtId="0" fontId="60" fillId="0" borderId="389" xfId="0" applyFont="1" applyFill="1" applyBorder="1" applyAlignment="1">
      <alignment horizontal="center" vertical="center"/>
    </xf>
    <xf numFmtId="0" fontId="60" fillId="0" borderId="367" xfId="0" applyFont="1" applyFill="1" applyBorder="1" applyAlignment="1">
      <alignment horizontal="center" vertical="center"/>
    </xf>
    <xf numFmtId="0" fontId="60" fillId="0" borderId="21" xfId="0" applyFont="1" applyFill="1" applyBorder="1" applyAlignment="1">
      <alignment horizontal="center" vertical="center"/>
    </xf>
    <xf numFmtId="0" fontId="61" fillId="0" borderId="96" xfId="0" applyFont="1" applyFill="1" applyBorder="1" applyAlignment="1">
      <alignment horizontal="center" vertical="center" wrapText="1"/>
    </xf>
    <xf numFmtId="0" fontId="60" fillId="0" borderId="37" xfId="0" applyFont="1" applyFill="1" applyBorder="1" applyAlignment="1">
      <alignment horizontal="center" vertical="center"/>
    </xf>
    <xf numFmtId="0" fontId="60" fillId="0" borderId="11" xfId="0" applyFont="1" applyFill="1" applyBorder="1" applyAlignment="1">
      <alignment horizontal="center" vertical="center"/>
    </xf>
    <xf numFmtId="0" fontId="60" fillId="0" borderId="38" xfId="0" applyFont="1" applyFill="1" applyBorder="1" applyAlignment="1">
      <alignment horizontal="center" vertical="center"/>
    </xf>
    <xf numFmtId="0" fontId="13" fillId="0" borderId="69" xfId="0" applyFont="1" applyFill="1" applyBorder="1" applyAlignment="1">
      <alignment horizontal="center" vertical="center"/>
    </xf>
    <xf numFmtId="0" fontId="13" fillId="0" borderId="124" xfId="0" applyFont="1" applyFill="1" applyBorder="1" applyAlignment="1">
      <alignment horizontal="center" vertical="center"/>
    </xf>
    <xf numFmtId="0" fontId="13" fillId="0" borderId="113" xfId="0" applyFont="1" applyFill="1" applyBorder="1" applyAlignment="1">
      <alignment horizontal="center" vertical="center"/>
    </xf>
    <xf numFmtId="0" fontId="17" fillId="0" borderId="17" xfId="0" applyFont="1" applyFill="1" applyBorder="1" applyAlignment="1">
      <alignment horizontal="center" vertical="center"/>
    </xf>
    <xf numFmtId="0" fontId="60" fillId="0" borderId="122" xfId="0" applyFont="1" applyFill="1" applyBorder="1" applyAlignment="1">
      <alignment horizontal="center" vertical="center" wrapText="1"/>
    </xf>
    <xf numFmtId="0" fontId="60" fillId="0" borderId="43" xfId="0" applyFont="1" applyFill="1" applyBorder="1" applyAlignment="1">
      <alignment horizontal="center" vertical="center" wrapText="1"/>
    </xf>
    <xf numFmtId="0" fontId="60" fillId="0" borderId="102" xfId="0" applyFont="1" applyFill="1" applyBorder="1" applyAlignment="1">
      <alignment horizontal="center" vertical="center" wrapText="1"/>
    </xf>
    <xf numFmtId="0" fontId="60" fillId="0" borderId="96" xfId="0" applyFont="1" applyFill="1" applyBorder="1" applyAlignment="1">
      <alignment horizontal="center" vertical="center" wrapText="1"/>
    </xf>
    <xf numFmtId="0" fontId="0" fillId="0" borderId="10" xfId="0" applyFill="1" applyBorder="1" applyAlignment="1">
      <alignment horizontal="center"/>
    </xf>
    <xf numFmtId="0" fontId="74" fillId="0" borderId="26" xfId="0" applyFont="1" applyFill="1" applyBorder="1" applyAlignment="1">
      <alignment horizontal="center"/>
    </xf>
    <xf numFmtId="0" fontId="60" fillId="0" borderId="18" xfId="0" applyFont="1" applyFill="1" applyBorder="1" applyAlignment="1">
      <alignment horizontal="center" vertical="center"/>
    </xf>
    <xf numFmtId="0" fontId="0" fillId="0" borderId="25" xfId="0" applyFill="1" applyBorder="1" applyAlignment="1">
      <alignment horizontal="left" wrapText="1"/>
    </xf>
    <xf numFmtId="0" fontId="0" fillId="0" borderId="28" xfId="0" applyFill="1" applyBorder="1" applyAlignment="1">
      <alignment horizontal="left" wrapText="1"/>
    </xf>
    <xf numFmtId="0" fontId="17" fillId="0" borderId="75" xfId="0" applyFont="1" applyFill="1" applyBorder="1" applyAlignment="1">
      <alignment horizontal="center" vertical="center" wrapText="1"/>
    </xf>
    <xf numFmtId="0" fontId="62" fillId="0" borderId="76" xfId="0" applyFont="1" applyFill="1" applyBorder="1" applyAlignment="1">
      <alignment horizontal="center" vertical="center" wrapText="1"/>
    </xf>
    <xf numFmtId="0" fontId="62" fillId="0" borderId="77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 wrapText="1"/>
    </xf>
    <xf numFmtId="0" fontId="82" fillId="0" borderId="0" xfId="0" applyFont="1" applyFill="1" applyBorder="1" applyAlignment="1">
      <alignment horizontal="center" vertical="center" wrapText="1"/>
    </xf>
    <xf numFmtId="0" fontId="82" fillId="0" borderId="60" xfId="0" applyFont="1" applyFill="1" applyBorder="1" applyAlignment="1">
      <alignment horizontal="center" vertical="center" wrapText="1"/>
    </xf>
    <xf numFmtId="0" fontId="74" fillId="0" borderId="36" xfId="0" applyFont="1" applyFill="1" applyBorder="1" applyAlignment="1">
      <alignment horizontal="center"/>
    </xf>
    <xf numFmtId="0" fontId="60" fillId="0" borderId="51" xfId="0" applyFont="1" applyFill="1" applyBorder="1" applyAlignment="1">
      <alignment horizontal="center" vertical="center"/>
    </xf>
    <xf numFmtId="0" fontId="60" fillId="0" borderId="46" xfId="0" applyFont="1" applyFill="1" applyBorder="1" applyAlignment="1">
      <alignment horizontal="center" vertical="center"/>
    </xf>
    <xf numFmtId="0" fontId="60" fillId="0" borderId="57" xfId="0" applyFont="1" applyFill="1" applyBorder="1" applyAlignment="1">
      <alignment horizontal="center" vertical="center"/>
    </xf>
    <xf numFmtId="0" fontId="64" fillId="0" borderId="53" xfId="0" applyFont="1" applyFill="1" applyBorder="1" applyAlignment="1">
      <alignment horizontal="center" vertical="center" wrapText="1"/>
    </xf>
    <xf numFmtId="0" fontId="64" fillId="0" borderId="59" xfId="0" applyFont="1" applyFill="1" applyBorder="1" applyAlignment="1">
      <alignment horizontal="center" vertical="center" wrapText="1"/>
    </xf>
    <xf numFmtId="0" fontId="0" fillId="0" borderId="18" xfId="0" applyFill="1" applyBorder="1" applyAlignment="1">
      <alignment horizontal="center" vertical="center"/>
    </xf>
    <xf numFmtId="0" fontId="8" fillId="0" borderId="76" xfId="0" applyFont="1" applyFill="1" applyBorder="1" applyAlignment="1">
      <alignment horizontal="center" vertical="center" wrapText="1"/>
    </xf>
    <xf numFmtId="0" fontId="8" fillId="0" borderId="77" xfId="0" applyFont="1" applyFill="1" applyBorder="1" applyAlignment="1">
      <alignment horizontal="center" vertical="center" wrapText="1"/>
    </xf>
    <xf numFmtId="0" fontId="0" fillId="0" borderId="21" xfId="0" applyFill="1" applyBorder="1" applyAlignment="1">
      <alignment horizontal="center" vertical="center"/>
    </xf>
    <xf numFmtId="0" fontId="60" fillId="0" borderId="17" xfId="0" applyFont="1" applyFill="1" applyBorder="1" applyAlignment="1">
      <alignment horizontal="center" vertical="center" wrapText="1"/>
    </xf>
    <xf numFmtId="0" fontId="17" fillId="0" borderId="66" xfId="0" applyFont="1" applyFill="1" applyBorder="1" applyAlignment="1">
      <alignment horizontal="center" vertical="center" wrapText="1"/>
    </xf>
    <xf numFmtId="0" fontId="62" fillId="0" borderId="0" xfId="0" applyFont="1" applyFill="1" applyBorder="1" applyAlignment="1">
      <alignment horizontal="center" vertical="center" wrapText="1"/>
    </xf>
    <xf numFmtId="0" fontId="62" fillId="0" borderId="60" xfId="0" applyFont="1" applyFill="1" applyBorder="1" applyAlignment="1">
      <alignment horizontal="center" vertical="center" wrapText="1"/>
    </xf>
    <xf numFmtId="0" fontId="60" fillId="0" borderId="102" xfId="0" applyFont="1" applyFill="1" applyBorder="1" applyAlignment="1">
      <alignment horizontal="center" vertical="center"/>
    </xf>
    <xf numFmtId="0" fontId="17" fillId="0" borderId="27" xfId="0" applyFont="1" applyFill="1" applyBorder="1" applyAlignment="1">
      <alignment horizontal="center" vertical="center" wrapText="1"/>
    </xf>
    <xf numFmtId="0" fontId="60" fillId="0" borderId="123" xfId="0" applyFont="1" applyFill="1" applyBorder="1" applyAlignment="1">
      <alignment horizontal="center" vertical="center" wrapText="1"/>
    </xf>
    <xf numFmtId="0" fontId="60" fillId="0" borderId="79" xfId="0" applyFont="1" applyFill="1" applyBorder="1" applyAlignment="1">
      <alignment horizontal="center" vertical="center" wrapText="1"/>
    </xf>
    <xf numFmtId="0" fontId="62" fillId="0" borderId="76" xfId="0" applyFont="1" applyFill="1" applyBorder="1" applyAlignment="1"/>
    <xf numFmtId="0" fontId="62" fillId="0" borderId="77" xfId="0" applyFont="1" applyFill="1" applyBorder="1" applyAlignment="1"/>
    <xf numFmtId="0" fontId="0" fillId="0" borderId="53" xfId="0" applyFill="1" applyBorder="1" applyAlignment="1"/>
    <xf numFmtId="0" fontId="0" fillId="0" borderId="53" xfId="0" applyBorder="1" applyAlignment="1"/>
    <xf numFmtId="0" fontId="0" fillId="0" borderId="59" xfId="0" applyBorder="1" applyAlignment="1"/>
    <xf numFmtId="0" fontId="60" fillId="0" borderId="30" xfId="0" applyFont="1" applyFill="1" applyBorder="1" applyAlignment="1">
      <alignment horizontal="center" vertical="center" wrapText="1"/>
    </xf>
    <xf numFmtId="0" fontId="60" fillId="0" borderId="121" xfId="0" applyFont="1" applyFill="1" applyBorder="1" applyAlignment="1">
      <alignment horizontal="center" vertical="center" wrapText="1"/>
    </xf>
    <xf numFmtId="0" fontId="60" fillId="0" borderId="101" xfId="0" applyFont="1" applyFill="1" applyBorder="1" applyAlignment="1">
      <alignment horizontal="center" vertical="center" wrapText="1"/>
    </xf>
    <xf numFmtId="0" fontId="60" fillId="0" borderId="31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0" fontId="8" fillId="0" borderId="60" xfId="0" applyFont="1" applyFill="1" applyBorder="1" applyAlignment="1">
      <alignment horizontal="center" vertical="center"/>
    </xf>
    <xf numFmtId="0" fontId="0" fillId="0" borderId="400" xfId="0" applyFill="1" applyBorder="1" applyAlignment="1">
      <alignment horizontal="center" vertical="center"/>
    </xf>
    <xf numFmtId="0" fontId="0" fillId="0" borderId="369" xfId="0" applyFill="1" applyBorder="1" applyAlignment="1">
      <alignment horizontal="center" vertical="center" wrapText="1"/>
    </xf>
    <xf numFmtId="0" fontId="60" fillId="0" borderId="399" xfId="0" applyFont="1" applyFill="1" applyBorder="1" applyAlignment="1">
      <alignment horizontal="center" vertical="center" wrapText="1"/>
    </xf>
    <xf numFmtId="0" fontId="60" fillId="0" borderId="392" xfId="0" applyFont="1" applyFill="1" applyBorder="1" applyAlignment="1">
      <alignment horizontal="center" vertical="center" wrapText="1"/>
    </xf>
    <xf numFmtId="0" fontId="60" fillId="0" borderId="373" xfId="0" applyFont="1" applyFill="1" applyBorder="1" applyAlignment="1">
      <alignment horizontal="center" vertical="center" wrapText="1"/>
    </xf>
    <xf numFmtId="0" fontId="60" fillId="0" borderId="369" xfId="0" applyFont="1" applyFill="1" applyBorder="1" applyAlignment="1">
      <alignment horizontal="center" vertical="center" wrapText="1"/>
    </xf>
    <xf numFmtId="0" fontId="60" fillId="0" borderId="364" xfId="0" applyFont="1" applyFill="1" applyBorder="1" applyAlignment="1">
      <alignment horizontal="center" vertical="center" wrapText="1"/>
    </xf>
    <xf numFmtId="0" fontId="60" fillId="0" borderId="391" xfId="0" applyFont="1" applyFill="1" applyBorder="1" applyAlignment="1">
      <alignment horizontal="center" vertical="center" wrapText="1"/>
    </xf>
    <xf numFmtId="0" fontId="60" fillId="0" borderId="379" xfId="0" applyFont="1" applyFill="1" applyBorder="1" applyAlignment="1">
      <alignment horizontal="center" vertical="center" wrapText="1"/>
    </xf>
    <xf numFmtId="0" fontId="60" fillId="0" borderId="69" xfId="0" applyFont="1" applyFill="1" applyBorder="1" applyAlignment="1">
      <alignment horizontal="center" vertical="center"/>
    </xf>
    <xf numFmtId="0" fontId="60" fillId="0" borderId="357" xfId="0" applyFont="1" applyFill="1" applyBorder="1" applyAlignment="1">
      <alignment horizontal="center" vertical="center"/>
    </xf>
    <xf numFmtId="0" fontId="60" fillId="0" borderId="396" xfId="0" applyFont="1" applyFill="1" applyBorder="1" applyAlignment="1">
      <alignment horizontal="center" vertical="center"/>
    </xf>
    <xf numFmtId="0" fontId="17" fillId="0" borderId="37" xfId="0" applyFont="1" applyFill="1" applyBorder="1" applyAlignment="1">
      <alignment horizontal="center" vertical="center" wrapText="1"/>
    </xf>
    <xf numFmtId="0" fontId="17" fillId="0" borderId="11" xfId="0" applyFont="1" applyFill="1" applyBorder="1" applyAlignment="1">
      <alignment horizontal="center" vertical="center" wrapText="1"/>
    </xf>
    <xf numFmtId="0" fontId="17" fillId="0" borderId="38" xfId="0" applyFont="1" applyFill="1" applyBorder="1" applyAlignment="1">
      <alignment horizontal="center" vertical="center" wrapText="1"/>
    </xf>
    <xf numFmtId="0" fontId="17" fillId="0" borderId="52" xfId="0" applyFont="1" applyFill="1" applyBorder="1" applyAlignment="1">
      <alignment horizontal="center"/>
    </xf>
    <xf numFmtId="0" fontId="17" fillId="0" borderId="53" xfId="0" applyFont="1" applyFill="1" applyBorder="1" applyAlignment="1">
      <alignment horizontal="center"/>
    </xf>
    <xf numFmtId="0" fontId="17" fillId="0" borderId="59" xfId="0" applyFont="1" applyFill="1" applyBorder="1" applyAlignment="1">
      <alignment horizontal="center"/>
    </xf>
    <xf numFmtId="0" fontId="17" fillId="0" borderId="50" xfId="0" applyFont="1" applyBorder="1" applyAlignment="1">
      <alignment horizontal="center" vertical="center"/>
    </xf>
    <xf numFmtId="0" fontId="17" fillId="0" borderId="47" xfId="0" applyFont="1" applyBorder="1" applyAlignment="1">
      <alignment horizontal="center" vertical="center"/>
    </xf>
    <xf numFmtId="0" fontId="17" fillId="0" borderId="48" xfId="0" applyFont="1" applyBorder="1" applyAlignment="1">
      <alignment horizontal="center" vertical="center"/>
    </xf>
    <xf numFmtId="0" fontId="60" fillId="28" borderId="75" xfId="0" applyFont="1" applyFill="1" applyBorder="1" applyAlignment="1">
      <alignment horizontal="center" vertical="center"/>
    </xf>
    <xf numFmtId="0" fontId="60" fillId="28" borderId="76" xfId="0" applyFont="1" applyFill="1" applyBorder="1" applyAlignment="1">
      <alignment horizontal="center" vertical="center"/>
    </xf>
    <xf numFmtId="0" fontId="60" fillId="28" borderId="77" xfId="0" applyFont="1" applyFill="1" applyBorder="1" applyAlignment="1">
      <alignment horizontal="center" vertical="center"/>
    </xf>
    <xf numFmtId="0" fontId="88" fillId="0" borderId="0" xfId="0" applyFont="1" applyFill="1" applyBorder="1" applyAlignment="1">
      <alignment horizontal="center"/>
    </xf>
    <xf numFmtId="0" fontId="88" fillId="0" borderId="0" xfId="0" applyFont="1" applyAlignment="1">
      <alignment horizontal="center"/>
    </xf>
    <xf numFmtId="0" fontId="88" fillId="0" borderId="0" xfId="0" applyFont="1" applyAlignment="1"/>
    <xf numFmtId="0" fontId="13" fillId="0" borderId="0" xfId="0" applyFont="1" applyBorder="1" applyAlignment="1">
      <alignment horizontal="center"/>
    </xf>
    <xf numFmtId="2" fontId="60" fillId="0" borderId="102" xfId="0" applyNumberFormat="1" applyFont="1" applyBorder="1" applyAlignment="1">
      <alignment horizontal="center" vertical="center" wrapText="1"/>
    </xf>
    <xf numFmtId="2" fontId="60" fillId="0" borderId="92" xfId="0" applyNumberFormat="1" applyFont="1" applyBorder="1" applyAlignment="1">
      <alignment horizontal="center" vertical="center" wrapText="1"/>
    </xf>
    <xf numFmtId="2" fontId="60" fillId="0" borderId="20" xfId="0" applyNumberFormat="1" applyFont="1" applyFill="1" applyBorder="1" applyAlignment="1">
      <alignment horizontal="center" vertical="center" wrapText="1"/>
    </xf>
    <xf numFmtId="2" fontId="60" fillId="0" borderId="92" xfId="0" applyNumberFormat="1" applyFont="1" applyBorder="1" applyAlignment="1">
      <alignment horizontal="center" vertical="center"/>
    </xf>
    <xf numFmtId="2" fontId="17" fillId="0" borderId="92" xfId="0" applyNumberFormat="1" applyFont="1" applyBorder="1" applyAlignment="1">
      <alignment horizontal="center" vertical="center"/>
    </xf>
    <xf numFmtId="2" fontId="18" fillId="0" borderId="19" xfId="0" applyNumberFormat="1" applyFont="1" applyBorder="1" applyAlignment="1">
      <alignment horizontal="center" vertical="center"/>
    </xf>
    <xf numFmtId="2" fontId="18" fillId="0" borderId="92" xfId="0" applyNumberFormat="1" applyFont="1" applyBorder="1" applyAlignment="1">
      <alignment horizontal="center" vertical="center"/>
    </xf>
    <xf numFmtId="2" fontId="18" fillId="0" borderId="358" xfId="0" applyNumberFormat="1" applyFont="1" applyFill="1" applyBorder="1" applyAlignment="1">
      <alignment horizontal="center" vertical="center"/>
    </xf>
    <xf numFmtId="2" fontId="18" fillId="0" borderId="359" xfId="0" applyNumberFormat="1" applyFont="1" applyFill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7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2" fontId="60" fillId="0" borderId="277" xfId="0" applyNumberFormat="1" applyFont="1" applyFill="1" applyBorder="1" applyAlignment="1">
      <alignment horizontal="center" vertical="center" wrapText="1"/>
    </xf>
    <xf numFmtId="2" fontId="60" fillId="0" borderId="359" xfId="0" applyNumberFormat="1" applyFont="1" applyBorder="1" applyAlignment="1">
      <alignment horizontal="center" vertical="center" wrapText="1"/>
    </xf>
    <xf numFmtId="2" fontId="60" fillId="0" borderId="352" xfId="0" applyNumberFormat="1" applyFont="1" applyFill="1" applyBorder="1" applyAlignment="1">
      <alignment horizontal="center" vertical="center" wrapText="1"/>
    </xf>
    <xf numFmtId="2" fontId="60" fillId="0" borderId="352" xfId="0" applyNumberFormat="1" applyFont="1" applyBorder="1" applyAlignment="1">
      <alignment horizontal="center" vertical="center" wrapText="1"/>
    </xf>
    <xf numFmtId="2" fontId="60" fillId="0" borderId="274" xfId="0" applyNumberFormat="1" applyFont="1" applyBorder="1" applyAlignment="1">
      <alignment horizontal="center" vertical="center" wrapText="1"/>
    </xf>
    <xf numFmtId="2" fontId="60" fillId="0" borderId="336" xfId="0" applyNumberFormat="1" applyFont="1" applyBorder="1" applyAlignment="1">
      <alignment horizontal="center" vertical="center" wrapText="1"/>
    </xf>
    <xf numFmtId="0" fontId="18" fillId="0" borderId="73" xfId="0" applyFont="1" applyFill="1" applyBorder="1" applyAlignment="1">
      <alignment horizontal="center" vertical="center"/>
    </xf>
    <xf numFmtId="0" fontId="18" fillId="0" borderId="71" xfId="0" applyFont="1" applyFill="1" applyBorder="1" applyAlignment="1">
      <alignment horizontal="center" vertical="center"/>
    </xf>
    <xf numFmtId="0" fontId="18" fillId="0" borderId="69" xfId="0" applyFont="1" applyFill="1" applyBorder="1" applyAlignment="1">
      <alignment horizontal="center" vertical="center"/>
    </xf>
    <xf numFmtId="0" fontId="0" fillId="0" borderId="355" xfId="0" applyFill="1" applyBorder="1" applyAlignment="1">
      <alignment horizontal="center" vertical="center"/>
    </xf>
    <xf numFmtId="0" fontId="0" fillId="0" borderId="356" xfId="0" applyFill="1" applyBorder="1" applyAlignment="1">
      <alignment horizontal="center" vertical="center"/>
    </xf>
    <xf numFmtId="0" fontId="0" fillId="0" borderId="357" xfId="0" applyFill="1" applyBorder="1" applyAlignment="1">
      <alignment horizontal="center" vertical="center"/>
    </xf>
    <xf numFmtId="2" fontId="60" fillId="0" borderId="359" xfId="0" applyNumberFormat="1" applyFont="1" applyFill="1" applyBorder="1" applyAlignment="1">
      <alignment horizontal="center" vertical="center" wrapText="1"/>
    </xf>
    <xf numFmtId="2" fontId="17" fillId="0" borderId="274" xfId="0" applyNumberFormat="1" applyFont="1" applyBorder="1" applyAlignment="1">
      <alignment horizontal="center" vertical="center"/>
    </xf>
    <xf numFmtId="2" fontId="17" fillId="0" borderId="336" xfId="0" applyNumberFormat="1" applyFont="1" applyBorder="1" applyAlignment="1">
      <alignment horizontal="center" vertical="center"/>
    </xf>
    <xf numFmtId="2" fontId="60" fillId="0" borderId="348" xfId="0" applyNumberFormat="1" applyFont="1" applyBorder="1" applyAlignment="1">
      <alignment horizontal="center" vertical="center" wrapText="1"/>
    </xf>
    <xf numFmtId="2" fontId="60" fillId="0" borderId="277" xfId="0" applyNumberFormat="1" applyFont="1" applyBorder="1" applyAlignment="1">
      <alignment horizontal="center" vertical="center" wrapText="1"/>
    </xf>
    <xf numFmtId="2" fontId="17" fillId="0" borderId="0" xfId="0" applyNumberFormat="1" applyFont="1" applyAlignment="1">
      <alignment horizontal="center"/>
    </xf>
    <xf numFmtId="2" fontId="19" fillId="0" borderId="10" xfId="0" applyNumberFormat="1" applyFont="1" applyBorder="1" applyAlignment="1">
      <alignment horizontal="center"/>
    </xf>
    <xf numFmtId="2" fontId="13" fillId="0" borderId="10" xfId="0" applyNumberFormat="1" applyFont="1" applyBorder="1" applyAlignment="1">
      <alignment horizontal="center" vertical="center"/>
    </xf>
    <xf numFmtId="2" fontId="13" fillId="0" borderId="62" xfId="0" applyNumberFormat="1" applyFont="1" applyBorder="1" applyAlignment="1">
      <alignment horizontal="center" vertical="center"/>
    </xf>
    <xf numFmtId="2" fontId="13" fillId="0" borderId="78" xfId="0" applyNumberFormat="1" applyFont="1" applyBorder="1" applyAlignment="1">
      <alignment horizontal="center" vertical="center"/>
    </xf>
    <xf numFmtId="2" fontId="13" fillId="0" borderId="65" xfId="0" applyNumberFormat="1" applyFont="1" applyBorder="1" applyAlignment="1">
      <alignment horizontal="center" vertical="center"/>
    </xf>
    <xf numFmtId="2" fontId="13" fillId="0" borderId="35" xfId="0" applyNumberFormat="1" applyFont="1" applyBorder="1" applyAlignment="1">
      <alignment horizontal="center" vertical="center"/>
    </xf>
    <xf numFmtId="2" fontId="13" fillId="0" borderId="36" xfId="0" applyNumberFormat="1" applyFont="1" applyBorder="1" applyAlignment="1">
      <alignment horizontal="center" vertical="center"/>
    </xf>
    <xf numFmtId="2" fontId="13" fillId="0" borderId="31" xfId="0" applyNumberFormat="1" applyFont="1" applyBorder="1" applyAlignment="1">
      <alignment horizontal="center" vertical="center"/>
    </xf>
    <xf numFmtId="0" fontId="13" fillId="0" borderId="10" xfId="0" applyFont="1" applyBorder="1" applyAlignment="1">
      <alignment horizontal="center"/>
    </xf>
    <xf numFmtId="0" fontId="13" fillId="0" borderId="92" xfId="0" applyFont="1" applyBorder="1" applyAlignment="1">
      <alignment horizontal="center"/>
    </xf>
    <xf numFmtId="2" fontId="13" fillId="0" borderId="10" xfId="0" applyNumberFormat="1" applyFont="1" applyBorder="1" applyAlignment="1">
      <alignment horizontal="center"/>
    </xf>
    <xf numFmtId="2" fontId="13" fillId="0" borderId="92" xfId="0" applyNumberFormat="1" applyFont="1" applyBorder="1" applyAlignment="1">
      <alignment horizontal="center" vertical="center"/>
    </xf>
    <xf numFmtId="2" fontId="13" fillId="0" borderId="10" xfId="0" applyNumberFormat="1" applyFont="1" applyBorder="1" applyAlignment="1">
      <alignment horizontal="center" vertical="center" wrapText="1"/>
    </xf>
    <xf numFmtId="0" fontId="18" fillId="0" borderId="73" xfId="0" applyFont="1" applyBorder="1" applyAlignment="1">
      <alignment horizontal="center" vertical="center"/>
    </xf>
    <xf numFmtId="0" fontId="18" fillId="0" borderId="71" xfId="0" applyFont="1" applyBorder="1" applyAlignment="1">
      <alignment horizontal="center" vertical="center"/>
    </xf>
    <xf numFmtId="0" fontId="0" fillId="0" borderId="71" xfId="0" applyBorder="1" applyAlignment="1">
      <alignment horizontal="center" vertical="center"/>
    </xf>
    <xf numFmtId="0" fontId="0" fillId="0" borderId="69" xfId="0" applyBorder="1" applyAlignment="1">
      <alignment horizontal="center" vertical="center"/>
    </xf>
    <xf numFmtId="2" fontId="17" fillId="0" borderId="348" xfId="0" applyNumberFormat="1" applyFont="1" applyBorder="1" applyAlignment="1">
      <alignment horizontal="center" vertical="center"/>
    </xf>
    <xf numFmtId="2" fontId="17" fillId="0" borderId="277" xfId="0" applyNumberFormat="1" applyFont="1" applyBorder="1" applyAlignment="1">
      <alignment horizontal="center" vertical="center"/>
    </xf>
    <xf numFmtId="2" fontId="60" fillId="0" borderId="278" xfId="0" applyNumberFormat="1" applyFont="1" applyFill="1" applyBorder="1" applyAlignment="1">
      <alignment horizontal="center" vertical="center" wrapText="1"/>
    </xf>
    <xf numFmtId="2" fontId="60" fillId="0" borderId="92" xfId="0" applyNumberFormat="1" applyFont="1" applyFill="1" applyBorder="1" applyAlignment="1">
      <alignment horizontal="center" vertical="center" wrapText="1"/>
    </xf>
    <xf numFmtId="0" fontId="64" fillId="0" borderId="71" xfId="0" applyFont="1" applyBorder="1" applyAlignment="1">
      <alignment horizontal="center" vertical="center"/>
    </xf>
    <xf numFmtId="0" fontId="64" fillId="0" borderId="69" xfId="0" applyFont="1" applyBorder="1" applyAlignment="1">
      <alignment horizontal="center" vertical="center"/>
    </xf>
    <xf numFmtId="2" fontId="17" fillId="0" borderId="102" xfId="0" applyNumberFormat="1" applyFont="1" applyBorder="1" applyAlignment="1">
      <alignment horizontal="center" vertical="center"/>
    </xf>
    <xf numFmtId="2" fontId="18" fillId="0" borderId="102" xfId="0" applyNumberFormat="1" applyFont="1" applyBorder="1" applyAlignment="1">
      <alignment horizontal="center" vertical="center"/>
    </xf>
    <xf numFmtId="2" fontId="13" fillId="0" borderId="62" xfId="0" applyNumberFormat="1" applyFont="1" applyBorder="1" applyAlignment="1">
      <alignment horizontal="center" vertical="center" wrapText="1"/>
    </xf>
    <xf numFmtId="2" fontId="13" fillId="0" borderId="65" xfId="0" applyNumberFormat="1" applyFont="1" applyBorder="1" applyAlignment="1">
      <alignment horizontal="center" vertical="center" wrapText="1"/>
    </xf>
    <xf numFmtId="2" fontId="13" fillId="0" borderId="35" xfId="0" applyNumberFormat="1" applyFont="1" applyBorder="1" applyAlignment="1">
      <alignment horizontal="center" vertical="center" wrapText="1"/>
    </xf>
    <xf numFmtId="2" fontId="13" fillId="0" borderId="31" xfId="0" applyNumberFormat="1" applyFont="1" applyBorder="1" applyAlignment="1">
      <alignment horizontal="center" vertical="center" wrapText="1"/>
    </xf>
    <xf numFmtId="2" fontId="18" fillId="0" borderId="358" xfId="0" applyNumberFormat="1" applyFont="1" applyBorder="1" applyAlignment="1">
      <alignment horizontal="center" vertical="center"/>
    </xf>
    <xf numFmtId="2" fontId="18" fillId="0" borderId="359" xfId="0" applyNumberFormat="1" applyFont="1" applyBorder="1" applyAlignment="1">
      <alignment horizontal="center" vertical="center"/>
    </xf>
    <xf numFmtId="2" fontId="18" fillId="0" borderId="352" xfId="0" applyNumberFormat="1" applyFont="1" applyBorder="1" applyAlignment="1">
      <alignment horizontal="center" vertical="center"/>
    </xf>
    <xf numFmtId="0" fontId="18" fillId="0" borderId="30" xfId="0" applyFont="1" applyBorder="1" applyAlignment="1">
      <alignment horizontal="center" vertical="center"/>
    </xf>
    <xf numFmtId="0" fontId="18" fillId="0" borderId="27" xfId="0" applyFont="1" applyBorder="1" applyAlignment="1">
      <alignment horizontal="center" vertical="center"/>
    </xf>
    <xf numFmtId="2" fontId="17" fillId="0" borderId="93" xfId="0" applyNumberFormat="1" applyFont="1" applyFill="1" applyBorder="1" applyAlignment="1">
      <alignment horizontal="center" vertical="center"/>
    </xf>
    <xf numFmtId="2" fontId="17" fillId="0" borderId="90" xfId="0" applyNumberFormat="1" applyFont="1" applyFill="1" applyBorder="1" applyAlignment="1">
      <alignment horizontal="center" vertical="center"/>
    </xf>
    <xf numFmtId="2" fontId="17" fillId="0" borderId="89" xfId="0" applyNumberFormat="1" applyFont="1" applyFill="1" applyBorder="1" applyAlignment="1">
      <alignment horizontal="center" vertical="center"/>
    </xf>
    <xf numFmtId="2" fontId="18" fillId="0" borderId="336" xfId="0" applyNumberFormat="1" applyFont="1" applyBorder="1" applyAlignment="1">
      <alignment horizontal="center" vertical="center"/>
    </xf>
    <xf numFmtId="2" fontId="13" fillId="0" borderId="45" xfId="0" applyNumberFormat="1" applyFont="1" applyBorder="1" applyAlignment="1">
      <alignment horizontal="center" vertical="center" wrapText="1"/>
    </xf>
    <xf numFmtId="2" fontId="13" fillId="0" borderId="11" xfId="0" applyNumberFormat="1" applyFont="1" applyBorder="1" applyAlignment="1">
      <alignment horizontal="center" vertical="center" wrapText="1"/>
    </xf>
    <xf numFmtId="0" fontId="18" fillId="0" borderId="50" xfId="0" applyFont="1" applyFill="1" applyBorder="1" applyAlignment="1">
      <alignment horizontal="center" vertical="center"/>
    </xf>
    <xf numFmtId="0" fontId="18" fillId="0" borderId="47" xfId="0" applyFont="1" applyFill="1" applyBorder="1" applyAlignment="1">
      <alignment horizontal="center" vertical="center"/>
    </xf>
    <xf numFmtId="0" fontId="18" fillId="0" borderId="48" xfId="0" applyFont="1" applyFill="1" applyBorder="1" applyAlignment="1">
      <alignment horizontal="center" vertical="center"/>
    </xf>
    <xf numFmtId="0" fontId="64" fillId="0" borderId="40" xfId="0" applyFont="1" applyBorder="1" applyAlignment="1">
      <alignment horizontal="center" vertical="center"/>
    </xf>
    <xf numFmtId="0" fontId="64" fillId="0" borderId="36" xfId="0" applyFont="1" applyBorder="1" applyAlignment="1">
      <alignment horizontal="center" vertical="center"/>
    </xf>
    <xf numFmtId="0" fontId="64" fillId="0" borderId="68" xfId="0" applyFont="1" applyBorder="1" applyAlignment="1">
      <alignment horizontal="center" vertical="center"/>
    </xf>
    <xf numFmtId="0" fontId="0" fillId="0" borderId="71" xfId="0" applyFont="1" applyFill="1" applyBorder="1" applyAlignment="1">
      <alignment horizontal="center" vertical="center"/>
    </xf>
    <xf numFmtId="2" fontId="18" fillId="0" borderId="37" xfId="0" applyNumberFormat="1" applyFont="1" applyFill="1" applyBorder="1" applyAlignment="1">
      <alignment horizontal="center" vertical="center"/>
    </xf>
    <xf numFmtId="2" fontId="18" fillId="0" borderId="11" xfId="0" applyNumberFormat="1" applyFont="1" applyFill="1" applyBorder="1" applyAlignment="1">
      <alignment horizontal="center" vertical="center"/>
    </xf>
    <xf numFmtId="2" fontId="18" fillId="0" borderId="38" xfId="0" applyNumberFormat="1" applyFont="1" applyFill="1" applyBorder="1" applyAlignment="1">
      <alignment horizontal="center" vertical="center"/>
    </xf>
    <xf numFmtId="2" fontId="18" fillId="0" borderId="0" xfId="0" applyNumberFormat="1" applyFont="1" applyAlignment="1">
      <alignment horizontal="center"/>
    </xf>
    <xf numFmtId="2" fontId="17" fillId="0" borderId="19" xfId="0" applyNumberFormat="1" applyFont="1" applyBorder="1" applyAlignment="1">
      <alignment horizontal="center" vertical="center"/>
    </xf>
    <xf numFmtId="2" fontId="18" fillId="0" borderId="100" xfId="0" applyNumberFormat="1" applyFont="1" applyBorder="1" applyAlignment="1">
      <alignment horizontal="center" vertical="center"/>
    </xf>
    <xf numFmtId="2" fontId="17" fillId="0" borderId="359" xfId="0" applyNumberFormat="1" applyFont="1" applyBorder="1" applyAlignment="1">
      <alignment horizontal="center" vertical="center"/>
    </xf>
    <xf numFmtId="2" fontId="17" fillId="0" borderId="352" xfId="0" applyNumberFormat="1" applyFont="1" applyBorder="1" applyAlignment="1">
      <alignment horizontal="center" vertical="center"/>
    </xf>
    <xf numFmtId="2" fontId="18" fillId="0" borderId="352" xfId="0" applyNumberFormat="1" applyFont="1" applyFill="1" applyBorder="1" applyAlignment="1">
      <alignment horizontal="center" vertical="center"/>
    </xf>
    <xf numFmtId="0" fontId="0" fillId="0" borderId="71" xfId="0" applyFill="1" applyBorder="1" applyAlignment="1">
      <alignment horizontal="center" vertical="center"/>
    </xf>
    <xf numFmtId="0" fontId="0" fillId="0" borderId="69" xfId="0" applyFill="1" applyBorder="1" applyAlignment="1">
      <alignment horizontal="center" vertical="center"/>
    </xf>
    <xf numFmtId="2" fontId="60" fillId="0" borderId="13" xfId="0" applyNumberFormat="1" applyFont="1" applyBorder="1" applyAlignment="1">
      <alignment horizontal="center" vertical="center"/>
    </xf>
    <xf numFmtId="2" fontId="60" fillId="0" borderId="12" xfId="0" applyNumberFormat="1" applyFont="1" applyBorder="1" applyAlignment="1">
      <alignment horizontal="center" vertical="center"/>
    </xf>
    <xf numFmtId="0" fontId="18" fillId="28" borderId="52" xfId="0" applyFont="1" applyFill="1" applyBorder="1" applyAlignment="1">
      <alignment horizontal="center" vertical="center"/>
    </xf>
    <xf numFmtId="0" fontId="18" fillId="28" borderId="53" xfId="0" applyFont="1" applyFill="1" applyBorder="1" applyAlignment="1">
      <alignment horizontal="center" vertical="center"/>
    </xf>
    <xf numFmtId="0" fontId="18" fillId="28" borderId="59" xfId="0" applyFont="1" applyFill="1" applyBorder="1" applyAlignment="1">
      <alignment horizontal="center" vertical="center"/>
    </xf>
    <xf numFmtId="2" fontId="18" fillId="28" borderId="16" xfId="0" applyNumberFormat="1" applyFont="1" applyFill="1" applyBorder="1" applyAlignment="1">
      <alignment horizontal="center" vertical="center"/>
    </xf>
    <xf numFmtId="2" fontId="18" fillId="28" borderId="17" xfId="0" applyNumberFormat="1" applyFont="1" applyFill="1" applyBorder="1" applyAlignment="1">
      <alignment horizontal="center" vertical="center"/>
    </xf>
    <xf numFmtId="2" fontId="18" fillId="28" borderId="18" xfId="0" applyNumberFormat="1" applyFont="1" applyFill="1" applyBorder="1" applyAlignment="1">
      <alignment horizontal="center" vertical="center"/>
    </xf>
    <xf numFmtId="2" fontId="60" fillId="28" borderId="389" xfId="0" applyNumberFormat="1" applyFont="1" applyFill="1" applyBorder="1" applyAlignment="1">
      <alignment horizontal="center" vertical="center" wrapText="1"/>
    </xf>
    <xf numFmtId="2" fontId="60" fillId="28" borderId="367" xfId="0" applyNumberFormat="1" applyFont="1" applyFill="1" applyBorder="1" applyAlignment="1">
      <alignment horizontal="center" vertical="center" wrapText="1"/>
    </xf>
    <xf numFmtId="0" fontId="60" fillId="28" borderId="223" xfId="0" applyFont="1" applyFill="1" applyBorder="1" applyAlignment="1">
      <alignment horizontal="left" vertical="center"/>
    </xf>
    <xf numFmtId="0" fontId="60" fillId="28" borderId="379" xfId="0" applyFont="1" applyFill="1" applyBorder="1" applyAlignment="1">
      <alignment horizontal="left" vertical="center"/>
    </xf>
    <xf numFmtId="0" fontId="60" fillId="28" borderId="373" xfId="0" applyFont="1" applyFill="1" applyBorder="1" applyAlignment="1">
      <alignment horizontal="left" vertical="center"/>
    </xf>
    <xf numFmtId="0" fontId="60" fillId="0" borderId="355" xfId="0" applyFont="1" applyBorder="1" applyAlignment="1">
      <alignment horizontal="left" vertical="center"/>
    </xf>
    <xf numFmtId="0" fontId="60" fillId="0" borderId="391" xfId="0" applyFont="1" applyBorder="1" applyAlignment="1">
      <alignment horizontal="left" vertical="center"/>
    </xf>
    <xf numFmtId="0" fontId="60" fillId="0" borderId="392" xfId="0" applyFont="1" applyBorder="1" applyAlignment="1">
      <alignment horizontal="left" vertical="center"/>
    </xf>
    <xf numFmtId="0" fontId="60" fillId="29" borderId="355" xfId="0" applyFont="1" applyFill="1" applyBorder="1" applyAlignment="1">
      <alignment horizontal="left" vertical="center"/>
    </xf>
    <xf numFmtId="0" fontId="60" fillId="29" borderId="391" xfId="0" applyFont="1" applyFill="1" applyBorder="1" applyAlignment="1">
      <alignment horizontal="left" vertical="center"/>
    </xf>
    <xf numFmtId="0" fontId="60" fillId="29" borderId="392" xfId="0" applyFont="1" applyFill="1" applyBorder="1" applyAlignment="1">
      <alignment horizontal="left" vertical="center"/>
    </xf>
    <xf numFmtId="0" fontId="60" fillId="29" borderId="223" xfId="0" applyFont="1" applyFill="1" applyBorder="1" applyAlignment="1">
      <alignment horizontal="left" vertical="center"/>
    </xf>
    <xf numFmtId="0" fontId="60" fillId="29" borderId="379" xfId="0" applyFont="1" applyFill="1" applyBorder="1" applyAlignment="1">
      <alignment horizontal="left" vertical="center"/>
    </xf>
    <xf numFmtId="0" fontId="60" fillId="29" borderId="373" xfId="0" applyFont="1" applyFill="1" applyBorder="1" applyAlignment="1">
      <alignment horizontal="left" vertical="center"/>
    </xf>
    <xf numFmtId="0" fontId="17" fillId="29" borderId="52" xfId="0" applyFont="1" applyFill="1" applyBorder="1" applyAlignment="1">
      <alignment horizontal="center" vertical="center"/>
    </xf>
    <xf numFmtId="0" fontId="17" fillId="29" borderId="53" xfId="0" applyFont="1" applyFill="1" applyBorder="1" applyAlignment="1">
      <alignment horizontal="center" vertical="center"/>
    </xf>
    <xf numFmtId="0" fontId="17" fillId="29" borderId="59" xfId="0" applyFont="1" applyFill="1" applyBorder="1" applyAlignment="1">
      <alignment horizontal="center" vertical="center"/>
    </xf>
    <xf numFmtId="0" fontId="60" fillId="28" borderId="73" xfId="0" applyFont="1" applyFill="1" applyBorder="1" applyAlignment="1">
      <alignment horizontal="left" vertical="center"/>
    </xf>
    <xf numFmtId="0" fontId="60" fillId="28" borderId="71" xfId="0" applyFont="1" applyFill="1" applyBorder="1" applyAlignment="1">
      <alignment horizontal="left" vertical="center"/>
    </xf>
    <xf numFmtId="0" fontId="60" fillId="28" borderId="30" xfId="0" applyFont="1" applyFill="1" applyBorder="1" applyAlignment="1">
      <alignment horizontal="left" vertical="center"/>
    </xf>
    <xf numFmtId="2" fontId="60" fillId="28" borderId="355" xfId="0" applyNumberFormat="1" applyFont="1" applyFill="1" applyBorder="1" applyAlignment="1">
      <alignment vertical="center"/>
    </xf>
    <xf numFmtId="2" fontId="60" fillId="28" borderId="391" xfId="0" applyNumberFormat="1" applyFont="1" applyFill="1" applyBorder="1" applyAlignment="1">
      <alignment vertical="center"/>
    </xf>
    <xf numFmtId="2" fontId="60" fillId="28" borderId="392" xfId="0" applyNumberFormat="1" applyFont="1" applyFill="1" applyBorder="1" applyAlignment="1">
      <alignment vertical="center"/>
    </xf>
    <xf numFmtId="2" fontId="60" fillId="0" borderId="355" xfId="0" applyNumberFormat="1" applyFont="1" applyBorder="1" applyAlignment="1">
      <alignment vertical="center"/>
    </xf>
    <xf numFmtId="2" fontId="60" fillId="0" borderId="391" xfId="0" applyNumberFormat="1" applyFont="1" applyBorder="1" applyAlignment="1">
      <alignment vertical="center"/>
    </xf>
    <xf numFmtId="2" fontId="60" fillId="0" borderId="392" xfId="0" applyNumberFormat="1" applyFont="1" applyBorder="1" applyAlignment="1">
      <alignment vertical="center"/>
    </xf>
    <xf numFmtId="0" fontId="60" fillId="0" borderId="73" xfId="0" applyFont="1" applyBorder="1" applyAlignment="1">
      <alignment horizontal="left" vertical="center"/>
    </xf>
    <xf numFmtId="0" fontId="60" fillId="0" borderId="71" xfId="0" applyFont="1" applyBorder="1" applyAlignment="1">
      <alignment horizontal="left" vertical="center"/>
    </xf>
    <xf numFmtId="0" fontId="60" fillId="0" borderId="30" xfId="0" applyFont="1" applyBorder="1" applyAlignment="1">
      <alignment horizontal="left" vertical="center"/>
    </xf>
    <xf numFmtId="0" fontId="140" fillId="28" borderId="52" xfId="0" applyFont="1" applyFill="1" applyBorder="1" applyAlignment="1">
      <alignment horizontal="center"/>
    </xf>
    <xf numFmtId="0" fontId="140" fillId="28" borderId="53" xfId="0" applyFont="1" applyFill="1" applyBorder="1" applyAlignment="1">
      <alignment horizontal="center"/>
    </xf>
    <xf numFmtId="0" fontId="140" fillId="28" borderId="59" xfId="0" applyFont="1" applyFill="1" applyBorder="1" applyAlignment="1">
      <alignment horizontal="center"/>
    </xf>
    <xf numFmtId="0" fontId="60" fillId="0" borderId="50" xfId="0" applyFont="1" applyBorder="1" applyAlignment="1">
      <alignment horizontal="center" vertical="center"/>
    </xf>
    <xf numFmtId="0" fontId="60" fillId="0" borderId="47" xfId="0" applyFont="1" applyBorder="1" applyAlignment="1">
      <alignment horizontal="center" vertical="center"/>
    </xf>
    <xf numFmtId="0" fontId="60" fillId="0" borderId="431" xfId="0" applyFont="1" applyBorder="1" applyAlignment="1">
      <alignment horizontal="center" vertical="center"/>
    </xf>
    <xf numFmtId="0" fontId="60" fillId="0" borderId="56" xfId="0" applyFont="1" applyBorder="1" applyAlignment="1">
      <alignment horizontal="center" vertical="center"/>
    </xf>
    <xf numFmtId="0" fontId="60" fillId="0" borderId="55" xfId="0" applyFont="1" applyBorder="1" applyAlignment="1">
      <alignment horizontal="center" vertical="center"/>
    </xf>
    <xf numFmtId="0" fontId="60" fillId="0" borderId="32" xfId="0" applyFont="1" applyBorder="1" applyAlignment="1">
      <alignment horizontal="center" vertical="center"/>
    </xf>
    <xf numFmtId="0" fontId="60" fillId="29" borderId="148" xfId="0" applyFont="1" applyFill="1" applyBorder="1" applyAlignment="1">
      <alignment horizontal="center" vertical="center" wrapText="1"/>
    </xf>
    <xf numFmtId="0" fontId="60" fillId="29" borderId="43" xfId="0" applyFont="1" applyFill="1" applyBorder="1" applyAlignment="1">
      <alignment horizontal="center" vertical="center" wrapText="1"/>
    </xf>
    <xf numFmtId="0" fontId="60" fillId="29" borderId="27" xfId="0" applyFont="1" applyFill="1" applyBorder="1" applyAlignment="1">
      <alignment horizontal="center" vertical="center"/>
    </xf>
    <xf numFmtId="0" fontId="60" fillId="29" borderId="71" xfId="0" applyFont="1" applyFill="1" applyBorder="1" applyAlignment="1">
      <alignment horizontal="center" vertical="center"/>
    </xf>
    <xf numFmtId="0" fontId="60" fillId="29" borderId="69" xfId="0" applyFont="1" applyFill="1" applyBorder="1" applyAlignment="1">
      <alignment horizontal="center" vertical="center"/>
    </xf>
    <xf numFmtId="2" fontId="60" fillId="0" borderId="332" xfId="0" applyNumberFormat="1" applyFont="1" applyBorder="1" applyAlignment="1">
      <alignment vertical="center"/>
    </xf>
    <xf numFmtId="0" fontId="0" fillId="0" borderId="334" xfId="0" applyFont="1" applyBorder="1" applyAlignment="1"/>
    <xf numFmtId="0" fontId="60" fillId="0" borderId="332" xfId="0" applyFont="1" applyBorder="1" applyAlignment="1">
      <alignment horizontal="left" vertical="center"/>
    </xf>
    <xf numFmtId="0" fontId="60" fillId="29" borderId="332" xfId="0" applyFont="1" applyFill="1" applyBorder="1" applyAlignment="1">
      <alignment horizontal="left" vertical="center"/>
    </xf>
    <xf numFmtId="0" fontId="60" fillId="29" borderId="318" xfId="0" applyFont="1" applyFill="1" applyBorder="1" applyAlignment="1">
      <alignment horizontal="left" vertical="center"/>
    </xf>
    <xf numFmtId="0" fontId="0" fillId="0" borderId="319" xfId="0" applyFont="1" applyBorder="1" applyAlignment="1"/>
    <xf numFmtId="0" fontId="60" fillId="0" borderId="16" xfId="0" applyFont="1" applyBorder="1" applyAlignment="1">
      <alignment horizontal="center" vertical="center"/>
    </xf>
    <xf numFmtId="0" fontId="60" fillId="0" borderId="318" xfId="0" applyFont="1" applyBorder="1" applyAlignment="1">
      <alignment horizontal="center" vertical="center"/>
    </xf>
    <xf numFmtId="0" fontId="0" fillId="0" borderId="319" xfId="0" applyBorder="1" applyAlignment="1"/>
    <xf numFmtId="0" fontId="60" fillId="0" borderId="37" xfId="0" applyFont="1" applyBorder="1" applyAlignment="1">
      <alignment horizontal="left" vertical="center"/>
    </xf>
    <xf numFmtId="0" fontId="0" fillId="0" borderId="11" xfId="0" applyBorder="1" applyAlignment="1"/>
    <xf numFmtId="0" fontId="0" fillId="0" borderId="334" xfId="0" applyBorder="1" applyAlignment="1"/>
    <xf numFmtId="0" fontId="60" fillId="29" borderId="17" xfId="0" applyFont="1" applyFill="1" applyBorder="1" applyAlignment="1">
      <alignment horizontal="center" vertical="center" wrapText="1"/>
    </xf>
    <xf numFmtId="0" fontId="60" fillId="0" borderId="319" xfId="0" applyFont="1" applyBorder="1" applyAlignment="1">
      <alignment horizontal="center" vertical="center" wrapText="1"/>
    </xf>
    <xf numFmtId="0" fontId="60" fillId="29" borderId="17" xfId="0" applyFont="1" applyFill="1" applyBorder="1" applyAlignment="1">
      <alignment horizontal="center" vertical="center"/>
    </xf>
    <xf numFmtId="0" fontId="60" fillId="0" borderId="17" xfId="0" applyFont="1" applyBorder="1" applyAlignment="1"/>
    <xf numFmtId="0" fontId="60" fillId="0" borderId="18" xfId="0" applyFont="1" applyBorder="1" applyAlignment="1"/>
    <xf numFmtId="0" fontId="0" fillId="0" borderId="54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60" fillId="28" borderId="37" xfId="0" applyFont="1" applyFill="1" applyBorder="1" applyAlignment="1">
      <alignment horizontal="left" vertical="center"/>
    </xf>
    <xf numFmtId="2" fontId="60" fillId="28" borderId="332" xfId="0" applyNumberFormat="1" applyFont="1" applyFill="1" applyBorder="1" applyAlignment="1">
      <alignment vertical="center"/>
    </xf>
    <xf numFmtId="0" fontId="60" fillId="28" borderId="318" xfId="0" applyFont="1" applyFill="1" applyBorder="1" applyAlignment="1">
      <alignment horizontal="left" vertical="center"/>
    </xf>
    <xf numFmtId="0" fontId="60" fillId="28" borderId="292" xfId="0" applyFont="1" applyFill="1" applyBorder="1" applyAlignment="1">
      <alignment horizontal="left" vertical="center"/>
    </xf>
    <xf numFmtId="0" fontId="0" fillId="0" borderId="308" xfId="0" applyFont="1" applyBorder="1" applyAlignment="1"/>
    <xf numFmtId="2" fontId="60" fillId="0" borderId="255" xfId="0" applyNumberFormat="1" applyFont="1" applyFill="1" applyBorder="1" applyAlignment="1">
      <alignment horizontal="center" vertical="center" wrapText="1"/>
    </xf>
    <xf numFmtId="2" fontId="60" fillId="0" borderId="234" xfId="0" applyNumberFormat="1" applyFont="1" applyFill="1" applyBorder="1" applyAlignment="1">
      <alignment horizontal="center" vertical="center" wrapText="1"/>
    </xf>
    <xf numFmtId="0" fontId="0" fillId="0" borderId="11" xfId="0" applyFont="1" applyBorder="1" applyAlignment="1"/>
    <xf numFmtId="0" fontId="0" fillId="0" borderId="0" xfId="0" applyFont="1" applyFill="1" applyBorder="1" applyAlignment="1">
      <alignment horizontal="center" vertical="center"/>
    </xf>
    <xf numFmtId="0" fontId="12" fillId="0" borderId="72" xfId="0" applyFont="1" applyBorder="1" applyAlignment="1">
      <alignment horizontal="center"/>
    </xf>
    <xf numFmtId="0" fontId="12" fillId="0" borderId="148" xfId="0" applyFont="1" applyBorder="1" applyAlignment="1">
      <alignment horizontal="center"/>
    </xf>
    <xf numFmtId="0" fontId="12" fillId="0" borderId="70" xfId="0" applyFont="1" applyBorder="1" applyAlignment="1">
      <alignment horizontal="center"/>
    </xf>
    <xf numFmtId="2" fontId="87" fillId="0" borderId="0" xfId="0" applyNumberFormat="1" applyFont="1" applyAlignment="1">
      <alignment horizontal="center"/>
    </xf>
    <xf numFmtId="0" fontId="136" fillId="0" borderId="0" xfId="0" applyFont="1" applyAlignment="1"/>
    <xf numFmtId="0" fontId="18" fillId="0" borderId="16" xfId="0" applyFont="1" applyFill="1" applyBorder="1" applyAlignment="1">
      <alignment horizontal="center" vertical="center"/>
    </xf>
    <xf numFmtId="0" fontId="18" fillId="0" borderId="17" xfId="0" applyFont="1" applyFill="1" applyBorder="1" applyAlignment="1">
      <alignment horizontal="center" vertical="center"/>
    </xf>
    <xf numFmtId="0" fontId="18" fillId="0" borderId="18" xfId="0" applyFont="1" applyFill="1" applyBorder="1" applyAlignment="1">
      <alignment horizontal="center" vertical="center"/>
    </xf>
    <xf numFmtId="2" fontId="18" fillId="0" borderId="336" xfId="0" applyNumberFormat="1" applyFont="1" applyFill="1" applyBorder="1" applyAlignment="1">
      <alignment horizontal="center" vertical="center"/>
    </xf>
    <xf numFmtId="0" fontId="18" fillId="28" borderId="50" xfId="0" applyFont="1" applyFill="1" applyBorder="1" applyAlignment="1">
      <alignment horizontal="center" vertical="center"/>
    </xf>
    <xf numFmtId="0" fontId="18" fillId="28" borderId="47" xfId="0" applyFont="1" applyFill="1" applyBorder="1" applyAlignment="1">
      <alignment horizontal="center" vertical="center"/>
    </xf>
    <xf numFmtId="0" fontId="18" fillId="28" borderId="48" xfId="0" applyFont="1" applyFill="1" applyBorder="1" applyAlignment="1">
      <alignment horizontal="center" vertical="center"/>
    </xf>
    <xf numFmtId="2" fontId="18" fillId="28" borderId="397" xfId="0" applyNumberFormat="1" applyFont="1" applyFill="1" applyBorder="1" applyAlignment="1">
      <alignment horizontal="center" vertical="center"/>
    </xf>
    <xf numFmtId="2" fontId="18" fillId="28" borderId="389" xfId="0" applyNumberFormat="1" applyFont="1" applyFill="1" applyBorder="1" applyAlignment="1">
      <alignment horizontal="center" vertical="center"/>
    </xf>
    <xf numFmtId="2" fontId="18" fillId="28" borderId="367" xfId="0" applyNumberFormat="1" applyFont="1" applyFill="1" applyBorder="1" applyAlignment="1">
      <alignment horizontal="center" vertical="center"/>
    </xf>
    <xf numFmtId="2" fontId="18" fillId="0" borderId="16" xfId="0" applyNumberFormat="1" applyFont="1" applyFill="1" applyBorder="1" applyAlignment="1">
      <alignment horizontal="center" vertical="center"/>
    </xf>
    <xf numFmtId="0" fontId="0" fillId="0" borderId="17" xfId="0" applyFill="1" applyBorder="1" applyAlignment="1"/>
    <xf numFmtId="0" fontId="0" fillId="0" borderId="18" xfId="0" applyFill="1" applyBorder="1" applyAlignment="1"/>
    <xf numFmtId="0" fontId="0" fillId="0" borderId="232" xfId="0" applyFill="1" applyBorder="1" applyAlignment="1"/>
    <xf numFmtId="0" fontId="0" fillId="0" borderId="255" xfId="0" applyFill="1" applyBorder="1" applyAlignment="1"/>
    <xf numFmtId="0" fontId="0" fillId="0" borderId="234" xfId="0" applyFill="1" applyBorder="1" applyAlignment="1"/>
    <xf numFmtId="2" fontId="17" fillId="0" borderId="359" xfId="0" applyNumberFormat="1" applyFont="1" applyFill="1" applyBorder="1" applyAlignment="1">
      <alignment horizontal="center" vertical="center"/>
    </xf>
    <xf numFmtId="2" fontId="17" fillId="0" borderId="352" xfId="0" applyNumberFormat="1" applyFont="1" applyFill="1" applyBorder="1" applyAlignment="1">
      <alignment horizontal="center" vertical="center"/>
    </xf>
    <xf numFmtId="0" fontId="18" fillId="0" borderId="50" xfId="0" applyFont="1" applyBorder="1" applyAlignment="1">
      <alignment horizontal="center" vertical="center"/>
    </xf>
    <xf numFmtId="0" fontId="18" fillId="0" borderId="47" xfId="0" applyFont="1" applyBorder="1" applyAlignment="1">
      <alignment horizontal="center" vertical="center"/>
    </xf>
    <xf numFmtId="0" fontId="18" fillId="0" borderId="48" xfId="0" applyFont="1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68" xfId="0" applyBorder="1" applyAlignment="1">
      <alignment horizontal="center" vertical="center"/>
    </xf>
    <xf numFmtId="0" fontId="140" fillId="28" borderId="53" xfId="0" applyFont="1" applyFill="1" applyBorder="1" applyAlignment="1"/>
    <xf numFmtId="0" fontId="140" fillId="28" borderId="59" xfId="0" applyFont="1" applyFill="1" applyBorder="1" applyAlignment="1"/>
    <xf numFmtId="2" fontId="18" fillId="0" borderId="190" xfId="0" applyNumberFormat="1" applyFont="1" applyBorder="1" applyAlignment="1">
      <alignment horizontal="center" vertical="center"/>
    </xf>
    <xf numFmtId="2" fontId="18" fillId="0" borderId="189" xfId="0" applyNumberFormat="1" applyFont="1" applyBorder="1" applyAlignment="1">
      <alignment horizontal="center" vertical="center"/>
    </xf>
    <xf numFmtId="2" fontId="17" fillId="0" borderId="20" xfId="0" applyNumberFormat="1" applyFont="1" applyBorder="1" applyAlignment="1">
      <alignment horizontal="center" vertical="center"/>
    </xf>
    <xf numFmtId="0" fontId="60" fillId="0" borderId="0" xfId="0" applyFont="1" applyFill="1" applyBorder="1" applyAlignment="1">
      <alignment horizontal="center" vertical="center"/>
    </xf>
    <xf numFmtId="0" fontId="60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/>
    </xf>
    <xf numFmtId="0" fontId="133" fillId="0" borderId="0" xfId="0" applyFont="1" applyFill="1" applyBorder="1" applyAlignment="1">
      <alignment horizontal="center"/>
    </xf>
    <xf numFmtId="0" fontId="133" fillId="0" borderId="0" xfId="0" applyFont="1" applyAlignment="1">
      <alignment horizontal="center"/>
    </xf>
    <xf numFmtId="0" fontId="133" fillId="0" borderId="0" xfId="0" applyFont="1" applyAlignment="1"/>
    <xf numFmtId="0" fontId="97" fillId="0" borderId="0" xfId="0" applyFont="1" applyBorder="1" applyAlignment="1">
      <alignment horizontal="center"/>
    </xf>
    <xf numFmtId="2" fontId="60" fillId="0" borderId="20" xfId="0" applyNumberFormat="1" applyFont="1" applyBorder="1" applyAlignment="1">
      <alignment horizontal="center" vertical="center" wrapText="1"/>
    </xf>
    <xf numFmtId="2" fontId="60" fillId="0" borderId="278" xfId="0" applyNumberFormat="1" applyFont="1" applyBorder="1" applyAlignment="1">
      <alignment horizontal="center" vertical="center" wrapText="1"/>
    </xf>
    <xf numFmtId="0" fontId="13" fillId="33" borderId="13" xfId="0" applyFont="1" applyFill="1" applyBorder="1" applyAlignment="1">
      <alignment vertical="center"/>
    </xf>
    <xf numFmtId="0" fontId="13" fillId="33" borderId="364" xfId="0" applyFont="1" applyFill="1" applyBorder="1" applyAlignment="1">
      <alignment vertical="center"/>
    </xf>
    <xf numFmtId="0" fontId="0" fillId="0" borderId="66" xfId="0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62" fillId="0" borderId="0" xfId="0" applyFont="1" applyAlignment="1">
      <alignment horizontal="center"/>
    </xf>
    <xf numFmtId="0" fontId="16" fillId="27" borderId="58" xfId="0" applyFont="1" applyFill="1" applyBorder="1" applyAlignment="1">
      <alignment horizontal="center" vertical="center"/>
    </xf>
    <xf numFmtId="0" fontId="0" fillId="0" borderId="58" xfId="0" applyBorder="1" applyAlignment="1">
      <alignment vertical="center"/>
    </xf>
    <xf numFmtId="0" fontId="16" fillId="31" borderId="58" xfId="0" applyFont="1" applyFill="1" applyBorder="1" applyAlignment="1">
      <alignment horizontal="center" vertical="center"/>
    </xf>
    <xf numFmtId="0" fontId="0" fillId="31" borderId="58" xfId="0" applyFill="1" applyBorder="1" applyAlignment="1">
      <alignment vertical="center"/>
    </xf>
    <xf numFmtId="0" fontId="84" fillId="0" borderId="51" xfId="0" applyFont="1" applyBorder="1" applyAlignment="1">
      <alignment horizontal="center" vertical="center"/>
    </xf>
    <xf numFmtId="0" fontId="0" fillId="0" borderId="46" xfId="0" applyBorder="1" applyAlignment="1">
      <alignment vertical="center"/>
    </xf>
    <xf numFmtId="0" fontId="0" fillId="0" borderId="57" xfId="0" applyBorder="1" applyAlignment="1">
      <alignment vertical="center"/>
    </xf>
    <xf numFmtId="0" fontId="16" fillId="26" borderId="58" xfId="0" applyFont="1" applyFill="1" applyBorder="1" applyAlignment="1">
      <alignment horizontal="center" vertical="center"/>
    </xf>
    <xf numFmtId="0" fontId="18" fillId="0" borderId="51" xfId="0" applyFont="1" applyBorder="1" applyAlignment="1">
      <alignment horizontal="center" vertical="center"/>
    </xf>
    <xf numFmtId="0" fontId="57" fillId="0" borderId="51" xfId="0" applyFont="1" applyBorder="1" applyAlignment="1">
      <alignment vertical="center"/>
    </xf>
    <xf numFmtId="0" fontId="8" fillId="0" borderId="58" xfId="0" applyFont="1" applyBorder="1" applyAlignment="1">
      <alignment horizontal="center" vertical="center"/>
    </xf>
    <xf numFmtId="0" fontId="0" fillId="0" borderId="17" xfId="0" applyBorder="1" applyAlignment="1">
      <alignment horizontal="center" wrapText="1"/>
    </xf>
    <xf numFmtId="0" fontId="0" fillId="0" borderId="10" xfId="0" applyBorder="1" applyAlignment="1">
      <alignment horizontal="center" wrapText="1"/>
    </xf>
    <xf numFmtId="0" fontId="0" fillId="0" borderId="22" xfId="0" applyBorder="1" applyAlignment="1">
      <alignment horizontal="center" wrapText="1"/>
    </xf>
    <xf numFmtId="0" fontId="43" fillId="0" borderId="10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/>
    </xf>
    <xf numFmtId="0" fontId="12" fillId="0" borderId="17" xfId="0" applyFont="1" applyBorder="1" applyAlignment="1">
      <alignment horizontal="center"/>
    </xf>
    <xf numFmtId="2" fontId="48" fillId="0" borderId="82" xfId="0" applyNumberFormat="1" applyFont="1" applyFill="1" applyBorder="1" applyAlignment="1">
      <alignment horizontal="left" vertical="center" wrapText="1"/>
    </xf>
    <xf numFmtId="0" fontId="0" fillId="0" borderId="78" xfId="0" applyFill="1" applyBorder="1" applyAlignment="1">
      <alignment vertical="center"/>
    </xf>
    <xf numFmtId="0" fontId="0" fillId="0" borderId="83" xfId="0" applyFill="1" applyBorder="1" applyAlignment="1">
      <alignment vertical="center"/>
    </xf>
    <xf numFmtId="0" fontId="0" fillId="0" borderId="54" xfId="0" applyFill="1" applyBorder="1" applyAlignment="1">
      <alignment vertical="center"/>
    </xf>
    <xf numFmtId="0" fontId="0" fillId="0" borderId="0" xfId="0" applyFill="1" applyAlignment="1">
      <alignment vertical="center"/>
    </xf>
    <xf numFmtId="0" fontId="0" fillId="0" borderId="60" xfId="0" applyFill="1" applyBorder="1" applyAlignment="1">
      <alignment vertical="center"/>
    </xf>
    <xf numFmtId="0" fontId="0" fillId="0" borderId="40" xfId="0" applyFill="1" applyBorder="1" applyAlignment="1">
      <alignment vertical="center"/>
    </xf>
    <xf numFmtId="0" fontId="0" fillId="0" borderId="36" xfId="0" applyFill="1" applyBorder="1" applyAlignment="1">
      <alignment vertical="center"/>
    </xf>
    <xf numFmtId="0" fontId="0" fillId="0" borderId="68" xfId="0" applyFill="1" applyBorder="1" applyAlignment="1">
      <alignment vertical="center"/>
    </xf>
    <xf numFmtId="0" fontId="12" fillId="0" borderId="10" xfId="0" applyFont="1" applyBorder="1" applyAlignment="1">
      <alignment horizontal="center"/>
    </xf>
    <xf numFmtId="0" fontId="16" fillId="0" borderId="76" xfId="0" applyFont="1" applyFill="1" applyBorder="1" applyAlignment="1">
      <alignment horizontal="center" vertical="center"/>
    </xf>
    <xf numFmtId="0" fontId="0" fillId="0" borderId="76" xfId="0" applyFill="1" applyBorder="1" applyAlignment="1">
      <alignment vertical="center"/>
    </xf>
    <xf numFmtId="0" fontId="0" fillId="0" borderId="77" xfId="0" applyFill="1" applyBorder="1" applyAlignment="1">
      <alignment vertical="center"/>
    </xf>
    <xf numFmtId="0" fontId="57" fillId="0" borderId="58" xfId="0" applyFont="1" applyFill="1" applyBorder="1" applyAlignment="1">
      <alignment horizontal="center" vertical="center"/>
    </xf>
    <xf numFmtId="0" fontId="16" fillId="0" borderId="75" xfId="0" applyFont="1" applyFill="1" applyBorder="1" applyAlignment="1">
      <alignment horizontal="center" vertical="center"/>
    </xf>
    <xf numFmtId="0" fontId="18" fillId="0" borderId="52" xfId="0" applyFont="1" applyFill="1" applyBorder="1" applyAlignment="1">
      <alignment horizontal="center" vertical="center"/>
    </xf>
    <xf numFmtId="0" fontId="57" fillId="0" borderId="53" xfId="0" applyFont="1" applyFill="1" applyBorder="1" applyAlignment="1">
      <alignment vertical="center"/>
    </xf>
    <xf numFmtId="0" fontId="0" fillId="0" borderId="53" xfId="0" applyFill="1" applyBorder="1" applyAlignment="1">
      <alignment vertical="center"/>
    </xf>
    <xf numFmtId="0" fontId="0" fillId="0" borderId="59" xfId="0" applyFill="1" applyBorder="1" applyAlignment="1">
      <alignment vertical="center"/>
    </xf>
    <xf numFmtId="0" fontId="16" fillId="0" borderId="77" xfId="0" applyFont="1" applyFill="1" applyBorder="1" applyAlignment="1">
      <alignment horizontal="center" vertical="center"/>
    </xf>
    <xf numFmtId="2" fontId="48" fillId="0" borderId="82" xfId="0" applyNumberFormat="1" applyFont="1" applyBorder="1" applyAlignment="1">
      <alignment horizontal="left" vertical="center" wrapText="1"/>
    </xf>
    <xf numFmtId="0" fontId="0" fillId="0" borderId="78" xfId="0" applyBorder="1" applyAlignment="1">
      <alignment vertical="center"/>
    </xf>
    <xf numFmtId="0" fontId="0" fillId="0" borderId="83" xfId="0" applyBorder="1" applyAlignment="1">
      <alignment vertical="center"/>
    </xf>
    <xf numFmtId="0" fontId="0" fillId="0" borderId="54" xfId="0" applyBorder="1" applyAlignment="1">
      <alignment vertical="center"/>
    </xf>
    <xf numFmtId="0" fontId="0" fillId="0" borderId="0" xfId="0" applyAlignment="1">
      <alignment vertical="center"/>
    </xf>
    <xf numFmtId="0" fontId="0" fillId="0" borderId="60" xfId="0" applyBorder="1" applyAlignment="1">
      <alignment vertical="center"/>
    </xf>
    <xf numFmtId="0" fontId="0" fillId="0" borderId="40" xfId="0" applyBorder="1" applyAlignment="1">
      <alignment vertical="center"/>
    </xf>
    <xf numFmtId="0" fontId="0" fillId="0" borderId="36" xfId="0" applyBorder="1" applyAlignment="1">
      <alignment vertical="center"/>
    </xf>
    <xf numFmtId="0" fontId="0" fillId="0" borderId="68" xfId="0" applyBorder="1" applyAlignment="1">
      <alignment vertical="center"/>
    </xf>
    <xf numFmtId="0" fontId="0" fillId="0" borderId="56" xfId="0" applyBorder="1" applyAlignment="1">
      <alignment vertical="center"/>
    </xf>
    <xf numFmtId="0" fontId="0" fillId="0" borderId="55" xfId="0" applyBorder="1" applyAlignment="1">
      <alignment vertical="center"/>
    </xf>
    <xf numFmtId="0" fontId="0" fillId="0" borderId="33" xfId="0" applyBorder="1" applyAlignment="1">
      <alignment vertical="center"/>
    </xf>
    <xf numFmtId="0" fontId="0" fillId="0" borderId="56" xfId="0" applyFill="1" applyBorder="1" applyAlignment="1">
      <alignment vertical="center"/>
    </xf>
    <xf numFmtId="0" fontId="0" fillId="0" borderId="55" xfId="0" applyFill="1" applyBorder="1" applyAlignment="1">
      <alignment vertical="center"/>
    </xf>
    <xf numFmtId="0" fontId="0" fillId="0" borderId="33" xfId="0" applyFill="1" applyBorder="1" applyAlignment="1">
      <alignment vertical="center"/>
    </xf>
    <xf numFmtId="0" fontId="16" fillId="0" borderId="58" xfId="0" applyFont="1" applyFill="1" applyBorder="1" applyAlignment="1">
      <alignment horizontal="center" vertical="center"/>
    </xf>
    <xf numFmtId="0" fontId="0" fillId="0" borderId="58" xfId="0" applyFill="1" applyBorder="1" applyAlignment="1">
      <alignment vertical="center"/>
    </xf>
    <xf numFmtId="0" fontId="12" fillId="0" borderId="50" xfId="0" applyFont="1" applyFill="1" applyBorder="1" applyAlignment="1">
      <alignment horizontal="center" vertical="center"/>
    </xf>
    <xf numFmtId="0" fontId="0" fillId="0" borderId="47" xfId="0" applyFill="1" applyBorder="1" applyAlignment="1">
      <alignment vertical="center"/>
    </xf>
    <xf numFmtId="0" fontId="0" fillId="0" borderId="48" xfId="0" applyFill="1" applyBorder="1" applyAlignment="1">
      <alignment vertical="center"/>
    </xf>
    <xf numFmtId="0" fontId="67" fillId="0" borderId="0" xfId="0" applyFont="1" applyAlignment="1"/>
    <xf numFmtId="0" fontId="12" fillId="0" borderId="50" xfId="0" applyFont="1" applyBorder="1" applyAlignment="1">
      <alignment horizontal="center" vertical="center"/>
    </xf>
    <xf numFmtId="0" fontId="0" fillId="0" borderId="47" xfId="0" applyBorder="1" applyAlignment="1">
      <alignment vertical="center"/>
    </xf>
    <xf numFmtId="0" fontId="0" fillId="0" borderId="48" xfId="0" applyBorder="1" applyAlignment="1">
      <alignment vertical="center"/>
    </xf>
    <xf numFmtId="0" fontId="18" fillId="0" borderId="58" xfId="0" applyFont="1" applyFill="1" applyBorder="1" applyAlignment="1">
      <alignment horizontal="center" vertical="center"/>
    </xf>
    <xf numFmtId="0" fontId="13" fillId="0" borderId="16" xfId="0" applyFont="1" applyBorder="1" applyAlignment="1">
      <alignment horizontal="center"/>
    </xf>
    <xf numFmtId="0" fontId="13" fillId="0" borderId="19" xfId="0" applyFont="1" applyBorder="1" applyAlignment="1">
      <alignment horizontal="center"/>
    </xf>
    <xf numFmtId="0" fontId="13" fillId="0" borderId="21" xfId="0" applyFont="1" applyBorder="1" applyAlignment="1">
      <alignment horizontal="center"/>
    </xf>
    <xf numFmtId="0" fontId="12" fillId="0" borderId="16" xfId="0" applyFont="1" applyBorder="1" applyAlignment="1">
      <alignment horizontal="center" vertical="center"/>
    </xf>
    <xf numFmtId="0" fontId="12" fillId="0" borderId="17" xfId="0" applyFont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0" fontId="12" fillId="0" borderId="19" xfId="0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12" fillId="0" borderId="20" xfId="0" applyFont="1" applyBorder="1" applyAlignment="1">
      <alignment horizontal="center" vertical="center"/>
    </xf>
    <xf numFmtId="0" fontId="12" fillId="0" borderId="30" xfId="0" applyFont="1" applyBorder="1" applyAlignment="1">
      <alignment horizontal="center" vertical="center"/>
    </xf>
    <xf numFmtId="0" fontId="12" fillId="0" borderId="27" xfId="0" applyFont="1" applyBorder="1" applyAlignment="1">
      <alignment horizontal="center" vertical="center"/>
    </xf>
    <xf numFmtId="0" fontId="12" fillId="0" borderId="28" xfId="0" applyFont="1" applyBorder="1" applyAlignment="1">
      <alignment horizontal="center" vertical="center"/>
    </xf>
    <xf numFmtId="0" fontId="12" fillId="0" borderId="25" xfId="0" applyFont="1" applyBorder="1" applyAlignment="1">
      <alignment horizontal="center" vertical="center"/>
    </xf>
    <xf numFmtId="0" fontId="13" fillId="0" borderId="25" xfId="0" applyFont="1" applyBorder="1" applyAlignment="1">
      <alignment horizontal="center"/>
    </xf>
    <xf numFmtId="0" fontId="12" fillId="0" borderId="19" xfId="0" applyFont="1" applyBorder="1" applyAlignment="1">
      <alignment horizontal="center"/>
    </xf>
    <xf numFmtId="0" fontId="43" fillId="0" borderId="20" xfId="0" applyFont="1" applyBorder="1" applyAlignment="1">
      <alignment horizontal="center" vertical="center"/>
    </xf>
    <xf numFmtId="0" fontId="16" fillId="28" borderId="400" xfId="0" applyFont="1" applyFill="1" applyBorder="1" applyAlignment="1">
      <alignment horizontal="center" vertical="center"/>
    </xf>
    <xf numFmtId="0" fontId="16" fillId="28" borderId="369" xfId="0" applyFont="1" applyFill="1" applyBorder="1" applyAlignment="1">
      <alignment horizontal="center" vertical="center"/>
    </xf>
    <xf numFmtId="0" fontId="16" fillId="28" borderId="402" xfId="0" applyFont="1" applyFill="1" applyBorder="1" applyAlignment="1">
      <alignment horizontal="center" vertical="center"/>
    </xf>
    <xf numFmtId="0" fontId="17" fillId="0" borderId="58" xfId="0" applyFont="1" applyFill="1" applyBorder="1" applyAlignment="1">
      <alignment horizontal="center" vertical="center"/>
    </xf>
    <xf numFmtId="0" fontId="60" fillId="0" borderId="72" xfId="0" applyFont="1" applyFill="1" applyBorder="1" applyAlignment="1">
      <alignment horizontal="center" vertical="center" wrapText="1"/>
    </xf>
    <xf numFmtId="0" fontId="60" fillId="0" borderId="24" xfId="0" applyFont="1" applyFill="1" applyBorder="1" applyAlignment="1">
      <alignment horizontal="center" vertical="center" wrapText="1"/>
    </xf>
    <xf numFmtId="0" fontId="60" fillId="0" borderId="70" xfId="0" applyFont="1" applyFill="1" applyBorder="1" applyAlignment="1">
      <alignment horizontal="center" vertical="center" wrapText="1"/>
    </xf>
    <xf numFmtId="0" fontId="60" fillId="0" borderId="44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/>
    </xf>
    <xf numFmtId="0" fontId="64" fillId="0" borderId="0" xfId="0" applyFont="1" applyAlignment="1"/>
    <xf numFmtId="0" fontId="13" fillId="0" borderId="11" xfId="0" applyFont="1" applyBorder="1" applyAlignment="1">
      <alignment horizontal="center" vertical="center" wrapText="1"/>
    </xf>
    <xf numFmtId="0" fontId="16" fillId="0" borderId="10" xfId="0" applyFont="1" applyBorder="1" applyAlignment="1">
      <alignment horizontal="center"/>
    </xf>
    <xf numFmtId="0" fontId="16" fillId="0" borderId="92" xfId="0" applyFont="1" applyBorder="1" applyAlignment="1">
      <alignment horizontal="center"/>
    </xf>
    <xf numFmtId="0" fontId="16" fillId="0" borderId="198" xfId="0" applyFont="1" applyBorder="1" applyAlignment="1">
      <alignment horizontal="center"/>
    </xf>
    <xf numFmtId="0" fontId="16" fillId="0" borderId="257" xfId="0" applyFont="1" applyBorder="1" applyAlignment="1">
      <alignment horizontal="center"/>
    </xf>
    <xf numFmtId="0" fontId="16" fillId="0" borderId="25" xfId="0" applyFont="1" applyBorder="1" applyAlignment="1">
      <alignment horizontal="center"/>
    </xf>
    <xf numFmtId="0" fontId="16" fillId="0" borderId="28" xfId="0" applyFont="1" applyBorder="1" applyAlignment="1">
      <alignment horizontal="center"/>
    </xf>
    <xf numFmtId="0" fontId="13" fillId="0" borderId="10" xfId="0" applyFont="1" applyBorder="1" applyAlignment="1">
      <alignment horizontal="center" vertical="center" wrapText="1"/>
    </xf>
    <xf numFmtId="0" fontId="82" fillId="0" borderId="52" xfId="0" applyFont="1" applyBorder="1" applyAlignment="1">
      <alignment horizontal="center" vertical="center"/>
    </xf>
    <xf numFmtId="0" fontId="82" fillId="0" borderId="59" xfId="0" applyFont="1" applyBorder="1" applyAlignment="1">
      <alignment horizontal="center" vertical="center"/>
    </xf>
    <xf numFmtId="0" fontId="17" fillId="0" borderId="75" xfId="0" applyFont="1" applyBorder="1" applyAlignment="1">
      <alignment horizontal="center" vertical="center"/>
    </xf>
    <xf numFmtId="0" fontId="0" fillId="0" borderId="76" xfId="0" applyBorder="1" applyAlignment="1">
      <alignment vertical="center"/>
    </xf>
    <xf numFmtId="0" fontId="0" fillId="0" borderId="77" xfId="0" applyBorder="1" applyAlignment="1">
      <alignment vertical="center"/>
    </xf>
    <xf numFmtId="0" fontId="17" fillId="0" borderId="76" xfId="0" applyFont="1" applyBorder="1" applyAlignment="1">
      <alignment horizontal="center" vertical="center"/>
    </xf>
    <xf numFmtId="0" fontId="17" fillId="0" borderId="77" xfId="0" applyFont="1" applyBorder="1" applyAlignment="1">
      <alignment horizontal="center" vertical="center"/>
    </xf>
    <xf numFmtId="0" fontId="60" fillId="0" borderId="37" xfId="0" applyFont="1" applyBorder="1" applyAlignment="1">
      <alignment horizontal="center" vertical="center" wrapText="1"/>
    </xf>
    <xf numFmtId="0" fontId="60" fillId="0" borderId="273" xfId="0" applyFont="1" applyBorder="1" applyAlignment="1">
      <alignment horizontal="center" vertical="center" wrapText="1"/>
    </xf>
    <xf numFmtId="0" fontId="60" fillId="0" borderId="18" xfId="0" applyFont="1" applyBorder="1" applyAlignment="1">
      <alignment horizontal="center" vertical="center" wrapText="1"/>
    </xf>
    <xf numFmtId="0" fontId="60" fillId="0" borderId="293" xfId="0" applyFont="1" applyBorder="1" applyAlignment="1">
      <alignment horizontal="center" vertical="center" wrapText="1"/>
    </xf>
    <xf numFmtId="0" fontId="60" fillId="0" borderId="68" xfId="0" applyFont="1" applyBorder="1" applyAlignment="1">
      <alignment horizontal="center" vertical="center" wrapText="1"/>
    </xf>
    <xf numFmtId="0" fontId="60" fillId="0" borderId="361" xfId="0" applyFont="1" applyBorder="1" applyAlignment="1">
      <alignment horizontal="center" vertical="center" wrapText="1"/>
    </xf>
    <xf numFmtId="4" fontId="13" fillId="0" borderId="41" xfId="0" applyNumberFormat="1" applyFont="1" applyBorder="1" applyAlignment="1">
      <alignment horizontal="left" vertical="center" wrapText="1"/>
    </xf>
    <xf numFmtId="4" fontId="13" fillId="0" borderId="89" xfId="0" applyNumberFormat="1" applyFont="1" applyBorder="1" applyAlignment="1">
      <alignment horizontal="left" vertical="center" wrapText="1"/>
    </xf>
    <xf numFmtId="4" fontId="13" fillId="0" borderId="42" xfId="0" applyNumberFormat="1" applyFont="1" applyBorder="1" applyAlignment="1">
      <alignment horizontal="center" vertical="center" wrapText="1"/>
    </xf>
    <xf numFmtId="4" fontId="13" fillId="0" borderId="94" xfId="0" applyNumberFormat="1" applyFont="1" applyBorder="1" applyAlignment="1">
      <alignment horizontal="center" vertical="center" wrapText="1"/>
    </xf>
    <xf numFmtId="0" fontId="60" fillId="0" borderId="16" xfId="0" applyFont="1" applyBorder="1" applyAlignment="1">
      <alignment horizontal="center" vertical="center" wrapText="1"/>
    </xf>
    <xf numFmtId="0" fontId="16" fillId="0" borderId="26" xfId="0" applyFont="1" applyBorder="1" applyAlignment="1">
      <alignment horizontal="center"/>
    </xf>
    <xf numFmtId="0" fontId="16" fillId="0" borderId="90" xfId="0" applyFont="1" applyBorder="1" applyAlignment="1">
      <alignment horizontal="center"/>
    </xf>
    <xf numFmtId="4" fontId="13" fillId="0" borderId="40" xfId="0" applyNumberFormat="1" applyFont="1" applyBorder="1" applyAlignment="1">
      <alignment horizontal="left" vertical="center" wrapText="1"/>
    </xf>
    <xf numFmtId="4" fontId="13" fillId="0" borderId="68" xfId="0" applyNumberFormat="1" applyFont="1" applyBorder="1" applyAlignment="1">
      <alignment horizontal="left" vertical="center" wrapText="1"/>
    </xf>
    <xf numFmtId="0" fontId="60" fillId="0" borderId="17" xfId="0" applyFont="1" applyBorder="1" applyAlignment="1">
      <alignment horizontal="center" vertical="center" wrapText="1"/>
    </xf>
    <xf numFmtId="0" fontId="60" fillId="0" borderId="279" xfId="0" applyFont="1" applyBorder="1" applyAlignment="1">
      <alignment horizontal="center" vertical="center" wrapText="1"/>
    </xf>
    <xf numFmtId="0" fontId="60" fillId="0" borderId="38" xfId="0" applyFont="1" applyBorder="1" applyAlignment="1">
      <alignment horizontal="center" vertical="center" wrapText="1"/>
    </xf>
    <xf numFmtId="0" fontId="60" fillId="0" borderId="23" xfId="0" applyFont="1" applyBorder="1" applyAlignment="1">
      <alignment horizontal="center" vertical="center" wrapText="1"/>
    </xf>
    <xf numFmtId="0" fontId="17" fillId="0" borderId="52" xfId="0" applyFont="1" applyBorder="1" applyAlignment="1">
      <alignment horizontal="center" vertical="center" wrapText="1"/>
    </xf>
    <xf numFmtId="0" fontId="17" fillId="0" borderId="53" xfId="0" applyFont="1" applyBorder="1" applyAlignment="1">
      <alignment horizontal="center" vertical="center" wrapText="1"/>
    </xf>
    <xf numFmtId="0" fontId="60" fillId="0" borderId="271" xfId="0" applyFont="1" applyBorder="1" applyAlignment="1">
      <alignment horizontal="center" vertical="center" wrapText="1"/>
    </xf>
    <xf numFmtId="0" fontId="13" fillId="0" borderId="50" xfId="0" applyFont="1" applyBorder="1" applyAlignment="1">
      <alignment horizontal="center" vertical="center"/>
    </xf>
    <xf numFmtId="0" fontId="13" fillId="0" borderId="48" xfId="0" applyFont="1" applyBorder="1" applyAlignment="1">
      <alignment horizontal="center" vertical="center"/>
    </xf>
    <xf numFmtId="0" fontId="13" fillId="0" borderId="54" xfId="0" applyFont="1" applyBorder="1" applyAlignment="1">
      <alignment horizontal="center" vertical="center"/>
    </xf>
    <xf numFmtId="0" fontId="13" fillId="0" borderId="60" xfId="0" applyFont="1" applyBorder="1" applyAlignment="1">
      <alignment horizontal="center" vertical="center"/>
    </xf>
    <xf numFmtId="0" fontId="13" fillId="0" borderId="56" xfId="0" applyFont="1" applyBorder="1" applyAlignment="1">
      <alignment horizontal="center" vertical="center"/>
    </xf>
    <xf numFmtId="0" fontId="13" fillId="0" borderId="33" xfId="0" applyFont="1" applyBorder="1" applyAlignment="1">
      <alignment horizontal="center" vertical="center"/>
    </xf>
    <xf numFmtId="0" fontId="60" fillId="0" borderId="187" xfId="0" applyFont="1" applyBorder="1" applyAlignment="1">
      <alignment horizontal="center" vertical="center"/>
    </xf>
    <xf numFmtId="0" fontId="60" fillId="0" borderId="11" xfId="0" applyFont="1" applyBorder="1" applyAlignment="1">
      <alignment horizontal="center" vertical="center" wrapText="1"/>
    </xf>
    <xf numFmtId="0" fontId="60" fillId="0" borderId="184" xfId="0" applyFont="1" applyBorder="1" applyAlignment="1">
      <alignment horizontal="center" vertical="center" wrapText="1"/>
    </xf>
    <xf numFmtId="0" fontId="17" fillId="28" borderId="53" xfId="0" applyFont="1" applyFill="1" applyBorder="1" applyAlignment="1">
      <alignment horizontal="center" vertical="center"/>
    </xf>
    <xf numFmtId="0" fontId="17" fillId="28" borderId="59" xfId="0" applyFont="1" applyFill="1" applyBorder="1" applyAlignment="1">
      <alignment horizontal="center" vertical="center"/>
    </xf>
    <xf numFmtId="0" fontId="60" fillId="28" borderId="72" xfId="0" applyFont="1" applyFill="1" applyBorder="1" applyAlignment="1">
      <alignment horizontal="center" vertical="center" wrapText="1"/>
    </xf>
    <xf numFmtId="0" fontId="0" fillId="28" borderId="24" xfId="0" applyFill="1" applyBorder="1" applyAlignment="1">
      <alignment horizontal="center" vertical="center" wrapText="1"/>
    </xf>
    <xf numFmtId="0" fontId="60" fillId="28" borderId="148" xfId="0" applyFont="1" applyFill="1" applyBorder="1" applyAlignment="1">
      <alignment horizontal="center" vertical="center" wrapText="1"/>
    </xf>
    <xf numFmtId="0" fontId="0" fillId="28" borderId="43" xfId="0" applyFill="1" applyBorder="1" applyAlignment="1">
      <alignment horizontal="center" vertical="center" wrapText="1"/>
    </xf>
    <xf numFmtId="0" fontId="60" fillId="28" borderId="70" xfId="0" applyFont="1" applyFill="1" applyBorder="1" applyAlignment="1">
      <alignment horizontal="center" vertical="center" wrapText="1"/>
    </xf>
    <xf numFmtId="0" fontId="0" fillId="28" borderId="44" xfId="0" applyFill="1" applyBorder="1" applyAlignment="1">
      <alignment horizontal="center" vertical="center" wrapText="1"/>
    </xf>
    <xf numFmtId="0" fontId="60" fillId="0" borderId="13" xfId="0" applyFont="1" applyBorder="1" applyAlignment="1">
      <alignment horizontal="center" vertical="center" wrapText="1"/>
    </xf>
    <xf numFmtId="0" fontId="60" fillId="0" borderId="15" xfId="0" applyFont="1" applyBorder="1" applyAlignment="1">
      <alignment horizontal="center" vertical="center" wrapText="1"/>
    </xf>
    <xf numFmtId="0" fontId="17" fillId="0" borderId="53" xfId="0" applyFont="1" applyFill="1" applyBorder="1" applyAlignment="1">
      <alignment horizontal="center" vertical="center"/>
    </xf>
    <xf numFmtId="0" fontId="17" fillId="0" borderId="59" xfId="0" applyFont="1" applyFill="1" applyBorder="1" applyAlignment="1">
      <alignment horizontal="center" vertical="center"/>
    </xf>
    <xf numFmtId="0" fontId="60" fillId="0" borderId="148" xfId="0" applyFont="1" applyFill="1" applyBorder="1" applyAlignment="1">
      <alignment horizontal="center" vertical="center" wrapText="1"/>
    </xf>
    <xf numFmtId="0" fontId="17" fillId="0" borderId="51" xfId="0" applyFont="1" applyBorder="1" applyAlignment="1">
      <alignment horizontal="center" vertical="center" wrapText="1"/>
    </xf>
    <xf numFmtId="0" fontId="0" fillId="0" borderId="46" xfId="0" applyBorder="1" applyAlignment="1">
      <alignment horizontal="center" vertical="center" wrapText="1"/>
    </xf>
    <xf numFmtId="0" fontId="0" fillId="0" borderId="57" xfId="0" applyBorder="1" applyAlignment="1">
      <alignment horizontal="center" vertical="center" wrapText="1"/>
    </xf>
    <xf numFmtId="0" fontId="63" fillId="0" borderId="0" xfId="0" applyFont="1" applyAlignment="1">
      <alignment horizontal="right"/>
    </xf>
    <xf numFmtId="0" fontId="98" fillId="0" borderId="0" xfId="0" applyFont="1" applyAlignment="1">
      <alignment horizontal="center"/>
    </xf>
    <xf numFmtId="0" fontId="99" fillId="0" borderId="0" xfId="0" applyFont="1" applyAlignment="1"/>
    <xf numFmtId="0" fontId="87" fillId="0" borderId="50" xfId="0" applyFont="1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0" fontId="0" fillId="0" borderId="48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60" xfId="0" applyBorder="1" applyAlignment="1">
      <alignment horizontal="center" vertical="center"/>
    </xf>
    <xf numFmtId="0" fontId="67" fillId="0" borderId="75" xfId="0" applyFont="1" applyFill="1" applyBorder="1" applyAlignment="1">
      <alignment horizontal="center"/>
    </xf>
    <xf numFmtId="0" fontId="67" fillId="0" borderId="76" xfId="0" applyFont="1" applyFill="1" applyBorder="1" applyAlignment="1">
      <alignment horizontal="center"/>
    </xf>
    <xf numFmtId="0" fontId="67" fillId="0" borderId="77" xfId="0" applyFont="1" applyFill="1" applyBorder="1" applyAlignment="1">
      <alignment horizontal="center"/>
    </xf>
    <xf numFmtId="0" fontId="18" fillId="0" borderId="30" xfId="0" applyFont="1" applyFill="1" applyBorder="1" applyAlignment="1">
      <alignment horizontal="center" vertical="center" wrapText="1"/>
    </xf>
    <xf numFmtId="0" fontId="18" fillId="0" borderId="17" xfId="0" applyFont="1" applyFill="1" applyBorder="1" applyAlignment="1">
      <alignment horizontal="center" vertical="center" wrapText="1"/>
    </xf>
    <xf numFmtId="0" fontId="18" fillId="0" borderId="392" xfId="0" applyFont="1" applyFill="1" applyBorder="1" applyAlignment="1">
      <alignment horizontal="center" vertical="center" wrapText="1"/>
    </xf>
    <xf numFmtId="0" fontId="18" fillId="0" borderId="368" xfId="0" applyFont="1" applyFill="1" applyBorder="1" applyAlignment="1">
      <alignment horizontal="center" vertical="center" wrapText="1"/>
    </xf>
    <xf numFmtId="0" fontId="18" fillId="0" borderId="148" xfId="0" applyFont="1" applyFill="1" applyBorder="1" applyAlignment="1">
      <alignment horizontal="center" vertical="center" wrapText="1"/>
    </xf>
    <xf numFmtId="0" fontId="18" fillId="0" borderId="70" xfId="0" applyFont="1" applyFill="1" applyBorder="1" applyAlignment="1">
      <alignment horizontal="center" vertical="center" wrapText="1"/>
    </xf>
    <xf numFmtId="0" fontId="18" fillId="0" borderId="61" xfId="0" applyFont="1" applyFill="1" applyBorder="1" applyAlignment="1">
      <alignment horizontal="center" vertical="center" wrapText="1"/>
    </xf>
    <xf numFmtId="0" fontId="18" fillId="0" borderId="67" xfId="0" applyFont="1" applyFill="1" applyBorder="1" applyAlignment="1">
      <alignment horizontal="center" vertical="center" wrapText="1"/>
    </xf>
    <xf numFmtId="0" fontId="18" fillId="0" borderId="37" xfId="0" applyFont="1" applyFill="1" applyBorder="1" applyAlignment="1">
      <alignment horizontal="center" vertical="center" wrapText="1"/>
    </xf>
    <xf numFmtId="0" fontId="18" fillId="0" borderId="11" xfId="0" applyFont="1" applyFill="1" applyBorder="1" applyAlignment="1">
      <alignment horizontal="center" vertical="center" wrapText="1"/>
    </xf>
    <xf numFmtId="0" fontId="18" fillId="0" borderId="366" xfId="0" applyFont="1" applyFill="1" applyBorder="1" applyAlignment="1">
      <alignment horizontal="center" vertical="center" wrapText="1"/>
    </xf>
    <xf numFmtId="0" fontId="18" fillId="0" borderId="50" xfId="0" applyFont="1" applyFill="1" applyBorder="1" applyAlignment="1">
      <alignment horizontal="center" vertical="center" wrapText="1"/>
    </xf>
    <xf numFmtId="0" fontId="18" fillId="0" borderId="47" xfId="0" applyFont="1" applyFill="1" applyBorder="1" applyAlignment="1">
      <alignment horizontal="center" vertical="center" wrapText="1"/>
    </xf>
    <xf numFmtId="0" fontId="18" fillId="0" borderId="48" xfId="0" applyFont="1" applyFill="1" applyBorder="1" applyAlignment="1">
      <alignment horizontal="center" vertical="center" wrapText="1"/>
    </xf>
    <xf numFmtId="0" fontId="18" fillId="0" borderId="40" xfId="0" applyFont="1" applyFill="1" applyBorder="1" applyAlignment="1">
      <alignment horizontal="center" vertical="center" wrapText="1"/>
    </xf>
    <xf numFmtId="0" fontId="18" fillId="0" borderId="36" xfId="0" applyFont="1" applyFill="1" applyBorder="1" applyAlignment="1">
      <alignment horizontal="center" vertical="center" wrapText="1"/>
    </xf>
    <xf numFmtId="0" fontId="18" fillId="0" borderId="68" xfId="0" applyFont="1" applyFill="1" applyBorder="1" applyAlignment="1">
      <alignment horizontal="center" vertical="center" wrapText="1"/>
    </xf>
    <xf numFmtId="0" fontId="18" fillId="0" borderId="16" xfId="0" applyFont="1" applyFill="1" applyBorder="1" applyAlignment="1">
      <alignment horizontal="center" vertical="center" wrapText="1"/>
    </xf>
    <xf numFmtId="0" fontId="17" fillId="0" borderId="40" xfId="0" applyFont="1" applyFill="1" applyBorder="1" applyAlignment="1">
      <alignment horizontal="center" vertical="center" wrapText="1"/>
    </xf>
    <xf numFmtId="0" fontId="17" fillId="0" borderId="36" xfId="0" applyFont="1" applyFill="1" applyBorder="1" applyAlignment="1">
      <alignment horizontal="center" vertical="center" wrapText="1"/>
    </xf>
    <xf numFmtId="0" fontId="17" fillId="0" borderId="68" xfId="0" applyFont="1" applyFill="1" applyBorder="1" applyAlignment="1">
      <alignment horizontal="center" vertical="center" wrapText="1"/>
    </xf>
    <xf numFmtId="0" fontId="60" fillId="0" borderId="72" xfId="0" applyFont="1" applyBorder="1" applyAlignment="1">
      <alignment horizontal="center" vertical="center" wrapText="1"/>
    </xf>
    <xf numFmtId="0" fontId="60" fillId="0" borderId="49" xfId="0" applyFont="1" applyBorder="1" applyAlignment="1">
      <alignment horizontal="center" vertical="center" wrapText="1"/>
    </xf>
    <xf numFmtId="0" fontId="60" fillId="0" borderId="24" xfId="0" applyFont="1" applyBorder="1" applyAlignment="1">
      <alignment horizontal="center" vertical="center" wrapText="1"/>
    </xf>
    <xf numFmtId="0" fontId="60" fillId="0" borderId="70" xfId="0" applyFont="1" applyBorder="1" applyAlignment="1">
      <alignment horizontal="center" vertical="center" wrapText="1"/>
    </xf>
    <xf numFmtId="0" fontId="60" fillId="0" borderId="67" xfId="0" applyFont="1" applyBorder="1" applyAlignment="1">
      <alignment horizontal="center" vertical="center" wrapText="1"/>
    </xf>
    <xf numFmtId="0" fontId="60" fillId="0" borderId="44" xfId="0" applyFont="1" applyBorder="1" applyAlignment="1">
      <alignment horizontal="center" vertical="center" wrapText="1"/>
    </xf>
    <xf numFmtId="0" fontId="17" fillId="0" borderId="55" xfId="0" applyFont="1" applyBorder="1" applyAlignment="1">
      <alignment horizontal="center"/>
    </xf>
    <xf numFmtId="0" fontId="64" fillId="0" borderId="0" xfId="0" applyFont="1" applyAlignment="1">
      <alignment horizontal="left"/>
    </xf>
    <xf numFmtId="0" fontId="18" fillId="0" borderId="18" xfId="0" applyFont="1" applyFill="1" applyBorder="1" applyAlignment="1">
      <alignment horizontal="center" vertical="center" wrapText="1"/>
    </xf>
    <xf numFmtId="0" fontId="18" fillId="0" borderId="367" xfId="0" applyFont="1" applyFill="1" applyBorder="1" applyAlignment="1">
      <alignment horizontal="center" vertical="center" wrapText="1"/>
    </xf>
    <xf numFmtId="0" fontId="17" fillId="0" borderId="13" xfId="0" applyFont="1" applyBorder="1" applyAlignment="1">
      <alignment horizontal="center" vertical="center" wrapText="1"/>
    </xf>
    <xf numFmtId="0" fontId="60" fillId="0" borderId="18" xfId="0" applyFont="1" applyFill="1" applyBorder="1" applyAlignment="1">
      <alignment horizontal="center" vertical="center" wrapText="1"/>
    </xf>
    <xf numFmtId="0" fontId="0" fillId="0" borderId="367" xfId="0" applyBorder="1" applyAlignment="1"/>
    <xf numFmtId="0" fontId="60" fillId="0" borderId="16" xfId="0" applyFont="1" applyFill="1" applyBorder="1" applyAlignment="1">
      <alignment horizontal="center" vertical="center" wrapText="1"/>
    </xf>
    <xf numFmtId="0" fontId="0" fillId="0" borderId="366" xfId="0" applyBorder="1" applyAlignment="1"/>
    <xf numFmtId="0" fontId="62" fillId="0" borderId="51" xfId="0" applyFont="1" applyBorder="1" applyAlignment="1">
      <alignment horizontal="center" vertical="center" wrapText="1"/>
    </xf>
    <xf numFmtId="0" fontId="62" fillId="0" borderId="46" xfId="0" applyFont="1" applyBorder="1" applyAlignment="1">
      <alignment horizontal="center" vertical="center" wrapText="1"/>
    </xf>
    <xf numFmtId="0" fontId="62" fillId="0" borderId="57" xfId="0" applyFont="1" applyBorder="1" applyAlignment="1">
      <alignment horizontal="center" vertical="center" wrapText="1"/>
    </xf>
    <xf numFmtId="0" fontId="17" fillId="0" borderId="50" xfId="0" applyFont="1" applyBorder="1" applyAlignment="1">
      <alignment horizontal="center" vertical="center" wrapText="1"/>
    </xf>
    <xf numFmtId="0" fontId="17" fillId="0" borderId="47" xfId="0" applyFont="1" applyBorder="1" applyAlignment="1">
      <alignment horizontal="center" vertical="center" wrapText="1"/>
    </xf>
    <xf numFmtId="0" fontId="17" fillId="0" borderId="48" xfId="0" applyFont="1" applyBorder="1" applyAlignment="1">
      <alignment horizontal="center" vertical="center" wrapText="1"/>
    </xf>
    <xf numFmtId="0" fontId="17" fillId="0" borderId="40" xfId="0" applyFont="1" applyBorder="1" applyAlignment="1">
      <alignment horizontal="center" vertical="center" wrapText="1"/>
    </xf>
    <xf numFmtId="0" fontId="17" fillId="0" borderId="36" xfId="0" applyFont="1" applyBorder="1" applyAlignment="1">
      <alignment horizontal="center" vertical="center" wrapText="1"/>
    </xf>
    <xf numFmtId="0" fontId="17" fillId="0" borderId="68" xfId="0" applyFont="1" applyBorder="1" applyAlignment="1">
      <alignment horizontal="center" vertical="center" wrapText="1"/>
    </xf>
    <xf numFmtId="0" fontId="58" fillId="0" borderId="47" xfId="0" applyFont="1" applyFill="1" applyBorder="1" applyAlignment="1">
      <alignment horizontal="center" vertical="center" wrapText="1"/>
    </xf>
    <xf numFmtId="0" fontId="58" fillId="0" borderId="48" xfId="0" applyFont="1" applyFill="1" applyBorder="1" applyAlignment="1">
      <alignment horizontal="center" vertical="center" wrapText="1"/>
    </xf>
    <xf numFmtId="0" fontId="58" fillId="0" borderId="40" xfId="0" applyFont="1" applyFill="1" applyBorder="1" applyAlignment="1">
      <alignment horizontal="center" vertical="center" wrapText="1"/>
    </xf>
    <xf numFmtId="0" fontId="58" fillId="0" borderId="36" xfId="0" applyFont="1" applyFill="1" applyBorder="1" applyAlignment="1">
      <alignment horizontal="center" vertical="center" wrapText="1"/>
    </xf>
    <xf numFmtId="0" fontId="58" fillId="0" borderId="68" xfId="0" applyFont="1" applyFill="1" applyBorder="1" applyAlignment="1">
      <alignment horizontal="center" vertical="center" wrapText="1"/>
    </xf>
    <xf numFmtId="0" fontId="67" fillId="0" borderId="53" xfId="0" applyFont="1" applyBorder="1" applyAlignment="1">
      <alignment horizontal="center"/>
    </xf>
    <xf numFmtId="0" fontId="17" fillId="24" borderId="50" xfId="0" applyFont="1" applyFill="1" applyBorder="1" applyAlignment="1">
      <alignment horizontal="center" vertical="center" wrapText="1"/>
    </xf>
    <xf numFmtId="0" fontId="17" fillId="24" borderId="47" xfId="0" applyFont="1" applyFill="1" applyBorder="1" applyAlignment="1">
      <alignment horizontal="center" vertical="center" wrapText="1"/>
    </xf>
    <xf numFmtId="0" fontId="17" fillId="24" borderId="48" xfId="0" applyFont="1" applyFill="1" applyBorder="1" applyAlignment="1">
      <alignment horizontal="center" vertical="center" wrapText="1"/>
    </xf>
    <xf numFmtId="0" fontId="17" fillId="24" borderId="40" xfId="0" applyFont="1" applyFill="1" applyBorder="1" applyAlignment="1">
      <alignment horizontal="center" vertical="center" wrapText="1"/>
    </xf>
    <xf numFmtId="0" fontId="17" fillId="24" borderId="36" xfId="0" applyFont="1" applyFill="1" applyBorder="1" applyAlignment="1">
      <alignment horizontal="center" vertical="center" wrapText="1"/>
    </xf>
    <xf numFmtId="0" fontId="17" fillId="24" borderId="68" xfId="0" applyFont="1" applyFill="1" applyBorder="1" applyAlignment="1">
      <alignment horizontal="center" vertical="center" wrapText="1"/>
    </xf>
    <xf numFmtId="0" fontId="17" fillId="26" borderId="50" xfId="0" applyFont="1" applyFill="1" applyBorder="1" applyAlignment="1">
      <alignment horizontal="center" vertical="center" wrapText="1"/>
    </xf>
    <xf numFmtId="0" fontId="17" fillId="26" borderId="47" xfId="0" applyFont="1" applyFill="1" applyBorder="1" applyAlignment="1">
      <alignment horizontal="center" vertical="center" wrapText="1"/>
    </xf>
    <xf numFmtId="0" fontId="17" fillId="26" borderId="40" xfId="0" applyFont="1" applyFill="1" applyBorder="1" applyAlignment="1">
      <alignment horizontal="center" vertical="center" wrapText="1"/>
    </xf>
    <xf numFmtId="0" fontId="17" fillId="26" borderId="36" xfId="0" applyFont="1" applyFill="1" applyBorder="1" applyAlignment="1">
      <alignment horizontal="center" vertical="center" wrapText="1"/>
    </xf>
    <xf numFmtId="0" fontId="18" fillId="0" borderId="27" xfId="0" applyFont="1" applyFill="1" applyBorder="1" applyAlignment="1">
      <alignment horizontal="center" vertical="center" wrapText="1"/>
    </xf>
    <xf numFmtId="0" fontId="18" fillId="0" borderId="362" xfId="0" applyFont="1" applyFill="1" applyBorder="1" applyAlignment="1">
      <alignment horizontal="center" vertical="center" wrapText="1"/>
    </xf>
    <xf numFmtId="0" fontId="60" fillId="0" borderId="66" xfId="0" applyFont="1" applyFill="1" applyBorder="1" applyAlignment="1">
      <alignment horizontal="center" vertical="center"/>
    </xf>
    <xf numFmtId="0" fontId="60" fillId="0" borderId="79" xfId="0" applyFont="1" applyFill="1" applyBorder="1" applyAlignment="1">
      <alignment horizontal="center" vertical="center"/>
    </xf>
    <xf numFmtId="0" fontId="60" fillId="0" borderId="37" xfId="0" applyFont="1" applyFill="1" applyBorder="1" applyAlignment="1">
      <alignment horizontal="left" vertical="center"/>
    </xf>
    <xf numFmtId="0" fontId="60" fillId="0" borderId="38" xfId="0" applyFont="1" applyFill="1" applyBorder="1" applyAlignment="1">
      <alignment horizontal="left" vertical="center"/>
    </xf>
    <xf numFmtId="0" fontId="60" fillId="0" borderId="366" xfId="0" applyFont="1" applyFill="1" applyBorder="1" applyAlignment="1">
      <alignment horizontal="left" vertical="center"/>
    </xf>
    <xf numFmtId="0" fontId="60" fillId="0" borderId="367" xfId="0" applyFont="1" applyFill="1" applyBorder="1" applyAlignment="1">
      <alignment horizontal="left" vertical="center"/>
    </xf>
    <xf numFmtId="0" fontId="17" fillId="0" borderId="13" xfId="0" applyFont="1" applyFill="1" applyBorder="1" applyAlignment="1">
      <alignment horizontal="center" vertical="center" wrapText="1"/>
    </xf>
    <xf numFmtId="0" fontId="67" fillId="28" borderId="52" xfId="0" applyFont="1" applyFill="1" applyBorder="1" applyAlignment="1">
      <alignment horizontal="center"/>
    </xf>
    <xf numFmtId="0" fontId="67" fillId="28" borderId="53" xfId="0" applyFont="1" applyFill="1" applyBorder="1" applyAlignment="1">
      <alignment horizontal="center"/>
    </xf>
    <xf numFmtId="0" fontId="67" fillId="28" borderId="59" xfId="0" applyFont="1" applyFill="1" applyBorder="1" applyAlignment="1">
      <alignment horizontal="center"/>
    </xf>
    <xf numFmtId="0" fontId="18" fillId="28" borderId="72" xfId="0" applyFont="1" applyFill="1" applyBorder="1" applyAlignment="1">
      <alignment horizontal="center" vertical="center" wrapText="1"/>
    </xf>
    <xf numFmtId="0" fontId="18" fillId="28" borderId="148" xfId="0" applyFont="1" applyFill="1" applyBorder="1" applyAlignment="1">
      <alignment horizontal="center" vertical="center" wrapText="1"/>
    </xf>
    <xf numFmtId="0" fontId="18" fillId="28" borderId="37" xfId="0" applyFont="1" applyFill="1" applyBorder="1" applyAlignment="1">
      <alignment horizontal="center" vertical="center" wrapText="1"/>
    </xf>
    <xf numFmtId="0" fontId="18" fillId="28" borderId="11" xfId="0" applyFont="1" applyFill="1" applyBorder="1" applyAlignment="1">
      <alignment horizontal="center" vertical="center" wrapText="1"/>
    </xf>
    <xf numFmtId="0" fontId="0" fillId="28" borderId="148" xfId="0" applyFont="1" applyFill="1" applyBorder="1" applyAlignment="1">
      <alignment horizontal="center" vertical="center" wrapText="1"/>
    </xf>
    <xf numFmtId="0" fontId="0" fillId="28" borderId="11" xfId="0" applyFont="1" applyFill="1" applyBorder="1" applyAlignment="1">
      <alignment horizontal="center" vertical="center" wrapText="1"/>
    </xf>
    <xf numFmtId="0" fontId="0" fillId="28" borderId="70" xfId="0" applyFont="1" applyFill="1" applyBorder="1" applyAlignment="1">
      <alignment horizontal="center" vertical="center" wrapText="1"/>
    </xf>
    <xf numFmtId="0" fontId="0" fillId="28" borderId="38" xfId="0" applyFont="1" applyFill="1" applyBorder="1" applyAlignment="1">
      <alignment horizontal="center" vertical="center" wrapText="1"/>
    </xf>
    <xf numFmtId="0" fontId="67" fillId="0" borderId="52" xfId="0" applyFont="1" applyBorder="1" applyAlignment="1">
      <alignment horizontal="center"/>
    </xf>
    <xf numFmtId="0" fontId="0" fillId="0" borderId="53" xfId="0" applyBorder="1" applyAlignment="1">
      <alignment horizontal="center"/>
    </xf>
    <xf numFmtId="0" fontId="0" fillId="0" borderId="59" xfId="0" applyBorder="1" applyAlignment="1">
      <alignment horizontal="center"/>
    </xf>
    <xf numFmtId="0" fontId="60" fillId="0" borderId="191" xfId="0" applyFont="1" applyFill="1" applyBorder="1" applyAlignment="1">
      <alignment horizontal="left" vertical="center"/>
    </xf>
    <xf numFmtId="0" fontId="60" fillId="0" borderId="192" xfId="0" applyFont="1" applyFill="1" applyBorder="1" applyAlignment="1">
      <alignment horizontal="left" vertical="center"/>
    </xf>
    <xf numFmtId="0" fontId="18" fillId="0" borderId="54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18" fillId="0" borderId="60" xfId="0" applyFont="1" applyFill="1" applyBorder="1" applyAlignment="1">
      <alignment horizontal="center" vertical="center" wrapText="1"/>
    </xf>
    <xf numFmtId="0" fontId="18" fillId="0" borderId="191" xfId="0" applyFont="1" applyFill="1" applyBorder="1" applyAlignment="1">
      <alignment horizontal="center" vertical="center" wrapText="1"/>
    </xf>
    <xf numFmtId="0" fontId="18" fillId="0" borderId="198" xfId="0" applyFont="1" applyFill="1" applyBorder="1" applyAlignment="1">
      <alignment horizontal="center" vertical="center" wrapText="1"/>
    </xf>
    <xf numFmtId="0" fontId="18" fillId="0" borderId="209" xfId="0" applyFont="1" applyFill="1" applyBorder="1" applyAlignment="1">
      <alignment horizontal="center" vertical="center" wrapText="1"/>
    </xf>
    <xf numFmtId="0" fontId="18" fillId="0" borderId="192" xfId="0" applyFont="1" applyFill="1" applyBorder="1" applyAlignment="1">
      <alignment horizontal="center" vertical="center" wrapText="1"/>
    </xf>
    <xf numFmtId="0" fontId="18" fillId="0" borderId="214" xfId="0" applyFont="1" applyFill="1" applyBorder="1" applyAlignment="1">
      <alignment horizontal="center" vertical="center" wrapText="1"/>
    </xf>
    <xf numFmtId="0" fontId="18" fillId="0" borderId="35" xfId="0" applyFont="1" applyFill="1" applyBorder="1" applyAlignment="1">
      <alignment horizontal="center" vertical="center" wrapText="1"/>
    </xf>
    <xf numFmtId="0" fontId="0" fillId="0" borderId="191" xfId="0" applyBorder="1" applyAlignment="1"/>
    <xf numFmtId="0" fontId="0" fillId="0" borderId="192" xfId="0" applyBorder="1" applyAlignment="1"/>
    <xf numFmtId="0" fontId="67" fillId="0" borderId="59" xfId="0" applyFont="1" applyBorder="1" applyAlignment="1">
      <alignment horizontal="center"/>
    </xf>
    <xf numFmtId="0" fontId="54" fillId="41" borderId="52" xfId="147" applyFont="1" applyFill="1" applyBorder="1" applyAlignment="1">
      <alignment horizontal="left" vertical="center" wrapText="1"/>
    </xf>
    <xf numFmtId="0" fontId="54" fillId="41" borderId="53" xfId="147" applyFont="1" applyFill="1" applyBorder="1" applyAlignment="1">
      <alignment horizontal="left" vertical="center" wrapText="1"/>
    </xf>
    <xf numFmtId="0" fontId="16" fillId="0" borderId="0" xfId="147" applyFont="1" applyBorder="1" applyAlignment="1">
      <alignment horizontal="center"/>
    </xf>
    <xf numFmtId="0" fontId="55" fillId="0" borderId="193" xfId="147" applyFont="1" applyBorder="1" applyAlignment="1">
      <alignment horizontal="left" vertical="center" wrapText="1"/>
    </xf>
    <xf numFmtId="0" fontId="55" fillId="0" borderId="195" xfId="147" applyFont="1" applyBorder="1" applyAlignment="1">
      <alignment horizontal="left" vertical="center" wrapText="1"/>
    </xf>
    <xf numFmtId="0" fontId="55" fillId="0" borderId="40" xfId="147" applyFont="1" applyBorder="1" applyAlignment="1">
      <alignment horizontal="left" vertical="center" wrapText="1"/>
    </xf>
    <xf numFmtId="0" fontId="55" fillId="0" borderId="68" xfId="147" applyFont="1" applyBorder="1" applyAlignment="1">
      <alignment horizontal="left" vertical="center" wrapText="1"/>
    </xf>
    <xf numFmtId="0" fontId="55" fillId="0" borderId="56" xfId="147" applyFont="1" applyBorder="1" applyAlignment="1">
      <alignment horizontal="left" vertical="center" wrapText="1"/>
    </xf>
    <xf numFmtId="0" fontId="55" fillId="0" borderId="33" xfId="147" applyFont="1" applyBorder="1" applyAlignment="1">
      <alignment horizontal="left" vertical="center" wrapText="1"/>
    </xf>
    <xf numFmtId="0" fontId="55" fillId="0" borderId="40" xfId="147" applyFont="1" applyBorder="1" applyAlignment="1">
      <alignment vertical="center" wrapText="1"/>
    </xf>
    <xf numFmtId="0" fontId="55" fillId="0" borderId="68" xfId="147" applyFont="1" applyBorder="1" applyAlignment="1">
      <alignment vertical="center" wrapText="1"/>
    </xf>
    <xf numFmtId="0" fontId="55" fillId="0" borderId="193" xfId="147" applyFont="1" applyBorder="1" applyAlignment="1">
      <alignment horizontal="center" vertical="center" wrapText="1"/>
    </xf>
    <xf numFmtId="0" fontId="55" fillId="0" borderId="195" xfId="147" applyFont="1" applyBorder="1" applyAlignment="1">
      <alignment horizontal="center" vertical="center" wrapText="1"/>
    </xf>
    <xf numFmtId="0" fontId="55" fillId="0" borderId="161" xfId="147" applyFont="1" applyBorder="1" applyAlignment="1">
      <alignment horizontal="left" vertical="center" wrapText="1"/>
    </xf>
    <xf numFmtId="0" fontId="55" fillId="0" borderId="186" xfId="147" applyFont="1" applyBorder="1" applyAlignment="1">
      <alignment horizontal="left" vertical="center" wrapText="1"/>
    </xf>
    <xf numFmtId="0" fontId="16" fillId="0" borderId="0" xfId="147" applyFont="1" applyAlignment="1">
      <alignment horizontal="center"/>
    </xf>
    <xf numFmtId="0" fontId="86" fillId="40" borderId="55" xfId="147" applyFont="1" applyFill="1" applyBorder="1" applyAlignment="1">
      <alignment horizontal="center"/>
    </xf>
    <xf numFmtId="0" fontId="55" fillId="0" borderId="50" xfId="147" applyFont="1" applyBorder="1" applyAlignment="1">
      <alignment horizontal="center" vertical="center" wrapText="1"/>
    </xf>
    <xf numFmtId="0" fontId="55" fillId="0" borderId="48" xfId="147" applyFont="1" applyBorder="1" applyAlignment="1">
      <alignment horizontal="center" vertical="center" wrapText="1"/>
    </xf>
    <xf numFmtId="0" fontId="55" fillId="0" borderId="56" xfId="147" applyFont="1" applyBorder="1" applyAlignment="1">
      <alignment horizontal="center" vertical="center" wrapText="1"/>
    </xf>
    <xf numFmtId="0" fontId="55" fillId="0" borderId="33" xfId="147" applyFont="1" applyBorder="1" applyAlignment="1">
      <alignment horizontal="center" vertical="center" wrapText="1"/>
    </xf>
    <xf numFmtId="0" fontId="55" fillId="0" borderId="52" xfId="147" applyFont="1" applyBorder="1" applyAlignment="1">
      <alignment horizontal="center" vertical="center" wrapText="1"/>
    </xf>
    <xf numFmtId="0" fontId="55" fillId="0" borderId="59" xfId="147" applyFont="1" applyBorder="1" applyAlignment="1">
      <alignment horizontal="center" vertical="center" wrapText="1"/>
    </xf>
    <xf numFmtId="0" fontId="17" fillId="0" borderId="30" xfId="0" applyFont="1" applyFill="1" applyBorder="1" applyAlignment="1">
      <alignment horizontal="center"/>
    </xf>
    <xf numFmtId="0" fontId="17" fillId="0" borderId="17" xfId="0" applyFont="1" applyFill="1" applyBorder="1" applyAlignment="1">
      <alignment horizontal="center"/>
    </xf>
    <xf numFmtId="0" fontId="17" fillId="0" borderId="18" xfId="0" applyFont="1" applyFill="1" applyBorder="1" applyAlignment="1">
      <alignment horizontal="center"/>
    </xf>
    <xf numFmtId="0" fontId="60" fillId="0" borderId="306" xfId="0" applyFont="1" applyFill="1" applyBorder="1" applyAlignment="1">
      <alignment horizontal="center" vertical="center" wrapText="1"/>
    </xf>
    <xf numFmtId="0" fontId="60" fillId="0" borderId="307" xfId="0" applyFont="1" applyFill="1" applyBorder="1" applyAlignment="1">
      <alignment horizontal="center" vertical="center" wrapText="1"/>
    </xf>
    <xf numFmtId="0" fontId="0" fillId="0" borderId="0" xfId="0" applyFont="1" applyAlignment="1">
      <alignment horizontal="right"/>
    </xf>
    <xf numFmtId="0" fontId="136" fillId="0" borderId="0" xfId="0" applyFont="1" applyAlignment="1">
      <alignment horizontal="center"/>
    </xf>
    <xf numFmtId="0" fontId="13" fillId="0" borderId="42" xfId="0" applyFont="1" applyBorder="1" applyAlignment="1"/>
    <xf numFmtId="0" fontId="0" fillId="0" borderId="99" xfId="0" applyFont="1" applyBorder="1" applyAlignment="1"/>
    <xf numFmtId="0" fontId="0" fillId="0" borderId="113" xfId="0" applyFont="1" applyBorder="1" applyAlignment="1"/>
    <xf numFmtId="0" fontId="13" fillId="0" borderId="52" xfId="0" applyFont="1" applyBorder="1" applyAlignment="1">
      <alignment vertical="center" wrapText="1"/>
    </xf>
    <xf numFmtId="0" fontId="13" fillId="0" borderId="53" xfId="0" applyFont="1" applyBorder="1" applyAlignment="1">
      <alignment vertical="center" wrapText="1"/>
    </xf>
    <xf numFmtId="0" fontId="13" fillId="0" borderId="59" xfId="0" applyFont="1" applyBorder="1" applyAlignment="1">
      <alignment vertical="center" wrapText="1"/>
    </xf>
    <xf numFmtId="169" fontId="13" fillId="0" borderId="75" xfId="0" applyNumberFormat="1" applyFont="1" applyBorder="1" applyAlignment="1">
      <alignment vertical="center" wrapText="1"/>
    </xf>
    <xf numFmtId="0" fontId="0" fillId="0" borderId="76" xfId="0" applyFont="1" applyBorder="1" applyAlignment="1">
      <alignment vertical="center" wrapText="1"/>
    </xf>
    <xf numFmtId="0" fontId="0" fillId="0" borderId="77" xfId="0" applyFont="1" applyBorder="1" applyAlignment="1">
      <alignment vertical="center" wrapText="1"/>
    </xf>
    <xf numFmtId="0" fontId="13" fillId="0" borderId="16" xfId="0" applyFont="1" applyBorder="1" applyAlignment="1">
      <alignment vertical="center" wrapText="1"/>
    </xf>
    <xf numFmtId="0" fontId="0" fillId="0" borderId="17" xfId="0" applyFont="1" applyBorder="1" applyAlignment="1">
      <alignment vertical="center" wrapText="1"/>
    </xf>
    <xf numFmtId="0" fontId="0" fillId="0" borderId="18" xfId="0" applyFont="1" applyBorder="1" applyAlignment="1">
      <alignment vertical="center" wrapText="1"/>
    </xf>
    <xf numFmtId="0" fontId="13" fillId="0" borderId="105" xfId="0" applyFont="1" applyBorder="1" applyAlignment="1">
      <alignment vertical="center" wrapText="1"/>
    </xf>
    <xf numFmtId="0" fontId="0" fillId="0" borderId="102" xfId="0" applyFont="1" applyBorder="1" applyAlignment="1">
      <alignment vertical="center" wrapText="1"/>
    </xf>
    <xf numFmtId="0" fontId="0" fillId="0" borderId="106" xfId="0" applyFont="1" applyBorder="1" applyAlignment="1">
      <alignment vertical="center" wrapText="1"/>
    </xf>
    <xf numFmtId="0" fontId="13" fillId="0" borderId="21" xfId="0" applyFont="1" applyBorder="1" applyAlignment="1">
      <alignment vertical="center" wrapText="1"/>
    </xf>
    <xf numFmtId="0" fontId="0" fillId="0" borderId="96" xfId="0" applyFont="1" applyBorder="1" applyAlignment="1">
      <alignment vertical="center" wrapText="1"/>
    </xf>
    <xf numFmtId="0" fontId="0" fillId="0" borderId="23" xfId="0" applyFont="1" applyBorder="1" applyAlignment="1">
      <alignment vertical="center" wrapText="1"/>
    </xf>
    <xf numFmtId="0" fontId="13" fillId="0" borderId="73" xfId="0" applyFont="1" applyBorder="1" applyAlignment="1"/>
    <xf numFmtId="0" fontId="0" fillId="0" borderId="71" xfId="0" applyFont="1" applyBorder="1" applyAlignment="1"/>
    <xf numFmtId="0" fontId="0" fillId="0" borderId="69" xfId="0" applyFont="1" applyBorder="1" applyAlignment="1"/>
    <xf numFmtId="0" fontId="13" fillId="0" borderId="111" xfId="0" applyFont="1" applyBorder="1" applyAlignment="1"/>
    <xf numFmtId="0" fontId="0" fillId="0" borderId="98" xfId="0" applyFont="1" applyBorder="1" applyAlignment="1"/>
    <xf numFmtId="0" fontId="0" fillId="0" borderId="112" xfId="0" applyFont="1" applyBorder="1" applyAlignment="1"/>
    <xf numFmtId="0" fontId="13" fillId="0" borderId="111" xfId="0" applyFont="1" applyBorder="1" applyAlignment="1">
      <alignment vertical="center" wrapText="1"/>
    </xf>
    <xf numFmtId="0" fontId="0" fillId="0" borderId="98" xfId="0" applyFont="1" applyBorder="1" applyAlignment="1">
      <alignment vertical="center" wrapText="1"/>
    </xf>
    <xf numFmtId="0" fontId="0" fillId="0" borderId="112" xfId="0" applyFont="1" applyBorder="1" applyAlignment="1">
      <alignment vertical="center" wrapText="1"/>
    </xf>
    <xf numFmtId="0" fontId="13" fillId="0" borderId="105" xfId="0" applyFont="1" applyBorder="1" applyAlignment="1">
      <alignment horizontal="left" vertical="center" wrapText="1"/>
    </xf>
    <xf numFmtId="0" fontId="0" fillId="0" borderId="102" xfId="0" applyFont="1" applyBorder="1" applyAlignment="1">
      <alignment horizontal="left" vertical="center" wrapText="1"/>
    </xf>
    <xf numFmtId="0" fontId="0" fillId="0" borderId="106" xfId="0" applyFont="1" applyBorder="1" applyAlignment="1">
      <alignment horizontal="left" vertical="center" wrapText="1"/>
    </xf>
    <xf numFmtId="0" fontId="125" fillId="0" borderId="105" xfId="0" applyFont="1" applyBorder="1" applyAlignment="1">
      <alignment horizontal="left" vertical="center" wrapText="1"/>
    </xf>
    <xf numFmtId="0" fontId="126" fillId="0" borderId="102" xfId="0" applyFont="1" applyBorder="1" applyAlignment="1">
      <alignment horizontal="left" vertical="center" wrapText="1"/>
    </xf>
    <xf numFmtId="0" fontId="126" fillId="0" borderId="106" xfId="0" applyFont="1" applyBorder="1" applyAlignment="1">
      <alignment horizontal="left" vertical="center" wrapText="1"/>
    </xf>
    <xf numFmtId="0" fontId="13" fillId="0" borderId="42" xfId="0" applyFont="1" applyBorder="1" applyAlignment="1">
      <alignment vertical="center" wrapText="1"/>
    </xf>
    <xf numFmtId="0" fontId="0" fillId="0" borderId="99" xfId="0" applyFont="1" applyBorder="1" applyAlignment="1">
      <alignment vertical="center" wrapText="1"/>
    </xf>
    <xf numFmtId="0" fontId="0" fillId="0" borderId="113" xfId="0" applyFont="1" applyBorder="1" applyAlignment="1">
      <alignment vertical="center" wrapText="1"/>
    </xf>
    <xf numFmtId="0" fontId="17" fillId="0" borderId="16" xfId="0" applyFont="1" applyFill="1" applyBorder="1" applyAlignment="1">
      <alignment horizontal="center"/>
    </xf>
    <xf numFmtId="0" fontId="13" fillId="0" borderId="16" xfId="0" applyFont="1" applyBorder="1" applyAlignment="1">
      <alignment horizontal="center" vertical="center"/>
    </xf>
    <xf numFmtId="0" fontId="0" fillId="0" borderId="17" xfId="0" applyFont="1" applyBorder="1" applyAlignment="1">
      <alignment horizontal="center" vertical="center"/>
    </xf>
    <xf numFmtId="0" fontId="0" fillId="0" borderId="18" xfId="0" applyFont="1" applyBorder="1" applyAlignment="1">
      <alignment horizontal="center" vertical="center"/>
    </xf>
    <xf numFmtId="0" fontId="13" fillId="0" borderId="105" xfId="0" applyFont="1" applyBorder="1" applyAlignment="1">
      <alignment horizontal="center" vertical="center"/>
    </xf>
    <xf numFmtId="0" fontId="0" fillId="0" borderId="102" xfId="0" applyFont="1" applyBorder="1" applyAlignment="1">
      <alignment horizontal="center" vertical="center"/>
    </xf>
    <xf numFmtId="0" fontId="0" fillId="0" borderId="106" xfId="0" applyFont="1" applyBorder="1" applyAlignment="1">
      <alignment horizontal="center" vertical="center"/>
    </xf>
    <xf numFmtId="0" fontId="60" fillId="0" borderId="310" xfId="0" applyFont="1" applyFill="1" applyBorder="1" applyAlignment="1">
      <alignment horizontal="center" vertical="center" wrapText="1"/>
    </xf>
    <xf numFmtId="0" fontId="0" fillId="0" borderId="54" xfId="0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0" borderId="60" xfId="0" applyFill="1" applyBorder="1" applyAlignment="1">
      <alignment horizontal="center" vertical="center" wrapText="1"/>
    </xf>
    <xf numFmtId="0" fontId="0" fillId="0" borderId="40" xfId="0" applyFill="1" applyBorder="1" applyAlignment="1">
      <alignment horizontal="center" vertical="center" wrapText="1"/>
    </xf>
    <xf numFmtId="0" fontId="0" fillId="0" borderId="36" xfId="0" applyFill="1" applyBorder="1" applyAlignment="1">
      <alignment horizontal="center" vertical="center" wrapText="1"/>
    </xf>
    <xf numFmtId="0" fontId="0" fillId="0" borderId="68" xfId="0" applyFill="1" applyBorder="1" applyAlignment="1">
      <alignment horizontal="center" vertical="center" wrapText="1"/>
    </xf>
    <xf numFmtId="0" fontId="17" fillId="0" borderId="51" xfId="0" applyFont="1" applyFill="1" applyBorder="1" applyAlignment="1">
      <alignment horizontal="center" vertical="center" wrapText="1"/>
    </xf>
    <xf numFmtId="0" fontId="17" fillId="0" borderId="46" xfId="0" applyFont="1" applyFill="1" applyBorder="1" applyAlignment="1">
      <alignment horizontal="center" vertical="center" wrapText="1"/>
    </xf>
    <xf numFmtId="0" fontId="17" fillId="0" borderId="34" xfId="0" applyFont="1" applyFill="1" applyBorder="1" applyAlignment="1">
      <alignment horizontal="center" vertical="center" wrapText="1"/>
    </xf>
    <xf numFmtId="0" fontId="13" fillId="43" borderId="105" xfId="0" applyFont="1" applyFill="1" applyBorder="1" applyAlignment="1">
      <alignment horizontal="left" vertical="center" wrapText="1"/>
    </xf>
    <xf numFmtId="0" fontId="0" fillId="43" borderId="102" xfId="0" applyFont="1" applyFill="1" applyBorder="1" applyAlignment="1">
      <alignment horizontal="left" vertical="center" wrapText="1"/>
    </xf>
    <xf numFmtId="0" fontId="0" fillId="43" borderId="106" xfId="0" applyFont="1" applyFill="1" applyBorder="1" applyAlignment="1">
      <alignment horizontal="left" vertical="center" wrapText="1"/>
    </xf>
    <xf numFmtId="0" fontId="13" fillId="0" borderId="193" xfId="0" applyFont="1" applyBorder="1" applyAlignment="1">
      <alignment horizontal="center" vertical="center" wrapText="1"/>
    </xf>
    <xf numFmtId="0" fontId="13" fillId="0" borderId="204" xfId="0" applyFont="1" applyBorder="1" applyAlignment="1">
      <alignment horizontal="center" vertical="center" wrapText="1"/>
    </xf>
    <xf numFmtId="0" fontId="13" fillId="0" borderId="206" xfId="0" applyFont="1" applyBorder="1" applyAlignment="1">
      <alignment horizontal="center" vertical="center" wrapText="1"/>
    </xf>
    <xf numFmtId="0" fontId="14" fillId="0" borderId="105" xfId="0" applyFont="1" applyBorder="1" applyAlignment="1">
      <alignment horizontal="left" vertical="center" wrapText="1"/>
    </xf>
    <xf numFmtId="0" fontId="60" fillId="0" borderId="368" xfId="0" applyFont="1" applyFill="1" applyBorder="1" applyAlignment="1">
      <alignment horizontal="center" vertical="center" wrapText="1"/>
    </xf>
    <xf numFmtId="0" fontId="13" fillId="43" borderId="16" xfId="0" applyFont="1" applyFill="1" applyBorder="1" applyAlignment="1">
      <alignment horizontal="center" vertical="center"/>
    </xf>
    <xf numFmtId="0" fontId="0" fillId="43" borderId="17" xfId="0" applyFont="1" applyFill="1" applyBorder="1" applyAlignment="1">
      <alignment horizontal="center" vertical="center"/>
    </xf>
    <xf numFmtId="0" fontId="0" fillId="43" borderId="18" xfId="0" applyFont="1" applyFill="1" applyBorder="1" applyAlignment="1">
      <alignment horizontal="center" vertical="center"/>
    </xf>
    <xf numFmtId="0" fontId="13" fillId="43" borderId="105" xfId="0" applyFont="1" applyFill="1" applyBorder="1" applyAlignment="1">
      <alignment horizontal="center" vertical="center"/>
    </xf>
    <xf numFmtId="0" fontId="0" fillId="43" borderId="102" xfId="0" applyFont="1" applyFill="1" applyBorder="1" applyAlignment="1">
      <alignment horizontal="center" vertical="center"/>
    </xf>
    <xf numFmtId="0" fontId="0" fillId="43" borderId="106" xfId="0" applyFont="1" applyFill="1" applyBorder="1" applyAlignment="1">
      <alignment horizontal="center" vertical="center"/>
    </xf>
    <xf numFmtId="0" fontId="14" fillId="43" borderId="105" xfId="0" applyFont="1" applyFill="1" applyBorder="1" applyAlignment="1">
      <alignment horizontal="left" vertical="center" wrapText="1"/>
    </xf>
    <xf numFmtId="0" fontId="13" fillId="43" borderId="193" xfId="0" applyFont="1" applyFill="1" applyBorder="1" applyAlignment="1">
      <alignment horizontal="center" vertical="center" wrapText="1"/>
    </xf>
    <xf numFmtId="0" fontId="13" fillId="43" borderId="204" xfId="0" applyFont="1" applyFill="1" applyBorder="1" applyAlignment="1">
      <alignment horizontal="center" vertical="center" wrapText="1"/>
    </xf>
    <xf numFmtId="0" fontId="13" fillId="43" borderId="206" xfId="0" applyFont="1" applyFill="1" applyBorder="1" applyAlignment="1">
      <alignment horizontal="center" vertical="center" wrapText="1"/>
    </xf>
    <xf numFmtId="0" fontId="17" fillId="0" borderId="17" xfId="0" applyFont="1" applyBorder="1" applyAlignment="1">
      <alignment horizontal="center"/>
    </xf>
    <xf numFmtId="0" fontId="17" fillId="0" borderId="18" xfId="0" applyFont="1" applyBorder="1" applyAlignment="1">
      <alignment horizontal="center"/>
    </xf>
    <xf numFmtId="0" fontId="17" fillId="0" borderId="16" xfId="0" applyFont="1" applyBorder="1" applyAlignment="1">
      <alignment horizontal="center"/>
    </xf>
    <xf numFmtId="0" fontId="60" fillId="0" borderId="104" xfId="0" applyFont="1" applyFill="1" applyBorder="1" applyAlignment="1">
      <alignment horizontal="center" vertical="center" wrapText="1"/>
    </xf>
    <xf numFmtId="0" fontId="60" fillId="0" borderId="35" xfId="0" applyFont="1" applyFill="1" applyBorder="1" applyAlignment="1">
      <alignment horizontal="center" vertical="center" wrapText="1"/>
    </xf>
    <xf numFmtId="0" fontId="60" fillId="0" borderId="106" xfId="0" applyFont="1" applyFill="1" applyBorder="1" applyAlignment="1">
      <alignment horizontal="center" vertical="center" wrapText="1"/>
    </xf>
    <xf numFmtId="0" fontId="60" fillId="0" borderId="105" xfId="0" applyFont="1" applyFill="1" applyBorder="1" applyAlignment="1">
      <alignment horizontal="center" vertical="center" wrapText="1"/>
    </xf>
    <xf numFmtId="0" fontId="60" fillId="0" borderId="366" xfId="0" applyFont="1" applyFill="1" applyBorder="1" applyAlignment="1">
      <alignment horizontal="center" vertical="center" wrapText="1"/>
    </xf>
    <xf numFmtId="0" fontId="17" fillId="0" borderId="45" xfId="0" applyFont="1" applyBorder="1" applyAlignment="1">
      <alignment horizontal="center" vertical="center" wrapText="1"/>
    </xf>
    <xf numFmtId="0" fontId="17" fillId="0" borderId="61" xfId="0" applyFont="1" applyBorder="1" applyAlignment="1">
      <alignment horizontal="center" vertical="center" wrapText="1"/>
    </xf>
    <xf numFmtId="0" fontId="17" fillId="0" borderId="11" xfId="0" applyFont="1" applyBorder="1" applyAlignment="1">
      <alignment horizontal="center" vertical="center" wrapText="1"/>
    </xf>
    <xf numFmtId="0" fontId="17" fillId="0" borderId="10" xfId="0" applyFont="1" applyBorder="1" applyAlignment="1">
      <alignment horizontal="center" vertical="center" wrapText="1"/>
    </xf>
    <xf numFmtId="0" fontId="17" fillId="0" borderId="27" xfId="0" applyFont="1" applyBorder="1" applyAlignment="1">
      <alignment horizontal="center"/>
    </xf>
    <xf numFmtId="0" fontId="60" fillId="0" borderId="105" xfId="0" applyFont="1" applyBorder="1" applyAlignment="1">
      <alignment horizontal="center" vertical="center"/>
    </xf>
    <xf numFmtId="0" fontId="60" fillId="0" borderId="102" xfId="0" applyFont="1" applyBorder="1" applyAlignment="1">
      <alignment horizontal="center" vertical="center"/>
    </xf>
    <xf numFmtId="0" fontId="17" fillId="0" borderId="100" xfId="0" applyFont="1" applyBorder="1" applyAlignment="1">
      <alignment horizontal="center" vertical="center" wrapText="1"/>
    </xf>
    <xf numFmtId="0" fontId="17" fillId="0" borderId="98" xfId="0" applyFont="1" applyBorder="1" applyAlignment="1">
      <alignment horizontal="center" vertical="center"/>
    </xf>
    <xf numFmtId="0" fontId="17" fillId="0" borderId="26" xfId="0" applyFont="1" applyBorder="1" applyAlignment="1">
      <alignment horizontal="center" vertical="center"/>
    </xf>
    <xf numFmtId="0" fontId="60" fillId="0" borderId="21" xfId="0" applyFont="1" applyBorder="1" applyAlignment="1">
      <alignment horizontal="center" vertical="center"/>
    </xf>
    <xf numFmtId="0" fontId="60" fillId="0" borderId="96" xfId="0" applyFont="1" applyBorder="1" applyAlignment="1">
      <alignment horizontal="center" vertical="center"/>
    </xf>
    <xf numFmtId="0" fontId="17" fillId="0" borderId="25" xfId="0" applyFont="1" applyBorder="1" applyAlignment="1">
      <alignment horizontal="center" vertical="center" wrapText="1"/>
    </xf>
    <xf numFmtId="0" fontId="17" fillId="0" borderId="26" xfId="0" applyFont="1" applyBorder="1" applyAlignment="1">
      <alignment horizontal="center" vertical="center" wrapText="1"/>
    </xf>
    <xf numFmtId="0" fontId="17" fillId="0" borderId="98" xfId="0" applyFont="1" applyBorder="1" applyAlignment="1">
      <alignment horizontal="center" vertical="center" wrapText="1"/>
    </xf>
    <xf numFmtId="0" fontId="17" fillId="25" borderId="104" xfId="0" applyFont="1" applyFill="1" applyBorder="1" applyAlignment="1">
      <alignment horizontal="center" vertical="center" wrapText="1"/>
    </xf>
    <xf numFmtId="0" fontId="17" fillId="25" borderId="66" xfId="0" applyFont="1" applyFill="1" applyBorder="1" applyAlignment="1">
      <alignment horizontal="center" vertical="center" wrapText="1"/>
    </xf>
    <xf numFmtId="0" fontId="17" fillId="25" borderId="35" xfId="0" applyFont="1" applyFill="1" applyBorder="1" applyAlignment="1">
      <alignment horizontal="center" vertical="center" wrapText="1"/>
    </xf>
    <xf numFmtId="0" fontId="17" fillId="0" borderId="10" xfId="0" applyFont="1" applyBorder="1" applyAlignment="1">
      <alignment horizontal="center" vertical="center"/>
    </xf>
    <xf numFmtId="0" fontId="17" fillId="0" borderId="25" xfId="0" applyFont="1" applyBorder="1" applyAlignment="1">
      <alignment horizontal="center" vertical="center"/>
    </xf>
    <xf numFmtId="0" fontId="17" fillId="0" borderId="28" xfId="0" applyFont="1" applyBorder="1" applyAlignment="1">
      <alignment horizontal="center" vertical="center"/>
    </xf>
    <xf numFmtId="0" fontId="60" fillId="0" borderId="106" xfId="0" applyFont="1" applyBorder="1" applyAlignment="1">
      <alignment horizontal="center" vertical="center" wrapText="1"/>
    </xf>
    <xf numFmtId="0" fontId="125" fillId="43" borderId="105" xfId="0" applyFont="1" applyFill="1" applyBorder="1" applyAlignment="1">
      <alignment horizontal="left" vertical="center" wrapText="1"/>
    </xf>
    <xf numFmtId="0" fontId="126" fillId="43" borderId="102" xfId="0" applyFont="1" applyFill="1" applyBorder="1" applyAlignment="1">
      <alignment horizontal="left" vertical="center" wrapText="1"/>
    </xf>
    <xf numFmtId="0" fontId="126" fillId="43" borderId="106" xfId="0" applyFont="1" applyFill="1" applyBorder="1" applyAlignment="1">
      <alignment horizontal="left" vertical="center" wrapText="1"/>
    </xf>
    <xf numFmtId="0" fontId="13" fillId="43" borderId="111" xfId="0" applyFont="1" applyFill="1" applyBorder="1" applyAlignment="1">
      <alignment vertical="center" wrapText="1"/>
    </xf>
    <xf numFmtId="0" fontId="0" fillId="43" borderId="98" xfId="0" applyFont="1" applyFill="1" applyBorder="1" applyAlignment="1">
      <alignment vertical="center" wrapText="1"/>
    </xf>
    <xf numFmtId="0" fontId="0" fillId="43" borderId="112" xfId="0" applyFont="1" applyFill="1" applyBorder="1" applyAlignment="1">
      <alignment vertical="center" wrapText="1"/>
    </xf>
    <xf numFmtId="0" fontId="13" fillId="43" borderId="42" xfId="0" applyFont="1" applyFill="1" applyBorder="1" applyAlignment="1">
      <alignment vertical="center" wrapText="1"/>
    </xf>
    <xf numFmtId="0" fontId="0" fillId="43" borderId="99" xfId="0" applyFont="1" applyFill="1" applyBorder="1" applyAlignment="1">
      <alignment vertical="center" wrapText="1"/>
    </xf>
    <xf numFmtId="0" fontId="0" fillId="43" borderId="113" xfId="0" applyFont="1" applyFill="1" applyBorder="1" applyAlignment="1">
      <alignment vertical="center" wrapText="1"/>
    </xf>
    <xf numFmtId="0" fontId="13" fillId="43" borderId="73" xfId="0" applyFont="1" applyFill="1" applyBorder="1" applyAlignment="1"/>
    <xf numFmtId="0" fontId="0" fillId="43" borderId="71" xfId="0" applyFont="1" applyFill="1" applyBorder="1" applyAlignment="1"/>
    <xf numFmtId="0" fontId="0" fillId="43" borderId="69" xfId="0" applyFont="1" applyFill="1" applyBorder="1" applyAlignment="1"/>
    <xf numFmtId="0" fontId="13" fillId="43" borderId="111" xfId="0" applyFont="1" applyFill="1" applyBorder="1" applyAlignment="1"/>
    <xf numFmtId="0" fontId="0" fillId="43" borderId="98" xfId="0" applyFont="1" applyFill="1" applyBorder="1" applyAlignment="1"/>
    <xf numFmtId="0" fontId="0" fillId="43" borderId="112" xfId="0" applyFont="1" applyFill="1" applyBorder="1" applyAlignment="1"/>
    <xf numFmtId="0" fontId="13" fillId="43" borderId="42" xfId="0" applyFont="1" applyFill="1" applyBorder="1" applyAlignment="1"/>
    <xf numFmtId="0" fontId="0" fillId="43" borderId="99" xfId="0" applyFont="1" applyFill="1" applyBorder="1" applyAlignment="1"/>
    <xf numFmtId="0" fontId="0" fillId="43" borderId="113" xfId="0" applyFont="1" applyFill="1" applyBorder="1" applyAlignment="1"/>
    <xf numFmtId="0" fontId="13" fillId="43" borderId="21" xfId="0" applyFont="1" applyFill="1" applyBorder="1" applyAlignment="1">
      <alignment vertical="center" wrapText="1"/>
    </xf>
    <xf numFmtId="0" fontId="0" fillId="43" borderId="96" xfId="0" applyFont="1" applyFill="1" applyBorder="1" applyAlignment="1">
      <alignment vertical="center" wrapText="1"/>
    </xf>
    <xf numFmtId="0" fontId="0" fillId="43" borderId="23" xfId="0" applyFont="1" applyFill="1" applyBorder="1" applyAlignment="1">
      <alignment vertical="center" wrapText="1"/>
    </xf>
    <xf numFmtId="0" fontId="13" fillId="43" borderId="52" xfId="0" applyFont="1" applyFill="1" applyBorder="1" applyAlignment="1">
      <alignment vertical="center" wrapText="1"/>
    </xf>
    <xf numFmtId="0" fontId="13" fillId="43" borderId="53" xfId="0" applyFont="1" applyFill="1" applyBorder="1" applyAlignment="1">
      <alignment vertical="center" wrapText="1"/>
    </xf>
    <xf numFmtId="0" fontId="13" fillId="43" borderId="59" xfId="0" applyFont="1" applyFill="1" applyBorder="1" applyAlignment="1">
      <alignment vertical="center" wrapText="1"/>
    </xf>
    <xf numFmtId="169" fontId="13" fillId="43" borderId="75" xfId="0" applyNumberFormat="1" applyFont="1" applyFill="1" applyBorder="1" applyAlignment="1">
      <alignment vertical="center" wrapText="1"/>
    </xf>
    <xf numFmtId="0" fontId="0" fillId="43" borderId="76" xfId="0" applyFont="1" applyFill="1" applyBorder="1" applyAlignment="1">
      <alignment vertical="center" wrapText="1"/>
    </xf>
    <xf numFmtId="0" fontId="0" fillId="43" borderId="77" xfId="0" applyFont="1" applyFill="1" applyBorder="1" applyAlignment="1">
      <alignment vertical="center" wrapText="1"/>
    </xf>
    <xf numFmtId="0" fontId="13" fillId="43" borderId="16" xfId="0" applyFont="1" applyFill="1" applyBorder="1" applyAlignment="1">
      <alignment vertical="center" wrapText="1"/>
    </xf>
    <xf numFmtId="0" fontId="0" fillId="43" borderId="17" xfId="0" applyFont="1" applyFill="1" applyBorder="1" applyAlignment="1">
      <alignment vertical="center" wrapText="1"/>
    </xf>
    <xf numFmtId="0" fontId="0" fillId="43" borderId="18" xfId="0" applyFont="1" applyFill="1" applyBorder="1" applyAlignment="1">
      <alignment vertical="center" wrapText="1"/>
    </xf>
    <xf numFmtId="0" fontId="60" fillId="0" borderId="233" xfId="0" applyFont="1" applyBorder="1" applyAlignment="1">
      <alignment horizontal="center" vertical="center"/>
    </xf>
    <xf numFmtId="0" fontId="13" fillId="43" borderId="105" xfId="0" applyFont="1" applyFill="1" applyBorder="1" applyAlignment="1">
      <alignment vertical="center" wrapText="1"/>
    </xf>
    <xf numFmtId="0" fontId="0" fillId="43" borderId="102" xfId="0" applyFont="1" applyFill="1" applyBorder="1" applyAlignment="1">
      <alignment vertical="center" wrapText="1"/>
    </xf>
    <xf numFmtId="0" fontId="0" fillId="43" borderId="106" xfId="0" applyFont="1" applyFill="1" applyBorder="1" applyAlignment="1">
      <alignment vertical="center" wrapText="1"/>
    </xf>
    <xf numFmtId="0" fontId="17" fillId="28" borderId="16" xfId="0" applyFont="1" applyFill="1" applyBorder="1" applyAlignment="1">
      <alignment horizontal="center" vertical="center"/>
    </xf>
    <xf numFmtId="0" fontId="17" fillId="28" borderId="17" xfId="0" applyFont="1" applyFill="1" applyBorder="1" applyAlignment="1">
      <alignment horizontal="center" vertical="center"/>
    </xf>
    <xf numFmtId="0" fontId="17" fillId="28" borderId="18" xfId="0" applyFont="1" applyFill="1" applyBorder="1" applyAlignment="1">
      <alignment horizontal="center" vertical="center"/>
    </xf>
    <xf numFmtId="0" fontId="60" fillId="28" borderId="374" xfId="0" applyFont="1" applyFill="1" applyBorder="1" applyAlignment="1">
      <alignment horizontal="center" vertical="center"/>
    </xf>
    <xf numFmtId="0" fontId="60" fillId="28" borderId="49" xfId="0" applyFont="1" applyFill="1" applyBorder="1" applyAlignment="1">
      <alignment horizontal="center" vertical="center"/>
    </xf>
    <xf numFmtId="0" fontId="60" fillId="28" borderId="384" xfId="0" applyFont="1" applyFill="1" applyBorder="1" applyAlignment="1">
      <alignment horizontal="center" vertical="center"/>
    </xf>
    <xf numFmtId="0" fontId="60" fillId="28" borderId="61" xfId="0" applyFont="1" applyFill="1" applyBorder="1" applyAlignment="1">
      <alignment horizontal="center" vertical="center"/>
    </xf>
    <xf numFmtId="0" fontId="60" fillId="28" borderId="398" xfId="0" applyFont="1" applyFill="1" applyBorder="1" applyAlignment="1">
      <alignment horizontal="center" vertical="center" wrapText="1"/>
    </xf>
    <xf numFmtId="0" fontId="60" fillId="28" borderId="67" xfId="0" applyFont="1" applyFill="1" applyBorder="1" applyAlignment="1">
      <alignment horizontal="center" vertical="center" wrapText="1"/>
    </xf>
    <xf numFmtId="0" fontId="60" fillId="28" borderId="38" xfId="0" applyFont="1" applyFill="1" applyBorder="1" applyAlignment="1">
      <alignment horizontal="center" vertical="center" wrapText="1"/>
    </xf>
    <xf numFmtId="0" fontId="60" fillId="29" borderId="339" xfId="0" applyFont="1" applyFill="1" applyBorder="1" applyAlignment="1">
      <alignment horizontal="center" vertical="center"/>
    </xf>
    <xf numFmtId="0" fontId="60" fillId="29" borderId="11" xfId="0" applyFont="1" applyFill="1" applyBorder="1" applyAlignment="1">
      <alignment horizontal="center" vertical="center"/>
    </xf>
    <xf numFmtId="0" fontId="60" fillId="30" borderId="66" xfId="0" applyFont="1" applyFill="1" applyBorder="1" applyAlignment="1">
      <alignment vertical="center"/>
    </xf>
    <xf numFmtId="0" fontId="60" fillId="29" borderId="233" xfId="0" applyFont="1" applyFill="1" applyBorder="1" applyAlignment="1">
      <alignment horizontal="center" vertical="center"/>
    </xf>
    <xf numFmtId="0" fontId="60" fillId="0" borderId="339" xfId="0" applyFont="1" applyBorder="1" applyAlignment="1">
      <alignment horizontal="center" vertical="center"/>
    </xf>
    <xf numFmtId="0" fontId="60" fillId="0" borderId="11" xfId="0" applyFont="1" applyBorder="1" applyAlignment="1">
      <alignment horizontal="center" vertical="center"/>
    </xf>
    <xf numFmtId="0" fontId="64" fillId="0" borderId="0" xfId="0" applyFont="1" applyAlignment="1">
      <alignment horizontal="center"/>
    </xf>
    <xf numFmtId="0" fontId="60" fillId="0" borderId="233" xfId="0" applyFont="1" applyFill="1" applyBorder="1" applyAlignment="1">
      <alignment horizontal="center" vertical="center" wrapText="1"/>
    </xf>
    <xf numFmtId="0" fontId="0" fillId="0" borderId="233" xfId="0" applyFont="1" applyFill="1" applyBorder="1" applyAlignment="1">
      <alignment horizontal="center" vertical="center" wrapText="1"/>
    </xf>
    <xf numFmtId="0" fontId="60" fillId="29" borderId="233" xfId="0" applyFont="1" applyFill="1" applyBorder="1" applyAlignment="1">
      <alignment horizontal="center" vertical="center" wrapText="1"/>
    </xf>
    <xf numFmtId="0" fontId="60" fillId="29" borderId="215" xfId="0" applyFont="1" applyFill="1" applyBorder="1" applyAlignment="1">
      <alignment horizontal="center" vertical="center" wrapText="1"/>
    </xf>
    <xf numFmtId="0" fontId="0" fillId="0" borderId="216" xfId="0" applyBorder="1" applyAlignment="1">
      <alignment horizontal="center" vertical="center"/>
    </xf>
    <xf numFmtId="0" fontId="0" fillId="0" borderId="222" xfId="0" applyBorder="1" applyAlignment="1">
      <alignment horizontal="center" vertical="center"/>
    </xf>
    <xf numFmtId="0" fontId="0" fillId="0" borderId="54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60" xfId="0" applyBorder="1" applyAlignment="1">
      <alignment horizontal="center" vertical="center" wrapText="1"/>
    </xf>
    <xf numFmtId="0" fontId="0" fillId="0" borderId="40" xfId="0" applyBorder="1" applyAlignment="1">
      <alignment horizontal="center" vertical="center" wrapText="1"/>
    </xf>
    <xf numFmtId="0" fontId="0" fillId="0" borderId="68" xfId="0" applyBorder="1" applyAlignment="1">
      <alignment horizontal="center" vertical="center" wrapText="1"/>
    </xf>
    <xf numFmtId="0" fontId="17" fillId="0" borderId="30" xfId="0" applyFont="1" applyFill="1" applyBorder="1" applyAlignment="1">
      <alignment horizontal="center" vertical="center"/>
    </xf>
    <xf numFmtId="0" fontId="17" fillId="0" borderId="18" xfId="0" applyFont="1" applyFill="1" applyBorder="1" applyAlignment="1">
      <alignment horizontal="center" vertical="center"/>
    </xf>
    <xf numFmtId="0" fontId="60" fillId="0" borderId="302" xfId="0" applyFont="1" applyFill="1" applyBorder="1" applyAlignment="1">
      <alignment horizontal="center" vertical="center" wrapText="1"/>
    </xf>
    <xf numFmtId="0" fontId="17" fillId="0" borderId="27" xfId="0" applyFont="1" applyFill="1" applyBorder="1" applyAlignment="1">
      <alignment horizontal="center" vertical="center"/>
    </xf>
    <xf numFmtId="0" fontId="60" fillId="25" borderId="102" xfId="0" applyFont="1" applyFill="1" applyBorder="1" applyAlignment="1">
      <alignment horizontal="center" vertical="center" wrapText="1"/>
    </xf>
    <xf numFmtId="0" fontId="17" fillId="0" borderId="137" xfId="0" applyFont="1" applyFill="1" applyBorder="1" applyAlignment="1">
      <alignment horizontal="center"/>
    </xf>
    <xf numFmtId="0" fontId="17" fillId="0" borderId="138" xfId="0" applyFont="1" applyFill="1" applyBorder="1" applyAlignment="1">
      <alignment horizontal="center"/>
    </xf>
    <xf numFmtId="0" fontId="17" fillId="0" borderId="139" xfId="0" applyFont="1" applyFill="1" applyBorder="1" applyAlignment="1">
      <alignment horizontal="center"/>
    </xf>
    <xf numFmtId="0" fontId="17" fillId="0" borderId="233" xfId="0" applyFont="1" applyFill="1" applyBorder="1" applyAlignment="1">
      <alignment horizontal="center"/>
    </xf>
    <xf numFmtId="0" fontId="62" fillId="0" borderId="233" xfId="0" applyFont="1" applyFill="1" applyBorder="1" applyAlignment="1">
      <alignment horizontal="center"/>
    </xf>
    <xf numFmtId="0" fontId="60" fillId="0" borderId="111" xfId="0" applyFont="1" applyFill="1" applyBorder="1" applyAlignment="1">
      <alignment horizontal="center" vertical="center"/>
    </xf>
    <xf numFmtId="0" fontId="60" fillId="0" borderId="98" xfId="0" applyFont="1" applyFill="1" applyBorder="1" applyAlignment="1">
      <alignment horizontal="center" vertical="center"/>
    </xf>
    <xf numFmtId="0" fontId="60" fillId="0" borderId="112" xfId="0" applyFont="1" applyFill="1" applyBorder="1" applyAlignment="1">
      <alignment horizontal="center" vertical="center"/>
    </xf>
    <xf numFmtId="0" fontId="60" fillId="0" borderId="40" xfId="0" applyFont="1" applyFill="1" applyBorder="1" applyAlignment="1">
      <alignment horizontal="center" vertical="center"/>
    </xf>
    <xf numFmtId="0" fontId="60" fillId="0" borderId="36" xfId="0" applyFont="1" applyFill="1" applyBorder="1" applyAlignment="1">
      <alignment horizontal="center" vertical="center"/>
    </xf>
    <xf numFmtId="0" fontId="60" fillId="0" borderId="68" xfId="0" applyFont="1" applyFill="1" applyBorder="1" applyAlignment="1">
      <alignment horizontal="center" vertical="center"/>
    </xf>
    <xf numFmtId="0" fontId="60" fillId="0" borderId="100" xfId="0" applyFont="1" applyBorder="1" applyAlignment="1">
      <alignment horizontal="center" vertical="center" wrapText="1"/>
    </xf>
    <xf numFmtId="0" fontId="60" fillId="25" borderId="103" xfId="0" applyFont="1" applyFill="1" applyBorder="1" applyAlignment="1">
      <alignment horizontal="center" vertical="center" wrapText="1"/>
    </xf>
    <xf numFmtId="0" fontId="13" fillId="43" borderId="73" xfId="0" applyFont="1" applyFill="1" applyBorder="1" applyAlignment="1">
      <alignment horizontal="center" vertical="center" wrapText="1"/>
    </xf>
    <xf numFmtId="0" fontId="0" fillId="43" borderId="71" xfId="0" applyFill="1" applyBorder="1" applyAlignment="1">
      <alignment vertical="center" wrapText="1"/>
    </xf>
    <xf numFmtId="0" fontId="0" fillId="43" borderId="69" xfId="0" applyFill="1" applyBorder="1" applyAlignment="1">
      <alignment vertical="center" wrapText="1"/>
    </xf>
    <xf numFmtId="0" fontId="13" fillId="43" borderId="111" xfId="0" applyFont="1" applyFill="1" applyBorder="1" applyAlignment="1">
      <alignment horizontal="center" vertical="center" wrapText="1"/>
    </xf>
    <xf numFmtId="0" fontId="0" fillId="43" borderId="98" xfId="0" applyFill="1" applyBorder="1" applyAlignment="1">
      <alignment vertical="center" wrapText="1"/>
    </xf>
    <xf numFmtId="0" fontId="0" fillId="43" borderId="112" xfId="0" applyFill="1" applyBorder="1" applyAlignment="1">
      <alignment vertical="center" wrapText="1"/>
    </xf>
    <xf numFmtId="0" fontId="17" fillId="0" borderId="73" xfId="0" applyFont="1" applyFill="1" applyBorder="1" applyAlignment="1">
      <alignment horizontal="center" vertical="center"/>
    </xf>
    <xf numFmtId="0" fontId="17" fillId="0" borderId="71" xfId="0" applyFont="1" applyFill="1" applyBorder="1" applyAlignment="1">
      <alignment horizontal="center" vertical="center"/>
    </xf>
    <xf numFmtId="0" fontId="8" fillId="0" borderId="69" xfId="0" applyFont="1" applyBorder="1" applyAlignment="1">
      <alignment horizontal="center" vertical="center"/>
    </xf>
    <xf numFmtId="0" fontId="17" fillId="0" borderId="16" xfId="0" applyFont="1" applyFill="1" applyBorder="1" applyAlignment="1">
      <alignment horizontal="center" vertical="center"/>
    </xf>
    <xf numFmtId="0" fontId="8" fillId="0" borderId="17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60" fillId="0" borderId="140" xfId="0" applyFont="1" applyFill="1" applyBorder="1" applyAlignment="1">
      <alignment horizontal="center" vertical="center" wrapText="1"/>
    </xf>
    <xf numFmtId="0" fontId="60" fillId="0" borderId="140" xfId="0" applyFont="1" applyBorder="1" applyAlignment="1">
      <alignment horizontal="center" vertical="center"/>
    </xf>
    <xf numFmtId="0" fontId="60" fillId="29" borderId="140" xfId="0" applyFont="1" applyFill="1" applyBorder="1" applyAlignment="1">
      <alignment horizontal="center" vertical="center"/>
    </xf>
    <xf numFmtId="0" fontId="60" fillId="29" borderId="140" xfId="0" applyFont="1" applyFill="1" applyBorder="1" applyAlignment="1">
      <alignment horizontal="center" vertical="center" wrapText="1"/>
    </xf>
    <xf numFmtId="0" fontId="60" fillId="29" borderId="11" xfId="0" applyFont="1" applyFill="1" applyBorder="1" applyAlignment="1">
      <alignment horizontal="center" vertical="center" wrapText="1"/>
    </xf>
    <xf numFmtId="0" fontId="60" fillId="29" borderId="137" xfId="0" applyFont="1" applyFill="1" applyBorder="1" applyAlignment="1">
      <alignment horizontal="center" vertical="center" wrapText="1"/>
    </xf>
    <xf numFmtId="0" fontId="60" fillId="29" borderId="139" xfId="0" applyFont="1" applyFill="1" applyBorder="1" applyAlignment="1">
      <alignment horizontal="center" vertical="center" wrapText="1"/>
    </xf>
    <xf numFmtId="0" fontId="13" fillId="43" borderId="73" xfId="0" applyFont="1" applyFill="1" applyBorder="1" applyAlignment="1">
      <alignment vertical="center"/>
    </xf>
    <xf numFmtId="0" fontId="0" fillId="43" borderId="71" xfId="0" applyFill="1" applyBorder="1" applyAlignment="1"/>
    <xf numFmtId="0" fontId="0" fillId="43" borderId="69" xfId="0" applyFill="1" applyBorder="1" applyAlignment="1"/>
    <xf numFmtId="0" fontId="13" fillId="43" borderId="111" xfId="0" applyFont="1" applyFill="1" applyBorder="1" applyAlignment="1">
      <alignment vertical="center"/>
    </xf>
    <xf numFmtId="0" fontId="0" fillId="43" borderId="98" xfId="0" applyFill="1" applyBorder="1" applyAlignment="1"/>
    <xf numFmtId="0" fontId="0" fillId="43" borderId="112" xfId="0" applyFill="1" applyBorder="1" applyAlignment="1"/>
    <xf numFmtId="0" fontId="13" fillId="43" borderId="42" xfId="0" applyFont="1" applyFill="1" applyBorder="1" applyAlignment="1">
      <alignment vertical="center"/>
    </xf>
    <xf numFmtId="0" fontId="0" fillId="43" borderId="99" xfId="0" applyFill="1" applyBorder="1" applyAlignment="1"/>
    <xf numFmtId="0" fontId="0" fillId="43" borderId="113" xfId="0" applyFill="1" applyBorder="1" applyAlignment="1"/>
    <xf numFmtId="0" fontId="60" fillId="0" borderId="42" xfId="0" applyFont="1" applyFill="1" applyBorder="1" applyAlignment="1">
      <alignment horizontal="center" vertical="center"/>
    </xf>
    <xf numFmtId="0" fontId="60" fillId="0" borderId="99" xfId="0" applyFont="1" applyFill="1" applyBorder="1" applyAlignment="1">
      <alignment horizontal="center" vertical="center"/>
    </xf>
    <xf numFmtId="0" fontId="60" fillId="0" borderId="113" xfId="0" applyFont="1" applyFill="1" applyBorder="1" applyAlignment="1">
      <alignment horizontal="center" vertical="center"/>
    </xf>
    <xf numFmtId="0" fontId="13" fillId="43" borderId="116" xfId="0" applyFont="1" applyFill="1" applyBorder="1" applyAlignment="1">
      <alignment vertical="center" wrapText="1"/>
    </xf>
    <xf numFmtId="0" fontId="0" fillId="43" borderId="117" xfId="0" applyFont="1" applyFill="1" applyBorder="1" applyAlignment="1">
      <alignment vertical="center" wrapText="1"/>
    </xf>
    <xf numFmtId="0" fontId="0" fillId="43" borderId="118" xfId="0" applyFont="1" applyFill="1" applyBorder="1" applyAlignment="1">
      <alignment vertical="center" wrapText="1"/>
    </xf>
    <xf numFmtId="0" fontId="0" fillId="43" borderId="99" xfId="0" applyFill="1" applyBorder="1" applyAlignment="1">
      <alignment vertical="center" wrapText="1"/>
    </xf>
    <xf numFmtId="0" fontId="0" fillId="43" borderId="113" xfId="0" applyFill="1" applyBorder="1" applyAlignment="1">
      <alignment vertical="center" wrapText="1"/>
    </xf>
    <xf numFmtId="0" fontId="97" fillId="43" borderId="52" xfId="0" applyFont="1" applyFill="1" applyBorder="1" applyAlignment="1">
      <alignment vertical="center" wrapText="1"/>
    </xf>
    <xf numFmtId="0" fontId="93" fillId="43" borderId="53" xfId="0" applyFont="1" applyFill="1" applyBorder="1" applyAlignment="1">
      <alignment vertical="center" wrapText="1"/>
    </xf>
    <xf numFmtId="0" fontId="93" fillId="43" borderId="59" xfId="0" applyFont="1" applyFill="1" applyBorder="1" applyAlignment="1">
      <alignment vertical="center" wrapText="1"/>
    </xf>
    <xf numFmtId="0" fontId="0" fillId="43" borderId="53" xfId="0" applyFill="1" applyBorder="1" applyAlignment="1">
      <alignment vertical="center" wrapText="1"/>
    </xf>
    <xf numFmtId="0" fontId="0" fillId="43" borderId="59" xfId="0" applyFill="1" applyBorder="1" applyAlignment="1">
      <alignment vertical="center" wrapText="1"/>
    </xf>
    <xf numFmtId="0" fontId="13" fillId="43" borderId="40" xfId="0" applyFont="1" applyFill="1" applyBorder="1" applyAlignment="1">
      <alignment vertical="center" wrapText="1"/>
    </xf>
    <xf numFmtId="0" fontId="0" fillId="43" borderId="36" xfId="0" applyFill="1" applyBorder="1" applyAlignment="1">
      <alignment vertical="center" wrapText="1"/>
    </xf>
    <xf numFmtId="0" fontId="0" fillId="43" borderId="68" xfId="0" applyFill="1" applyBorder="1" applyAlignment="1">
      <alignment vertical="center" wrapText="1"/>
    </xf>
    <xf numFmtId="0" fontId="125" fillId="43" borderId="111" xfId="0" applyFont="1" applyFill="1" applyBorder="1" applyAlignment="1">
      <alignment vertical="center" wrapText="1"/>
    </xf>
    <xf numFmtId="0" fontId="126" fillId="43" borderId="98" xfId="0" applyFont="1" applyFill="1" applyBorder="1" applyAlignment="1">
      <alignment vertical="center" wrapText="1"/>
    </xf>
    <xf numFmtId="0" fontId="126" fillId="43" borderId="112" xfId="0" applyFont="1" applyFill="1" applyBorder="1" applyAlignment="1">
      <alignment vertical="center" wrapText="1"/>
    </xf>
    <xf numFmtId="4" fontId="13" fillId="28" borderId="389" xfId="79" applyNumberFormat="1" applyFont="1" applyFill="1" applyBorder="1" applyAlignment="1">
      <alignment horizontal="center" vertical="center"/>
    </xf>
    <xf numFmtId="0" fontId="13" fillId="28" borderId="367" xfId="0" applyFont="1" applyFill="1" applyBorder="1" applyAlignment="1">
      <alignment horizontal="center" vertical="center"/>
    </xf>
    <xf numFmtId="0" fontId="12" fillId="0" borderId="51" xfId="0" applyFont="1" applyFill="1" applyBorder="1" applyAlignment="1">
      <alignment horizontal="center" vertical="center" wrapText="1"/>
    </xf>
    <xf numFmtId="0" fontId="12" fillId="0" borderId="46" xfId="0" applyFont="1" applyFill="1" applyBorder="1" applyAlignment="1">
      <alignment horizontal="center" vertical="center" wrapText="1"/>
    </xf>
    <xf numFmtId="0" fontId="12" fillId="0" borderId="57" xfId="0" applyFont="1" applyFill="1" applyBorder="1" applyAlignment="1">
      <alignment horizontal="center" vertical="center" wrapText="1"/>
    </xf>
    <xf numFmtId="4" fontId="13" fillId="0" borderId="315" xfId="79" applyNumberFormat="1" applyFont="1" applyFill="1" applyBorder="1" applyAlignment="1">
      <alignment horizontal="center" vertical="center"/>
    </xf>
    <xf numFmtId="0" fontId="13" fillId="0" borderId="316" xfId="0" applyFont="1" applyFill="1" applyBorder="1" applyAlignment="1">
      <alignment horizontal="center" vertical="center"/>
    </xf>
    <xf numFmtId="0" fontId="13" fillId="0" borderId="283" xfId="79" applyFont="1" applyFill="1" applyBorder="1" applyAlignment="1">
      <alignment horizontal="center" vertical="center" wrapText="1"/>
    </xf>
    <xf numFmtId="0" fontId="13" fillId="0" borderId="43" xfId="79" applyFont="1" applyFill="1" applyBorder="1" applyAlignment="1">
      <alignment horizontal="center" vertical="center" wrapText="1"/>
    </xf>
    <xf numFmtId="0" fontId="48" fillId="0" borderId="284" xfId="79" applyFont="1" applyFill="1" applyBorder="1" applyAlignment="1">
      <alignment horizontal="center" vertical="center" wrapText="1"/>
    </xf>
    <xf numFmtId="0" fontId="13" fillId="0" borderId="244" xfId="0" applyFont="1" applyFill="1" applyBorder="1" applyAlignment="1">
      <alignment horizontal="center" vertical="center" wrapText="1"/>
    </xf>
    <xf numFmtId="0" fontId="0" fillId="0" borderId="186" xfId="0" applyFill="1" applyBorder="1" applyAlignment="1">
      <alignment vertical="center"/>
    </xf>
    <xf numFmtId="0" fontId="13" fillId="0" borderId="35" xfId="0" applyFont="1" applyFill="1" applyBorder="1" applyAlignment="1">
      <alignment horizontal="center" vertical="center" wrapText="1"/>
    </xf>
    <xf numFmtId="0" fontId="13" fillId="0" borderId="36" xfId="0" applyFont="1" applyFill="1" applyBorder="1" applyAlignment="1">
      <alignment horizontal="center" vertical="center" wrapText="1"/>
    </xf>
    <xf numFmtId="0" fontId="51" fillId="0" borderId="50" xfId="79" applyFont="1" applyBorder="1" applyAlignment="1">
      <alignment horizontal="center" vertical="center"/>
    </xf>
    <xf numFmtId="0" fontId="51" fillId="0" borderId="47" xfId="79" applyFont="1" applyBorder="1" applyAlignment="1">
      <alignment horizontal="center" vertical="center"/>
    </xf>
    <xf numFmtId="0" fontId="51" fillId="0" borderId="48" xfId="79" applyFont="1" applyBorder="1" applyAlignment="1">
      <alignment horizontal="center" vertical="center"/>
    </xf>
    <xf numFmtId="0" fontId="13" fillId="28" borderId="368" xfId="79" applyFont="1" applyFill="1" applyBorder="1" applyAlignment="1">
      <alignment horizontal="center" wrapText="1"/>
    </xf>
    <xf numFmtId="0" fontId="13" fillId="28" borderId="367" xfId="79" applyFont="1" applyFill="1" applyBorder="1" applyAlignment="1">
      <alignment horizontal="center" wrapText="1"/>
    </xf>
    <xf numFmtId="0" fontId="48" fillId="28" borderId="366" xfId="79" applyFont="1" applyFill="1" applyBorder="1" applyAlignment="1">
      <alignment horizontal="center" vertical="center" wrapText="1"/>
    </xf>
    <xf numFmtId="0" fontId="13" fillId="28" borderId="368" xfId="0" applyFont="1" applyFill="1" applyBorder="1" applyAlignment="1">
      <alignment horizontal="center" vertical="center" wrapText="1"/>
    </xf>
    <xf numFmtId="0" fontId="0" fillId="0" borderId="368" xfId="0" applyBorder="1" applyAlignment="1"/>
    <xf numFmtId="0" fontId="13" fillId="28" borderId="366" xfId="0" applyFont="1" applyFill="1" applyBorder="1" applyAlignment="1">
      <alignment horizontal="center" vertical="center" wrapText="1"/>
    </xf>
    <xf numFmtId="0" fontId="90" fillId="0" borderId="73" xfId="79" applyFont="1" applyBorder="1" applyAlignment="1">
      <alignment horizontal="center" vertical="center"/>
    </xf>
    <xf numFmtId="0" fontId="89" fillId="0" borderId="71" xfId="0" applyFont="1" applyBorder="1" applyAlignment="1">
      <alignment horizontal="center"/>
    </xf>
    <xf numFmtId="0" fontId="89" fillId="0" borderId="69" xfId="0" applyFont="1" applyBorder="1" applyAlignment="1">
      <alignment horizontal="center"/>
    </xf>
    <xf numFmtId="4" fontId="13" fillId="0" borderId="287" xfId="79" applyNumberFormat="1" applyFont="1" applyFill="1" applyBorder="1" applyAlignment="1">
      <alignment horizontal="center" vertical="center"/>
    </xf>
    <xf numFmtId="0" fontId="13" fillId="0" borderId="287" xfId="0" applyFont="1" applyFill="1" applyBorder="1" applyAlignment="1">
      <alignment horizontal="center" vertical="center"/>
    </xf>
    <xf numFmtId="0" fontId="51" fillId="0" borderId="73" xfId="79" applyFont="1" applyFill="1" applyBorder="1" applyAlignment="1">
      <alignment horizontal="center" vertical="center" wrapText="1"/>
    </xf>
    <xf numFmtId="0" fontId="12" fillId="0" borderId="71" xfId="0" applyFont="1" applyFill="1" applyBorder="1" applyAlignment="1">
      <alignment horizontal="center" vertical="center" wrapText="1"/>
    </xf>
    <xf numFmtId="0" fontId="12" fillId="0" borderId="69" xfId="0" applyFont="1" applyFill="1" applyBorder="1" applyAlignment="1">
      <alignment horizontal="center" vertical="center" wrapText="1"/>
    </xf>
    <xf numFmtId="0" fontId="48" fillId="0" borderId="37" xfId="79" applyFont="1" applyFill="1" applyBorder="1" applyAlignment="1">
      <alignment horizontal="center" vertical="center" wrapText="1"/>
    </xf>
    <xf numFmtId="0" fontId="48" fillId="0" borderId="191" xfId="79" applyFont="1" applyFill="1" applyBorder="1" applyAlignment="1">
      <alignment horizontal="center" vertical="center" wrapText="1"/>
    </xf>
    <xf numFmtId="0" fontId="48" fillId="0" borderId="21" xfId="79" applyFont="1" applyFill="1" applyBorder="1" applyAlignment="1">
      <alignment horizontal="center" vertical="center" wrapText="1"/>
    </xf>
    <xf numFmtId="0" fontId="13" fillId="0" borderId="35" xfId="79" applyFont="1" applyFill="1" applyBorder="1" applyAlignment="1">
      <alignment horizontal="center" vertical="center" wrapText="1"/>
    </xf>
    <xf numFmtId="0" fontId="13" fillId="0" borderId="31" xfId="0" applyFont="1" applyFill="1" applyBorder="1" applyAlignment="1">
      <alignment horizontal="center" vertical="center" wrapText="1"/>
    </xf>
    <xf numFmtId="0" fontId="13" fillId="0" borderId="11" xfId="79" applyFont="1" applyFill="1" applyBorder="1" applyAlignment="1">
      <alignment horizontal="center" vertical="center"/>
    </xf>
    <xf numFmtId="0" fontId="13" fillId="0" borderId="38" xfId="79" applyFont="1" applyFill="1" applyBorder="1" applyAlignment="1">
      <alignment horizontal="center" vertical="center"/>
    </xf>
    <xf numFmtId="0" fontId="13" fillId="0" borderId="205" xfId="79" applyFont="1" applyFill="1" applyBorder="1" applyAlignment="1">
      <alignment horizontal="center" vertical="center" wrapText="1"/>
    </xf>
    <xf numFmtId="0" fontId="13" fillId="0" borderId="43" xfId="0" applyFont="1" applyFill="1" applyBorder="1" applyAlignment="1">
      <alignment horizontal="center" vertical="center" wrapText="1"/>
    </xf>
    <xf numFmtId="0" fontId="13" fillId="0" borderId="198" xfId="79" applyFont="1" applyFill="1" applyBorder="1" applyAlignment="1">
      <alignment horizontal="center" vertical="center" wrapText="1"/>
    </xf>
    <xf numFmtId="0" fontId="13" fillId="0" borderId="184" xfId="79" applyFont="1" applyFill="1" applyBorder="1" applyAlignment="1">
      <alignment horizontal="center" vertical="center" wrapText="1"/>
    </xf>
    <xf numFmtId="0" fontId="13" fillId="0" borderId="192" xfId="79" applyFont="1" applyFill="1" applyBorder="1" applyAlignment="1">
      <alignment horizontal="center" vertical="center" wrapText="1"/>
    </xf>
    <xf numFmtId="0" fontId="13" fillId="0" borderId="23" xfId="79" applyFont="1" applyFill="1" applyBorder="1" applyAlignment="1">
      <alignment horizontal="center" vertical="center" wrapText="1"/>
    </xf>
    <xf numFmtId="0" fontId="13" fillId="0" borderId="281" xfId="79" applyFont="1" applyFill="1" applyBorder="1" applyAlignment="1">
      <alignment horizontal="center" vertical="center" wrapText="1"/>
    </xf>
    <xf numFmtId="0" fontId="13" fillId="0" borderId="44" xfId="79" applyFont="1" applyFill="1" applyBorder="1" applyAlignment="1">
      <alignment horizontal="center" vertical="center" wrapText="1"/>
    </xf>
    <xf numFmtId="0" fontId="51" fillId="0" borderId="16" xfId="79" applyFont="1" applyFill="1" applyBorder="1" applyAlignment="1">
      <alignment horizontal="center" vertical="center" wrapText="1"/>
    </xf>
    <xf numFmtId="0" fontId="12" fillId="0" borderId="17" xfId="0" applyFont="1" applyFill="1" applyBorder="1" applyAlignment="1">
      <alignment horizontal="center" vertical="center" wrapText="1"/>
    </xf>
    <xf numFmtId="0" fontId="12" fillId="0" borderId="27" xfId="0" applyFont="1" applyFill="1" applyBorder="1" applyAlignment="1">
      <alignment horizontal="center" vertical="center" wrapText="1"/>
    </xf>
    <xf numFmtId="0" fontId="13" fillId="0" borderId="198" xfId="79" applyFont="1" applyFill="1" applyBorder="1" applyAlignment="1">
      <alignment horizontal="center" vertical="center"/>
    </xf>
    <xf numFmtId="0" fontId="13" fillId="0" borderId="390" xfId="79" applyFont="1" applyFill="1" applyBorder="1" applyAlignment="1">
      <alignment horizontal="center" vertical="center"/>
    </xf>
    <xf numFmtId="0" fontId="13" fillId="0" borderId="390" xfId="79" applyFont="1" applyFill="1" applyBorder="1" applyAlignment="1">
      <alignment horizontal="center" vertical="center" wrapText="1"/>
    </xf>
    <xf numFmtId="0" fontId="13" fillId="0" borderId="401" xfId="79" applyFont="1" applyFill="1" applyBorder="1" applyAlignment="1">
      <alignment horizontal="center" vertical="center" wrapText="1"/>
    </xf>
    <xf numFmtId="0" fontId="12" fillId="28" borderId="73" xfId="0" applyFont="1" applyFill="1" applyBorder="1" applyAlignment="1">
      <alignment horizontal="center" vertical="center" wrapText="1"/>
    </xf>
    <xf numFmtId="0" fontId="12" fillId="28" borderId="71" xfId="0" applyFont="1" applyFill="1" applyBorder="1" applyAlignment="1">
      <alignment horizontal="center" vertical="center" wrapText="1"/>
    </xf>
    <xf numFmtId="0" fontId="13" fillId="28" borderId="374" xfId="79" applyFont="1" applyFill="1" applyBorder="1" applyAlignment="1">
      <alignment horizontal="center" vertical="center" wrapText="1"/>
    </xf>
    <xf numFmtId="0" fontId="13" fillId="28" borderId="24" xfId="79" applyFont="1" applyFill="1" applyBorder="1" applyAlignment="1">
      <alignment horizontal="center" vertical="center" wrapText="1"/>
    </xf>
    <xf numFmtId="0" fontId="13" fillId="28" borderId="384" xfId="79" applyFont="1" applyFill="1" applyBorder="1" applyAlignment="1">
      <alignment horizontal="center" vertical="center" wrapText="1"/>
    </xf>
    <xf numFmtId="0" fontId="13" fillId="28" borderId="43" xfId="79" applyFont="1" applyFill="1" applyBorder="1" applyAlignment="1">
      <alignment horizontal="center" vertical="center" wrapText="1"/>
    </xf>
    <xf numFmtId="0" fontId="13" fillId="28" borderId="399" xfId="79" applyFont="1" applyFill="1" applyBorder="1" applyAlignment="1">
      <alignment horizontal="center" vertical="center" wrapText="1"/>
    </xf>
    <xf numFmtId="0" fontId="13" fillId="28" borderId="79" xfId="79" applyFont="1" applyFill="1" applyBorder="1" applyAlignment="1">
      <alignment horizontal="center" vertical="center" wrapText="1"/>
    </xf>
    <xf numFmtId="0" fontId="13" fillId="28" borderId="37" xfId="79" applyFont="1" applyFill="1" applyBorder="1" applyAlignment="1">
      <alignment horizontal="center" vertical="center"/>
    </xf>
    <xf numFmtId="0" fontId="13" fillId="28" borderId="11" xfId="79" applyFont="1" applyFill="1" applyBorder="1" applyAlignment="1">
      <alignment horizontal="center" vertical="center"/>
    </xf>
    <xf numFmtId="0" fontId="13" fillId="28" borderId="35" xfId="79" applyFont="1" applyFill="1" applyBorder="1" applyAlignment="1">
      <alignment horizontal="center" vertical="center"/>
    </xf>
    <xf numFmtId="0" fontId="13" fillId="0" borderId="61" xfId="79" applyFont="1" applyFill="1" applyBorder="1" applyAlignment="1">
      <alignment horizontal="center" vertical="center" wrapText="1"/>
    </xf>
    <xf numFmtId="0" fontId="13" fillId="0" borderId="251" xfId="79" applyFont="1" applyFill="1" applyBorder="1" applyAlignment="1">
      <alignment horizontal="center" vertical="center" wrapText="1"/>
    </xf>
    <xf numFmtId="0" fontId="13" fillId="0" borderId="280" xfId="79" applyFont="1" applyFill="1" applyBorder="1" applyAlignment="1">
      <alignment horizontal="center" vertical="center" wrapText="1"/>
    </xf>
    <xf numFmtId="0" fontId="13" fillId="0" borderId="24" xfId="79" applyFont="1" applyFill="1" applyBorder="1" applyAlignment="1">
      <alignment horizontal="center" vertical="center" wrapText="1"/>
    </xf>
    <xf numFmtId="0" fontId="12" fillId="0" borderId="70" xfId="0" applyFont="1" applyBorder="1" applyAlignment="1">
      <alignment horizontal="center" vertical="center" wrapText="1"/>
    </xf>
    <xf numFmtId="0" fontId="12" fillId="0" borderId="67" xfId="0" applyFont="1" applyBorder="1" applyAlignment="1">
      <alignment horizontal="center" vertical="center" wrapText="1"/>
    </xf>
    <xf numFmtId="0" fontId="12" fillId="0" borderId="44" xfId="0" applyFont="1" applyBorder="1" applyAlignment="1">
      <alignment horizontal="center" vertical="center" wrapText="1"/>
    </xf>
    <xf numFmtId="0" fontId="48" fillId="0" borderId="50" xfId="79" applyFont="1" applyFill="1" applyBorder="1" applyAlignment="1">
      <alignment horizontal="center" vertical="center" wrapText="1"/>
    </xf>
    <xf numFmtId="0" fontId="13" fillId="0" borderId="47" xfId="0" applyFont="1" applyBorder="1" applyAlignment="1">
      <alignment vertical="center"/>
    </xf>
    <xf numFmtId="0" fontId="13" fillId="0" borderId="48" xfId="0" applyFont="1" applyBorder="1" applyAlignment="1">
      <alignment vertical="center"/>
    </xf>
    <xf numFmtId="0" fontId="13" fillId="0" borderId="207" xfId="79" applyFont="1" applyFill="1" applyBorder="1" applyAlignment="1">
      <alignment horizontal="center" vertical="center" wrapText="1"/>
    </xf>
    <xf numFmtId="0" fontId="13" fillId="0" borderId="67" xfId="79" applyFont="1" applyFill="1" applyBorder="1" applyAlignment="1">
      <alignment horizontal="center" vertical="center" wrapText="1"/>
    </xf>
    <xf numFmtId="0" fontId="48" fillId="0" borderId="198" xfId="79" applyFont="1" applyFill="1" applyBorder="1" applyAlignment="1">
      <alignment horizontal="center" vertical="center" wrapText="1"/>
    </xf>
    <xf numFmtId="0" fontId="48" fillId="0" borderId="184" xfId="79" applyFont="1" applyFill="1" applyBorder="1" applyAlignment="1">
      <alignment horizontal="center" vertical="center" wrapText="1"/>
    </xf>
    <xf numFmtId="0" fontId="48" fillId="0" borderId="45" xfId="79" applyFont="1" applyFill="1" applyBorder="1" applyAlignment="1">
      <alignment horizontal="center" vertical="center" wrapText="1"/>
    </xf>
    <xf numFmtId="0" fontId="48" fillId="0" borderId="61" xfId="79" applyFont="1" applyFill="1" applyBorder="1" applyAlignment="1">
      <alignment horizontal="center" vertical="center" wrapText="1"/>
    </xf>
    <xf numFmtId="0" fontId="48" fillId="0" borderId="11" xfId="79" applyFont="1" applyFill="1" applyBorder="1" applyAlignment="1">
      <alignment horizontal="center" vertical="center" wrapText="1"/>
    </xf>
    <xf numFmtId="0" fontId="48" fillId="0" borderId="25" xfId="79" applyFont="1" applyFill="1" applyBorder="1" applyAlignment="1">
      <alignment horizontal="center" vertical="center"/>
    </xf>
    <xf numFmtId="0" fontId="48" fillId="0" borderId="28" xfId="79" applyFont="1" applyFill="1" applyBorder="1" applyAlignment="1">
      <alignment horizontal="center" vertical="center"/>
    </xf>
    <xf numFmtId="0" fontId="48" fillId="0" borderId="93" xfId="79" applyFont="1" applyFill="1" applyBorder="1" applyAlignment="1">
      <alignment horizontal="center" vertical="center" wrapText="1"/>
    </xf>
    <xf numFmtId="0" fontId="48" fillId="0" borderId="90" xfId="79" applyFont="1" applyFill="1" applyBorder="1" applyAlignment="1">
      <alignment horizontal="center" vertical="center" wrapText="1"/>
    </xf>
    <xf numFmtId="0" fontId="48" fillId="0" borderId="87" xfId="79" applyFont="1" applyFill="1" applyBorder="1" applyAlignment="1">
      <alignment horizontal="center" vertical="center" wrapText="1"/>
    </xf>
    <xf numFmtId="0" fontId="48" fillId="0" borderId="91" xfId="79" applyFont="1" applyFill="1" applyBorder="1" applyAlignment="1">
      <alignment horizontal="center" vertical="center" wrapText="1"/>
    </xf>
    <xf numFmtId="0" fontId="48" fillId="0" borderId="62" xfId="79" applyFont="1" applyFill="1" applyBorder="1" applyAlignment="1">
      <alignment horizontal="center" vertical="center" wrapText="1"/>
    </xf>
    <xf numFmtId="0" fontId="48" fillId="0" borderId="66" xfId="79" applyFont="1" applyFill="1" applyBorder="1" applyAlignment="1">
      <alignment horizontal="center" vertical="center" wrapText="1"/>
    </xf>
    <xf numFmtId="0" fontId="48" fillId="0" borderId="35" xfId="79" applyFont="1" applyFill="1" applyBorder="1" applyAlignment="1">
      <alignment horizontal="center" vertical="center" wrapText="1"/>
    </xf>
    <xf numFmtId="0" fontId="48" fillId="0" borderId="26" xfId="79" applyFont="1" applyFill="1" applyBorder="1" applyAlignment="1">
      <alignment horizontal="center" vertical="center"/>
    </xf>
    <xf numFmtId="0" fontId="48" fillId="0" borderId="73" xfId="79" applyFont="1" applyFill="1" applyBorder="1" applyAlignment="1">
      <alignment horizontal="center" vertical="center" wrapText="1"/>
    </xf>
    <xf numFmtId="0" fontId="48" fillId="0" borderId="71" xfId="79" applyFont="1" applyFill="1" applyBorder="1" applyAlignment="1">
      <alignment horizontal="center" vertical="center" wrapText="1"/>
    </xf>
    <xf numFmtId="0" fontId="13" fillId="0" borderId="71" xfId="0" applyFont="1" applyBorder="1" applyAlignment="1">
      <alignment horizontal="center" vertical="center" wrapText="1"/>
    </xf>
    <xf numFmtId="0" fontId="13" fillId="0" borderId="252" xfId="79" applyFont="1" applyFill="1" applyBorder="1" applyAlignment="1">
      <alignment horizontal="center" vertical="center" wrapText="1"/>
    </xf>
    <xf numFmtId="0" fontId="13" fillId="0" borderId="83" xfId="0" applyFont="1" applyBorder="1" applyAlignment="1">
      <alignment horizontal="center" vertical="center" wrapText="1"/>
    </xf>
    <xf numFmtId="0" fontId="13" fillId="0" borderId="35" xfId="0" applyFont="1" applyBorder="1" applyAlignment="1">
      <alignment horizontal="center" vertical="center" wrapText="1"/>
    </xf>
    <xf numFmtId="0" fontId="70" fillId="0" borderId="73" xfId="79" applyFont="1" applyFill="1" applyBorder="1" applyAlignment="1">
      <alignment horizontal="center" vertical="center" wrapText="1"/>
    </xf>
    <xf numFmtId="0" fontId="90" fillId="0" borderId="73" xfId="79" applyFont="1" applyFill="1" applyBorder="1" applyAlignment="1">
      <alignment horizontal="center" vertical="center" wrapText="1"/>
    </xf>
    <xf numFmtId="0" fontId="90" fillId="0" borderId="71" xfId="0" applyFont="1" applyBorder="1" applyAlignment="1">
      <alignment horizontal="center" vertical="center" wrapText="1"/>
    </xf>
    <xf numFmtId="0" fontId="90" fillId="0" borderId="69" xfId="0" applyFont="1" applyBorder="1" applyAlignment="1">
      <alignment horizontal="center" vertical="center" wrapText="1"/>
    </xf>
    <xf numFmtId="0" fontId="90" fillId="0" borderId="50" xfId="79" applyFont="1" applyFill="1" applyBorder="1" applyAlignment="1">
      <alignment horizontal="center" vertical="center" wrapText="1"/>
    </xf>
    <xf numFmtId="0" fontId="90" fillId="0" borderId="47" xfId="0" applyFont="1" applyBorder="1" applyAlignment="1">
      <alignment horizontal="center" vertical="center" wrapText="1"/>
    </xf>
    <xf numFmtId="0" fontId="48" fillId="0" borderId="225" xfId="79" applyFont="1" applyFill="1" applyBorder="1" applyAlignment="1">
      <alignment horizontal="center" vertical="center" wrapText="1"/>
    </xf>
    <xf numFmtId="0" fontId="13" fillId="0" borderId="282" xfId="0" applyFont="1" applyFill="1" applyBorder="1" applyAlignment="1">
      <alignment horizontal="center" vertical="center" wrapText="1"/>
    </xf>
    <xf numFmtId="0" fontId="13" fillId="0" borderId="40" xfId="0" applyFont="1" applyFill="1" applyBorder="1" applyAlignment="1">
      <alignment horizontal="center" vertical="center" wrapText="1"/>
    </xf>
    <xf numFmtId="0" fontId="48" fillId="0" borderId="51" xfId="79" applyFont="1" applyFill="1" applyBorder="1" applyAlignment="1">
      <alignment horizontal="center" vertical="center"/>
    </xf>
    <xf numFmtId="0" fontId="48" fillId="0" borderId="46" xfId="79" applyFont="1" applyFill="1" applyBorder="1" applyAlignment="1">
      <alignment horizontal="center" vertical="center"/>
    </xf>
    <xf numFmtId="0" fontId="48" fillId="0" borderId="34" xfId="79" applyFont="1" applyFill="1" applyBorder="1" applyAlignment="1">
      <alignment horizontal="center" vertical="center"/>
    </xf>
    <xf numFmtId="0" fontId="48" fillId="0" borderId="78" xfId="79" applyFont="1" applyFill="1" applyBorder="1" applyAlignment="1">
      <alignment horizontal="center" vertical="center"/>
    </xf>
    <xf numFmtId="0" fontId="48" fillId="0" borderId="65" xfId="79" applyFont="1" applyFill="1" applyBorder="1" applyAlignment="1">
      <alignment horizontal="center" vertical="center"/>
    </xf>
    <xf numFmtId="0" fontId="48" fillId="0" borderId="36" xfId="79" applyFont="1" applyFill="1" applyBorder="1" applyAlignment="1">
      <alignment horizontal="center" vertical="center"/>
    </xf>
    <xf numFmtId="0" fontId="48" fillId="0" borderId="31" xfId="79" applyFont="1" applyFill="1" applyBorder="1" applyAlignment="1">
      <alignment horizontal="center" vertical="center"/>
    </xf>
    <xf numFmtId="0" fontId="48" fillId="0" borderId="62" xfId="79" applyFont="1" applyFill="1" applyBorder="1" applyAlignment="1">
      <alignment horizontal="center" vertical="center"/>
    </xf>
    <xf numFmtId="0" fontId="48" fillId="0" borderId="66" xfId="79" applyFont="1" applyFill="1" applyBorder="1" applyAlignment="1">
      <alignment horizontal="center" vertical="center"/>
    </xf>
    <xf numFmtId="0" fontId="48" fillId="0" borderId="74" xfId="79" applyFont="1" applyFill="1" applyBorder="1" applyAlignment="1">
      <alignment horizontal="center" vertical="center"/>
    </xf>
    <xf numFmtId="0" fontId="48" fillId="0" borderId="35" xfId="79" applyFont="1" applyFill="1" applyBorder="1" applyAlignment="1">
      <alignment horizontal="center" vertical="center"/>
    </xf>
    <xf numFmtId="0" fontId="48" fillId="0" borderId="13" xfId="79" applyFont="1" applyFill="1" applyBorder="1" applyAlignment="1">
      <alignment horizontal="center" vertical="center"/>
    </xf>
    <xf numFmtId="0" fontId="48" fillId="0" borderId="291" xfId="79" applyFont="1" applyFill="1" applyBorder="1" applyAlignment="1">
      <alignment horizontal="center" vertical="center"/>
    </xf>
    <xf numFmtId="0" fontId="48" fillId="0" borderId="15" xfId="79" applyFont="1" applyFill="1" applyBorder="1" applyAlignment="1">
      <alignment horizontal="center" vertical="center"/>
    </xf>
    <xf numFmtId="0" fontId="48" fillId="0" borderId="10" xfId="79" applyFont="1" applyFill="1" applyBorder="1" applyAlignment="1">
      <alignment horizontal="center" vertical="center" wrapText="1"/>
    </xf>
    <xf numFmtId="0" fontId="18" fillId="0" borderId="47" xfId="79" applyFont="1" applyFill="1" applyBorder="1" applyAlignment="1">
      <alignment horizontal="center" vertical="center"/>
    </xf>
    <xf numFmtId="0" fontId="0" fillId="0" borderId="47" xfId="0" applyBorder="1"/>
    <xf numFmtId="0" fontId="48" fillId="0" borderId="82" xfId="79" applyFont="1" applyFill="1" applyBorder="1" applyAlignment="1">
      <alignment horizontal="center" vertical="center" wrapText="1"/>
    </xf>
    <xf numFmtId="0" fontId="48" fillId="0" borderId="65" xfId="79" applyFont="1" applyFill="1" applyBorder="1" applyAlignment="1">
      <alignment horizontal="center" vertical="center" wrapText="1"/>
    </xf>
    <xf numFmtId="0" fontId="48" fillId="0" borderId="40" xfId="79" applyFont="1" applyFill="1" applyBorder="1" applyAlignment="1">
      <alignment horizontal="center" vertical="center" wrapText="1"/>
    </xf>
    <xf numFmtId="0" fontId="48" fillId="0" borderId="31" xfId="79" applyFont="1" applyFill="1" applyBorder="1" applyAlignment="1">
      <alignment horizontal="center" vertical="center" wrapText="1"/>
    </xf>
    <xf numFmtId="0" fontId="48" fillId="0" borderId="92" xfId="79" applyFont="1" applyFill="1" applyBorder="1" applyAlignment="1">
      <alignment horizontal="center" vertical="center" wrapText="1"/>
    </xf>
    <xf numFmtId="0" fontId="48" fillId="0" borderId="10" xfId="79" applyFont="1" applyFill="1" applyBorder="1" applyAlignment="1">
      <alignment horizontal="center" vertical="center"/>
    </xf>
    <xf numFmtId="0" fontId="48" fillId="0" borderId="87" xfId="79" applyFont="1" applyFill="1" applyBorder="1" applyAlignment="1">
      <alignment horizontal="center" vertical="center"/>
    </xf>
    <xf numFmtId="0" fontId="48" fillId="0" borderId="61" xfId="79" applyFont="1" applyFill="1" applyBorder="1" applyAlignment="1">
      <alignment horizontal="center" vertical="center"/>
    </xf>
    <xf numFmtId="0" fontId="48" fillId="0" borderId="11" xfId="79" applyFont="1" applyFill="1" applyBorder="1" applyAlignment="1">
      <alignment horizontal="center" vertical="center"/>
    </xf>
    <xf numFmtId="0" fontId="16" fillId="0" borderId="93" xfId="79" applyFont="1" applyFill="1" applyBorder="1" applyAlignment="1">
      <alignment horizontal="center" vertical="center" wrapText="1"/>
    </xf>
    <xf numFmtId="0" fontId="16" fillId="0" borderId="90" xfId="79" applyFont="1" applyFill="1" applyBorder="1" applyAlignment="1">
      <alignment horizontal="center" vertical="center" wrapText="1"/>
    </xf>
    <xf numFmtId="0" fontId="48" fillId="0" borderId="19" xfId="79" applyFont="1" applyFill="1" applyBorder="1" applyAlignment="1">
      <alignment horizontal="center" vertical="center" wrapText="1"/>
    </xf>
    <xf numFmtId="0" fontId="13" fillId="0" borderId="62" xfId="79" applyFont="1" applyFill="1" applyBorder="1" applyAlignment="1">
      <alignment horizontal="center" vertical="center"/>
    </xf>
    <xf numFmtId="0" fontId="13" fillId="0" borderId="83" xfId="79" applyFont="1" applyFill="1" applyBorder="1" applyAlignment="1">
      <alignment horizontal="center" vertical="center"/>
    </xf>
    <xf numFmtId="0" fontId="13" fillId="0" borderId="35" xfId="79" applyFont="1" applyFill="1" applyBorder="1" applyAlignment="1">
      <alignment horizontal="center" vertical="center"/>
    </xf>
    <xf numFmtId="0" fontId="13" fillId="0" borderId="68" xfId="79" applyFont="1" applyFill="1" applyBorder="1" applyAlignment="1">
      <alignment horizontal="center" vertical="center"/>
    </xf>
    <xf numFmtId="0" fontId="17" fillId="0" borderId="73" xfId="79" applyFont="1" applyFill="1" applyBorder="1" applyAlignment="1">
      <alignment horizontal="center" vertical="center" wrapText="1"/>
    </xf>
    <xf numFmtId="0" fontId="17" fillId="0" borderId="71" xfId="79" applyFont="1" applyFill="1" applyBorder="1" applyAlignment="1">
      <alignment horizontal="center" vertical="center" wrapText="1"/>
    </xf>
    <xf numFmtId="0" fontId="17" fillId="0" borderId="69" xfId="79" applyFont="1" applyFill="1" applyBorder="1" applyAlignment="1">
      <alignment horizontal="center" vertical="center" wrapText="1"/>
    </xf>
    <xf numFmtId="0" fontId="16" fillId="0" borderId="50" xfId="79" applyFont="1" applyFill="1" applyBorder="1" applyAlignment="1">
      <alignment horizontal="center" vertical="center" wrapText="1"/>
    </xf>
    <xf numFmtId="0" fontId="16" fillId="0" borderId="47" xfId="79" applyFont="1" applyFill="1" applyBorder="1" applyAlignment="1">
      <alignment horizontal="center" vertical="center" wrapText="1"/>
    </xf>
    <xf numFmtId="0" fontId="16" fillId="0" borderId="48" xfId="79" applyFont="1" applyFill="1" applyBorder="1" applyAlignment="1">
      <alignment horizontal="center" vertical="center" wrapText="1"/>
    </xf>
    <xf numFmtId="0" fontId="48" fillId="0" borderId="192" xfId="79" applyFont="1" applyFill="1" applyBorder="1" applyAlignment="1">
      <alignment horizontal="center" vertical="center" wrapText="1"/>
    </xf>
    <xf numFmtId="4" fontId="13" fillId="0" borderId="247" xfId="79" applyNumberFormat="1" applyFont="1" applyFill="1" applyBorder="1" applyAlignment="1">
      <alignment horizontal="center" vertical="center"/>
    </xf>
    <xf numFmtId="0" fontId="13" fillId="0" borderId="237" xfId="0" applyFont="1" applyFill="1" applyBorder="1" applyAlignment="1">
      <alignment horizontal="center" vertical="center"/>
    </xf>
    <xf numFmtId="0" fontId="48" fillId="0" borderId="0" xfId="79" applyFont="1" applyFill="1" applyBorder="1" applyAlignment="1">
      <alignment horizontal="center" vertical="center"/>
    </xf>
    <xf numFmtId="0" fontId="13" fillId="0" borderId="65" xfId="0" applyFont="1" applyBorder="1" applyAlignment="1">
      <alignment horizontal="center" vertical="center" wrapText="1"/>
    </xf>
    <xf numFmtId="0" fontId="13" fillId="0" borderId="31" xfId="0" applyFont="1" applyBorder="1" applyAlignment="1">
      <alignment horizontal="center" vertical="center" wrapText="1"/>
    </xf>
    <xf numFmtId="0" fontId="13" fillId="0" borderId="246" xfId="79" applyFont="1" applyFill="1" applyBorder="1" applyAlignment="1">
      <alignment horizontal="center" vertical="center" wrapText="1"/>
    </xf>
    <xf numFmtId="0" fontId="13" fillId="0" borderId="250" xfId="79" applyFont="1" applyFill="1" applyBorder="1" applyAlignment="1">
      <alignment horizontal="center" vertical="center" wrapText="1"/>
    </xf>
    <xf numFmtId="0" fontId="13" fillId="0" borderId="253" xfId="79" applyFont="1" applyFill="1" applyBorder="1" applyAlignment="1">
      <alignment horizontal="center" vertical="center" wrapText="1"/>
    </xf>
    <xf numFmtId="0" fontId="13" fillId="0" borderId="247" xfId="79" applyFont="1" applyFill="1" applyBorder="1" applyAlignment="1">
      <alignment horizontal="center" vertical="center" wrapText="1"/>
    </xf>
    <xf numFmtId="0" fontId="13" fillId="0" borderId="248" xfId="0" applyFont="1" applyBorder="1" applyAlignment="1">
      <alignment horizontal="center" vertical="center" wrapText="1"/>
    </xf>
    <xf numFmtId="0" fontId="13" fillId="0" borderId="249" xfId="0" applyFont="1" applyBorder="1" applyAlignment="1">
      <alignment horizontal="center" vertical="center" wrapText="1"/>
    </xf>
    <xf numFmtId="0" fontId="48" fillId="0" borderId="200" xfId="79" applyFont="1" applyFill="1" applyBorder="1" applyAlignment="1">
      <alignment horizontal="center" vertical="center" wrapText="1"/>
    </xf>
    <xf numFmtId="0" fontId="48" fillId="0" borderId="244" xfId="79" applyFont="1" applyFill="1" applyBorder="1" applyAlignment="1">
      <alignment horizontal="center" vertical="center" wrapText="1"/>
    </xf>
    <xf numFmtId="0" fontId="13" fillId="0" borderId="201" xfId="0" applyFont="1" applyFill="1" applyBorder="1" applyAlignment="1">
      <alignment horizontal="center" vertical="center" wrapText="1"/>
    </xf>
    <xf numFmtId="0" fontId="13" fillId="28" borderId="389" xfId="0" applyFont="1" applyFill="1" applyBorder="1" applyAlignment="1">
      <alignment horizontal="center" vertical="center"/>
    </xf>
    <xf numFmtId="0" fontId="0" fillId="0" borderId="0" xfId="79" applyFont="1" applyAlignment="1">
      <alignment horizontal="right"/>
    </xf>
    <xf numFmtId="0" fontId="68" fillId="0" borderId="0" xfId="79" applyFont="1" applyAlignment="1">
      <alignment horizontal="center"/>
    </xf>
    <xf numFmtId="0" fontId="12" fillId="0" borderId="70" xfId="0" applyFont="1" applyFill="1" applyBorder="1" applyAlignment="1">
      <alignment horizontal="center" vertical="center" wrapText="1"/>
    </xf>
    <xf numFmtId="0" fontId="12" fillId="0" borderId="67" xfId="0" applyFont="1" applyFill="1" applyBorder="1" applyAlignment="1">
      <alignment horizontal="center" vertical="center" wrapText="1"/>
    </xf>
    <xf numFmtId="0" fontId="12" fillId="0" borderId="44" xfId="0" applyFont="1" applyFill="1" applyBorder="1" applyAlignment="1">
      <alignment horizontal="center" vertical="center" wrapText="1"/>
    </xf>
    <xf numFmtId="0" fontId="12" fillId="0" borderId="71" xfId="0" applyFont="1" applyBorder="1" applyAlignment="1">
      <alignment horizontal="center" vertical="center" wrapText="1"/>
    </xf>
    <xf numFmtId="0" fontId="12" fillId="0" borderId="69" xfId="0" applyFont="1" applyBorder="1" applyAlignment="1">
      <alignment horizontal="center" vertical="center" wrapText="1"/>
    </xf>
    <xf numFmtId="0" fontId="12" fillId="0" borderId="17" xfId="0" applyFont="1" applyBorder="1" applyAlignment="1">
      <alignment horizontal="center" vertical="center" wrapText="1"/>
    </xf>
    <xf numFmtId="0" fontId="84" fillId="38" borderId="380" xfId="0" applyFont="1" applyFill="1" applyBorder="1" applyAlignment="1">
      <alignment horizontal="center" vertical="center"/>
    </xf>
    <xf numFmtId="4" fontId="84" fillId="38" borderId="380" xfId="0" applyNumberFormat="1" applyFont="1" applyFill="1" applyBorder="1" applyAlignment="1">
      <alignment horizontal="center" vertical="center"/>
    </xf>
    <xf numFmtId="0" fontId="16" fillId="38" borderId="381" xfId="0" applyFont="1" applyFill="1" applyBorder="1" applyAlignment="1">
      <alignment horizontal="center"/>
    </xf>
    <xf numFmtId="0" fontId="16" fillId="38" borderId="382" xfId="0" applyFont="1" applyFill="1" applyBorder="1" applyAlignment="1">
      <alignment horizontal="center"/>
    </xf>
    <xf numFmtId="0" fontId="16" fillId="38" borderId="383" xfId="0" applyFont="1" applyFill="1" applyBorder="1" applyAlignment="1">
      <alignment horizontal="center"/>
    </xf>
    <xf numFmtId="0" fontId="84" fillId="28" borderId="403" xfId="0" applyFont="1" applyFill="1" applyBorder="1" applyAlignment="1">
      <alignment horizontal="center"/>
    </xf>
    <xf numFmtId="0" fontId="0" fillId="28" borderId="403" xfId="0" applyFont="1" applyFill="1" applyBorder="1" applyAlignment="1">
      <alignment horizontal="center"/>
    </xf>
    <xf numFmtId="0" fontId="16" fillId="0" borderId="0" xfId="0" applyFont="1" applyAlignment="1">
      <alignment horizontal="center"/>
    </xf>
    <xf numFmtId="0" fontId="84" fillId="0" borderId="0" xfId="0" applyFont="1" applyAlignment="1">
      <alignment horizontal="right"/>
    </xf>
    <xf numFmtId="0" fontId="17" fillId="45" borderId="390" xfId="0" applyFont="1" applyFill="1" applyBorder="1" applyAlignment="1">
      <alignment horizontal="center"/>
    </xf>
    <xf numFmtId="0" fontId="17" fillId="45" borderId="391" xfId="0" applyFont="1" applyFill="1" applyBorder="1" applyAlignment="1">
      <alignment horizontal="center"/>
    </xf>
    <xf numFmtId="0" fontId="17" fillId="45" borderId="392" xfId="0" applyFont="1" applyFill="1" applyBorder="1" applyAlignment="1">
      <alignment horizontal="center"/>
    </xf>
    <xf numFmtId="4" fontId="13" fillId="45" borderId="384" xfId="0" applyNumberFormat="1" applyFont="1" applyFill="1" applyBorder="1" applyAlignment="1">
      <alignment horizontal="center" vertical="center"/>
    </xf>
    <xf numFmtId="4" fontId="13" fillId="45" borderId="61" xfId="0" applyNumberFormat="1" applyFont="1" applyFill="1" applyBorder="1" applyAlignment="1">
      <alignment horizontal="center" vertical="center"/>
    </xf>
    <xf numFmtId="4" fontId="13" fillId="45" borderId="11" xfId="0" applyNumberFormat="1" applyFont="1" applyFill="1" applyBorder="1" applyAlignment="1">
      <alignment horizontal="center" vertical="center"/>
    </xf>
    <xf numFmtId="0" fontId="13" fillId="0" borderId="384" xfId="0" applyFont="1" applyBorder="1" applyAlignment="1">
      <alignment horizontal="center" vertical="center" wrapText="1"/>
    </xf>
    <xf numFmtId="4" fontId="13" fillId="0" borderId="384" xfId="0" applyNumberFormat="1" applyFont="1" applyBorder="1" applyAlignment="1">
      <alignment horizontal="center" vertical="center"/>
    </xf>
    <xf numFmtId="4" fontId="13" fillId="0" borderId="61" xfId="0" applyNumberFormat="1" applyFont="1" applyBorder="1" applyAlignment="1">
      <alignment horizontal="center" vertical="center"/>
    </xf>
    <xf numFmtId="4" fontId="13" fillId="0" borderId="11" xfId="0" applyNumberFormat="1" applyFont="1" applyBorder="1" applyAlignment="1">
      <alignment horizontal="center" vertical="center"/>
    </xf>
    <xf numFmtId="0" fontId="17" fillId="0" borderId="390" xfId="0" applyFont="1" applyBorder="1" applyAlignment="1">
      <alignment horizontal="center"/>
    </xf>
    <xf numFmtId="0" fontId="17" fillId="0" borderId="391" xfId="0" applyFont="1" applyBorder="1" applyAlignment="1">
      <alignment horizontal="center"/>
    </xf>
    <xf numFmtId="0" fontId="17" fillId="0" borderId="392" xfId="0" applyFont="1" applyBorder="1" applyAlignment="1">
      <alignment horizontal="center"/>
    </xf>
    <xf numFmtId="0" fontId="13" fillId="0" borderId="389" xfId="0" applyFont="1" applyBorder="1" applyAlignment="1">
      <alignment horizontal="center"/>
    </xf>
    <xf numFmtId="0" fontId="17" fillId="0" borderId="384" xfId="0" applyFont="1" applyBorder="1" applyAlignment="1">
      <alignment horizontal="center"/>
    </xf>
    <xf numFmtId="0" fontId="17" fillId="0" borderId="11" xfId="0" applyFont="1" applyBorder="1" applyAlignment="1">
      <alignment horizontal="center"/>
    </xf>
    <xf numFmtId="0" fontId="12" fillId="0" borderId="390" xfId="0" applyFont="1" applyBorder="1" applyAlignment="1">
      <alignment horizontal="center" vertical="center"/>
    </xf>
    <xf numFmtId="0" fontId="12" fillId="0" borderId="391" xfId="0" applyFont="1" applyBorder="1" applyAlignment="1">
      <alignment horizontal="center" vertical="center"/>
    </xf>
    <xf numFmtId="0" fontId="12" fillId="0" borderId="392" xfId="0" applyFont="1" applyBorder="1" applyAlignment="1">
      <alignment horizontal="center" vertical="center"/>
    </xf>
    <xf numFmtId="0" fontId="51" fillId="0" borderId="389" xfId="0" applyFont="1" applyBorder="1" applyAlignment="1">
      <alignment horizontal="center" wrapText="1"/>
    </xf>
    <xf numFmtId="0" fontId="51" fillId="0" borderId="384" xfId="0" applyFont="1" applyBorder="1" applyAlignment="1">
      <alignment horizontal="center" vertical="center" wrapText="1"/>
    </xf>
    <xf numFmtId="0" fontId="51" fillId="0" borderId="11" xfId="0" applyFont="1" applyBorder="1" applyAlignment="1">
      <alignment horizontal="center" vertical="center" wrapText="1"/>
    </xf>
    <xf numFmtId="0" fontId="12" fillId="28" borderId="380" xfId="0" applyFont="1" applyFill="1" applyBorder="1" applyAlignment="1">
      <alignment horizontal="center" vertical="center"/>
    </xf>
    <xf numFmtId="0" fontId="12" fillId="0" borderId="381" xfId="0" applyFont="1" applyFill="1" applyBorder="1" applyAlignment="1">
      <alignment horizontal="center" vertical="center"/>
    </xf>
    <xf numFmtId="0" fontId="12" fillId="0" borderId="382" xfId="0" applyFont="1" applyFill="1" applyBorder="1" applyAlignment="1">
      <alignment horizontal="center" vertical="center"/>
    </xf>
    <xf numFmtId="0" fontId="12" fillId="0" borderId="383" xfId="0" applyFont="1" applyFill="1" applyBorder="1" applyAlignment="1">
      <alignment horizontal="center" vertical="center"/>
    </xf>
    <xf numFmtId="0" fontId="13" fillId="0" borderId="393" xfId="0" applyFont="1" applyFill="1" applyBorder="1" applyAlignment="1">
      <alignment horizontal="center" vertical="center"/>
    </xf>
    <xf numFmtId="0" fontId="0" fillId="0" borderId="394" xfId="0" applyFont="1" applyBorder="1" applyAlignment="1">
      <alignment horizontal="center" vertical="center"/>
    </xf>
    <xf numFmtId="0" fontId="17" fillId="0" borderId="403" xfId="0" applyFont="1" applyBorder="1" applyAlignment="1">
      <alignment horizontal="center" vertical="center"/>
    </xf>
    <xf numFmtId="0" fontId="13" fillId="38" borderId="380" xfId="0" applyFont="1" applyFill="1" applyBorder="1" applyAlignment="1">
      <alignment horizontal="center" vertical="center" wrapText="1"/>
    </xf>
    <xf numFmtId="0" fontId="16" fillId="38" borderId="380" xfId="0" applyFont="1" applyFill="1" applyBorder="1" applyAlignment="1">
      <alignment horizontal="center"/>
    </xf>
    <xf numFmtId="0" fontId="16" fillId="0" borderId="380" xfId="0" applyFont="1" applyFill="1" applyBorder="1" applyAlignment="1">
      <alignment horizontal="center"/>
    </xf>
    <xf numFmtId="0" fontId="114" fillId="28" borderId="390" xfId="153" applyFont="1" applyFill="1" applyBorder="1" applyAlignment="1">
      <alignment horizontal="center" vertical="center" wrapText="1"/>
    </xf>
    <xf numFmtId="0" fontId="0" fillId="28" borderId="391" xfId="0" applyFill="1" applyBorder="1" applyAlignment="1">
      <alignment horizontal="center" vertical="center"/>
    </xf>
    <xf numFmtId="0" fontId="0" fillId="28" borderId="392" xfId="0" applyFill="1" applyBorder="1" applyAlignment="1">
      <alignment horizontal="center" vertical="center"/>
    </xf>
    <xf numFmtId="0" fontId="113" fillId="0" borderId="36" xfId="153" applyFont="1" applyBorder="1" applyAlignment="1">
      <alignment horizontal="center" vertical="center" wrapText="1"/>
    </xf>
    <xf numFmtId="0" fontId="114" fillId="0" borderId="384" xfId="153" applyFont="1" applyBorder="1" applyAlignment="1">
      <alignment horizontal="center" vertical="center" wrapText="1"/>
    </xf>
    <xf numFmtId="0" fontId="114" fillId="0" borderId="11" xfId="153" applyFont="1" applyBorder="1" applyAlignment="1">
      <alignment horizontal="center" vertical="center" wrapText="1"/>
    </xf>
    <xf numFmtId="0" fontId="114" fillId="0" borderId="384" xfId="153" applyFont="1" applyBorder="1" applyAlignment="1">
      <alignment horizontal="center" vertical="center"/>
    </xf>
    <xf numFmtId="0" fontId="114" fillId="0" borderId="11" xfId="153" applyFont="1" applyBorder="1" applyAlignment="1">
      <alignment horizontal="center" vertical="center"/>
    </xf>
    <xf numFmtId="0" fontId="114" fillId="0" borderId="386" xfId="153" applyFont="1" applyBorder="1" applyAlignment="1">
      <alignment horizontal="center" vertical="center" wrapText="1"/>
    </xf>
    <xf numFmtId="0" fontId="114" fillId="0" borderId="387" xfId="153" applyFont="1" applyBorder="1" applyAlignment="1">
      <alignment horizontal="center" vertical="center" wrapText="1"/>
    </xf>
    <xf numFmtId="0" fontId="114" fillId="0" borderId="388" xfId="153" applyFont="1" applyBorder="1" applyAlignment="1">
      <alignment horizontal="center" vertical="center" wrapText="1"/>
    </xf>
    <xf numFmtId="0" fontId="0" fillId="0" borderId="208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62" fillId="0" borderId="208" xfId="0" applyFont="1" applyBorder="1" applyAlignment="1">
      <alignment horizontal="center"/>
    </xf>
    <xf numFmtId="0" fontId="62" fillId="0" borderId="11" xfId="0" applyFont="1" applyBorder="1" applyAlignment="1">
      <alignment horizontal="center"/>
    </xf>
    <xf numFmtId="0" fontId="8" fillId="0" borderId="209" xfId="0" applyFont="1" applyBorder="1" applyAlignment="1">
      <alignment horizontal="center" vertical="center"/>
    </xf>
    <xf numFmtId="0" fontId="8" fillId="0" borderId="210" xfId="0" applyFont="1" applyBorder="1" applyAlignment="1">
      <alignment horizontal="center" vertical="center"/>
    </xf>
    <xf numFmtId="0" fontId="8" fillId="0" borderId="211" xfId="0" applyFont="1" applyBorder="1" applyAlignment="1">
      <alignment horizontal="center" vertical="center"/>
    </xf>
    <xf numFmtId="0" fontId="47" fillId="0" borderId="198" xfId="0" applyFont="1" applyBorder="1" applyAlignment="1">
      <alignment horizontal="center" wrapText="1"/>
    </xf>
    <xf numFmtId="0" fontId="62" fillId="0" borderId="203" xfId="0" applyFont="1" applyBorder="1" applyAlignment="1">
      <alignment horizontal="center"/>
    </xf>
    <xf numFmtId="0" fontId="62" fillId="0" borderId="204" xfId="0" applyFont="1" applyBorder="1" applyAlignment="1">
      <alignment horizontal="center"/>
    </xf>
    <xf numFmtId="0" fontId="62" fillId="0" borderId="202" xfId="0" applyFont="1" applyBorder="1" applyAlignment="1">
      <alignment horizontal="center"/>
    </xf>
    <xf numFmtId="4" fontId="0" fillId="0" borderId="208" xfId="0" applyNumberFormat="1" applyFont="1" applyBorder="1" applyAlignment="1">
      <alignment horizontal="center" vertical="center"/>
    </xf>
    <xf numFmtId="4" fontId="0" fillId="0" borderId="61" xfId="0" applyNumberFormat="1" applyFont="1" applyBorder="1" applyAlignment="1">
      <alignment horizontal="center" vertical="center"/>
    </xf>
    <xf numFmtId="4" fontId="0" fillId="0" borderId="11" xfId="0" applyNumberFormat="1" applyFont="1" applyBorder="1" applyAlignment="1">
      <alignment horizontal="center" vertical="center"/>
    </xf>
    <xf numFmtId="0" fontId="47" fillId="0" borderId="208" xfId="0" applyFont="1" applyBorder="1" applyAlignment="1">
      <alignment horizontal="center" vertical="center" wrapText="1"/>
    </xf>
    <xf numFmtId="0" fontId="47" fillId="0" borderId="11" xfId="0" applyFont="1" applyBorder="1" applyAlignment="1">
      <alignment horizontal="center" vertical="center" wrapText="1"/>
    </xf>
    <xf numFmtId="0" fontId="17" fillId="28" borderId="390" xfId="0" applyFont="1" applyFill="1" applyBorder="1" applyAlignment="1">
      <alignment horizontal="center"/>
    </xf>
    <xf numFmtId="0" fontId="17" fillId="28" borderId="391" xfId="0" applyFont="1" applyFill="1" applyBorder="1" applyAlignment="1">
      <alignment horizontal="center"/>
    </xf>
    <xf numFmtId="0" fontId="17" fillId="28" borderId="392" xfId="0" applyFont="1" applyFill="1" applyBorder="1" applyAlignment="1">
      <alignment horizontal="center"/>
    </xf>
    <xf numFmtId="0" fontId="0" fillId="0" borderId="102" xfId="0" applyBorder="1" applyAlignment="1">
      <alignment horizontal="center"/>
    </xf>
    <xf numFmtId="0" fontId="0" fillId="0" borderId="106" xfId="0" applyBorder="1" applyAlignment="1">
      <alignment horizontal="center"/>
    </xf>
    <xf numFmtId="0" fontId="0" fillId="0" borderId="96" xfId="0" applyBorder="1" applyAlignment="1">
      <alignment horizontal="center"/>
    </xf>
    <xf numFmtId="0" fontId="0" fillId="0" borderId="23" xfId="0" applyBorder="1" applyAlignment="1">
      <alignment horizontal="center"/>
    </xf>
    <xf numFmtId="0" fontId="8" fillId="28" borderId="52" xfId="0" applyFont="1" applyFill="1" applyBorder="1" applyAlignment="1">
      <alignment horizontal="center"/>
    </xf>
    <xf numFmtId="0" fontId="0" fillId="28" borderId="53" xfId="0" applyFill="1" applyBorder="1" applyAlignment="1">
      <alignment horizontal="center"/>
    </xf>
    <xf numFmtId="0" fontId="0" fillId="0" borderId="102" xfId="0" applyBorder="1" applyAlignment="1">
      <alignment horizontal="left" wrapText="1"/>
    </xf>
    <xf numFmtId="0" fontId="0" fillId="0" borderId="106" xfId="0" applyBorder="1" applyAlignment="1">
      <alignment horizontal="left" wrapText="1"/>
    </xf>
    <xf numFmtId="0" fontId="0" fillId="0" borderId="17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03" xfId="0" applyBorder="1" applyAlignment="1">
      <alignment horizontal="center" vertical="center" wrapText="1"/>
    </xf>
    <xf numFmtId="0" fontId="0" fillId="0" borderId="112" xfId="0" applyBorder="1" applyAlignment="1">
      <alignment horizontal="center" vertical="center" wrapText="1"/>
    </xf>
    <xf numFmtId="0" fontId="0" fillId="0" borderId="294" xfId="0" applyBorder="1" applyAlignment="1">
      <alignment horizontal="center" wrapText="1"/>
    </xf>
    <xf numFmtId="0" fontId="0" fillId="0" borderId="295" xfId="0" applyBorder="1" applyAlignment="1">
      <alignment horizontal="center" wrapText="1"/>
    </xf>
    <xf numFmtId="0" fontId="62" fillId="0" borderId="0" xfId="0" applyFont="1" applyBorder="1" applyAlignment="1">
      <alignment horizontal="center"/>
    </xf>
    <xf numFmtId="0" fontId="82" fillId="0" borderId="0" xfId="0" applyFont="1" applyBorder="1" applyAlignment="1">
      <alignment horizontal="center"/>
    </xf>
    <xf numFmtId="0" fontId="8" fillId="28" borderId="53" xfId="0" applyFont="1" applyFill="1" applyBorder="1" applyAlignment="1">
      <alignment horizontal="center"/>
    </xf>
    <xf numFmtId="0" fontId="0" fillId="0" borderId="102" xfId="0" applyBorder="1" applyAlignment="1">
      <alignment horizontal="center" vertical="center"/>
    </xf>
    <xf numFmtId="0" fontId="0" fillId="0" borderId="106" xfId="0" applyBorder="1" applyAlignment="1">
      <alignment horizontal="center" vertical="center"/>
    </xf>
    <xf numFmtId="0" fontId="8" fillId="0" borderId="0" xfId="0" applyFont="1" applyFill="1" applyBorder="1" applyAlignment="1">
      <alignment horizontal="center"/>
    </xf>
    <xf numFmtId="0" fontId="0" fillId="0" borderId="0" xfId="0" applyFill="1" applyBorder="1" applyAlignment="1"/>
    <xf numFmtId="0" fontId="15" fillId="0" borderId="54" xfId="0" applyFont="1" applyBorder="1" applyAlignment="1">
      <alignment vertical="top" wrapText="1"/>
    </xf>
    <xf numFmtId="0" fontId="0" fillId="0" borderId="0" xfId="0" applyBorder="1" applyAlignment="1"/>
    <xf numFmtId="0" fontId="12" fillId="0" borderId="0" xfId="0" applyFont="1" applyBorder="1" applyAlignment="1">
      <alignment horizontal="right" vertical="top" wrapText="1"/>
    </xf>
    <xf numFmtId="0" fontId="15" fillId="0" borderId="0" xfId="0" applyFont="1" applyBorder="1" applyAlignment="1">
      <alignment vertical="top" wrapText="1"/>
    </xf>
    <xf numFmtId="0" fontId="14" fillId="0" borderId="54" xfId="0" applyFont="1" applyBorder="1" applyAlignment="1">
      <alignment vertical="top" wrapText="1"/>
    </xf>
    <xf numFmtId="0" fontId="13" fillId="0" borderId="0" xfId="0" applyFont="1" applyBorder="1" applyAlignment="1">
      <alignment horizontal="right" vertical="top" wrapText="1"/>
    </xf>
    <xf numFmtId="0" fontId="14" fillId="0" borderId="0" xfId="0" applyFont="1" applyBorder="1" applyAlignment="1">
      <alignment vertical="top" wrapText="1"/>
    </xf>
    <xf numFmtId="0" fontId="17" fillId="0" borderId="50" xfId="0" applyFont="1" applyBorder="1" applyAlignment="1">
      <alignment horizontal="center" wrapText="1"/>
    </xf>
    <xf numFmtId="0" fontId="62" fillId="0" borderId="47" xfId="0" applyFont="1" applyBorder="1" applyAlignment="1">
      <alignment horizontal="center"/>
    </xf>
    <xf numFmtId="0" fontId="62" fillId="0" borderId="48" xfId="0" applyFont="1" applyBorder="1" applyAlignment="1">
      <alignment horizontal="center"/>
    </xf>
    <xf numFmtId="0" fontId="95" fillId="0" borderId="54" xfId="0" applyFont="1" applyBorder="1" applyAlignment="1">
      <alignment horizontal="center" wrapText="1"/>
    </xf>
    <xf numFmtId="0" fontId="0" fillId="0" borderId="60" xfId="0" applyBorder="1" applyAlignment="1"/>
    <xf numFmtId="0" fontId="17" fillId="0" borderId="54" xfId="0" applyFont="1" applyBorder="1" applyAlignment="1">
      <alignment horizontal="center"/>
    </xf>
    <xf numFmtId="0" fontId="78" fillId="0" borderId="54" xfId="0" applyFont="1" applyBorder="1" applyAlignment="1">
      <alignment horizontal="center"/>
    </xf>
    <xf numFmtId="0" fontId="14" fillId="0" borderId="54" xfId="0" applyFont="1" applyBorder="1" applyAlignment="1"/>
    <xf numFmtId="0" fontId="21" fillId="0" borderId="56" xfId="0" applyFont="1" applyBorder="1" applyAlignment="1">
      <alignment horizontal="center" wrapText="1"/>
    </xf>
    <xf numFmtId="0" fontId="21" fillId="0" borderId="33" xfId="0" applyFont="1" applyBorder="1" applyAlignment="1">
      <alignment horizontal="center" wrapText="1"/>
    </xf>
    <xf numFmtId="0" fontId="21" fillId="0" borderId="52" xfId="0" applyFont="1" applyBorder="1" applyAlignment="1">
      <alignment vertical="top" wrapText="1"/>
    </xf>
    <xf numFmtId="0" fontId="21" fillId="0" borderId="53" xfId="0" applyFont="1" applyBorder="1" applyAlignment="1">
      <alignment vertical="top" wrapText="1"/>
    </xf>
    <xf numFmtId="0" fontId="21" fillId="0" borderId="59" xfId="0" applyFont="1" applyBorder="1" applyAlignment="1">
      <alignment vertical="top" wrapText="1"/>
    </xf>
    <xf numFmtId="0" fontId="96" fillId="0" borderId="52" xfId="0" applyFont="1" applyBorder="1" applyAlignment="1">
      <alignment vertical="top" wrapText="1"/>
    </xf>
    <xf numFmtId="0" fontId="96" fillId="0" borderId="53" xfId="0" applyFont="1" applyBorder="1" applyAlignment="1">
      <alignment vertical="top" wrapText="1"/>
    </xf>
    <xf numFmtId="0" fontId="96" fillId="0" borderId="59" xfId="0" applyFont="1" applyBorder="1" applyAlignment="1">
      <alignment vertical="top" wrapText="1"/>
    </xf>
    <xf numFmtId="0" fontId="21" fillId="0" borderId="51" xfId="0" applyFont="1" applyBorder="1" applyAlignment="1">
      <alignment horizontal="right" vertical="top" wrapText="1"/>
    </xf>
    <xf numFmtId="0" fontId="21" fillId="0" borderId="57" xfId="0" applyFont="1" applyBorder="1" applyAlignment="1">
      <alignment horizontal="right" vertical="top" wrapText="1"/>
    </xf>
    <xf numFmtId="0" fontId="21" fillId="0" borderId="51" xfId="0" applyFont="1" applyBorder="1" applyAlignment="1">
      <alignment vertical="top" wrapText="1"/>
    </xf>
    <xf numFmtId="0" fontId="21" fillId="0" borderId="57" xfId="0" applyFont="1" applyBorder="1" applyAlignment="1">
      <alignment vertical="top" wrapText="1"/>
    </xf>
    <xf numFmtId="0" fontId="21" fillId="0" borderId="52" xfId="0" applyFont="1" applyBorder="1" applyAlignment="1">
      <alignment horizontal="center" wrapText="1"/>
    </xf>
    <xf numFmtId="0" fontId="21" fillId="0" borderId="59" xfId="0" applyFont="1" applyBorder="1" applyAlignment="1">
      <alignment horizontal="center" wrapText="1"/>
    </xf>
    <xf numFmtId="0" fontId="21" fillId="0" borderId="53" xfId="0" applyFont="1" applyBorder="1" applyAlignment="1">
      <alignment horizontal="center" wrapText="1"/>
    </xf>
    <xf numFmtId="0" fontId="21" fillId="0" borderId="50" xfId="0" applyFont="1" applyBorder="1" applyAlignment="1">
      <alignment horizontal="center" wrapText="1"/>
    </xf>
    <xf numFmtId="0" fontId="21" fillId="0" borderId="48" xfId="0" applyFont="1" applyBorder="1" applyAlignment="1">
      <alignment horizontal="center" wrapText="1"/>
    </xf>
    <xf numFmtId="0" fontId="21" fillId="0" borderId="50" xfId="0" applyFont="1" applyBorder="1" applyAlignment="1">
      <alignment vertical="top" wrapText="1"/>
    </xf>
    <xf numFmtId="0" fontId="21" fillId="0" borderId="47" xfId="0" applyFont="1" applyBorder="1" applyAlignment="1">
      <alignment vertical="top" wrapText="1"/>
    </xf>
    <xf numFmtId="0" fontId="21" fillId="0" borderId="56" xfId="0" applyFont="1" applyBorder="1" applyAlignment="1">
      <alignment vertical="top" wrapText="1"/>
    </xf>
    <xf numFmtId="0" fontId="21" fillId="0" borderId="55" xfId="0" applyFont="1" applyBorder="1" applyAlignment="1">
      <alignment vertical="top" wrapText="1"/>
    </xf>
    <xf numFmtId="0" fontId="21" fillId="0" borderId="47" xfId="0" applyFont="1" applyBorder="1" applyAlignment="1">
      <alignment horizontal="right" vertical="top" wrapText="1"/>
    </xf>
    <xf numFmtId="0" fontId="21" fillId="0" borderId="55" xfId="0" applyFont="1" applyBorder="1" applyAlignment="1">
      <alignment horizontal="right" vertical="top" wrapText="1"/>
    </xf>
    <xf numFmtId="0" fontId="131" fillId="0" borderId="52" xfId="0" applyFont="1" applyBorder="1" applyAlignment="1">
      <alignment horizontal="center" vertical="top" wrapText="1"/>
    </xf>
    <xf numFmtId="0" fontId="131" fillId="0" borderId="53" xfId="0" applyFont="1" applyBorder="1" applyAlignment="1">
      <alignment horizontal="center" vertical="top" wrapText="1"/>
    </xf>
    <xf numFmtId="0" fontId="21" fillId="0" borderId="0" xfId="0" applyFont="1" applyBorder="1" applyAlignment="1">
      <alignment vertical="top" wrapText="1"/>
    </xf>
    <xf numFmtId="0" fontId="0" fillId="0" borderId="55" xfId="0" applyBorder="1" applyAlignment="1"/>
    <xf numFmtId="0" fontId="0" fillId="0" borderId="0" xfId="0" applyBorder="1" applyAlignment="1">
      <alignment horizontal="center"/>
    </xf>
    <xf numFmtId="0" fontId="0" fillId="0" borderId="60" xfId="0" applyBorder="1" applyAlignment="1">
      <alignment horizontal="center"/>
    </xf>
    <xf numFmtId="0" fontId="0" fillId="0" borderId="54" xfId="0" applyBorder="1" applyAlignment="1">
      <alignment horizontal="center"/>
    </xf>
    <xf numFmtId="0" fontId="14" fillId="0" borderId="54" xfId="0" applyFont="1" applyBorder="1" applyAlignment="1">
      <alignment horizontal="center" vertical="top" wrapText="1"/>
    </xf>
    <xf numFmtId="0" fontId="0" fillId="0" borderId="0" xfId="0" applyBorder="1" applyAlignment="1">
      <alignment horizontal="center" wrapText="1"/>
    </xf>
    <xf numFmtId="0" fontId="14" fillId="0" borderId="0" xfId="0" applyFont="1" applyBorder="1" applyAlignment="1">
      <alignment horizontal="center" vertical="top" wrapText="1"/>
    </xf>
    <xf numFmtId="0" fontId="21" fillId="0" borderId="46" xfId="0" applyFont="1" applyBorder="1" applyAlignment="1">
      <alignment horizontal="right" vertical="top" wrapText="1"/>
    </xf>
    <xf numFmtId="0" fontId="21" fillId="0" borderId="46" xfId="0" applyFont="1" applyBorder="1" applyAlignment="1">
      <alignment vertical="top" wrapText="1"/>
    </xf>
    <xf numFmtId="0" fontId="13" fillId="0" borderId="51" xfId="0" applyFont="1" applyBorder="1" applyAlignment="1">
      <alignment wrapText="1"/>
    </xf>
    <xf numFmtId="0" fontId="13" fillId="0" borderId="46" xfId="0" applyFont="1" applyBorder="1" applyAlignment="1">
      <alignment wrapText="1"/>
    </xf>
    <xf numFmtId="0" fontId="130" fillId="0" borderId="52" xfId="0" applyFont="1" applyBorder="1" applyAlignment="1">
      <alignment horizontal="center" vertical="top" wrapText="1"/>
    </xf>
    <xf numFmtId="0" fontId="130" fillId="0" borderId="53" xfId="0" applyFont="1" applyBorder="1" applyAlignment="1">
      <alignment horizontal="center" vertical="top" wrapText="1"/>
    </xf>
    <xf numFmtId="0" fontId="11" fillId="28" borderId="47" xfId="0" applyFont="1" applyFill="1" applyBorder="1" applyAlignment="1">
      <alignment horizontal="right"/>
    </xf>
    <xf numFmtId="0" fontId="129" fillId="0" borderId="52" xfId="0" applyFont="1" applyBorder="1" applyAlignment="1">
      <alignment horizontal="center" vertical="top" wrapText="1"/>
    </xf>
    <xf numFmtId="0" fontId="129" fillId="0" borderId="53" xfId="0" applyFont="1" applyBorder="1" applyAlignment="1">
      <alignment horizontal="center" vertical="top" wrapText="1"/>
    </xf>
    <xf numFmtId="0" fontId="62" fillId="0" borderId="169" xfId="0" applyFont="1" applyBorder="1" applyAlignment="1">
      <alignment horizontal="center"/>
    </xf>
    <xf numFmtId="0" fontId="0" fillId="0" borderId="169" xfId="0" applyBorder="1" applyAlignment="1">
      <alignment horizontal="center"/>
    </xf>
    <xf numFmtId="0" fontId="0" fillId="0" borderId="175" xfId="0" applyBorder="1" applyAlignment="1">
      <alignment horizontal="center" wrapText="1"/>
    </xf>
    <xf numFmtId="0" fontId="112" fillId="0" borderId="198" xfId="149" applyFont="1" applyBorder="1" applyAlignment="1">
      <alignment horizontal="center" wrapText="1"/>
    </xf>
    <xf numFmtId="0" fontId="112" fillId="0" borderId="203" xfId="149" applyFont="1" applyBorder="1" applyAlignment="1">
      <alignment horizontal="center" wrapText="1"/>
    </xf>
    <xf numFmtId="0" fontId="112" fillId="0" borderId="198" xfId="149" applyFont="1" applyBorder="1" applyAlignment="1">
      <alignment horizontal="center"/>
    </xf>
    <xf numFmtId="0" fontId="123" fillId="0" borderId="0" xfId="149" applyFont="1" applyAlignment="1">
      <alignment horizontal="center"/>
    </xf>
    <xf numFmtId="0" fontId="5" fillId="28" borderId="203" xfId="149" applyFill="1" applyBorder="1" applyAlignment="1">
      <alignment horizontal="center" wrapText="1"/>
    </xf>
    <xf numFmtId="0" fontId="5" fillId="28" borderId="204" xfId="149" applyFill="1" applyBorder="1" applyAlignment="1">
      <alignment horizontal="center" wrapText="1"/>
    </xf>
    <xf numFmtId="0" fontId="5" fillId="28" borderId="202" xfId="149" applyFill="1" applyBorder="1" applyAlignment="1">
      <alignment horizontal="center" wrapText="1"/>
    </xf>
    <xf numFmtId="0" fontId="5" fillId="28" borderId="204" xfId="149" applyFill="1" applyBorder="1" applyAlignment="1">
      <alignment horizontal="center"/>
    </xf>
    <xf numFmtId="0" fontId="5" fillId="28" borderId="202" xfId="149" applyFill="1" applyBorder="1" applyAlignment="1">
      <alignment horizontal="center"/>
    </xf>
    <xf numFmtId="4" fontId="5" fillId="0" borderId="203" xfId="149" applyNumberFormat="1" applyBorder="1" applyAlignment="1">
      <alignment horizontal="center"/>
    </xf>
    <xf numFmtId="4" fontId="5" fillId="0" borderId="204" xfId="149" applyNumberFormat="1" applyBorder="1" applyAlignment="1">
      <alignment horizontal="center"/>
    </xf>
    <xf numFmtId="4" fontId="5" fillId="0" borderId="202" xfId="149" applyNumberFormat="1" applyBorder="1" applyAlignment="1">
      <alignment horizontal="center"/>
    </xf>
    <xf numFmtId="0" fontId="112" fillId="0" borderId="203" xfId="149" applyFont="1" applyBorder="1" applyAlignment="1">
      <alignment horizontal="center"/>
    </xf>
    <xf numFmtId="0" fontId="122" fillId="0" borderId="203" xfId="149" applyFont="1" applyFill="1" applyBorder="1" applyAlignment="1">
      <alignment horizontal="left" wrapText="1"/>
    </xf>
    <xf numFmtId="0" fontId="122" fillId="0" borderId="204" xfId="149" applyFont="1" applyFill="1" applyBorder="1" applyAlignment="1">
      <alignment horizontal="left" wrapText="1"/>
    </xf>
    <xf numFmtId="0" fontId="122" fillId="0" borderId="202" xfId="149" applyFont="1" applyFill="1" applyBorder="1" applyAlignment="1">
      <alignment horizontal="left" wrapText="1"/>
    </xf>
    <xf numFmtId="0" fontId="116" fillId="0" borderId="36" xfId="147" applyFont="1" applyBorder="1" applyAlignment="1">
      <alignment horizontal="center"/>
    </xf>
    <xf numFmtId="0" fontId="6" fillId="0" borderId="36" xfId="147" applyBorder="1" applyAlignment="1">
      <alignment horizontal="center"/>
    </xf>
    <xf numFmtId="0" fontId="118" fillId="0" borderId="189" xfId="147" applyFont="1" applyBorder="1" applyAlignment="1"/>
    <xf numFmtId="0" fontId="6" fillId="0" borderId="189" xfId="147" applyBorder="1" applyAlignment="1"/>
    <xf numFmtId="0" fontId="116" fillId="0" borderId="189" xfId="147" applyFont="1" applyBorder="1" applyAlignment="1">
      <alignment horizontal="center"/>
    </xf>
    <xf numFmtId="0" fontId="6" fillId="0" borderId="189" xfId="147" applyBorder="1" applyAlignment="1">
      <alignment horizontal="center"/>
    </xf>
    <xf numFmtId="0" fontId="11" fillId="0" borderId="58" xfId="0" applyFont="1" applyFill="1" applyBorder="1" applyAlignment="1">
      <alignment horizontal="center"/>
    </xf>
    <xf numFmtId="0" fontId="8" fillId="28" borderId="52" xfId="0" applyFont="1" applyFill="1" applyBorder="1" applyAlignment="1">
      <alignment horizontal="center" vertical="center"/>
    </xf>
    <xf numFmtId="0" fontId="8" fillId="28" borderId="53" xfId="0" applyFont="1" applyFill="1" applyBorder="1" applyAlignment="1">
      <alignment horizontal="center" vertical="center"/>
    </xf>
    <xf numFmtId="0" fontId="8" fillId="28" borderId="59" xfId="0" applyFont="1" applyFill="1" applyBorder="1" applyAlignment="1">
      <alignment horizontal="center" vertical="center"/>
    </xf>
    <xf numFmtId="0" fontId="62" fillId="0" borderId="58" xfId="0" applyFont="1" applyBorder="1" applyAlignment="1">
      <alignment horizontal="center" vertical="center"/>
    </xf>
    <xf numFmtId="0" fontId="82" fillId="0" borderId="58" xfId="0" applyFont="1" applyBorder="1" applyAlignment="1">
      <alignment horizontal="center" vertical="center"/>
    </xf>
    <xf numFmtId="0" fontId="8" fillId="28" borderId="58" xfId="0" applyFont="1" applyFill="1" applyBorder="1" applyAlignment="1">
      <alignment horizontal="center" vertical="center"/>
    </xf>
    <xf numFmtId="0" fontId="0" fillId="28" borderId="58" xfId="0" applyFill="1" applyBorder="1" applyAlignment="1">
      <alignment horizontal="center" vertical="center"/>
    </xf>
    <xf numFmtId="0" fontId="114" fillId="0" borderId="205" xfId="147" applyFont="1" applyBorder="1" applyAlignment="1">
      <alignment horizontal="center" vertical="center" wrapText="1"/>
    </xf>
    <xf numFmtId="0" fontId="114" fillId="0" borderId="11" xfId="147" applyFont="1" applyBorder="1" applyAlignment="1">
      <alignment horizontal="center" vertical="center" wrapText="1"/>
    </xf>
    <xf numFmtId="0" fontId="114" fillId="0" borderId="205" xfId="147" applyFont="1" applyBorder="1" applyAlignment="1">
      <alignment horizontal="center" vertical="center"/>
    </xf>
    <xf numFmtId="0" fontId="114" fillId="0" borderId="11" xfId="147" applyFont="1" applyBorder="1" applyAlignment="1">
      <alignment horizontal="center" vertical="center"/>
    </xf>
    <xf numFmtId="0" fontId="113" fillId="0" borderId="36" xfId="147" applyFont="1" applyBorder="1" applyAlignment="1">
      <alignment horizontal="center" vertical="center" wrapText="1"/>
    </xf>
    <xf numFmtId="0" fontId="113" fillId="0" borderId="36" xfId="147" applyFont="1" applyFill="1" applyBorder="1" applyAlignment="1">
      <alignment horizontal="center" vertical="center" wrapText="1"/>
    </xf>
    <xf numFmtId="0" fontId="114" fillId="0" borderId="205" xfId="147" applyFont="1" applyFill="1" applyBorder="1" applyAlignment="1">
      <alignment horizontal="center" vertical="center" wrapText="1"/>
    </xf>
    <xf numFmtId="0" fontId="114" fillId="0" borderId="11" xfId="147" applyFont="1" applyFill="1" applyBorder="1" applyAlignment="1">
      <alignment horizontal="center" vertical="center" wrapText="1"/>
    </xf>
    <xf numFmtId="0" fontId="114" fillId="0" borderId="205" xfId="147" applyFont="1" applyFill="1" applyBorder="1" applyAlignment="1">
      <alignment horizontal="center" vertical="center"/>
    </xf>
    <xf numFmtId="0" fontId="114" fillId="0" borderId="11" xfId="147" applyFont="1" applyFill="1" applyBorder="1" applyAlignment="1">
      <alignment horizontal="center" vertical="center"/>
    </xf>
    <xf numFmtId="0" fontId="114" fillId="0" borderId="303" xfId="147" applyFont="1" applyFill="1" applyBorder="1" applyAlignment="1">
      <alignment horizontal="center" wrapText="1"/>
    </xf>
    <xf numFmtId="0" fontId="0" fillId="0" borderId="11" xfId="0" applyFill="1" applyBorder="1" applyAlignment="1">
      <alignment horizontal="center" wrapText="1"/>
    </xf>
    <xf numFmtId="0" fontId="113" fillId="28" borderId="390" xfId="155" applyFont="1" applyFill="1" applyBorder="1" applyAlignment="1">
      <alignment horizontal="center"/>
    </xf>
    <xf numFmtId="0" fontId="8" fillId="0" borderId="391" xfId="0" applyFont="1" applyBorder="1" applyAlignment="1">
      <alignment horizontal="center"/>
    </xf>
    <xf numFmtId="0" fontId="8" fillId="0" borderId="392" xfId="0" applyFont="1" applyBorder="1" applyAlignment="1">
      <alignment horizontal="center"/>
    </xf>
    <xf numFmtId="0" fontId="51" fillId="28" borderId="390" xfId="155" applyFont="1" applyFill="1" applyBorder="1" applyAlignment="1">
      <alignment horizontal="center"/>
    </xf>
    <xf numFmtId="0" fontId="113" fillId="0" borderId="36" xfId="155" applyFont="1" applyBorder="1" applyAlignment="1">
      <alignment horizontal="center" vertical="center"/>
    </xf>
    <xf numFmtId="0" fontId="84" fillId="34" borderId="175" xfId="96" applyFont="1" applyFill="1" applyBorder="1" applyAlignment="1">
      <alignment horizontal="center" vertical="center" wrapText="1"/>
    </xf>
    <xf numFmtId="178" fontId="84" fillId="34" borderId="175" xfId="96" applyNumberFormat="1" applyFont="1" applyFill="1" applyBorder="1" applyAlignment="1">
      <alignment horizontal="center" vertical="center" wrapText="1"/>
    </xf>
    <xf numFmtId="0" fontId="17" fillId="24" borderId="0" xfId="96" applyFont="1" applyFill="1" applyAlignment="1">
      <alignment horizontal="center"/>
    </xf>
    <xf numFmtId="0" fontId="84" fillId="26" borderId="169" xfId="96" applyFont="1" applyFill="1" applyBorder="1" applyAlignment="1">
      <alignment horizontal="center" vertical="center" wrapText="1"/>
    </xf>
    <xf numFmtId="0" fontId="84" fillId="26" borderId="170" xfId="96" applyFont="1" applyFill="1" applyBorder="1" applyAlignment="1">
      <alignment horizontal="center" vertical="center" wrapText="1"/>
    </xf>
    <xf numFmtId="0" fontId="84" fillId="26" borderId="172" xfId="96" applyFont="1" applyFill="1" applyBorder="1" applyAlignment="1">
      <alignment horizontal="center" vertical="center" wrapText="1"/>
    </xf>
    <xf numFmtId="0" fontId="84" fillId="26" borderId="171" xfId="96" applyFont="1" applyFill="1" applyBorder="1" applyAlignment="1">
      <alignment horizontal="center" vertical="center" wrapText="1"/>
    </xf>
    <xf numFmtId="0" fontId="84" fillId="26" borderId="174" xfId="96" applyFont="1" applyFill="1" applyBorder="1" applyAlignment="1">
      <alignment horizontal="center" vertical="center" wrapText="1"/>
    </xf>
    <xf numFmtId="0" fontId="84" fillId="26" borderId="36" xfId="96" applyFont="1" applyFill="1" applyBorder="1" applyAlignment="1">
      <alignment horizontal="center" vertical="center" wrapText="1"/>
    </xf>
    <xf numFmtId="0" fontId="13" fillId="28" borderId="52" xfId="0" applyFont="1" applyFill="1" applyBorder="1" applyAlignment="1">
      <alignment vertical="center" wrapText="1"/>
    </xf>
    <xf numFmtId="0" fontId="0" fillId="28" borderId="53" xfId="0" applyFill="1" applyBorder="1" applyAlignment="1">
      <alignment vertical="center"/>
    </xf>
    <xf numFmtId="0" fontId="0" fillId="28" borderId="59" xfId="0" applyFill="1" applyBorder="1" applyAlignment="1">
      <alignment vertical="center"/>
    </xf>
    <xf numFmtId="0" fontId="0" fillId="28" borderId="47" xfId="0" applyFill="1" applyBorder="1" applyAlignment="1">
      <alignment wrapText="1"/>
    </xf>
    <xf numFmtId="0" fontId="0" fillId="28" borderId="47" xfId="0" applyFill="1" applyBorder="1" applyAlignment="1"/>
    <xf numFmtId="0" fontId="13" fillId="30" borderId="126" xfId="0" applyFont="1" applyFill="1" applyBorder="1" applyAlignment="1">
      <alignment horizontal="center" vertical="center" wrapText="1"/>
    </xf>
    <xf numFmtId="0" fontId="13" fillId="30" borderId="135" xfId="0" applyFont="1" applyFill="1" applyBorder="1" applyAlignment="1">
      <alignment horizontal="center" vertical="center" wrapText="1"/>
    </xf>
    <xf numFmtId="0" fontId="13" fillId="30" borderId="126" xfId="0" applyFont="1" applyFill="1" applyBorder="1" applyAlignment="1">
      <alignment horizontal="center" vertical="center"/>
    </xf>
    <xf numFmtId="0" fontId="13" fillId="30" borderId="136" xfId="0" applyFont="1" applyFill="1" applyBorder="1" applyAlignment="1">
      <alignment horizontal="center" vertical="center" wrapText="1"/>
    </xf>
    <xf numFmtId="0" fontId="13" fillId="30" borderId="44" xfId="0" applyFont="1" applyFill="1" applyBorder="1" applyAlignment="1">
      <alignment horizontal="center" vertical="center" wrapText="1"/>
    </xf>
    <xf numFmtId="0" fontId="67" fillId="30" borderId="50" xfId="0" applyFont="1" applyFill="1" applyBorder="1" applyAlignment="1">
      <alignment horizontal="center"/>
    </xf>
    <xf numFmtId="0" fontId="67" fillId="30" borderId="47" xfId="0" applyFont="1" applyFill="1" applyBorder="1" applyAlignment="1">
      <alignment horizontal="center"/>
    </xf>
    <xf numFmtId="0" fontId="0" fillId="30" borderId="48" xfId="0" applyFill="1" applyBorder="1" applyAlignment="1">
      <alignment horizontal="center"/>
    </xf>
    <xf numFmtId="0" fontId="17" fillId="30" borderId="13" xfId="0" applyFont="1" applyFill="1" applyBorder="1" applyAlignment="1">
      <alignment horizontal="center" vertical="center" wrapText="1"/>
    </xf>
    <xf numFmtId="0" fontId="17" fillId="30" borderId="131" xfId="0" applyFont="1" applyFill="1" applyBorder="1" applyAlignment="1">
      <alignment horizontal="center" vertical="center" wrapText="1"/>
    </xf>
    <xf numFmtId="0" fontId="17" fillId="30" borderId="115" xfId="0" applyFont="1" applyFill="1" applyBorder="1" applyAlignment="1">
      <alignment horizontal="center" vertical="center" wrapText="1"/>
    </xf>
    <xf numFmtId="0" fontId="100" fillId="30" borderId="47" xfId="0" applyFont="1" applyFill="1" applyBorder="1" applyAlignment="1">
      <alignment horizontal="center" vertical="center"/>
    </xf>
    <xf numFmtId="0" fontId="64" fillId="30" borderId="47" xfId="0" applyFont="1" applyFill="1" applyBorder="1" applyAlignment="1">
      <alignment horizontal="center" vertical="center"/>
    </xf>
    <xf numFmtId="0" fontId="13" fillId="30" borderId="73" xfId="0" applyFont="1" applyFill="1" applyBorder="1" applyAlignment="1">
      <alignment horizontal="center" vertical="center" wrapText="1"/>
    </xf>
    <xf numFmtId="0" fontId="13" fillId="30" borderId="71" xfId="0" applyFont="1" applyFill="1" applyBorder="1" applyAlignment="1">
      <alignment horizontal="center" vertical="center"/>
    </xf>
    <xf numFmtId="0" fontId="13" fillId="30" borderId="69" xfId="0" applyFont="1" applyFill="1" applyBorder="1" applyAlignment="1">
      <alignment horizontal="center" vertical="center"/>
    </xf>
    <xf numFmtId="0" fontId="13" fillId="30" borderId="132" xfId="0" applyFont="1" applyFill="1" applyBorder="1" applyAlignment="1">
      <alignment horizontal="center" vertical="center"/>
    </xf>
    <xf numFmtId="0" fontId="13" fillId="30" borderId="129" xfId="0" applyFont="1" applyFill="1" applyBorder="1" applyAlignment="1">
      <alignment horizontal="center" vertical="center"/>
    </xf>
    <xf numFmtId="0" fontId="13" fillId="30" borderId="133" xfId="0" applyFont="1" applyFill="1" applyBorder="1" applyAlignment="1">
      <alignment horizontal="center" vertical="center"/>
    </xf>
    <xf numFmtId="0" fontId="14" fillId="30" borderId="75" xfId="0" applyFont="1" applyFill="1" applyBorder="1" applyAlignment="1">
      <alignment horizontal="center" vertical="center"/>
    </xf>
    <xf numFmtId="0" fontId="14" fillId="30" borderId="76" xfId="0" applyFont="1" applyFill="1" applyBorder="1" applyAlignment="1">
      <alignment horizontal="center" vertical="center"/>
    </xf>
    <xf numFmtId="0" fontId="13" fillId="30" borderId="77" xfId="0" applyFont="1" applyFill="1" applyBorder="1" applyAlignment="1">
      <alignment horizontal="center" vertical="center"/>
    </xf>
    <xf numFmtId="0" fontId="14" fillId="30" borderId="50" xfId="0" applyFont="1" applyFill="1" applyBorder="1" applyAlignment="1">
      <alignment horizontal="center" vertical="center"/>
    </xf>
    <xf numFmtId="0" fontId="14" fillId="30" borderId="47" xfId="0" applyFont="1" applyFill="1" applyBorder="1" applyAlignment="1">
      <alignment horizontal="center" vertical="center"/>
    </xf>
    <xf numFmtId="0" fontId="13" fillId="30" borderId="48" xfId="0" applyFont="1" applyFill="1" applyBorder="1" applyAlignment="1">
      <alignment horizontal="center" vertical="center"/>
    </xf>
    <xf numFmtId="0" fontId="13" fillId="30" borderId="47" xfId="0" applyFont="1" applyFill="1" applyBorder="1" applyAlignment="1">
      <alignment horizontal="center" vertical="center"/>
    </xf>
    <xf numFmtId="0" fontId="13" fillId="30" borderId="37" xfId="0" applyFont="1" applyFill="1" applyBorder="1" applyAlignment="1">
      <alignment horizontal="center" vertical="center"/>
    </xf>
    <xf numFmtId="0" fontId="13" fillId="30" borderId="130" xfId="0" applyFont="1" applyFill="1" applyBorder="1" applyAlignment="1">
      <alignment horizontal="center" vertical="center"/>
    </xf>
    <xf numFmtId="0" fontId="13" fillId="30" borderId="134" xfId="0" applyFont="1" applyFill="1" applyBorder="1" applyAlignment="1">
      <alignment horizontal="center" vertical="center"/>
    </xf>
    <xf numFmtId="0" fontId="13" fillId="30" borderId="11" xfId="0" applyFont="1" applyFill="1" applyBorder="1" applyAlignment="1">
      <alignment horizontal="center" vertical="center"/>
    </xf>
    <xf numFmtId="0" fontId="13" fillId="30" borderId="38" xfId="0" applyFont="1" applyFill="1" applyBorder="1" applyAlignment="1">
      <alignment horizontal="center" vertical="center"/>
    </xf>
    <xf numFmtId="0" fontId="13" fillId="30" borderId="16" xfId="0" applyFont="1" applyFill="1" applyBorder="1" applyAlignment="1">
      <alignment horizontal="center" vertical="center"/>
    </xf>
    <xf numFmtId="0" fontId="13" fillId="30" borderId="17" xfId="0" applyFont="1" applyFill="1" applyBorder="1" applyAlignment="1">
      <alignment horizontal="center" vertical="center"/>
    </xf>
    <xf numFmtId="0" fontId="13" fillId="30" borderId="18" xfId="0" applyFont="1" applyFill="1" applyBorder="1" applyAlignment="1">
      <alignment horizontal="center" vertical="center"/>
    </xf>
    <xf numFmtId="0" fontId="13" fillId="30" borderId="17" xfId="0" applyFont="1" applyFill="1" applyBorder="1" applyAlignment="1">
      <alignment horizontal="center" vertical="center" wrapText="1"/>
    </xf>
    <xf numFmtId="0" fontId="13" fillId="30" borderId="18" xfId="0" applyFont="1" applyFill="1" applyBorder="1" applyAlignment="1">
      <alignment horizontal="center" vertical="center" wrapText="1"/>
    </xf>
    <xf numFmtId="0" fontId="13" fillId="28" borderId="50" xfId="0" applyFont="1" applyFill="1" applyBorder="1" applyAlignment="1">
      <alignment vertical="center" wrapText="1"/>
    </xf>
    <xf numFmtId="0" fontId="0" fillId="28" borderId="47" xfId="0" applyFill="1" applyBorder="1" applyAlignment="1">
      <alignment vertical="center"/>
    </xf>
    <xf numFmtId="0" fontId="0" fillId="28" borderId="48" xfId="0" applyFill="1" applyBorder="1" applyAlignment="1">
      <alignment vertical="center"/>
    </xf>
    <xf numFmtId="0" fontId="67" fillId="32" borderId="50" xfId="0" applyFont="1" applyFill="1" applyBorder="1" applyAlignment="1">
      <alignment horizontal="center"/>
    </xf>
    <xf numFmtId="0" fontId="67" fillId="32" borderId="47" xfId="0" applyFont="1" applyFill="1" applyBorder="1" applyAlignment="1">
      <alignment horizontal="center"/>
    </xf>
    <xf numFmtId="0" fontId="0" fillId="32" borderId="48" xfId="0" applyFill="1" applyBorder="1" applyAlignment="1">
      <alignment horizontal="center"/>
    </xf>
    <xf numFmtId="0" fontId="17" fillId="0" borderId="131" xfId="0" applyFont="1" applyBorder="1" applyAlignment="1">
      <alignment horizontal="center" vertical="center" wrapText="1"/>
    </xf>
    <xf numFmtId="0" fontId="17" fillId="0" borderId="115" xfId="0" applyFont="1" applyBorder="1" applyAlignment="1">
      <alignment horizontal="center" vertical="center" wrapText="1"/>
    </xf>
    <xf numFmtId="0" fontId="100" fillId="0" borderId="47" xfId="0" applyFont="1" applyBorder="1" applyAlignment="1">
      <alignment horizontal="center" vertical="center"/>
    </xf>
    <xf numFmtId="0" fontId="64" fillId="0" borderId="47" xfId="0" applyFont="1" applyBorder="1" applyAlignment="1">
      <alignment horizontal="center" vertical="center"/>
    </xf>
    <xf numFmtId="0" fontId="13" fillId="0" borderId="73" xfId="0" applyFont="1" applyBorder="1" applyAlignment="1">
      <alignment horizontal="center" vertical="center" wrapText="1"/>
    </xf>
    <xf numFmtId="0" fontId="13" fillId="0" borderId="71" xfId="0" applyFont="1" applyBorder="1" applyAlignment="1">
      <alignment horizontal="center" vertical="center"/>
    </xf>
    <xf numFmtId="0" fontId="13" fillId="0" borderId="69" xfId="0" applyFont="1" applyBorder="1" applyAlignment="1">
      <alignment horizontal="center" vertical="center"/>
    </xf>
    <xf numFmtId="0" fontId="13" fillId="0" borderId="132" xfId="0" applyFont="1" applyBorder="1" applyAlignment="1">
      <alignment horizontal="center" vertical="center"/>
    </xf>
    <xf numFmtId="0" fontId="13" fillId="0" borderId="129" xfId="0" applyFont="1" applyBorder="1" applyAlignment="1">
      <alignment horizontal="center" vertical="center"/>
    </xf>
    <xf numFmtId="0" fontId="13" fillId="0" borderId="133" xfId="0" applyFont="1" applyBorder="1" applyAlignment="1">
      <alignment horizontal="center" vertical="center"/>
    </xf>
    <xf numFmtId="0" fontId="14" fillId="0" borderId="75" xfId="0" applyFont="1" applyBorder="1" applyAlignment="1">
      <alignment horizontal="center" vertical="center"/>
    </xf>
    <xf numFmtId="0" fontId="14" fillId="0" borderId="76" xfId="0" applyFont="1" applyBorder="1" applyAlignment="1">
      <alignment horizontal="center" vertical="center"/>
    </xf>
    <xf numFmtId="0" fontId="13" fillId="0" borderId="77" xfId="0" applyFont="1" applyBorder="1" applyAlignment="1">
      <alignment horizontal="center" vertical="center"/>
    </xf>
    <xf numFmtId="0" fontId="14" fillId="0" borderId="50" xfId="0" applyFont="1" applyBorder="1" applyAlignment="1">
      <alignment horizontal="center" vertical="center"/>
    </xf>
    <xf numFmtId="0" fontId="14" fillId="0" borderId="47" xfId="0" applyFont="1" applyBorder="1" applyAlignment="1">
      <alignment horizontal="center" vertical="center"/>
    </xf>
    <xf numFmtId="0" fontId="13" fillId="0" borderId="47" xfId="0" applyFont="1" applyBorder="1" applyAlignment="1">
      <alignment horizontal="center" vertical="center"/>
    </xf>
    <xf numFmtId="0" fontId="13" fillId="0" borderId="37" xfId="0" applyFont="1" applyBorder="1" applyAlignment="1">
      <alignment horizontal="center" vertical="center"/>
    </xf>
    <xf numFmtId="0" fontId="13" fillId="0" borderId="130" xfId="0" applyFont="1" applyBorder="1" applyAlignment="1">
      <alignment horizontal="center" vertical="center"/>
    </xf>
    <xf numFmtId="0" fontId="13" fillId="0" borderId="134" xfId="0" applyFont="1" applyBorder="1" applyAlignment="1">
      <alignment horizontal="center" vertical="center"/>
    </xf>
    <xf numFmtId="0" fontId="13" fillId="0" borderId="11" xfId="0" applyFont="1" applyBorder="1" applyAlignment="1">
      <alignment horizontal="center" vertical="center"/>
    </xf>
    <xf numFmtId="0" fontId="13" fillId="0" borderId="38" xfId="0" applyFont="1" applyBorder="1" applyAlignment="1">
      <alignment horizontal="center" vertical="center"/>
    </xf>
    <xf numFmtId="0" fontId="13" fillId="0" borderId="17" xfId="0" applyFont="1" applyBorder="1" applyAlignment="1">
      <alignment horizontal="center" vertical="center"/>
    </xf>
    <xf numFmtId="0" fontId="13" fillId="0" borderId="18" xfId="0" applyFont="1" applyBorder="1" applyAlignment="1">
      <alignment horizontal="center" vertical="center"/>
    </xf>
    <xf numFmtId="0" fontId="13" fillId="0" borderId="17" xfId="0" applyFont="1" applyBorder="1" applyAlignment="1">
      <alignment horizontal="center" vertical="center" wrapText="1"/>
    </xf>
    <xf numFmtId="0" fontId="13" fillId="0" borderId="18" xfId="0" applyFont="1" applyBorder="1" applyAlignment="1">
      <alignment horizontal="center" vertical="center" wrapText="1"/>
    </xf>
    <xf numFmtId="0" fontId="13" fillId="0" borderId="126" xfId="0" applyFont="1" applyBorder="1" applyAlignment="1">
      <alignment horizontal="center" vertical="center" wrapText="1"/>
    </xf>
    <xf numFmtId="0" fontId="13" fillId="0" borderId="135" xfId="0" applyFont="1" applyBorder="1" applyAlignment="1">
      <alignment horizontal="center" vertical="center" wrapText="1"/>
    </xf>
    <xf numFmtId="0" fontId="13" fillId="0" borderId="126" xfId="0" applyFont="1" applyBorder="1" applyAlignment="1">
      <alignment horizontal="center" vertical="center"/>
    </xf>
    <xf numFmtId="0" fontId="13" fillId="0" borderId="136" xfId="0" applyFont="1" applyBorder="1" applyAlignment="1">
      <alignment horizontal="center" vertical="center" wrapText="1"/>
    </xf>
    <xf numFmtId="0" fontId="13" fillId="33" borderId="126" xfId="0" applyFont="1" applyFill="1" applyBorder="1" applyAlignment="1">
      <alignment horizontal="center" vertical="center" wrapText="1"/>
    </xf>
    <xf numFmtId="0" fontId="13" fillId="33" borderId="135" xfId="0" applyFont="1" applyFill="1" applyBorder="1" applyAlignment="1">
      <alignment horizontal="center" vertical="center" wrapText="1"/>
    </xf>
    <xf numFmtId="0" fontId="13" fillId="33" borderId="126" xfId="0" applyFont="1" applyFill="1" applyBorder="1" applyAlignment="1">
      <alignment horizontal="center" vertical="center"/>
    </xf>
    <xf numFmtId="0" fontId="13" fillId="33" borderId="127" xfId="0" applyFont="1" applyFill="1" applyBorder="1" applyAlignment="1">
      <alignment horizontal="center" vertical="center"/>
    </xf>
    <xf numFmtId="0" fontId="13" fillId="33" borderId="136" xfId="0" applyFont="1" applyFill="1" applyBorder="1" applyAlignment="1">
      <alignment horizontal="center" vertical="center"/>
    </xf>
    <xf numFmtId="0" fontId="13" fillId="33" borderId="127" xfId="0" applyFont="1" applyFill="1" applyBorder="1" applyAlignment="1">
      <alignment horizontal="center" vertical="center" wrapText="1"/>
    </xf>
    <xf numFmtId="0" fontId="67" fillId="33" borderId="50" xfId="0" applyFont="1" applyFill="1" applyBorder="1" applyAlignment="1">
      <alignment horizontal="center"/>
    </xf>
    <xf numFmtId="0" fontId="67" fillId="33" borderId="47" xfId="0" applyFont="1" applyFill="1" applyBorder="1" applyAlignment="1">
      <alignment horizontal="center"/>
    </xf>
    <xf numFmtId="0" fontId="0" fillId="33" borderId="48" xfId="0" applyFill="1" applyBorder="1" applyAlignment="1">
      <alignment horizontal="center"/>
    </xf>
    <xf numFmtId="0" fontId="17" fillId="33" borderId="13" xfId="0" applyFont="1" applyFill="1" applyBorder="1" applyAlignment="1">
      <alignment horizontal="center" vertical="center" wrapText="1"/>
    </xf>
    <xf numFmtId="0" fontId="17" fillId="33" borderId="131" xfId="0" applyFont="1" applyFill="1" applyBorder="1" applyAlignment="1">
      <alignment horizontal="center" vertical="center" wrapText="1"/>
    </xf>
    <xf numFmtId="0" fontId="17" fillId="33" borderId="115" xfId="0" applyFont="1" applyFill="1" applyBorder="1" applyAlignment="1">
      <alignment horizontal="center" vertical="center" wrapText="1"/>
    </xf>
    <xf numFmtId="0" fontId="100" fillId="33" borderId="47" xfId="0" applyFont="1" applyFill="1" applyBorder="1" applyAlignment="1">
      <alignment horizontal="center" vertical="center"/>
    </xf>
    <xf numFmtId="0" fontId="64" fillId="33" borderId="47" xfId="0" applyFont="1" applyFill="1" applyBorder="1" applyAlignment="1">
      <alignment horizontal="center" vertical="center"/>
    </xf>
    <xf numFmtId="0" fontId="13" fillId="33" borderId="73" xfId="0" applyFont="1" applyFill="1" applyBorder="1" applyAlignment="1">
      <alignment horizontal="center" vertical="center" wrapText="1"/>
    </xf>
    <xf numFmtId="0" fontId="13" fillId="33" borderId="71" xfId="0" applyFont="1" applyFill="1" applyBorder="1" applyAlignment="1">
      <alignment horizontal="center" vertical="center"/>
    </xf>
    <xf numFmtId="0" fontId="13" fillId="33" borderId="69" xfId="0" applyFont="1" applyFill="1" applyBorder="1" applyAlignment="1">
      <alignment horizontal="center" vertical="center"/>
    </xf>
    <xf numFmtId="0" fontId="13" fillId="33" borderId="132" xfId="0" applyFont="1" applyFill="1" applyBorder="1" applyAlignment="1">
      <alignment horizontal="center" vertical="center"/>
    </xf>
    <xf numFmtId="0" fontId="13" fillId="33" borderId="129" xfId="0" applyFont="1" applyFill="1" applyBorder="1" applyAlignment="1">
      <alignment horizontal="center" vertical="center"/>
    </xf>
    <xf numFmtId="0" fontId="13" fillId="33" borderId="133" xfId="0" applyFont="1" applyFill="1" applyBorder="1" applyAlignment="1">
      <alignment horizontal="center" vertical="center"/>
    </xf>
    <xf numFmtId="0" fontId="14" fillId="33" borderId="75" xfId="0" applyFont="1" applyFill="1" applyBorder="1" applyAlignment="1">
      <alignment horizontal="center" vertical="center"/>
    </xf>
    <xf numFmtId="0" fontId="14" fillId="33" borderId="76" xfId="0" applyFont="1" applyFill="1" applyBorder="1" applyAlignment="1">
      <alignment horizontal="center" vertical="center"/>
    </xf>
    <xf numFmtId="0" fontId="13" fillId="33" borderId="77" xfId="0" applyFont="1" applyFill="1" applyBorder="1" applyAlignment="1">
      <alignment horizontal="center" vertical="center"/>
    </xf>
    <xf numFmtId="0" fontId="14" fillId="33" borderId="50" xfId="0" applyFont="1" applyFill="1" applyBorder="1" applyAlignment="1">
      <alignment horizontal="center" vertical="center"/>
    </xf>
    <xf numFmtId="0" fontId="14" fillId="33" borderId="47" xfId="0" applyFont="1" applyFill="1" applyBorder="1" applyAlignment="1">
      <alignment horizontal="center" vertical="center"/>
    </xf>
    <xf numFmtId="0" fontId="13" fillId="33" borderId="48" xfId="0" applyFont="1" applyFill="1" applyBorder="1" applyAlignment="1">
      <alignment horizontal="center" vertical="center"/>
    </xf>
    <xf numFmtId="0" fontId="13" fillId="33" borderId="47" xfId="0" applyFont="1" applyFill="1" applyBorder="1" applyAlignment="1">
      <alignment horizontal="center" vertical="center"/>
    </xf>
    <xf numFmtId="0" fontId="13" fillId="33" borderId="37" xfId="0" applyFont="1" applyFill="1" applyBorder="1" applyAlignment="1">
      <alignment horizontal="center" vertical="center"/>
    </xf>
    <xf numFmtId="0" fontId="13" fillId="33" borderId="130" xfId="0" applyFont="1" applyFill="1" applyBorder="1" applyAlignment="1">
      <alignment horizontal="center" vertical="center"/>
    </xf>
    <xf numFmtId="0" fontId="13" fillId="33" borderId="134" xfId="0" applyFont="1" applyFill="1" applyBorder="1" applyAlignment="1">
      <alignment horizontal="center" vertical="center"/>
    </xf>
    <xf numFmtId="0" fontId="13" fillId="33" borderId="11" xfId="0" applyFont="1" applyFill="1" applyBorder="1" applyAlignment="1">
      <alignment horizontal="center" vertical="center"/>
    </xf>
    <xf numFmtId="0" fontId="13" fillId="33" borderId="38" xfId="0" applyFont="1" applyFill="1" applyBorder="1" applyAlignment="1">
      <alignment horizontal="center" vertical="center"/>
    </xf>
    <xf numFmtId="0" fontId="13" fillId="33" borderId="16" xfId="0" applyFont="1" applyFill="1" applyBorder="1" applyAlignment="1">
      <alignment horizontal="center" vertical="center"/>
    </xf>
    <xf numFmtId="0" fontId="13" fillId="33" borderId="17" xfId="0" applyFont="1" applyFill="1" applyBorder="1" applyAlignment="1">
      <alignment horizontal="center" vertical="center"/>
    </xf>
    <xf numFmtId="0" fontId="13" fillId="33" borderId="18" xfId="0" applyFont="1" applyFill="1" applyBorder="1" applyAlignment="1">
      <alignment horizontal="center" vertical="center"/>
    </xf>
    <xf numFmtId="0" fontId="13" fillId="33" borderId="17" xfId="0" applyFont="1" applyFill="1" applyBorder="1" applyAlignment="1">
      <alignment horizontal="center" vertical="center" wrapText="1"/>
    </xf>
    <xf numFmtId="0" fontId="13" fillId="33" borderId="18" xfId="0" applyFont="1" applyFill="1" applyBorder="1" applyAlignment="1">
      <alignment horizontal="center" vertical="center" wrapText="1"/>
    </xf>
    <xf numFmtId="0" fontId="13" fillId="0" borderId="127" xfId="0" applyFont="1" applyBorder="1" applyAlignment="1">
      <alignment horizontal="center" vertical="center"/>
    </xf>
    <xf numFmtId="0" fontId="13" fillId="0" borderId="136" xfId="0" applyFont="1" applyBorder="1" applyAlignment="1">
      <alignment horizontal="center" vertical="center"/>
    </xf>
    <xf numFmtId="0" fontId="13" fillId="0" borderId="127" xfId="0" applyFont="1" applyBorder="1" applyAlignment="1">
      <alignment horizontal="center" vertical="center" wrapText="1"/>
    </xf>
    <xf numFmtId="0" fontId="13" fillId="0" borderId="47" xfId="0" applyFont="1" applyFill="1" applyBorder="1" applyAlignment="1">
      <alignment vertical="center" wrapText="1"/>
    </xf>
    <xf numFmtId="0" fontId="0" fillId="0" borderId="47" xfId="0" applyBorder="1" applyAlignment="1"/>
    <xf numFmtId="0" fontId="13" fillId="30" borderId="50" xfId="0" applyFont="1" applyFill="1" applyBorder="1" applyAlignment="1">
      <alignment vertical="center" wrapText="1"/>
    </xf>
    <xf numFmtId="0" fontId="0" fillId="30" borderId="47" xfId="0" applyFill="1" applyBorder="1" applyAlignment="1">
      <alignment vertical="center"/>
    </xf>
    <xf numFmtId="0" fontId="0" fillId="30" borderId="48" xfId="0" applyFill="1" applyBorder="1" applyAlignment="1">
      <alignment vertical="center"/>
    </xf>
    <xf numFmtId="0" fontId="0" fillId="0" borderId="142" xfId="0" applyBorder="1" applyAlignment="1">
      <alignment horizontal="center"/>
    </xf>
    <xf numFmtId="0" fontId="0" fillId="0" borderId="36" xfId="0" applyBorder="1" applyAlignment="1">
      <alignment horizontal="center"/>
    </xf>
    <xf numFmtId="0" fontId="0" fillId="0" borderId="143" xfId="0" applyBorder="1" applyAlignment="1">
      <alignment horizontal="left" wrapText="1"/>
    </xf>
    <xf numFmtId="0" fontId="0" fillId="0" borderId="145" xfId="0" applyBorder="1" applyAlignment="1">
      <alignment horizontal="left" wrapText="1"/>
    </xf>
    <xf numFmtId="0" fontId="78" fillId="0" borderId="0" xfId="0" applyFont="1" applyAlignment="1">
      <alignment horizontal="center"/>
    </xf>
    <xf numFmtId="0" fontId="76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7" fillId="0" borderId="47" xfId="0" applyFont="1" applyBorder="1" applyAlignment="1">
      <alignment horizontal="center"/>
    </xf>
    <xf numFmtId="0" fontId="19" fillId="0" borderId="0" xfId="0" applyFont="1" applyAlignment="1">
      <alignment horizontal="center"/>
    </xf>
    <xf numFmtId="0" fontId="54" fillId="0" borderId="0" xfId="81" applyFont="1" applyAlignment="1">
      <alignment horizontal="center"/>
    </xf>
    <xf numFmtId="0" fontId="54" fillId="0" borderId="16" xfId="81" applyFont="1" applyBorder="1" applyAlignment="1">
      <alignment horizontal="center"/>
    </xf>
    <xf numFmtId="0" fontId="54" fillId="0" borderId="17" xfId="81" applyFont="1" applyBorder="1" applyAlignment="1">
      <alignment horizontal="center"/>
    </xf>
    <xf numFmtId="0" fontId="54" fillId="0" borderId="18" xfId="81" applyFont="1" applyBorder="1" applyAlignment="1">
      <alignment horizontal="center"/>
    </xf>
    <xf numFmtId="0" fontId="55" fillId="0" borderId="73" xfId="81" applyFont="1" applyBorder="1" applyAlignment="1">
      <alignment horizontal="center" vertical="center"/>
    </xf>
    <xf numFmtId="0" fontId="55" fillId="0" borderId="42" xfId="81" applyFont="1" applyBorder="1" applyAlignment="1">
      <alignment horizontal="center" vertical="center"/>
    </xf>
    <xf numFmtId="0" fontId="55" fillId="0" borderId="13" xfId="81" applyFont="1" applyBorder="1" applyAlignment="1">
      <alignment horizontal="center" vertical="center"/>
    </xf>
    <xf numFmtId="0" fontId="55" fillId="0" borderId="15" xfId="81" applyFont="1" applyBorder="1" applyAlignment="1">
      <alignment horizontal="center" vertical="center"/>
    </xf>
    <xf numFmtId="0" fontId="54" fillId="0" borderId="71" xfId="81" applyFont="1" applyBorder="1" applyAlignment="1">
      <alignment horizontal="center"/>
    </xf>
  </cellXfs>
  <cellStyles count="156">
    <cellStyle name="]_x000d_&#10;Zoomed=1_x000d_&#10;Row=0_x000d_&#10;Column=0_x000d_&#10;Height=0_x000d_&#10;Width=0_x000d_&#10;FontName=FoxFont_x000d_&#10;FontStyle=0_x000d_&#10;FontSize=9_x000d_&#10;PrtFontName=FoxPrin" xfId="97"/>
    <cellStyle name="__Металлургический дивизион - формы v1.2" xfId="98"/>
    <cellStyle name="__Металлургический дивизион v1.3" xfId="99"/>
    <cellStyle name="__Штабквартира - формы v1.1" xfId="100"/>
    <cellStyle name="_горн" xfId="101"/>
    <cellStyle name="_кокс" xfId="102"/>
    <cellStyle name="_Коксоугольный дивизион - формы MR - v2 0" xfId="103"/>
    <cellStyle name="_Коксоугольный дивизион - формы MR - v2.0" xfId="104"/>
    <cellStyle name="_мет" xfId="105"/>
    <cellStyle name="_ШтабКвартира - формы MR - v3.0" xfId="106"/>
    <cellStyle name="_ШтабКвартира - формы MR - v5 0" xfId="107"/>
    <cellStyle name="1Normal" xfId="108"/>
    <cellStyle name="20% - Accent1" xfId="1"/>
    <cellStyle name="20% - Accent2" xfId="2"/>
    <cellStyle name="20% - Accent3" xfId="3"/>
    <cellStyle name="20% - Accent4" xfId="4"/>
    <cellStyle name="20% - Accent5" xfId="5"/>
    <cellStyle name="20% - Accent6" xfId="6"/>
    <cellStyle name="20% - Акцент1 2" xfId="7"/>
    <cellStyle name="20% - Акцент2 2" xfId="8"/>
    <cellStyle name="20% - Акцент3 2" xfId="9"/>
    <cellStyle name="20% - Акцент4 2" xfId="10"/>
    <cellStyle name="20% - Акцент5 2" xfId="11"/>
    <cellStyle name="20% - Акцент6 2" xfId="12"/>
    <cellStyle name="40% - Accent1" xfId="13"/>
    <cellStyle name="40% - Accent2" xfId="14"/>
    <cellStyle name="40% - Accent3" xfId="15"/>
    <cellStyle name="40% - Accent4" xfId="16"/>
    <cellStyle name="40% - Accent5" xfId="17"/>
    <cellStyle name="40% - Accent6" xfId="18"/>
    <cellStyle name="40% - Акцент1 2" xfId="19"/>
    <cellStyle name="40% - Акцент2 2" xfId="20"/>
    <cellStyle name="40% - Акцент3 2" xfId="21"/>
    <cellStyle name="40% - Акцент4 2" xfId="22"/>
    <cellStyle name="40% - Акцент5 2" xfId="23"/>
    <cellStyle name="40% - Акцент6 2" xfId="24"/>
    <cellStyle name="60% - Accent1" xfId="25"/>
    <cellStyle name="60% - Accent2" xfId="26"/>
    <cellStyle name="60% - Accent3" xfId="27"/>
    <cellStyle name="60% - Accent4" xfId="28"/>
    <cellStyle name="60% - Accent5" xfId="29"/>
    <cellStyle name="60% - Accent6" xfId="30"/>
    <cellStyle name="60% - Акцент1 2" xfId="31"/>
    <cellStyle name="60% - Акцент2 2" xfId="32"/>
    <cellStyle name="60% - Акцент3 2" xfId="33"/>
    <cellStyle name="60% - Акцент4 2" xfId="34"/>
    <cellStyle name="60% - Акцент5 2" xfId="35"/>
    <cellStyle name="60% - Акцент6 2" xfId="36"/>
    <cellStyle name="Accent1" xfId="37"/>
    <cellStyle name="Accent2" xfId="38"/>
    <cellStyle name="Accent3" xfId="39"/>
    <cellStyle name="Accent4" xfId="40"/>
    <cellStyle name="Accent5" xfId="41"/>
    <cellStyle name="Accent6" xfId="42"/>
    <cellStyle name="Bad" xfId="43"/>
    <cellStyle name="Calculation" xfId="44"/>
    <cellStyle name="Check Cell" xfId="45"/>
    <cellStyle name="Explanatory Text" xfId="46"/>
    <cellStyle name="Good" xfId="47"/>
    <cellStyle name="Heading 1" xfId="48"/>
    <cellStyle name="Heading 2" xfId="49"/>
    <cellStyle name="Heading 3" xfId="50"/>
    <cellStyle name="Heading 4" xfId="51"/>
    <cellStyle name="Hyperlink1" xfId="109"/>
    <cellStyle name="Hyperlink2" xfId="110"/>
    <cellStyle name="Hyperlink3" xfId="111"/>
    <cellStyle name="Input" xfId="52"/>
    <cellStyle name="Linked Cell" xfId="53"/>
    <cellStyle name="Millares [0]_CARAT SAPIC" xfId="112"/>
    <cellStyle name="Millares_CARAT SAPIC" xfId="113"/>
    <cellStyle name="Moneda [0]_CARAT SAPIC" xfId="114"/>
    <cellStyle name="Moneda_CARAT SAPIC" xfId="115"/>
    <cellStyle name="Neutral" xfId="54"/>
    <cellStyle name="Norma11l" xfId="116"/>
    <cellStyle name="Normal 2" xfId="117"/>
    <cellStyle name="Normal 2 2" xfId="118"/>
    <cellStyle name="Normal 2_БВП" xfId="119"/>
    <cellStyle name="Normal 3" xfId="120"/>
    <cellStyle name="Normal_Bankruptcy indicators" xfId="121"/>
    <cellStyle name="Note" xfId="55"/>
    <cellStyle name="Output" xfId="56"/>
    <cellStyle name="Porcentual_PROVBRID (2)" xfId="122"/>
    <cellStyle name="Style 1" xfId="123"/>
    <cellStyle name="Title" xfId="57"/>
    <cellStyle name="Total" xfId="58"/>
    <cellStyle name="Warning Text" xfId="59"/>
    <cellStyle name="Акцент1 2" xfId="60"/>
    <cellStyle name="Акцент2 2" xfId="61"/>
    <cellStyle name="Акцент3 2" xfId="62"/>
    <cellStyle name="Акцент4 2" xfId="63"/>
    <cellStyle name="Акцент5 2" xfId="64"/>
    <cellStyle name="Акцент6 2" xfId="65"/>
    <cellStyle name="Ввод  2" xfId="66"/>
    <cellStyle name="Вывод 2" xfId="67"/>
    <cellStyle name="Вычисление 2" xfId="68"/>
    <cellStyle name="Гиперссылка 4" xfId="124"/>
    <cellStyle name="Денежный 2" xfId="125"/>
    <cellStyle name="Денежный 2 2" xfId="126"/>
    <cellStyle name="Денежный 3" xfId="127"/>
    <cellStyle name="Заголовок 1 2" xfId="69"/>
    <cellStyle name="Заголовок 2 2" xfId="70"/>
    <cellStyle name="Заголовок 3 2" xfId="71"/>
    <cellStyle name="Заголовок 4 2" xfId="72"/>
    <cellStyle name="Итог 2" xfId="73"/>
    <cellStyle name="Контрольная ячейка 2" xfId="74"/>
    <cellStyle name="Название 2" xfId="75"/>
    <cellStyle name="Нейтральный 2" xfId="76"/>
    <cellStyle name="Обычный" xfId="0" builtinId="0"/>
    <cellStyle name="Обычный 10" xfId="150"/>
    <cellStyle name="Обычный 11" xfId="151"/>
    <cellStyle name="Обычный 12" xfId="155"/>
    <cellStyle name="Обычный 16" xfId="128"/>
    <cellStyle name="Обычный 2" xfId="77"/>
    <cellStyle name="Обычный 2 2" xfId="78"/>
    <cellStyle name="Обычный 2 2 2" xfId="129"/>
    <cellStyle name="Обычный 2 2_Светлозерское 2012" xfId="130"/>
    <cellStyle name="Обычный 2 3" xfId="131"/>
    <cellStyle name="Обычный 2 3 2" xfId="132"/>
    <cellStyle name="Обычный 2_Индексы к протокол 59,61 Вин район" xfId="133"/>
    <cellStyle name="Обычный 2_ИП Суслонов В А  - расчетные таблицы к тарифу на 2012 год" xfId="79"/>
    <cellStyle name="Обычный 3" xfId="80"/>
    <cellStyle name="Обычный 3 2" xfId="134"/>
    <cellStyle name="Обычный 3_Индексы к протокол 59,61 Вин район" xfId="135"/>
    <cellStyle name="Обычный 4" xfId="96"/>
    <cellStyle name="Обычный 5" xfId="136"/>
    <cellStyle name="Обычный 6" xfId="137"/>
    <cellStyle name="Обычный 7" xfId="138"/>
    <cellStyle name="Обычный 8" xfId="147"/>
    <cellStyle name="Обычный 8 2" xfId="153"/>
    <cellStyle name="Обычный 9" xfId="149"/>
    <cellStyle name="Обычный_Платежка Котлас 2013-2014" xfId="81"/>
    <cellStyle name="Плохой 2" xfId="82"/>
    <cellStyle name="Пояснение 2" xfId="83"/>
    <cellStyle name="Примечание 2" xfId="84"/>
    <cellStyle name="Процентный" xfId="85" builtinId="5"/>
    <cellStyle name="Процентный 2" xfId="86"/>
    <cellStyle name="Процентный 2 2" xfId="139"/>
    <cellStyle name="Процентный 2 3" xfId="140"/>
    <cellStyle name="Процентный 3" xfId="141"/>
    <cellStyle name="Процентный 3 2" xfId="142"/>
    <cellStyle name="Процентный 4" xfId="143"/>
    <cellStyle name="Процентный 5" xfId="144"/>
    <cellStyle name="Процентный 6" xfId="148"/>
    <cellStyle name="Процентный 6 2" xfId="154"/>
    <cellStyle name="Связанная ячейка 2" xfId="87"/>
    <cellStyle name="Текст предупреждения 2" xfId="88"/>
    <cellStyle name="Тысячи [0]_Chart1 (Sales &amp; Costs)" xfId="145"/>
    <cellStyle name="Тысячи_Chart1 (Sales &amp; Costs)" xfId="146"/>
    <cellStyle name="Финансовый" xfId="89" builtinId="3"/>
    <cellStyle name="Финансовый 2" xfId="90"/>
    <cellStyle name="Финансовый 2 2" xfId="91"/>
    <cellStyle name="Финансовый 2_Тариф для  ООО Управдом-сервис Борки 2014 на коллегию2" xfId="92"/>
    <cellStyle name="Финансовый 3" xfId="93"/>
    <cellStyle name="Финансовый 4" xfId="94"/>
    <cellStyle name="Финансовый 5" xfId="152"/>
    <cellStyle name="Хороший 2" xfId="95"/>
  </cellStyles>
  <dxfs count="0"/>
  <tableStyles count="0" defaultTableStyle="TableStyleMedium9" defaultPivotStyle="PivotStyleLight16"/>
  <colors>
    <mruColors>
      <color rgb="FFFF33CC"/>
      <color rgb="FF72024D"/>
      <color rgb="FFFCD5B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externalLink" Target="externalLinks/externalLink7.xml"/><Relationship Id="rId84" Type="http://schemas.openxmlformats.org/officeDocument/2006/relationships/externalLink" Target="externalLinks/externalLink15.xml"/><Relationship Id="rId89" Type="http://schemas.openxmlformats.org/officeDocument/2006/relationships/externalLink" Target="externalLinks/externalLink20.xml"/><Relationship Id="rId97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.xml"/><Relationship Id="rId92" Type="http://schemas.openxmlformats.org/officeDocument/2006/relationships/externalLink" Target="externalLinks/externalLink2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externalLink" Target="externalLinks/externalLink5.xml"/><Relationship Id="rId79" Type="http://schemas.openxmlformats.org/officeDocument/2006/relationships/externalLink" Target="externalLinks/externalLink10.xml"/><Relationship Id="rId87" Type="http://schemas.openxmlformats.org/officeDocument/2006/relationships/externalLink" Target="externalLinks/externalLink18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13.xml"/><Relationship Id="rId90" Type="http://schemas.openxmlformats.org/officeDocument/2006/relationships/externalLink" Target="externalLinks/externalLink21.xml"/><Relationship Id="rId95" Type="http://schemas.openxmlformats.org/officeDocument/2006/relationships/externalLink" Target="externalLinks/externalLink26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3.xml"/><Relationship Id="rId80" Type="http://schemas.openxmlformats.org/officeDocument/2006/relationships/externalLink" Target="externalLinks/externalLink11.xml"/><Relationship Id="rId85" Type="http://schemas.openxmlformats.org/officeDocument/2006/relationships/externalLink" Target="externalLinks/externalLink16.xml"/><Relationship Id="rId93" Type="http://schemas.openxmlformats.org/officeDocument/2006/relationships/externalLink" Target="externalLinks/externalLink24.xml"/><Relationship Id="rId9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1.xml"/><Relationship Id="rId75" Type="http://schemas.openxmlformats.org/officeDocument/2006/relationships/externalLink" Target="externalLinks/externalLink6.xml"/><Relationship Id="rId83" Type="http://schemas.openxmlformats.org/officeDocument/2006/relationships/externalLink" Target="externalLinks/externalLink14.xml"/><Relationship Id="rId88" Type="http://schemas.openxmlformats.org/officeDocument/2006/relationships/externalLink" Target="externalLinks/externalLink19.xml"/><Relationship Id="rId91" Type="http://schemas.openxmlformats.org/officeDocument/2006/relationships/externalLink" Target="externalLinks/externalLink22.xml"/><Relationship Id="rId9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4.xml"/><Relationship Id="rId78" Type="http://schemas.openxmlformats.org/officeDocument/2006/relationships/externalLink" Target="externalLinks/externalLink9.xml"/><Relationship Id="rId81" Type="http://schemas.openxmlformats.org/officeDocument/2006/relationships/externalLink" Target="externalLinks/externalLink12.xml"/><Relationship Id="rId86" Type="http://schemas.openxmlformats.org/officeDocument/2006/relationships/externalLink" Target="externalLinks/externalLink17.xml"/><Relationship Id="rId94" Type="http://schemas.openxmlformats.org/officeDocument/2006/relationships/externalLink" Target="externalLinks/externalLink25.xml"/><Relationship Id="rId9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73;&#1097;&#1080;&#1077;&#1044;&#1086;&#1082;&#1091;&#1084;&#1077;&#1085;&#1090;&#1099;/&#1052;&#1086;&#1080;%20&#1076;&#1086;&#1082;&#1091;&#1084;&#1077;&#1085;&#1090;&#1099;/2012/&#1054;&#1057;&#1050;/&#1060;&#1086;&#1088;&#1084;&#1072;&#1090;&#1099;&#1041;&#1102;&#1076;&#1078;&#1077;&#1090;&#1086;&#1074;&#1043;&#1088;&#1091;&#1087;&#1087;&#1099;%20&#1054;&#1057;&#1050;_&#1089;_&#1080;&#1079;&#1084;&#1077;&#1085;&#1077;&#1085;&#1080;&#1103;&#1084;&#1080;%20v%207.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h32701\&#1086;&#1073;&#1097;&#1080;&#1077;&#1076;&#1086;&#1082;&#1091;&#1084;&#1077;&#1085;&#1090;&#1099;\&#1055;&#1086;%20&#1079;&#1072;&#1087;&#1088;&#1086;&#1089;&#1072;&#1084;%20&#1040;&#1075;&#1077;&#1085;&#1089;&#1090;&#1074;&#1072;%202011\&#1058;&#1072;&#1088;&#1080;&#1092;&#1099;-2009%20&#1085;&#1072;%20&#1089;&#1086;&#1075;&#1083;.%20&#1087;&#1088;&#1086;&#1075;&#1088;\&#1058;&#1072;&#1085;&#1103;\91205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73;&#1097;&#1080;&#1077;&#1044;&#1086;&#1082;&#1091;&#1084;&#1077;&#1085;&#1090;&#1099;/&#1058;&#1072;&#1088;&#1080;&#1092;&#1099;%20&#1085;&#1072;%202010&#1075;.%20-%20&#1091;&#1090;&#1074;&#1077;&#1088;&#1078;&#1076;&#1077;&#1085;&#1085;&#1099;&#1077;%20&#1040;&#1076;&#1084;&#1080;&#1085;/&#1058;&#1072;&#1085;&#1103;/91205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h32701\&#1086;&#1073;&#1097;&#1080;&#1077;&#1076;&#1086;&#1082;&#1091;&#1084;&#1077;&#1085;&#1090;&#1099;\&#1054;&#1073;&#1097;&#1080;&#1077;&#1044;&#1086;&#1082;&#1091;&#1084;&#1077;&#1085;&#1090;&#1099;\&#1058;&#1072;&#1088;&#1080;&#1092;&#1099;%20&#1085;&#1072;%202011&#1075;%20&#1091;&#1090;&#1074;.%20&#1040;&#1075;\&#1058;&#1072;&#1085;&#1103;\91205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73;&#1097;&#1080;&#1077;&#1044;&#1086;&#1082;&#1091;&#1084;&#1077;&#1085;&#1090;&#1099;/&#1054;&#1073;&#1097;&#1080;&#1077;&#1044;&#1086;&#1082;&#1091;&#1084;&#1077;&#1085;&#1090;&#1099;/&#1058;&#1072;&#1088;&#1080;&#1092;&#1099;%20&#1085;&#1072;%202011&#1075;%20&#1091;&#1090;&#1074;.%20&#1040;&#1075;/&#1058;&#1072;&#1085;&#1103;/91205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73;&#1097;&#1080;&#1077;&#1044;&#1086;&#1082;&#1091;&#1084;&#1077;&#1085;&#1090;&#1099;/&#1058;&#1072;&#1088;&#1080;&#1092;&#1099;%20&#1085;&#1072;%202012%20%20&#1091;&#1090;&#1074;.%20&#1040;&#1075;/&#1050;&#1074;&#1072;&#1088;&#1090;&#1072;&#1083;&#1100;&#1085;&#1099;&#1077;%20&#1089;&#1084;&#1077;&#1090;&#1099;/&#1058;&#1072;&#1085;&#1103;/91205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73;&#1097;&#1080;&#1077;&#1044;&#1086;&#1082;&#1091;&#1084;&#1077;&#1085;&#1090;&#1099;/&#1058;&#1072;&#1088;&#1080;&#1092;&#1099;%20&#1085;&#1072;%202011%20&#1091;&#1090;&#1074;.%20&#1040;&#1075;/&#1055;&#1086;%20&#1079;&#1072;&#1087;&#1088;&#1086;&#1089;&#1072;&#1084;%20&#1040;&#1075;&#1077;&#1085;&#1089;&#1090;&#1074;&#1072;%202011/&#1054;&#1073;&#1097;&#1080;&#1077;&#1044;&#1086;&#1082;&#1091;&#1084;&#1077;&#1085;&#1090;&#1099;/&#1058;&#1072;&#1088;&#1080;&#1092;&#1099;%20&#1085;&#1072;%202010&#1075;.%20-%20&#1091;&#1090;&#1074;&#1077;&#1088;&#1078;&#1076;&#1077;&#1085;&#1085;&#1099;&#1077;%20&#1040;&#1076;&#1084;&#1080;&#1085;/&#1058;&#1072;&#1085;&#1103;/91205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73;&#1097;&#1080;&#1077;&#1044;&#1086;&#1082;&#1091;&#1084;&#1077;&#1085;&#1090;&#1099;/&#1058;&#1072;&#1088;&#1080;&#1092;&#1099;%20&#1085;&#1072;%202011&#1075;%20&#1079;&#1072;&#1103;&#1074;&#1083;.&#1074;%20&#1040;&#1075;/&#1058;&#1072;&#1085;&#1103;/91205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h32701\&#1086;&#1073;&#1097;&#1080;&#1077;&#1076;&#1086;&#1082;&#1091;&#1084;&#1077;&#1085;&#1090;&#1099;\&#1058;&#1072;&#1088;&#1080;&#1092;&#1099;%20&#1085;&#1072;%202011&#1075;%20&#1079;&#1072;&#1103;&#1074;&#1083;.&#1074;%20&#1040;&#1075;\&#1058;&#1072;&#1085;&#1103;\9120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73;&#1097;&#1080;&#1077;&#1044;&#1086;&#1082;&#1091;&#1084;&#1077;&#1085;&#1090;&#1099;/&#1058;&#1072;&#1088;&#1080;&#1092;&#1099;%20&#1085;&#1072;%202011%20&#1091;&#1090;&#1074;.%20&#1040;&#1075;/&#1058;&#1072;&#1088;&#1080;&#1092;&#1099;%20&#1085;&#1072;%202010&#1075;.%20-%20&#1091;&#1090;&#1074;&#1077;&#1088;&#1078;&#1076;&#1077;&#1085;&#1085;&#1099;&#1077;%20&#1040;&#1076;&#1084;&#1080;&#1085;/&#1058;&#1072;&#1085;&#1103;/9120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4;&#1086;&#1082;&#1091;&#1084;&#1077;&#1085;&#1090;&#1099;%202016%20&#1075;&#1086;&#1076;/&#1060;&#1061;&#1044;/&#1055;&#1051;&#1040;&#1053;,%20&#1060;&#1040;&#1050;&#1058;,%20&#1060;&#1061;&#1044;,%20&#1090;&#1072;&#1088;&#1080;&#1092;&#1099;,%20&#1087;&#1088;&#1086;&#1080;&#1079;&#1074;.%20&#1087;&#1088;&#1086;&#1075;&#1088;.%20201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h32701\&#1086;&#1073;&#1097;&#1080;&#1077;&#1076;&#1086;&#1082;&#1091;&#1084;&#1077;&#1085;&#1090;&#1099;\&#1052;&#1086;&#1080;%20&#1076;&#1086;&#1082;&#1091;&#1084;&#1077;&#1085;&#1090;&#1099;\2012\&#1054;&#1057;&#1050;\&#1060;&#1086;&#1088;&#1084;&#1072;&#1090;&#1099;&#1041;&#1102;&#1076;&#1078;&#1077;&#1090;&#1086;&#1074;&#1043;&#1088;&#1091;&#1087;&#1087;&#1099;%20&#1054;&#1057;&#1050;_&#1089;_&#1080;&#1079;&#1084;&#1077;&#1085;&#1077;&#1085;&#1080;&#1103;&#1084;&#1080;%20v%207.5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4;&#1086;&#1082;&#1091;&#1084;&#1077;&#1085;&#1090;&#1099;%202017%20&#1075;&#1086;&#1076;/&#1060;&#1061;&#1044;/&#1055;&#1051;&#1040;&#1053;,%20&#1060;&#1040;&#1050;&#1058;,%20&#1060;&#1061;&#1044;%202017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5;&#1051;&#1040;&#1053;,%20&#1060;&#1040;&#1050;&#1058;,%20&#1060;&#1061;&#1044;,%20&#1055;&#1056;&#1054;&#1048;&#1047;&#1042;.%20&#1055;&#1056;&#1054;&#1043;&#1056;.,%20&#1058;&#1040;&#1056;&#1048;&#1060;&#1067;%202016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5;&#1051;&#1040;&#1053;,%20&#1060;&#1040;&#1050;&#1058;,%20&#1060;&#1061;&#1044;,%20&#1090;&#1072;&#1088;&#1080;&#1092;&#1099;,%20&#1087;&#1088;&#1086;&#1080;&#1079;&#1074;.%20&#1087;&#1088;&#1086;&#1075;&#1088;.%202016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0;&#1086;&#1087;&#1080;&#1103;%20&#1050;&#1086;&#1083;&#1083;&#1077;&#1075;&#1080;&#1103;%2005.12.2017%20&#1043;&#1086;&#1088;&#1074;&#1086;&#1076;&#1086;&#1082;&#1072;&#1085;&#1072;&#1083;%20%202018%20(&#1054;&#1050;)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3;&#1054;&#1056;&#1042;&#1054;&#1044;&#1054;&#1050;&#1040;&#1053;&#1040;&#1051;%20&#1050;&#1054;&#1058;&#1051;&#1040;&#1057;/&#1052;&#1055;%20&#1043;&#1086;&#1088;&#1074;&#1086;&#1076;&#1086;&#1082;&#1072;&#1085;&#1072;&#1083;%202014/&#1058;&#1072;&#1088;&#1080;&#1092;%20&#1085;&#1072;%20&#1087;&#1088;&#1077;&#1076;&#1077;&#1083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BERDEN~1/LOCALS~1/Temp/7zO23.tmp/&#1058;&#1072;&#1088;&#1080;&#1092;%20&#1085;&#1072;%202015%20&#1089;&#1090;&#1072;&#1088;%20&#1092;&#1086;&#1088;&#1084;&#1099;%2018.06.2014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0;&#1054;&#1056;&#1056;&#1045;&#1050;&#1058;&#1048;&#1056;&#1054;&#1042;&#1050;&#1040;%20&#1058;&#1040;&#1056;&#1048;&#1060;&#1054;&#1042;%20&#1040;&#1058;&#1062;%202017%20(&#1054;&#1050;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73;&#1097;&#1080;&#1077;&#1044;&#1086;&#1082;&#1091;&#1084;&#1077;&#1085;&#1090;&#1099;/Temp/XPgrpwise/OSK_budget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73;&#1097;&#1080;&#1077;&#1044;&#1086;&#1082;&#1091;&#1084;&#1077;&#1085;&#1090;&#1099;/&#1054;&#1090;&#1095;&#1077;&#1090;%20&#1087;&#1086;%20&#1089;&#1077;&#1073;&#1077;&#1089;&#1090;&#1086;&#1080;&#1084;&#1086;&#1089;&#1090;&#1080;%20201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73;&#1097;&#1080;&#1077;&#1044;&#1086;&#1082;&#1091;&#1084;&#1077;&#1085;&#1090;&#1099;/&#1058;&#1072;&#1088;&#1080;&#1092;&#1099;%20&#1085;&#1072;%202011%20&#1091;&#1090;&#1074;.%20&#1040;&#1075;/&#1054;&#1090;&#1095;&#1077;&#1090;%20&#1087;&#1086;%20&#1055;&#1055;%2015.03.201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h32701\&#1086;&#1073;&#1097;&#1080;&#1077;&#1076;&#1086;&#1082;&#1091;&#1084;&#1077;&#1085;&#1090;&#1099;\Documents%20and%20Settings\EIAS_user\&#1056;&#1072;&#1073;&#1086;&#1095;&#1080;&#1081;%20&#1089;&#1090;&#1086;&#1083;\JKH.OPEN.INFO.HVS2(v2.3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58;&#1044;&#1045;&#1051;%20&#1056;&#1043;&#1054;%20&#1080;%20&#1050;&#1050;/1%20&#1064;&#1040;&#1041;&#1051;&#1054;&#1053;&#1067;%20&#1045;&#1048;&#1040;&#1057;/1.5%20&#1064;&#1040;&#1041;&#1051;&#1054;&#1053;&#1067;%20&#1053;&#1040;%202017%20&#1043;&#1054;&#1044;/&#1060;&#1040;&#1050;&#1058;%202016%20&#1075;&#1086;&#1076;&#1072;/&#1040;&#1090;&#1086;&#1084;&#1072;&#1088;&#1085;&#1080;&#1082;&#1080;%20&#1074;&#1086;&#1076;&#1072;/&#1040;%20&#1050;&#1086;&#1090;&#1083;&#1072;&#1089;%20&#1043;&#1086;&#1088;&#1074;&#1086;&#1076;&#1086;&#1082;&#1072;&#1085;&#1072;&#1083;%20BALANCE.CALC.TARIFF.VSNA.2016.FACT_(v1.0.2).xlsb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h32701\&#1086;&#1073;&#1097;&#1080;&#1077;&#1076;&#1086;&#1082;&#1091;&#1084;&#1077;&#1085;&#1090;&#1099;\&#1058;&#1072;&#1088;&#1080;&#1092;&#1099;%20&#1085;&#1072;%202010&#1075;.%20-%20&#1091;&#1090;&#1074;&#1077;&#1088;&#1078;&#1076;&#1077;&#1085;&#1085;&#1099;&#1077;%20&#1040;&#1076;&#1084;&#1080;&#1085;\&#1058;&#1072;&#1085;&#1103;\91205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h32701\&#1086;&#1073;&#1097;&#1080;&#1077;&#1076;&#1086;&#1082;&#1091;&#1084;&#1077;&#1085;&#1090;&#1099;\&#1058;&#1072;&#1088;&#1080;&#1092;&#1099;%20&#1085;&#1072;%202011%20&#1091;&#1090;&#1074;.%20&#1040;&#1075;\&#1058;&#1072;&#1085;&#1103;\91205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Титул"/>
      <sheetName val="6.ПП"/>
      <sheetName val="ПЗ"/>
      <sheetName val="7и8.Кальк+ДДС"/>
      <sheetName val="9.БВП"/>
      <sheetName val="10.БОПР"/>
      <sheetName val="11.БОХР"/>
      <sheetName val="Непромышленная группа"/>
      <sheetName val="Бюджет прямых НР и НГ"/>
      <sheetName val="22.План ДДС по накладным"/>
      <sheetName val="18.Зарплата "/>
      <sheetName val="15.Инвестиции"/>
      <sheetName val="16.Кредиты"/>
      <sheetName val="17.Депозиты"/>
      <sheetName val="12.БДР"/>
      <sheetName val="14.БДДС"/>
      <sheetName val="13.Сегм"/>
    </sheetNames>
    <sheetDataSet>
      <sheetData sheetId="0">
        <row r="2">
          <cell r="M2">
            <v>2012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Прил. 1 План ФХД вода табл. 2"/>
      <sheetName val="Прил. 1 План ФХД стоки табл 2"/>
      <sheetName val="Прил. 1 План ФХД эл-я табл 2 "/>
      <sheetName val="Прил. 1 План ФХД табл 1"/>
      <sheetName val="Произв. прогр. передача электр."/>
      <sheetName val="ПОЛНАЯ СЕБЕСТОИМОСТЬ ЭЛ.ЭНЕРГИИ"/>
      <sheetName val="Произв. прогр. Стоки (СВОД)"/>
      <sheetName val="ФАКТИЧЕСКАЯ СЕБЕСТ. СТОКИ 2015"/>
      <sheetName val="ПОЛНАЯ СЕБЕСТОИМОСТЬ СТОКИ 2015"/>
      <sheetName val="Произв. прогр. Стоки"/>
      <sheetName val="Произв. прогр. Вода (СВОД)"/>
      <sheetName val="ФАКТИЧЕСКАЯ СЕБЕСТ ВОДА 2015"/>
      <sheetName val="ПОЛНАЯ СЕБЕСТОИМОСТЬ ВОДА 2015"/>
      <sheetName val="Произв. прогр. Вода"/>
      <sheetName val="объемы"/>
      <sheetName val="вода"/>
      <sheetName val="стоки"/>
      <sheetName val="цех вода"/>
      <sheetName val="цех стоки"/>
      <sheetName val="электр"/>
      <sheetName val="Аморт"/>
      <sheetName val="ХР"/>
      <sheetName val="Ремонт вода"/>
      <sheetName val="Ремонт стоки"/>
      <sheetName val="Лист2"/>
      <sheetName val="ЗП"/>
      <sheetName val="вод.налог"/>
      <sheetName val="ОХР "/>
      <sheetName val="Выпадающ"/>
      <sheetName val="расчет тарифов"/>
      <sheetName val="платежка с ИП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>
        <row r="13">
          <cell r="O13">
            <v>311.98680999999999</v>
          </cell>
        </row>
      </sheetData>
      <sheetData sheetId="7"/>
      <sheetData sheetId="8">
        <row r="7">
          <cell r="E7">
            <v>306.66000000000003</v>
          </cell>
        </row>
      </sheetData>
      <sheetData sheetId="9">
        <row r="12">
          <cell r="O12">
            <v>389.98351249999996</v>
          </cell>
        </row>
      </sheetData>
      <sheetData sheetId="10">
        <row r="45">
          <cell r="N45">
            <v>794.60468646203276</v>
          </cell>
        </row>
      </sheetData>
      <sheetData sheetId="11"/>
      <sheetData sheetId="12">
        <row r="174">
          <cell r="C174">
            <v>749.98</v>
          </cell>
        </row>
      </sheetData>
      <sheetData sheetId="13">
        <row r="116">
          <cell r="N116">
            <v>153.80367147034352</v>
          </cell>
        </row>
      </sheetData>
      <sheetData sheetId="14"/>
      <sheetData sheetId="15">
        <row r="143">
          <cell r="AK143">
            <v>30</v>
          </cell>
        </row>
      </sheetData>
      <sheetData sheetId="16">
        <row r="125">
          <cell r="AH125">
            <v>24.29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Титул"/>
      <sheetName val="6.ПП"/>
      <sheetName val="ПЗ"/>
      <sheetName val="7и8.Кальк+ДДС"/>
      <sheetName val="9.БВП"/>
      <sheetName val="10.БОПР"/>
      <sheetName val="11.БОХР"/>
      <sheetName val="Непромышленная группа"/>
      <sheetName val="Бюджет прямых НР и НГ"/>
      <sheetName val="22.План ДДС по накладным"/>
      <sheetName val="18.Зарплата "/>
      <sheetName val="15.Инвестиции"/>
      <sheetName val="16.Кредиты"/>
      <sheetName val="17.Депозиты"/>
      <sheetName val="12.БДР"/>
      <sheetName val="14.БДДС"/>
      <sheetName val="13.Сегм"/>
    </sheetNames>
    <sheetDataSet>
      <sheetData sheetId="0">
        <row r="2">
          <cell r="M2">
            <v>2012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ФАКТИЧЕСКАЯ СЕБЕСТ. СТОКИ 2017"/>
      <sheetName val="ПОЛНАЯ СЕБЕСТОИМОСТЬ СТОКИ 2017"/>
      <sheetName val="ФАКТИЧЕСКАЯ СЕБЕСТ ВОДА 2017"/>
      <sheetName val="ПОЛНАЯ СЕБЕСТОИМОСТЬ ВОДА 2017"/>
      <sheetName val="Текущий ремонт"/>
      <sheetName val="Чистая прибыль"/>
      <sheetName val="Прил. 1 План ФХД табл 1"/>
      <sheetName val="Прил. 1 План ФХД стоки табл 2"/>
      <sheetName val="Прил. 1 План ФХД вода табл. 2"/>
      <sheetName val="Произв. прогр. Стоки (СВОД)"/>
      <sheetName val="Произв. прогр. Стоки"/>
      <sheetName val="Произв. прогр. Вода (СВОД)"/>
      <sheetName val="Произв. прогр. Вода"/>
      <sheetName val="Тариф тех.вода 2016-2017 ПЛАН"/>
      <sheetName val="Тариф вода 2016-2017 ПЛАН"/>
      <sheetName val="ВОДА (СВОД) 2016-2017"/>
      <sheetName val="Тариф очистка 2016-2017 ПЛАН"/>
      <sheetName val="Тариф стоки 2016-2017 ПЛАН"/>
      <sheetName val="СТОКИ (СВОД) 2016-2017"/>
      <sheetName val="объемы"/>
      <sheetName val="объемы черн"/>
      <sheetName val="вода"/>
      <sheetName val="стоки"/>
      <sheetName val="электр 2017-2018"/>
      <sheetName val="электр"/>
      <sheetName val="ХР"/>
      <sheetName val="Аморт"/>
      <sheetName val="ЗП"/>
      <sheetName val="ЗП с факт 3 кв. 2015"/>
      <sheetName val="ЗП среднемес"/>
      <sheetName val="цех вода"/>
      <sheetName val="цех стоки"/>
      <sheetName val="ОХР "/>
      <sheetName val=" текРемвода 2016"/>
      <sheetName val="  текРемстоки 2016"/>
      <sheetName val="Кап Рем"/>
      <sheetName val="кап влож"/>
      <sheetName val="Ремонт вода 2016"/>
      <sheetName val="Ремонт стоки 2016"/>
      <sheetName val="Резерв ДЗ"/>
      <sheetName val="Выпадающ15-16"/>
      <sheetName val="транс"/>
      <sheetName val="вод.налог"/>
      <sheetName val="налог на имущ"/>
      <sheetName val="Тариф вода 2016-2018"/>
      <sheetName val="Тариф тех вода 2016-2018"/>
      <sheetName val="Тариф стоки 2016-2018"/>
      <sheetName val="Тариф очистка 2016-2018"/>
      <sheetName val="расчет тарифов "/>
      <sheetName val="Лист2"/>
      <sheetName val="Выпадающ"/>
      <sheetName val="Ремонт вода 2015"/>
      <sheetName val="Ремонт стоки 2015"/>
      <sheetName val="платежка с ИП"/>
      <sheetName val="Лист1"/>
    </sheetNames>
    <sheetDataSet>
      <sheetData sheetId="0" refreshError="1"/>
      <sheetData sheetId="1" refreshError="1"/>
      <sheetData sheetId="2" refreshError="1"/>
      <sheetData sheetId="3">
        <row r="214">
          <cell r="C214">
            <v>0</v>
          </cell>
          <cell r="D214">
            <v>0</v>
          </cell>
          <cell r="E214">
            <v>0</v>
          </cell>
          <cell r="H214">
            <v>0</v>
          </cell>
          <cell r="I214">
            <v>0</v>
          </cell>
          <cell r="J214">
            <v>0</v>
          </cell>
          <cell r="P214">
            <v>0</v>
          </cell>
          <cell r="Q214">
            <v>0</v>
          </cell>
          <cell r="R214">
            <v>0</v>
          </cell>
          <cell r="W214">
            <v>0</v>
          </cell>
          <cell r="Y214">
            <v>0</v>
          </cell>
          <cell r="Z214">
            <v>0</v>
          </cell>
        </row>
        <row r="215">
          <cell r="C215">
            <v>0</v>
          </cell>
          <cell r="D215">
            <v>0</v>
          </cell>
          <cell r="E215">
            <v>0</v>
          </cell>
          <cell r="H215">
            <v>0</v>
          </cell>
          <cell r="I215">
            <v>0</v>
          </cell>
          <cell r="J215">
            <v>0</v>
          </cell>
          <cell r="P215">
            <v>0</v>
          </cell>
          <cell r="Q215">
            <v>0</v>
          </cell>
          <cell r="R215">
            <v>0</v>
          </cell>
          <cell r="W215">
            <v>0</v>
          </cell>
          <cell r="Y215">
            <v>0</v>
          </cell>
          <cell r="Z215">
            <v>0</v>
          </cell>
        </row>
        <row r="216">
          <cell r="C216">
            <v>0</v>
          </cell>
          <cell r="D216">
            <v>0</v>
          </cell>
          <cell r="E216">
            <v>0</v>
          </cell>
          <cell r="H216">
            <v>0</v>
          </cell>
          <cell r="I216">
            <v>0</v>
          </cell>
          <cell r="J216">
            <v>0</v>
          </cell>
          <cell r="P216">
            <v>0</v>
          </cell>
          <cell r="Q216">
            <v>0</v>
          </cell>
          <cell r="R216">
            <v>0</v>
          </cell>
          <cell r="W216">
            <v>0</v>
          </cell>
          <cell r="Y216">
            <v>0</v>
          </cell>
          <cell r="Z216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Прил. 1 План ФХД табл 1"/>
      <sheetName val="Прил. 1 План ФХД стоки табл 2"/>
      <sheetName val="Прил. 1 План ФХД вода табл. 2"/>
      <sheetName val="ФАКТИЧЕСКАЯ СЕБЕСТ. СТОКИ 2016"/>
      <sheetName val="ПОЛНАЯ СЕБЕСТОИМОСТЬ СТОКИ 2016"/>
      <sheetName val="ФАКТИЧЕСКАЯ СЕБЕСТ ВОДА 2016"/>
      <sheetName val="ПОЛНАЯ СЕБЕСТОИМОСТЬ ВОДА 2016"/>
      <sheetName val="Произв. прогр. Стоки (СВОД)"/>
      <sheetName val="Произв. прогр. Стоки"/>
      <sheetName val="Произв. прогр. Вода (СВОД)"/>
      <sheetName val="Произв. прогр. Вода"/>
      <sheetName val="Тариф тех.вода 2016-2017 ПЛАН"/>
      <sheetName val="Тариф вода 2016-2017 ПЛАН"/>
      <sheetName val="ВОДА (СВОД) 2016-2017"/>
      <sheetName val="Тариф очистка 2016-2017 ПЛАН"/>
      <sheetName val="Тариф стоки 2016-2017 ПЛАН"/>
      <sheetName val="СТОКИ (СВОД) 2016-2017"/>
      <sheetName val="объемы"/>
      <sheetName val="объемы черн"/>
      <sheetName val="вода"/>
      <sheetName val="стоки"/>
      <sheetName val="электр 2017-2018"/>
      <sheetName val="электр"/>
      <sheetName val="ХР"/>
      <sheetName val="Аморт"/>
      <sheetName val="ЗП"/>
      <sheetName val="ЗП с факт 3 кв. 2015"/>
      <sheetName val="ЗП среднемес"/>
      <sheetName val="цех вода"/>
      <sheetName val="цех стоки"/>
      <sheetName val="ОХР "/>
      <sheetName val=" текРемвода 2016"/>
      <sheetName val="  текРемстоки 2016"/>
      <sheetName val="Кап Рем"/>
      <sheetName val="кап влож"/>
      <sheetName val="Ремонт вода 2016"/>
      <sheetName val="Ремонт стоки 2016"/>
      <sheetName val="Резерв ДЗ"/>
      <sheetName val="Выпадающ15-16"/>
      <sheetName val="транс"/>
      <sheetName val="вод.налог"/>
      <sheetName val="налог на имущ"/>
      <sheetName val="Тариф вода 2016-2018"/>
      <sheetName val="Тариф тех вода 2016-2018"/>
      <sheetName val="Тариф стоки 2016-2018"/>
      <sheetName val="Тариф очистка 2016-2018"/>
      <sheetName val="расчет тарифов "/>
      <sheetName val="Лист2"/>
      <sheetName val="Выпадающ"/>
      <sheetName val="Ремонт вода 2015"/>
      <sheetName val="Ремонт стоки 2015"/>
      <sheetName val="платежка с ИП"/>
      <sheetName val="Лист1"/>
    </sheetNames>
    <sheetDataSet>
      <sheetData sheetId="0"/>
      <sheetData sheetId="1">
        <row r="52">
          <cell r="M52">
            <v>0.22499999999999998</v>
          </cell>
        </row>
      </sheetData>
      <sheetData sheetId="2">
        <row r="59">
          <cell r="L59">
            <v>994</v>
          </cell>
        </row>
      </sheetData>
      <sheetData sheetId="3"/>
      <sheetData sheetId="4"/>
      <sheetData sheetId="5"/>
      <sheetData sheetId="6"/>
      <sheetData sheetId="7">
        <row r="62">
          <cell r="R62">
            <v>0</v>
          </cell>
          <cell r="V62">
            <v>0</v>
          </cell>
          <cell r="AA62">
            <v>0</v>
          </cell>
          <cell r="AF62">
            <v>0</v>
          </cell>
        </row>
      </sheetData>
      <sheetData sheetId="8"/>
      <sheetData sheetId="9">
        <row r="14">
          <cell r="Q14">
            <v>0.11827535406039125</v>
          </cell>
          <cell r="U14">
            <v>0.12264299562170441</v>
          </cell>
          <cell r="Z14">
            <v>0.1251917844897803</v>
          </cell>
          <cell r="AE14">
            <v>0.11793771714126863</v>
          </cell>
        </row>
        <row r="17">
          <cell r="Q17">
            <v>0.19858380826769037</v>
          </cell>
          <cell r="U17">
            <v>0.19459421378169231</v>
          </cell>
          <cell r="Z17">
            <v>0.19224763167855127</v>
          </cell>
          <cell r="AE17">
            <v>0.19889057537378924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5">
          <cell r="BG15">
            <v>0.30099890009404989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>
        <row r="112">
          <cell r="B112">
            <v>24.23345303768841</v>
          </cell>
        </row>
      </sheetData>
      <sheetData sheetId="47"/>
      <sheetData sheetId="48"/>
      <sheetData sheetId="49"/>
      <sheetData sheetId="50"/>
      <sheetData sheetId="51"/>
      <sheetData sheetId="52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Прил. 1 План ФХД вода табл. 2"/>
      <sheetName val="Прил. 1 План ФХД стоки табл 2"/>
      <sheetName val="Прил. 1 План ФХД эл-я табл 2 "/>
      <sheetName val="Прил. 1 План ФХД табл 1"/>
      <sheetName val="Произв. прогр. передача электр."/>
      <sheetName val="ПОЛНАЯ СЕБЕСТОИМОСТЬ ЭЛ.ЭНЕРГИИ"/>
      <sheetName val="Произв. прогр. Стоки (СВОД)"/>
      <sheetName val="ФАКТИЧЕСКАЯ СЕБЕСТ. СТОКИ 2015"/>
      <sheetName val="ПОЛНАЯ СЕБЕСТОИМОСТЬ СТОКИ 2015"/>
      <sheetName val="Произв. прогр. Стоки"/>
      <sheetName val="Произв. прогр. Вода (СВОД)"/>
      <sheetName val="ФАКТИЧЕСКАЯ СЕБЕСТ ВОДА 2015"/>
      <sheetName val="ПОЛНАЯ СЕБЕСТОИМОСТЬ ВОДА 2015"/>
      <sheetName val="Произв. прогр. Вода"/>
      <sheetName val="объемы"/>
      <sheetName val="вода"/>
      <sheetName val="стоки"/>
      <sheetName val="цех вода"/>
      <sheetName val="цех стоки"/>
      <sheetName val="электр"/>
      <sheetName val="Аморт"/>
      <sheetName val="ХР"/>
      <sheetName val="Ремонт вода"/>
      <sheetName val="Ремонт стоки"/>
      <sheetName val="Лист2"/>
      <sheetName val="ЗП"/>
      <sheetName val="вод.налог"/>
      <sheetName val="ОХР "/>
      <sheetName val="Выпадающ"/>
      <sheetName val="расчет тарифов"/>
      <sheetName val="платежка с ИП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7">
          <cell r="AI7">
            <v>17186.106536940872</v>
          </cell>
        </row>
      </sheetData>
      <sheetData sheetId="16">
        <row r="7">
          <cell r="AF7">
            <v>13487.065850798484</v>
          </cell>
        </row>
      </sheetData>
      <sheetData sheetId="17" refreshError="1"/>
      <sheetData sheetId="18">
        <row r="62">
          <cell r="V62">
            <v>1119.2106875700802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9">
          <cell r="AD9">
            <v>6131.07156006064</v>
          </cell>
        </row>
      </sheetData>
      <sheetData sheetId="28">
        <row r="16">
          <cell r="B16">
            <v>1355.2</v>
          </cell>
        </row>
      </sheetData>
      <sheetData sheetId="29" refreshError="1"/>
      <sheetData sheetId="30" refreshError="1"/>
      <sheetData sheetId="31" refreshError="1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расчет тарифов "/>
      <sheetName val="объемы"/>
      <sheetName val="объемы черн"/>
      <sheetName val="ф1.1. п5 МУ"/>
      <sheetName val="ф.1 п.5 МУ 1746э"/>
      <sheetName val="ТН"/>
      <sheetName val="факт шаблон стоки"/>
      <sheetName val="факт шаблон вода"/>
      <sheetName val="А"/>
      <sheetName val="водный налог вып"/>
      <sheetName val="ВП объемы"/>
      <sheetName val="вода"/>
      <sheetName val="стоки"/>
      <sheetName val="вода 2018 коррект"/>
      <sheetName val="тех вода 2018"/>
      <sheetName val="стоки 2018"/>
      <sheetName val="очистка 2016-2018"/>
      <sheetName val="цех вода"/>
      <sheetName val="цех стоки"/>
      <sheetName val="ХР"/>
      <sheetName val="электр 2017-2018"/>
      <sheetName val="электр"/>
      <sheetName val="Аморт"/>
      <sheetName val="Лист2"/>
      <sheetName val="ЗП"/>
      <sheetName val="ЗП с факт 3 кв. 2015"/>
      <sheetName val="ЗП среднемес"/>
      <sheetName val="транс"/>
      <sheetName val=" текРемвода 2016"/>
      <sheetName val="  текРемстоки 2016"/>
      <sheetName val="Кап Рем"/>
      <sheetName val="кап влож"/>
      <sheetName val="вод.налог"/>
      <sheetName val="налог на имущ"/>
      <sheetName val="ОХР "/>
      <sheetName val="Резерв ДЗ"/>
      <sheetName val="Выпадающ15-16"/>
      <sheetName val="Ремонт стоки 2016"/>
      <sheetName val="Ремонт вода 2016"/>
      <sheetName val="Выпадающ"/>
      <sheetName val="Ремонт вода 2015"/>
      <sheetName val="Ремонт стоки 2015"/>
      <sheetName val="платежка с ИП"/>
      <sheetName val="рез к 2017"/>
      <sheetName val="2017 к"/>
      <sheetName val="2018 к"/>
      <sheetName val="имушество 2017 к."/>
      <sheetName val="Лист4"/>
      <sheetName val="2017 к смета"/>
      <sheetName val="2018 к смета"/>
      <sheetName val="ИП"/>
      <sheetName val="хим. реагенты"/>
      <sheetName val="ээ 2015"/>
      <sheetName val="ремонт"/>
      <sheetName val="НВОС"/>
    </sheetNames>
    <sheetDataSet>
      <sheetData sheetId="0"/>
      <sheetData sheetId="1">
        <row r="48">
          <cell r="R48">
            <v>2377.86</v>
          </cell>
          <cell r="Y48">
            <v>2311.15</v>
          </cell>
          <cell r="AA48">
            <v>2428.56</v>
          </cell>
          <cell r="AJ48">
            <v>2380</v>
          </cell>
        </row>
        <row r="58">
          <cell r="R58">
            <v>2289.52</v>
          </cell>
          <cell r="Y58">
            <v>2239.89</v>
          </cell>
          <cell r="AA58">
            <v>2448</v>
          </cell>
          <cell r="AJ58">
            <v>2300</v>
          </cell>
        </row>
      </sheetData>
      <sheetData sheetId="2"/>
      <sheetData sheetId="3"/>
      <sheetData sheetId="4"/>
      <sheetData sheetId="5"/>
      <sheetData sheetId="6">
        <row r="3">
          <cell r="A3">
            <v>271693.3</v>
          </cell>
        </row>
        <row r="4">
          <cell r="A4">
            <v>267880.98</v>
          </cell>
        </row>
        <row r="5">
          <cell r="A5">
            <v>264651.92</v>
          </cell>
        </row>
        <row r="6">
          <cell r="A6">
            <v>262160.76</v>
          </cell>
        </row>
        <row r="7">
          <cell r="A7">
            <v>251481.02000000002</v>
          </cell>
        </row>
        <row r="8">
          <cell r="A8">
            <v>249611.67</v>
          </cell>
        </row>
        <row r="9">
          <cell r="A9">
            <v>223476.73</v>
          </cell>
        </row>
        <row r="10">
          <cell r="A10">
            <v>244501.71000000002</v>
          </cell>
        </row>
        <row r="11">
          <cell r="A11">
            <v>254060.72000000003</v>
          </cell>
        </row>
        <row r="12">
          <cell r="A12">
            <v>246681.56999999998</v>
          </cell>
        </row>
        <row r="13">
          <cell r="A13">
            <v>253925.40000000002</v>
          </cell>
        </row>
        <row r="14">
          <cell r="A14">
            <v>250714.08</v>
          </cell>
        </row>
        <row r="31">
          <cell r="A31">
            <v>251.25</v>
          </cell>
        </row>
        <row r="32">
          <cell r="A32">
            <v>753.75</v>
          </cell>
        </row>
        <row r="33">
          <cell r="A33">
            <v>3772.71</v>
          </cell>
        </row>
        <row r="34">
          <cell r="A34">
            <v>524.5</v>
          </cell>
        </row>
        <row r="35">
          <cell r="A35">
            <v>753.75</v>
          </cell>
        </row>
        <row r="36">
          <cell r="A36">
            <v>4175.71</v>
          </cell>
        </row>
        <row r="37">
          <cell r="A37">
            <v>450</v>
          </cell>
        </row>
        <row r="38">
          <cell r="A38">
            <v>585</v>
          </cell>
        </row>
        <row r="39">
          <cell r="A39">
            <v>4072.71</v>
          </cell>
        </row>
        <row r="40">
          <cell r="A40">
            <v>611.25</v>
          </cell>
        </row>
        <row r="41">
          <cell r="A41">
            <v>810</v>
          </cell>
        </row>
        <row r="42">
          <cell r="A42">
            <v>3885.21</v>
          </cell>
        </row>
      </sheetData>
      <sheetData sheetId="7">
        <row r="3">
          <cell r="A3">
            <v>316969.11</v>
          </cell>
        </row>
        <row r="4">
          <cell r="A4">
            <v>317912.65999999997</v>
          </cell>
        </row>
        <row r="5">
          <cell r="A5">
            <v>304216.37</v>
          </cell>
        </row>
        <row r="6">
          <cell r="A6">
            <v>304396.70999999996</v>
          </cell>
        </row>
        <row r="7">
          <cell r="A7">
            <v>291575.15000000002</v>
          </cell>
        </row>
        <row r="8">
          <cell r="A8">
            <v>286018.59999999998</v>
          </cell>
        </row>
        <row r="9">
          <cell r="A9">
            <v>260188.14</v>
          </cell>
        </row>
        <row r="10">
          <cell r="A10">
            <v>290647.99</v>
          </cell>
        </row>
        <row r="11">
          <cell r="A11">
            <v>297249.68</v>
          </cell>
        </row>
        <row r="12">
          <cell r="A12">
            <v>296237.41000000003</v>
          </cell>
        </row>
        <row r="13">
          <cell r="A13">
            <v>308631.80000000005</v>
          </cell>
        </row>
        <row r="14">
          <cell r="A14">
            <v>292296.71999999997</v>
          </cell>
        </row>
        <row r="31">
          <cell r="A31">
            <v>315</v>
          </cell>
        </row>
        <row r="32">
          <cell r="A32">
            <v>208</v>
          </cell>
        </row>
        <row r="33">
          <cell r="A33">
            <v>260</v>
          </cell>
        </row>
        <row r="34">
          <cell r="A34">
            <v>305</v>
          </cell>
        </row>
        <row r="35">
          <cell r="A35">
            <v>181</v>
          </cell>
        </row>
        <row r="36">
          <cell r="A36">
            <v>194</v>
          </cell>
        </row>
        <row r="37">
          <cell r="A37">
            <v>220</v>
          </cell>
        </row>
        <row r="38">
          <cell r="A38">
            <v>134</v>
          </cell>
        </row>
        <row r="39">
          <cell r="A39">
            <v>130</v>
          </cell>
        </row>
        <row r="40">
          <cell r="A40">
            <v>113</v>
          </cell>
        </row>
        <row r="41">
          <cell r="A41">
            <v>90</v>
          </cell>
        </row>
        <row r="42">
          <cell r="A42">
            <v>249</v>
          </cell>
        </row>
      </sheetData>
      <sheetData sheetId="8"/>
      <sheetData sheetId="9"/>
      <sheetData sheetId="10"/>
      <sheetData sheetId="11">
        <row r="44">
          <cell r="BF44">
            <v>1186.1707105587886</v>
          </cell>
        </row>
        <row r="45">
          <cell r="BF45">
            <v>117.63502835085798</v>
          </cell>
        </row>
      </sheetData>
      <sheetData sheetId="12"/>
      <sheetData sheetId="13">
        <row r="9">
          <cell r="F9">
            <v>130132.0308002161</v>
          </cell>
        </row>
        <row r="45">
          <cell r="F45">
            <v>25.95</v>
          </cell>
          <cell r="K45">
            <v>27.796610169491526</v>
          </cell>
        </row>
        <row r="46">
          <cell r="F46">
            <v>27.796610169491526</v>
          </cell>
        </row>
      </sheetData>
      <sheetData sheetId="14">
        <row r="9">
          <cell r="F9">
            <v>343.98110328661932</v>
          </cell>
        </row>
      </sheetData>
      <sheetData sheetId="15">
        <row r="9">
          <cell r="F9">
            <v>85119.686560402581</v>
          </cell>
        </row>
        <row r="44">
          <cell r="K44">
            <v>22.500000000000004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38">
          <cell r="P38">
            <v>9.6711300000000016</v>
          </cell>
        </row>
        <row r="39">
          <cell r="P39">
            <v>1426.7512821041175</v>
          </cell>
        </row>
        <row r="52">
          <cell r="D52">
            <v>0.81840000000000002</v>
          </cell>
        </row>
        <row r="53">
          <cell r="D53">
            <v>1205.1155031133251</v>
          </cell>
        </row>
      </sheetData>
      <sheetData sheetId="33"/>
      <sheetData sheetId="34"/>
      <sheetData sheetId="35">
        <row r="38">
          <cell r="E38">
            <v>1252.0986612073889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4">
          <cell r="C14">
            <v>98.513376816778745</v>
          </cell>
        </row>
        <row r="15">
          <cell r="C15">
            <v>0.66899318322124657</v>
          </cell>
        </row>
        <row r="39">
          <cell r="N39">
            <v>151654.44009198531</v>
          </cell>
        </row>
        <row r="40">
          <cell r="N40">
            <v>1079.8922978686169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ОХР ТЭ"/>
      <sheetName val="вода"/>
      <sheetName val="стоки"/>
      <sheetName val="цеховые вода"/>
      <sheetName val="цеховые стоки"/>
      <sheetName val="общехоз."/>
      <sheetName val="динамика"/>
      <sheetName val="электроэнергия"/>
      <sheetName val="амортизация"/>
      <sheetName val="химикаты"/>
      <sheetName val="ср разряд"/>
      <sheetName val="зарплата"/>
      <sheetName val="прогноз тарифов"/>
      <sheetName val="аморт-отчет"/>
      <sheetName val="КЗ и ДЗ"/>
      <sheetName val="АУП"/>
    </sheetNames>
    <sheetDataSet>
      <sheetData sheetId="0"/>
      <sheetData sheetId="1"/>
      <sheetData sheetId="2">
        <row r="50">
          <cell r="Z50">
            <v>4900</v>
          </cell>
        </row>
      </sheetData>
      <sheetData sheetId="3"/>
      <sheetData sheetId="4"/>
      <sheetData sheetId="5"/>
      <sheetData sheetId="6">
        <row r="45">
          <cell r="G45">
            <v>2983.3866666666668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объемы"/>
      <sheetName val="свод ЗП"/>
      <sheetName val="вода"/>
      <sheetName val="стоки"/>
      <sheetName val="цех вода"/>
      <sheetName val="цех стоки"/>
      <sheetName val="электр"/>
      <sheetName val="Аморт"/>
      <sheetName val="ХР"/>
      <sheetName val="ЗП"/>
      <sheetName val="ОХР согл с тепл"/>
      <sheetName val="тариф на коллегию"/>
      <sheetName val="платежка с ИП"/>
      <sheetName val="индексы"/>
      <sheetName val="Протокол пит вода"/>
      <sheetName val="котельная"/>
      <sheetName val="Протокол тех вода"/>
      <sheetName val="Протокол водоотв"/>
      <sheetName val="Протокол очистка"/>
      <sheetName val="вывод"/>
      <sheetName val="аморт-отчет"/>
      <sheetName val="тариф без ИП"/>
      <sheetName val="ОХР черновик"/>
    </sheetNames>
    <sheetDataSet>
      <sheetData sheetId="0" refreshError="1">
        <row r="37">
          <cell r="H37">
            <v>3493.4257142857145</v>
          </cell>
        </row>
        <row r="50">
          <cell r="H50">
            <v>1773.7999999999997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расчет тарифов "/>
      <sheetName val="объемы"/>
      <sheetName val="объемы черн"/>
      <sheetName val="ф1.1. п5 МУ"/>
      <sheetName val="ТН"/>
      <sheetName val="водный налог вып"/>
      <sheetName val="ВП объемы"/>
      <sheetName val="вода"/>
      <sheetName val="стоки"/>
      <sheetName val="вода 2017 коррект"/>
      <sheetName val="тех вода 2017"/>
      <sheetName val="стоки 2017"/>
      <sheetName val="очистка 2016-2018"/>
      <sheetName val="цех вода"/>
      <sheetName val="цех стоки"/>
      <sheetName val="ХР"/>
      <sheetName val="электр 2017-2018"/>
      <sheetName val="электр"/>
      <sheetName val="Аморт"/>
      <sheetName val="Лист2"/>
      <sheetName val="ЗП"/>
      <sheetName val="ЗП с факт 3 кв. 2015"/>
      <sheetName val="ЗП среднемес"/>
      <sheetName val="транс"/>
      <sheetName val=" текРемвода 2016"/>
      <sheetName val="  текРемстоки 2016"/>
      <sheetName val="Кап Рем"/>
      <sheetName val="кап влож"/>
      <sheetName val="вод.налог"/>
      <sheetName val="налог на имущ"/>
      <sheetName val="ОХР "/>
      <sheetName val="Резерв ДЗ"/>
      <sheetName val="Выпадающ15-16"/>
      <sheetName val="Ремонт стоки 2016"/>
      <sheetName val="Ремонт вода 2016"/>
      <sheetName val="Выпадающ"/>
      <sheetName val="Ремонт вода 2015"/>
      <sheetName val="Ремонт стоки 2015"/>
      <sheetName val="платежка с ИП"/>
      <sheetName val="рез к 2017"/>
      <sheetName val="налоги"/>
      <sheetName val="имушество 2017 к."/>
      <sheetName val="Лист4"/>
      <sheetName val="СМЕТА"/>
      <sheetName val="ИП"/>
      <sheetName val="хим. реагенты"/>
      <sheetName val="ээ 2015"/>
      <sheetName val="ремонт"/>
    </sheetNames>
    <sheetDataSet>
      <sheetData sheetId="0"/>
      <sheetData sheetId="1">
        <row r="37">
          <cell r="L37">
            <v>5800.03</v>
          </cell>
          <cell r="M37">
            <v>5561.39</v>
          </cell>
          <cell r="T37">
            <v>5779.357</v>
          </cell>
          <cell r="W37">
            <v>5654.317</v>
          </cell>
          <cell r="AG37">
            <v>20.349</v>
          </cell>
        </row>
        <row r="40">
          <cell r="L40">
            <v>754</v>
          </cell>
          <cell r="M40">
            <v>557.12</v>
          </cell>
          <cell r="T40">
            <v>750</v>
          </cell>
          <cell r="W40">
            <v>686.4</v>
          </cell>
          <cell r="AF40">
            <v>854.19674447979992</v>
          </cell>
        </row>
        <row r="45">
          <cell r="L45">
            <v>1007.9</v>
          </cell>
          <cell r="M45">
            <v>998</v>
          </cell>
          <cell r="T45">
            <v>997.3</v>
          </cell>
          <cell r="W45">
            <v>978.7</v>
          </cell>
          <cell r="AF45">
            <v>925.13947696139473</v>
          </cell>
        </row>
        <row r="48">
          <cell r="L48">
            <v>2800</v>
          </cell>
          <cell r="R48">
            <v>2377.86</v>
          </cell>
          <cell r="T48">
            <v>2428.56</v>
          </cell>
          <cell r="W48">
            <v>2428.56</v>
          </cell>
          <cell r="AF48">
            <v>2380</v>
          </cell>
        </row>
        <row r="49">
          <cell r="T49">
            <v>21.42</v>
          </cell>
          <cell r="X49">
            <v>21.42</v>
          </cell>
        </row>
        <row r="50">
          <cell r="L50">
            <v>1192</v>
          </cell>
          <cell r="T50">
            <v>1003.1</v>
          </cell>
          <cell r="W50">
            <v>1016.677</v>
          </cell>
          <cell r="AF50">
            <v>996</v>
          </cell>
        </row>
        <row r="51">
          <cell r="T51">
            <v>557.55700000000002</v>
          </cell>
          <cell r="W51">
            <v>543.98</v>
          </cell>
          <cell r="AF51">
            <v>395</v>
          </cell>
        </row>
        <row r="58">
          <cell r="R58">
            <v>2289.52</v>
          </cell>
        </row>
      </sheetData>
      <sheetData sheetId="2"/>
      <sheetData sheetId="3"/>
      <sheetData sheetId="4"/>
      <sheetData sheetId="5"/>
      <sheetData sheetId="6"/>
      <sheetData sheetId="7">
        <row r="44">
          <cell r="BF44">
            <v>1186.1707105587886</v>
          </cell>
        </row>
        <row r="45">
          <cell r="BF45">
            <v>117.63502835085798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25">
          <cell r="U25">
            <v>8136.1</v>
          </cell>
        </row>
        <row r="30">
          <cell r="U30">
            <v>4822.1000000000004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38">
          <cell r="G38">
            <v>7.9768080000000001</v>
          </cell>
        </row>
        <row r="39">
          <cell r="G39">
            <v>1349.5274148209801</v>
          </cell>
        </row>
      </sheetData>
      <sheetData sheetId="29"/>
      <sheetData sheetId="30">
        <row r="23">
          <cell r="AI23">
            <v>112.52</v>
          </cell>
          <cell r="AO23">
            <v>193.7</v>
          </cell>
          <cell r="AP23">
            <v>105.40282019021265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>
        <row r="8">
          <cell r="C8">
            <v>8296.6500000000015</v>
          </cell>
        </row>
      </sheetData>
      <sheetData sheetId="43"/>
      <sheetData sheetId="44"/>
      <sheetData sheetId="45"/>
      <sheetData sheetId="46"/>
      <sheetData sheetId="47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README"/>
      <sheetName val="Титул"/>
      <sheetName val="Список"/>
      <sheetName val="ПП"/>
      <sheetName val="ПЗ"/>
      <sheetName val="План произв-ва"/>
      <sheetName val="Сегм"/>
      <sheetName val="БДР"/>
      <sheetName val="БДДС"/>
      <sheetName val="Кредиты"/>
      <sheetName val="Депозиты"/>
      <sheetName val="Зпл"/>
      <sheetName val="БВП"/>
      <sheetName val="БОПР"/>
      <sheetName val="БОХР"/>
      <sheetName val="НГ"/>
      <sheetName val="Бюджет прямых НР и НГ"/>
      <sheetName val="План ДДС по накладным"/>
      <sheetName val="АГРЕГ"/>
      <sheetName val="распред ЗПЛ БДДС"/>
      <sheetName val="Контроли"/>
      <sheetName val="ОУ0"/>
      <sheetName val="ОУ1"/>
      <sheetName val="ОУ2"/>
      <sheetName val="ОУ3"/>
      <sheetName val="ОУ4"/>
      <sheetName val="ОУ5"/>
      <sheetName val="ОУ6"/>
      <sheetName val="ОУ7"/>
      <sheetName val="ОУ8"/>
      <sheetName val="ОУ9"/>
      <sheetName val="ОУ10"/>
      <sheetName val="ОУ11"/>
      <sheetName val="ОУ12"/>
      <sheetName val="ОУ13"/>
      <sheetName val="ОУ14"/>
      <sheetName val="ОУ15"/>
      <sheetName val="ОУ16"/>
      <sheetName val="ОУ17"/>
      <sheetName val="ОУ18"/>
      <sheetName val="ОУ19"/>
      <sheetName val="ОУ20"/>
      <sheetName val="ОУ21"/>
      <sheetName val="ОУ22"/>
      <sheetName val="ОУ23"/>
      <sheetName val="ОУ24"/>
      <sheetName val="ОУ25"/>
      <sheetName val="ОУ26"/>
      <sheetName val="ОУ27"/>
      <sheetName val="ОУ28"/>
      <sheetName val="ОУ29"/>
      <sheetName val="ОУ30"/>
      <sheetName val="ОУ31"/>
      <sheetName val="ОУ32"/>
      <sheetName val="ОУ33"/>
      <sheetName val="ОУ34"/>
      <sheetName val="ОУ35"/>
      <sheetName val="ОУ36"/>
      <sheetName val="ОУ37"/>
      <sheetName val="ОУ38"/>
      <sheetName val="ОУ39"/>
      <sheetName val="ОУ40"/>
      <sheetName val="ОУ41"/>
      <sheetName val="ОУ42"/>
      <sheetName val="ОУ43"/>
      <sheetName val="ОУ44"/>
      <sheetName val="ОУ45"/>
      <sheetName val="ОУ46"/>
      <sheetName val="ОУ47"/>
      <sheetName val="ОУ48"/>
      <sheetName val="ОУ49"/>
      <sheetName val="СВОД_ГОЗ"/>
      <sheetName val="СВОД_ВТС"/>
      <sheetName val="СВОД_ГП"/>
      <sheetName val="СВОД_Прочее"/>
      <sheetName val="СВОД_Общий"/>
      <sheetName val="Инвестиции (1)"/>
      <sheetName val="Инвестиции (2)"/>
      <sheetName val="Инвестиции (3)"/>
      <sheetName val="Инвестиции (4)"/>
      <sheetName val="Инвестиции (5)"/>
      <sheetName val="Распред БОХР"/>
      <sheetName val="Распред БОПР(1)"/>
      <sheetName val="Распред БОПР(2)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доходы-2012"/>
      <sheetName val="расходы-2012"/>
      <sheetName val="рез. деят. в УЭиЦ"/>
      <sheetName val="в мониторинг"/>
      <sheetName val="Доходы -вып.плана"/>
      <sheetName val="Субсидии"/>
      <sheetName val="Акт сверки по субсидиям"/>
      <sheetName val="Данные для субсидии"/>
      <sheetName val="оплаченные счета"/>
      <sheetName val="объёмы"/>
      <sheetName val="Отчет по объемам в Аг."/>
      <sheetName val="распределение январь по бухг."/>
      <sheetName val="распределение"/>
      <sheetName val="прочие расходы"/>
      <sheetName val="план-факт прочие"/>
      <sheetName val="прочие расходы ожид"/>
      <sheetName val="прочие расходы в аг"/>
      <sheetName val="Сводная по мат. всп."/>
      <sheetName val="отчёт"/>
      <sheetName val="цеховые расходы"/>
      <sheetName val="план -факт цеховые "/>
      <sheetName val="цеховые расходы ожид"/>
      <sheetName val="цеховые расходы в аг."/>
      <sheetName val="расшифровка"/>
      <sheetName val="нараст. итогом"/>
      <sheetName val="ЗП и резервы"/>
      <sheetName val="ЗП (12мес.)"/>
      <sheetName val="отчет по цех."/>
      <sheetName val="РФ факт"/>
      <sheetName val="РФ ожид.факт "/>
      <sheetName val="мат всп. за 3 года  в Агенство "/>
      <sheetName val="план"/>
      <sheetName val="22-жкх"/>
      <sheetName val="Амортиз.отч."/>
      <sheetName val="нормативы расхода"/>
      <sheetName val="нормативы расхода в Агентство"/>
      <sheetName val="ж.д тариф"/>
      <sheetName val="сводная по расходам"/>
      <sheetName val="свод расх ожид. всего"/>
      <sheetName val="свод расх ожид. вода"/>
      <sheetName val="свод расх ожид. стоки"/>
      <sheetName val="отчет в ОСК ожид"/>
      <sheetName val="расходы в аг."/>
      <sheetName val="Запрос ПЭО"/>
      <sheetName val="Сводная  ген.д."/>
      <sheetName val="Вода  в Агенство 1 квартал"/>
      <sheetName val="Вода  в Агенство 1 полугодие"/>
      <sheetName val="Вода  в Агенство 9 мес."/>
      <sheetName val="Вода  в Агенство год"/>
      <sheetName val="Неоч. в Агентство 1 квартал "/>
      <sheetName val="Неоч. в Агентство 1 полугодие"/>
      <sheetName val="Неоч. в Агентство 9 мес."/>
      <sheetName val="Неоч. в Агентство год"/>
      <sheetName val="неоч. 1,2,3,4 квартал"/>
      <sheetName val="Стоки  в  Агенство  1квартал"/>
      <sheetName val="Стоки  в  Агенство  1 полугодие"/>
      <sheetName val="Стоки  в  Агенство  9 мес. "/>
      <sheetName val="Стоки  в  Агенство за год"/>
      <sheetName val="Амортизация и КР до 2022"/>
      <sheetName val="Фин. рез. запрос Аг -27.02.2012"/>
      <sheetName val="Данные для ОСК без формул"/>
      <sheetName val="отчет в ОСК "/>
      <sheetName val="отпр. ОСК"/>
      <sheetName val="отчет Калькул. в ОСК"/>
      <sheetName val="отпр.Калькул. в ОСК"/>
      <sheetName val="Ожид.доходы "/>
      <sheetName val="Показатели по премированию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Объемы в."/>
      <sheetName val="Объемы с."/>
      <sheetName val="Доходы "/>
      <sheetName val=" Расходы "/>
      <sheetName val="Прибыль2"/>
      <sheetName val="Прибыль1"/>
      <sheetName val="осн.материалы "/>
      <sheetName val="реагенты"/>
      <sheetName val="вспом.матер. "/>
      <sheetName val="электроэнергия"/>
      <sheetName val="теплоэнергия"/>
      <sheetName val="Зарплата"/>
      <sheetName val="ТПП  "/>
      <sheetName val="РФ  "/>
      <sheetName val="общеэксп."/>
      <sheetName val=" цеховые"/>
      <sheetName val=" прочие"/>
      <sheetName val="Повыш.эфф.в"/>
      <sheetName val="Повыш.эфф.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Инструкция"/>
      <sheetName val="Титульный"/>
      <sheetName val="Список листов"/>
      <sheetName val="ХВС цены"/>
      <sheetName val="ХВС характеристики"/>
      <sheetName val="ХВС инвестиции"/>
      <sheetName val="ХВС доступ"/>
      <sheetName val="ХВС показатели"/>
      <sheetName val="Проверка"/>
      <sheetName val="REESTR_ORG"/>
      <sheetName val="REESTR_TEMP"/>
      <sheetName val="REESTR"/>
      <sheetName val="TEHSHEET"/>
      <sheetName val="tech"/>
      <sheetName val="REESTR_STAR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9">
          <cell r="B19" t="str">
            <v>Оказание услуг в сфере водоснабжения</v>
          </cell>
        </row>
        <row r="20">
          <cell r="B20" t="str">
            <v>Оказание услуг в сфере водоснабжения и очистки сточных вод</v>
          </cell>
        </row>
        <row r="21">
          <cell r="B21" t="str">
            <v>Транспортировка воды</v>
          </cell>
        </row>
        <row r="22">
          <cell r="B22" t="str">
            <v>Оказание услуг в сфере водоснабжения и транспортировка воды</v>
          </cell>
        </row>
        <row r="23">
          <cell r="B23" t="str">
            <v>Оказание услуг в сфере водоснабжения и очистки сточных вод, транспортировка воды</v>
          </cell>
        </row>
      </sheetData>
      <sheetData sheetId="13"/>
      <sheetData sheetId="14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modVLDIntegrityProv"/>
      <sheetName val="modVLDProv"/>
      <sheetName val="modfrmReestr"/>
      <sheetName val="modFuel"/>
      <sheetName val="Инструкция"/>
      <sheetName val="modInstruction"/>
      <sheetName val="Лог обновления"/>
      <sheetName val="Титульный"/>
      <sheetName val="modSheetTitle"/>
      <sheetName val="Список территорий"/>
      <sheetName val="Список объектов"/>
      <sheetName val="TECHSHEET"/>
      <sheetName val="TECH_HORISONTAL"/>
      <sheetName val="TECH_VERTICAL"/>
      <sheetName val="REESTR_ORG"/>
      <sheetName val="REESTR_SOURCE"/>
      <sheetName val="ТС.БПр"/>
      <sheetName val="ТС.БТр"/>
      <sheetName val="ТС.РО"/>
      <sheetName val="ТС.Т"/>
      <sheetName val="БПр"/>
      <sheetName val="БТр"/>
      <sheetName val="РО"/>
      <sheetName val="Р"/>
      <sheetName val="ВО.БПр"/>
      <sheetName val="ВО.БТр"/>
      <sheetName val="ВО.РО"/>
      <sheetName val="ВО.Р"/>
      <sheetName val="ТБО.РО"/>
      <sheetName val="Комментарии"/>
      <sheetName val="Проверка"/>
      <sheetName val="REESTR_MO"/>
      <sheetName val="REESTR_LOCATION"/>
      <sheetName val="AUTHORISATION"/>
      <sheetName val="DICTIONARIES"/>
      <sheetName val="PLAN1X_LIST_ORG"/>
      <sheetName val="PLAN1X_LIST_SUBSIDIARY"/>
      <sheetName val="PLAN1X_LIST_SRC"/>
      <sheetName val="PLAN1X_TMX"/>
      <sheetName val="modGetGeoBase"/>
      <sheetName val="modInfo"/>
      <sheetName val="modUIButtons"/>
      <sheetName val="modVLDCommonProv"/>
      <sheetName val="modCommonProcedures"/>
      <sheetName val="modBalPr"/>
      <sheetName val="modBalTr"/>
      <sheetName val="modCalc"/>
      <sheetName val="modReagent"/>
      <sheetName val="modListMO"/>
      <sheetName val="modListObjects"/>
      <sheetName val="modRequestSpecificData"/>
      <sheetName val="modRequestGenericData"/>
      <sheetName val="modfrmRegion"/>
      <sheetName val="modVLDProvGeneralProc"/>
      <sheetName val="modPLAN1XUpdate"/>
      <sheetName val="modVLDAreaUniqueness"/>
      <sheetName val="modfrmOrg"/>
      <sheetName val="modUpdTemplMain"/>
      <sheetName val="modfrmCheckUpdates"/>
      <sheetName val="modfrmDateChoose"/>
      <sheetName val="modIHLCommandBar"/>
      <sheetName val="modfrmHEATAdditionalOrgData"/>
      <sheetName val="modfrmHEATFUELSelector"/>
      <sheetName val="modfrmReportMod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2">
          <cell r="G2" t="str">
            <v>холодного водоснабжения</v>
          </cell>
        </row>
        <row r="37">
          <cell r="G37" t="str">
            <v>VSNA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68"/>
  <sheetViews>
    <sheetView topLeftCell="A46" workbookViewId="0">
      <selection activeCell="C44" sqref="C44"/>
    </sheetView>
  </sheetViews>
  <sheetFormatPr defaultRowHeight="12.75"/>
  <cols>
    <col min="1" max="7" width="12.7109375" style="4868" customWidth="1"/>
    <col min="8" max="258" width="9.140625" style="4868"/>
    <col min="259" max="259" width="20.7109375" style="4868" customWidth="1"/>
    <col min="260" max="262" width="14.7109375" style="4868" customWidth="1"/>
    <col min="263" max="514" width="9.140625" style="4868"/>
    <col min="515" max="515" width="20.7109375" style="4868" customWidth="1"/>
    <col min="516" max="518" width="14.7109375" style="4868" customWidth="1"/>
    <col min="519" max="770" width="9.140625" style="4868"/>
    <col min="771" max="771" width="20.7109375" style="4868" customWidth="1"/>
    <col min="772" max="774" width="14.7109375" style="4868" customWidth="1"/>
    <col min="775" max="1026" width="9.140625" style="4868"/>
    <col min="1027" max="1027" width="20.7109375" style="4868" customWidth="1"/>
    <col min="1028" max="1030" width="14.7109375" style="4868" customWidth="1"/>
    <col min="1031" max="1282" width="9.140625" style="4868"/>
    <col min="1283" max="1283" width="20.7109375" style="4868" customWidth="1"/>
    <col min="1284" max="1286" width="14.7109375" style="4868" customWidth="1"/>
    <col min="1287" max="1538" width="9.140625" style="4868"/>
    <col min="1539" max="1539" width="20.7109375" style="4868" customWidth="1"/>
    <col min="1540" max="1542" width="14.7109375" style="4868" customWidth="1"/>
    <col min="1543" max="1794" width="9.140625" style="4868"/>
    <col min="1795" max="1795" width="20.7109375" style="4868" customWidth="1"/>
    <col min="1796" max="1798" width="14.7109375" style="4868" customWidth="1"/>
    <col min="1799" max="2050" width="9.140625" style="4868"/>
    <col min="2051" max="2051" width="20.7109375" style="4868" customWidth="1"/>
    <col min="2052" max="2054" width="14.7109375" style="4868" customWidth="1"/>
    <col min="2055" max="2306" width="9.140625" style="4868"/>
    <col min="2307" max="2307" width="20.7109375" style="4868" customWidth="1"/>
    <col min="2308" max="2310" width="14.7109375" style="4868" customWidth="1"/>
    <col min="2311" max="2562" width="9.140625" style="4868"/>
    <col min="2563" max="2563" width="20.7109375" style="4868" customWidth="1"/>
    <col min="2564" max="2566" width="14.7109375" style="4868" customWidth="1"/>
    <col min="2567" max="2818" width="9.140625" style="4868"/>
    <col min="2819" max="2819" width="20.7109375" style="4868" customWidth="1"/>
    <col min="2820" max="2822" width="14.7109375" style="4868" customWidth="1"/>
    <col min="2823" max="3074" width="9.140625" style="4868"/>
    <col min="3075" max="3075" width="20.7109375" style="4868" customWidth="1"/>
    <col min="3076" max="3078" width="14.7109375" style="4868" customWidth="1"/>
    <col min="3079" max="3330" width="9.140625" style="4868"/>
    <col min="3331" max="3331" width="20.7109375" style="4868" customWidth="1"/>
    <col min="3332" max="3334" width="14.7109375" style="4868" customWidth="1"/>
    <col min="3335" max="3586" width="9.140625" style="4868"/>
    <col min="3587" max="3587" width="20.7109375" style="4868" customWidth="1"/>
    <col min="3588" max="3590" width="14.7109375" style="4868" customWidth="1"/>
    <col min="3591" max="3842" width="9.140625" style="4868"/>
    <col min="3843" max="3843" width="20.7109375" style="4868" customWidth="1"/>
    <col min="3844" max="3846" width="14.7109375" style="4868" customWidth="1"/>
    <col min="3847" max="4098" width="9.140625" style="4868"/>
    <col min="4099" max="4099" width="20.7109375" style="4868" customWidth="1"/>
    <col min="4100" max="4102" width="14.7109375" style="4868" customWidth="1"/>
    <col min="4103" max="4354" width="9.140625" style="4868"/>
    <col min="4355" max="4355" width="20.7109375" style="4868" customWidth="1"/>
    <col min="4356" max="4358" width="14.7109375" style="4868" customWidth="1"/>
    <col min="4359" max="4610" width="9.140625" style="4868"/>
    <col min="4611" max="4611" width="20.7109375" style="4868" customWidth="1"/>
    <col min="4612" max="4614" width="14.7109375" style="4868" customWidth="1"/>
    <col min="4615" max="4866" width="9.140625" style="4868"/>
    <col min="4867" max="4867" width="20.7109375" style="4868" customWidth="1"/>
    <col min="4868" max="4870" width="14.7109375" style="4868" customWidth="1"/>
    <col min="4871" max="5122" width="9.140625" style="4868"/>
    <col min="5123" max="5123" width="20.7109375" style="4868" customWidth="1"/>
    <col min="5124" max="5126" width="14.7109375" style="4868" customWidth="1"/>
    <col min="5127" max="5378" width="9.140625" style="4868"/>
    <col min="5379" max="5379" width="20.7109375" style="4868" customWidth="1"/>
    <col min="5380" max="5382" width="14.7109375" style="4868" customWidth="1"/>
    <col min="5383" max="5634" width="9.140625" style="4868"/>
    <col min="5635" max="5635" width="20.7109375" style="4868" customWidth="1"/>
    <col min="5636" max="5638" width="14.7109375" style="4868" customWidth="1"/>
    <col min="5639" max="5890" width="9.140625" style="4868"/>
    <col min="5891" max="5891" width="20.7109375" style="4868" customWidth="1"/>
    <col min="5892" max="5894" width="14.7109375" style="4868" customWidth="1"/>
    <col min="5895" max="6146" width="9.140625" style="4868"/>
    <col min="6147" max="6147" width="20.7109375" style="4868" customWidth="1"/>
    <col min="6148" max="6150" width="14.7109375" style="4868" customWidth="1"/>
    <col min="6151" max="6402" width="9.140625" style="4868"/>
    <col min="6403" max="6403" width="20.7109375" style="4868" customWidth="1"/>
    <col min="6404" max="6406" width="14.7109375" style="4868" customWidth="1"/>
    <col min="6407" max="6658" width="9.140625" style="4868"/>
    <col min="6659" max="6659" width="20.7109375" style="4868" customWidth="1"/>
    <col min="6660" max="6662" width="14.7109375" style="4868" customWidth="1"/>
    <col min="6663" max="6914" width="9.140625" style="4868"/>
    <col min="6915" max="6915" width="20.7109375" style="4868" customWidth="1"/>
    <col min="6916" max="6918" width="14.7109375" style="4868" customWidth="1"/>
    <col min="6919" max="7170" width="9.140625" style="4868"/>
    <col min="7171" max="7171" width="20.7109375" style="4868" customWidth="1"/>
    <col min="7172" max="7174" width="14.7109375" style="4868" customWidth="1"/>
    <col min="7175" max="7426" width="9.140625" style="4868"/>
    <col min="7427" max="7427" width="20.7109375" style="4868" customWidth="1"/>
    <col min="7428" max="7430" width="14.7109375" style="4868" customWidth="1"/>
    <col min="7431" max="7682" width="9.140625" style="4868"/>
    <col min="7683" max="7683" width="20.7109375" style="4868" customWidth="1"/>
    <col min="7684" max="7686" width="14.7109375" style="4868" customWidth="1"/>
    <col min="7687" max="7938" width="9.140625" style="4868"/>
    <col min="7939" max="7939" width="20.7109375" style="4868" customWidth="1"/>
    <col min="7940" max="7942" width="14.7109375" style="4868" customWidth="1"/>
    <col min="7943" max="8194" width="9.140625" style="4868"/>
    <col min="8195" max="8195" width="20.7109375" style="4868" customWidth="1"/>
    <col min="8196" max="8198" width="14.7109375" style="4868" customWidth="1"/>
    <col min="8199" max="8450" width="9.140625" style="4868"/>
    <col min="8451" max="8451" width="20.7109375" style="4868" customWidth="1"/>
    <col min="8452" max="8454" width="14.7109375" style="4868" customWidth="1"/>
    <col min="8455" max="8706" width="9.140625" style="4868"/>
    <col min="8707" max="8707" width="20.7109375" style="4868" customWidth="1"/>
    <col min="8708" max="8710" width="14.7109375" style="4868" customWidth="1"/>
    <col min="8711" max="8962" width="9.140625" style="4868"/>
    <col min="8963" max="8963" width="20.7109375" style="4868" customWidth="1"/>
    <col min="8964" max="8966" width="14.7109375" style="4868" customWidth="1"/>
    <col min="8967" max="9218" width="9.140625" style="4868"/>
    <col min="9219" max="9219" width="20.7109375" style="4868" customWidth="1"/>
    <col min="9220" max="9222" width="14.7109375" style="4868" customWidth="1"/>
    <col min="9223" max="9474" width="9.140625" style="4868"/>
    <col min="9475" max="9475" width="20.7109375" style="4868" customWidth="1"/>
    <col min="9476" max="9478" width="14.7109375" style="4868" customWidth="1"/>
    <col min="9479" max="9730" width="9.140625" style="4868"/>
    <col min="9731" max="9731" width="20.7109375" style="4868" customWidth="1"/>
    <col min="9732" max="9734" width="14.7109375" style="4868" customWidth="1"/>
    <col min="9735" max="9986" width="9.140625" style="4868"/>
    <col min="9987" max="9987" width="20.7109375" style="4868" customWidth="1"/>
    <col min="9988" max="9990" width="14.7109375" style="4868" customWidth="1"/>
    <col min="9991" max="10242" width="9.140625" style="4868"/>
    <col min="10243" max="10243" width="20.7109375" style="4868" customWidth="1"/>
    <col min="10244" max="10246" width="14.7109375" style="4868" customWidth="1"/>
    <col min="10247" max="10498" width="9.140625" style="4868"/>
    <col min="10499" max="10499" width="20.7109375" style="4868" customWidth="1"/>
    <col min="10500" max="10502" width="14.7109375" style="4868" customWidth="1"/>
    <col min="10503" max="10754" width="9.140625" style="4868"/>
    <col min="10755" max="10755" width="20.7109375" style="4868" customWidth="1"/>
    <col min="10756" max="10758" width="14.7109375" style="4868" customWidth="1"/>
    <col min="10759" max="11010" width="9.140625" style="4868"/>
    <col min="11011" max="11011" width="20.7109375" style="4868" customWidth="1"/>
    <col min="11012" max="11014" width="14.7109375" style="4868" customWidth="1"/>
    <col min="11015" max="11266" width="9.140625" style="4868"/>
    <col min="11267" max="11267" width="20.7109375" style="4868" customWidth="1"/>
    <col min="11268" max="11270" width="14.7109375" style="4868" customWidth="1"/>
    <col min="11271" max="11522" width="9.140625" style="4868"/>
    <col min="11523" max="11523" width="20.7109375" style="4868" customWidth="1"/>
    <col min="11524" max="11526" width="14.7109375" style="4868" customWidth="1"/>
    <col min="11527" max="11778" width="9.140625" style="4868"/>
    <col min="11779" max="11779" width="20.7109375" style="4868" customWidth="1"/>
    <col min="11780" max="11782" width="14.7109375" style="4868" customWidth="1"/>
    <col min="11783" max="12034" width="9.140625" style="4868"/>
    <col min="12035" max="12035" width="20.7109375" style="4868" customWidth="1"/>
    <col min="12036" max="12038" width="14.7109375" style="4868" customWidth="1"/>
    <col min="12039" max="12290" width="9.140625" style="4868"/>
    <col min="12291" max="12291" width="20.7109375" style="4868" customWidth="1"/>
    <col min="12292" max="12294" width="14.7109375" style="4868" customWidth="1"/>
    <col min="12295" max="12546" width="9.140625" style="4868"/>
    <col min="12547" max="12547" width="20.7109375" style="4868" customWidth="1"/>
    <col min="12548" max="12550" width="14.7109375" style="4868" customWidth="1"/>
    <col min="12551" max="12802" width="9.140625" style="4868"/>
    <col min="12803" max="12803" width="20.7109375" style="4868" customWidth="1"/>
    <col min="12804" max="12806" width="14.7109375" style="4868" customWidth="1"/>
    <col min="12807" max="13058" width="9.140625" style="4868"/>
    <col min="13059" max="13059" width="20.7109375" style="4868" customWidth="1"/>
    <col min="13060" max="13062" width="14.7109375" style="4868" customWidth="1"/>
    <col min="13063" max="13314" width="9.140625" style="4868"/>
    <col min="13315" max="13315" width="20.7109375" style="4868" customWidth="1"/>
    <col min="13316" max="13318" width="14.7109375" style="4868" customWidth="1"/>
    <col min="13319" max="13570" width="9.140625" style="4868"/>
    <col min="13571" max="13571" width="20.7109375" style="4868" customWidth="1"/>
    <col min="13572" max="13574" width="14.7109375" style="4868" customWidth="1"/>
    <col min="13575" max="13826" width="9.140625" style="4868"/>
    <col min="13827" max="13827" width="20.7109375" style="4868" customWidth="1"/>
    <col min="13828" max="13830" width="14.7109375" style="4868" customWidth="1"/>
    <col min="13831" max="14082" width="9.140625" style="4868"/>
    <col min="14083" max="14083" width="20.7109375" style="4868" customWidth="1"/>
    <col min="14084" max="14086" width="14.7109375" style="4868" customWidth="1"/>
    <col min="14087" max="14338" width="9.140625" style="4868"/>
    <col min="14339" max="14339" width="20.7109375" style="4868" customWidth="1"/>
    <col min="14340" max="14342" width="14.7109375" style="4868" customWidth="1"/>
    <col min="14343" max="14594" width="9.140625" style="4868"/>
    <col min="14595" max="14595" width="20.7109375" style="4868" customWidth="1"/>
    <col min="14596" max="14598" width="14.7109375" style="4868" customWidth="1"/>
    <col min="14599" max="14850" width="9.140625" style="4868"/>
    <col min="14851" max="14851" width="20.7109375" style="4868" customWidth="1"/>
    <col min="14852" max="14854" width="14.7109375" style="4868" customWidth="1"/>
    <col min="14855" max="15106" width="9.140625" style="4868"/>
    <col min="15107" max="15107" width="20.7109375" style="4868" customWidth="1"/>
    <col min="15108" max="15110" width="14.7109375" style="4868" customWidth="1"/>
    <col min="15111" max="15362" width="9.140625" style="4868"/>
    <col min="15363" max="15363" width="20.7109375" style="4868" customWidth="1"/>
    <col min="15364" max="15366" width="14.7109375" style="4868" customWidth="1"/>
    <col min="15367" max="15618" width="9.140625" style="4868"/>
    <col min="15619" max="15619" width="20.7109375" style="4868" customWidth="1"/>
    <col min="15620" max="15622" width="14.7109375" style="4868" customWidth="1"/>
    <col min="15623" max="15874" width="9.140625" style="4868"/>
    <col min="15875" max="15875" width="20.7109375" style="4868" customWidth="1"/>
    <col min="15876" max="15878" width="14.7109375" style="4868" customWidth="1"/>
    <col min="15879" max="16130" width="9.140625" style="4868"/>
    <col min="16131" max="16131" width="20.7109375" style="4868" customWidth="1"/>
    <col min="16132" max="16134" width="14.7109375" style="4868" customWidth="1"/>
    <col min="16135" max="16384" width="9.140625" style="4868"/>
  </cols>
  <sheetData>
    <row r="1" spans="1:7" ht="15.75">
      <c r="A1" s="4893" t="s">
        <v>2044</v>
      </c>
      <c r="B1" s="4893"/>
      <c r="C1" s="4893"/>
      <c r="D1" s="4893"/>
      <c r="E1" s="4893"/>
      <c r="F1" s="4893"/>
      <c r="G1" s="4894"/>
    </row>
    <row r="2" spans="1:7" ht="15.75">
      <c r="A2" s="4889" t="s">
        <v>383</v>
      </c>
      <c r="B2" s="4889"/>
      <c r="C2" s="4889"/>
      <c r="D2" s="4890"/>
      <c r="E2" s="4890"/>
      <c r="F2" s="4890"/>
      <c r="G2" s="4890"/>
    </row>
    <row r="3" spans="1:7" ht="13.5">
      <c r="A3" s="4891" t="s">
        <v>1823</v>
      </c>
      <c r="B3" s="4883" t="s">
        <v>1912</v>
      </c>
      <c r="C3" s="4884"/>
      <c r="D3" s="4885" t="s">
        <v>1913</v>
      </c>
      <c r="E3" s="4883" t="s">
        <v>2042</v>
      </c>
      <c r="F3" s="4887"/>
      <c r="G3" s="4888"/>
    </row>
    <row r="4" spans="1:7" ht="15.75">
      <c r="A4" s="4892"/>
      <c r="B4" s="4870" t="s">
        <v>1989</v>
      </c>
      <c r="C4" s="4870" t="s">
        <v>1990</v>
      </c>
      <c r="D4" s="4886"/>
      <c r="E4" s="4870" t="s">
        <v>1989</v>
      </c>
      <c r="F4" s="4870" t="s">
        <v>1990</v>
      </c>
      <c r="G4" s="4870" t="s">
        <v>2043</v>
      </c>
    </row>
    <row r="5" spans="1:7" ht="15.75">
      <c r="A5" s="4871" t="s">
        <v>267</v>
      </c>
      <c r="B5" s="4877">
        <f>SUM('ФАКТ. СЕБЕСТ ВОДА 1 пол.2018'!B14-'ФАКТ. СЕБЕСТ ВОДА 1 пол.2018'!B17)*1000</f>
        <v>307846.41000000003</v>
      </c>
      <c r="C5" s="4872">
        <f>SUM('ФАКТ. СЕБЕСТ ВОДА 1 пол.2018'!C14-'ФАКТ. СЕБЕСТ ВОДА 1 пол.2018'!C17)*1000</f>
        <v>319190</v>
      </c>
      <c r="D5" s="4873">
        <v>36.03</v>
      </c>
      <c r="E5" s="4874">
        <f>B5*D5/1000</f>
        <v>11091.706152300003</v>
      </c>
      <c r="F5" s="4874">
        <f>C5*D5/1000</f>
        <v>11500.415700000001</v>
      </c>
      <c r="G5" s="4874">
        <f>SUM(F5-E5)</f>
        <v>408.70954769999844</v>
      </c>
    </row>
    <row r="6" spans="1:7" ht="15.75">
      <c r="A6" s="4871" t="s">
        <v>268</v>
      </c>
      <c r="B6" s="4877">
        <f>SUM('ФАКТ. СЕБЕСТ ВОДА 1 пол.2018'!E14-'ФАКТ. СЕБЕСТ ВОДА 1 пол.2018'!E17)*1000</f>
        <v>306035.7</v>
      </c>
      <c r="C6" s="4872">
        <f>SUM('ФАКТ. СЕБЕСТ ВОДА 1 пол.2018'!F14-'ФАКТ. СЕБЕСТ ВОДА 1 пол.2018'!F17)*1000</f>
        <v>315390</v>
      </c>
      <c r="D6" s="4873">
        <v>36.03</v>
      </c>
      <c r="E6" s="4874">
        <f t="shared" ref="E6:E16" si="0">B6*D6/1000</f>
        <v>11026.466271000001</v>
      </c>
      <c r="F6" s="4874">
        <f t="shared" ref="F6:F16" si="1">C6*D6/1000</f>
        <v>11363.501700000001</v>
      </c>
      <c r="G6" s="4874">
        <f t="shared" ref="G6:G16" si="2">SUM(F6-E6)</f>
        <v>337.03542899999957</v>
      </c>
    </row>
    <row r="7" spans="1:7" ht="15.75">
      <c r="A7" s="4871" t="s">
        <v>269</v>
      </c>
      <c r="B7" s="4877">
        <f>SUM('ФАКТ. СЕБЕСТ ВОДА 1 пол.2018'!H14-'ФАКТ. СЕБЕСТ ВОДА 1 пол.2018'!H17)*1000</f>
        <v>306035.7</v>
      </c>
      <c r="C7" s="4872">
        <f>SUM('ФАКТ. СЕБЕСТ ВОДА 1 пол.2018'!I14-'ФАКТ. СЕБЕСТ ВОДА 1 пол.2018'!I17)*1000</f>
        <v>297260.00000000006</v>
      </c>
      <c r="D7" s="4873">
        <v>36.03</v>
      </c>
      <c r="E7" s="4874">
        <f t="shared" si="0"/>
        <v>11026.466271000001</v>
      </c>
      <c r="F7" s="4874">
        <f t="shared" si="1"/>
        <v>10710.277800000003</v>
      </c>
      <c r="G7" s="4874">
        <f t="shared" si="2"/>
        <v>-316.18847099999766</v>
      </c>
    </row>
    <row r="8" spans="1:7" ht="15.75">
      <c r="A8" s="4871" t="s">
        <v>270</v>
      </c>
      <c r="B8" s="4877">
        <f>SUM('ФАКТ. СЕБЕСТ ВОДА 1 пол.2018'!P14-'ФАКТ. СЕБЕСТ ВОДА 1 пол.2018'!P17)*1000</f>
        <v>304224.99</v>
      </c>
      <c r="C8" s="4872">
        <f>SUM('ФАКТ. СЕБЕСТ ВОДА 1 пол.2018'!Q14-'ФАКТ. СЕБЕСТ ВОДА 1 пол.2018'!Q17)*1000</f>
        <v>320200</v>
      </c>
      <c r="D8" s="4873">
        <v>36.03</v>
      </c>
      <c r="E8" s="4874">
        <f t="shared" si="0"/>
        <v>10961.226389699999</v>
      </c>
      <c r="F8" s="4874">
        <f t="shared" si="1"/>
        <v>11536.806</v>
      </c>
      <c r="G8" s="4874">
        <f t="shared" si="2"/>
        <v>575.57961030000115</v>
      </c>
    </row>
    <row r="9" spans="1:7" ht="15.75">
      <c r="A9" s="4871" t="s">
        <v>271</v>
      </c>
      <c r="B9" s="4877">
        <f>SUM('ФАКТ. СЕБЕСТ ВОДА 1 пол.2018'!S14-'ФАКТ. СЕБЕСТ ВОДА 1 пол.2018'!S17)*1000</f>
        <v>287928.60000000003</v>
      </c>
      <c r="C9" s="4872">
        <f>SUM('ФАКТ. СЕБЕСТ ВОДА 1 пол.2018'!T14-'ФАКТ. СЕБЕСТ ВОДА 1 пол.2018'!T17)*1000</f>
        <v>304989.99999999994</v>
      </c>
      <c r="D9" s="4873">
        <v>36.03</v>
      </c>
      <c r="E9" s="4874">
        <f t="shared" si="0"/>
        <v>10374.067458000003</v>
      </c>
      <c r="F9" s="4874">
        <f t="shared" si="1"/>
        <v>10988.789699999998</v>
      </c>
      <c r="G9" s="4874">
        <f t="shared" si="2"/>
        <v>614.72224199999437</v>
      </c>
    </row>
    <row r="10" spans="1:7" ht="15.75">
      <c r="A10" s="4871" t="s">
        <v>272</v>
      </c>
      <c r="B10" s="4877">
        <f>SUM('ФАКТ. СЕБЕСТ ВОДА 1 пол.2018'!V14-'ФАКТ. СЕБЕСТ ВОДА 1 пол.2018'!V17)*1000</f>
        <v>287928.60000000003</v>
      </c>
      <c r="C10" s="4872">
        <f>SUM('ФАКТ. СЕБЕСТ ВОДА 1 пол.2018'!W14-'ФАКТ. СЕБЕСТ ВОДА 1 пол.2018'!W17)*1000</f>
        <v>324890.00000000006</v>
      </c>
      <c r="D10" s="4873">
        <v>36.03</v>
      </c>
      <c r="E10" s="4874">
        <f t="shared" si="0"/>
        <v>10374.067458000003</v>
      </c>
      <c r="F10" s="4874">
        <f t="shared" si="1"/>
        <v>11705.786700000002</v>
      </c>
      <c r="G10" s="4874">
        <f t="shared" si="2"/>
        <v>1331.7192419999992</v>
      </c>
    </row>
    <row r="11" spans="1:7" ht="15.75">
      <c r="A11" s="4871" t="s">
        <v>1226</v>
      </c>
      <c r="B11" s="4877">
        <f>SUM('ФАКТ. СЕБЕСТ ВОДА 1 пол.2018'!AI14-'ФАКТ. СЕБЕСТ ВОДА 1 пол.2018'!AI17)*1000</f>
        <v>287928.60000000003</v>
      </c>
      <c r="C11" s="4872">
        <f>SUM('ФАКТ. СЕБЕСТ ВОДА 1 пол.2018'!AJ14-'ФАКТ. СЕБЕСТ ВОДА 1 пол.2018'!AJ17)*1000</f>
        <v>0</v>
      </c>
      <c r="D11" s="4873">
        <v>36.85</v>
      </c>
      <c r="E11" s="4874">
        <f t="shared" si="0"/>
        <v>10610.168910000002</v>
      </c>
      <c r="F11" s="4874">
        <f t="shared" si="1"/>
        <v>0</v>
      </c>
      <c r="G11" s="4874">
        <f t="shared" si="2"/>
        <v>-10610.168910000002</v>
      </c>
    </row>
    <row r="12" spans="1:7" ht="15.75">
      <c r="A12" s="4871" t="s">
        <v>273</v>
      </c>
      <c r="B12" s="4877">
        <f>SUM('ФАКТ. СЕБЕСТ ВОДА 1 пол.2018'!AL14-'ФАКТ. СЕБЕСТ ВОДА 1 пол.2018'!AL17)*1000</f>
        <v>287928.60000000003</v>
      </c>
      <c r="C12" s="4872">
        <f>SUM('ФАКТ. СЕБЕСТ ВОДА 1 пол.2018'!AM14-'ФАКТ. СЕБЕСТ ВОДА 1 пол.2018'!AM17)*1000</f>
        <v>0</v>
      </c>
      <c r="D12" s="4873">
        <v>36.85</v>
      </c>
      <c r="E12" s="4874">
        <f t="shared" si="0"/>
        <v>10610.168910000002</v>
      </c>
      <c r="F12" s="4874">
        <f t="shared" si="1"/>
        <v>0</v>
      </c>
      <c r="G12" s="4874">
        <f t="shared" si="2"/>
        <v>-10610.168910000002</v>
      </c>
    </row>
    <row r="13" spans="1:7" ht="15.75">
      <c r="A13" s="4871" t="s">
        <v>1244</v>
      </c>
      <c r="B13" s="4877">
        <f>SUM('ФАКТ. СЕБЕСТ ВОДА 1 пол.2018'!AO14-'ФАКТ. СЕБЕСТ ВОДА 1 пол.2018'!AO17)*1000</f>
        <v>304224.99</v>
      </c>
      <c r="C13" s="4872">
        <f>SUM('ФАКТ. СЕБЕСТ ВОДА 1 пол.2018'!AP14-'ФАКТ. СЕБЕСТ ВОДА 1 пол.2018'!AP17)*1000</f>
        <v>0</v>
      </c>
      <c r="D13" s="4873">
        <v>36.85</v>
      </c>
      <c r="E13" s="4874">
        <f t="shared" si="0"/>
        <v>11210.690881500001</v>
      </c>
      <c r="F13" s="4874">
        <f t="shared" si="1"/>
        <v>0</v>
      </c>
      <c r="G13" s="4874">
        <f t="shared" si="2"/>
        <v>-11210.690881500001</v>
      </c>
    </row>
    <row r="14" spans="1:7" ht="15.75">
      <c r="A14" s="4871" t="s">
        <v>274</v>
      </c>
      <c r="B14" s="4877">
        <f>SUM('ФАКТ. СЕБЕСТ ВОДА 1 пол.2018'!BB14-'ФАКТ. СЕБЕСТ ВОДА 1 пол.2018'!BB17)*1000</f>
        <v>306035.7</v>
      </c>
      <c r="C14" s="4872">
        <f>SUM('ФАКТ. СЕБЕСТ ВОДА 1 пол.2018'!BC14-'ФАКТ. СЕБЕСТ ВОДА 1 пол.2018'!BC17)*1000</f>
        <v>0</v>
      </c>
      <c r="D14" s="4873">
        <v>36.85</v>
      </c>
      <c r="E14" s="4874">
        <f t="shared" si="0"/>
        <v>11277.415545000002</v>
      </c>
      <c r="F14" s="4874">
        <f t="shared" si="1"/>
        <v>0</v>
      </c>
      <c r="G14" s="4874">
        <f t="shared" si="2"/>
        <v>-11277.415545000002</v>
      </c>
    </row>
    <row r="15" spans="1:7" ht="15.75">
      <c r="A15" s="4871" t="s">
        <v>275</v>
      </c>
      <c r="B15" s="4877">
        <f>SUM('ФАКТ. СЕБЕСТ ВОДА 1 пол.2018'!BE14-'ФАКТ. СЕБЕСТ ВОДА 1 пол.2018'!BE17)*1000</f>
        <v>306035.7</v>
      </c>
      <c r="C15" s="4872">
        <f>SUM('ФАКТ. СЕБЕСТ ВОДА 1 пол.2018'!BF14-'ФАКТ. СЕБЕСТ ВОДА 1 пол.2018'!BF17)*1000</f>
        <v>0</v>
      </c>
      <c r="D15" s="4873">
        <v>36.85</v>
      </c>
      <c r="E15" s="4874">
        <f t="shared" si="0"/>
        <v>11277.415545000002</v>
      </c>
      <c r="F15" s="4874">
        <f t="shared" si="1"/>
        <v>0</v>
      </c>
      <c r="G15" s="4874">
        <f t="shared" si="2"/>
        <v>-11277.415545000002</v>
      </c>
    </row>
    <row r="16" spans="1:7" ht="15.75">
      <c r="A16" s="4871" t="s">
        <v>1335</v>
      </c>
      <c r="B16" s="4877">
        <f>SUM('ФАКТ. СЕБЕСТ ВОДА 1 пол.2018'!BH14-'ФАКТ. СЕБЕСТ ВОДА 1 пол.2018'!BH17)*1000</f>
        <v>307846.41000000003</v>
      </c>
      <c r="C16" s="4872">
        <f>SUM('ФАКТ. СЕБЕСТ ВОДА 1 пол.2018'!BI14-'ФАКТ. СЕБЕСТ ВОДА 1 пол.2018'!BI17)*1000</f>
        <v>0</v>
      </c>
      <c r="D16" s="4873">
        <v>36.85</v>
      </c>
      <c r="E16" s="4874">
        <f t="shared" si="0"/>
        <v>11344.140208500001</v>
      </c>
      <c r="F16" s="4874">
        <f t="shared" si="1"/>
        <v>0</v>
      </c>
      <c r="G16" s="4874">
        <f t="shared" si="2"/>
        <v>-11344.140208500001</v>
      </c>
    </row>
    <row r="17" spans="1:7" ht="15.75">
      <c r="A17" s="4876" t="s">
        <v>293</v>
      </c>
      <c r="B17" s="4878">
        <f>SUM(B5:B16)</f>
        <v>3600000.0000000009</v>
      </c>
      <c r="C17" s="4875">
        <f>SUM(C5:C16)</f>
        <v>1881920</v>
      </c>
      <c r="D17" s="4875">
        <f>F17/C17*1000</f>
        <v>36.029999999999994</v>
      </c>
      <c r="E17" s="4875">
        <f>SUM(E5:E16)</f>
        <v>131184.00000000003</v>
      </c>
      <c r="F17" s="4875">
        <f>SUM(F5:F16)</f>
        <v>67805.57759999999</v>
      </c>
      <c r="G17" s="4875">
        <f>SUM(G5:G16)</f>
        <v>-63378.422400000018</v>
      </c>
    </row>
    <row r="18" spans="1:7" ht="15">
      <c r="A18" s="4869"/>
      <c r="B18" s="4869"/>
      <c r="C18" s="4869"/>
      <c r="D18" s="4869"/>
      <c r="E18" s="4869"/>
      <c r="F18" s="4869"/>
    </row>
    <row r="19" spans="1:7" ht="15.75">
      <c r="A19" s="4889" t="s">
        <v>25</v>
      </c>
      <c r="B19" s="4889"/>
      <c r="C19" s="4889"/>
      <c r="D19" s="4890"/>
      <c r="E19" s="4890"/>
      <c r="F19" s="4890"/>
      <c r="G19" s="4890"/>
    </row>
    <row r="20" spans="1:7" ht="15.75" customHeight="1">
      <c r="A20" s="4891" t="s">
        <v>1823</v>
      </c>
      <c r="B20" s="4883" t="s">
        <v>1912</v>
      </c>
      <c r="C20" s="4884"/>
      <c r="D20" s="4885" t="s">
        <v>1913</v>
      </c>
      <c r="E20" s="4883" t="s">
        <v>2042</v>
      </c>
      <c r="F20" s="4887"/>
      <c r="G20" s="4888"/>
    </row>
    <row r="21" spans="1:7" ht="15.75" customHeight="1">
      <c r="A21" s="4892"/>
      <c r="B21" s="4870" t="s">
        <v>1989</v>
      </c>
      <c r="C21" s="4870" t="s">
        <v>1990</v>
      </c>
      <c r="D21" s="4886"/>
      <c r="E21" s="4870" t="s">
        <v>1989</v>
      </c>
      <c r="F21" s="4870" t="s">
        <v>1990</v>
      </c>
      <c r="G21" s="4870" t="s">
        <v>2043</v>
      </c>
    </row>
    <row r="22" spans="1:7" ht="15.75">
      <c r="A22" s="4871" t="s">
        <v>267</v>
      </c>
      <c r="B22" s="4877">
        <f>SUM('ФАКТ. СЕБЕСТ ВОДА 1 пол.2018'!B17)*1000</f>
        <v>1785.0000000000002</v>
      </c>
      <c r="C22" s="4872">
        <f>SUM('ФАКТ. СЕБЕСТ ВОДА 1 пол.2018'!C17)*1000</f>
        <v>140</v>
      </c>
      <c r="D22" s="4872">
        <v>17.93</v>
      </c>
      <c r="E22" s="4874">
        <f>B22*D22/1000</f>
        <v>32.005050000000004</v>
      </c>
      <c r="F22" s="4874">
        <f>C22*D22/1000</f>
        <v>2.5101999999999998</v>
      </c>
      <c r="G22" s="4874">
        <f>SUM(F22-E22)</f>
        <v>-29.494850000000003</v>
      </c>
    </row>
    <row r="23" spans="1:7" ht="15.75">
      <c r="A23" s="4871" t="s">
        <v>268</v>
      </c>
      <c r="B23" s="4877">
        <f>SUM('ФАКТ. СЕБЕСТ ВОДА 1 пол.2018'!E17)*1000</f>
        <v>1785.0000000000002</v>
      </c>
      <c r="C23" s="4872">
        <f>SUM('ФАКТ. СЕБЕСТ ВОДА 1 пол.2018'!F17)*1000</f>
        <v>180</v>
      </c>
      <c r="D23" s="4872">
        <v>17.93</v>
      </c>
      <c r="E23" s="4874">
        <f t="shared" ref="E23:E33" si="3">B23*D23/1000</f>
        <v>32.005050000000004</v>
      </c>
      <c r="F23" s="4874">
        <f t="shared" ref="F23:F33" si="4">C23*D23/1000</f>
        <v>3.2274000000000003</v>
      </c>
      <c r="G23" s="4874">
        <f t="shared" ref="G23:G33" si="5">SUM(F23-E23)</f>
        <v>-28.777650000000005</v>
      </c>
    </row>
    <row r="24" spans="1:7" ht="15.75">
      <c r="A24" s="4871" t="s">
        <v>269</v>
      </c>
      <c r="B24" s="4877">
        <f>SUM('ФАКТ. СЕБЕСТ ВОДА 1 пол.2018'!H17)*1000</f>
        <v>1785.0000000000002</v>
      </c>
      <c r="C24" s="4872">
        <f>SUM('ФАКТ. СЕБЕСТ ВОДА 1 пол.2018'!I17)*1000</f>
        <v>120</v>
      </c>
      <c r="D24" s="4872">
        <v>17.93</v>
      </c>
      <c r="E24" s="4874">
        <f t="shared" si="3"/>
        <v>32.005050000000004</v>
      </c>
      <c r="F24" s="4874">
        <f t="shared" si="4"/>
        <v>2.1515999999999997</v>
      </c>
      <c r="G24" s="4874">
        <f t="shared" si="5"/>
        <v>-29.853450000000006</v>
      </c>
    </row>
    <row r="25" spans="1:7" ht="15.75">
      <c r="A25" s="4871" t="s">
        <v>270</v>
      </c>
      <c r="B25" s="4877">
        <f>SUM('ФАКТ. СЕБЕСТ ВОДА 1 пол.2018'!P17)*1000</f>
        <v>1785.0000000000002</v>
      </c>
      <c r="C25" s="4872">
        <f>SUM('ФАКТ. СЕБЕСТ ВОДА 1 пол.2018'!Q17)*1000</f>
        <v>320</v>
      </c>
      <c r="D25" s="4872">
        <v>17.93</v>
      </c>
      <c r="E25" s="4874">
        <f t="shared" si="3"/>
        <v>32.005050000000004</v>
      </c>
      <c r="F25" s="4874">
        <f t="shared" si="4"/>
        <v>5.7376000000000005</v>
      </c>
      <c r="G25" s="4874">
        <f t="shared" si="5"/>
        <v>-26.267450000000004</v>
      </c>
    </row>
    <row r="26" spans="1:7" ht="15.75">
      <c r="A26" s="4871" t="s">
        <v>271</v>
      </c>
      <c r="B26" s="4877">
        <f>SUM('ФАКТ. СЕБЕСТ ВОДА 1 пол.2018'!S17)*1000</f>
        <v>1785.0000000000002</v>
      </c>
      <c r="C26" s="4872">
        <f>SUM('ФАКТ. СЕБЕСТ ВОДА 1 пол.2018'!T17)*1000</f>
        <v>100</v>
      </c>
      <c r="D26" s="4872">
        <v>17.93</v>
      </c>
      <c r="E26" s="4874">
        <f t="shared" si="3"/>
        <v>32.005050000000004</v>
      </c>
      <c r="F26" s="4874">
        <f t="shared" si="4"/>
        <v>1.7929999999999999</v>
      </c>
      <c r="G26" s="4874">
        <f t="shared" si="5"/>
        <v>-30.212050000000005</v>
      </c>
    </row>
    <row r="27" spans="1:7" ht="15.75">
      <c r="A27" s="4871" t="s">
        <v>272</v>
      </c>
      <c r="B27" s="4877">
        <f>SUM('ФАКТ. СЕБЕСТ ВОДА 1 пол.2018'!V17)*1000</f>
        <v>1785.0000000000002</v>
      </c>
      <c r="C27" s="4872">
        <f>SUM('ФАКТ. СЕБЕСТ ВОДА 1 пол.2018'!W17)*1000</f>
        <v>90</v>
      </c>
      <c r="D27" s="4872">
        <v>17.93</v>
      </c>
      <c r="E27" s="4874">
        <f t="shared" si="3"/>
        <v>32.005050000000004</v>
      </c>
      <c r="F27" s="4874">
        <f t="shared" si="4"/>
        <v>1.6137000000000001</v>
      </c>
      <c r="G27" s="4874">
        <f t="shared" si="5"/>
        <v>-30.391350000000003</v>
      </c>
    </row>
    <row r="28" spans="1:7" ht="15.75">
      <c r="A28" s="4871" t="s">
        <v>1226</v>
      </c>
      <c r="B28" s="4877">
        <f>SUM('ФАКТ. СЕБЕСТ ВОДА 1 пол.2018'!AI17)*1000</f>
        <v>1785.0000000000002</v>
      </c>
      <c r="C28" s="4872">
        <f>SUM('ФАКТ. СЕБЕСТ ВОДА 1 пол.2018'!AJ17)*1000</f>
        <v>0</v>
      </c>
      <c r="D28" s="4872">
        <v>39.75</v>
      </c>
      <c r="E28" s="4874">
        <f t="shared" si="3"/>
        <v>70.953750000000014</v>
      </c>
      <c r="F28" s="4874">
        <f t="shared" si="4"/>
        <v>0</v>
      </c>
      <c r="G28" s="4874">
        <f t="shared" si="5"/>
        <v>-70.953750000000014</v>
      </c>
    </row>
    <row r="29" spans="1:7" ht="15.75">
      <c r="A29" s="4871" t="s">
        <v>273</v>
      </c>
      <c r="B29" s="4877">
        <f>SUM('ФАКТ. СЕБЕСТ ВОДА 1 пол.2018'!AL17)*1000</f>
        <v>1785.0000000000002</v>
      </c>
      <c r="C29" s="4872">
        <f>SUM('ФАКТ. СЕБЕСТ ВОДА 1 пол.2018'!AM17)*1000</f>
        <v>0</v>
      </c>
      <c r="D29" s="4872">
        <v>39.75</v>
      </c>
      <c r="E29" s="4874">
        <f t="shared" si="3"/>
        <v>70.953750000000014</v>
      </c>
      <c r="F29" s="4874">
        <f t="shared" si="4"/>
        <v>0</v>
      </c>
      <c r="G29" s="4874">
        <f t="shared" si="5"/>
        <v>-70.953750000000014</v>
      </c>
    </row>
    <row r="30" spans="1:7" ht="15.75">
      <c r="A30" s="4871" t="s">
        <v>1244</v>
      </c>
      <c r="B30" s="4877">
        <f>SUM('ФАКТ. СЕБЕСТ ВОДА 1 пол.2018'!AO17)*1000</f>
        <v>1785.0000000000002</v>
      </c>
      <c r="C30" s="4872">
        <f>SUM('ФАКТ. СЕБЕСТ ВОДА 1 пол.2018'!AP17)*1000</f>
        <v>0</v>
      </c>
      <c r="D30" s="4872">
        <v>39.75</v>
      </c>
      <c r="E30" s="4874">
        <f t="shared" si="3"/>
        <v>70.953750000000014</v>
      </c>
      <c r="F30" s="4874">
        <f t="shared" si="4"/>
        <v>0</v>
      </c>
      <c r="G30" s="4874">
        <f t="shared" si="5"/>
        <v>-70.953750000000014</v>
      </c>
    </row>
    <row r="31" spans="1:7" ht="15.75">
      <c r="A31" s="4871" t="s">
        <v>274</v>
      </c>
      <c r="B31" s="4877">
        <f>SUM('ФАКТ. СЕБЕСТ ВОДА 1 пол.2018'!BB17)*1000</f>
        <v>1785.0000000000002</v>
      </c>
      <c r="C31" s="4872">
        <f>SUM('ФАКТ. СЕБЕСТ ВОДА 1 пол.2018'!BC17)*1000</f>
        <v>0</v>
      </c>
      <c r="D31" s="4872">
        <v>39.75</v>
      </c>
      <c r="E31" s="4874">
        <f t="shared" si="3"/>
        <v>70.953750000000014</v>
      </c>
      <c r="F31" s="4874">
        <f t="shared" si="4"/>
        <v>0</v>
      </c>
      <c r="G31" s="4874">
        <f t="shared" si="5"/>
        <v>-70.953750000000014</v>
      </c>
    </row>
    <row r="32" spans="1:7" ht="15.75">
      <c r="A32" s="4871" t="s">
        <v>275</v>
      </c>
      <c r="B32" s="4877">
        <f>SUM('ФАКТ. СЕБЕСТ ВОДА 1 пол.2018'!BE17)*1000</f>
        <v>1785.0000000000002</v>
      </c>
      <c r="C32" s="4872">
        <f>SUM('ФАКТ. СЕБЕСТ ВОДА 1 пол.2018'!BF17)*1000</f>
        <v>0</v>
      </c>
      <c r="D32" s="4872">
        <v>39.75</v>
      </c>
      <c r="E32" s="4874">
        <f t="shared" si="3"/>
        <v>70.953750000000014</v>
      </c>
      <c r="F32" s="4874">
        <f t="shared" si="4"/>
        <v>0</v>
      </c>
      <c r="G32" s="4874">
        <f t="shared" si="5"/>
        <v>-70.953750000000014</v>
      </c>
    </row>
    <row r="33" spans="1:7" ht="15.75">
      <c r="A33" s="4871" t="s">
        <v>1335</v>
      </c>
      <c r="B33" s="4877">
        <f>SUM('ФАКТ. СЕБЕСТ ВОДА 1 пол.2018'!BH17)*1000</f>
        <v>1785.0000000000002</v>
      </c>
      <c r="C33" s="4872">
        <f>SUM('ФАКТ. СЕБЕСТ ВОДА 1 пол.2018'!BI17)*1000</f>
        <v>0</v>
      </c>
      <c r="D33" s="4872">
        <v>39.75</v>
      </c>
      <c r="E33" s="4874">
        <f t="shared" si="3"/>
        <v>70.953750000000014</v>
      </c>
      <c r="F33" s="4874">
        <f t="shared" si="4"/>
        <v>0</v>
      </c>
      <c r="G33" s="4874">
        <f t="shared" si="5"/>
        <v>-70.953750000000014</v>
      </c>
    </row>
    <row r="34" spans="1:7" ht="15.75">
      <c r="A34" s="4876" t="s">
        <v>293</v>
      </c>
      <c r="B34" s="4878">
        <f>SUM(B22:B33)</f>
        <v>21420.000000000004</v>
      </c>
      <c r="C34" s="4875">
        <f>SUM(C22:C33)</f>
        <v>950</v>
      </c>
      <c r="D34" s="4875">
        <f>F34/C34*1000</f>
        <v>17.93</v>
      </c>
      <c r="E34" s="4875">
        <f>SUM(E22:E33)</f>
        <v>617.75280000000009</v>
      </c>
      <c r="F34" s="4875">
        <f>SUM(F22:F33)</f>
        <v>17.0335</v>
      </c>
      <c r="G34" s="4875">
        <f>SUM(G22:G33)</f>
        <v>-600.71930000000009</v>
      </c>
    </row>
    <row r="35" spans="1:7" ht="15">
      <c r="A35" s="4869"/>
      <c r="B35" s="4869"/>
      <c r="C35" s="4869"/>
      <c r="D35" s="4869"/>
      <c r="E35" s="4869"/>
      <c r="F35" s="4869"/>
    </row>
    <row r="36" spans="1:7" ht="15.75">
      <c r="A36" s="4889" t="s">
        <v>47</v>
      </c>
      <c r="B36" s="4889"/>
      <c r="C36" s="4889"/>
      <c r="D36" s="4890"/>
      <c r="E36" s="4890"/>
      <c r="F36" s="4890"/>
      <c r="G36" s="4890"/>
    </row>
    <row r="37" spans="1:7" ht="12.75" customHeight="1">
      <c r="A37" s="4891" t="s">
        <v>1823</v>
      </c>
      <c r="B37" s="4883" t="s">
        <v>1912</v>
      </c>
      <c r="C37" s="4884"/>
      <c r="D37" s="4885" t="s">
        <v>1913</v>
      </c>
      <c r="E37" s="4883" t="s">
        <v>2042</v>
      </c>
      <c r="F37" s="4887"/>
      <c r="G37" s="4888"/>
    </row>
    <row r="38" spans="1:7" ht="15.75">
      <c r="A38" s="4892"/>
      <c r="B38" s="4870" t="s">
        <v>1989</v>
      </c>
      <c r="C38" s="4870" t="s">
        <v>1990</v>
      </c>
      <c r="D38" s="4886"/>
      <c r="E38" s="4870" t="s">
        <v>1989</v>
      </c>
      <c r="F38" s="4870" t="s">
        <v>1990</v>
      </c>
      <c r="G38" s="4870" t="s">
        <v>2043</v>
      </c>
    </row>
    <row r="39" spans="1:7" ht="15.75">
      <c r="A39" s="4871" t="s">
        <v>267</v>
      </c>
      <c r="B39" s="4877">
        <f>SUM('ФАКТ. СЕБЕСТ. СТОКИ 1 пол. 2018'!B9-'ФАКТ. СЕБЕСТ. СТОКИ 1 пол. 2018'!B11)*1000</f>
        <v>276165</v>
      </c>
      <c r="C39" s="4877">
        <f>SUM('ФАКТ. СЕБЕСТ. СТОКИ 1 пол. 2018'!C9-'ФАКТ. СЕБЕСТ. СТОКИ 1 пол. 2018'!C11)*1000</f>
        <v>270450</v>
      </c>
      <c r="D39" s="4872">
        <v>26.64</v>
      </c>
      <c r="E39" s="4874">
        <f>B39*D39/1000</f>
        <v>7357.0356000000002</v>
      </c>
      <c r="F39" s="4874">
        <f>C39*D39/1000</f>
        <v>7204.7879999999996</v>
      </c>
      <c r="G39" s="4874">
        <f>SUM(F39-E39)</f>
        <v>-152.2476000000006</v>
      </c>
    </row>
    <row r="40" spans="1:7" ht="15.75">
      <c r="A40" s="4871" t="s">
        <v>268</v>
      </c>
      <c r="B40" s="4877">
        <f>SUM('ФАКТ. СЕБЕСТ. СТОКИ 1 пол. 2018'!E9-'ФАКТ. СЕБЕСТ. СТОКИ 1 пол. 2018'!E11)*1000</f>
        <v>274550</v>
      </c>
      <c r="C40" s="4877">
        <f>SUM('ФАКТ. СЕБЕСТ. СТОКИ 1 пол. 2018'!F9-'ФАКТ. СЕБЕСТ. СТОКИ 1 пол. 2018'!F11)*1000</f>
        <v>264460</v>
      </c>
      <c r="D40" s="4872">
        <v>26.64</v>
      </c>
      <c r="E40" s="4874">
        <f t="shared" ref="E40:E50" si="6">B40*D40/1000</f>
        <v>7314.0119999999997</v>
      </c>
      <c r="F40" s="4874">
        <f t="shared" ref="F40:F50" si="7">C40*D40/1000</f>
        <v>7045.2144000000008</v>
      </c>
      <c r="G40" s="4874">
        <f t="shared" ref="G40:G50" si="8">SUM(F40-E40)</f>
        <v>-268.79759999999897</v>
      </c>
    </row>
    <row r="41" spans="1:7" ht="15.75">
      <c r="A41" s="4871" t="s">
        <v>269</v>
      </c>
      <c r="B41" s="4877">
        <f>SUM('ФАКТ. СЕБЕСТ. СТОКИ 1 пол. 2018'!H9-'ФАКТ. СЕБЕСТ. СТОКИ 1 пол. 2018'!H11)*1000</f>
        <v>274550</v>
      </c>
      <c r="C41" s="4877">
        <f>SUM('ФАКТ. СЕБЕСТ. СТОКИ 1 пол. 2018'!I9-'ФАКТ. СЕБЕСТ. СТОКИ 1 пол. 2018'!I11)*1000</f>
        <v>257690</v>
      </c>
      <c r="D41" s="4872">
        <v>26.64</v>
      </c>
      <c r="E41" s="4874">
        <f t="shared" si="6"/>
        <v>7314.0119999999997</v>
      </c>
      <c r="F41" s="4874">
        <f t="shared" si="7"/>
        <v>6864.8616000000002</v>
      </c>
      <c r="G41" s="4874">
        <f t="shared" si="8"/>
        <v>-449.15039999999954</v>
      </c>
    </row>
    <row r="42" spans="1:7" ht="15.75">
      <c r="A42" s="4871" t="s">
        <v>270</v>
      </c>
      <c r="B42" s="4877">
        <f>SUM('ФАКТ. СЕБЕСТ. СТОКИ 1 пол. 2018'!P9-'ФАКТ. СЕБЕСТ. СТОКИ 1 пол. 2018'!P11)*1000</f>
        <v>272934.99999999994</v>
      </c>
      <c r="C42" s="4877">
        <f>SUM('ФАКТ. СЕБЕСТ. СТОКИ 1 пол. 2018'!Q9-'ФАКТ. СЕБЕСТ. СТОКИ 1 пол. 2018'!Q11)*1000</f>
        <v>273770</v>
      </c>
      <c r="D42" s="4872">
        <v>26.64</v>
      </c>
      <c r="E42" s="4874">
        <f t="shared" si="6"/>
        <v>7270.9883999999984</v>
      </c>
      <c r="F42" s="4874">
        <f t="shared" si="7"/>
        <v>7293.2327999999998</v>
      </c>
      <c r="G42" s="4874">
        <f t="shared" si="8"/>
        <v>22.244400000001406</v>
      </c>
    </row>
    <row r="43" spans="1:7" ht="15.75">
      <c r="A43" s="4871" t="s">
        <v>271</v>
      </c>
      <c r="B43" s="4877">
        <f>SUM('ФАКТ. СЕБЕСТ. СТОКИ 1 пол. 2018'!S9-'ФАКТ. СЕБЕСТ. СТОКИ 1 пол. 2018'!S11)*1000</f>
        <v>258399.99999999997</v>
      </c>
      <c r="C43" s="4877">
        <f>SUM('ФАКТ. СЕБЕСТ. СТОКИ 1 пол. 2018'!T9-'ФАКТ. СЕБЕСТ. СТОКИ 1 пол. 2018'!T11)*1000</f>
        <v>261200</v>
      </c>
      <c r="D43" s="4872">
        <v>26.64</v>
      </c>
      <c r="E43" s="4874">
        <f t="shared" si="6"/>
        <v>6883.7759999999989</v>
      </c>
      <c r="F43" s="4874">
        <f t="shared" si="7"/>
        <v>6958.3680000000004</v>
      </c>
      <c r="G43" s="4874">
        <f t="shared" si="8"/>
        <v>74.592000000001462</v>
      </c>
    </row>
    <row r="44" spans="1:7" ht="15.75">
      <c r="A44" s="4871" t="s">
        <v>272</v>
      </c>
      <c r="B44" s="4877">
        <f>SUM('ФАКТ. СЕБЕСТ. СТОКИ 1 пол. 2018'!V9-'ФАКТ. СЕБЕСТ. СТОКИ 1 пол. 2018'!V11)*1000</f>
        <v>258399.99999999997</v>
      </c>
      <c r="C44" s="4877">
        <f>SUM('ФАКТ. СЕБЕСТ. СТОКИ 1 пол. 2018'!W9-'ФАКТ. СЕБЕСТ. СТОКИ 1 пол. 2018'!W11)*1000</f>
        <v>277280</v>
      </c>
      <c r="D44" s="4872">
        <v>26.64</v>
      </c>
      <c r="E44" s="4874">
        <f t="shared" si="6"/>
        <v>6883.7759999999989</v>
      </c>
      <c r="F44" s="4874">
        <f t="shared" si="7"/>
        <v>7386.7392</v>
      </c>
      <c r="G44" s="4874">
        <f t="shared" si="8"/>
        <v>502.96320000000105</v>
      </c>
    </row>
    <row r="45" spans="1:7" ht="15.75">
      <c r="A45" s="4871" t="s">
        <v>1226</v>
      </c>
      <c r="B45" s="4877">
        <f>SUM('ФАКТ. СЕБЕСТ. СТОКИ 1 пол. 2018'!AI9-'ФАКТ. СЕБЕСТ. СТОКИ 1 пол. 2018'!AI11)*1000</f>
        <v>258399.99999999997</v>
      </c>
      <c r="C45" s="4877">
        <f>SUM('ФАКТ. СЕБЕСТ. СТОКИ 1 пол. 2018'!AJ9-'ФАКТ. СЕБЕСТ. СТОКИ 1 пол. 2018'!AJ11)*1000</f>
        <v>0</v>
      </c>
      <c r="D45" s="4872">
        <v>34.659999999999997</v>
      </c>
      <c r="E45" s="4874">
        <f t="shared" si="6"/>
        <v>8956.1439999999984</v>
      </c>
      <c r="F45" s="4874">
        <f t="shared" si="7"/>
        <v>0</v>
      </c>
      <c r="G45" s="4874">
        <f t="shared" si="8"/>
        <v>-8956.1439999999984</v>
      </c>
    </row>
    <row r="46" spans="1:7" ht="15.75">
      <c r="A46" s="4871" t="s">
        <v>273</v>
      </c>
      <c r="B46" s="4877">
        <f>SUM('ФАКТ. СЕБЕСТ. СТОКИ 1 пол. 2018'!AL9-'ФАКТ. СЕБЕСТ. СТОКИ 1 пол. 2018'!AL11)*1000</f>
        <v>258399.99999999997</v>
      </c>
      <c r="C46" s="4877">
        <f>SUM('ФАКТ. СЕБЕСТ. СТОКИ 1 пол. 2018'!AM9-'ФАКТ. СЕБЕСТ. СТОКИ 1 пол. 2018'!AM11)*1000</f>
        <v>0</v>
      </c>
      <c r="D46" s="4872">
        <v>34.659999999999997</v>
      </c>
      <c r="E46" s="4874">
        <f t="shared" si="6"/>
        <v>8956.1439999999984</v>
      </c>
      <c r="F46" s="4874">
        <f t="shared" si="7"/>
        <v>0</v>
      </c>
      <c r="G46" s="4874">
        <f t="shared" si="8"/>
        <v>-8956.1439999999984</v>
      </c>
    </row>
    <row r="47" spans="1:7" ht="15.75">
      <c r="A47" s="4871" t="s">
        <v>1244</v>
      </c>
      <c r="B47" s="4877">
        <f>SUM('ФАКТ. СЕБЕСТ. СТОКИ 1 пол. 2018'!AO9-'ФАКТ. СЕБЕСТ. СТОКИ 1 пол. 2018'!AO11)*1000</f>
        <v>272934.99999999994</v>
      </c>
      <c r="C47" s="4877">
        <f>SUM('ФАКТ. СЕБЕСТ. СТОКИ 1 пол. 2018'!AP9-'ФАКТ. СЕБЕСТ. СТОКИ 1 пол. 2018'!AP11)*1000</f>
        <v>0</v>
      </c>
      <c r="D47" s="4872">
        <v>34.659999999999997</v>
      </c>
      <c r="E47" s="4874">
        <f t="shared" si="6"/>
        <v>9459.9270999999972</v>
      </c>
      <c r="F47" s="4874">
        <f t="shared" si="7"/>
        <v>0</v>
      </c>
      <c r="G47" s="4874">
        <f t="shared" si="8"/>
        <v>-9459.9270999999972</v>
      </c>
    </row>
    <row r="48" spans="1:7" ht="15.75">
      <c r="A48" s="4871" t="s">
        <v>274</v>
      </c>
      <c r="B48" s="4877">
        <f>SUM('ФАКТ. СЕБЕСТ. СТОКИ 1 пол. 2018'!BB9-'ФАКТ. СЕБЕСТ. СТОКИ 1 пол. 2018'!BB11)*1000</f>
        <v>274550</v>
      </c>
      <c r="C48" s="4877">
        <f>SUM('ФАКТ. СЕБЕСТ. СТОКИ 1 пол. 2018'!BC9-'ФАКТ. СЕБЕСТ. СТОКИ 1 пол. 2018'!BC11)*1000</f>
        <v>0</v>
      </c>
      <c r="D48" s="4872">
        <v>34.659999999999997</v>
      </c>
      <c r="E48" s="4874">
        <f t="shared" si="6"/>
        <v>9515.9029999999984</v>
      </c>
      <c r="F48" s="4874">
        <f t="shared" si="7"/>
        <v>0</v>
      </c>
      <c r="G48" s="4874">
        <f t="shared" si="8"/>
        <v>-9515.9029999999984</v>
      </c>
    </row>
    <row r="49" spans="1:7" ht="15.75">
      <c r="A49" s="4871" t="s">
        <v>275</v>
      </c>
      <c r="B49" s="4877">
        <f>SUM('ФАКТ. СЕБЕСТ. СТОКИ 1 пол. 2018'!BE9-'ФАКТ. СЕБЕСТ. СТОКИ 1 пол. 2018'!BE11)*1000</f>
        <v>274550</v>
      </c>
      <c r="C49" s="4877">
        <f>SUM('ФАКТ. СЕБЕСТ. СТОКИ 1 пол. 2018'!BF9-'ФАКТ. СЕБЕСТ. СТОКИ 1 пол. 2018'!BF11)*1000</f>
        <v>0</v>
      </c>
      <c r="D49" s="4872">
        <v>34.659999999999997</v>
      </c>
      <c r="E49" s="4874">
        <f t="shared" si="6"/>
        <v>9515.9029999999984</v>
      </c>
      <c r="F49" s="4874">
        <f t="shared" si="7"/>
        <v>0</v>
      </c>
      <c r="G49" s="4874">
        <f t="shared" si="8"/>
        <v>-9515.9029999999984</v>
      </c>
    </row>
    <row r="50" spans="1:7" ht="15.75">
      <c r="A50" s="4871" t="s">
        <v>1335</v>
      </c>
      <c r="B50" s="4877">
        <f>SUM('ФАКТ. СЕБЕСТ. СТОКИ 1 пол. 2018'!BH9-'ФАКТ. СЕБЕСТ. СТОКИ 1 пол. 2018'!BH11)*1000</f>
        <v>276165</v>
      </c>
      <c r="C50" s="4877">
        <f>SUM('ФАКТ. СЕБЕСТ. СТОКИ 1 пол. 2018'!BI9-'ФАКТ. СЕБЕСТ. СТОКИ 1 пол. 2018'!BI11)*1000</f>
        <v>0</v>
      </c>
      <c r="D50" s="4872">
        <v>34.659999999999997</v>
      </c>
      <c r="E50" s="4874">
        <f t="shared" si="6"/>
        <v>9571.8788999999979</v>
      </c>
      <c r="F50" s="4874">
        <f t="shared" si="7"/>
        <v>0</v>
      </c>
      <c r="G50" s="4874">
        <f t="shared" si="8"/>
        <v>-9571.8788999999979</v>
      </c>
    </row>
    <row r="51" spans="1:7" ht="15.75">
      <c r="A51" s="4876" t="s">
        <v>293</v>
      </c>
      <c r="B51" s="4878">
        <f>SUM(B39:B50)</f>
        <v>3230000</v>
      </c>
      <c r="C51" s="4875">
        <f>SUM(C39:C50)</f>
        <v>1604850</v>
      </c>
      <c r="D51" s="4875">
        <f>F51/C51*1000</f>
        <v>26.639999999999997</v>
      </c>
      <c r="E51" s="4875">
        <f>SUM(E39:E50)</f>
        <v>98999.499999999985</v>
      </c>
      <c r="F51" s="4875">
        <f>SUM(F39:F50)</f>
        <v>42753.203999999998</v>
      </c>
      <c r="G51" s="4875">
        <f>SUM(G39:G50)</f>
        <v>-56246.29599999998</v>
      </c>
    </row>
    <row r="52" spans="1:7" ht="15">
      <c r="A52" s="4869"/>
      <c r="B52" s="4869"/>
      <c r="C52" s="4869"/>
      <c r="D52" s="4869"/>
      <c r="E52" s="4869"/>
      <c r="F52" s="4869"/>
    </row>
    <row r="53" spans="1:7" ht="15.75">
      <c r="A53" s="4889" t="s">
        <v>1915</v>
      </c>
      <c r="B53" s="4889"/>
      <c r="C53" s="4889"/>
      <c r="D53" s="4890"/>
      <c r="E53" s="4890"/>
      <c r="F53" s="4890"/>
      <c r="G53" s="4890"/>
    </row>
    <row r="54" spans="1:7" ht="12.75" customHeight="1">
      <c r="A54" s="4891" t="s">
        <v>1823</v>
      </c>
      <c r="B54" s="4883" t="s">
        <v>1912</v>
      </c>
      <c r="C54" s="4884"/>
      <c r="D54" s="4885" t="s">
        <v>1913</v>
      </c>
      <c r="E54" s="4883" t="s">
        <v>2042</v>
      </c>
      <c r="F54" s="4887"/>
      <c r="G54" s="4888"/>
    </row>
    <row r="55" spans="1:7" ht="15.75">
      <c r="A55" s="4892"/>
      <c r="B55" s="4870" t="s">
        <v>1989</v>
      </c>
      <c r="C55" s="4870" t="s">
        <v>1990</v>
      </c>
      <c r="D55" s="4886"/>
      <c r="E55" s="4870" t="s">
        <v>1989</v>
      </c>
      <c r="F55" s="4870" t="s">
        <v>1990</v>
      </c>
      <c r="G55" s="4870" t="s">
        <v>2043</v>
      </c>
    </row>
    <row r="56" spans="1:7" ht="15.75">
      <c r="A56" s="4871" t="s">
        <v>267</v>
      </c>
      <c r="B56" s="4877">
        <f>SUM('ФАКТ. СЕБЕСТ. СТОКИ 1 пол. 2018'!B11)*1000</f>
        <v>1577.5</v>
      </c>
      <c r="C56" s="4877">
        <f>SUM('ФАКТ. СЕБЕСТ. СТОКИ 1 пол. 2018'!C11)*1000</f>
        <v>238</v>
      </c>
      <c r="D56" s="4873">
        <v>14.24</v>
      </c>
      <c r="E56" s="4874">
        <f>B56*D56/1000</f>
        <v>22.4636</v>
      </c>
      <c r="F56" s="4874">
        <f>C56*D56/1000</f>
        <v>3.3891199999999997</v>
      </c>
      <c r="G56" s="4874">
        <f>SUM(F56-E56)</f>
        <v>-19.074480000000001</v>
      </c>
    </row>
    <row r="57" spans="1:7" ht="15.75">
      <c r="A57" s="4871" t="s">
        <v>268</v>
      </c>
      <c r="B57" s="4877">
        <f>SUM('ФАКТ. СЕБЕСТ. СТОКИ 1 пол. 2018'!E11)*1000</f>
        <v>1577.5</v>
      </c>
      <c r="C57" s="4877">
        <f>SUM('ФАКТ. СЕБЕСТ. СТОКИ 1 пол. 2018'!F11)*1000</f>
        <v>190</v>
      </c>
      <c r="D57" s="4873">
        <v>14.24</v>
      </c>
      <c r="E57" s="4874">
        <f t="shared" ref="E57:E67" si="9">B57*D57/1000</f>
        <v>22.4636</v>
      </c>
      <c r="F57" s="4874">
        <f t="shared" ref="F57:F67" si="10">C57*D57/1000</f>
        <v>2.7056</v>
      </c>
      <c r="G57" s="4874">
        <f t="shared" ref="G57:G67" si="11">SUM(F57-E57)</f>
        <v>-19.757999999999999</v>
      </c>
    </row>
    <row r="58" spans="1:7" ht="15.75">
      <c r="A58" s="4871" t="s">
        <v>269</v>
      </c>
      <c r="B58" s="4877">
        <f>SUM('ФАКТ. СЕБЕСТ. СТОКИ 1 пол. 2018'!H11)*1000</f>
        <v>1577.5</v>
      </c>
      <c r="C58" s="4877">
        <f>SUM('ФАКТ. СЕБЕСТ. СТОКИ 1 пол. 2018'!I11)*1000</f>
        <v>3680</v>
      </c>
      <c r="D58" s="4873">
        <v>14.24</v>
      </c>
      <c r="E58" s="4874">
        <f t="shared" si="9"/>
        <v>22.4636</v>
      </c>
      <c r="F58" s="4874">
        <f t="shared" si="10"/>
        <v>52.403200000000005</v>
      </c>
      <c r="G58" s="4874">
        <f t="shared" si="11"/>
        <v>29.939600000000006</v>
      </c>
    </row>
    <row r="59" spans="1:7" ht="15.75">
      <c r="A59" s="4871" t="s">
        <v>270</v>
      </c>
      <c r="B59" s="4877">
        <f>SUM('ФАКТ. СЕБЕСТ. СТОКИ 1 пол. 2018'!P11)*1000</f>
        <v>1577.5</v>
      </c>
      <c r="C59" s="4877">
        <f>SUM('ФАКТ. СЕБЕСТ. СТОКИ 1 пол. 2018'!Q11)*1000</f>
        <v>260</v>
      </c>
      <c r="D59" s="4873">
        <v>14.24</v>
      </c>
      <c r="E59" s="4874">
        <f t="shared" si="9"/>
        <v>22.4636</v>
      </c>
      <c r="F59" s="4874">
        <f t="shared" si="10"/>
        <v>3.7023999999999999</v>
      </c>
      <c r="G59" s="4874">
        <f t="shared" si="11"/>
        <v>-18.761199999999999</v>
      </c>
    </row>
    <row r="60" spans="1:7" ht="15.75">
      <c r="A60" s="4871" t="s">
        <v>271</v>
      </c>
      <c r="B60" s="4877">
        <f>SUM('ФАКТ. СЕБЕСТ. СТОКИ 1 пол. 2018'!S11)*1000</f>
        <v>1577.5</v>
      </c>
      <c r="C60" s="4877">
        <f>SUM('ФАКТ. СЕБЕСТ. СТОКИ 1 пол. 2018'!T11)*1000</f>
        <v>590</v>
      </c>
      <c r="D60" s="4873">
        <v>14.24</v>
      </c>
      <c r="E60" s="4874">
        <f t="shared" si="9"/>
        <v>22.4636</v>
      </c>
      <c r="F60" s="4874">
        <f t="shared" si="10"/>
        <v>8.4016000000000002</v>
      </c>
      <c r="G60" s="4874">
        <f t="shared" si="11"/>
        <v>-14.061999999999999</v>
      </c>
    </row>
    <row r="61" spans="1:7" ht="15.75">
      <c r="A61" s="4871" t="s">
        <v>272</v>
      </c>
      <c r="B61" s="4877">
        <f>SUM('ФАКТ. СЕБЕСТ. СТОКИ 1 пол. 2018'!V11)*1000</f>
        <v>1577.5</v>
      </c>
      <c r="C61" s="4877">
        <f>SUM('ФАКТ. СЕБЕСТ. СТОКИ 1 пол. 2018'!W11)*1000</f>
        <v>3750</v>
      </c>
      <c r="D61" s="4873">
        <v>14.24</v>
      </c>
      <c r="E61" s="4874">
        <f t="shared" si="9"/>
        <v>22.4636</v>
      </c>
      <c r="F61" s="4874">
        <f t="shared" si="10"/>
        <v>53.4</v>
      </c>
      <c r="G61" s="4874">
        <f t="shared" si="11"/>
        <v>30.936399999999999</v>
      </c>
    </row>
    <row r="62" spans="1:7" ht="15.75">
      <c r="A62" s="4871" t="s">
        <v>1226</v>
      </c>
      <c r="B62" s="4877">
        <f>SUM('ФАКТ. СЕБЕСТ. СТОКИ 1 пол. 2018'!AI11)*1000</f>
        <v>1577.5</v>
      </c>
      <c r="C62" s="4877">
        <f>SUM('ФАКТ. СЕБЕСТ. СТОКИ 1 пол. 2018'!AJ11)*1000</f>
        <v>0</v>
      </c>
      <c r="D62" s="4873">
        <v>14.24</v>
      </c>
      <c r="E62" s="4874">
        <f t="shared" si="9"/>
        <v>22.4636</v>
      </c>
      <c r="F62" s="4874">
        <f t="shared" si="10"/>
        <v>0</v>
      </c>
      <c r="G62" s="4874">
        <f t="shared" si="11"/>
        <v>-22.4636</v>
      </c>
    </row>
    <row r="63" spans="1:7" ht="15.75">
      <c r="A63" s="4871" t="s">
        <v>273</v>
      </c>
      <c r="B63" s="4877">
        <f>SUM('ФАКТ. СЕБЕСТ. СТОКИ 1 пол. 2018'!AL11)*1000</f>
        <v>1577.5</v>
      </c>
      <c r="C63" s="4877">
        <f>SUM('ФАКТ. СЕБЕСТ. СТОКИ 1 пол. 2018'!AM11)*1000</f>
        <v>0</v>
      </c>
      <c r="D63" s="4873">
        <v>14.24</v>
      </c>
      <c r="E63" s="4874">
        <f t="shared" si="9"/>
        <v>22.4636</v>
      </c>
      <c r="F63" s="4874">
        <f t="shared" si="10"/>
        <v>0</v>
      </c>
      <c r="G63" s="4874">
        <f t="shared" si="11"/>
        <v>-22.4636</v>
      </c>
    </row>
    <row r="64" spans="1:7" ht="15.75">
      <c r="A64" s="4871" t="s">
        <v>1244</v>
      </c>
      <c r="B64" s="4877">
        <f>SUM('ФАКТ. СЕБЕСТ. СТОКИ 1 пол. 2018'!AO11)*1000</f>
        <v>1577.5</v>
      </c>
      <c r="C64" s="4877">
        <f>SUM('ФАКТ. СЕБЕСТ. СТОКИ 1 пол. 2018'!AP11)*1000</f>
        <v>0</v>
      </c>
      <c r="D64" s="4873">
        <v>14.24</v>
      </c>
      <c r="E64" s="4874">
        <f t="shared" si="9"/>
        <v>22.4636</v>
      </c>
      <c r="F64" s="4874">
        <f t="shared" si="10"/>
        <v>0</v>
      </c>
      <c r="G64" s="4874">
        <f t="shared" si="11"/>
        <v>-22.4636</v>
      </c>
    </row>
    <row r="65" spans="1:7" ht="15.75">
      <c r="A65" s="4871" t="s">
        <v>274</v>
      </c>
      <c r="B65" s="4877">
        <f>SUM('ФАКТ. СЕБЕСТ. СТОКИ 1 пол. 2018'!BB11)*1000</f>
        <v>1577.5</v>
      </c>
      <c r="C65" s="4877">
        <f>SUM('ФАКТ. СЕБЕСТ. СТОКИ 1 пол. 2018'!BC11)*1000</f>
        <v>0</v>
      </c>
      <c r="D65" s="4873">
        <v>14.24</v>
      </c>
      <c r="E65" s="4874">
        <f t="shared" si="9"/>
        <v>22.4636</v>
      </c>
      <c r="F65" s="4874">
        <f t="shared" si="10"/>
        <v>0</v>
      </c>
      <c r="G65" s="4874">
        <f t="shared" si="11"/>
        <v>-22.4636</v>
      </c>
    </row>
    <row r="66" spans="1:7" ht="15.75">
      <c r="A66" s="4871" t="s">
        <v>275</v>
      </c>
      <c r="B66" s="4877">
        <f>SUM('ФАКТ. СЕБЕСТ. СТОКИ 1 пол. 2018'!BE11)*1000</f>
        <v>1577.5</v>
      </c>
      <c r="C66" s="4877">
        <f>SUM('ФАКТ. СЕБЕСТ. СТОКИ 1 пол. 2018'!BF11)*1000</f>
        <v>0</v>
      </c>
      <c r="D66" s="4873">
        <v>14.24</v>
      </c>
      <c r="E66" s="4874">
        <f t="shared" si="9"/>
        <v>22.4636</v>
      </c>
      <c r="F66" s="4874">
        <f t="shared" si="10"/>
        <v>0</v>
      </c>
      <c r="G66" s="4874">
        <f t="shared" si="11"/>
        <v>-22.4636</v>
      </c>
    </row>
    <row r="67" spans="1:7" ht="15.75">
      <c r="A67" s="4871" t="s">
        <v>1335</v>
      </c>
      <c r="B67" s="4877">
        <f>SUM('ФАКТ. СЕБЕСТ. СТОКИ 1 пол. 2018'!BH11)*1000</f>
        <v>1577.5</v>
      </c>
      <c r="C67" s="4877">
        <f>SUM('ФАКТ. СЕБЕСТ. СТОКИ 1 пол. 2018'!BI11)*1000</f>
        <v>0</v>
      </c>
      <c r="D67" s="4873">
        <v>14.24</v>
      </c>
      <c r="E67" s="4874">
        <f t="shared" si="9"/>
        <v>22.4636</v>
      </c>
      <c r="F67" s="4874">
        <f t="shared" si="10"/>
        <v>0</v>
      </c>
      <c r="G67" s="4874">
        <f t="shared" si="11"/>
        <v>-22.4636</v>
      </c>
    </row>
    <row r="68" spans="1:7" ht="15.75">
      <c r="A68" s="4876" t="s">
        <v>293</v>
      </c>
      <c r="B68" s="4878">
        <f>SUM(B56:B67)</f>
        <v>18930</v>
      </c>
      <c r="C68" s="4875">
        <f>SUM(C56:C67)</f>
        <v>8708</v>
      </c>
      <c r="D68" s="4875">
        <f>F68/C68*1000</f>
        <v>14.24</v>
      </c>
      <c r="E68" s="4875">
        <f>SUM(E56:E67)</f>
        <v>269.56319999999994</v>
      </c>
      <c r="F68" s="4875">
        <f>SUM(F56:F67)</f>
        <v>124.00192000000001</v>
      </c>
      <c r="G68" s="4875">
        <f>SUM(G56:G67)</f>
        <v>-145.56128000000001</v>
      </c>
    </row>
  </sheetData>
  <mergeCells count="21">
    <mergeCell ref="A19:G19"/>
    <mergeCell ref="A20:A21"/>
    <mergeCell ref="A37:A38"/>
    <mergeCell ref="A54:A55"/>
    <mergeCell ref="A1:G1"/>
    <mergeCell ref="B20:C20"/>
    <mergeCell ref="D20:D21"/>
    <mergeCell ref="E20:G20"/>
    <mergeCell ref="B37:C37"/>
    <mergeCell ref="D37:D38"/>
    <mergeCell ref="E37:G37"/>
    <mergeCell ref="A2:G2"/>
    <mergeCell ref="A3:A4"/>
    <mergeCell ref="E3:G3"/>
    <mergeCell ref="B3:C3"/>
    <mergeCell ref="D3:D4"/>
    <mergeCell ref="B54:C54"/>
    <mergeCell ref="D54:D55"/>
    <mergeCell ref="E54:G54"/>
    <mergeCell ref="A53:G53"/>
    <mergeCell ref="A36:G36"/>
  </mergeCells>
  <pageMargins left="0.7" right="0.7" top="0.75" bottom="0.75" header="0.3" footer="0.3"/>
  <pageSetup paperSize="9"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S459"/>
  <sheetViews>
    <sheetView topLeftCell="A36" zoomScale="73" zoomScaleNormal="73" zoomScalePageLayoutView="90" workbookViewId="0">
      <selection activeCell="M55" sqref="M55"/>
    </sheetView>
  </sheetViews>
  <sheetFormatPr defaultRowHeight="12.75"/>
  <cols>
    <col min="1" max="1" width="57.7109375" customWidth="1"/>
    <col min="2" max="2" width="9.42578125" hidden="1" customWidth="1"/>
    <col min="3" max="3" width="8.85546875" hidden="1" customWidth="1"/>
    <col min="4" max="4" width="8.7109375" hidden="1" customWidth="1"/>
    <col min="5" max="5" width="16" hidden="1" customWidth="1"/>
    <col min="6" max="6" width="8.140625" hidden="1" customWidth="1"/>
    <col min="7" max="7" width="16" hidden="1" customWidth="1"/>
    <col min="8" max="8" width="14.42578125" hidden="1" customWidth="1"/>
    <col min="9" max="9" width="15.28515625" hidden="1" customWidth="1"/>
    <col min="10" max="10" width="9.85546875" hidden="1" customWidth="1"/>
    <col min="11" max="11" width="17.28515625" hidden="1" customWidth="1"/>
    <col min="12" max="12" width="15.85546875" customWidth="1"/>
    <col min="13" max="19" width="12.7109375" customWidth="1"/>
  </cols>
  <sheetData>
    <row r="1" spans="1:19" ht="78.75" customHeight="1">
      <c r="P1" s="4951" t="s">
        <v>1767</v>
      </c>
      <c r="Q1" s="4952"/>
      <c r="R1" s="4952"/>
      <c r="S1" s="4952"/>
    </row>
    <row r="2" spans="1:19" ht="12" customHeight="1">
      <c r="P2" s="3214"/>
      <c r="Q2" s="3215"/>
      <c r="R2" s="3215"/>
      <c r="S2" s="3215"/>
    </row>
    <row r="3" spans="1:19" ht="12.75" customHeight="1">
      <c r="P3" s="3214"/>
      <c r="Q3" s="3215"/>
      <c r="R3" s="3215"/>
      <c r="S3" s="3215"/>
    </row>
    <row r="4" spans="1:19" ht="18.75">
      <c r="P4" s="4953" t="s">
        <v>1705</v>
      </c>
      <c r="Q4" s="4953"/>
      <c r="R4" s="4953"/>
      <c r="S4" s="4953"/>
    </row>
    <row r="5" spans="1:19" ht="23.25" customHeight="1">
      <c r="P5" s="4953" t="s">
        <v>1768</v>
      </c>
      <c r="Q5" s="4953"/>
      <c r="R5" s="4953"/>
      <c r="S5" s="4953"/>
    </row>
    <row r="6" spans="1:19" ht="21" customHeight="1">
      <c r="P6" s="4953" t="s">
        <v>1769</v>
      </c>
      <c r="Q6" s="4953"/>
      <c r="R6" s="4952"/>
      <c r="S6" s="4953"/>
    </row>
    <row r="7" spans="1:19" ht="21" customHeight="1">
      <c r="P7" s="4954" t="s">
        <v>1972</v>
      </c>
      <c r="Q7" s="4954"/>
      <c r="R7" s="4954"/>
      <c r="S7" s="4954"/>
    </row>
    <row r="8" spans="1:19" ht="12" customHeight="1">
      <c r="Q8" s="3051"/>
    </row>
    <row r="10" spans="1:19" ht="43.5" customHeight="1">
      <c r="A10" s="4965" t="s">
        <v>1973</v>
      </c>
      <c r="B10" s="4965"/>
      <c r="C10" s="4965"/>
      <c r="D10" s="4965"/>
      <c r="E10" s="4965"/>
      <c r="F10" s="4965"/>
      <c r="G10" s="4965"/>
      <c r="H10" s="4965"/>
      <c r="I10" s="4965"/>
      <c r="J10" s="4965"/>
      <c r="K10" s="4966"/>
      <c r="L10" s="4966"/>
      <c r="M10" s="4966"/>
      <c r="N10" s="4966"/>
      <c r="O10" s="4966"/>
      <c r="P10" s="4966"/>
      <c r="Q10" s="4966"/>
      <c r="R10" s="4967"/>
      <c r="S10" s="4894"/>
    </row>
    <row r="11" spans="1:19" ht="16.5" customHeight="1" thickBot="1">
      <c r="A11" s="3180"/>
      <c r="B11" s="3180"/>
      <c r="C11" s="3180"/>
      <c r="D11" s="3180"/>
      <c r="E11" s="3180"/>
      <c r="F11" s="3180"/>
      <c r="G11" s="3180"/>
      <c r="H11" s="3180"/>
      <c r="I11" s="3180"/>
      <c r="J11" s="3180"/>
      <c r="K11" s="3180"/>
      <c r="L11" s="3181"/>
      <c r="M11" s="3181"/>
      <c r="N11" s="3181"/>
      <c r="O11" s="3181"/>
      <c r="P11" s="3181"/>
      <c r="Q11" s="3181"/>
      <c r="R11" s="3181"/>
      <c r="S11" s="3185" t="s">
        <v>1770</v>
      </c>
    </row>
    <row r="12" spans="1:19" ht="18.75" customHeight="1">
      <c r="A12" s="4968" t="s">
        <v>1749</v>
      </c>
      <c r="B12" s="4969"/>
      <c r="C12" s="4969"/>
      <c r="D12" s="4969"/>
      <c r="E12" s="4969"/>
      <c r="F12" s="4969"/>
      <c r="G12" s="4969"/>
      <c r="H12" s="4969"/>
      <c r="I12" s="4969"/>
      <c r="J12" s="4969"/>
      <c r="K12" s="4969"/>
      <c r="L12" s="4970"/>
      <c r="M12" s="4970"/>
      <c r="N12" s="4970"/>
      <c r="O12" s="4970"/>
      <c r="P12" s="4970"/>
      <c r="Q12" s="4970"/>
      <c r="R12" s="4970"/>
      <c r="S12" s="4971"/>
    </row>
    <row r="13" spans="1:19" ht="19.5" customHeight="1">
      <c r="A13" s="4963" t="s">
        <v>545</v>
      </c>
      <c r="B13" s="3216"/>
      <c r="C13" s="3216"/>
      <c r="D13" s="3216"/>
      <c r="E13" s="4964" t="s">
        <v>241</v>
      </c>
      <c r="F13" s="4964"/>
      <c r="G13" s="4964"/>
      <c r="H13" s="4964"/>
      <c r="I13" s="4964"/>
      <c r="J13" s="3217"/>
      <c r="K13" s="3218" t="s">
        <v>377</v>
      </c>
      <c r="L13" s="4972" t="s">
        <v>1771</v>
      </c>
      <c r="M13" s="4957" t="s">
        <v>600</v>
      </c>
      <c r="N13" s="4957" t="s">
        <v>599</v>
      </c>
      <c r="O13" s="4957" t="s">
        <v>598</v>
      </c>
      <c r="P13" s="4957" t="s">
        <v>225</v>
      </c>
      <c r="Q13" s="4957" t="s">
        <v>229</v>
      </c>
      <c r="R13" s="4957" t="s">
        <v>1772</v>
      </c>
      <c r="S13" s="4958" t="s">
        <v>1773</v>
      </c>
    </row>
    <row r="14" spans="1:19" ht="41.25" customHeight="1">
      <c r="A14" s="4963"/>
      <c r="B14" s="3216"/>
      <c r="C14" s="3216"/>
      <c r="D14" s="3216"/>
      <c r="E14" s="3219" t="s">
        <v>530</v>
      </c>
      <c r="F14" s="3219" t="s">
        <v>161</v>
      </c>
      <c r="G14" s="3219" t="s">
        <v>531</v>
      </c>
      <c r="H14" s="3219" t="s">
        <v>532</v>
      </c>
      <c r="I14" s="3219" t="s">
        <v>533</v>
      </c>
      <c r="J14" s="3217"/>
      <c r="K14" s="3219" t="s">
        <v>530</v>
      </c>
      <c r="L14" s="4972"/>
      <c r="M14" s="4957"/>
      <c r="N14" s="4957"/>
      <c r="O14" s="4957"/>
      <c r="P14" s="4957"/>
      <c r="Q14" s="4957"/>
      <c r="R14" s="4957"/>
      <c r="S14" s="4958"/>
    </row>
    <row r="15" spans="1:19" ht="18.75" customHeight="1">
      <c r="A15" s="3187" t="s">
        <v>1757</v>
      </c>
      <c r="B15" s="3220"/>
      <c r="C15" s="3220"/>
      <c r="D15" s="3220"/>
      <c r="E15" s="3221">
        <v>3600</v>
      </c>
      <c r="F15" s="3222" t="e">
        <f>E15/#REF!*100</f>
        <v>#REF!</v>
      </c>
      <c r="G15" s="3221" t="e">
        <f>SUM(G16:G18)</f>
        <v>#REF!</v>
      </c>
      <c r="H15" s="3221">
        <f>SUM(H16:H18)</f>
        <v>1764.1999999999998</v>
      </c>
      <c r="I15" s="3221">
        <f>SUM(I16:I18)</f>
        <v>2589</v>
      </c>
      <c r="J15" s="3223"/>
      <c r="K15" s="3221">
        <f>SUM(K16:K18)</f>
        <v>3644.7</v>
      </c>
      <c r="L15" s="3224" t="s">
        <v>1774</v>
      </c>
      <c r="M15" s="3190">
        <f>SUM('Произв. прогр. Стоки (СВОД)'!H13)</f>
        <v>829.99749999999995</v>
      </c>
      <c r="N15" s="3190">
        <f>SUM('Произв. прогр. Стоки (СВОД)'!L13)</f>
        <v>794.46749999999986</v>
      </c>
      <c r="O15" s="3190">
        <f>SUM(M15+N15)</f>
        <v>1624.4649999999997</v>
      </c>
      <c r="P15" s="3190">
        <f>SUM('Произв. прогр. Стоки (СВОД)'!Q13)</f>
        <v>794.46749999999986</v>
      </c>
      <c r="Q15" s="3190">
        <f>SUM(O15+P15)</f>
        <v>2418.9324999999994</v>
      </c>
      <c r="R15" s="3190">
        <f>SUM('Произв. прогр. Стоки (СВОД)'!V13)</f>
        <v>829.99749999999995</v>
      </c>
      <c r="S15" s="3191">
        <f>SUM(Q15+R15)</f>
        <v>3248.9299999999994</v>
      </c>
    </row>
    <row r="16" spans="1:19" ht="18.75" customHeight="1">
      <c r="A16" s="3192" t="s">
        <v>264</v>
      </c>
      <c r="B16" s="3220"/>
      <c r="C16" s="3220"/>
      <c r="D16" s="3220"/>
      <c r="E16" s="3225">
        <v>2600</v>
      </c>
      <c r="F16" s="3226" t="e">
        <f>E16/#REF!*100</f>
        <v>#REF!</v>
      </c>
      <c r="G16" s="3225">
        <f>E16</f>
        <v>2600</v>
      </c>
      <c r="H16" s="3225">
        <v>1250.8</v>
      </c>
      <c r="I16" s="3227">
        <v>1837.1</v>
      </c>
      <c r="J16" s="3227"/>
      <c r="K16" s="3225">
        <v>2600</v>
      </c>
      <c r="L16" s="3228" t="s">
        <v>1774</v>
      </c>
      <c r="M16" s="3194">
        <f>SUM('Произв. прогр. Стоки (СВОД)'!H14)</f>
        <v>582.54</v>
      </c>
      <c r="N16" s="3194">
        <f>SUM('Произв. прогр. Стоки (СВОД)'!L14)</f>
        <v>557.45999999999992</v>
      </c>
      <c r="O16" s="3194">
        <f>SUM(M16+N16)</f>
        <v>1140</v>
      </c>
      <c r="P16" s="3194">
        <f>SUM('Произв. прогр. Стоки (СВОД)'!Q14)</f>
        <v>557.46</v>
      </c>
      <c r="Q16" s="3194">
        <f>SUM(O16+P16)</f>
        <v>1697.46</v>
      </c>
      <c r="R16" s="3194">
        <f>SUM('Произв. прогр. Стоки (СВОД)'!V14)</f>
        <v>582.54000000000008</v>
      </c>
      <c r="S16" s="3197">
        <f t="shared" ref="S16" si="0">SUM(Q16+R16)</f>
        <v>2280</v>
      </c>
    </row>
    <row r="17" spans="1:19" ht="18.75" customHeight="1">
      <c r="A17" s="3192" t="s">
        <v>1753</v>
      </c>
      <c r="B17" s="3220"/>
      <c r="C17" s="3220"/>
      <c r="D17" s="3220"/>
      <c r="E17" s="3225"/>
      <c r="F17" s="3226"/>
      <c r="G17" s="3225"/>
      <c r="H17" s="3225"/>
      <c r="I17" s="3227"/>
      <c r="J17" s="3227"/>
      <c r="K17" s="3225"/>
      <c r="L17" s="3228" t="s">
        <v>1774</v>
      </c>
      <c r="M17" s="3194">
        <f>SUM('Произв. прогр. Стоки (СВОД)'!H15)</f>
        <v>4.7324999999999999</v>
      </c>
      <c r="N17" s="3194">
        <f>SUM('Произв. прогр. Стоки (СВОД)'!L15)</f>
        <v>4.7324999999999999</v>
      </c>
      <c r="O17" s="3194">
        <f t="shared" ref="O17:O18" si="1">SUM(M17+N17)</f>
        <v>9.4649999999999999</v>
      </c>
      <c r="P17" s="3194">
        <f>SUM('Произв. прогр. Стоки (СВОД)'!Q15)</f>
        <v>4.7324999999999999</v>
      </c>
      <c r="Q17" s="3194">
        <f t="shared" ref="Q17:Q18" si="2">SUM(O17+P17)</f>
        <v>14.1975</v>
      </c>
      <c r="R17" s="3194">
        <f>SUM('Произв. прогр. Стоки (СВОД)'!V15)</f>
        <v>4.7324999999999999</v>
      </c>
      <c r="S17" s="3197">
        <f t="shared" ref="S17:S18" si="3">SUM(Q17+R17)</f>
        <v>18.93</v>
      </c>
    </row>
    <row r="18" spans="1:19" ht="18.75" customHeight="1">
      <c r="A18" s="3192" t="s">
        <v>1754</v>
      </c>
      <c r="B18" s="3220"/>
      <c r="C18" s="3220"/>
      <c r="D18" s="3220"/>
      <c r="E18" s="3225">
        <v>972</v>
      </c>
      <c r="F18" s="3226" t="e">
        <f>E18/#REF!*100</f>
        <v>#REF!</v>
      </c>
      <c r="G18" s="3225" t="e">
        <f>#REF!+2.4</f>
        <v>#REF!</v>
      </c>
      <c r="H18" s="3225">
        <v>513.4</v>
      </c>
      <c r="I18" s="3227">
        <v>751.9</v>
      </c>
      <c r="J18" s="3227"/>
      <c r="K18" s="3225">
        <v>1044.7</v>
      </c>
      <c r="L18" s="3228" t="s">
        <v>1774</v>
      </c>
      <c r="M18" s="3194">
        <f>SUM('Произв. прогр. Стоки (СВОД)'!H16)</f>
        <v>242.72500000000002</v>
      </c>
      <c r="N18" s="3194">
        <f>SUM('Произв. прогр. Стоки (СВОД)'!L16)</f>
        <v>232.27499999999998</v>
      </c>
      <c r="O18" s="3194">
        <f t="shared" si="1"/>
        <v>475</v>
      </c>
      <c r="P18" s="3194">
        <f>SUM('Произв. прогр. Стоки (СВОД)'!Q16)</f>
        <v>232.27499999999998</v>
      </c>
      <c r="Q18" s="3194">
        <f t="shared" si="2"/>
        <v>707.27499999999998</v>
      </c>
      <c r="R18" s="3194">
        <f>SUM('Произв. прогр. Стоки (СВОД)'!V16)</f>
        <v>242.72500000000002</v>
      </c>
      <c r="S18" s="3197">
        <f t="shared" si="3"/>
        <v>950</v>
      </c>
    </row>
    <row r="19" spans="1:19" ht="18.75" customHeight="1">
      <c r="A19" s="4959" t="s">
        <v>1722</v>
      </c>
      <c r="B19" s="4960"/>
      <c r="C19" s="4960"/>
      <c r="D19" s="4960"/>
      <c r="E19" s="4960"/>
      <c r="F19" s="4960"/>
      <c r="G19" s="4960"/>
      <c r="H19" s="4960"/>
      <c r="I19" s="4960"/>
      <c r="J19" s="4960"/>
      <c r="K19" s="4960"/>
      <c r="L19" s="4961"/>
      <c r="M19" s="4961"/>
      <c r="N19" s="4961"/>
      <c r="O19" s="4961"/>
      <c r="P19" s="4961"/>
      <c r="Q19" s="4961"/>
      <c r="R19" s="4961"/>
      <c r="S19" s="4962"/>
    </row>
    <row r="20" spans="1:19" ht="19.5" customHeight="1">
      <c r="A20" s="4963" t="s">
        <v>545</v>
      </c>
      <c r="B20" s="3216"/>
      <c r="C20" s="3216"/>
      <c r="D20" s="3216"/>
      <c r="E20" s="4964" t="s">
        <v>241</v>
      </c>
      <c r="F20" s="4964"/>
      <c r="G20" s="4964"/>
      <c r="H20" s="4964"/>
      <c r="I20" s="4964"/>
      <c r="J20" s="3217"/>
      <c r="K20" s="4622" t="s">
        <v>377</v>
      </c>
      <c r="L20" s="4957" t="s">
        <v>1771</v>
      </c>
      <c r="M20" s="4957" t="s">
        <v>600</v>
      </c>
      <c r="N20" s="4957" t="s">
        <v>599</v>
      </c>
      <c r="O20" s="4957" t="s">
        <v>598</v>
      </c>
      <c r="P20" s="4957" t="s">
        <v>225</v>
      </c>
      <c r="Q20" s="4957" t="s">
        <v>229</v>
      </c>
      <c r="R20" s="4957" t="s">
        <v>135</v>
      </c>
      <c r="S20" s="4958" t="s">
        <v>1773</v>
      </c>
    </row>
    <row r="21" spans="1:19" ht="41.25" customHeight="1">
      <c r="A21" s="4963"/>
      <c r="B21" s="3216"/>
      <c r="C21" s="3216"/>
      <c r="D21" s="3216"/>
      <c r="E21" s="3219" t="s">
        <v>530</v>
      </c>
      <c r="F21" s="3219" t="s">
        <v>161</v>
      </c>
      <c r="G21" s="3219" t="s">
        <v>531</v>
      </c>
      <c r="H21" s="3219" t="s">
        <v>532</v>
      </c>
      <c r="I21" s="3219" t="s">
        <v>533</v>
      </c>
      <c r="J21" s="3217"/>
      <c r="K21" s="3219" t="s">
        <v>530</v>
      </c>
      <c r="L21" s="4957"/>
      <c r="M21" s="4957"/>
      <c r="N21" s="4957"/>
      <c r="O21" s="4957"/>
      <c r="P21" s="4957"/>
      <c r="Q21" s="4957"/>
      <c r="R21" s="4957"/>
      <c r="S21" s="4958"/>
    </row>
    <row r="22" spans="1:19" ht="18.75" customHeight="1">
      <c r="A22" s="3192" t="s">
        <v>1</v>
      </c>
      <c r="B22" s="3204"/>
      <c r="C22" s="3204"/>
      <c r="D22" s="3204"/>
      <c r="E22" s="3204"/>
      <c r="F22" s="3204"/>
      <c r="G22" s="3204"/>
      <c r="H22" s="3204"/>
      <c r="I22" s="3204"/>
      <c r="J22" s="3204"/>
      <c r="K22" s="3204"/>
      <c r="L22" s="3229" t="s">
        <v>918</v>
      </c>
      <c r="M22" s="3194">
        <f>SUM('Произв. прогр. Стоки (СВОД)'!H34)</f>
        <v>1962.1467089017497</v>
      </c>
      <c r="N22" s="3194">
        <f>SUM('Произв. прогр. Стоки (СВОД)'!L34)</f>
        <v>1878.1523925727497</v>
      </c>
      <c r="O22" s="3194">
        <f t="shared" ref="O22" si="4">SUM(M22+N22)</f>
        <v>3840.2991014744994</v>
      </c>
      <c r="P22" s="3194">
        <f>SUM('Произв. прогр. Стоки (СВОД)'!Q34)</f>
        <v>2009.6230600528424</v>
      </c>
      <c r="Q22" s="3194">
        <f t="shared" ref="Q22" si="5">SUM(O22+P22)</f>
        <v>5849.9221615273418</v>
      </c>
      <c r="R22" s="3194">
        <f>SUM('Произв. прогр. Стоки (СВОД)'!V34)</f>
        <v>2099.4969785248727</v>
      </c>
      <c r="S22" s="3197">
        <f t="shared" ref="S22" si="6">SUM(Q22+R22)</f>
        <v>7949.4191400522141</v>
      </c>
    </row>
    <row r="23" spans="1:19" ht="18.75" customHeight="1">
      <c r="A23" s="3192" t="s">
        <v>2</v>
      </c>
      <c r="B23" s="3204"/>
      <c r="C23" s="3204"/>
      <c r="D23" s="3204"/>
      <c r="E23" s="3204"/>
      <c r="F23" s="3204"/>
      <c r="G23" s="3204"/>
      <c r="H23" s="3204"/>
      <c r="I23" s="3204"/>
      <c r="J23" s="3204"/>
      <c r="K23" s="3204"/>
      <c r="L23" s="3229" t="s">
        <v>918</v>
      </c>
      <c r="M23" s="3194">
        <f>SUM('Произв. прогр. Стоки (СВОД)'!H35)</f>
        <v>1259.22</v>
      </c>
      <c r="N23" s="3194">
        <f>SUM('Произв. прогр. Стоки (СВОД)'!L35)</f>
        <v>1259.22</v>
      </c>
      <c r="O23" s="3194">
        <f t="shared" ref="O23:O46" si="7">SUM(M23+N23)</f>
        <v>2518.44</v>
      </c>
      <c r="P23" s="3194">
        <f>SUM('Произв. прогр. Стоки (СВОД)'!Q35)</f>
        <v>1259.22</v>
      </c>
      <c r="Q23" s="3194">
        <f t="shared" ref="Q23:Q46" si="8">SUM(O23+P23)</f>
        <v>3777.66</v>
      </c>
      <c r="R23" s="3194">
        <f>SUM('Произв. прогр. Стоки (СВОД)'!V35)</f>
        <v>1259.22</v>
      </c>
      <c r="S23" s="3197">
        <f t="shared" ref="S23:S46" si="9">SUM(Q23+R23)</f>
        <v>5036.88</v>
      </c>
    </row>
    <row r="24" spans="1:19" ht="18.75" customHeight="1">
      <c r="A24" s="3192" t="s">
        <v>219</v>
      </c>
      <c r="B24" s="3204"/>
      <c r="C24" s="3204"/>
      <c r="D24" s="3204"/>
      <c r="E24" s="3204"/>
      <c r="F24" s="3204"/>
      <c r="G24" s="3204"/>
      <c r="H24" s="3204"/>
      <c r="I24" s="3204"/>
      <c r="J24" s="3204"/>
      <c r="K24" s="3204"/>
      <c r="L24" s="3229" t="s">
        <v>918</v>
      </c>
      <c r="M24" s="3194">
        <f>SUM('Произв. прогр. Стоки (СВОД)'!H36)</f>
        <v>0</v>
      </c>
      <c r="N24" s="3194">
        <f>SUM('Произв. прогр. Стоки (СВОД)'!L36)</f>
        <v>0</v>
      </c>
      <c r="O24" s="3194">
        <f t="shared" si="7"/>
        <v>0</v>
      </c>
      <c r="P24" s="3194">
        <f>SUM('Произв. прогр. Стоки (СВОД)'!Q36)</f>
        <v>0</v>
      </c>
      <c r="Q24" s="3194">
        <f t="shared" si="8"/>
        <v>0</v>
      </c>
      <c r="R24" s="3194">
        <f>SUM('Произв. прогр. Стоки (СВОД)'!V36)</f>
        <v>0</v>
      </c>
      <c r="S24" s="3197">
        <f t="shared" si="9"/>
        <v>0</v>
      </c>
    </row>
    <row r="25" spans="1:19" ht="18.75" customHeight="1">
      <c r="A25" s="3192" t="s">
        <v>8</v>
      </c>
      <c r="B25" s="3204"/>
      <c r="C25" s="3204"/>
      <c r="D25" s="3204"/>
      <c r="E25" s="3204"/>
      <c r="F25" s="3204"/>
      <c r="G25" s="3204"/>
      <c r="H25" s="3204"/>
      <c r="I25" s="3204"/>
      <c r="J25" s="3204"/>
      <c r="K25" s="3204"/>
      <c r="L25" s="3229" t="s">
        <v>918</v>
      </c>
      <c r="M25" s="3194">
        <f>SUM('Произв. прогр. Стоки (СВОД)'!H37)</f>
        <v>81.583359252632391</v>
      </c>
      <c r="N25" s="3194">
        <f>SUM('Произв. прогр. Стоки (СВОД)'!L37)</f>
        <v>81.583359252632391</v>
      </c>
      <c r="O25" s="3194">
        <f t="shared" si="7"/>
        <v>163.16671850526478</v>
      </c>
      <c r="P25" s="3194">
        <f>SUM('Произв. прогр. Стоки (СВОД)'!Q37)</f>
        <v>81.583359252632391</v>
      </c>
      <c r="Q25" s="3194">
        <f t="shared" si="8"/>
        <v>244.75007775789717</v>
      </c>
      <c r="R25" s="3194">
        <f>SUM('Произв. прогр. Стоки (СВОД)'!V37)</f>
        <v>81.583359252632391</v>
      </c>
      <c r="S25" s="3197">
        <f t="shared" si="9"/>
        <v>326.33343701052956</v>
      </c>
    </row>
    <row r="26" spans="1:19" ht="18.75" customHeight="1">
      <c r="A26" s="3192" t="s">
        <v>3</v>
      </c>
      <c r="B26" s="3204"/>
      <c r="C26" s="3204"/>
      <c r="D26" s="3204"/>
      <c r="E26" s="3204"/>
      <c r="F26" s="3204"/>
      <c r="G26" s="3204"/>
      <c r="H26" s="3204"/>
      <c r="I26" s="3204"/>
      <c r="J26" s="3204"/>
      <c r="K26" s="3204"/>
      <c r="L26" s="3229" t="s">
        <v>918</v>
      </c>
      <c r="M26" s="3194">
        <f>SUM('Произв. прогр. Стоки (СВОД)'!H38)</f>
        <v>84.06505463245648</v>
      </c>
      <c r="N26" s="3194">
        <f>SUM('Произв. прогр. Стоки (СВОД)'!L38)</f>
        <v>84.06505463245648</v>
      </c>
      <c r="O26" s="3194">
        <f t="shared" si="7"/>
        <v>168.13010926491296</v>
      </c>
      <c r="P26" s="3194">
        <f>SUM('Произв. прогр. Стоки (СВОД)'!Q38)</f>
        <v>84.06505463245648</v>
      </c>
      <c r="Q26" s="3194">
        <f t="shared" si="8"/>
        <v>252.19516389736944</v>
      </c>
      <c r="R26" s="3194">
        <f>SUM('Произв. прогр. Стоки (СВОД)'!V38)</f>
        <v>84.06505463245648</v>
      </c>
      <c r="S26" s="3197">
        <f t="shared" si="9"/>
        <v>336.26021852982592</v>
      </c>
    </row>
    <row r="27" spans="1:19" ht="18.75" customHeight="1">
      <c r="A27" s="3192" t="s">
        <v>4</v>
      </c>
      <c r="B27" s="3204"/>
      <c r="C27" s="3204"/>
      <c r="D27" s="3204"/>
      <c r="E27" s="3204"/>
      <c r="F27" s="3204"/>
      <c r="G27" s="3204"/>
      <c r="H27" s="3204"/>
      <c r="I27" s="3204"/>
      <c r="J27" s="3204"/>
      <c r="K27" s="3204"/>
      <c r="L27" s="3229" t="s">
        <v>918</v>
      </c>
      <c r="M27" s="3194">
        <f>SUM('Произв. прогр. Стоки (СВОД)'!H39)</f>
        <v>8827.2978629263871</v>
      </c>
      <c r="N27" s="3194">
        <f>SUM('Произв. прогр. Стоки (СВОД)'!L39)</f>
        <v>8827.2978629263871</v>
      </c>
      <c r="O27" s="3194">
        <f t="shared" si="7"/>
        <v>17654.595725852774</v>
      </c>
      <c r="P27" s="3194">
        <f>SUM('Произв. прогр. Стоки (СВОД)'!Q39)</f>
        <v>9180.3897774434427</v>
      </c>
      <c r="Q27" s="3194">
        <f t="shared" si="8"/>
        <v>26834.985503296215</v>
      </c>
      <c r="R27" s="3194">
        <f>SUM('Произв. прогр. Стоки (СВОД)'!V39)</f>
        <v>9180.3897774434427</v>
      </c>
      <c r="S27" s="3197">
        <f t="shared" si="9"/>
        <v>36015.37528073966</v>
      </c>
    </row>
    <row r="28" spans="1:19" ht="18.75" customHeight="1">
      <c r="A28" s="3192" t="s">
        <v>121</v>
      </c>
      <c r="B28" s="3204"/>
      <c r="C28" s="3204"/>
      <c r="D28" s="3204"/>
      <c r="E28" s="3204"/>
      <c r="F28" s="3204"/>
      <c r="G28" s="3204"/>
      <c r="H28" s="3204"/>
      <c r="I28" s="3204"/>
      <c r="J28" s="3204"/>
      <c r="K28" s="3204"/>
      <c r="L28" s="3229" t="s">
        <v>918</v>
      </c>
      <c r="M28" s="3194">
        <f>SUM('Произв. прогр. Стоки (СВОД)'!H40)</f>
        <v>2649.4969861399986</v>
      </c>
      <c r="N28" s="3194">
        <f>SUM('Произв. прогр. Стоки (СВОД)'!L40)</f>
        <v>2649.4969861399986</v>
      </c>
      <c r="O28" s="3194">
        <f t="shared" si="7"/>
        <v>5298.9939722799973</v>
      </c>
      <c r="P28" s="3194">
        <f>SUM('Произв. прогр. Стоки (СВОД)'!Q40)</f>
        <v>2755.4768655855987</v>
      </c>
      <c r="Q28" s="3194">
        <f t="shared" si="8"/>
        <v>8054.470837865596</v>
      </c>
      <c r="R28" s="3194">
        <f>SUM('Произв. прогр. Стоки (СВОД)'!V40)</f>
        <v>2755.4768655855987</v>
      </c>
      <c r="S28" s="3197">
        <f t="shared" si="9"/>
        <v>10809.947703451195</v>
      </c>
    </row>
    <row r="29" spans="1:19" ht="18.75" customHeight="1">
      <c r="A29" s="3195" t="s">
        <v>321</v>
      </c>
      <c r="B29" s="3204"/>
      <c r="C29" s="3204"/>
      <c r="D29" s="3204"/>
      <c r="E29" s="3204"/>
      <c r="F29" s="3204"/>
      <c r="G29" s="3204"/>
      <c r="H29" s="3204"/>
      <c r="I29" s="3204"/>
      <c r="J29" s="3204"/>
      <c r="K29" s="3204"/>
      <c r="L29" s="3229" t="s">
        <v>44</v>
      </c>
      <c r="M29" s="3196">
        <f>SUM('Произв. прогр. Стоки (СВОД)'!H41)</f>
        <v>0.30014813448944261</v>
      </c>
      <c r="N29" s="3196">
        <f>SUM('Произв. прогр. Стоки (СВОД)'!L41)</f>
        <v>0.30014813448944261</v>
      </c>
      <c r="O29" s="3196">
        <f>SUM(O28/O27)</f>
        <v>0.30014813448944261</v>
      </c>
      <c r="P29" s="3196">
        <f>SUM('Произв. прогр. Стоки (СВОД)'!Q41)</f>
        <v>0.30014813448944261</v>
      </c>
      <c r="Q29" s="3196">
        <f>SUM(Q28/Q27)</f>
        <v>0.30014813448944266</v>
      </c>
      <c r="R29" s="3196">
        <f>SUM('Произв. прогр. Стоки (СВОД)'!V41)</f>
        <v>0.30014813448944261</v>
      </c>
      <c r="S29" s="3203">
        <f>SUM(S28/S27)</f>
        <v>0.30014813448944261</v>
      </c>
    </row>
    <row r="30" spans="1:19" ht="18.75" customHeight="1">
      <c r="A30" s="3200" t="s">
        <v>1745</v>
      </c>
      <c r="B30" s="3204"/>
      <c r="C30" s="3204"/>
      <c r="D30" s="3204"/>
      <c r="E30" s="3204"/>
      <c r="F30" s="3204"/>
      <c r="G30" s="3204"/>
      <c r="H30" s="3204"/>
      <c r="I30" s="3204"/>
      <c r="J30" s="3204"/>
      <c r="K30" s="3204"/>
      <c r="L30" s="3229" t="s">
        <v>918</v>
      </c>
      <c r="M30" s="3194">
        <f>SUM('Произв. прогр. Стоки (СВОД)'!H42)</f>
        <v>2952.0321731119861</v>
      </c>
      <c r="N30" s="3194">
        <f>SUM('Произв. прогр. Стоки (СВОД)'!L42)</f>
        <v>2843.6185288169795</v>
      </c>
      <c r="O30" s="3194">
        <f t="shared" si="7"/>
        <v>5795.6507019289656</v>
      </c>
      <c r="P30" s="3194">
        <f>SUM('Произв. прогр. Стоки (СВОД)'!Q42)</f>
        <v>2908.6303218627572</v>
      </c>
      <c r="Q30" s="3194">
        <f t="shared" si="8"/>
        <v>8704.281023791722</v>
      </c>
      <c r="R30" s="3194">
        <f>SUM('Произв. прогр. Стоки (СВОД)'!V42)</f>
        <v>3019.6759573740737</v>
      </c>
      <c r="S30" s="3197">
        <f t="shared" si="9"/>
        <v>11723.956981165797</v>
      </c>
    </row>
    <row r="31" spans="1:19" ht="18.75" customHeight="1">
      <c r="A31" s="3201" t="s">
        <v>1746</v>
      </c>
      <c r="B31" s="3230"/>
      <c r="C31" s="3230"/>
      <c r="D31" s="3230"/>
      <c r="E31" s="3230"/>
      <c r="F31" s="3230"/>
      <c r="G31" s="3230"/>
      <c r="H31" s="3230"/>
      <c r="I31" s="3230"/>
      <c r="J31" s="3230"/>
      <c r="K31" s="3230"/>
      <c r="L31" s="3229" t="s">
        <v>918</v>
      </c>
      <c r="M31" s="3198">
        <f>SUM('Произв. прогр. Стоки (СВОД)'!H43)</f>
        <v>1468.1097149110201</v>
      </c>
      <c r="N31" s="3198">
        <f>SUM('Произв. прогр. Стоки (СВОД)'!L43)</f>
        <v>1468.1097149110201</v>
      </c>
      <c r="O31" s="3198">
        <f t="shared" si="7"/>
        <v>2936.2194298220402</v>
      </c>
      <c r="P31" s="3198">
        <f>SUM('Произв. прогр. Стоки (СВОД)'!Q43)</f>
        <v>1534.5117374111524</v>
      </c>
      <c r="Q31" s="3198">
        <f t="shared" si="8"/>
        <v>4470.7311672331925</v>
      </c>
      <c r="R31" s="3198">
        <f>SUM('Произв. прогр. Стоки (СВОД)'!V43)</f>
        <v>1534.5117374111524</v>
      </c>
      <c r="S31" s="3199">
        <f t="shared" si="9"/>
        <v>6005.2429046443449</v>
      </c>
    </row>
    <row r="32" spans="1:19" ht="18.75" customHeight="1">
      <c r="A32" s="3201" t="s">
        <v>1747</v>
      </c>
      <c r="B32" s="3230"/>
      <c r="C32" s="3230"/>
      <c r="D32" s="3230"/>
      <c r="E32" s="3230"/>
      <c r="F32" s="3230"/>
      <c r="G32" s="3230"/>
      <c r="H32" s="3230"/>
      <c r="I32" s="3230"/>
      <c r="J32" s="3230"/>
      <c r="K32" s="3230"/>
      <c r="L32" s="3229" t="s">
        <v>918</v>
      </c>
      <c r="M32" s="3198">
        <f>SUM('Произв. прогр. Стоки (СВОД)'!H44)</f>
        <v>441.51352035497416</v>
      </c>
      <c r="N32" s="3198">
        <f>SUM('Произв. прогр. Стоки (СВОД)'!L44)</f>
        <v>441.51352035497416</v>
      </c>
      <c r="O32" s="3198">
        <f t="shared" si="7"/>
        <v>883.02704070994832</v>
      </c>
      <c r="P32" s="3198">
        <f>SUM('Произв. прогр. Стоки (СВОД)'!Q44)</f>
        <v>461.49260809987641</v>
      </c>
      <c r="Q32" s="3198">
        <f t="shared" si="8"/>
        <v>1344.5196488098247</v>
      </c>
      <c r="R32" s="3198">
        <f>SUM('Произв. прогр. Стоки (СВОД)'!V44)</f>
        <v>461.49260809987641</v>
      </c>
      <c r="S32" s="3199">
        <f t="shared" si="9"/>
        <v>1806.0122569097011</v>
      </c>
    </row>
    <row r="33" spans="1:19" ht="18.75" customHeight="1">
      <c r="A33" s="3201" t="s">
        <v>300</v>
      </c>
      <c r="B33" s="3230"/>
      <c r="C33" s="3230"/>
      <c r="D33" s="3230"/>
      <c r="E33" s="3230"/>
      <c r="F33" s="3230"/>
      <c r="G33" s="3230"/>
      <c r="H33" s="3230"/>
      <c r="I33" s="3230"/>
      <c r="J33" s="3230"/>
      <c r="K33" s="3230"/>
      <c r="L33" s="3229" t="s">
        <v>918</v>
      </c>
      <c r="M33" s="3198">
        <f>SUM('Произв. прогр. Стоки (СВОД)'!H45)</f>
        <v>1042.4089378459926</v>
      </c>
      <c r="N33" s="3198">
        <f>SUM('Произв. прогр. Стоки (СВОД)'!L45)</f>
        <v>933.99529355098502</v>
      </c>
      <c r="O33" s="3198">
        <f t="shared" si="7"/>
        <v>1976.4042313969776</v>
      </c>
      <c r="P33" s="3198">
        <f>SUM('Произв. прогр. Стоки (СВОД)'!Q45)</f>
        <v>912.62597635172847</v>
      </c>
      <c r="Q33" s="3198">
        <f t="shared" si="8"/>
        <v>2889.0302077487058</v>
      </c>
      <c r="R33" s="3198">
        <f>SUM('Произв. прогр. Стоки (СВОД)'!V45)</f>
        <v>1023.6716118630452</v>
      </c>
      <c r="S33" s="3199">
        <f t="shared" si="9"/>
        <v>3912.701819611751</v>
      </c>
    </row>
    <row r="34" spans="1:19" ht="18.75" customHeight="1">
      <c r="A34" s="3200" t="s">
        <v>1724</v>
      </c>
      <c r="B34" s="3231"/>
      <c r="C34" s="3231"/>
      <c r="D34" s="3231"/>
      <c r="E34" s="3231"/>
      <c r="F34" s="3231"/>
      <c r="G34" s="3231"/>
      <c r="H34" s="3231"/>
      <c r="I34" s="3231"/>
      <c r="J34" s="3231"/>
      <c r="K34" s="3231"/>
      <c r="L34" s="3229" t="s">
        <v>918</v>
      </c>
      <c r="M34" s="3194">
        <f>SUM('Произв. прогр. Стоки (СВОД)'!H46)</f>
        <v>378.3660830974635</v>
      </c>
      <c r="N34" s="3194">
        <f>SUM('Произв. прогр. Стоки (СВОД)'!L46)</f>
        <v>378.3660830974635</v>
      </c>
      <c r="O34" s="3194">
        <f t="shared" si="7"/>
        <v>756.732166194927</v>
      </c>
      <c r="P34" s="3194">
        <f>SUM('Произв. прогр. Стоки (СВОД)'!Q46)</f>
        <v>378.3660830974635</v>
      </c>
      <c r="Q34" s="3194">
        <f t="shared" si="8"/>
        <v>1135.0982492923904</v>
      </c>
      <c r="R34" s="3194">
        <f>SUM('Произв. прогр. Стоки (СВОД)'!V46)</f>
        <v>378.3660830974635</v>
      </c>
      <c r="S34" s="3197">
        <f t="shared" si="9"/>
        <v>1513.464332389854</v>
      </c>
    </row>
    <row r="35" spans="1:19" ht="18.75" customHeight="1">
      <c r="A35" s="3195" t="s">
        <v>1756</v>
      </c>
      <c r="B35" s="3231"/>
      <c r="C35" s="3231"/>
      <c r="D35" s="3231"/>
      <c r="E35" s="3231"/>
      <c r="F35" s="3231"/>
      <c r="G35" s="3231"/>
      <c r="H35" s="3231"/>
      <c r="I35" s="3231"/>
      <c r="J35" s="3231"/>
      <c r="K35" s="3231"/>
      <c r="L35" s="3229" t="s">
        <v>918</v>
      </c>
      <c r="M35" s="3198">
        <f>SUM('Произв. прогр. Стоки (СВОД)'!H47)</f>
        <v>38.183583097463476</v>
      </c>
      <c r="N35" s="3198">
        <f>SUM('Произв. прогр. Стоки (СВОД)'!L47)</f>
        <v>38.183583097463476</v>
      </c>
      <c r="O35" s="3198">
        <f t="shared" si="7"/>
        <v>76.367166194926952</v>
      </c>
      <c r="P35" s="3198">
        <f>SUM('Произв. прогр. Стоки (СВОД)'!Q47)</f>
        <v>38.183583097463476</v>
      </c>
      <c r="Q35" s="3198">
        <f t="shared" si="8"/>
        <v>114.55074929239044</v>
      </c>
      <c r="R35" s="3198">
        <f>SUM('Произв. прогр. Стоки (СВОД)'!V47)</f>
        <v>38.183583097463476</v>
      </c>
      <c r="S35" s="3199">
        <f t="shared" si="9"/>
        <v>152.7343323898539</v>
      </c>
    </row>
    <row r="36" spans="1:19" ht="18.75" customHeight="1">
      <c r="A36" s="3195" t="s">
        <v>542</v>
      </c>
      <c r="B36" s="3231"/>
      <c r="C36" s="3231"/>
      <c r="D36" s="3231"/>
      <c r="E36" s="3231"/>
      <c r="F36" s="3231"/>
      <c r="G36" s="3231"/>
      <c r="H36" s="3231"/>
      <c r="I36" s="3231"/>
      <c r="J36" s="3231"/>
      <c r="K36" s="3231"/>
      <c r="L36" s="3229" t="s">
        <v>918</v>
      </c>
      <c r="M36" s="3198">
        <f>SUM('Произв. прогр. Стоки (СВОД)'!H48)</f>
        <v>7.4749999999999996</v>
      </c>
      <c r="N36" s="3198">
        <f>SUM('Произв. прогр. Стоки (СВОД)'!L48)</f>
        <v>7.4749999999999996</v>
      </c>
      <c r="O36" s="3198">
        <f t="shared" si="7"/>
        <v>14.95</v>
      </c>
      <c r="P36" s="3198">
        <f>SUM('Произв. прогр. Стоки (СВОД)'!Q48)</f>
        <v>7.4749999999999996</v>
      </c>
      <c r="Q36" s="3198">
        <f t="shared" si="8"/>
        <v>22.424999999999997</v>
      </c>
      <c r="R36" s="3198">
        <f>SUM('Произв. прогр. Стоки (СВОД)'!V48)</f>
        <v>7.4749999999999996</v>
      </c>
      <c r="S36" s="3199">
        <f t="shared" si="9"/>
        <v>29.9</v>
      </c>
    </row>
    <row r="37" spans="1:19" ht="18.75" customHeight="1">
      <c r="A37" s="3195" t="s">
        <v>544</v>
      </c>
      <c r="B37" s="3231"/>
      <c r="C37" s="3231"/>
      <c r="D37" s="3231"/>
      <c r="E37" s="3231"/>
      <c r="F37" s="3231"/>
      <c r="G37" s="3231"/>
      <c r="H37" s="3231"/>
      <c r="I37" s="3231"/>
      <c r="J37" s="3231"/>
      <c r="K37" s="3231"/>
      <c r="L37" s="3229" t="s">
        <v>918</v>
      </c>
      <c r="M37" s="3198">
        <f>SUM('Произв. прогр. Стоки (СВОД)'!H49)</f>
        <v>332.70750000000004</v>
      </c>
      <c r="N37" s="3198">
        <f>SUM('Произв. прогр. Стоки (СВОД)'!L49)</f>
        <v>332.70750000000004</v>
      </c>
      <c r="O37" s="3198">
        <f t="shared" si="7"/>
        <v>665.41500000000008</v>
      </c>
      <c r="P37" s="3198">
        <f>SUM('Произв. прогр. Стоки (СВОД)'!Q49)</f>
        <v>332.70750000000004</v>
      </c>
      <c r="Q37" s="3198">
        <f t="shared" si="8"/>
        <v>998.12250000000017</v>
      </c>
      <c r="R37" s="3198">
        <f>SUM('Произв. прогр. Стоки (СВОД)'!V49)</f>
        <v>332.70750000000004</v>
      </c>
      <c r="S37" s="3199">
        <f t="shared" si="9"/>
        <v>1330.8300000000002</v>
      </c>
    </row>
    <row r="38" spans="1:19" ht="18.75" customHeight="1">
      <c r="A38" s="3200" t="s">
        <v>1748</v>
      </c>
      <c r="B38" s="3204"/>
      <c r="C38" s="3204"/>
      <c r="D38" s="3204"/>
      <c r="E38" s="3204"/>
      <c r="F38" s="3204"/>
      <c r="G38" s="3204"/>
      <c r="H38" s="3204"/>
      <c r="I38" s="3204"/>
      <c r="J38" s="3204"/>
      <c r="K38" s="3204"/>
      <c r="L38" s="3229" t="s">
        <v>918</v>
      </c>
      <c r="M38" s="3194">
        <f>SUM('Произв. прогр. Стоки (СВОД)'!H50)</f>
        <v>3735.876467295132</v>
      </c>
      <c r="N38" s="3194">
        <f>SUM('Произв. прогр. Стоки (СВОД)'!L50)</f>
        <v>3735.876467295132</v>
      </c>
      <c r="O38" s="3194">
        <f t="shared" si="7"/>
        <v>7471.752934590264</v>
      </c>
      <c r="P38" s="3194">
        <f>SUM('Произв. прогр. Стоки (СВОД)'!Q50)</f>
        <v>3871.2116897136334</v>
      </c>
      <c r="Q38" s="3194">
        <f t="shared" si="8"/>
        <v>11342.964624303897</v>
      </c>
      <c r="R38" s="3194">
        <f>SUM('Произв. прогр. Стоки (СВОД)'!V50)</f>
        <v>3871.2116897136334</v>
      </c>
      <c r="S38" s="3197">
        <f t="shared" si="9"/>
        <v>15214.17631401753</v>
      </c>
    </row>
    <row r="39" spans="1:19" ht="18.75" customHeight="1">
      <c r="A39" s="3205" t="s">
        <v>1727</v>
      </c>
      <c r="B39" s="3230"/>
      <c r="C39" s="3230"/>
      <c r="D39" s="3230"/>
      <c r="E39" s="3230"/>
      <c r="F39" s="3230"/>
      <c r="G39" s="3230"/>
      <c r="H39" s="3230"/>
      <c r="I39" s="3230"/>
      <c r="J39" s="3230"/>
      <c r="K39" s="3230"/>
      <c r="L39" s="3229" t="s">
        <v>918</v>
      </c>
      <c r="M39" s="3198">
        <f>SUM('Произв. прогр. Стоки (СВОД)'!H51)</f>
        <v>2643.6191333241818</v>
      </c>
      <c r="N39" s="3198">
        <f>SUM('Произв. прогр. Стоки (СВОД)'!L51)</f>
        <v>2643.6191333241818</v>
      </c>
      <c r="O39" s="3198">
        <f t="shared" si="7"/>
        <v>5287.2382666483636</v>
      </c>
      <c r="P39" s="3198">
        <f>SUM('Произв. прогр. Стоки (СВОД)'!Q51)</f>
        <v>2749.3638986571491</v>
      </c>
      <c r="Q39" s="3198">
        <f t="shared" si="8"/>
        <v>8036.6021653055122</v>
      </c>
      <c r="R39" s="3198">
        <f>SUM('Произв. прогр. Стоки (СВОД)'!V51)</f>
        <v>2749.3638986571491</v>
      </c>
      <c r="S39" s="3199">
        <f t="shared" si="9"/>
        <v>10785.966063962662</v>
      </c>
    </row>
    <row r="40" spans="1:19" ht="18.75" customHeight="1">
      <c r="A40" s="3205" t="s">
        <v>1728</v>
      </c>
      <c r="B40" s="3230"/>
      <c r="C40" s="3230"/>
      <c r="D40" s="3230"/>
      <c r="E40" s="3230"/>
      <c r="F40" s="3230"/>
      <c r="G40" s="3230"/>
      <c r="H40" s="3230"/>
      <c r="I40" s="3230"/>
      <c r="J40" s="3230"/>
      <c r="K40" s="3230"/>
      <c r="L40" s="3229" t="s">
        <v>918</v>
      </c>
      <c r="M40" s="3198">
        <f>SUM('Произв. прогр. Стоки (СВОД)'!H52)</f>
        <v>739.76142713833258</v>
      </c>
      <c r="N40" s="3198">
        <f>SUM('Произв. прогр. Стоки (СВОД)'!L52)</f>
        <v>739.76142713833258</v>
      </c>
      <c r="O40" s="3198">
        <f t="shared" si="7"/>
        <v>1479.5228542766652</v>
      </c>
      <c r="P40" s="3198">
        <f>SUM('Произв. прогр. Стоки (СВОД)'!Q52)</f>
        <v>769.35188422386591</v>
      </c>
      <c r="Q40" s="3198">
        <f t="shared" si="8"/>
        <v>2248.8747385005308</v>
      </c>
      <c r="R40" s="3198">
        <f>SUM('Произв. прогр. Стоки (СВОД)'!V52)</f>
        <v>769.35188422386591</v>
      </c>
      <c r="S40" s="3199">
        <f t="shared" si="9"/>
        <v>3018.2266227243967</v>
      </c>
    </row>
    <row r="41" spans="1:19" ht="18.75" customHeight="1">
      <c r="A41" s="3201" t="s">
        <v>1729</v>
      </c>
      <c r="B41" s="3230"/>
      <c r="C41" s="3230"/>
      <c r="D41" s="3230"/>
      <c r="E41" s="3230"/>
      <c r="F41" s="3230"/>
      <c r="G41" s="3230"/>
      <c r="H41" s="3230"/>
      <c r="I41" s="3230"/>
      <c r="J41" s="3230"/>
      <c r="K41" s="3230"/>
      <c r="L41" s="3229" t="s">
        <v>918</v>
      </c>
      <c r="M41" s="3198">
        <f>SUM('Произв. прогр. Стоки (СВОД)'!H53)</f>
        <v>352.49590683261761</v>
      </c>
      <c r="N41" s="3198">
        <f>SUM('Произв. прогр. Стоки (СВОД)'!L53)</f>
        <v>352.49590683261761</v>
      </c>
      <c r="O41" s="3198">
        <f t="shared" si="7"/>
        <v>704.99181366523521</v>
      </c>
      <c r="P41" s="3198">
        <f>SUM('Произв. прогр. Стоки (СВОД)'!Q53)</f>
        <v>352.4959068326184</v>
      </c>
      <c r="Q41" s="3198">
        <f t="shared" si="8"/>
        <v>1057.4877204978536</v>
      </c>
      <c r="R41" s="3198">
        <f>SUM('Произв. прогр. Стоки (СВОД)'!V53)</f>
        <v>352.4959068326184</v>
      </c>
      <c r="S41" s="3199">
        <f t="shared" si="9"/>
        <v>1409.983627330472</v>
      </c>
    </row>
    <row r="42" spans="1:19" ht="18.75" customHeight="1">
      <c r="A42" s="3192" t="s">
        <v>1758</v>
      </c>
      <c r="B42" s="3204"/>
      <c r="C42" s="3204"/>
      <c r="D42" s="3204"/>
      <c r="E42" s="3204"/>
      <c r="F42" s="3204"/>
      <c r="G42" s="3204"/>
      <c r="H42" s="3204"/>
      <c r="I42" s="3204"/>
      <c r="J42" s="3204"/>
      <c r="K42" s="3204"/>
      <c r="L42" s="3229" t="s">
        <v>918</v>
      </c>
      <c r="M42" s="3194">
        <f>SUM('Произв. прогр. Стоки (СВОД)'!H54)</f>
        <v>0</v>
      </c>
      <c r="N42" s="3194">
        <f>SUM('Произв. прогр. Стоки (СВОД)'!L54)</f>
        <v>0</v>
      </c>
      <c r="O42" s="3194">
        <f t="shared" si="7"/>
        <v>0</v>
      </c>
      <c r="P42" s="3194">
        <f>SUM('Произв. прогр. Стоки (СВОД)'!Q54)</f>
        <v>0</v>
      </c>
      <c r="Q42" s="3194">
        <f t="shared" si="8"/>
        <v>0</v>
      </c>
      <c r="R42" s="3194">
        <f>SUM('Произв. прогр. Стоки (СВОД)'!V54)</f>
        <v>0</v>
      </c>
      <c r="S42" s="3197">
        <f t="shared" si="9"/>
        <v>0</v>
      </c>
    </row>
    <row r="43" spans="1:19" ht="18.75" hidden="1" customHeight="1">
      <c r="A43" s="3195" t="s">
        <v>286</v>
      </c>
      <c r="B43" s="3204"/>
      <c r="C43" s="3204"/>
      <c r="D43" s="3204"/>
      <c r="E43" s="3204"/>
      <c r="F43" s="3204"/>
      <c r="G43" s="3204"/>
      <c r="H43" s="3204"/>
      <c r="I43" s="3204"/>
      <c r="J43" s="3204"/>
      <c r="K43" s="3204"/>
      <c r="L43" s="3229" t="s">
        <v>918</v>
      </c>
      <c r="M43" s="3198">
        <f>SUM('Произв. прогр. Стоки (СВОД)'!H55)</f>
        <v>0</v>
      </c>
      <c r="N43" s="3198">
        <f>SUM('Произв. прогр. Стоки (СВОД)'!L55)</f>
        <v>0</v>
      </c>
      <c r="O43" s="3198">
        <f t="shared" si="7"/>
        <v>0</v>
      </c>
      <c r="P43" s="3198">
        <f>SUM('Произв. прогр. Стоки (СВОД)'!Q55)</f>
        <v>0</v>
      </c>
      <c r="Q43" s="3198">
        <f t="shared" si="8"/>
        <v>0</v>
      </c>
      <c r="R43" s="3198">
        <f>SUM('Произв. прогр. Стоки (СВОД)'!V55)</f>
        <v>0</v>
      </c>
      <c r="S43" s="3199">
        <f t="shared" si="9"/>
        <v>0</v>
      </c>
    </row>
    <row r="44" spans="1:19" ht="18.75" customHeight="1">
      <c r="A44" s="3192" t="s">
        <v>1731</v>
      </c>
      <c r="B44" s="3204"/>
      <c r="C44" s="3204"/>
      <c r="D44" s="3204"/>
      <c r="E44" s="3204"/>
      <c r="F44" s="3204"/>
      <c r="G44" s="3204"/>
      <c r="H44" s="3204"/>
      <c r="I44" s="3204"/>
      <c r="J44" s="3204"/>
      <c r="K44" s="3204"/>
      <c r="L44" s="3229" t="s">
        <v>918</v>
      </c>
      <c r="M44" s="3194">
        <f>SUM('Произв. прогр. Стоки (СВОД)'!H56)</f>
        <v>91.342119864841322</v>
      </c>
      <c r="N44" s="3194">
        <f>SUM('Произв. прогр. Стоки (СВОД)'!L56)</f>
        <v>91.342119864841322</v>
      </c>
      <c r="O44" s="3194">
        <f t="shared" si="7"/>
        <v>182.68423972968264</v>
      </c>
      <c r="P44" s="3194">
        <f>SUM('Произв. прогр. Стоки (СВОД)'!Q56)</f>
        <v>91.342119864841322</v>
      </c>
      <c r="Q44" s="3194">
        <f t="shared" si="8"/>
        <v>274.02635959452397</v>
      </c>
      <c r="R44" s="3194">
        <f>SUM('Произв. прогр. Стоки (СВОД)'!V56)</f>
        <v>91.342119864841322</v>
      </c>
      <c r="S44" s="3197">
        <f t="shared" si="9"/>
        <v>365.36847945936529</v>
      </c>
    </row>
    <row r="45" spans="1:19" ht="18.75" customHeight="1">
      <c r="A45" s="3187" t="s">
        <v>12</v>
      </c>
      <c r="B45" s="3204"/>
      <c r="C45" s="3204"/>
      <c r="D45" s="3204"/>
      <c r="E45" s="3204"/>
      <c r="F45" s="3204"/>
      <c r="G45" s="3204"/>
      <c r="H45" s="3204"/>
      <c r="I45" s="3204"/>
      <c r="J45" s="3204"/>
      <c r="K45" s="3204"/>
      <c r="L45" s="3232" t="s">
        <v>918</v>
      </c>
      <c r="M45" s="3190">
        <f>SUM('Произв. прогр. Стоки (СВОД)'!H57)</f>
        <v>22021.42681522265</v>
      </c>
      <c r="N45" s="3190">
        <f>SUM('Произв. прогр. Стоки (СВОД)'!L57)</f>
        <v>21829.018854598642</v>
      </c>
      <c r="O45" s="3190">
        <f t="shared" si="7"/>
        <v>43850.445669821289</v>
      </c>
      <c r="P45" s="3190">
        <f>SUM('Произв. прогр. Стоки (СВОД)'!Q57)</f>
        <v>22619.908331505671</v>
      </c>
      <c r="Q45" s="3190">
        <f t="shared" si="8"/>
        <v>66470.354001326952</v>
      </c>
      <c r="R45" s="3190">
        <f>SUM('Произв. прогр. Стоки (СВОД)'!V57)</f>
        <v>22820.827885489016</v>
      </c>
      <c r="S45" s="3191">
        <f t="shared" si="9"/>
        <v>89291.181886815961</v>
      </c>
    </row>
    <row r="46" spans="1:19" ht="18.75" customHeight="1">
      <c r="A46" s="3187" t="s">
        <v>13</v>
      </c>
      <c r="B46" s="3204"/>
      <c r="C46" s="3204"/>
      <c r="D46" s="3204"/>
      <c r="E46" s="3204"/>
      <c r="F46" s="3204"/>
      <c r="G46" s="3204"/>
      <c r="H46" s="3204"/>
      <c r="I46" s="3204"/>
      <c r="J46" s="3204"/>
      <c r="K46" s="3204"/>
      <c r="L46" s="3233" t="s">
        <v>1774</v>
      </c>
      <c r="M46" s="3190">
        <f>SUM('Произв. прогр. Стоки (СВОД)'!H58)</f>
        <v>829.99749999999995</v>
      </c>
      <c r="N46" s="3190">
        <f>SUM('Произв. прогр. Стоки (СВОД)'!L58)</f>
        <v>794.46749999999986</v>
      </c>
      <c r="O46" s="3190">
        <f t="shared" si="7"/>
        <v>1624.4649999999997</v>
      </c>
      <c r="P46" s="3190">
        <f>SUM('Произв. прогр. Стоки (СВОД)'!Q58)</f>
        <v>794.46749999999986</v>
      </c>
      <c r="Q46" s="3190">
        <f t="shared" si="8"/>
        <v>2418.9324999999994</v>
      </c>
      <c r="R46" s="3190">
        <f>SUM('Произв. прогр. Стоки (СВОД)'!V58)</f>
        <v>829.99749999999995</v>
      </c>
      <c r="S46" s="3191">
        <f t="shared" si="9"/>
        <v>3248.9299999999994</v>
      </c>
    </row>
    <row r="47" spans="1:19" ht="18.75" customHeight="1">
      <c r="A47" s="3187" t="s">
        <v>14</v>
      </c>
      <c r="B47" s="3204"/>
      <c r="C47" s="3204"/>
      <c r="D47" s="3204"/>
      <c r="E47" s="3204"/>
      <c r="F47" s="3204"/>
      <c r="G47" s="3204"/>
      <c r="H47" s="3204"/>
      <c r="I47" s="3204"/>
      <c r="J47" s="3204"/>
      <c r="K47" s="3204"/>
      <c r="L47" s="3234" t="s">
        <v>1775</v>
      </c>
      <c r="M47" s="4025">
        <f>SUM('Произв. прогр. Стоки (СВОД)'!H59)</f>
        <v>26.53191945183287</v>
      </c>
      <c r="N47" s="4025">
        <f>SUM('Произв. прогр. Стоки (СВОД)'!L59)</f>
        <v>27.476289281309363</v>
      </c>
      <c r="O47" s="4025">
        <f>SUM(O45/O46)</f>
        <v>26.99377682487545</v>
      </c>
      <c r="P47" s="4025">
        <f>SUM('Произв. прогр. Стоки (СВОД)'!Q59)</f>
        <v>28.471785606718555</v>
      </c>
      <c r="Q47" s="4025">
        <f>SUM(Q45/Q46)</f>
        <v>27.479209941297231</v>
      </c>
      <c r="R47" s="4025">
        <f>SUM('Произв. прогр. Стоки (СВОД)'!V59)</f>
        <v>27.495056172445118</v>
      </c>
      <c r="S47" s="4026">
        <f>SUM(S45/S46)</f>
        <v>27.48325814554822</v>
      </c>
    </row>
    <row r="48" spans="1:19" ht="18.75" customHeight="1">
      <c r="A48" s="4628" t="s">
        <v>1909</v>
      </c>
      <c r="B48" s="4629"/>
      <c r="C48" s="4629"/>
      <c r="D48" s="4629"/>
      <c r="E48" s="4629"/>
      <c r="F48" s="4629"/>
      <c r="G48" s="4629"/>
      <c r="H48" s="4629"/>
      <c r="I48" s="4629"/>
      <c r="J48" s="4629"/>
      <c r="K48" s="4629"/>
      <c r="L48" s="3232" t="s">
        <v>918</v>
      </c>
      <c r="M48" s="3190">
        <f>SUM('Произв. прогр. Стоки (СВОД)'!H60)</f>
        <v>3467.6800000000003</v>
      </c>
      <c r="N48" s="3190">
        <f>SUM('Произв. прогр. Стоки (СВОД)'!L60)</f>
        <v>3467.6800000000003</v>
      </c>
      <c r="O48" s="3190">
        <f t="shared" ref="O48" si="10">SUM(M48+N48)</f>
        <v>6935.3600000000006</v>
      </c>
      <c r="P48" s="3190">
        <f>SUM('Произв. прогр. Стоки (СВОД)'!Q60)</f>
        <v>3467.6800000000003</v>
      </c>
      <c r="Q48" s="3190">
        <f t="shared" ref="Q48" si="11">SUM(O48+P48)</f>
        <v>10403.040000000001</v>
      </c>
      <c r="R48" s="3190">
        <f>SUM('Произв. прогр. Стоки (СВОД)'!V60)</f>
        <v>3467.6800000000003</v>
      </c>
      <c r="S48" s="3191">
        <f t="shared" ref="S48" si="12">SUM(Q48+R48)</f>
        <v>13870.720000000001</v>
      </c>
    </row>
    <row r="49" spans="1:19" ht="18.75" customHeight="1">
      <c r="A49" s="4628" t="s">
        <v>1968</v>
      </c>
      <c r="B49" s="4629"/>
      <c r="C49" s="4629"/>
      <c r="D49" s="4629"/>
      <c r="E49" s="4629"/>
      <c r="F49" s="4629"/>
      <c r="G49" s="4629"/>
      <c r="H49" s="4629"/>
      <c r="I49" s="4629"/>
      <c r="J49" s="4629"/>
      <c r="K49" s="4629"/>
      <c r="L49" s="3232" t="s">
        <v>918</v>
      </c>
      <c r="M49" s="3190">
        <f>SUM('Произв. прогр. Стоки (СВОД)'!H65)</f>
        <v>25489.106815222643</v>
      </c>
      <c r="N49" s="3190">
        <f>SUM('Произв. прогр. Стоки (СВОД)'!L65)</f>
        <v>25296.698854598639</v>
      </c>
      <c r="O49" s="3190">
        <f t="shared" ref="O49" si="13">SUM(M49+N49)</f>
        <v>50785.805669821282</v>
      </c>
      <c r="P49" s="3190">
        <f>SUM('Произв. прогр. Стоки (СВОД)'!Q65)</f>
        <v>26087.588331505671</v>
      </c>
      <c r="Q49" s="3190">
        <f t="shared" ref="Q49" si="14">SUM(O49+P49)</f>
        <v>76873.39400132696</v>
      </c>
      <c r="R49" s="3190">
        <f>SUM('Произв. прогр. Стоки (СВОД)'!V65)</f>
        <v>26288.507885489013</v>
      </c>
      <c r="S49" s="3191">
        <f t="shared" ref="S49" si="15">SUM(Q49+R49)</f>
        <v>103161.90188681598</v>
      </c>
    </row>
    <row r="50" spans="1:19" ht="18.75" customHeight="1">
      <c r="A50" s="3209" t="s">
        <v>1646</v>
      </c>
      <c r="B50" s="3204"/>
      <c r="C50" s="3204"/>
      <c r="D50" s="3204"/>
      <c r="E50" s="3204"/>
      <c r="F50" s="3204"/>
      <c r="G50" s="3204"/>
      <c r="H50" s="3204"/>
      <c r="I50" s="3204"/>
      <c r="J50" s="3204"/>
      <c r="K50" s="3204"/>
      <c r="L50" s="3232" t="s">
        <v>918</v>
      </c>
      <c r="M50" s="3190">
        <f>SUM('Произв. прогр. Стоки (СВОД)'!H66)</f>
        <v>0</v>
      </c>
      <c r="N50" s="3190">
        <f>SUM('Произв. прогр. Стоки (СВОД)'!L66)</f>
        <v>0</v>
      </c>
      <c r="O50" s="3190">
        <f t="shared" ref="O50" si="16">SUM(M50+N50)</f>
        <v>0</v>
      </c>
      <c r="P50" s="3190">
        <f>SUM('Произв. прогр. Стоки (СВОД)'!Q66)</f>
        <v>0</v>
      </c>
      <c r="Q50" s="3190">
        <f t="shared" ref="Q50" si="17">SUM(O50+P50)</f>
        <v>0</v>
      </c>
      <c r="R50" s="3190">
        <f>SUM('Произв. прогр. Стоки (СВОД)'!V66)</f>
        <v>0</v>
      </c>
      <c r="S50" s="3191">
        <f t="shared" ref="S50" si="18">SUM(Q50+R50)</f>
        <v>0</v>
      </c>
    </row>
    <row r="51" spans="1:19" ht="18.75" customHeight="1">
      <c r="A51" s="3209" t="s">
        <v>547</v>
      </c>
      <c r="B51" s="3204"/>
      <c r="C51" s="3204"/>
      <c r="D51" s="3204"/>
      <c r="E51" s="3204"/>
      <c r="F51" s="3204"/>
      <c r="G51" s="3204"/>
      <c r="H51" s="3204"/>
      <c r="I51" s="3204"/>
      <c r="J51" s="3204"/>
      <c r="K51" s="3204"/>
      <c r="L51" s="3232" t="s">
        <v>918</v>
      </c>
      <c r="M51" s="3190">
        <f>SUM('Произв. прогр. Стоки (СВОД)'!H67)</f>
        <v>25489.106815222643</v>
      </c>
      <c r="N51" s="3190">
        <f>SUM('Произв. прогр. Стоки (СВОД)'!L67)</f>
        <v>25296.698854598639</v>
      </c>
      <c r="O51" s="3190">
        <f t="shared" ref="O51" si="19">SUM(M51+N51)</f>
        <v>50785.805669821282</v>
      </c>
      <c r="P51" s="3190">
        <f>SUM('Произв. прогр. Стоки (СВОД)'!Q67)</f>
        <v>26087.588331505671</v>
      </c>
      <c r="Q51" s="3190">
        <f t="shared" ref="Q51" si="20">SUM(O51+P51)</f>
        <v>76873.39400132696</v>
      </c>
      <c r="R51" s="3190">
        <f>SUM('Произв. прогр. Стоки (СВОД)'!V67)</f>
        <v>26288.507885489013</v>
      </c>
      <c r="S51" s="3191">
        <f t="shared" ref="S51" si="21">SUM(Q51+R51)</f>
        <v>103161.90188681598</v>
      </c>
    </row>
    <row r="52" spans="1:19" ht="18.75" hidden="1" customHeight="1">
      <c r="A52" s="3209" t="s">
        <v>70</v>
      </c>
      <c r="B52" s="3204"/>
      <c r="C52" s="3204"/>
      <c r="D52" s="3204"/>
      <c r="E52" s="3204"/>
      <c r="F52" s="3204"/>
      <c r="G52" s="3204"/>
      <c r="H52" s="3204"/>
      <c r="I52" s="3204"/>
      <c r="J52" s="3204"/>
      <c r="K52" s="3204"/>
      <c r="L52" s="3235"/>
      <c r="M52" s="3190">
        <f>SUM('[21]Произв. прогр. Стоки (СВОД)'!R62)</f>
        <v>0</v>
      </c>
      <c r="N52" s="3190">
        <f>SUM('[21]Произв. прогр. Стоки (СВОД)'!V62)</f>
        <v>0</v>
      </c>
      <c r="O52" s="3190">
        <f>SUM(M52+N52)</f>
        <v>0</v>
      </c>
      <c r="P52" s="3190">
        <f>SUM('[21]Произв. прогр. Стоки (СВОД)'!AA62)</f>
        <v>0</v>
      </c>
      <c r="Q52" s="3190">
        <f>SUM(O52+P52)</f>
        <v>0</v>
      </c>
      <c r="R52" s="3190">
        <f>SUM('[21]Произв. прогр. Стоки (СВОД)'!AF62)</f>
        <v>0</v>
      </c>
      <c r="S52" s="3191" t="e">
        <f>SUM(#REF!+#REF!+L52+#REF!+#REF!+#REF!+#REF!+#REF!+#REF!+#REF!+#REF!+#REF!)</f>
        <v>#REF!</v>
      </c>
    </row>
    <row r="53" spans="1:19" ht="18.75" customHeight="1">
      <c r="A53" s="3209" t="s">
        <v>70</v>
      </c>
      <c r="B53" s="3204"/>
      <c r="C53" s="3204"/>
      <c r="D53" s="3204"/>
      <c r="E53" s="3204"/>
      <c r="F53" s="3204"/>
      <c r="G53" s="3204"/>
      <c r="H53" s="3204"/>
      <c r="I53" s="3204"/>
      <c r="J53" s="3204"/>
      <c r="K53" s="3204"/>
      <c r="L53" s="3234" t="s">
        <v>1775</v>
      </c>
      <c r="M53" s="4025">
        <f>SUM(M51/M46)</f>
        <v>30.70985974683375</v>
      </c>
      <c r="N53" s="4025">
        <f t="shared" ref="N53:S53" si="22">SUM(N51/N46)</f>
        <v>31.84107449908101</v>
      </c>
      <c r="O53" s="4025">
        <f t="shared" si="22"/>
        <v>31.263096262351784</v>
      </c>
      <c r="P53" s="4025">
        <f t="shared" si="22"/>
        <v>32.836570824490209</v>
      </c>
      <c r="Q53" s="4025">
        <f t="shared" si="22"/>
        <v>31.77988389561386</v>
      </c>
      <c r="R53" s="4025">
        <f t="shared" si="22"/>
        <v>31.672996467446005</v>
      </c>
      <c r="S53" s="4026">
        <f t="shared" si="22"/>
        <v>31.752577583024564</v>
      </c>
    </row>
    <row r="54" spans="1:19" ht="18.75" customHeight="1">
      <c r="A54" s="3210" t="s">
        <v>326</v>
      </c>
      <c r="B54" s="3204"/>
      <c r="C54" s="3204"/>
      <c r="D54" s="3204"/>
      <c r="E54" s="3204"/>
      <c r="F54" s="3204"/>
      <c r="G54" s="3204"/>
      <c r="H54" s="3204"/>
      <c r="I54" s="3204"/>
      <c r="J54" s="3204"/>
      <c r="K54" s="3204"/>
      <c r="L54" s="3232" t="s">
        <v>918</v>
      </c>
      <c r="M54" s="4025">
        <f>SUM('Произв. прогр. Стоки (СВОД)'!H70)</f>
        <v>-975.52750000000003</v>
      </c>
      <c r="N54" s="4025">
        <f>SUM('Произв. прогр. Стоки (СВОД)'!L70)</f>
        <v>-975.52750000000003</v>
      </c>
      <c r="O54" s="4025">
        <f>SUM(M54+N54)</f>
        <v>-1951.0550000000001</v>
      </c>
      <c r="P54" s="4025">
        <f>SUM('Произв. прогр. Стоки (СВОД)'!Q70)</f>
        <v>-975.52750000000003</v>
      </c>
      <c r="Q54" s="4025">
        <f>SUM(O54+P54)</f>
        <v>-2926.5825</v>
      </c>
      <c r="R54" s="4025">
        <f>SUM('Произв. прогр. Стоки (СВОД)'!V70)</f>
        <v>-975.52750000000003</v>
      </c>
      <c r="S54" s="4026">
        <f t="shared" ref="S54" si="23">SUM(Q54+R54)</f>
        <v>-3902.11</v>
      </c>
    </row>
    <row r="55" spans="1:19" ht="18.75" customHeight="1">
      <c r="A55" s="3209" t="s">
        <v>548</v>
      </c>
      <c r="B55" s="3204"/>
      <c r="C55" s="3204"/>
      <c r="D55" s="3204"/>
      <c r="E55" s="3204"/>
      <c r="F55" s="3204"/>
      <c r="G55" s="3204"/>
      <c r="H55" s="3204"/>
      <c r="I55" s="3204"/>
      <c r="J55" s="3204"/>
      <c r="K55" s="3204"/>
      <c r="L55" s="3232" t="s">
        <v>918</v>
      </c>
      <c r="M55" s="4025">
        <f>SUM('Произв. прогр. Стоки (СВОД)'!H71)</f>
        <v>24513.579315222647</v>
      </c>
      <c r="N55" s="4025">
        <f>SUM('Произв. прогр. Стоки (СВОД)'!L71)</f>
        <v>24321.171354598639</v>
      </c>
      <c r="O55" s="4025">
        <f>SUM(M55+N55)</f>
        <v>48834.750669821282</v>
      </c>
      <c r="P55" s="4025">
        <f>SUM('Произв. прогр. Стоки (СВОД)'!Q71)</f>
        <v>25112.060831505667</v>
      </c>
      <c r="Q55" s="4025">
        <f>SUM(O55+P55)</f>
        <v>73946.811501326942</v>
      </c>
      <c r="R55" s="4025">
        <f>SUM('Произв. прогр. Стоки (СВОД)'!V71)</f>
        <v>25312.980385489012</v>
      </c>
      <c r="S55" s="4026">
        <f t="shared" ref="S55" si="24">SUM(Q55+R55)</f>
        <v>99259.791886815947</v>
      </c>
    </row>
    <row r="56" spans="1:19" ht="18.75" customHeight="1" thickBot="1">
      <c r="A56" s="3211" t="s">
        <v>327</v>
      </c>
      <c r="B56" s="3253"/>
      <c r="C56" s="3253"/>
      <c r="D56" s="3253"/>
      <c r="E56" s="3253"/>
      <c r="F56" s="3253"/>
      <c r="G56" s="3253"/>
      <c r="H56" s="3253"/>
      <c r="I56" s="3253"/>
      <c r="J56" s="3253"/>
      <c r="K56" s="3253"/>
      <c r="L56" s="3236" t="s">
        <v>1775</v>
      </c>
      <c r="M56" s="4029">
        <f>SUM(M55/M46)</f>
        <v>29.534521869310026</v>
      </c>
      <c r="N56" s="4029">
        <f t="shared" ref="N56:S56" si="25">SUM(N55/N46)</f>
        <v>30.613173420685733</v>
      </c>
      <c r="O56" s="4029">
        <f t="shared" si="25"/>
        <v>30.06205161072802</v>
      </c>
      <c r="P56" s="4029">
        <f t="shared" si="25"/>
        <v>31.608669746094925</v>
      </c>
      <c r="Q56" s="4029">
        <f t="shared" si="25"/>
        <v>30.57001859346094</v>
      </c>
      <c r="R56" s="4029">
        <f t="shared" si="25"/>
        <v>30.497658589922274</v>
      </c>
      <c r="S56" s="4030">
        <f t="shared" si="25"/>
        <v>30.551532931400789</v>
      </c>
    </row>
    <row r="57" spans="1:19" ht="18.75" customHeight="1"/>
    <row r="58" spans="1:19" ht="18.75" customHeight="1"/>
    <row r="59" spans="1:19" ht="18.75" customHeight="1">
      <c r="A59" s="3213" t="s">
        <v>1759</v>
      </c>
      <c r="B59" s="375"/>
      <c r="C59" s="375"/>
      <c r="D59" s="375"/>
      <c r="E59" s="375"/>
      <c r="F59" s="375"/>
      <c r="G59" s="375"/>
      <c r="H59" s="375"/>
      <c r="I59" s="375"/>
      <c r="J59" s="375"/>
      <c r="K59" s="375"/>
      <c r="L59" s="375"/>
      <c r="M59" s="375"/>
      <c r="N59" s="3213"/>
      <c r="O59" s="3213" t="s">
        <v>1801</v>
      </c>
    </row>
    <row r="60" spans="1:19" ht="18.75" customHeight="1">
      <c r="A60" s="3213"/>
      <c r="B60" s="375"/>
      <c r="C60" s="375"/>
      <c r="D60" s="375"/>
      <c r="E60" s="375"/>
      <c r="F60" s="375"/>
      <c r="G60" s="375"/>
      <c r="H60" s="375"/>
      <c r="I60" s="375"/>
      <c r="J60" s="375"/>
      <c r="K60" s="375"/>
      <c r="L60" s="375"/>
      <c r="M60" s="375"/>
      <c r="N60" s="3213"/>
      <c r="O60" s="3213"/>
    </row>
    <row r="61" spans="1:19" ht="18.75" customHeight="1">
      <c r="A61" s="3213" t="s">
        <v>1743</v>
      </c>
      <c r="B61" s="375"/>
      <c r="C61" s="375"/>
      <c r="D61" s="375"/>
      <c r="E61" s="375"/>
      <c r="F61" s="375"/>
      <c r="G61" s="375"/>
      <c r="H61" s="375"/>
      <c r="I61" s="375"/>
      <c r="J61" s="375"/>
      <c r="K61" s="375"/>
      <c r="L61" s="375"/>
      <c r="M61" s="375"/>
      <c r="N61" s="3213"/>
      <c r="O61" s="3213" t="s">
        <v>1776</v>
      </c>
    </row>
    <row r="62" spans="1:19" ht="18.75" customHeight="1"/>
    <row r="63" spans="1:19" ht="18.75" customHeight="1"/>
    <row r="64" spans="1:19" ht="18.75" customHeight="1"/>
    <row r="65" ht="18.75" customHeight="1"/>
    <row r="66" ht="18.75" customHeight="1"/>
    <row r="67" ht="18.75" customHeight="1"/>
    <row r="68" ht="18.75" customHeight="1"/>
    <row r="69" ht="18.75" customHeight="1"/>
    <row r="70" ht="18.75" customHeight="1"/>
    <row r="71" ht="18.75" customHeight="1"/>
    <row r="72" ht="18.75" customHeight="1"/>
    <row r="73" ht="18.75" customHeight="1"/>
    <row r="74" ht="18.75" customHeight="1"/>
    <row r="75" ht="18.75" customHeight="1"/>
    <row r="76" ht="18.75" customHeight="1"/>
    <row r="77" ht="18.75" customHeight="1"/>
    <row r="78" ht="18.75" customHeight="1"/>
    <row r="79" ht="18.75" customHeight="1"/>
    <row r="80" ht="18.75" customHeight="1"/>
    <row r="81" ht="18.75" customHeight="1"/>
    <row r="82" ht="18.75" customHeight="1"/>
    <row r="83" ht="18.75" customHeight="1"/>
    <row r="84" ht="18.75" customHeight="1"/>
    <row r="85" ht="18.75" customHeight="1"/>
    <row r="86" ht="18.75" customHeight="1"/>
    <row r="87" ht="18.75" customHeight="1"/>
    <row r="88" ht="18.75" customHeight="1"/>
    <row r="89" ht="18.75" customHeight="1"/>
    <row r="90" ht="18.75" customHeight="1"/>
    <row r="91" ht="18.75" customHeight="1"/>
    <row r="92" ht="18.75" customHeight="1"/>
    <row r="93" ht="18.75" customHeight="1"/>
    <row r="94" ht="18.75" customHeight="1"/>
    <row r="95" ht="18.75" customHeight="1"/>
    <row r="96" ht="18.75" customHeight="1"/>
    <row r="97" ht="18.75" customHeight="1"/>
    <row r="98" ht="18.75" customHeight="1"/>
    <row r="99" ht="18.75" customHeight="1"/>
    <row r="100" ht="18.75" customHeight="1"/>
    <row r="101" ht="18.75" customHeight="1"/>
    <row r="102" ht="18.75" customHeight="1"/>
    <row r="103" ht="18.75" customHeight="1"/>
    <row r="104" ht="18.75" customHeight="1"/>
    <row r="105" ht="18.75" customHeight="1"/>
    <row r="106" ht="18.75" customHeight="1"/>
    <row r="107" ht="18.75" customHeight="1"/>
    <row r="108" ht="18.75" customHeight="1"/>
    <row r="109" ht="18.75" customHeight="1"/>
    <row r="110" ht="18.75" customHeight="1"/>
    <row r="111" ht="18.75" customHeight="1"/>
    <row r="112" ht="18.75" customHeight="1"/>
    <row r="113" ht="18.75" customHeight="1"/>
    <row r="114" ht="18.75" customHeight="1"/>
    <row r="115" ht="18.75" customHeight="1"/>
    <row r="116" ht="18.75" customHeight="1"/>
    <row r="117" ht="18.75" customHeight="1"/>
    <row r="118" ht="18.75" customHeight="1"/>
    <row r="119" ht="18.75" customHeight="1"/>
    <row r="120" ht="18.75" customHeight="1"/>
    <row r="121" ht="18.75" customHeight="1"/>
    <row r="122" ht="18.75" customHeight="1"/>
    <row r="123" ht="18.75" customHeight="1"/>
    <row r="124" ht="18.75" customHeight="1"/>
    <row r="125" ht="18.75" customHeight="1"/>
    <row r="126" ht="18.75" customHeight="1"/>
    <row r="127" ht="18.75" customHeight="1"/>
    <row r="128" ht="18.75" customHeight="1"/>
    <row r="129" ht="18.75" customHeight="1"/>
    <row r="130" ht="18.75" customHeight="1"/>
    <row r="131" ht="18.75" customHeight="1"/>
    <row r="132" ht="18.75" customHeight="1"/>
    <row r="133" ht="18.75" customHeight="1"/>
    <row r="134" ht="18.75" customHeight="1"/>
    <row r="135" ht="18.75" customHeight="1"/>
    <row r="136" ht="18.75" customHeight="1"/>
    <row r="137" ht="18.75" customHeight="1"/>
    <row r="138" ht="18.75" customHeight="1"/>
    <row r="139" ht="18.75" customHeight="1"/>
    <row r="140" ht="18.75" customHeight="1"/>
    <row r="141" ht="18.75" customHeight="1"/>
    <row r="142" ht="18.75" customHeight="1"/>
    <row r="143" ht="18.75" customHeight="1"/>
    <row r="144" ht="18.75" customHeight="1"/>
    <row r="145" ht="18.75" customHeight="1"/>
    <row r="146" ht="18.75" customHeight="1"/>
    <row r="147" ht="18.75" customHeight="1"/>
    <row r="148" ht="18.75" customHeight="1"/>
    <row r="149" ht="18.75" customHeight="1"/>
    <row r="150" ht="18.75" customHeight="1"/>
    <row r="151" ht="18.75" customHeight="1"/>
    <row r="152" ht="18.75" customHeight="1"/>
    <row r="153" ht="18.75" customHeight="1"/>
    <row r="154" ht="18.75" customHeight="1"/>
    <row r="155" ht="18.75" customHeight="1"/>
    <row r="156" ht="18.75" customHeight="1"/>
    <row r="157" ht="18.75" customHeight="1"/>
    <row r="158" ht="18.75" customHeight="1"/>
    <row r="159" ht="18.75" customHeight="1"/>
    <row r="160" ht="18.75" customHeight="1"/>
    <row r="161" ht="18.75" customHeight="1"/>
    <row r="162" ht="18.75" customHeight="1"/>
    <row r="163" ht="18.75" customHeight="1"/>
    <row r="164" ht="18.75" customHeight="1"/>
    <row r="165" ht="18.75" customHeight="1"/>
    <row r="166" ht="18.75" customHeight="1"/>
    <row r="167" ht="18.75" customHeight="1"/>
    <row r="168" ht="18.75" customHeight="1"/>
    <row r="169" ht="18.75" customHeight="1"/>
    <row r="170" ht="18.75" customHeight="1"/>
    <row r="171" ht="18.75" customHeight="1"/>
    <row r="172" ht="18.75" customHeight="1"/>
    <row r="173" ht="18.75" customHeight="1"/>
    <row r="174" ht="18.75" customHeight="1"/>
    <row r="175" ht="18.75" customHeight="1"/>
    <row r="176" ht="18.75" customHeight="1"/>
    <row r="177" ht="18.75" customHeight="1"/>
    <row r="178" ht="18.75" customHeight="1"/>
    <row r="179" ht="18.75" customHeight="1"/>
    <row r="180" ht="18.75" customHeight="1"/>
    <row r="181" ht="18.75" customHeight="1"/>
    <row r="182" ht="18.75" customHeight="1"/>
    <row r="183" ht="18.75" customHeight="1"/>
    <row r="184" ht="18.75" customHeight="1"/>
    <row r="185" ht="18.75" customHeight="1"/>
    <row r="186" ht="18.75" customHeight="1"/>
    <row r="187" ht="18.75" customHeight="1"/>
    <row r="188" ht="18.75" customHeight="1"/>
    <row r="189" ht="18.75" customHeight="1"/>
    <row r="190" ht="18.75" customHeight="1"/>
    <row r="191" ht="18.75" customHeight="1"/>
    <row r="192" ht="18.75" customHeight="1"/>
    <row r="193" ht="18.75" customHeight="1"/>
    <row r="194" ht="18.75" customHeight="1"/>
    <row r="195" ht="18.75" customHeight="1"/>
    <row r="196" ht="18.75" customHeight="1"/>
    <row r="197" ht="18.75" customHeight="1"/>
    <row r="198" ht="18.75" customHeight="1"/>
    <row r="199" ht="18.75" customHeight="1"/>
    <row r="200" ht="18.75" customHeight="1"/>
    <row r="201" ht="18.75" customHeight="1"/>
    <row r="202" ht="18.75" customHeight="1"/>
    <row r="203" ht="18.75" customHeight="1"/>
    <row r="204" ht="18.75" customHeight="1"/>
    <row r="205" ht="18.75" customHeight="1"/>
    <row r="206" ht="18.75" customHeight="1"/>
    <row r="207" ht="18.75" customHeight="1"/>
    <row r="208" ht="18.75" customHeight="1"/>
    <row r="209" ht="18.75" customHeight="1"/>
    <row r="210" ht="18.75" customHeight="1"/>
    <row r="211" ht="18.75" customHeight="1"/>
    <row r="212" ht="18.75" customHeight="1"/>
    <row r="213" ht="18.75" customHeight="1"/>
    <row r="214" ht="18.75" customHeight="1"/>
    <row r="215" ht="18.75" customHeight="1"/>
    <row r="216" ht="18.75" customHeight="1"/>
    <row r="217" ht="18.75" customHeight="1"/>
    <row r="218" ht="18.75" customHeight="1"/>
    <row r="219" ht="18.75" customHeight="1"/>
    <row r="220" ht="18.75" customHeight="1"/>
    <row r="221" ht="18.75" customHeight="1"/>
    <row r="222" ht="18.75" customHeight="1"/>
    <row r="223" ht="18.75" customHeight="1"/>
    <row r="224" ht="18.75" customHeight="1"/>
    <row r="225" ht="18.75" customHeight="1"/>
    <row r="226" ht="18.75" customHeight="1"/>
    <row r="227" ht="18.75" customHeight="1"/>
    <row r="228" ht="18.75" customHeight="1"/>
    <row r="229" ht="18.75" customHeight="1"/>
    <row r="230" ht="18.75" customHeight="1"/>
    <row r="231" ht="18.75" customHeight="1"/>
    <row r="232" ht="18.75" customHeight="1"/>
    <row r="233" ht="18.75" customHeight="1"/>
    <row r="234" ht="18.75" customHeight="1"/>
    <row r="235" ht="18.75" customHeight="1"/>
    <row r="236" ht="18.75" customHeight="1"/>
    <row r="237" ht="18.75" customHeight="1"/>
    <row r="238" ht="18.75" customHeight="1"/>
    <row r="239" ht="18.75" customHeight="1"/>
    <row r="240" ht="18.75" customHeight="1"/>
    <row r="241" ht="18.75" customHeight="1"/>
    <row r="242" ht="18.75" customHeight="1"/>
    <row r="243" ht="18.75" customHeight="1"/>
    <row r="244" ht="18.75" customHeight="1"/>
    <row r="245" ht="18.75" customHeight="1"/>
    <row r="246" ht="18.75" customHeight="1"/>
    <row r="247" ht="18.75" customHeight="1"/>
    <row r="248" ht="18.75" customHeight="1"/>
    <row r="249" ht="18.75" customHeight="1"/>
    <row r="250" ht="18.75" customHeight="1"/>
    <row r="251" ht="18.75" customHeight="1"/>
    <row r="252" ht="18.75" customHeight="1"/>
    <row r="253" ht="18.75" customHeight="1"/>
    <row r="254" ht="18.75" customHeight="1"/>
    <row r="255" ht="18.75" customHeight="1"/>
    <row r="256" ht="18.75" customHeight="1"/>
    <row r="257" ht="18.75" customHeight="1"/>
    <row r="258" ht="18.75" customHeight="1"/>
    <row r="259" ht="18.75" customHeight="1"/>
    <row r="260" ht="18.75" customHeight="1"/>
    <row r="261" ht="18.75" customHeight="1"/>
    <row r="262" ht="18.75" customHeight="1"/>
    <row r="263" ht="18.75" customHeight="1"/>
    <row r="264" ht="18.75" customHeight="1"/>
    <row r="265" ht="18.75" customHeight="1"/>
    <row r="266" ht="18.75" customHeight="1"/>
    <row r="267" ht="18.75" customHeight="1"/>
    <row r="268" ht="18.75" customHeight="1"/>
    <row r="269" ht="18.75" customHeight="1"/>
    <row r="270" ht="18.75" customHeight="1"/>
    <row r="271" ht="18.75" customHeight="1"/>
    <row r="272" ht="18.75" customHeight="1"/>
    <row r="273" ht="18.75" customHeight="1"/>
    <row r="274" ht="18.75" customHeight="1"/>
    <row r="275" ht="18.75" customHeight="1"/>
    <row r="276" ht="18.75" customHeight="1"/>
    <row r="277" ht="18.75" customHeight="1"/>
    <row r="278" ht="18.75" customHeight="1"/>
    <row r="279" ht="18.75" customHeight="1"/>
    <row r="280" ht="18.75" customHeight="1"/>
    <row r="281" ht="18.75" customHeight="1"/>
    <row r="282" ht="18.75" customHeight="1"/>
    <row r="283" ht="18.75" customHeight="1"/>
    <row r="284" ht="18.75" customHeight="1"/>
    <row r="285" ht="18.75" customHeight="1"/>
    <row r="286" ht="18.75" customHeight="1"/>
    <row r="287" ht="18.75" customHeight="1"/>
    <row r="288" ht="18.75" customHeight="1"/>
    <row r="289" ht="18.75" customHeight="1"/>
    <row r="290" ht="18.75" customHeight="1"/>
    <row r="291" ht="18.75" customHeight="1"/>
    <row r="292" ht="18.75" customHeight="1"/>
    <row r="293" ht="18.75" customHeight="1"/>
    <row r="294" ht="18.75" customHeight="1"/>
    <row r="295" ht="18.75" customHeight="1"/>
    <row r="296" ht="18.75" customHeight="1"/>
    <row r="297" ht="18.75" customHeight="1"/>
    <row r="298" ht="18.75" customHeight="1"/>
    <row r="299" ht="18.75" customHeight="1"/>
    <row r="300" ht="18.75" customHeight="1"/>
    <row r="301" ht="18.75" customHeight="1"/>
    <row r="302" ht="18.75" customHeight="1"/>
    <row r="303" ht="18.75" customHeight="1"/>
    <row r="304" ht="18.75" customHeight="1"/>
    <row r="305" ht="18.75" customHeight="1"/>
    <row r="306" ht="18.75" customHeight="1"/>
    <row r="307" ht="18.75" customHeight="1"/>
    <row r="308" ht="18.75" customHeight="1"/>
    <row r="309" ht="18.75" customHeight="1"/>
    <row r="310" ht="18.75" customHeight="1"/>
    <row r="311" ht="18.75" customHeight="1"/>
    <row r="312" ht="18.75" customHeight="1"/>
    <row r="313" ht="18.75" customHeight="1"/>
    <row r="314" ht="18.75" customHeight="1"/>
    <row r="315" ht="18.75" customHeight="1"/>
    <row r="316" ht="18.75" customHeight="1"/>
    <row r="317" ht="18.75" customHeight="1"/>
    <row r="318" ht="18.75" customHeight="1"/>
    <row r="319" ht="18.75" customHeight="1"/>
    <row r="320" ht="18.75" customHeight="1"/>
    <row r="321" ht="18.75" customHeight="1"/>
    <row r="322" ht="18.75" customHeight="1"/>
    <row r="323" ht="18.75" customHeight="1"/>
    <row r="324" ht="18.75" customHeight="1"/>
    <row r="325" ht="18.75" customHeight="1"/>
    <row r="326" ht="18.75" customHeight="1"/>
    <row r="327" ht="18.75" customHeight="1"/>
    <row r="328" ht="18.75" customHeight="1"/>
    <row r="329" ht="18.75" customHeight="1"/>
    <row r="330" ht="18.75" customHeight="1"/>
    <row r="331" ht="18.75" customHeight="1"/>
    <row r="332" ht="18.75" customHeight="1"/>
    <row r="333" ht="18.75" customHeight="1"/>
    <row r="334" ht="18.75" customHeight="1"/>
    <row r="335" ht="18.75" customHeight="1"/>
    <row r="336" ht="18.75" customHeight="1"/>
    <row r="337" ht="18.75" customHeight="1"/>
    <row r="338" ht="18.75" customHeight="1"/>
    <row r="339" ht="18.75" customHeight="1"/>
    <row r="340" ht="18.75" customHeight="1"/>
    <row r="341" ht="18.75" customHeight="1"/>
    <row r="342" ht="18.75" customHeight="1"/>
    <row r="343" ht="18.75" customHeight="1"/>
    <row r="344" ht="18.75" customHeight="1"/>
    <row r="345" ht="18.75" customHeight="1"/>
    <row r="346" ht="18.75" customHeight="1"/>
    <row r="347" ht="18.75" customHeight="1"/>
    <row r="348" ht="18.75" customHeight="1"/>
    <row r="349" ht="18.75" customHeight="1"/>
    <row r="350" ht="18.75" customHeight="1"/>
    <row r="351" ht="18.75" customHeight="1"/>
    <row r="352" ht="18.75" customHeight="1"/>
    <row r="353" ht="18.75" customHeight="1"/>
    <row r="354" ht="18.75" customHeight="1"/>
    <row r="355" ht="18.75" customHeight="1"/>
    <row r="356" ht="18.75" customHeight="1"/>
    <row r="357" ht="18.75" customHeight="1"/>
    <row r="358" ht="18.75" customHeight="1"/>
    <row r="359" ht="18.75" customHeight="1"/>
    <row r="360" ht="18.75" customHeight="1"/>
    <row r="361" ht="18.75" customHeight="1"/>
    <row r="362" ht="18.75" customHeight="1"/>
    <row r="363" ht="18.75" customHeight="1"/>
    <row r="364" ht="18.75" customHeight="1"/>
    <row r="365" ht="18.75" customHeight="1"/>
    <row r="366" ht="18.75" customHeight="1"/>
    <row r="367" ht="18.75" customHeight="1"/>
    <row r="368" ht="18.75" customHeight="1"/>
    <row r="369" ht="18.75" customHeight="1"/>
    <row r="370" ht="18.75" customHeight="1"/>
    <row r="371" ht="18.75" customHeight="1"/>
    <row r="372" ht="18.75" customHeight="1"/>
    <row r="373" ht="18.75" customHeight="1"/>
    <row r="374" ht="18.75" customHeight="1"/>
    <row r="375" ht="18.75" customHeight="1"/>
    <row r="376" ht="18.75" customHeight="1"/>
    <row r="377" ht="18.75" customHeight="1"/>
    <row r="378" ht="18.75" customHeight="1"/>
    <row r="379" ht="18.75" customHeight="1"/>
    <row r="380" ht="18.75" customHeight="1"/>
    <row r="381" ht="18.75" customHeight="1"/>
    <row r="382" ht="18.75" customHeight="1"/>
    <row r="383" ht="18.75" customHeight="1"/>
    <row r="384" ht="18.75" customHeight="1"/>
    <row r="385" ht="18.75" customHeight="1"/>
    <row r="386" ht="18.75" customHeight="1"/>
    <row r="387" ht="18.75" customHeight="1"/>
    <row r="388" ht="18.75" customHeight="1"/>
    <row r="389" ht="18.75" customHeight="1"/>
    <row r="390" ht="18.75" customHeight="1"/>
    <row r="391" ht="18.75" customHeight="1"/>
    <row r="392" ht="18.75" customHeight="1"/>
    <row r="393" ht="18.75" customHeight="1"/>
    <row r="394" ht="18.75" customHeight="1"/>
    <row r="395" ht="18.75" customHeight="1"/>
    <row r="396" ht="18.75" customHeight="1"/>
    <row r="397" ht="18.75" customHeight="1"/>
    <row r="398" ht="18.75" customHeight="1"/>
    <row r="399" ht="18.75" customHeight="1"/>
    <row r="400" ht="18.75" customHeight="1"/>
    <row r="401" ht="18.75" customHeight="1"/>
    <row r="402" ht="18.75" customHeight="1"/>
    <row r="403" ht="18.75" customHeight="1"/>
    <row r="404" ht="18.75" customHeight="1"/>
    <row r="405" ht="18.75" customHeight="1"/>
    <row r="406" ht="18.75" customHeight="1"/>
    <row r="407" ht="18.75" customHeight="1"/>
    <row r="408" ht="18.75" customHeight="1"/>
    <row r="409" ht="18.75" customHeight="1"/>
    <row r="410" ht="18.75" customHeight="1"/>
    <row r="411" ht="18.75" customHeight="1"/>
    <row r="412" ht="18.75" customHeight="1"/>
    <row r="413" ht="18.75" customHeight="1"/>
    <row r="414" ht="18.75" customHeight="1"/>
    <row r="415" ht="18.75" customHeight="1"/>
    <row r="416" ht="18.75" customHeight="1"/>
    <row r="417" ht="18.75" customHeight="1"/>
    <row r="418" ht="18.75" customHeight="1"/>
    <row r="419" ht="18.75" customHeight="1"/>
    <row r="420" ht="18.75" customHeight="1"/>
    <row r="421" ht="18.75" customHeight="1"/>
    <row r="422" ht="18.75" customHeight="1"/>
    <row r="423" ht="18.75" customHeight="1"/>
    <row r="424" ht="18.75" customHeight="1"/>
    <row r="425" ht="18.75" customHeight="1"/>
    <row r="426" ht="18.75" customHeight="1"/>
    <row r="427" ht="18.75" customHeight="1"/>
    <row r="428" ht="18.75" customHeight="1"/>
    <row r="429" ht="18.75" customHeight="1"/>
    <row r="430" ht="18.75" customHeight="1"/>
    <row r="431" ht="18.75" customHeight="1"/>
    <row r="432" ht="18.75" customHeight="1"/>
    <row r="433" ht="18.75" customHeight="1"/>
    <row r="434" ht="18.75" customHeight="1"/>
    <row r="435" ht="18.75" customHeight="1"/>
    <row r="436" ht="18.75" customHeight="1"/>
    <row r="437" ht="18.75" customHeight="1"/>
    <row r="438" ht="18.75" customHeight="1"/>
    <row r="439" ht="18.75" customHeight="1"/>
    <row r="440" ht="18.75" customHeight="1"/>
    <row r="441" ht="18.75" customHeight="1"/>
    <row r="442" ht="18.75" customHeight="1"/>
    <row r="443" ht="18.75" customHeight="1"/>
    <row r="444" ht="18.75" customHeight="1"/>
    <row r="445" ht="18.75" customHeight="1"/>
    <row r="446" ht="18.75" customHeight="1"/>
    <row r="447" ht="18.75" customHeight="1"/>
    <row r="448" ht="18.75" customHeight="1"/>
    <row r="449" ht="18.75" customHeight="1"/>
    <row r="450" ht="18.75" customHeight="1"/>
    <row r="451" ht="18.75" customHeight="1"/>
    <row r="452" ht="18.75" customHeight="1"/>
    <row r="453" ht="18.75" customHeight="1"/>
    <row r="454" ht="18.75" customHeight="1"/>
    <row r="455" ht="18.75" customHeight="1"/>
    <row r="456" ht="18.75" customHeight="1"/>
    <row r="457" ht="18.75" customHeight="1"/>
    <row r="458" ht="18.75" customHeight="1"/>
    <row r="459" ht="18.75" customHeight="1"/>
  </sheetData>
  <mergeCells count="28">
    <mergeCell ref="P1:S1"/>
    <mergeCell ref="P4:S4"/>
    <mergeCell ref="P5:S5"/>
    <mergeCell ref="P6:S6"/>
    <mergeCell ref="P7:S7"/>
    <mergeCell ref="A10:S10"/>
    <mergeCell ref="A12:S12"/>
    <mergeCell ref="A13:A14"/>
    <mergeCell ref="E13:I13"/>
    <mergeCell ref="L13:L14"/>
    <mergeCell ref="M13:M14"/>
    <mergeCell ref="N13:N14"/>
    <mergeCell ref="O13:O14"/>
    <mergeCell ref="P13:P14"/>
    <mergeCell ref="Q13:Q14"/>
    <mergeCell ref="R13:R14"/>
    <mergeCell ref="R20:R21"/>
    <mergeCell ref="S20:S21"/>
    <mergeCell ref="S13:S14"/>
    <mergeCell ref="A19:S19"/>
    <mergeCell ref="A20:A21"/>
    <mergeCell ref="E20:I20"/>
    <mergeCell ref="L20:L21"/>
    <mergeCell ref="M20:M21"/>
    <mergeCell ref="N20:N21"/>
    <mergeCell ref="O20:O21"/>
    <mergeCell ref="P20:P21"/>
    <mergeCell ref="Q20:Q21"/>
  </mergeCells>
  <printOptions horizontalCentered="1" verticalCentered="1"/>
  <pageMargins left="0.55118110236220474" right="0.15748031496062992" top="0.19685039370078741" bottom="0.19685039370078741" header="0" footer="0"/>
  <pageSetup paperSize="9" scale="5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AU70"/>
  <sheetViews>
    <sheetView topLeftCell="A41" zoomScale="73" zoomScaleNormal="73" zoomScalePageLayoutView="90" workbookViewId="0">
      <selection activeCell="L64" sqref="L64"/>
    </sheetView>
  </sheetViews>
  <sheetFormatPr defaultRowHeight="12.75"/>
  <cols>
    <col min="1" max="1" width="50.85546875" customWidth="1"/>
    <col min="2" max="2" width="9.42578125" hidden="1" customWidth="1"/>
    <col min="3" max="3" width="8.85546875" hidden="1" customWidth="1"/>
    <col min="4" max="4" width="8.7109375" hidden="1" customWidth="1"/>
    <col min="5" max="5" width="16" hidden="1" customWidth="1"/>
    <col min="6" max="6" width="8.140625" hidden="1" customWidth="1"/>
    <col min="7" max="7" width="16" hidden="1" customWidth="1"/>
    <col min="8" max="8" width="14.42578125" hidden="1" customWidth="1"/>
    <col min="9" max="9" width="15.28515625" hidden="1" customWidth="1"/>
    <col min="10" max="10" width="2.85546875" hidden="1" customWidth="1"/>
    <col min="11" max="11" width="15.85546875" customWidth="1"/>
    <col min="12" max="18" width="12.7109375" customWidth="1"/>
  </cols>
  <sheetData>
    <row r="1" spans="1:47" ht="78" customHeight="1">
      <c r="O1" s="4951" t="s">
        <v>1767</v>
      </c>
      <c r="P1" s="4952"/>
      <c r="Q1" s="4952"/>
      <c r="R1" s="4952"/>
    </row>
    <row r="2" spans="1:47">
      <c r="O2" s="3182"/>
      <c r="P2" s="3183"/>
      <c r="Q2" s="3183"/>
      <c r="R2" s="3183"/>
    </row>
    <row r="3" spans="1:47" ht="18.75">
      <c r="O3" s="4953" t="s">
        <v>1705</v>
      </c>
      <c r="P3" s="4953"/>
      <c r="Q3" s="4953"/>
      <c r="R3" s="4953"/>
    </row>
    <row r="4" spans="1:47" ht="18.75">
      <c r="O4" s="4953" t="s">
        <v>1768</v>
      </c>
      <c r="P4" s="4953"/>
      <c r="Q4" s="4953"/>
      <c r="R4" s="4953"/>
    </row>
    <row r="5" spans="1:47" ht="21" customHeight="1">
      <c r="O5" s="4953" t="s">
        <v>1769</v>
      </c>
      <c r="P5" s="4953"/>
      <c r="Q5" s="4952"/>
      <c r="R5" s="4953"/>
    </row>
    <row r="6" spans="1:47" ht="21" customHeight="1">
      <c r="O6" s="4954" t="s">
        <v>1972</v>
      </c>
      <c r="P6" s="4954"/>
      <c r="Q6" s="4954"/>
      <c r="R6" s="4954"/>
    </row>
    <row r="7" spans="1:47" ht="12" customHeight="1">
      <c r="O7" s="3184"/>
      <c r="P7" s="3184"/>
      <c r="Q7" s="3184"/>
      <c r="R7" s="3184"/>
    </row>
    <row r="8" spans="1:47" ht="44.25" customHeight="1">
      <c r="A8" s="4965" t="s">
        <v>1974</v>
      </c>
      <c r="B8" s="4965"/>
      <c r="C8" s="4965"/>
      <c r="D8" s="4965"/>
      <c r="E8" s="4965"/>
      <c r="F8" s="4965"/>
      <c r="G8" s="4965"/>
      <c r="H8" s="4965"/>
      <c r="I8" s="4965"/>
      <c r="J8" s="4965"/>
      <c r="K8" s="4966"/>
      <c r="L8" s="4966"/>
      <c r="M8" s="4966"/>
      <c r="N8" s="4966"/>
      <c r="O8" s="4966"/>
      <c r="P8" s="4966"/>
      <c r="Q8" s="4966"/>
      <c r="R8" s="4967"/>
    </row>
    <row r="9" spans="1:47" ht="16.5" collapsed="1" thickBot="1">
      <c r="R9" s="3185" t="s">
        <v>1770</v>
      </c>
    </row>
    <row r="10" spans="1:47" ht="18.75">
      <c r="A10" s="4975" t="s">
        <v>1706</v>
      </c>
      <c r="B10" s="4976"/>
      <c r="C10" s="4976"/>
      <c r="D10" s="4976"/>
      <c r="E10" s="4976"/>
      <c r="F10" s="4976"/>
      <c r="G10" s="4976"/>
      <c r="H10" s="4976"/>
      <c r="I10" s="4976"/>
      <c r="J10" s="4976"/>
      <c r="K10" s="4976"/>
      <c r="L10" s="4976"/>
      <c r="M10" s="4976"/>
      <c r="N10" s="4976"/>
      <c r="O10" s="4976"/>
      <c r="P10" s="4976"/>
      <c r="Q10" s="4976"/>
      <c r="R10" s="4971"/>
    </row>
    <row r="11" spans="1:47" ht="18.75" customHeight="1">
      <c r="A11" s="4973" t="s">
        <v>545</v>
      </c>
      <c r="B11" s="3186"/>
      <c r="C11" s="3186"/>
      <c r="D11" s="3186"/>
      <c r="E11" s="3186"/>
      <c r="F11" s="3186"/>
      <c r="G11" s="3186"/>
      <c r="H11" s="3186"/>
      <c r="I11" s="3186"/>
      <c r="J11" s="3186"/>
      <c r="K11" s="4972" t="s">
        <v>1771</v>
      </c>
      <c r="L11" s="4957" t="s">
        <v>600</v>
      </c>
      <c r="M11" s="4957" t="s">
        <v>599</v>
      </c>
      <c r="N11" s="4957" t="s">
        <v>598</v>
      </c>
      <c r="O11" s="4957" t="s">
        <v>225</v>
      </c>
      <c r="P11" s="4957" t="s">
        <v>229</v>
      </c>
      <c r="Q11" s="4957" t="s">
        <v>1772</v>
      </c>
      <c r="R11" s="4958" t="s">
        <v>1773</v>
      </c>
      <c r="S11" s="430"/>
      <c r="T11" s="430"/>
      <c r="U11" s="430"/>
      <c r="V11" s="430"/>
      <c r="W11" s="430"/>
      <c r="X11" s="430"/>
      <c r="Y11" s="430"/>
      <c r="Z11" s="430"/>
      <c r="AA11" s="430"/>
      <c r="AB11" s="430"/>
      <c r="AC11" s="430"/>
      <c r="AD11" s="430"/>
      <c r="AE11" s="430"/>
      <c r="AF11" s="430"/>
      <c r="AG11" s="430"/>
      <c r="AH11" s="430"/>
      <c r="AI11" s="430"/>
      <c r="AJ11" s="430"/>
      <c r="AK11" s="430"/>
      <c r="AL11" s="430"/>
      <c r="AM11" s="430"/>
      <c r="AN11" s="430"/>
      <c r="AO11" s="430"/>
      <c r="AP11" s="430"/>
      <c r="AQ11" s="430"/>
      <c r="AR11" s="430"/>
      <c r="AS11" s="430"/>
      <c r="AT11" s="430"/>
      <c r="AU11" s="430"/>
    </row>
    <row r="12" spans="1:47" ht="18.75">
      <c r="A12" s="4974"/>
      <c r="B12" s="3186"/>
      <c r="C12" s="3186"/>
      <c r="D12" s="3186"/>
      <c r="E12" s="3186"/>
      <c r="F12" s="3186"/>
      <c r="G12" s="3186"/>
      <c r="H12" s="3186"/>
      <c r="I12" s="3186"/>
      <c r="J12" s="3186"/>
      <c r="K12" s="4972"/>
      <c r="L12" s="4957"/>
      <c r="M12" s="4957"/>
      <c r="N12" s="4957"/>
      <c r="O12" s="4957"/>
      <c r="P12" s="4957"/>
      <c r="Q12" s="4957"/>
      <c r="R12" s="4958"/>
      <c r="S12" s="430"/>
      <c r="T12" s="430"/>
      <c r="U12" s="430"/>
      <c r="V12" s="430"/>
      <c r="W12" s="430"/>
      <c r="X12" s="430"/>
      <c r="Y12" s="430"/>
      <c r="Z12" s="430"/>
      <c r="AA12" s="430"/>
      <c r="AB12" s="430"/>
      <c r="AC12" s="430"/>
      <c r="AD12" s="430"/>
      <c r="AE12" s="430"/>
      <c r="AF12" s="430"/>
      <c r="AG12" s="430"/>
      <c r="AH12" s="430"/>
      <c r="AI12" s="430"/>
      <c r="AJ12" s="430"/>
      <c r="AK12" s="430"/>
      <c r="AL12" s="430"/>
      <c r="AM12" s="430"/>
      <c r="AN12" s="430"/>
      <c r="AO12" s="430"/>
      <c r="AP12" s="430"/>
      <c r="AQ12" s="430"/>
      <c r="AR12" s="430"/>
      <c r="AS12" s="430"/>
      <c r="AT12" s="430"/>
      <c r="AU12" s="430"/>
    </row>
    <row r="13" spans="1:47" ht="18.75">
      <c r="A13" s="3187" t="s">
        <v>1707</v>
      </c>
      <c r="B13" s="3188"/>
      <c r="C13" s="3188"/>
      <c r="D13" s="3188"/>
      <c r="E13" s="3188"/>
      <c r="F13" s="3188"/>
      <c r="G13" s="3188"/>
      <c r="H13" s="3188"/>
      <c r="I13" s="3188"/>
      <c r="J13" s="3188"/>
      <c r="K13" s="3189" t="s">
        <v>1774</v>
      </c>
      <c r="L13" s="3190">
        <f>SUM('Произв. прогр. Вода (СВОД)'!H12)</f>
        <v>1360.8647955000001</v>
      </c>
      <c r="M13" s="3190">
        <f>SUM('Произв. прогр. Вода (СВОД)'!L12)</f>
        <v>1302.2757045000001</v>
      </c>
      <c r="N13" s="3190">
        <f>SUM(L13+M13)</f>
        <v>2663.1405000000004</v>
      </c>
      <c r="O13" s="3190">
        <f>SUM('Произв. прогр. Вода (СВОД)'!Q12)</f>
        <v>1302.2757045000003</v>
      </c>
      <c r="P13" s="3190">
        <f>SUM(N13+O13)</f>
        <v>3965.4162045000007</v>
      </c>
      <c r="Q13" s="3190">
        <f>SUM('Произв. прогр. Вода (СВОД)'!V12)</f>
        <v>1360.8647955000001</v>
      </c>
      <c r="R13" s="3191">
        <f>SUM(P13+Q13)</f>
        <v>5326.2810000000009</v>
      </c>
      <c r="S13" s="430"/>
      <c r="T13" s="430"/>
      <c r="U13" s="430"/>
      <c r="V13" s="430"/>
      <c r="W13" s="430"/>
      <c r="X13" s="430"/>
      <c r="Y13" s="430"/>
      <c r="Z13" s="430"/>
      <c r="AA13" s="430"/>
      <c r="AB13" s="430"/>
      <c r="AC13" s="430"/>
      <c r="AD13" s="430"/>
      <c r="AE13" s="430"/>
      <c r="AF13" s="430"/>
      <c r="AG13" s="430"/>
      <c r="AH13" s="430"/>
      <c r="AI13" s="430"/>
      <c r="AJ13" s="430"/>
      <c r="AK13" s="430"/>
      <c r="AL13" s="430"/>
      <c r="AM13" s="430"/>
      <c r="AN13" s="430"/>
      <c r="AO13" s="430"/>
      <c r="AP13" s="430"/>
      <c r="AQ13" s="430"/>
      <c r="AR13" s="430"/>
      <c r="AS13" s="430"/>
      <c r="AT13" s="430"/>
      <c r="AU13" s="430"/>
    </row>
    <row r="14" spans="1:47" ht="18.75">
      <c r="A14" s="3192" t="s">
        <v>20</v>
      </c>
      <c r="B14" s="3188"/>
      <c r="C14" s="3188"/>
      <c r="D14" s="3188"/>
      <c r="E14" s="3188"/>
      <c r="F14" s="3188"/>
      <c r="G14" s="3188"/>
      <c r="H14" s="3188"/>
      <c r="I14" s="3188"/>
      <c r="J14" s="3188"/>
      <c r="K14" s="3193" t="s">
        <v>1774</v>
      </c>
      <c r="L14" s="3194">
        <f>SUM('Произв. прогр. Вода (СВОД)'!H13)</f>
        <v>204.10450000000003</v>
      </c>
      <c r="M14" s="3194">
        <f>SUM('Произв. прогр. Вода (СВОД)'!L13)</f>
        <v>204.10450000000003</v>
      </c>
      <c r="N14" s="3194">
        <f>SUM(L14+M14)</f>
        <v>408.20900000000006</v>
      </c>
      <c r="O14" s="3194">
        <f>SUM('Произв. прогр. Вода (СВОД)'!Q13)</f>
        <v>204.10450000000003</v>
      </c>
      <c r="P14" s="3194">
        <f>SUM(N14+O14)</f>
        <v>612.31350000000009</v>
      </c>
      <c r="Q14" s="3194">
        <f>SUM('Произв. прогр. Вода (СВОД)'!V13)</f>
        <v>204.10450000000003</v>
      </c>
      <c r="R14" s="3197">
        <f t="shared" ref="R14:R25" si="0">SUM(P14+Q14)</f>
        <v>816.41800000000012</v>
      </c>
      <c r="S14" s="430"/>
      <c r="T14" s="430"/>
      <c r="U14" s="430"/>
      <c r="V14" s="430"/>
      <c r="W14" s="430"/>
      <c r="X14" s="430"/>
      <c r="Y14" s="430"/>
      <c r="Z14" s="430"/>
      <c r="AA14" s="430"/>
      <c r="AB14" s="430"/>
      <c r="AC14" s="430"/>
      <c r="AD14" s="430"/>
      <c r="AE14" s="430"/>
      <c r="AF14" s="430"/>
      <c r="AG14" s="430"/>
      <c r="AH14" s="430"/>
      <c r="AI14" s="430"/>
      <c r="AJ14" s="430"/>
      <c r="AK14" s="430"/>
      <c r="AL14" s="430"/>
      <c r="AM14" s="430"/>
      <c r="AN14" s="430"/>
      <c r="AO14" s="430"/>
      <c r="AP14" s="430"/>
      <c r="AQ14" s="430"/>
      <c r="AR14" s="430"/>
      <c r="AS14" s="430"/>
      <c r="AT14" s="430"/>
      <c r="AU14" s="430"/>
    </row>
    <row r="15" spans="1:47" ht="18.75">
      <c r="A15" s="3195" t="s">
        <v>388</v>
      </c>
      <c r="B15" s="3188"/>
      <c r="C15" s="3188"/>
      <c r="D15" s="3188"/>
      <c r="E15" s="3188"/>
      <c r="F15" s="3188"/>
      <c r="G15" s="3188"/>
      <c r="H15" s="3188"/>
      <c r="I15" s="3188"/>
      <c r="J15" s="3188"/>
      <c r="K15" s="3193" t="s">
        <v>44</v>
      </c>
      <c r="L15" s="3196">
        <f>SUM('[21]Произв. прогр. Вода (СВОД)'!Q14)</f>
        <v>0.11827535406039125</v>
      </c>
      <c r="M15" s="3196">
        <f>SUM('[21]Произв. прогр. Вода (СВОД)'!U14)</f>
        <v>0.12264299562170441</v>
      </c>
      <c r="N15" s="3196">
        <f t="shared" ref="N15:R15" si="1">SUM(N14/N13)</f>
        <v>0.1532810604622625</v>
      </c>
      <c r="O15" s="3196">
        <f>SUM('[21]Произв. прогр. Вода (СВОД)'!Z14)</f>
        <v>0.1251917844897803</v>
      </c>
      <c r="P15" s="3196">
        <f t="shared" si="1"/>
        <v>0.154413425583206</v>
      </c>
      <c r="Q15" s="3196">
        <f>SUM('[21]Произв. прогр. Вода (СВОД)'!AE14)</f>
        <v>0.11793771714126863</v>
      </c>
      <c r="R15" s="3203">
        <f t="shared" si="1"/>
        <v>0.1532810604622625</v>
      </c>
      <c r="S15" s="430"/>
      <c r="T15" s="430"/>
      <c r="U15" s="430"/>
      <c r="V15" s="430"/>
      <c r="W15" s="430"/>
      <c r="X15" s="430"/>
      <c r="Y15" s="430"/>
      <c r="Z15" s="430"/>
      <c r="AA15" s="430"/>
      <c r="AB15" s="430"/>
      <c r="AC15" s="430"/>
      <c r="AD15" s="430"/>
      <c r="AE15" s="430"/>
      <c r="AF15" s="430"/>
      <c r="AG15" s="430"/>
      <c r="AH15" s="430"/>
      <c r="AI15" s="430"/>
      <c r="AJ15" s="430"/>
      <c r="AK15" s="430"/>
      <c r="AL15" s="430"/>
      <c r="AM15" s="430"/>
      <c r="AN15" s="430"/>
      <c r="AO15" s="430"/>
      <c r="AP15" s="430"/>
      <c r="AQ15" s="430"/>
      <c r="AR15" s="430"/>
      <c r="AS15" s="430"/>
      <c r="AT15" s="430"/>
      <c r="AU15" s="430"/>
    </row>
    <row r="16" spans="1:47" ht="18.75">
      <c r="A16" s="3187" t="s">
        <v>1708</v>
      </c>
      <c r="B16" s="3188"/>
      <c r="C16" s="3188"/>
      <c r="D16" s="3188"/>
      <c r="E16" s="3188"/>
      <c r="F16" s="3188"/>
      <c r="G16" s="3188"/>
      <c r="H16" s="3188"/>
      <c r="I16" s="3188"/>
      <c r="J16" s="3188"/>
      <c r="K16" s="3189" t="s">
        <v>1774</v>
      </c>
      <c r="L16" s="3190">
        <f>SUM('Произв. прогр. Вода (СВОД)'!H15)</f>
        <v>1156.7602955000002</v>
      </c>
      <c r="M16" s="3190">
        <f>SUM('Произв. прогр. Вода (СВОД)'!L15)</f>
        <v>1098.1712045000004</v>
      </c>
      <c r="N16" s="3190">
        <f>SUM(L16+M16)</f>
        <v>2254.9315000000006</v>
      </c>
      <c r="O16" s="3190">
        <f>SUM('Произв. прогр. Вода (СВОД)'!Q15)</f>
        <v>1098.1712045000002</v>
      </c>
      <c r="P16" s="3190">
        <f>SUM(N16+O16)</f>
        <v>3353.102704500001</v>
      </c>
      <c r="Q16" s="3190">
        <f>SUM('Произв. прогр. Вода (СВОД)'!V15)</f>
        <v>1156.7602955000002</v>
      </c>
      <c r="R16" s="3191">
        <f t="shared" si="0"/>
        <v>4509.8630000000012</v>
      </c>
      <c r="S16" s="430"/>
      <c r="T16" s="430"/>
      <c r="U16" s="430"/>
      <c r="V16" s="430"/>
      <c r="W16" s="430"/>
      <c r="X16" s="430"/>
      <c r="Y16" s="430"/>
      <c r="Z16" s="430"/>
      <c r="AA16" s="430"/>
      <c r="AB16" s="430"/>
      <c r="AC16" s="430"/>
      <c r="AD16" s="430"/>
      <c r="AE16" s="430"/>
      <c r="AF16" s="430"/>
      <c r="AG16" s="430"/>
      <c r="AH16" s="430"/>
      <c r="AI16" s="430"/>
      <c r="AJ16" s="430"/>
      <c r="AK16" s="430"/>
      <c r="AL16" s="430"/>
      <c r="AM16" s="430"/>
      <c r="AN16" s="430"/>
      <c r="AO16" s="430"/>
      <c r="AP16" s="430"/>
      <c r="AQ16" s="430"/>
      <c r="AR16" s="430"/>
      <c r="AS16" s="430"/>
      <c r="AT16" s="430"/>
      <c r="AU16" s="430"/>
    </row>
    <row r="17" spans="1:47" ht="18.75">
      <c r="A17" s="3192" t="s">
        <v>51</v>
      </c>
      <c r="B17" s="3188"/>
      <c r="C17" s="3188"/>
      <c r="D17" s="3188"/>
      <c r="E17" s="3188"/>
      <c r="F17" s="3188"/>
      <c r="G17" s="3188"/>
      <c r="H17" s="3188"/>
      <c r="I17" s="3188"/>
      <c r="J17" s="3188"/>
      <c r="K17" s="3193" t="s">
        <v>1774</v>
      </c>
      <c r="L17" s="3194">
        <f>SUM('Произв. прогр. Вода (СВОД)'!H16)</f>
        <v>231.48748550000005</v>
      </c>
      <c r="M17" s="3194">
        <f>SUM('Произв. прогр. Вода (СВОД)'!L16)</f>
        <v>212.73401450000011</v>
      </c>
      <c r="N17" s="3194">
        <f>SUM(L17+M17)</f>
        <v>444.22150000000016</v>
      </c>
      <c r="O17" s="3194">
        <f>SUM('Произв. прогр. Вода (СВОД)'!Q16)</f>
        <v>212.73401450000011</v>
      </c>
      <c r="P17" s="3194">
        <f>SUM(N17+O17)</f>
        <v>656.95551450000028</v>
      </c>
      <c r="Q17" s="3194">
        <f>SUM('Произв. прогр. Вода (СВОД)'!V16)</f>
        <v>231.48748550000005</v>
      </c>
      <c r="R17" s="3197">
        <f t="shared" si="0"/>
        <v>888.44300000000032</v>
      </c>
      <c r="S17" s="430"/>
      <c r="T17" s="430"/>
      <c r="U17" s="430"/>
      <c r="V17" s="430"/>
      <c r="W17" s="430"/>
      <c r="X17" s="430"/>
      <c r="Y17" s="430"/>
      <c r="Z17" s="430"/>
      <c r="AA17" s="430"/>
      <c r="AB17" s="430"/>
      <c r="AC17" s="430"/>
      <c r="AD17" s="430"/>
      <c r="AE17" s="430"/>
      <c r="AF17" s="430"/>
      <c r="AG17" s="430"/>
      <c r="AH17" s="430"/>
      <c r="AI17" s="430"/>
      <c r="AJ17" s="430"/>
      <c r="AK17" s="430"/>
      <c r="AL17" s="430"/>
      <c r="AM17" s="430"/>
      <c r="AN17" s="430"/>
      <c r="AO17" s="430"/>
      <c r="AP17" s="430"/>
      <c r="AQ17" s="430"/>
      <c r="AR17" s="430"/>
      <c r="AS17" s="430"/>
      <c r="AT17" s="430"/>
      <c r="AU17" s="430"/>
    </row>
    <row r="18" spans="1:47" ht="18.75" customHeight="1">
      <c r="A18" s="3195" t="s">
        <v>117</v>
      </c>
      <c r="B18" s="3188"/>
      <c r="C18" s="3188"/>
      <c r="D18" s="3188"/>
      <c r="E18" s="3188"/>
      <c r="F18" s="3188"/>
      <c r="G18" s="3188"/>
      <c r="H18" s="3188"/>
      <c r="I18" s="3188"/>
      <c r="J18" s="3188"/>
      <c r="K18" s="3193" t="s">
        <v>44</v>
      </c>
      <c r="L18" s="3196">
        <f>SUM('[21]Произв. прогр. Вода (СВОД)'!Q17)</f>
        <v>0.19858380826769037</v>
      </c>
      <c r="M18" s="3196">
        <f>SUM('[21]Произв. прогр. Вода (СВОД)'!U17)</f>
        <v>0.19459421378169231</v>
      </c>
      <c r="N18" s="3196">
        <f t="shared" ref="N18:R18" si="2">SUM(N17/N16)</f>
        <v>0.19699999756090153</v>
      </c>
      <c r="O18" s="3196">
        <f>SUM('[21]Произв. прогр. Вода (СВОД)'!Z17)</f>
        <v>0.19224763167855127</v>
      </c>
      <c r="P18" s="3196">
        <f t="shared" si="2"/>
        <v>0.19592466214003498</v>
      </c>
      <c r="Q18" s="3196">
        <f>SUM('[21]Произв. прогр. Вода (СВОД)'!AE17)</f>
        <v>0.19889057537378924</v>
      </c>
      <c r="R18" s="3203">
        <f t="shared" si="2"/>
        <v>0.19699999756090153</v>
      </c>
      <c r="S18" s="430"/>
      <c r="T18" s="430"/>
      <c r="U18" s="430"/>
      <c r="V18" s="430"/>
      <c r="W18" s="430"/>
      <c r="X18" s="430"/>
      <c r="Y18" s="430"/>
      <c r="Z18" s="430"/>
      <c r="AA18" s="430"/>
      <c r="AB18" s="430"/>
      <c r="AC18" s="430"/>
      <c r="AD18" s="430"/>
      <c r="AE18" s="430"/>
      <c r="AF18" s="430"/>
      <c r="AG18" s="430"/>
      <c r="AH18" s="430"/>
      <c r="AI18" s="430"/>
      <c r="AJ18" s="430"/>
      <c r="AK18" s="430"/>
      <c r="AL18" s="430"/>
      <c r="AM18" s="430"/>
      <c r="AN18" s="430"/>
      <c r="AO18" s="430"/>
      <c r="AP18" s="430"/>
      <c r="AQ18" s="430"/>
      <c r="AR18" s="430"/>
      <c r="AS18" s="430"/>
      <c r="AT18" s="430"/>
      <c r="AU18" s="430"/>
    </row>
    <row r="19" spans="1:47" ht="18.75">
      <c r="A19" s="3187" t="s">
        <v>1709</v>
      </c>
      <c r="B19" s="3188"/>
      <c r="C19" s="3188"/>
      <c r="D19" s="3188"/>
      <c r="E19" s="3188"/>
      <c r="F19" s="3188"/>
      <c r="G19" s="3188"/>
      <c r="H19" s="3188"/>
      <c r="I19" s="3188"/>
      <c r="J19" s="3188"/>
      <c r="K19" s="3189" t="s">
        <v>1774</v>
      </c>
      <c r="L19" s="3190">
        <f>SUM('Произв. прогр. Вода (СВОД)'!H18)</f>
        <v>925.27281000000016</v>
      </c>
      <c r="M19" s="3190">
        <f>SUM('Произв. прогр. Вода (СВОД)'!L18)</f>
        <v>885.4371900000001</v>
      </c>
      <c r="N19" s="3190">
        <f t="shared" ref="N19:N25" si="3">SUM(L19+M19)</f>
        <v>1810.7100000000003</v>
      </c>
      <c r="O19" s="3190">
        <f>SUM('Произв. прогр. Вода (СВОД)'!Q18)</f>
        <v>885.4371900000001</v>
      </c>
      <c r="P19" s="3190">
        <f t="shared" ref="P19:P25" si="4">SUM(N19+O19)</f>
        <v>2696.1471900000006</v>
      </c>
      <c r="Q19" s="3190">
        <f>SUM('Произв. прогр. Вода (СВОД)'!V18)</f>
        <v>925.27281000000016</v>
      </c>
      <c r="R19" s="3191">
        <f t="shared" si="0"/>
        <v>3621.420000000001</v>
      </c>
      <c r="S19" s="430"/>
      <c r="T19" s="430"/>
      <c r="U19" s="430"/>
      <c r="V19" s="430"/>
      <c r="W19" s="430"/>
      <c r="X19" s="430"/>
      <c r="Y19" s="430"/>
      <c r="Z19" s="430"/>
      <c r="AA19" s="430"/>
      <c r="AB19" s="430"/>
      <c r="AC19" s="430"/>
      <c r="AD19" s="430"/>
      <c r="AE19" s="430"/>
      <c r="AF19" s="430"/>
      <c r="AG19" s="430"/>
      <c r="AH19" s="430"/>
      <c r="AI19" s="430"/>
      <c r="AJ19" s="430"/>
      <c r="AK19" s="430"/>
      <c r="AL19" s="430"/>
      <c r="AM19" s="430"/>
      <c r="AN19" s="430"/>
      <c r="AO19" s="430"/>
      <c r="AP19" s="430"/>
      <c r="AQ19" s="430"/>
      <c r="AR19" s="430"/>
      <c r="AS19" s="430"/>
      <c r="AT19" s="430"/>
      <c r="AU19" s="430"/>
    </row>
    <row r="20" spans="1:47" ht="18.75">
      <c r="A20" s="3192" t="s">
        <v>24</v>
      </c>
      <c r="B20" s="3188"/>
      <c r="C20" s="3188"/>
      <c r="D20" s="3188"/>
      <c r="E20" s="3188"/>
      <c r="F20" s="3188"/>
      <c r="G20" s="3188"/>
      <c r="H20" s="3188"/>
      <c r="I20" s="3188"/>
      <c r="J20" s="3188"/>
      <c r="K20" s="3193" t="s">
        <v>1774</v>
      </c>
      <c r="L20" s="3194">
        <f>SUM('Произв. прогр. Вода (СВОД)'!H19)</f>
        <v>602.98</v>
      </c>
      <c r="M20" s="3194">
        <f>SUM('Произв. прогр. Вода (СВОД)'!L19)</f>
        <v>577.02</v>
      </c>
      <c r="N20" s="3194">
        <f t="shared" si="3"/>
        <v>1180</v>
      </c>
      <c r="O20" s="3194">
        <f>SUM('Произв. прогр. Вода (СВОД)'!Q19)</f>
        <v>577.02</v>
      </c>
      <c r="P20" s="3194">
        <f t="shared" si="4"/>
        <v>1757.02</v>
      </c>
      <c r="Q20" s="3194">
        <f>SUM('Произв. прогр. Вода (СВОД)'!V19)</f>
        <v>602.98</v>
      </c>
      <c r="R20" s="3197">
        <f t="shared" si="0"/>
        <v>2360</v>
      </c>
      <c r="S20" s="430"/>
      <c r="T20" s="430"/>
      <c r="U20" s="430"/>
      <c r="V20" s="430"/>
      <c r="W20" s="430"/>
      <c r="X20" s="430"/>
      <c r="Y20" s="430"/>
      <c r="Z20" s="430"/>
      <c r="AA20" s="430"/>
      <c r="AB20" s="430"/>
      <c r="AC20" s="430"/>
      <c r="AD20" s="430"/>
      <c r="AE20" s="430"/>
      <c r="AF20" s="430"/>
      <c r="AG20" s="430"/>
      <c r="AH20" s="430"/>
      <c r="AI20" s="430"/>
      <c r="AJ20" s="430"/>
      <c r="AK20" s="430"/>
      <c r="AL20" s="430"/>
      <c r="AM20" s="430"/>
      <c r="AN20" s="430"/>
      <c r="AO20" s="430"/>
      <c r="AP20" s="430"/>
      <c r="AQ20" s="430"/>
      <c r="AR20" s="430"/>
      <c r="AS20" s="430"/>
      <c r="AT20" s="430"/>
      <c r="AU20" s="430"/>
    </row>
    <row r="21" spans="1:47" ht="18.75">
      <c r="A21" s="3192" t="s">
        <v>1710</v>
      </c>
      <c r="B21" s="3188"/>
      <c r="C21" s="3188"/>
      <c r="D21" s="3188"/>
      <c r="E21" s="3188"/>
      <c r="F21" s="3188"/>
      <c r="G21" s="3188"/>
      <c r="H21" s="3188"/>
      <c r="I21" s="3188"/>
      <c r="J21" s="3188"/>
      <c r="K21" s="3193" t="s">
        <v>1774</v>
      </c>
      <c r="L21" s="3194">
        <f>SUM('Произв. прогр. Вода (СВОД)'!H20)</f>
        <v>240.53281000000001</v>
      </c>
      <c r="M21" s="3194">
        <f>SUM('Произв. прогр. Вода (СВОД)'!L20)</f>
        <v>230.17719</v>
      </c>
      <c r="N21" s="3194">
        <f t="shared" si="3"/>
        <v>470.71000000000004</v>
      </c>
      <c r="O21" s="3194">
        <f>SUM('Произв. прогр. Вода (СВОД)'!Q20)</f>
        <v>230.17719</v>
      </c>
      <c r="P21" s="3194">
        <f t="shared" si="4"/>
        <v>700.88719000000003</v>
      </c>
      <c r="Q21" s="3194">
        <f>SUM('Произв. прогр. Вода (СВОД)'!V20)</f>
        <v>240.53281000000001</v>
      </c>
      <c r="R21" s="3197">
        <f t="shared" si="0"/>
        <v>941.42000000000007</v>
      </c>
      <c r="S21" s="430"/>
      <c r="T21" s="430"/>
      <c r="U21" s="430"/>
      <c r="V21" s="430"/>
      <c r="W21" s="430"/>
      <c r="X21" s="430"/>
      <c r="Y21" s="430"/>
      <c r="Z21" s="430"/>
      <c r="AA21" s="430"/>
      <c r="AB21" s="430"/>
      <c r="AC21" s="430"/>
      <c r="AD21" s="430"/>
      <c r="AE21" s="430"/>
      <c r="AF21" s="430"/>
      <c r="AG21" s="430"/>
      <c r="AH21" s="430"/>
      <c r="AI21" s="430"/>
      <c r="AJ21" s="430"/>
      <c r="AK21" s="430"/>
      <c r="AL21" s="430"/>
      <c r="AM21" s="430"/>
      <c r="AN21" s="430"/>
      <c r="AO21" s="430"/>
      <c r="AP21" s="430"/>
      <c r="AQ21" s="430"/>
      <c r="AR21" s="430"/>
      <c r="AS21" s="430"/>
      <c r="AT21" s="430"/>
      <c r="AU21" s="430"/>
    </row>
    <row r="22" spans="1:47" ht="18.75">
      <c r="A22" s="3195" t="s">
        <v>25</v>
      </c>
      <c r="B22" s="3188"/>
      <c r="C22" s="3188"/>
      <c r="D22" s="3188"/>
      <c r="E22" s="3188"/>
      <c r="F22" s="3188"/>
      <c r="G22" s="3188"/>
      <c r="H22" s="3188"/>
      <c r="I22" s="3188"/>
      <c r="J22" s="3188"/>
      <c r="K22" s="3193" t="s">
        <v>1774</v>
      </c>
      <c r="L22" s="3198">
        <f>SUM('Произв. прогр. Вода (СВОД)'!H21)</f>
        <v>5.3550000000000004</v>
      </c>
      <c r="M22" s="3198">
        <f>SUM('Произв. прогр. Вода (СВОД)'!L21)</f>
        <v>5.3550000000000004</v>
      </c>
      <c r="N22" s="3198">
        <f t="shared" si="3"/>
        <v>10.71</v>
      </c>
      <c r="O22" s="3198">
        <f>SUM('Произв. прогр. Вода (СВОД)'!Q21)</f>
        <v>5.3550000000000004</v>
      </c>
      <c r="P22" s="3198">
        <f t="shared" si="4"/>
        <v>16.065000000000001</v>
      </c>
      <c r="Q22" s="3198">
        <f>SUM('Произв. прогр. Вода (СВОД)'!V21)</f>
        <v>5.3550000000000004</v>
      </c>
      <c r="R22" s="3199">
        <f t="shared" si="0"/>
        <v>21.42</v>
      </c>
      <c r="S22" s="430"/>
      <c r="T22" s="430"/>
      <c r="U22" s="430"/>
      <c r="V22" s="430"/>
      <c r="W22" s="430"/>
      <c r="X22" s="430"/>
      <c r="Y22" s="430"/>
      <c r="Z22" s="430"/>
      <c r="AA22" s="430"/>
      <c r="AB22" s="430"/>
      <c r="AC22" s="430"/>
      <c r="AD22" s="430"/>
      <c r="AE22" s="430"/>
      <c r="AF22" s="430"/>
      <c r="AG22" s="430"/>
      <c r="AH22" s="430"/>
      <c r="AI22" s="430"/>
      <c r="AJ22" s="430"/>
      <c r="AK22" s="430"/>
      <c r="AL22" s="430"/>
      <c r="AM22" s="430"/>
      <c r="AN22" s="430"/>
      <c r="AO22" s="430"/>
      <c r="AP22" s="430"/>
      <c r="AQ22" s="430"/>
      <c r="AR22" s="430"/>
      <c r="AS22" s="430"/>
      <c r="AT22" s="430"/>
      <c r="AU22" s="430"/>
    </row>
    <row r="23" spans="1:47" ht="18" customHeight="1">
      <c r="A23" s="3187" t="s">
        <v>1711</v>
      </c>
      <c r="B23" s="3188"/>
      <c r="C23" s="3188"/>
      <c r="D23" s="3188"/>
      <c r="E23" s="3188"/>
      <c r="F23" s="3188"/>
      <c r="G23" s="3188"/>
      <c r="H23" s="3188"/>
      <c r="I23" s="3188"/>
      <c r="J23" s="3188"/>
      <c r="K23" s="3189" t="s">
        <v>1774</v>
      </c>
      <c r="L23" s="3190">
        <f>SUM('Произв. прогр. Вода (СВОД)'!H22)</f>
        <v>81.760000000000005</v>
      </c>
      <c r="M23" s="3190">
        <f>SUM('Произв. прогр. Вода (СВОД)'!L22)</f>
        <v>78.240000000000009</v>
      </c>
      <c r="N23" s="3190">
        <f t="shared" si="3"/>
        <v>160</v>
      </c>
      <c r="O23" s="3190">
        <f>SUM('Произв. прогр. Вода (СВОД)'!Q22)</f>
        <v>78.240000000000009</v>
      </c>
      <c r="P23" s="3190">
        <f t="shared" si="4"/>
        <v>238.24</v>
      </c>
      <c r="Q23" s="3190">
        <f>SUM('Произв. прогр. Вода (СВОД)'!V22)</f>
        <v>81.760000000000005</v>
      </c>
      <c r="R23" s="3191">
        <f t="shared" si="0"/>
        <v>320</v>
      </c>
      <c r="S23" s="430"/>
      <c r="T23" s="430"/>
      <c r="U23" s="430"/>
      <c r="V23" s="430"/>
      <c r="W23" s="430"/>
      <c r="X23" s="430"/>
      <c r="Y23" s="430"/>
      <c r="Z23" s="430"/>
      <c r="AA23" s="430"/>
      <c r="AB23" s="430"/>
      <c r="AC23" s="430"/>
      <c r="AD23" s="430"/>
      <c r="AE23" s="430"/>
      <c r="AF23" s="430"/>
      <c r="AG23" s="430"/>
      <c r="AH23" s="430"/>
      <c r="AI23" s="430"/>
      <c r="AJ23" s="430"/>
      <c r="AK23" s="430"/>
      <c r="AL23" s="430"/>
      <c r="AM23" s="430"/>
      <c r="AN23" s="430"/>
      <c r="AO23" s="430"/>
      <c r="AP23" s="430"/>
      <c r="AQ23" s="430"/>
      <c r="AR23" s="430"/>
      <c r="AS23" s="430"/>
      <c r="AT23" s="430"/>
      <c r="AU23" s="430"/>
    </row>
    <row r="24" spans="1:47" ht="18.75">
      <c r="A24" s="3195" t="s">
        <v>654</v>
      </c>
      <c r="B24" s="3188"/>
      <c r="C24" s="3188"/>
      <c r="D24" s="3188"/>
      <c r="E24" s="3188"/>
      <c r="F24" s="3188"/>
      <c r="G24" s="3188"/>
      <c r="H24" s="3188"/>
      <c r="I24" s="3188"/>
      <c r="J24" s="3188"/>
      <c r="K24" s="3193" t="s">
        <v>1774</v>
      </c>
      <c r="L24" s="3198">
        <f>SUM('Произв. прогр. Вода (СВОД)'!H23)</f>
        <v>81.760000000000005</v>
      </c>
      <c r="M24" s="3198">
        <f>SUM('Произв. прогр. Вода (СВОД)'!L23)</f>
        <v>78.240000000000009</v>
      </c>
      <c r="N24" s="3198">
        <f t="shared" si="3"/>
        <v>160</v>
      </c>
      <c r="O24" s="3198">
        <f>SUM('Произв. прогр. Вода (СВОД)'!Q23)</f>
        <v>78.240000000000009</v>
      </c>
      <c r="P24" s="3198">
        <f t="shared" si="4"/>
        <v>238.24</v>
      </c>
      <c r="Q24" s="3198">
        <f>SUM('Произв. прогр. Вода (СВОД)'!V23)</f>
        <v>81.760000000000005</v>
      </c>
      <c r="R24" s="3199">
        <f t="shared" si="0"/>
        <v>320</v>
      </c>
      <c r="S24" s="430"/>
      <c r="T24" s="430"/>
      <c r="U24" s="430"/>
      <c r="V24" s="430"/>
      <c r="W24" s="430"/>
      <c r="X24" s="430"/>
      <c r="Y24" s="430"/>
      <c r="Z24" s="430"/>
      <c r="AA24" s="430"/>
      <c r="AB24" s="430"/>
      <c r="AC24" s="430"/>
      <c r="AD24" s="430"/>
      <c r="AE24" s="430"/>
      <c r="AF24" s="430"/>
      <c r="AG24" s="430"/>
      <c r="AH24" s="430"/>
      <c r="AI24" s="430"/>
      <c r="AJ24" s="430"/>
      <c r="AK24" s="430"/>
      <c r="AL24" s="430"/>
      <c r="AM24" s="430"/>
      <c r="AN24" s="430"/>
      <c r="AO24" s="430"/>
      <c r="AP24" s="430"/>
      <c r="AQ24" s="430"/>
      <c r="AR24" s="430"/>
      <c r="AS24" s="430"/>
      <c r="AT24" s="430"/>
      <c r="AU24" s="430"/>
    </row>
    <row r="25" spans="1:47" ht="18.75">
      <c r="A25" s="3195" t="s">
        <v>655</v>
      </c>
      <c r="B25" s="3188"/>
      <c r="C25" s="3188"/>
      <c r="D25" s="3188"/>
      <c r="E25" s="3188"/>
      <c r="F25" s="3188"/>
      <c r="G25" s="3188"/>
      <c r="H25" s="3188"/>
      <c r="I25" s="3188"/>
      <c r="J25" s="3188"/>
      <c r="K25" s="3193" t="s">
        <v>1774</v>
      </c>
      <c r="L25" s="3198">
        <f>SUM('Произв. прогр. Вода (СВОД)'!H24)</f>
        <v>0</v>
      </c>
      <c r="M25" s="3198">
        <f>SUM('Произв. прогр. Вода (СВОД)'!L24)</f>
        <v>0</v>
      </c>
      <c r="N25" s="3198">
        <f t="shared" si="3"/>
        <v>0</v>
      </c>
      <c r="O25" s="3198">
        <f>SUM('Произв. прогр. Вода (СВОД)'!Q24)</f>
        <v>0</v>
      </c>
      <c r="P25" s="3198">
        <f t="shared" si="4"/>
        <v>0</v>
      </c>
      <c r="Q25" s="3198">
        <f>SUM('Произв. прогр. Вода (СВОД)'!V24)</f>
        <v>0</v>
      </c>
      <c r="R25" s="3199">
        <f t="shared" si="0"/>
        <v>0</v>
      </c>
      <c r="S25" s="430"/>
      <c r="T25" s="430"/>
      <c r="U25" s="430"/>
      <c r="V25" s="430"/>
      <c r="W25" s="430"/>
      <c r="X25" s="430"/>
      <c r="Y25" s="430"/>
      <c r="Z25" s="430"/>
      <c r="AA25" s="430"/>
      <c r="AB25" s="430"/>
      <c r="AC25" s="430"/>
      <c r="AD25" s="430"/>
      <c r="AE25" s="430"/>
      <c r="AF25" s="430"/>
      <c r="AG25" s="430"/>
      <c r="AH25" s="430"/>
      <c r="AI25" s="430"/>
      <c r="AJ25" s="430"/>
      <c r="AK25" s="430"/>
      <c r="AL25" s="430"/>
      <c r="AM25" s="430"/>
      <c r="AN25" s="430"/>
      <c r="AO25" s="430"/>
      <c r="AP25" s="430"/>
      <c r="AQ25" s="430"/>
      <c r="AR25" s="430"/>
      <c r="AS25" s="430"/>
      <c r="AT25" s="430"/>
      <c r="AU25" s="430"/>
    </row>
    <row r="26" spans="1:47" ht="18.75">
      <c r="A26" s="4959" t="s">
        <v>1722</v>
      </c>
      <c r="B26" s="4960"/>
      <c r="C26" s="4960"/>
      <c r="D26" s="4960"/>
      <c r="E26" s="4960"/>
      <c r="F26" s="4960"/>
      <c r="G26" s="4960"/>
      <c r="H26" s="4960"/>
      <c r="I26" s="4960"/>
      <c r="J26" s="4960"/>
      <c r="K26" s="4961"/>
      <c r="L26" s="4961"/>
      <c r="M26" s="4961"/>
      <c r="N26" s="4961"/>
      <c r="O26" s="4961"/>
      <c r="P26" s="4961"/>
      <c r="Q26" s="4961"/>
      <c r="R26" s="4962"/>
      <c r="S26" s="430"/>
      <c r="T26" s="430"/>
      <c r="U26" s="430"/>
      <c r="V26" s="430"/>
      <c r="W26" s="430"/>
      <c r="X26" s="430"/>
      <c r="Y26" s="430"/>
      <c r="Z26" s="430"/>
      <c r="AA26" s="430"/>
      <c r="AB26" s="430"/>
      <c r="AC26" s="430"/>
      <c r="AD26" s="430"/>
      <c r="AE26" s="430"/>
      <c r="AF26" s="430"/>
      <c r="AG26" s="430"/>
      <c r="AH26" s="430"/>
      <c r="AI26" s="430"/>
      <c r="AJ26" s="430"/>
      <c r="AK26" s="430"/>
      <c r="AL26" s="430"/>
      <c r="AM26" s="430"/>
      <c r="AN26" s="430"/>
      <c r="AO26" s="430"/>
      <c r="AP26" s="430"/>
      <c r="AQ26" s="430"/>
      <c r="AR26" s="430"/>
      <c r="AS26" s="430"/>
      <c r="AT26" s="430"/>
      <c r="AU26" s="430"/>
    </row>
    <row r="27" spans="1:47" ht="18.75" customHeight="1">
      <c r="A27" s="4973" t="s">
        <v>545</v>
      </c>
      <c r="B27" s="3186"/>
      <c r="C27" s="3186"/>
      <c r="D27" s="3186"/>
      <c r="E27" s="3186"/>
      <c r="F27" s="3186"/>
      <c r="G27" s="3186"/>
      <c r="H27" s="3186"/>
      <c r="I27" s="3186"/>
      <c r="J27" s="3186"/>
      <c r="K27" s="4972" t="s">
        <v>1771</v>
      </c>
      <c r="L27" s="4957" t="s">
        <v>600</v>
      </c>
      <c r="M27" s="4957" t="s">
        <v>599</v>
      </c>
      <c r="N27" s="4957" t="s">
        <v>598</v>
      </c>
      <c r="O27" s="4957" t="s">
        <v>225</v>
      </c>
      <c r="P27" s="4957" t="s">
        <v>229</v>
      </c>
      <c r="Q27" s="4957" t="s">
        <v>135</v>
      </c>
      <c r="R27" s="4958" t="s">
        <v>1773</v>
      </c>
      <c r="S27" s="430"/>
      <c r="T27" s="430"/>
      <c r="U27" s="430"/>
      <c r="V27" s="430"/>
      <c r="W27" s="430"/>
      <c r="X27" s="430"/>
      <c r="Y27" s="430"/>
      <c r="Z27" s="430"/>
      <c r="AA27" s="430"/>
      <c r="AB27" s="430"/>
      <c r="AC27" s="430"/>
      <c r="AD27" s="430"/>
      <c r="AE27" s="430"/>
      <c r="AF27" s="430"/>
      <c r="AG27" s="430"/>
      <c r="AH27" s="430"/>
      <c r="AI27" s="430"/>
      <c r="AJ27" s="430"/>
      <c r="AK27" s="430"/>
      <c r="AL27" s="430"/>
      <c r="AM27" s="430"/>
      <c r="AN27" s="430"/>
      <c r="AO27" s="430"/>
      <c r="AP27" s="430"/>
      <c r="AQ27" s="430"/>
      <c r="AR27" s="430"/>
      <c r="AS27" s="430"/>
      <c r="AT27" s="430"/>
      <c r="AU27" s="430"/>
    </row>
    <row r="28" spans="1:47" ht="18.75">
      <c r="A28" s="4974"/>
      <c r="B28" s="3186"/>
      <c r="C28" s="3186"/>
      <c r="D28" s="3186"/>
      <c r="E28" s="3186"/>
      <c r="F28" s="3186"/>
      <c r="G28" s="3186"/>
      <c r="H28" s="3186"/>
      <c r="I28" s="3186"/>
      <c r="J28" s="3186"/>
      <c r="K28" s="4972"/>
      <c r="L28" s="4957"/>
      <c r="M28" s="4957"/>
      <c r="N28" s="4957"/>
      <c r="O28" s="4957"/>
      <c r="P28" s="4957"/>
      <c r="Q28" s="4957"/>
      <c r="R28" s="4958"/>
      <c r="S28" s="430"/>
      <c r="T28" s="430"/>
      <c r="U28" s="430"/>
      <c r="V28" s="430"/>
      <c r="W28" s="430"/>
      <c r="X28" s="430"/>
      <c r="Y28" s="430"/>
      <c r="Z28" s="430"/>
      <c r="AA28" s="430"/>
      <c r="AB28" s="430"/>
      <c r="AC28" s="430"/>
      <c r="AD28" s="430"/>
      <c r="AE28" s="430"/>
      <c r="AF28" s="430"/>
      <c r="AG28" s="430"/>
      <c r="AH28" s="430"/>
      <c r="AI28" s="430"/>
      <c r="AJ28" s="430"/>
      <c r="AK28" s="430"/>
      <c r="AL28" s="430"/>
      <c r="AM28" s="430"/>
      <c r="AN28" s="430"/>
      <c r="AO28" s="430"/>
      <c r="AP28" s="430"/>
      <c r="AQ28" s="430"/>
      <c r="AR28" s="430"/>
      <c r="AS28" s="430"/>
      <c r="AT28" s="430"/>
      <c r="AU28" s="430"/>
    </row>
    <row r="29" spans="1:47" ht="18.75">
      <c r="A29" s="3200" t="s">
        <v>1</v>
      </c>
      <c r="B29" s="3188"/>
      <c r="C29" s="3188"/>
      <c r="D29" s="3188"/>
      <c r="E29" s="3188"/>
      <c r="F29" s="3188"/>
      <c r="G29" s="3188"/>
      <c r="H29" s="3188"/>
      <c r="I29" s="3188"/>
      <c r="J29" s="3188"/>
      <c r="K29" s="3193" t="s">
        <v>918</v>
      </c>
      <c r="L29" s="3194">
        <f>SUM('Произв. прогр. Вода (СВОД)'!H45)</f>
        <v>2232.580914411561</v>
      </c>
      <c r="M29" s="3194">
        <f>SUM('Произв. прогр. Вода (СВОД)'!L45)</f>
        <v>2126.982747286077</v>
      </c>
      <c r="N29" s="3194">
        <f t="shared" ref="N29" si="5">SUM(L29+M29)</f>
        <v>4359.5636616976381</v>
      </c>
      <c r="O29" s="3194">
        <f>SUM('Произв. прогр. Вода (СВОД)'!Q45)</f>
        <v>2275.8715395961026</v>
      </c>
      <c r="P29" s="3194">
        <f t="shared" ref="P29" si="6">SUM(N29+O29)</f>
        <v>6635.4352012937406</v>
      </c>
      <c r="Q29" s="3194">
        <f>SUM('Произв. прогр. Вода (СВОД)'!V45)</f>
        <v>2388.8615784203703</v>
      </c>
      <c r="R29" s="3197">
        <f t="shared" ref="R29" si="7">SUM(P29+Q29)</f>
        <v>9024.29677971411</v>
      </c>
      <c r="S29" s="430"/>
      <c r="T29" s="430"/>
      <c r="U29" s="430"/>
      <c r="V29" s="430"/>
      <c r="W29" s="430"/>
      <c r="X29" s="430"/>
      <c r="Y29" s="430"/>
      <c r="Z29" s="430"/>
      <c r="AA29" s="430"/>
      <c r="AB29" s="430"/>
      <c r="AC29" s="430"/>
      <c r="AD29" s="430"/>
      <c r="AE29" s="430"/>
      <c r="AF29" s="430"/>
      <c r="AG29" s="430"/>
      <c r="AH29" s="430"/>
      <c r="AI29" s="430"/>
      <c r="AJ29" s="430"/>
      <c r="AK29" s="430"/>
      <c r="AL29" s="430"/>
      <c r="AM29" s="430"/>
      <c r="AN29" s="430"/>
      <c r="AO29" s="430"/>
      <c r="AP29" s="430"/>
      <c r="AQ29" s="430"/>
      <c r="AR29" s="430"/>
      <c r="AS29" s="430"/>
      <c r="AT29" s="430"/>
      <c r="AU29" s="430"/>
    </row>
    <row r="30" spans="1:47" ht="18.75">
      <c r="A30" s="3200" t="s">
        <v>2</v>
      </c>
      <c r="B30" s="3188"/>
      <c r="C30" s="3188"/>
      <c r="D30" s="3188"/>
      <c r="E30" s="3188"/>
      <c r="F30" s="3188"/>
      <c r="G30" s="3188"/>
      <c r="H30" s="3188"/>
      <c r="I30" s="3188"/>
      <c r="J30" s="3188"/>
      <c r="K30" s="3193" t="s">
        <v>918</v>
      </c>
      <c r="L30" s="3194">
        <f>SUM('Произв. прогр. Вода (СВОД)'!H46)</f>
        <v>2124.4750000000004</v>
      </c>
      <c r="M30" s="3194">
        <f>SUM('Произв. прогр. Вода (СВОД)'!L46)</f>
        <v>2124.4750000000004</v>
      </c>
      <c r="N30" s="3194">
        <f t="shared" ref="N30:N50" si="8">SUM(L30+M30)</f>
        <v>4248.9500000000007</v>
      </c>
      <c r="O30" s="3194">
        <f>SUM('Произв. прогр. Вода (СВОД)'!Q46)</f>
        <v>2124.4750000000004</v>
      </c>
      <c r="P30" s="3194">
        <f t="shared" ref="P30:P50" si="9">SUM(N30+O30)</f>
        <v>6373.4250000000011</v>
      </c>
      <c r="Q30" s="3194">
        <f>SUM('Произв. прогр. Вода (СВОД)'!V46)</f>
        <v>2124.4750000000004</v>
      </c>
      <c r="R30" s="3197">
        <f t="shared" ref="R30:R50" si="10">SUM(P30+Q30)</f>
        <v>8497.9000000000015</v>
      </c>
      <c r="S30" s="430"/>
      <c r="T30" s="430"/>
      <c r="U30" s="430"/>
      <c r="V30" s="430"/>
      <c r="W30" s="430"/>
      <c r="X30" s="430"/>
      <c r="Y30" s="430"/>
      <c r="Z30" s="430"/>
      <c r="AA30" s="430"/>
      <c r="AB30" s="430"/>
      <c r="AC30" s="430"/>
      <c r="AD30" s="430"/>
      <c r="AE30" s="430"/>
      <c r="AF30" s="430"/>
      <c r="AG30" s="430"/>
      <c r="AH30" s="430"/>
      <c r="AI30" s="430"/>
      <c r="AJ30" s="430"/>
      <c r="AK30" s="430"/>
      <c r="AL30" s="430"/>
      <c r="AM30" s="430"/>
      <c r="AN30" s="430"/>
      <c r="AO30" s="430"/>
      <c r="AP30" s="430"/>
      <c r="AQ30" s="430"/>
      <c r="AR30" s="430"/>
      <c r="AS30" s="430"/>
      <c r="AT30" s="430"/>
      <c r="AU30" s="430"/>
    </row>
    <row r="31" spans="1:47" ht="18.75">
      <c r="A31" s="3200" t="s">
        <v>219</v>
      </c>
      <c r="B31" s="3188"/>
      <c r="C31" s="3188"/>
      <c r="D31" s="3188"/>
      <c r="E31" s="3188"/>
      <c r="F31" s="3188"/>
      <c r="G31" s="3188"/>
      <c r="H31" s="3188"/>
      <c r="I31" s="3188"/>
      <c r="J31" s="3188"/>
      <c r="K31" s="3193" t="s">
        <v>918</v>
      </c>
      <c r="L31" s="3194">
        <f>SUM('Произв. прогр. Вода (СВОД)'!H47)</f>
        <v>0</v>
      </c>
      <c r="M31" s="3194">
        <f>SUM('Произв. прогр. Вода (СВОД)'!L47)</f>
        <v>0</v>
      </c>
      <c r="N31" s="3194">
        <f t="shared" si="8"/>
        <v>0</v>
      </c>
      <c r="O31" s="3194">
        <f>SUM('Произв. прогр. Вода (СВОД)'!Q47)</f>
        <v>0</v>
      </c>
      <c r="P31" s="3194">
        <f t="shared" si="9"/>
        <v>0</v>
      </c>
      <c r="Q31" s="3194">
        <f>SUM('Произв. прогр. Вода (СВОД)'!V47)</f>
        <v>0</v>
      </c>
      <c r="R31" s="3197">
        <f t="shared" si="10"/>
        <v>0</v>
      </c>
      <c r="S31" s="430"/>
      <c r="T31" s="430"/>
      <c r="U31" s="430"/>
      <c r="V31" s="430"/>
      <c r="W31" s="430"/>
      <c r="X31" s="430"/>
      <c r="Y31" s="430"/>
      <c r="Z31" s="430"/>
      <c r="AA31" s="430"/>
      <c r="AB31" s="430"/>
      <c r="AC31" s="430"/>
      <c r="AD31" s="430"/>
      <c r="AE31" s="430"/>
      <c r="AF31" s="430"/>
      <c r="AG31" s="430"/>
      <c r="AH31" s="430"/>
      <c r="AI31" s="430"/>
      <c r="AJ31" s="430"/>
      <c r="AK31" s="430"/>
      <c r="AL31" s="430"/>
      <c r="AM31" s="430"/>
      <c r="AN31" s="430"/>
      <c r="AO31" s="430"/>
      <c r="AP31" s="430"/>
      <c r="AQ31" s="430"/>
      <c r="AR31" s="430"/>
      <c r="AS31" s="430"/>
      <c r="AT31" s="430"/>
      <c r="AU31" s="430"/>
    </row>
    <row r="32" spans="1:47" ht="18.75">
      <c r="A32" s="3200" t="s">
        <v>3</v>
      </c>
      <c r="B32" s="3188"/>
      <c r="C32" s="3188"/>
      <c r="D32" s="3188"/>
      <c r="E32" s="3188"/>
      <c r="F32" s="3188"/>
      <c r="G32" s="3188"/>
      <c r="H32" s="3188"/>
      <c r="I32" s="3188"/>
      <c r="J32" s="3188"/>
      <c r="K32" s="3193" t="s">
        <v>918</v>
      </c>
      <c r="L32" s="3194">
        <f>SUM('Произв. прогр. Вода (СВОД)'!H48)</f>
        <v>136.60663893422307</v>
      </c>
      <c r="M32" s="3194">
        <f>SUM('Произв. прогр. Вода (СВОД)'!L48)</f>
        <v>136.60663893422307</v>
      </c>
      <c r="N32" s="3194">
        <f t="shared" si="8"/>
        <v>273.21327786844614</v>
      </c>
      <c r="O32" s="3194">
        <f>SUM('Произв. прогр. Вода (СВОД)'!Q48)</f>
        <v>136.60663893422307</v>
      </c>
      <c r="P32" s="3194">
        <f t="shared" si="9"/>
        <v>409.81991680266924</v>
      </c>
      <c r="Q32" s="3194">
        <f>SUM('Произв. прогр. Вода (СВОД)'!V48)</f>
        <v>136.60663893422307</v>
      </c>
      <c r="R32" s="3197">
        <f t="shared" si="10"/>
        <v>546.42655573689228</v>
      </c>
      <c r="S32" s="430"/>
      <c r="T32" s="430"/>
      <c r="U32" s="430"/>
      <c r="V32" s="430"/>
      <c r="W32" s="430"/>
      <c r="X32" s="430"/>
      <c r="Y32" s="430"/>
      <c r="Z32" s="430"/>
      <c r="AA32" s="430"/>
      <c r="AB32" s="430"/>
      <c r="AC32" s="430"/>
      <c r="AD32" s="430"/>
      <c r="AE32" s="430"/>
      <c r="AF32" s="430"/>
      <c r="AG32" s="430"/>
      <c r="AH32" s="430"/>
      <c r="AI32" s="430"/>
      <c r="AJ32" s="430"/>
      <c r="AK32" s="430"/>
      <c r="AL32" s="430"/>
      <c r="AM32" s="430"/>
      <c r="AN32" s="430"/>
      <c r="AO32" s="430"/>
      <c r="AP32" s="430"/>
      <c r="AQ32" s="430"/>
      <c r="AR32" s="430"/>
      <c r="AS32" s="430"/>
      <c r="AT32" s="430"/>
      <c r="AU32" s="430"/>
    </row>
    <row r="33" spans="1:47" ht="18.75">
      <c r="A33" s="3200" t="s">
        <v>8</v>
      </c>
      <c r="B33" s="3188"/>
      <c r="C33" s="3188"/>
      <c r="D33" s="3188"/>
      <c r="E33" s="3188"/>
      <c r="F33" s="3188"/>
      <c r="G33" s="3188"/>
      <c r="H33" s="3188"/>
      <c r="I33" s="3188"/>
      <c r="J33" s="3188"/>
      <c r="K33" s="3193" t="s">
        <v>918</v>
      </c>
      <c r="L33" s="3194">
        <f>SUM('Произв. прогр. Вода (СВОД)'!H49)</f>
        <v>1906.4536600680776</v>
      </c>
      <c r="M33" s="3194">
        <f>SUM('Произв. прогр. Вода (СВОД)'!L49)</f>
        <v>1906.4536600680776</v>
      </c>
      <c r="N33" s="3194">
        <f t="shared" si="8"/>
        <v>3812.9073201361552</v>
      </c>
      <c r="O33" s="3194">
        <f>SUM('Произв. прогр. Вода (СВОД)'!Q49)</f>
        <v>1906.4536600680776</v>
      </c>
      <c r="P33" s="3194">
        <f t="shared" si="9"/>
        <v>5719.3609802042329</v>
      </c>
      <c r="Q33" s="3194">
        <f>SUM('Произв. прогр. Вода (СВОД)'!V49)</f>
        <v>1906.4536600680776</v>
      </c>
      <c r="R33" s="3197">
        <f t="shared" si="10"/>
        <v>7625.8146402723105</v>
      </c>
      <c r="S33" s="430"/>
      <c r="T33" s="430"/>
      <c r="U33" s="430"/>
      <c r="V33" s="430"/>
      <c r="W33" s="430"/>
      <c r="X33" s="430"/>
      <c r="Y33" s="430"/>
      <c r="Z33" s="430"/>
      <c r="AA33" s="430"/>
      <c r="AB33" s="430"/>
      <c r="AC33" s="430"/>
      <c r="AD33" s="430"/>
      <c r="AE33" s="430"/>
      <c r="AF33" s="430"/>
      <c r="AG33" s="430"/>
      <c r="AH33" s="430"/>
      <c r="AI33" s="430"/>
      <c r="AJ33" s="430"/>
      <c r="AK33" s="430"/>
      <c r="AL33" s="430"/>
      <c r="AM33" s="430"/>
      <c r="AN33" s="430"/>
      <c r="AO33" s="430"/>
      <c r="AP33" s="430"/>
      <c r="AQ33" s="430"/>
      <c r="AR33" s="430"/>
      <c r="AS33" s="430"/>
      <c r="AT33" s="430"/>
      <c r="AU33" s="430"/>
    </row>
    <row r="34" spans="1:47" ht="18.75">
      <c r="A34" s="3200" t="s">
        <v>4</v>
      </c>
      <c r="B34" s="3188"/>
      <c r="C34" s="3188"/>
      <c r="D34" s="3188"/>
      <c r="E34" s="3188"/>
      <c r="F34" s="3188"/>
      <c r="G34" s="3188"/>
      <c r="H34" s="3188"/>
      <c r="I34" s="3188"/>
      <c r="J34" s="3188"/>
      <c r="K34" s="3193" t="s">
        <v>918</v>
      </c>
      <c r="L34" s="3194">
        <f>SUM('Произв. прогр. Вода (СВОД)'!H50)</f>
        <v>12699.849104344863</v>
      </c>
      <c r="M34" s="3194">
        <f>SUM('Произв. прогр. Вода (СВОД)'!L50)</f>
        <v>12699.849104344863</v>
      </c>
      <c r="N34" s="3194">
        <f t="shared" si="8"/>
        <v>25399.698208689726</v>
      </c>
      <c r="O34" s="3194">
        <f>SUM('Произв. прогр. Вода (СВОД)'!Q50)</f>
        <v>13207.843068518658</v>
      </c>
      <c r="P34" s="3194">
        <f t="shared" si="9"/>
        <v>38607.54127720838</v>
      </c>
      <c r="Q34" s="3194">
        <f>SUM('Произв. прогр. Вода (СВОД)'!V50)</f>
        <v>13207.843068518658</v>
      </c>
      <c r="R34" s="3197">
        <f t="shared" si="10"/>
        <v>51815.384345727041</v>
      </c>
      <c r="S34" s="430"/>
      <c r="T34" s="430"/>
      <c r="U34" s="430"/>
      <c r="V34" s="430"/>
      <c r="W34" s="430"/>
      <c r="X34" s="430"/>
      <c r="Y34" s="430"/>
      <c r="Z34" s="430"/>
      <c r="AA34" s="430"/>
      <c r="AB34" s="430"/>
      <c r="AC34" s="430"/>
      <c r="AD34" s="430"/>
      <c r="AE34" s="430"/>
      <c r="AF34" s="430"/>
      <c r="AG34" s="430"/>
      <c r="AH34" s="430"/>
      <c r="AI34" s="430"/>
      <c r="AJ34" s="430"/>
      <c r="AK34" s="430"/>
      <c r="AL34" s="430"/>
      <c r="AM34" s="430"/>
      <c r="AN34" s="430"/>
      <c r="AO34" s="430"/>
      <c r="AP34" s="430"/>
      <c r="AQ34" s="430"/>
      <c r="AR34" s="430"/>
      <c r="AS34" s="430"/>
      <c r="AT34" s="430"/>
      <c r="AU34" s="430"/>
    </row>
    <row r="35" spans="1:47" ht="18.75">
      <c r="A35" s="3200" t="s">
        <v>5</v>
      </c>
      <c r="B35" s="3188"/>
      <c r="C35" s="3188"/>
      <c r="D35" s="3188"/>
      <c r="E35" s="3188"/>
      <c r="F35" s="3188"/>
      <c r="G35" s="3188"/>
      <c r="H35" s="3188"/>
      <c r="I35" s="3188"/>
      <c r="J35" s="3188"/>
      <c r="K35" s="3193" t="s">
        <v>918</v>
      </c>
      <c r="L35" s="3194">
        <f>SUM('Произв. прогр. Вода (СВОД)'!H51)</f>
        <v>3803.8145495885601</v>
      </c>
      <c r="M35" s="3194">
        <f>SUM('Произв. прогр. Вода (СВОД)'!L51)</f>
        <v>3803.8145495885601</v>
      </c>
      <c r="N35" s="3194">
        <f t="shared" si="8"/>
        <v>7607.6290991771202</v>
      </c>
      <c r="O35" s="3194">
        <f>SUM('Произв. прогр. Вода (СВОД)'!Q51)</f>
        <v>3955.9671315721034</v>
      </c>
      <c r="P35" s="3194">
        <f t="shared" si="9"/>
        <v>11563.596230749223</v>
      </c>
      <c r="Q35" s="3194">
        <f>SUM('Произв. прогр. Вода (СВОД)'!V51)</f>
        <v>3955.9671315721034</v>
      </c>
      <c r="R35" s="3197">
        <f t="shared" si="10"/>
        <v>15519.563362321325</v>
      </c>
      <c r="S35" s="430"/>
      <c r="T35" s="430"/>
      <c r="U35" s="430"/>
      <c r="V35" s="430"/>
      <c r="W35" s="430"/>
      <c r="X35" s="430"/>
      <c r="Y35" s="430"/>
      <c r="Z35" s="430"/>
      <c r="AA35" s="430"/>
      <c r="AB35" s="430"/>
      <c r="AC35" s="430"/>
      <c r="AD35" s="430"/>
      <c r="AE35" s="430"/>
      <c r="AF35" s="430"/>
      <c r="AG35" s="430"/>
      <c r="AH35" s="430"/>
      <c r="AI35" s="430"/>
      <c r="AJ35" s="430"/>
      <c r="AK35" s="430"/>
      <c r="AL35" s="430"/>
      <c r="AM35" s="430"/>
      <c r="AN35" s="430"/>
      <c r="AO35" s="430"/>
      <c r="AP35" s="430"/>
      <c r="AQ35" s="430"/>
      <c r="AR35" s="430"/>
      <c r="AS35" s="430"/>
      <c r="AT35" s="430"/>
      <c r="AU35" s="430"/>
    </row>
    <row r="36" spans="1:47" ht="18.75">
      <c r="A36" s="3201" t="s">
        <v>321</v>
      </c>
      <c r="B36" s="3188"/>
      <c r="C36" s="3188"/>
      <c r="D36" s="3188"/>
      <c r="E36" s="3188"/>
      <c r="F36" s="3188"/>
      <c r="G36" s="3188"/>
      <c r="H36" s="3188"/>
      <c r="I36" s="3188"/>
      <c r="J36" s="3188"/>
      <c r="K36" s="3202" t="s">
        <v>44</v>
      </c>
      <c r="L36" s="3256">
        <f>SUM('Произв. прогр. Вода (СВОД)'!H52)</f>
        <v>0.29951651538026558</v>
      </c>
      <c r="M36" s="3256">
        <f>SUM('Произв. прогр. Вода (СВОД)'!L52)</f>
        <v>0.29951651538026558</v>
      </c>
      <c r="N36" s="3256">
        <f>SUM(N35/N34)</f>
        <v>0.29951651538026558</v>
      </c>
      <c r="O36" s="3256">
        <f>SUM('Произв. прогр. Вода (СВОД)'!Q52)</f>
        <v>0.29951651538026564</v>
      </c>
      <c r="P36" s="3256">
        <f>SUM(P35/P34)</f>
        <v>0.29951651538026558</v>
      </c>
      <c r="Q36" s="3256">
        <f>SUM('Произв. прогр. Вода (СВОД)'!V52)</f>
        <v>0.29951651538026564</v>
      </c>
      <c r="R36" s="3257">
        <f>SUM(R35/R34)</f>
        <v>0.29951651538026558</v>
      </c>
      <c r="S36" s="430"/>
      <c r="T36" s="430"/>
      <c r="U36" s="430"/>
      <c r="V36" s="430"/>
      <c r="W36" s="430"/>
      <c r="X36" s="430"/>
      <c r="Y36" s="430"/>
      <c r="Z36" s="430"/>
      <c r="AA36" s="430"/>
      <c r="AB36" s="430"/>
      <c r="AC36" s="430"/>
      <c r="AD36" s="430"/>
      <c r="AE36" s="430"/>
      <c r="AF36" s="430"/>
      <c r="AG36" s="430"/>
      <c r="AH36" s="430"/>
      <c r="AI36" s="430"/>
      <c r="AJ36" s="430"/>
      <c r="AK36" s="430"/>
      <c r="AL36" s="430"/>
      <c r="AM36" s="430"/>
      <c r="AN36" s="430"/>
      <c r="AO36" s="430"/>
      <c r="AP36" s="430"/>
      <c r="AQ36" s="430"/>
      <c r="AR36" s="430"/>
      <c r="AS36" s="430"/>
      <c r="AT36" s="430"/>
      <c r="AU36" s="430"/>
    </row>
    <row r="37" spans="1:47" ht="18.75">
      <c r="A37" s="3200" t="s">
        <v>1745</v>
      </c>
      <c r="B37" s="3188"/>
      <c r="C37" s="3188"/>
      <c r="D37" s="3188"/>
      <c r="E37" s="3188"/>
      <c r="F37" s="3188"/>
      <c r="G37" s="3188"/>
      <c r="H37" s="3188"/>
      <c r="I37" s="3188"/>
      <c r="J37" s="3188"/>
      <c r="K37" s="3193" t="s">
        <v>918</v>
      </c>
      <c r="L37" s="3194">
        <f>SUM('Произв. прогр. Вода (СВОД)'!H53)</f>
        <v>5997.4622303249726</v>
      </c>
      <c r="M37" s="3194">
        <f>SUM('Произв. прогр. Вода (СВОД)'!L53)</f>
        <v>4435.350911287881</v>
      </c>
      <c r="N37" s="3194">
        <f t="shared" si="8"/>
        <v>10432.813141612853</v>
      </c>
      <c r="O37" s="3194">
        <f>SUM('Произв. прогр. Вода (СВОД)'!Q53)</f>
        <v>4151.2695465099532</v>
      </c>
      <c r="P37" s="3194">
        <f t="shared" si="9"/>
        <v>14584.082688122806</v>
      </c>
      <c r="Q37" s="3194">
        <f>SUM('Произв. прогр. Вода (СВОД)'!V53)</f>
        <v>5823.7904167488741</v>
      </c>
      <c r="R37" s="3197">
        <f t="shared" si="10"/>
        <v>20407.87310487168</v>
      </c>
      <c r="S37" s="430"/>
      <c r="T37" s="430"/>
      <c r="U37" s="430"/>
      <c r="V37" s="430"/>
      <c r="W37" s="430"/>
      <c r="X37" s="430"/>
      <c r="Y37" s="430"/>
      <c r="Z37" s="430"/>
      <c r="AA37" s="430"/>
      <c r="AB37" s="430"/>
      <c r="AC37" s="430"/>
      <c r="AD37" s="430"/>
      <c r="AE37" s="430"/>
      <c r="AF37" s="430"/>
      <c r="AG37" s="430"/>
      <c r="AH37" s="430"/>
      <c r="AI37" s="430"/>
      <c r="AJ37" s="430"/>
      <c r="AK37" s="430"/>
      <c r="AL37" s="430"/>
      <c r="AM37" s="430"/>
      <c r="AN37" s="430"/>
      <c r="AO37" s="430"/>
      <c r="AP37" s="430"/>
      <c r="AQ37" s="430"/>
      <c r="AR37" s="430"/>
      <c r="AS37" s="430"/>
      <c r="AT37" s="430"/>
      <c r="AU37" s="430"/>
    </row>
    <row r="38" spans="1:47" ht="18.75">
      <c r="A38" s="3201" t="s">
        <v>1746</v>
      </c>
      <c r="B38" s="3188"/>
      <c r="C38" s="3188"/>
      <c r="D38" s="3188"/>
      <c r="E38" s="3188"/>
      <c r="F38" s="3188"/>
      <c r="G38" s="3188"/>
      <c r="H38" s="3188"/>
      <c r="I38" s="3188"/>
      <c r="J38" s="3188"/>
      <c r="K38" s="3193" t="s">
        <v>918</v>
      </c>
      <c r="L38" s="3198">
        <f>SUM('Произв. прогр. Вода (СВОД)'!H54)</f>
        <v>1492.8161169313494</v>
      </c>
      <c r="M38" s="3198">
        <f>SUM('Произв. прогр. Вода (СВОД)'!L54)</f>
        <v>1492.8161169313494</v>
      </c>
      <c r="N38" s="3198">
        <f t="shared" si="8"/>
        <v>2985.6322338626987</v>
      </c>
      <c r="O38" s="3198">
        <f>SUM('Произв. прогр. Вода (СВОД)'!Q54)</f>
        <v>1552.5287616086036</v>
      </c>
      <c r="P38" s="3198">
        <f t="shared" si="9"/>
        <v>4538.1609954713022</v>
      </c>
      <c r="Q38" s="3198">
        <f>SUM('Произв. прогр. Вода (СВОД)'!V54)</f>
        <v>1552.5287616086036</v>
      </c>
      <c r="R38" s="3199">
        <f t="shared" si="10"/>
        <v>6090.6897570799056</v>
      </c>
    </row>
    <row r="39" spans="1:47" ht="18.75">
      <c r="A39" s="3201" t="s">
        <v>1747</v>
      </c>
      <c r="B39" s="3188"/>
      <c r="C39" s="3188"/>
      <c r="D39" s="3188"/>
      <c r="E39" s="3188"/>
      <c r="F39" s="3188"/>
      <c r="G39" s="3188"/>
      <c r="H39" s="3188"/>
      <c r="I39" s="3188"/>
      <c r="J39" s="3188"/>
      <c r="K39" s="3193" t="s">
        <v>918</v>
      </c>
      <c r="L39" s="3198">
        <f>SUM('Произв. прогр. Вода (СВОД)'!H55)</f>
        <v>922.91689835928776</v>
      </c>
      <c r="M39" s="3198">
        <f>SUM('Произв. прогр. Вода (СВОД)'!L55)</f>
        <v>922.91689835928776</v>
      </c>
      <c r="N39" s="3198">
        <f t="shared" si="8"/>
        <v>1845.8337967185755</v>
      </c>
      <c r="O39" s="3198">
        <f>SUM('Произв. прогр. Вода (СВОД)'!Q55)</f>
        <v>959.83357429365947</v>
      </c>
      <c r="P39" s="3198">
        <f t="shared" si="9"/>
        <v>2805.667371012235</v>
      </c>
      <c r="Q39" s="3198">
        <f>SUM('Произв. прогр. Вода (СВОД)'!V55)</f>
        <v>959.83357429365947</v>
      </c>
      <c r="R39" s="3199">
        <f t="shared" si="10"/>
        <v>3765.5009453058947</v>
      </c>
    </row>
    <row r="40" spans="1:47" ht="18.75">
      <c r="A40" s="3201" t="s">
        <v>300</v>
      </c>
      <c r="B40" s="3188"/>
      <c r="C40" s="3188"/>
      <c r="D40" s="3188"/>
      <c r="E40" s="3188"/>
      <c r="F40" s="3188"/>
      <c r="G40" s="3188"/>
      <c r="H40" s="3188"/>
      <c r="I40" s="3188"/>
      <c r="J40" s="3188"/>
      <c r="K40" s="3193" t="s">
        <v>918</v>
      </c>
      <c r="L40" s="3198">
        <f>SUM('Произв. прогр. Вода (СВОД)'!H56)</f>
        <v>3581.7292150343351</v>
      </c>
      <c r="M40" s="3198">
        <f>SUM('Произв. прогр. Вода (СВОД)'!L56)</f>
        <v>2019.617895997244</v>
      </c>
      <c r="N40" s="3198">
        <f t="shared" si="8"/>
        <v>5601.3471110315786</v>
      </c>
      <c r="O40" s="3198">
        <f>SUM('Произв. прогр. Вода (СВОД)'!Q56)</f>
        <v>1638.9072106076903</v>
      </c>
      <c r="P40" s="3198">
        <f t="shared" si="9"/>
        <v>7240.2543216392687</v>
      </c>
      <c r="Q40" s="3198">
        <f>SUM('Произв. прогр. Вода (СВОД)'!V56)</f>
        <v>3311.428080846611</v>
      </c>
      <c r="R40" s="3199">
        <f t="shared" si="10"/>
        <v>10551.68240248588</v>
      </c>
    </row>
    <row r="41" spans="1:47" ht="18.75">
      <c r="A41" s="3200" t="s">
        <v>1724</v>
      </c>
      <c r="B41" s="3204"/>
      <c r="C41" s="3204"/>
      <c r="D41" s="3204"/>
      <c r="E41" s="3204"/>
      <c r="F41" s="3204"/>
      <c r="G41" s="3204"/>
      <c r="H41" s="3204"/>
      <c r="I41" s="3204"/>
      <c r="J41" s="3204"/>
      <c r="K41" s="3193" t="s">
        <v>918</v>
      </c>
      <c r="L41" s="3194">
        <f>SUM('Произв. прогр. Вода (СВОД)'!H57)</f>
        <v>880.95560302602939</v>
      </c>
      <c r="M41" s="3194">
        <f>SUM('Произв. прогр. Вода (СВОД)'!L57)</f>
        <v>880.95560302602939</v>
      </c>
      <c r="N41" s="3194">
        <f t="shared" si="8"/>
        <v>1761.9112060520588</v>
      </c>
      <c r="O41" s="3194">
        <f>SUM('Произв. прогр. Вода (СВОД)'!Q57)</f>
        <v>880.95560302602939</v>
      </c>
      <c r="P41" s="3194">
        <f t="shared" si="9"/>
        <v>2642.8668090780884</v>
      </c>
      <c r="Q41" s="3194">
        <f>SUM('Произв. прогр. Вода (СВОД)'!V57)</f>
        <v>880.95560302602939</v>
      </c>
      <c r="R41" s="3197">
        <f t="shared" si="10"/>
        <v>3523.8224121041176</v>
      </c>
    </row>
    <row r="42" spans="1:47" ht="18.75">
      <c r="A42" s="3201" t="s">
        <v>1725</v>
      </c>
      <c r="B42" s="3204"/>
      <c r="C42" s="3204"/>
      <c r="D42" s="3204"/>
      <c r="E42" s="3204"/>
      <c r="F42" s="3204"/>
      <c r="G42" s="3204"/>
      <c r="H42" s="3204"/>
      <c r="I42" s="3204"/>
      <c r="J42" s="3204"/>
      <c r="K42" s="3193" t="s">
        <v>918</v>
      </c>
      <c r="L42" s="3198">
        <f>SUM('Произв. прогр. Вода (СВОД)'!H58)</f>
        <v>359.10560302602937</v>
      </c>
      <c r="M42" s="3198">
        <f>SUM('Произв. прогр. Вода (СВОД)'!L58)</f>
        <v>359.10560302602937</v>
      </c>
      <c r="N42" s="3198">
        <f t="shared" si="8"/>
        <v>718.21120605205874</v>
      </c>
      <c r="O42" s="3198">
        <f>SUM('Произв. прогр. Вода (СВОД)'!Q58)</f>
        <v>359.10560302602937</v>
      </c>
      <c r="P42" s="3198">
        <f t="shared" si="9"/>
        <v>1077.3168090780882</v>
      </c>
      <c r="Q42" s="3198">
        <f>SUM('Произв. прогр. Вода (СВОД)'!V58)</f>
        <v>359.10560302602937</v>
      </c>
      <c r="R42" s="3199">
        <f t="shared" si="10"/>
        <v>1436.4224121041175</v>
      </c>
    </row>
    <row r="43" spans="1:47" ht="18.75">
      <c r="A43" s="3201" t="s">
        <v>542</v>
      </c>
      <c r="B43" s="3204"/>
      <c r="C43" s="3204"/>
      <c r="D43" s="3204"/>
      <c r="E43" s="3204"/>
      <c r="F43" s="3204"/>
      <c r="G43" s="3204"/>
      <c r="H43" s="3204"/>
      <c r="I43" s="3204"/>
      <c r="J43" s="3204"/>
      <c r="K43" s="3193" t="s">
        <v>918</v>
      </c>
      <c r="L43" s="3198">
        <f>SUM('Произв. прогр. Вода (СВОД)'!H59)</f>
        <v>22.79</v>
      </c>
      <c r="M43" s="3198">
        <f>SUM('Произв. прогр. Вода (СВОД)'!L59)</f>
        <v>22.79</v>
      </c>
      <c r="N43" s="3198">
        <f t="shared" si="8"/>
        <v>45.58</v>
      </c>
      <c r="O43" s="3198">
        <f>SUM('Произв. прогр. Вода (СВОД)'!Q59)</f>
        <v>22.79</v>
      </c>
      <c r="P43" s="3198">
        <f t="shared" si="9"/>
        <v>68.37</v>
      </c>
      <c r="Q43" s="3198">
        <f>SUM('Произв. прогр. Вода (СВОД)'!V59)</f>
        <v>22.79</v>
      </c>
      <c r="R43" s="3199">
        <f t="shared" si="10"/>
        <v>91.16</v>
      </c>
    </row>
    <row r="44" spans="1:47" ht="18.75">
      <c r="A44" s="3201" t="s">
        <v>543</v>
      </c>
      <c r="B44" s="3204"/>
      <c r="C44" s="3204"/>
      <c r="D44" s="3204"/>
      <c r="E44" s="3204"/>
      <c r="F44" s="3204"/>
      <c r="G44" s="3204"/>
      <c r="H44" s="3204"/>
      <c r="I44" s="3204"/>
      <c r="J44" s="3204"/>
      <c r="K44" s="3193" t="s">
        <v>918</v>
      </c>
      <c r="L44" s="3198">
        <f>SUM('Произв. прогр. Вода (СВОД)'!H60)</f>
        <v>0</v>
      </c>
      <c r="M44" s="3198">
        <f>SUM('Произв. прогр. Вода (СВОД)'!L60)</f>
        <v>0</v>
      </c>
      <c r="N44" s="3198">
        <f t="shared" si="8"/>
        <v>0</v>
      </c>
      <c r="O44" s="3198">
        <f>SUM('Произв. прогр. Вода (СВОД)'!Q60)</f>
        <v>0</v>
      </c>
      <c r="P44" s="3198">
        <f t="shared" si="9"/>
        <v>0</v>
      </c>
      <c r="Q44" s="3198">
        <f>SUM('Произв. прогр. Вода (СВОД)'!V60)</f>
        <v>0</v>
      </c>
      <c r="R44" s="3199">
        <f t="shared" si="10"/>
        <v>0</v>
      </c>
    </row>
    <row r="45" spans="1:47" ht="18.75">
      <c r="A45" s="3201" t="s">
        <v>544</v>
      </c>
      <c r="B45" s="3204"/>
      <c r="C45" s="3204"/>
      <c r="D45" s="3204"/>
      <c r="E45" s="3204"/>
      <c r="F45" s="3204"/>
      <c r="G45" s="3204"/>
      <c r="H45" s="3204"/>
      <c r="I45" s="3204"/>
      <c r="J45" s="3204"/>
      <c r="K45" s="3193" t="s">
        <v>918</v>
      </c>
      <c r="L45" s="3198">
        <f>SUM('Произв. прогр. Вода (СВОД)'!H61)</f>
        <v>499.05999999999995</v>
      </c>
      <c r="M45" s="3198">
        <f>SUM('Произв. прогр. Вода (СВОД)'!L61)</f>
        <v>499.05999999999995</v>
      </c>
      <c r="N45" s="3198">
        <f t="shared" si="8"/>
        <v>998.11999999999989</v>
      </c>
      <c r="O45" s="3198">
        <f>SUM('Произв. прогр. Вода (СВОД)'!Q61)</f>
        <v>499.05999999999995</v>
      </c>
      <c r="P45" s="3198">
        <f t="shared" si="9"/>
        <v>1497.1799999999998</v>
      </c>
      <c r="Q45" s="3198">
        <f>SUM('Произв. прогр. Вода (СВОД)'!V61)</f>
        <v>499.05999999999995</v>
      </c>
      <c r="R45" s="3199">
        <f t="shared" si="10"/>
        <v>1996.2399999999998</v>
      </c>
    </row>
    <row r="46" spans="1:47" ht="18.75">
      <c r="A46" s="3200" t="s">
        <v>1748</v>
      </c>
      <c r="B46" s="3204"/>
      <c r="C46" s="3204"/>
      <c r="D46" s="3204"/>
      <c r="E46" s="3204"/>
      <c r="F46" s="3204"/>
      <c r="G46" s="3204"/>
      <c r="H46" s="3204"/>
      <c r="I46" s="3204"/>
      <c r="J46" s="3204"/>
      <c r="K46" s="3193" t="s">
        <v>918</v>
      </c>
      <c r="L46" s="3194">
        <f>SUM('Произв. прогр. Вода (СВОД)'!H62)</f>
        <v>2637.7937418640818</v>
      </c>
      <c r="M46" s="3194">
        <f>SUM('Произв. прогр. Вода (СВОД)'!L62)</f>
        <v>2637.7937418640818</v>
      </c>
      <c r="N46" s="3194">
        <f t="shared" si="8"/>
        <v>5275.5874837281635</v>
      </c>
      <c r="O46" s="3194">
        <f>SUM('Произв. прогр. Вода (СВОД)'!Q62)</f>
        <v>2734.441118221685</v>
      </c>
      <c r="P46" s="3194">
        <f t="shared" si="9"/>
        <v>8010.028601949849</v>
      </c>
      <c r="Q46" s="3194">
        <f>SUM('Произв. прогр. Вода (СВОД)'!V62)</f>
        <v>2734.441118221685</v>
      </c>
      <c r="R46" s="3197">
        <f t="shared" si="10"/>
        <v>10744.469720171533</v>
      </c>
    </row>
    <row r="47" spans="1:47" ht="18.75" customHeight="1">
      <c r="A47" s="3205" t="s">
        <v>1727</v>
      </c>
      <c r="B47" s="3204"/>
      <c r="C47" s="3204"/>
      <c r="D47" s="3204"/>
      <c r="E47" s="3204"/>
      <c r="F47" s="3204"/>
      <c r="G47" s="3204"/>
      <c r="H47" s="3204"/>
      <c r="I47" s="3204"/>
      <c r="J47" s="3204"/>
      <c r="K47" s="3193" t="s">
        <v>918</v>
      </c>
      <c r="L47" s="3198">
        <f>SUM('Произв. прогр. Вода (СВОД)'!H63)</f>
        <v>1855.7483939631879</v>
      </c>
      <c r="M47" s="3198">
        <f>SUM('Произв. прогр. Вода (СВОД)'!L63)</f>
        <v>1855.7483939631879</v>
      </c>
      <c r="N47" s="3198">
        <f t="shared" si="8"/>
        <v>3711.4967879263759</v>
      </c>
      <c r="O47" s="3198">
        <f>SUM('Произв. прогр. Вода (СВОД)'!Q63)</f>
        <v>1929.9783297217159</v>
      </c>
      <c r="P47" s="3198">
        <f t="shared" si="9"/>
        <v>5641.4751176480913</v>
      </c>
      <c r="Q47" s="3198">
        <f>SUM('Произв. прогр. Вода (СВОД)'!V63)</f>
        <v>1929.9783297217159</v>
      </c>
      <c r="R47" s="3199">
        <f t="shared" si="10"/>
        <v>7571.4534473698077</v>
      </c>
    </row>
    <row r="48" spans="1:47" ht="18.75">
      <c r="A48" s="3205" t="s">
        <v>1728</v>
      </c>
      <c r="B48" s="3204"/>
      <c r="C48" s="3204"/>
      <c r="D48" s="3204"/>
      <c r="E48" s="3204"/>
      <c r="F48" s="3204"/>
      <c r="G48" s="3204"/>
      <c r="H48" s="3204"/>
      <c r="I48" s="3204"/>
      <c r="J48" s="3204"/>
      <c r="K48" s="3193" t="s">
        <v>918</v>
      </c>
      <c r="L48" s="3198">
        <f>SUM('Произв. прогр. Вода (СВОД)'!H64)</f>
        <v>560.4360149768828</v>
      </c>
      <c r="M48" s="3198">
        <f>SUM('Произв. прогр. Вода (СВОД)'!L64)</f>
        <v>560.4360149768828</v>
      </c>
      <c r="N48" s="3198">
        <f t="shared" si="8"/>
        <v>1120.8720299537656</v>
      </c>
      <c r="O48" s="3198">
        <f>SUM('Произв. прогр. Вода (СВОД)'!Q64)</f>
        <v>582.85345557595804</v>
      </c>
      <c r="P48" s="3198">
        <f t="shared" si="9"/>
        <v>1703.7254855297238</v>
      </c>
      <c r="Q48" s="3198">
        <f>SUM('Произв. прогр. Вода (СВОД)'!V64)</f>
        <v>582.85345557595804</v>
      </c>
      <c r="R48" s="3199">
        <f t="shared" si="10"/>
        <v>2286.5789411056817</v>
      </c>
    </row>
    <row r="49" spans="1:18" ht="18.75">
      <c r="A49" s="3201" t="s">
        <v>1729</v>
      </c>
      <c r="B49" s="3204"/>
      <c r="C49" s="3204"/>
      <c r="D49" s="3204"/>
      <c r="E49" s="3204"/>
      <c r="F49" s="3204"/>
      <c r="G49" s="3204"/>
      <c r="H49" s="3204"/>
      <c r="I49" s="3204"/>
      <c r="J49" s="3204"/>
      <c r="K49" s="3193" t="s">
        <v>918</v>
      </c>
      <c r="L49" s="3198">
        <f>SUM('Произв. прогр. Вода (СВОД)'!H65)</f>
        <v>221.60933292401103</v>
      </c>
      <c r="M49" s="3198">
        <f>SUM('Произв. прогр. Вода (СВОД)'!L65)</f>
        <v>221.60933292401103</v>
      </c>
      <c r="N49" s="3198">
        <f t="shared" si="8"/>
        <v>443.21866584802206</v>
      </c>
      <c r="O49" s="3198">
        <f>SUM('Произв. прогр. Вода (СВОД)'!Q65)</f>
        <v>221.60933292401103</v>
      </c>
      <c r="P49" s="3198">
        <f t="shared" si="9"/>
        <v>664.82799877203308</v>
      </c>
      <c r="Q49" s="3198">
        <f>SUM('Произв. прогр. Вода (СВОД)'!V65)</f>
        <v>221.60933292401103</v>
      </c>
      <c r="R49" s="3199">
        <f t="shared" si="10"/>
        <v>886.43733169604411</v>
      </c>
    </row>
    <row r="50" spans="1:18" ht="18.75">
      <c r="A50" s="3192" t="s">
        <v>1730</v>
      </c>
      <c r="B50" s="3204"/>
      <c r="C50" s="3204"/>
      <c r="D50" s="3204"/>
      <c r="E50" s="3204"/>
      <c r="F50" s="3204"/>
      <c r="G50" s="3204"/>
      <c r="H50" s="3204"/>
      <c r="I50" s="3204"/>
      <c r="J50" s="3204"/>
      <c r="K50" s="3193" t="s">
        <v>918</v>
      </c>
      <c r="L50" s="3194">
        <f>SUM('Произв. прогр. Вода (СВОД)'!H66)</f>
        <v>0</v>
      </c>
      <c r="M50" s="3194">
        <f>SUM('Произв. прогр. Вода (СВОД)'!L66)</f>
        <v>0</v>
      </c>
      <c r="N50" s="3194">
        <f t="shared" si="8"/>
        <v>0</v>
      </c>
      <c r="O50" s="3194">
        <f>SUM('Произв. прогр. Вода (СВОД)'!Q66)</f>
        <v>0</v>
      </c>
      <c r="P50" s="3194">
        <f t="shared" si="9"/>
        <v>0</v>
      </c>
      <c r="Q50" s="3194">
        <f>SUM('Произв. прогр. Вода (СВОД)'!V66)</f>
        <v>0</v>
      </c>
      <c r="R50" s="3197">
        <f t="shared" si="10"/>
        <v>0</v>
      </c>
    </row>
    <row r="51" spans="1:18" ht="18.75" hidden="1" customHeight="1">
      <c r="A51" s="3195" t="s">
        <v>286</v>
      </c>
      <c r="B51" s="3204"/>
      <c r="C51" s="3204"/>
      <c r="D51" s="3204"/>
      <c r="E51" s="3204"/>
      <c r="F51" s="3204"/>
      <c r="G51" s="3204"/>
      <c r="H51" s="3204"/>
      <c r="I51" s="3204"/>
      <c r="J51" s="3204"/>
      <c r="K51" s="3193" t="s">
        <v>918</v>
      </c>
      <c r="L51" s="3198">
        <f>SUM('Произв. прогр. Вода (СВОД)'!H67)</f>
        <v>0</v>
      </c>
      <c r="M51" s="3198">
        <f>SUM('Произв. прогр. Вода (СВОД)'!L67)</f>
        <v>0</v>
      </c>
      <c r="N51" s="3198">
        <f t="shared" ref="N51:N53" si="11">SUM(L51+M51)</f>
        <v>0</v>
      </c>
      <c r="O51" s="3198">
        <f>SUM('Произв. прогр. Вода (СВОД)'!Q67)</f>
        <v>0</v>
      </c>
      <c r="P51" s="3198">
        <f t="shared" ref="P51:P53" si="12">SUM(N51+O51)</f>
        <v>0</v>
      </c>
      <c r="Q51" s="3198">
        <f>SUM('Произв. прогр. Вода (СВОД)'!V67)</f>
        <v>0</v>
      </c>
      <c r="R51" s="3199">
        <f t="shared" ref="R51:R53" si="13">SUM(P51+Q51)</f>
        <v>0</v>
      </c>
    </row>
    <row r="52" spans="1:18" ht="18.75" hidden="1" customHeight="1">
      <c r="A52" s="3195" t="s">
        <v>289</v>
      </c>
      <c r="B52" s="3204"/>
      <c r="C52" s="3204"/>
      <c r="D52" s="3204"/>
      <c r="E52" s="3204"/>
      <c r="F52" s="3204"/>
      <c r="G52" s="3204"/>
      <c r="H52" s="3204"/>
      <c r="I52" s="3204"/>
      <c r="J52" s="3204"/>
      <c r="K52" s="3193" t="s">
        <v>918</v>
      </c>
      <c r="L52" s="3198">
        <f>SUM('Произв. прогр. Вода (СВОД)'!H68)</f>
        <v>0</v>
      </c>
      <c r="M52" s="3198">
        <f>SUM('Произв. прогр. Вода (СВОД)'!L68)</f>
        <v>0</v>
      </c>
      <c r="N52" s="3198">
        <f t="shared" si="11"/>
        <v>0</v>
      </c>
      <c r="O52" s="3198">
        <f>SUM('Произв. прогр. Вода (СВОД)'!Q68)</f>
        <v>0</v>
      </c>
      <c r="P52" s="3198">
        <f t="shared" si="12"/>
        <v>0</v>
      </c>
      <c r="Q52" s="3198">
        <f>SUM('Произв. прогр. Вода (СВОД)'!V68)</f>
        <v>0</v>
      </c>
      <c r="R52" s="3199">
        <f t="shared" si="13"/>
        <v>0</v>
      </c>
    </row>
    <row r="53" spans="1:18" ht="18" hidden="1" customHeight="1">
      <c r="A53" s="3195" t="s">
        <v>1725</v>
      </c>
      <c r="B53" s="3204"/>
      <c r="C53" s="3204"/>
      <c r="D53" s="3204"/>
      <c r="E53" s="3204"/>
      <c r="F53" s="3204"/>
      <c r="G53" s="3204"/>
      <c r="H53" s="3204"/>
      <c r="I53" s="3204"/>
      <c r="J53" s="3204"/>
      <c r="K53" s="3193" t="s">
        <v>918</v>
      </c>
      <c r="L53" s="3198">
        <f>SUM('Произв. прогр. Вода (СВОД)'!H69)</f>
        <v>0</v>
      </c>
      <c r="M53" s="3198">
        <f>SUM('Произв. прогр. Вода (СВОД)'!L69)</f>
        <v>0</v>
      </c>
      <c r="N53" s="3198">
        <f t="shared" si="11"/>
        <v>0</v>
      </c>
      <c r="O53" s="3198">
        <f>SUM('Произв. прогр. Вода (СВОД)'!Q69)</f>
        <v>0</v>
      </c>
      <c r="P53" s="3198">
        <f t="shared" si="12"/>
        <v>0</v>
      </c>
      <c r="Q53" s="3198">
        <f>SUM('Произв. прогр. Вода (СВОД)'!V69)</f>
        <v>0</v>
      </c>
      <c r="R53" s="3199">
        <f t="shared" si="13"/>
        <v>0</v>
      </c>
    </row>
    <row r="54" spans="1:18" ht="18.75">
      <c r="A54" s="3192" t="s">
        <v>1731</v>
      </c>
      <c r="B54" s="3204"/>
      <c r="C54" s="3204"/>
      <c r="D54" s="3204"/>
      <c r="E54" s="3204"/>
      <c r="F54" s="3204"/>
      <c r="G54" s="3204"/>
      <c r="H54" s="3204"/>
      <c r="I54" s="3204"/>
      <c r="J54" s="3204"/>
      <c r="K54" s="3193" t="s">
        <v>918</v>
      </c>
      <c r="L54" s="3194">
        <f>SUM('Произв. прогр. Вода (СВОД)'!H70)</f>
        <v>109.20990090616635</v>
      </c>
      <c r="M54" s="3194">
        <f>SUM('Произв. прогр. Вода (СВОД)'!L70)</f>
        <v>109.20990090616635</v>
      </c>
      <c r="N54" s="3194">
        <f t="shared" ref="N54" si="14">SUM(L54+M54)</f>
        <v>218.41980181233271</v>
      </c>
      <c r="O54" s="3194">
        <f>SUM('Произв. прогр. Вода (СВОД)'!Q70)</f>
        <v>109.20990090616635</v>
      </c>
      <c r="P54" s="3194">
        <f t="shared" ref="P54" si="15">SUM(N54+O54)</f>
        <v>327.62970271849906</v>
      </c>
      <c r="Q54" s="3194">
        <f>SUM('Произв. прогр. Вода (СВОД)'!V70)</f>
        <v>109.20990090616635</v>
      </c>
      <c r="R54" s="3197">
        <f t="shared" ref="R54" si="16">SUM(P54+Q54)</f>
        <v>436.83960362466541</v>
      </c>
    </row>
    <row r="55" spans="1:18" ht="18.75">
      <c r="A55" s="3206" t="s">
        <v>12</v>
      </c>
      <c r="B55" s="3204"/>
      <c r="C55" s="3204"/>
      <c r="D55" s="3204"/>
      <c r="E55" s="3204"/>
      <c r="F55" s="3204"/>
      <c r="G55" s="3204"/>
      <c r="H55" s="3204"/>
      <c r="I55" s="3204"/>
      <c r="J55" s="3204"/>
      <c r="K55" s="3189" t="s">
        <v>918</v>
      </c>
      <c r="L55" s="3190">
        <f>SUM('Произв. прогр. Вода (СВОД)'!H71)</f>
        <v>32529.201343468536</v>
      </c>
      <c r="M55" s="3190">
        <f>SUM('Произв. прогр. Вода (СВОД)'!L71)</f>
        <v>30861.491857305962</v>
      </c>
      <c r="N55" s="3190">
        <f t="shared" ref="N55" si="17">SUM(L55+M55)</f>
        <v>63390.693200774498</v>
      </c>
      <c r="O55" s="3190">
        <f>SUM('Произв. прогр. Вода (СВОД)'!Q71)</f>
        <v>31483.093207352998</v>
      </c>
      <c r="P55" s="3190">
        <f t="shared" ref="P55" si="18">SUM(N55+O55)</f>
        <v>94873.786408127489</v>
      </c>
      <c r="Q55" s="3190">
        <f>SUM('Произв. прогр. Вода (СВОД)'!V71)</f>
        <v>33268.60411641618</v>
      </c>
      <c r="R55" s="3191">
        <f t="shared" ref="R55" si="19">SUM(P55+Q55)</f>
        <v>128142.39052454368</v>
      </c>
    </row>
    <row r="56" spans="1:18" ht="18.75">
      <c r="A56" s="3206" t="s">
        <v>13</v>
      </c>
      <c r="B56" s="3204"/>
      <c r="C56" s="3204"/>
      <c r="D56" s="3204"/>
      <c r="E56" s="3204"/>
      <c r="F56" s="3204"/>
      <c r="G56" s="3204"/>
      <c r="H56" s="3204"/>
      <c r="I56" s="3204"/>
      <c r="J56" s="3204"/>
      <c r="K56" s="3189" t="s">
        <v>1774</v>
      </c>
      <c r="L56" s="3190">
        <f>SUM('Произв. прогр. Вода (СВОД)'!H72)</f>
        <v>925.27281000000016</v>
      </c>
      <c r="M56" s="3190">
        <f>SUM('Произв. прогр. Вода (СВОД)'!L72)</f>
        <v>885.4371900000001</v>
      </c>
      <c r="N56" s="3190">
        <f t="shared" ref="N56" si="20">SUM(L56+M56)</f>
        <v>1810.7100000000003</v>
      </c>
      <c r="O56" s="3190">
        <f>SUM('Произв. прогр. Вода (СВОД)'!Q72)</f>
        <v>885.4371900000001</v>
      </c>
      <c r="P56" s="3190">
        <f t="shared" ref="P56" si="21">SUM(N56+O56)</f>
        <v>2696.1471900000006</v>
      </c>
      <c r="Q56" s="3190">
        <f>SUM('Произв. прогр. Вода (СВОД)'!V72)</f>
        <v>925.27281000000016</v>
      </c>
      <c r="R56" s="3191">
        <f t="shared" ref="R56" si="22">SUM(P56+Q56)</f>
        <v>3621.420000000001</v>
      </c>
    </row>
    <row r="57" spans="1:18" ht="18.75">
      <c r="A57" s="3206" t="s">
        <v>14</v>
      </c>
      <c r="B57" s="3204"/>
      <c r="C57" s="3204"/>
      <c r="D57" s="3204"/>
      <c r="E57" s="3204"/>
      <c r="F57" s="3204"/>
      <c r="G57" s="3204"/>
      <c r="H57" s="3204"/>
      <c r="I57" s="3204"/>
      <c r="J57" s="3204"/>
      <c r="K57" s="3189" t="s">
        <v>1775</v>
      </c>
      <c r="L57" s="3190">
        <f>SUM('Произв. прогр. Вода (СВОД)'!H73)</f>
        <v>35.156335506571871</v>
      </c>
      <c r="M57" s="3190">
        <f>SUM('Произв. прогр. Вода (СВОД)'!L73)</f>
        <v>34.854524076751233</v>
      </c>
      <c r="N57" s="3207">
        <f t="shared" ref="N57:R57" si="23">SUM(N55/N56)</f>
        <v>35.008749717389584</v>
      </c>
      <c r="O57" s="3190">
        <f>SUM('Произв. прогр. Вода (СВОД)'!Q73)</f>
        <v>35.556551681947077</v>
      </c>
      <c r="P57" s="3207">
        <f t="shared" si="23"/>
        <v>35.188652444500804</v>
      </c>
      <c r="Q57" s="3190">
        <f>SUM('Произв. прогр. Вода (СВОД)'!V73)</f>
        <v>35.955454171852487</v>
      </c>
      <c r="R57" s="3208">
        <f t="shared" si="23"/>
        <v>35.38457028583916</v>
      </c>
    </row>
    <row r="58" spans="1:18" ht="18.75">
      <c r="A58" s="4628" t="s">
        <v>1909</v>
      </c>
      <c r="B58" s="4629"/>
      <c r="C58" s="4629"/>
      <c r="D58" s="4629"/>
      <c r="E58" s="4629"/>
      <c r="F58" s="4629"/>
      <c r="G58" s="4629"/>
      <c r="H58" s="4629"/>
      <c r="I58" s="4629"/>
      <c r="J58" s="4629"/>
      <c r="K58" s="3189" t="s">
        <v>918</v>
      </c>
      <c r="L58" s="4025">
        <f>SUM('Произв. прогр. Вода (СВОД)'!H74)</f>
        <v>2573.8413357666359</v>
      </c>
      <c r="M58" s="3190">
        <f>SUM('Произв. прогр. Вода (СВОД)'!L74)</f>
        <v>2573.8413357666359</v>
      </c>
      <c r="N58" s="3190">
        <f t="shared" ref="N58" si="24">SUM(L58+M58)</f>
        <v>5147.6826715332718</v>
      </c>
      <c r="O58" s="3190">
        <f>SUM('Произв. прогр. Вода (СВОД)'!Q74)</f>
        <v>2573.8413357666359</v>
      </c>
      <c r="P58" s="3190">
        <f t="shared" ref="P58" si="25">SUM(N58+O58)</f>
        <v>7721.5240072999077</v>
      </c>
      <c r="Q58" s="3190">
        <f>SUM('Произв. прогр. Вода (СВОД)'!V74)</f>
        <v>2573.8413357666359</v>
      </c>
      <c r="R58" s="3191">
        <f t="shared" ref="R58" si="26">SUM(P58+Q58)</f>
        <v>10295.365343066544</v>
      </c>
    </row>
    <row r="59" spans="1:18" ht="18.75">
      <c r="A59" s="4628" t="s">
        <v>1968</v>
      </c>
      <c r="B59" s="4629"/>
      <c r="C59" s="4629"/>
      <c r="D59" s="4629"/>
      <c r="E59" s="4629"/>
      <c r="F59" s="4629"/>
      <c r="G59" s="4629"/>
      <c r="H59" s="4629"/>
      <c r="I59" s="4629"/>
      <c r="J59" s="4629"/>
      <c r="K59" s="3189" t="s">
        <v>918</v>
      </c>
      <c r="L59" s="4025">
        <f>SUM('Произв. прогр. Вода (СВОД)'!H78)</f>
        <v>35103.042679235179</v>
      </c>
      <c r="M59" s="3190">
        <f>SUM('Произв. прогр. Вода (СВОД)'!L78)</f>
        <v>33435.333193072598</v>
      </c>
      <c r="N59" s="3190">
        <f t="shared" ref="N59" si="27">SUM(L59+M59)</f>
        <v>68538.375872307777</v>
      </c>
      <c r="O59" s="3190">
        <f>SUM('Произв. прогр. Вода (СВОД)'!Q78)</f>
        <v>34056.934543119642</v>
      </c>
      <c r="P59" s="3190">
        <f t="shared" ref="P59" si="28">SUM(N59+O59)</f>
        <v>102595.31041542742</v>
      </c>
      <c r="Q59" s="3190">
        <f>SUM('Произв. прогр. Вода (СВОД)'!V78)</f>
        <v>35842.44545218283</v>
      </c>
      <c r="R59" s="3191">
        <f t="shared" ref="R59" si="29">SUM(P59+Q59)</f>
        <v>138437.75586761025</v>
      </c>
    </row>
    <row r="60" spans="1:18" ht="18.75">
      <c r="A60" s="3209" t="s">
        <v>1969</v>
      </c>
      <c r="B60" s="3204"/>
      <c r="C60" s="3204"/>
      <c r="D60" s="3204"/>
      <c r="E60" s="3204"/>
      <c r="F60" s="3204"/>
      <c r="G60" s="3204"/>
      <c r="H60" s="3204"/>
      <c r="I60" s="3204"/>
      <c r="J60" s="3204"/>
      <c r="K60" s="3189" t="s">
        <v>918</v>
      </c>
      <c r="L60" s="4025">
        <f>SUM('Произв. прогр. Вода (СВОД)'!H79)</f>
        <v>0</v>
      </c>
      <c r="M60" s="3190">
        <f>SUM('Произв. прогр. Вода (СВОД)'!H79)</f>
        <v>0</v>
      </c>
      <c r="N60" s="3190">
        <f t="shared" ref="N60" si="30">SUM(L60+M60)</f>
        <v>0</v>
      </c>
      <c r="O60" s="3190">
        <f>SUM('Произв. прогр. Вода (СВОД)'!Q79)</f>
        <v>0</v>
      </c>
      <c r="P60" s="3190">
        <f t="shared" ref="P60" si="31">SUM(N60+O60)</f>
        <v>0</v>
      </c>
      <c r="Q60" s="3190">
        <f>SUM('Произв. прогр. Вода (СВОД)'!V79)</f>
        <v>0</v>
      </c>
      <c r="R60" s="3191">
        <f t="shared" ref="R60" si="32">SUM(P60+Q60)</f>
        <v>0</v>
      </c>
    </row>
    <row r="61" spans="1:18" ht="18.75" customHeight="1">
      <c r="A61" s="3209" t="s">
        <v>547</v>
      </c>
      <c r="B61" s="3204"/>
      <c r="C61" s="3204"/>
      <c r="D61" s="3204"/>
      <c r="E61" s="3204"/>
      <c r="F61" s="3204"/>
      <c r="G61" s="3204"/>
      <c r="H61" s="3204"/>
      <c r="I61" s="3204"/>
      <c r="J61" s="3204"/>
      <c r="K61" s="3189" t="s">
        <v>918</v>
      </c>
      <c r="L61" s="3190">
        <f>SUM(L59:L60)</f>
        <v>35103.042679235179</v>
      </c>
      <c r="M61" s="3190">
        <f>SUM(M59:M60)</f>
        <v>33435.333193072598</v>
      </c>
      <c r="N61" s="3190">
        <f t="shared" ref="N61" si="33">SUM(L61+M61)</f>
        <v>68538.375872307777</v>
      </c>
      <c r="O61" s="3190">
        <f>SUM(O59:O60)</f>
        <v>34056.934543119642</v>
      </c>
      <c r="P61" s="3190">
        <f t="shared" ref="P61" si="34">SUM(N61+O61)</f>
        <v>102595.31041542742</v>
      </c>
      <c r="Q61" s="3190">
        <f>SUM(Q59:Q60)</f>
        <v>35842.44545218283</v>
      </c>
      <c r="R61" s="3191">
        <f t="shared" ref="R61" si="35">SUM(P61+Q61)</f>
        <v>138437.75586761025</v>
      </c>
    </row>
    <row r="62" spans="1:18" ht="18.75" customHeight="1">
      <c r="A62" s="3210" t="s">
        <v>70</v>
      </c>
      <c r="B62" s="3204"/>
      <c r="C62" s="3204"/>
      <c r="D62" s="3204"/>
      <c r="E62" s="3204"/>
      <c r="F62" s="3204"/>
      <c r="G62" s="3204"/>
      <c r="H62" s="3204"/>
      <c r="I62" s="3204"/>
      <c r="J62" s="3204"/>
      <c r="K62" s="3189" t="s">
        <v>1775</v>
      </c>
      <c r="L62" s="3207">
        <f t="shared" ref="L62:M62" si="36">SUM(L61/L56)</f>
        <v>37.938046271169661</v>
      </c>
      <c r="M62" s="3207">
        <f t="shared" si="36"/>
        <v>37.761383382905564</v>
      </c>
      <c r="N62" s="3207">
        <f>SUM(N61/N56)</f>
        <v>37.851658118808515</v>
      </c>
      <c r="O62" s="3207">
        <f t="shared" ref="O62" si="37">SUM(O61/O56)</f>
        <v>38.463410988101415</v>
      </c>
      <c r="P62" s="3207">
        <f t="shared" ref="P62" si="38">SUM(P61/P56)</f>
        <v>38.052562855601145</v>
      </c>
      <c r="Q62" s="3207">
        <f t="shared" ref="Q62" si="39">SUM(Q61/Q56)</f>
        <v>38.737164936450284</v>
      </c>
      <c r="R62" s="3208">
        <f t="shared" ref="R62" si="40">SUM(R61/R56)</f>
        <v>38.227478687258092</v>
      </c>
    </row>
    <row r="63" spans="1:18" ht="18.75" customHeight="1">
      <c r="A63" s="3210" t="s">
        <v>326</v>
      </c>
      <c r="B63" s="3204"/>
      <c r="C63" s="3204"/>
      <c r="D63" s="3204"/>
      <c r="E63" s="3204"/>
      <c r="F63" s="3204"/>
      <c r="G63" s="3204"/>
      <c r="H63" s="3204"/>
      <c r="I63" s="3204"/>
      <c r="J63" s="3204"/>
      <c r="K63" s="3189" t="s">
        <v>918</v>
      </c>
      <c r="L63" s="3190">
        <f>SUM('Произв. прогр. Вода (СВОД)'!H82)</f>
        <v>-1656.2249999999999</v>
      </c>
      <c r="M63" s="3190">
        <f>SUM('Произв. прогр. Вода (СВОД)'!L82)</f>
        <v>-1656.2249999999999</v>
      </c>
      <c r="N63" s="3190">
        <f t="shared" ref="N63" si="41">SUM(L63+M63)</f>
        <v>-3312.45</v>
      </c>
      <c r="O63" s="3190">
        <f>SUM('Произв. прогр. Вода (СВОД)'!Q82)</f>
        <v>-1656.2249999999999</v>
      </c>
      <c r="P63" s="3190">
        <f t="shared" ref="P63" si="42">SUM(N63+O63)</f>
        <v>-4968.6749999999993</v>
      </c>
      <c r="Q63" s="3190">
        <f>SUM('Произв. прогр. Вода (СВОД)'!V82)</f>
        <v>-1656.2249999999999</v>
      </c>
      <c r="R63" s="3191">
        <f t="shared" ref="R63" si="43">SUM(P63+Q63)</f>
        <v>-6624.9</v>
      </c>
    </row>
    <row r="64" spans="1:18" ht="18.75" customHeight="1">
      <c r="A64" s="3209" t="s">
        <v>548</v>
      </c>
      <c r="B64" s="3204"/>
      <c r="C64" s="3204"/>
      <c r="D64" s="3204"/>
      <c r="E64" s="3204"/>
      <c r="F64" s="3204"/>
      <c r="G64" s="3204"/>
      <c r="H64" s="3204"/>
      <c r="I64" s="3204"/>
      <c r="J64" s="3204"/>
      <c r="K64" s="3189" t="s">
        <v>918</v>
      </c>
      <c r="L64" s="3190">
        <f>SUM('Произв. прогр. Вода (СВОД)'!H83)</f>
        <v>33446.817679235173</v>
      </c>
      <c r="M64" s="3190">
        <f>SUM('Произв. прогр. Вода (СВОД)'!L83)</f>
        <v>31779.1081930726</v>
      </c>
      <c r="N64" s="3190">
        <f t="shared" ref="N64" si="44">SUM(L64+M64)</f>
        <v>65225.925872307773</v>
      </c>
      <c r="O64" s="3190">
        <f>SUM('Произв. прогр. Вода (СВОД)'!Q83)</f>
        <v>32400.709543119636</v>
      </c>
      <c r="P64" s="3190">
        <f t="shared" ref="P64" si="45">SUM(N64+O64)</f>
        <v>97626.635415427416</v>
      </c>
      <c r="Q64" s="3190">
        <f>SUM('Произв. прогр. Вода (СВОД)'!V83)</f>
        <v>34186.220452182824</v>
      </c>
      <c r="R64" s="3191">
        <f t="shared" ref="R64" si="46">SUM(P64+Q64)</f>
        <v>131812.85586761025</v>
      </c>
    </row>
    <row r="65" spans="1:18" ht="18" customHeight="1" thickBot="1">
      <c r="A65" s="3211" t="s">
        <v>327</v>
      </c>
      <c r="B65" s="3253"/>
      <c r="C65" s="3253"/>
      <c r="D65" s="3253"/>
      <c r="E65" s="3253"/>
      <c r="F65" s="3253"/>
      <c r="G65" s="3253"/>
      <c r="H65" s="3253"/>
      <c r="I65" s="3253"/>
      <c r="J65" s="3253"/>
      <c r="K65" s="3212" t="s">
        <v>1775</v>
      </c>
      <c r="L65" s="3254">
        <f t="shared" ref="L65:M65" si="47">SUM(L64/L56)</f>
        <v>36.148060677623462</v>
      </c>
      <c r="M65" s="3254">
        <f t="shared" si="47"/>
        <v>35.89086674016098</v>
      </c>
      <c r="N65" s="3254">
        <f>SUM(N64/N56)</f>
        <v>36.022292842204308</v>
      </c>
      <c r="O65" s="3254">
        <f t="shared" ref="O65:R65" si="48">SUM(O64/O56)</f>
        <v>36.592894345356818</v>
      </c>
      <c r="P65" s="3254">
        <f t="shared" si="48"/>
        <v>36.209683127658693</v>
      </c>
      <c r="Q65" s="3254">
        <f t="shared" si="48"/>
        <v>36.947179342904086</v>
      </c>
      <c r="R65" s="3255">
        <f t="shared" si="48"/>
        <v>36.398113410653892</v>
      </c>
    </row>
    <row r="68" spans="1:18" ht="18.75">
      <c r="A68" s="3213" t="s">
        <v>1759</v>
      </c>
      <c r="B68" s="375"/>
      <c r="C68" s="375"/>
      <c r="D68" s="375"/>
      <c r="E68" s="375"/>
      <c r="F68" s="375"/>
      <c r="G68" s="375"/>
      <c r="H68" s="375"/>
      <c r="I68" s="375"/>
      <c r="J68" s="375"/>
      <c r="K68" s="375"/>
      <c r="L68" s="375"/>
      <c r="M68" s="375"/>
      <c r="N68" s="3213" t="s">
        <v>1801</v>
      </c>
      <c r="O68" s="375"/>
      <c r="P68" s="375"/>
    </row>
    <row r="69" spans="1:18" ht="18.75">
      <c r="A69" s="3213"/>
      <c r="B69" s="375"/>
      <c r="C69" s="375"/>
      <c r="D69" s="375"/>
      <c r="E69" s="375"/>
      <c r="F69" s="375"/>
      <c r="G69" s="375"/>
      <c r="H69" s="375"/>
      <c r="I69" s="375"/>
      <c r="J69" s="375"/>
      <c r="K69" s="375"/>
      <c r="L69" s="375"/>
      <c r="M69" s="375"/>
      <c r="N69" s="3213"/>
      <c r="O69" s="375"/>
      <c r="P69" s="375"/>
    </row>
    <row r="70" spans="1:18" ht="18.75">
      <c r="A70" s="3213" t="s">
        <v>1743</v>
      </c>
      <c r="B70" s="375"/>
      <c r="C70" s="375"/>
      <c r="D70" s="375"/>
      <c r="E70" s="375"/>
      <c r="F70" s="375"/>
      <c r="G70" s="375"/>
      <c r="H70" s="375"/>
      <c r="I70" s="375"/>
      <c r="J70" s="375"/>
      <c r="K70" s="375"/>
      <c r="L70" s="375"/>
      <c r="M70" s="375"/>
      <c r="N70" s="3213" t="s">
        <v>1776</v>
      </c>
      <c r="O70" s="375"/>
      <c r="P70" s="375"/>
    </row>
  </sheetData>
  <mergeCells count="26">
    <mergeCell ref="A8:R8"/>
    <mergeCell ref="O1:R1"/>
    <mergeCell ref="O3:R3"/>
    <mergeCell ref="O4:R4"/>
    <mergeCell ref="O5:R5"/>
    <mergeCell ref="O6:R6"/>
    <mergeCell ref="A10:R10"/>
    <mergeCell ref="A11:A12"/>
    <mergeCell ref="K11:K12"/>
    <mergeCell ref="L11:L12"/>
    <mergeCell ref="M11:M12"/>
    <mergeCell ref="N11:N12"/>
    <mergeCell ref="O11:O12"/>
    <mergeCell ref="P11:P12"/>
    <mergeCell ref="Q11:Q12"/>
    <mergeCell ref="R11:R12"/>
    <mergeCell ref="A26:R26"/>
    <mergeCell ref="A27:A28"/>
    <mergeCell ref="K27:K28"/>
    <mergeCell ref="L27:L28"/>
    <mergeCell ref="M27:M28"/>
    <mergeCell ref="N27:N28"/>
    <mergeCell ref="O27:O28"/>
    <mergeCell ref="P27:P28"/>
    <mergeCell ref="Q27:Q28"/>
    <mergeCell ref="R27:R28"/>
  </mergeCells>
  <printOptions horizontalCentered="1" verticalCentered="1"/>
  <pageMargins left="0.55118110236220474" right="0.15748031496062992" top="0.19685039370078741" bottom="0.19685039370078741" header="0" footer="0"/>
  <pageSetup paperSize="9" scale="62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1"/>
    <pageSetUpPr fitToPage="1"/>
  </sheetPr>
  <dimension ref="A1:W523"/>
  <sheetViews>
    <sheetView topLeftCell="A6" zoomScale="55" zoomScaleNormal="55" zoomScalePageLayoutView="90" workbookViewId="0">
      <selection activeCell="A27" sqref="A27:A30"/>
    </sheetView>
  </sheetViews>
  <sheetFormatPr defaultRowHeight="12.75"/>
  <cols>
    <col min="1" max="1" width="57" customWidth="1"/>
    <col min="2" max="2" width="17.28515625" customWidth="1"/>
    <col min="3" max="3" width="15.28515625" customWidth="1"/>
    <col min="4" max="4" width="15.5703125" customWidth="1"/>
    <col min="5" max="7" width="11.7109375" customWidth="1"/>
    <col min="8" max="8" width="12.28515625" customWidth="1"/>
    <col min="9" max="11" width="11.7109375" customWidth="1"/>
    <col min="12" max="13" width="12.28515625" customWidth="1"/>
    <col min="14" max="16" width="11.7109375" customWidth="1"/>
    <col min="17" max="18" width="12.28515625" customWidth="1"/>
    <col min="19" max="21" width="11.7109375" customWidth="1"/>
    <col min="22" max="22" width="12.28515625" customWidth="1"/>
    <col min="23" max="23" width="11.7109375" customWidth="1"/>
  </cols>
  <sheetData>
    <row r="1" spans="1:23" ht="23.25">
      <c r="R1" s="3051" t="s">
        <v>1705</v>
      </c>
      <c r="S1" s="3051"/>
    </row>
    <row r="2" spans="1:23" ht="23.25">
      <c r="R2" s="3051" t="s">
        <v>1759</v>
      </c>
      <c r="S2" s="3051"/>
    </row>
    <row r="3" spans="1:23" ht="31.5" customHeight="1">
      <c r="R3" s="3051" t="s">
        <v>1760</v>
      </c>
      <c r="S3" s="3051"/>
    </row>
    <row r="4" spans="1:23" ht="30.75" customHeight="1">
      <c r="R4" s="3051" t="s">
        <v>1761</v>
      </c>
      <c r="S4" s="3051"/>
    </row>
    <row r="5" spans="1:23" ht="23.25">
      <c r="R5" s="3051"/>
      <c r="S5" s="3051"/>
    </row>
    <row r="7" spans="1:23" ht="23.25">
      <c r="A7" s="4977" t="s">
        <v>1963</v>
      </c>
      <c r="B7" s="4977"/>
      <c r="C7" s="4977"/>
      <c r="D7" s="4977"/>
      <c r="E7" s="4978"/>
      <c r="F7" s="4978"/>
      <c r="G7" s="4978"/>
      <c r="H7" s="4978"/>
      <c r="I7" s="4978"/>
      <c r="J7" s="4978"/>
      <c r="K7" s="4978"/>
      <c r="L7" s="4978"/>
      <c r="M7" s="4978"/>
      <c r="N7" s="4978"/>
      <c r="O7" s="4978"/>
      <c r="P7" s="4978"/>
      <c r="Q7" s="4978"/>
      <c r="R7" s="4978"/>
      <c r="S7" s="4978"/>
      <c r="T7" s="4978"/>
      <c r="U7" s="4978"/>
      <c r="V7" s="4978"/>
    </row>
    <row r="8" spans="1:23" ht="12.75" customHeight="1">
      <c r="A8" s="3025"/>
      <c r="B8" s="3025"/>
      <c r="C8" s="3025"/>
      <c r="D8" s="3025"/>
      <c r="E8" s="3026"/>
      <c r="F8" s="3026"/>
      <c r="G8" s="3026"/>
      <c r="H8" s="3026"/>
      <c r="I8" s="3026"/>
      <c r="J8" s="3026"/>
      <c r="K8" s="3026"/>
      <c r="L8" s="3026"/>
      <c r="M8" s="3026"/>
      <c r="N8" s="3026"/>
      <c r="O8" s="3026"/>
      <c r="P8" s="3026"/>
      <c r="Q8" s="3026"/>
      <c r="R8" s="3026"/>
      <c r="S8" s="3026"/>
      <c r="T8" s="3026"/>
      <c r="U8" s="3026"/>
      <c r="V8" s="3026"/>
    </row>
    <row r="9" spans="1:23" ht="18.75" customHeight="1">
      <c r="A9" s="4979" t="s">
        <v>1749</v>
      </c>
      <c r="B9" s="4979"/>
      <c r="C9" s="4979"/>
      <c r="D9" s="4979"/>
      <c r="E9" s="4980"/>
      <c r="F9" s="4980"/>
      <c r="G9" s="4980"/>
      <c r="H9" s="4980"/>
      <c r="I9" s="4980"/>
      <c r="J9" s="4980"/>
      <c r="K9" s="4980"/>
      <c r="L9" s="4980"/>
      <c r="M9" s="4980"/>
      <c r="N9" s="4980"/>
      <c r="O9" s="4980"/>
      <c r="P9" s="4980"/>
      <c r="Q9" s="4980"/>
      <c r="R9" s="4980"/>
      <c r="S9" s="4980"/>
      <c r="T9" s="4980"/>
      <c r="U9" s="4980"/>
      <c r="V9" s="4980"/>
      <c r="W9" s="3107"/>
    </row>
    <row r="10" spans="1:23" ht="19.5" customHeight="1">
      <c r="A10" s="4981" t="s">
        <v>545</v>
      </c>
      <c r="B10" s="4982" t="s">
        <v>1960</v>
      </c>
      <c r="C10" s="4982" t="s">
        <v>1560</v>
      </c>
      <c r="D10" s="4983"/>
      <c r="E10" s="4981" t="s">
        <v>586</v>
      </c>
      <c r="F10" s="4981" t="s">
        <v>587</v>
      </c>
      <c r="G10" s="4981" t="s">
        <v>588</v>
      </c>
      <c r="H10" s="4984" t="s">
        <v>600</v>
      </c>
      <c r="I10" s="4981" t="s">
        <v>589</v>
      </c>
      <c r="J10" s="4981" t="s">
        <v>590</v>
      </c>
      <c r="K10" s="4981" t="s">
        <v>591</v>
      </c>
      <c r="L10" s="4984" t="s">
        <v>599</v>
      </c>
      <c r="M10" s="4984" t="s">
        <v>598</v>
      </c>
      <c r="N10" s="4981" t="s">
        <v>592</v>
      </c>
      <c r="O10" s="4981" t="s">
        <v>593</v>
      </c>
      <c r="P10" s="4981" t="s">
        <v>594</v>
      </c>
      <c r="Q10" s="4984" t="s">
        <v>225</v>
      </c>
      <c r="R10" s="4984" t="s">
        <v>229</v>
      </c>
      <c r="S10" s="4981" t="s">
        <v>595</v>
      </c>
      <c r="T10" s="4981" t="s">
        <v>596</v>
      </c>
      <c r="U10" s="4981" t="s">
        <v>597</v>
      </c>
      <c r="V10" s="4984" t="s">
        <v>135</v>
      </c>
      <c r="W10" s="4985" t="s">
        <v>601</v>
      </c>
    </row>
    <row r="11" spans="1:23" ht="41.25" customHeight="1">
      <c r="A11" s="4981"/>
      <c r="B11" s="4982"/>
      <c r="C11" s="3120" t="s">
        <v>351</v>
      </c>
      <c r="D11" s="3120" t="s">
        <v>1750</v>
      </c>
      <c r="E11" s="4981"/>
      <c r="F11" s="4981"/>
      <c r="G11" s="4981"/>
      <c r="H11" s="4984"/>
      <c r="I11" s="4981"/>
      <c r="J11" s="4981"/>
      <c r="K11" s="4981"/>
      <c r="L11" s="4984"/>
      <c r="M11" s="4984"/>
      <c r="N11" s="4981"/>
      <c r="O11" s="4981"/>
      <c r="P11" s="4981"/>
      <c r="Q11" s="4984"/>
      <c r="R11" s="4984"/>
      <c r="S11" s="4981"/>
      <c r="T11" s="4981"/>
      <c r="U11" s="4981"/>
      <c r="V11" s="4984"/>
      <c r="W11" s="4985"/>
    </row>
    <row r="12" spans="1:23" ht="18.75" customHeight="1">
      <c r="A12" s="3084" t="s">
        <v>1751</v>
      </c>
      <c r="B12" s="3258">
        <f>SUM('Произв. прогр. Стоки'!B12)</f>
        <v>4080.0924999999993</v>
      </c>
      <c r="C12" s="3258">
        <f>SUM('Произв. прогр. Стоки'!C12)</f>
        <v>4061.1624999999995</v>
      </c>
      <c r="D12" s="3258">
        <f>SUM('Произв. прогр. Стоки'!D12)</f>
        <v>18.93</v>
      </c>
      <c r="E12" s="4626">
        <f>SUM('Произв. прогр. Стоки'!E12)</f>
        <v>347.17812500000002</v>
      </c>
      <c r="F12" s="4626">
        <f>SUM('Произв. прогр. Стоки'!F12)</f>
        <v>345.15937500000001</v>
      </c>
      <c r="G12" s="4626">
        <f>SUM('Произв. прогр. Стоки'!G12)</f>
        <v>345.15937500000001</v>
      </c>
      <c r="H12" s="3258">
        <f>SUM('Произв. прогр. Стоки'!H12)</f>
        <v>1037.4968749999998</v>
      </c>
      <c r="I12" s="4626">
        <f>SUM('Произв. прогр. Стоки'!I12)</f>
        <v>343.14062499999989</v>
      </c>
      <c r="J12" s="4626">
        <f>SUM('Произв. прогр. Стоки'!J12)</f>
        <v>324.97187499999995</v>
      </c>
      <c r="K12" s="4626">
        <f>SUM('Произв. прогр. Стоки'!K12)</f>
        <v>324.97187499999995</v>
      </c>
      <c r="L12" s="3258">
        <f>SUM('Произв. прогр. Стоки'!L12)</f>
        <v>993.0843749999998</v>
      </c>
      <c r="M12" s="3258">
        <f>SUM('Произв. прогр. Стоки'!M12)</f>
        <v>2030.5812499999997</v>
      </c>
      <c r="N12" s="4626">
        <f>SUM('Произв. прогр. Стоки'!N12)</f>
        <v>324.97187499999995</v>
      </c>
      <c r="O12" s="4626">
        <f>SUM('Произв. прогр. Стоки'!O12)</f>
        <v>324.97187499999995</v>
      </c>
      <c r="P12" s="4626">
        <f>SUM('Произв. прогр. Стоки'!P12)</f>
        <v>343.14062499999989</v>
      </c>
      <c r="Q12" s="3258">
        <f>SUM('Произв. прогр. Стоки'!Q12)</f>
        <v>993.0843749999998</v>
      </c>
      <c r="R12" s="3258">
        <f>SUM('Произв. прогр. Стоки'!R12)</f>
        <v>3023.6656249999992</v>
      </c>
      <c r="S12" s="4626">
        <f>SUM('Произв. прогр. Стоки'!S12)</f>
        <v>345.15937500000001</v>
      </c>
      <c r="T12" s="4626">
        <f>SUM('Произв. прогр. Стоки'!T12)</f>
        <v>345.15937500000001</v>
      </c>
      <c r="U12" s="4626">
        <f>SUM('Произв. прогр. Стоки'!U12)</f>
        <v>347.17812500000002</v>
      </c>
      <c r="V12" s="3258">
        <f>SUM('Произв. прогр. Стоки'!V12)</f>
        <v>1037.4968749999998</v>
      </c>
      <c r="W12" s="3061">
        <f>SUM(E12+F12+G12+I12+J12+K12+N12+O12+P12+S12+T12+U12)</f>
        <v>4061.1624999999999</v>
      </c>
    </row>
    <row r="13" spans="1:23" ht="18.75" customHeight="1">
      <c r="A13" s="3058" t="s">
        <v>1757</v>
      </c>
      <c r="B13" s="3258">
        <f>SUM('Произв. прогр. Стоки'!B13)</f>
        <v>3248.93</v>
      </c>
      <c r="C13" s="3258">
        <f>SUM('Произв. прогр. Стоки'!C13)</f>
        <v>3230</v>
      </c>
      <c r="D13" s="3258">
        <f>SUM('Произв. прогр. Стоки'!D13)</f>
        <v>18.93</v>
      </c>
      <c r="E13" s="4626">
        <f>SUM('Произв. прогр. Стоки'!E13)</f>
        <v>277.74250000000001</v>
      </c>
      <c r="F13" s="4626">
        <f>SUM('Произв. прогр. Стоки'!F13)</f>
        <v>276.1275</v>
      </c>
      <c r="G13" s="4626">
        <f>SUM('Произв. прогр. Стоки'!G13)</f>
        <v>276.1275</v>
      </c>
      <c r="H13" s="3258">
        <f>SUM('Произв. прогр. Стоки'!H13)</f>
        <v>829.99749999999995</v>
      </c>
      <c r="I13" s="4626">
        <f>SUM('Произв. прогр. Стоки'!I13)</f>
        <v>274.51249999999993</v>
      </c>
      <c r="J13" s="4626">
        <f>SUM('Произв. прогр. Стоки'!J13)</f>
        <v>259.97749999999996</v>
      </c>
      <c r="K13" s="4626">
        <f>SUM('Произв. прогр. Стоки'!K13)</f>
        <v>259.97749999999996</v>
      </c>
      <c r="L13" s="3258">
        <f>SUM('Произв. прогр. Стоки'!L13)</f>
        <v>794.46749999999986</v>
      </c>
      <c r="M13" s="3258">
        <f>SUM('Произв. прогр. Стоки'!M13)</f>
        <v>1624.4649999999997</v>
      </c>
      <c r="N13" s="4626">
        <f>SUM('Произв. прогр. Стоки'!N13)</f>
        <v>259.97749999999996</v>
      </c>
      <c r="O13" s="4626">
        <f>SUM('Произв. прогр. Стоки'!O13)</f>
        <v>259.97749999999996</v>
      </c>
      <c r="P13" s="4626">
        <f>SUM('Произв. прогр. Стоки'!P13)</f>
        <v>274.51249999999993</v>
      </c>
      <c r="Q13" s="3258">
        <f>SUM('Произв. прогр. Стоки'!Q13)</f>
        <v>794.46749999999986</v>
      </c>
      <c r="R13" s="3258">
        <f>SUM('Произв. прогр. Стоки'!R13)</f>
        <v>2418.9324999999994</v>
      </c>
      <c r="S13" s="4626">
        <f>SUM('Произв. прогр. Стоки'!S13)</f>
        <v>276.1275</v>
      </c>
      <c r="T13" s="4626">
        <f>SUM('Произв. прогр. Стоки'!T13)</f>
        <v>276.1275</v>
      </c>
      <c r="U13" s="4626">
        <f>SUM('Произв. прогр. Стоки'!U13)</f>
        <v>277.74250000000001</v>
      </c>
      <c r="V13" s="3258">
        <f>SUM('Произв. прогр. Стоки'!V13)</f>
        <v>829.99749999999995</v>
      </c>
      <c r="W13" s="3061">
        <f>SUM(E13+F13+G13+I13+J13+K13+N13+O13+P13+S13+T13+U13)</f>
        <v>3248.9299999999994</v>
      </c>
    </row>
    <row r="14" spans="1:23" ht="18.75" customHeight="1">
      <c r="A14" s="3062" t="s">
        <v>264</v>
      </c>
      <c r="B14" s="3171">
        <f>SUM('Произв. прогр. Стоки'!B14)</f>
        <v>2280</v>
      </c>
      <c r="C14" s="3171">
        <f>SUM('Произв. прогр. Стоки'!C14)</f>
        <v>2280</v>
      </c>
      <c r="D14" s="3171">
        <f>SUM('Произв. прогр. Стоки'!D14)</f>
        <v>0</v>
      </c>
      <c r="E14" s="4627">
        <f>SUM('Произв. прогр. Стоки'!E14)</f>
        <v>194.94000000000003</v>
      </c>
      <c r="F14" s="4627">
        <f>SUM('Произв. прогр. Стоки'!F14)</f>
        <v>193.8</v>
      </c>
      <c r="G14" s="4627">
        <f>SUM('Произв. прогр. Стоки'!G14)</f>
        <v>193.8</v>
      </c>
      <c r="H14" s="3171">
        <f>SUM('Произв. прогр. Стоки'!H14)</f>
        <v>582.54</v>
      </c>
      <c r="I14" s="4627">
        <f>SUM('Произв. прогр. Стоки'!I14)</f>
        <v>192.65999999999997</v>
      </c>
      <c r="J14" s="4627">
        <f>SUM('Произв. прогр. Стоки'!J14)</f>
        <v>182.4</v>
      </c>
      <c r="K14" s="4627">
        <f>SUM('Произв. прогр. Стоки'!K14)</f>
        <v>182.4</v>
      </c>
      <c r="L14" s="3171">
        <f>SUM('Произв. прогр. Стоки'!L14)</f>
        <v>557.45999999999992</v>
      </c>
      <c r="M14" s="3171">
        <f>SUM('Произв. прогр. Стоки'!M14)</f>
        <v>1140</v>
      </c>
      <c r="N14" s="4627">
        <f>SUM('Произв. прогр. Стоки'!N14)</f>
        <v>182.4</v>
      </c>
      <c r="O14" s="4627">
        <f>SUM('Произв. прогр. Стоки'!O14)</f>
        <v>182.4</v>
      </c>
      <c r="P14" s="4627">
        <f>SUM('Произв. прогр. Стоки'!P14)</f>
        <v>192.65999999999997</v>
      </c>
      <c r="Q14" s="3171">
        <f>SUM('Произв. прогр. Стоки'!Q14)</f>
        <v>557.46</v>
      </c>
      <c r="R14" s="3171">
        <f>SUM('Произв. прогр. Стоки'!R14)</f>
        <v>1697.46</v>
      </c>
      <c r="S14" s="4627">
        <f>SUM('Произв. прогр. Стоки'!S14)</f>
        <v>193.8</v>
      </c>
      <c r="T14" s="4627">
        <f>SUM('Произв. прогр. Стоки'!T14)</f>
        <v>193.8</v>
      </c>
      <c r="U14" s="4627">
        <f>SUM('Произв. прогр. Стоки'!U14)</f>
        <v>194.94000000000003</v>
      </c>
      <c r="V14" s="3171">
        <f>SUM('Произв. прогр. Стоки'!V14)</f>
        <v>582.54000000000008</v>
      </c>
      <c r="W14" s="3065">
        <f>SUM(E14+F14+G14+I14+J14+K14+N14+O14+P14+S14+T14+U14)</f>
        <v>2280</v>
      </c>
    </row>
    <row r="15" spans="1:23" ht="18.75" customHeight="1">
      <c r="A15" s="3062" t="s">
        <v>1753</v>
      </c>
      <c r="B15" s="3171">
        <f>SUM('Произв. прогр. Стоки'!B15)</f>
        <v>18.93</v>
      </c>
      <c r="C15" s="3171">
        <f>SUM('Произв. прогр. Стоки'!C15)</f>
        <v>0</v>
      </c>
      <c r="D15" s="3171">
        <f>SUM('Произв. прогр. Стоки'!D15)</f>
        <v>18.93</v>
      </c>
      <c r="E15" s="4627">
        <f>SUM('Произв. прогр. Стоки'!E15)</f>
        <v>1.5774999999999999</v>
      </c>
      <c r="F15" s="4627">
        <f>SUM('Произв. прогр. Стоки'!F15)</f>
        <v>1.5774999999999999</v>
      </c>
      <c r="G15" s="4627">
        <f>SUM('Произв. прогр. Стоки'!G15)</f>
        <v>1.5774999999999999</v>
      </c>
      <c r="H15" s="3171">
        <f>SUM('Произв. прогр. Стоки'!H15)</f>
        <v>4.7324999999999999</v>
      </c>
      <c r="I15" s="4627">
        <f>SUM('Произв. прогр. Стоки'!I15)</f>
        <v>1.5774999999999999</v>
      </c>
      <c r="J15" s="4627">
        <f>SUM('Произв. прогр. Стоки'!J15)</f>
        <v>1.5774999999999999</v>
      </c>
      <c r="K15" s="4627">
        <f>SUM('Произв. прогр. Стоки'!K15)</f>
        <v>1.5774999999999999</v>
      </c>
      <c r="L15" s="3171">
        <f>SUM('Произв. прогр. Стоки'!L15)</f>
        <v>4.7324999999999999</v>
      </c>
      <c r="M15" s="3171">
        <f>SUM('Произв. прогр. Стоки'!M15)</f>
        <v>9.4649999999999999</v>
      </c>
      <c r="N15" s="4627">
        <f>SUM('Произв. прогр. Стоки'!N15)</f>
        <v>1.5774999999999999</v>
      </c>
      <c r="O15" s="4627">
        <f>SUM('Произв. прогр. Стоки'!O15)</f>
        <v>1.5774999999999999</v>
      </c>
      <c r="P15" s="4627">
        <f>SUM('Произв. прогр. Стоки'!P15)</f>
        <v>1.5774999999999999</v>
      </c>
      <c r="Q15" s="3171">
        <f>SUM('Произв. прогр. Стоки'!Q15)</f>
        <v>4.7324999999999999</v>
      </c>
      <c r="R15" s="3171">
        <f>SUM('Произв. прогр. Стоки'!R15)</f>
        <v>14.1975</v>
      </c>
      <c r="S15" s="4627">
        <f>SUM('Произв. прогр. Стоки'!S15)</f>
        <v>1.5774999999999999</v>
      </c>
      <c r="T15" s="4627">
        <f>SUM('Произв. прогр. Стоки'!T15)</f>
        <v>1.5774999999999999</v>
      </c>
      <c r="U15" s="4627">
        <f>SUM('Произв. прогр. Стоки'!U15)</f>
        <v>1.5774999999999999</v>
      </c>
      <c r="V15" s="3171">
        <f>SUM('Произв. прогр. Стоки'!V15)</f>
        <v>4.7324999999999999</v>
      </c>
      <c r="W15" s="3065">
        <f>SUM(E15+F15+G15+I15+J15+K15+N15+O15+P15+S15+T15+U15)</f>
        <v>18.930000000000003</v>
      </c>
    </row>
    <row r="16" spans="1:23" ht="18.75" customHeight="1">
      <c r="A16" s="3062" t="s">
        <v>1754</v>
      </c>
      <c r="B16" s="3171">
        <f>SUM('Произв. прогр. Стоки'!B16)</f>
        <v>950</v>
      </c>
      <c r="C16" s="3171">
        <f>SUM('Произв. прогр. Стоки'!C16)</f>
        <v>950</v>
      </c>
      <c r="D16" s="3171">
        <f>SUM('Произв. прогр. Стоки'!D16)</f>
        <v>0</v>
      </c>
      <c r="E16" s="4627">
        <f>SUM('Произв. прогр. Стоки'!E16)</f>
        <v>81.225000000000009</v>
      </c>
      <c r="F16" s="4627">
        <f>SUM('Произв. прогр. Стоки'!F16)</f>
        <v>80.75</v>
      </c>
      <c r="G16" s="4627">
        <f>SUM('Произв. прогр. Стоки'!G16)</f>
        <v>80.75</v>
      </c>
      <c r="H16" s="3171">
        <f>SUM('Произв. прогр. Стоки'!H16)</f>
        <v>242.72500000000002</v>
      </c>
      <c r="I16" s="4627">
        <f>SUM('Произв. прогр. Стоки'!I16)</f>
        <v>80.274999999999991</v>
      </c>
      <c r="J16" s="4627">
        <f>SUM('Произв. прогр. Стоки'!J16)</f>
        <v>76</v>
      </c>
      <c r="K16" s="4627">
        <f>SUM('Произв. прогр. Стоки'!K16)</f>
        <v>76</v>
      </c>
      <c r="L16" s="3171">
        <f>SUM('Произв. прогр. Стоки'!L16)</f>
        <v>232.27499999999998</v>
      </c>
      <c r="M16" s="3171">
        <f>SUM('Произв. прогр. Стоки'!M16)</f>
        <v>475</v>
      </c>
      <c r="N16" s="4627">
        <f>SUM('Произв. прогр. Стоки'!N16)</f>
        <v>76</v>
      </c>
      <c r="O16" s="4627">
        <f>SUM('Произв. прогр. Стоки'!O16)</f>
        <v>76</v>
      </c>
      <c r="P16" s="4627">
        <f>SUM('Произв. прогр. Стоки'!P16)</f>
        <v>80.274999999999991</v>
      </c>
      <c r="Q16" s="3171">
        <f>SUM('Произв. прогр. Стоки'!Q16)</f>
        <v>232.27499999999998</v>
      </c>
      <c r="R16" s="3171">
        <f>SUM('Произв. прогр. Стоки'!R16)</f>
        <v>707.27499999999998</v>
      </c>
      <c r="S16" s="4627">
        <f>SUM('Произв. прогр. Стоки'!S16)</f>
        <v>80.75</v>
      </c>
      <c r="T16" s="4627">
        <f>SUM('Произв. прогр. Стоки'!T16)</f>
        <v>80.75</v>
      </c>
      <c r="U16" s="4627">
        <f>SUM('Произв. прогр. Стоки'!U16)</f>
        <v>81.225000000000009</v>
      </c>
      <c r="V16" s="3171">
        <f>SUM('Произв. прогр. Стоки'!V16)</f>
        <v>242.72500000000002</v>
      </c>
      <c r="W16" s="3065">
        <f>SUM(E16+F16+G16+I16+J16+K16+N16+O16+P16+S16+T16+U16)</f>
        <v>950</v>
      </c>
    </row>
    <row r="17" spans="1:23" ht="18.75" customHeight="1">
      <c r="A17" s="4986" t="s">
        <v>1712</v>
      </c>
      <c r="B17" s="4987"/>
      <c r="C17" s="4987"/>
      <c r="D17" s="4987"/>
      <c r="E17" s="4987"/>
      <c r="F17" s="4987"/>
      <c r="G17" s="4987"/>
      <c r="H17" s="4987"/>
      <c r="I17" s="4987"/>
      <c r="J17" s="4987"/>
      <c r="K17" s="4987"/>
      <c r="L17" s="4987"/>
      <c r="M17" s="4987"/>
      <c r="N17" s="4987"/>
      <c r="O17" s="4987"/>
      <c r="P17" s="4987"/>
      <c r="Q17" s="4987"/>
      <c r="R17" s="4987"/>
      <c r="S17" s="4987"/>
      <c r="T17" s="4987"/>
      <c r="U17" s="4987"/>
      <c r="V17" s="4988"/>
      <c r="W17" s="3065"/>
    </row>
    <row r="18" spans="1:23" ht="18.75" customHeight="1">
      <c r="A18" s="4989" t="s">
        <v>545</v>
      </c>
      <c r="B18" s="4982" t="s">
        <v>1960</v>
      </c>
      <c r="C18" s="4982" t="s">
        <v>575</v>
      </c>
      <c r="D18" s="4982"/>
      <c r="E18" s="4981" t="s">
        <v>586</v>
      </c>
      <c r="F18" s="4981" t="s">
        <v>587</v>
      </c>
      <c r="G18" s="4981" t="s">
        <v>588</v>
      </c>
      <c r="H18" s="4984" t="s">
        <v>600</v>
      </c>
      <c r="I18" s="4981" t="s">
        <v>589</v>
      </c>
      <c r="J18" s="4981" t="s">
        <v>590</v>
      </c>
      <c r="K18" s="4981" t="s">
        <v>591</v>
      </c>
      <c r="L18" s="4984" t="s">
        <v>599</v>
      </c>
      <c r="M18" s="4984" t="s">
        <v>598</v>
      </c>
      <c r="N18" s="4981" t="s">
        <v>592</v>
      </c>
      <c r="O18" s="4981" t="s">
        <v>593</v>
      </c>
      <c r="P18" s="4981" t="s">
        <v>594</v>
      </c>
      <c r="Q18" s="4984" t="s">
        <v>225</v>
      </c>
      <c r="R18" s="4984" t="s">
        <v>229</v>
      </c>
      <c r="S18" s="4981" t="s">
        <v>595</v>
      </c>
      <c r="T18" s="4981" t="s">
        <v>596</v>
      </c>
      <c r="U18" s="4981" t="s">
        <v>597</v>
      </c>
      <c r="V18" s="4984" t="s">
        <v>135</v>
      </c>
      <c r="W18" s="4985" t="s">
        <v>601</v>
      </c>
    </row>
    <row r="19" spans="1:23" ht="18.75" customHeight="1">
      <c r="A19" s="4990"/>
      <c r="B19" s="4982"/>
      <c r="C19" s="4621" t="s">
        <v>351</v>
      </c>
      <c r="D19" s="4621" t="s">
        <v>1750</v>
      </c>
      <c r="E19" s="4981"/>
      <c r="F19" s="4981"/>
      <c r="G19" s="4981"/>
      <c r="H19" s="4984"/>
      <c r="I19" s="4981"/>
      <c r="J19" s="4981"/>
      <c r="K19" s="4981"/>
      <c r="L19" s="4984"/>
      <c r="M19" s="4984"/>
      <c r="N19" s="4981"/>
      <c r="O19" s="4981"/>
      <c r="P19" s="4981"/>
      <c r="Q19" s="4984"/>
      <c r="R19" s="4984"/>
      <c r="S19" s="4981"/>
      <c r="T19" s="4981"/>
      <c r="U19" s="4981"/>
      <c r="V19" s="4984"/>
      <c r="W19" s="4985"/>
    </row>
    <row r="20" spans="1:23" ht="18.75" customHeight="1">
      <c r="A20" s="3078" t="s">
        <v>1713</v>
      </c>
      <c r="B20" s="3072">
        <f>SUM(C20:D20)</f>
        <v>55107.6</v>
      </c>
      <c r="C20" s="3072">
        <f>SUM(H20+L20+Q20+V20)</f>
        <v>55107.6</v>
      </c>
      <c r="D20" s="3156">
        <v>0</v>
      </c>
      <c r="E20" s="3074">
        <f>SUM(E14*E27)</f>
        <v>4575.2418000000007</v>
      </c>
      <c r="F20" s="3074">
        <f>SUM(F14*F27)</f>
        <v>4548.4859999999999</v>
      </c>
      <c r="G20" s="3074">
        <f>SUM(G14*G27)</f>
        <v>4548.4859999999999</v>
      </c>
      <c r="H20" s="3072">
        <f>SUM(E20:G20)</f>
        <v>13672.213800000001</v>
      </c>
      <c r="I20" s="3074">
        <f>SUM(I14*I27)</f>
        <v>4521.7301999999991</v>
      </c>
      <c r="J20" s="3074">
        <f>SUM(J14*J27)</f>
        <v>4280.9279999999999</v>
      </c>
      <c r="K20" s="3074">
        <f>SUM(K14*K27)</f>
        <v>4280.9279999999999</v>
      </c>
      <c r="L20" s="3072">
        <f>SUM(I20:K20)</f>
        <v>13083.586199999998</v>
      </c>
      <c r="M20" s="3072">
        <f>SUM(H20+L20)</f>
        <v>26755.8</v>
      </c>
      <c r="N20" s="3074">
        <f>SUM(N14*N27)</f>
        <v>4536.2880000000005</v>
      </c>
      <c r="O20" s="3074">
        <f>SUM(O14*O27)</f>
        <v>4536.2880000000005</v>
      </c>
      <c r="P20" s="3074">
        <f>SUM(P14*P27)</f>
        <v>4791.4541999999992</v>
      </c>
      <c r="Q20" s="3072">
        <f>SUM(N20:P20)</f>
        <v>13864.030200000001</v>
      </c>
      <c r="R20" s="3072">
        <f>SUM(M20+Q20)</f>
        <v>40619.830199999997</v>
      </c>
      <c r="S20" s="3074">
        <f>SUM(S14*S27)</f>
        <v>4819.8060000000005</v>
      </c>
      <c r="T20" s="3074">
        <f>SUM(T14*T27)</f>
        <v>4819.8060000000005</v>
      </c>
      <c r="U20" s="3074">
        <f>SUM(U14*U27)</f>
        <v>4848.1578000000009</v>
      </c>
      <c r="V20" s="3072">
        <f>SUM(S20:U20)</f>
        <v>14487.769800000002</v>
      </c>
      <c r="W20" s="3065">
        <f t="shared" ref="W20:W25" si="0">SUM(E20+F20+G20+I20+J20+K20+N20+O20+P20+S20+T20+U20)</f>
        <v>55107.600000000006</v>
      </c>
    </row>
    <row r="21" spans="1:23" ht="18.75" customHeight="1">
      <c r="A21" s="3078" t="s">
        <v>1714</v>
      </c>
      <c r="B21" s="3072">
        <f t="shared" ref="B21:B25" si="1">SUM(C21:D21)</f>
        <v>14767.825340846859</v>
      </c>
      <c r="C21" s="3072">
        <f t="shared" ref="C21:C23" si="2">SUM(H21+L21+Q21+V21)</f>
        <v>14767.825340846859</v>
      </c>
      <c r="D21" s="3156">
        <v>0</v>
      </c>
      <c r="E21" s="3074">
        <f>SUM(E14*E28)</f>
        <v>617.09288878549978</v>
      </c>
      <c r="F21" s="3074">
        <f>SUM(F14*F28)</f>
        <v>613.48415844172484</v>
      </c>
      <c r="G21" s="3074">
        <f>SUM(G14*G28)</f>
        <v>613.48415844172484</v>
      </c>
      <c r="H21" s="3072">
        <f>SUM(E21:G21)</f>
        <v>1844.0612056689497</v>
      </c>
      <c r="I21" s="3074">
        <f>SUM(I14*I28)</f>
        <v>609.87542809794991</v>
      </c>
      <c r="J21" s="3074">
        <f>SUM(J14*J28)</f>
        <v>577.39685500397638</v>
      </c>
      <c r="K21" s="3074">
        <f>SUM(K14*K28)</f>
        <v>577.39685500397638</v>
      </c>
      <c r="L21" s="3072">
        <f>SUM(I21:K21)</f>
        <v>1764.6691381059027</v>
      </c>
      <c r="M21" s="3072">
        <f t="shared" ref="M21:M25" si="3">SUM(H21+L21)</f>
        <v>3608.7303437748524</v>
      </c>
      <c r="N21" s="3074">
        <f>SUM(N14*N28)</f>
        <v>1785.4551995315212</v>
      </c>
      <c r="O21" s="3074">
        <f>SUM(O14*O28)</f>
        <v>1785.4551995315212</v>
      </c>
      <c r="P21" s="3074">
        <f>SUM(P14*P28)</f>
        <v>1885.8870545051691</v>
      </c>
      <c r="Q21" s="3072">
        <f>SUM(N21:P21)</f>
        <v>5456.7974535682115</v>
      </c>
      <c r="R21" s="3072">
        <f t="shared" ref="R21:R25" si="4">SUM(M21+Q21)</f>
        <v>9065.5277973430639</v>
      </c>
      <c r="S21" s="3074">
        <f>SUM(S14*S28)</f>
        <v>1897.0461495022414</v>
      </c>
      <c r="T21" s="3074">
        <f>SUM(T14*T28)</f>
        <v>1897.0461495022414</v>
      </c>
      <c r="U21" s="3074">
        <f>SUM(U14*U28)</f>
        <v>1908.2052444993135</v>
      </c>
      <c r="V21" s="3072">
        <f>SUM(S21:U21)</f>
        <v>5702.2975435037961</v>
      </c>
      <c r="W21" s="3065">
        <f t="shared" si="0"/>
        <v>14767.825340846859</v>
      </c>
    </row>
    <row r="22" spans="1:23" ht="18.75" customHeight="1">
      <c r="A22" s="3078" t="s">
        <v>1755</v>
      </c>
      <c r="B22" s="3072">
        <f t="shared" si="1"/>
        <v>269.60622607925791</v>
      </c>
      <c r="C22" s="3072">
        <v>0</v>
      </c>
      <c r="D22" s="3072">
        <f>SUM(H22+L22+Q22+V22)</f>
        <v>269.60622607925791</v>
      </c>
      <c r="E22" s="3074">
        <f>SUM(E15*E29)</f>
        <v>22.467185506604824</v>
      </c>
      <c r="F22" s="3074">
        <f t="shared" ref="F22:K23" si="5">SUM(F15*F29)</f>
        <v>22.467185506604824</v>
      </c>
      <c r="G22" s="3074">
        <f t="shared" si="5"/>
        <v>22.467185506604824</v>
      </c>
      <c r="H22" s="3072">
        <f t="shared" ref="H22:H25" si="6">SUM(E22:G22)</f>
        <v>67.401556519814477</v>
      </c>
      <c r="I22" s="3074">
        <f t="shared" si="5"/>
        <v>22.467185506604824</v>
      </c>
      <c r="J22" s="3074">
        <f t="shared" si="5"/>
        <v>22.467185506604824</v>
      </c>
      <c r="K22" s="3074">
        <f t="shared" si="5"/>
        <v>22.467185506604824</v>
      </c>
      <c r="L22" s="3072">
        <f t="shared" ref="L22:L25" si="7">SUM(I22:K22)</f>
        <v>67.401556519814477</v>
      </c>
      <c r="M22" s="3072">
        <f t="shared" si="3"/>
        <v>134.80311303962895</v>
      </c>
      <c r="N22" s="3074">
        <f t="shared" ref="N22:P23" si="8">SUM(N15*N29)</f>
        <v>22.467185506604824</v>
      </c>
      <c r="O22" s="3074">
        <f t="shared" si="8"/>
        <v>22.467185506604824</v>
      </c>
      <c r="P22" s="3074">
        <f t="shared" si="8"/>
        <v>22.467185506604824</v>
      </c>
      <c r="Q22" s="3072">
        <f t="shared" ref="Q22:Q25" si="9">SUM(N22:P22)</f>
        <v>67.401556519814477</v>
      </c>
      <c r="R22" s="3072">
        <f t="shared" si="4"/>
        <v>202.20466955944343</v>
      </c>
      <c r="S22" s="3074">
        <f t="shared" ref="S22:U23" si="10">SUM(S15*S29)</f>
        <v>22.467185506604824</v>
      </c>
      <c r="T22" s="3074">
        <f t="shared" si="10"/>
        <v>22.467185506604824</v>
      </c>
      <c r="U22" s="3074">
        <f t="shared" si="10"/>
        <v>22.467185506604824</v>
      </c>
      <c r="V22" s="3072">
        <f t="shared" ref="V22:V25" si="11">SUM(S22:U22)</f>
        <v>67.401556519814477</v>
      </c>
      <c r="W22" s="3065">
        <f t="shared" si="0"/>
        <v>269.60622607925797</v>
      </c>
    </row>
    <row r="23" spans="1:23" ht="18.75" customHeight="1">
      <c r="A23" s="3078" t="s">
        <v>1715</v>
      </c>
      <c r="B23" s="3072">
        <f t="shared" si="1"/>
        <v>29114.76055868619</v>
      </c>
      <c r="C23" s="3072">
        <f t="shared" si="2"/>
        <v>29114.76055868619</v>
      </c>
      <c r="D23" s="3156">
        <v>0</v>
      </c>
      <c r="E23" s="3074">
        <f>SUM(E16*E30)</f>
        <v>2163.4727869939584</v>
      </c>
      <c r="F23" s="3074">
        <f t="shared" si="5"/>
        <v>2150.8208993507187</v>
      </c>
      <c r="G23" s="3074">
        <f t="shared" si="5"/>
        <v>2150.8208993507187</v>
      </c>
      <c r="H23" s="3072">
        <f t="shared" si="6"/>
        <v>6465.1145856953963</v>
      </c>
      <c r="I23" s="3074">
        <f t="shared" si="5"/>
        <v>2138.1690117074791</v>
      </c>
      <c r="J23" s="3074">
        <f t="shared" si="5"/>
        <v>2024.3020229183235</v>
      </c>
      <c r="K23" s="3074">
        <f t="shared" si="5"/>
        <v>2024.3020229183235</v>
      </c>
      <c r="L23" s="3072">
        <f t="shared" si="7"/>
        <v>6186.7730575441255</v>
      </c>
      <c r="M23" s="3072">
        <f t="shared" si="3"/>
        <v>12651.887643239523</v>
      </c>
      <c r="N23" s="3074">
        <f t="shared" si="8"/>
        <v>2634.0596664714672</v>
      </c>
      <c r="O23" s="3074">
        <f t="shared" si="8"/>
        <v>2634.0596664714672</v>
      </c>
      <c r="P23" s="3074">
        <f t="shared" si="8"/>
        <v>2782.225522710487</v>
      </c>
      <c r="Q23" s="3072">
        <f t="shared" si="9"/>
        <v>8050.3448556534213</v>
      </c>
      <c r="R23" s="3072">
        <f t="shared" si="4"/>
        <v>20702.232498892943</v>
      </c>
      <c r="S23" s="3074">
        <f t="shared" si="10"/>
        <v>2798.6883956259339</v>
      </c>
      <c r="T23" s="3074">
        <f t="shared" si="10"/>
        <v>2798.6883956259339</v>
      </c>
      <c r="U23" s="3074">
        <f t="shared" si="10"/>
        <v>2815.1512685413809</v>
      </c>
      <c r="V23" s="3072">
        <f t="shared" si="11"/>
        <v>8412.5280597932488</v>
      </c>
      <c r="W23" s="3065">
        <f t="shared" si="0"/>
        <v>29114.76055868619</v>
      </c>
    </row>
    <row r="24" spans="1:23" ht="18.75" customHeight="1">
      <c r="A24" s="3080" t="s">
        <v>1718</v>
      </c>
      <c r="B24" s="3070">
        <f>SUM(B20+B21+B22+B23)</f>
        <v>99259.792125612294</v>
      </c>
      <c r="C24" s="3070">
        <f>SUM(C20+C21+C22+C23)</f>
        <v>98990.18589953304</v>
      </c>
      <c r="D24" s="3070">
        <f>SUM(D20+D21+D22+D23)</f>
        <v>269.60622607925791</v>
      </c>
      <c r="E24" s="3081">
        <f>SUM(E20+E21+E22+E23)</f>
        <v>7378.2746612860628</v>
      </c>
      <c r="F24" s="3081">
        <f t="shared" ref="F24:G24" si="12">SUM(F20+F21+F22+F23)</f>
        <v>7335.2582432990475</v>
      </c>
      <c r="G24" s="3081">
        <f t="shared" si="12"/>
        <v>7335.2582432990475</v>
      </c>
      <c r="H24" s="3070">
        <f t="shared" si="6"/>
        <v>22048.791147884156</v>
      </c>
      <c r="I24" s="3081">
        <f t="shared" ref="I24:K24" si="13">SUM(I20+I21+I22+I23)</f>
        <v>7292.2418253120322</v>
      </c>
      <c r="J24" s="3081">
        <f t="shared" si="13"/>
        <v>6905.0940634289036</v>
      </c>
      <c r="K24" s="3081">
        <f t="shared" si="13"/>
        <v>6905.0940634289036</v>
      </c>
      <c r="L24" s="3070">
        <f t="shared" si="7"/>
        <v>21102.429952169841</v>
      </c>
      <c r="M24" s="3070">
        <f t="shared" si="3"/>
        <v>43151.221100053997</v>
      </c>
      <c r="N24" s="3081">
        <f t="shared" ref="N24:P24" si="14">SUM(N20+N21+N22+N23)</f>
        <v>8978.270051509593</v>
      </c>
      <c r="O24" s="3081">
        <f t="shared" si="14"/>
        <v>8978.270051509593</v>
      </c>
      <c r="P24" s="3081">
        <f t="shared" si="14"/>
        <v>9482.0339627222602</v>
      </c>
      <c r="Q24" s="3070">
        <f t="shared" si="9"/>
        <v>27438.574065741446</v>
      </c>
      <c r="R24" s="3070">
        <f t="shared" si="4"/>
        <v>70589.79516579544</v>
      </c>
      <c r="S24" s="3081">
        <f t="shared" ref="S24:U24" si="15">SUM(S20+S21+S22+S23)</f>
        <v>9538.0077306347794</v>
      </c>
      <c r="T24" s="3081">
        <f t="shared" si="15"/>
        <v>9538.0077306347794</v>
      </c>
      <c r="U24" s="3081">
        <f t="shared" si="15"/>
        <v>9593.9814985472985</v>
      </c>
      <c r="V24" s="3070">
        <f t="shared" si="11"/>
        <v>28669.996959816857</v>
      </c>
      <c r="W24" s="3061">
        <f t="shared" si="0"/>
        <v>99259.792125612294</v>
      </c>
    </row>
    <row r="25" spans="1:23" ht="18.75" customHeight="1">
      <c r="A25" s="3079" t="s">
        <v>1719</v>
      </c>
      <c r="B25" s="3076">
        <f t="shared" si="1"/>
        <v>-3902.11</v>
      </c>
      <c r="C25" s="3076">
        <f>SUM(H25+L25+Q25+V25)</f>
        <v>-3902.11</v>
      </c>
      <c r="D25" s="3157">
        <v>0</v>
      </c>
      <c r="E25" s="3075">
        <f>SUM(E70)</f>
        <v>-325.17583333333334</v>
      </c>
      <c r="F25" s="3075">
        <f t="shared" ref="F25:G25" si="16">SUM(F70)</f>
        <v>-325.17583333333334</v>
      </c>
      <c r="G25" s="3075">
        <f t="shared" si="16"/>
        <v>-325.17583333333334</v>
      </c>
      <c r="H25" s="3076">
        <f t="shared" si="6"/>
        <v>-975.52750000000003</v>
      </c>
      <c r="I25" s="3075">
        <f>SUM(I70)</f>
        <v>-325.17583333333334</v>
      </c>
      <c r="J25" s="3075">
        <f t="shared" ref="J25:K25" si="17">SUM(J70)</f>
        <v>-325.17583333333334</v>
      </c>
      <c r="K25" s="3075">
        <f t="shared" si="17"/>
        <v>-325.17583333333334</v>
      </c>
      <c r="L25" s="3076">
        <f t="shared" si="7"/>
        <v>-975.52750000000003</v>
      </c>
      <c r="M25" s="3076">
        <f t="shared" si="3"/>
        <v>-1951.0550000000001</v>
      </c>
      <c r="N25" s="3075">
        <f>SUM(N70)</f>
        <v>-325.17583333333334</v>
      </c>
      <c r="O25" s="3075">
        <f t="shared" ref="O25:P25" si="18">SUM(O70)</f>
        <v>-325.17583333333334</v>
      </c>
      <c r="P25" s="3075">
        <f t="shared" si="18"/>
        <v>-325.17583333333334</v>
      </c>
      <c r="Q25" s="3076">
        <f t="shared" si="9"/>
        <v>-975.52750000000003</v>
      </c>
      <c r="R25" s="3076">
        <f t="shared" si="4"/>
        <v>-2926.5825</v>
      </c>
      <c r="S25" s="3075">
        <f>SUM(S70)</f>
        <v>-325.17583333333334</v>
      </c>
      <c r="T25" s="3075">
        <f t="shared" ref="T25:U25" si="19">SUM(T70)</f>
        <v>-325.17583333333334</v>
      </c>
      <c r="U25" s="3075">
        <f t="shared" si="19"/>
        <v>-325.17583333333334</v>
      </c>
      <c r="V25" s="3076">
        <f t="shared" si="11"/>
        <v>-975.52750000000003</v>
      </c>
      <c r="W25" s="3065">
        <f t="shared" si="0"/>
        <v>-3902.1099999999992</v>
      </c>
    </row>
    <row r="26" spans="1:23" ht="18.75" customHeight="1">
      <c r="A26" s="3080" t="s">
        <v>1720</v>
      </c>
      <c r="B26" s="3070">
        <f>SUM(B24/B13)</f>
        <v>30.551533004900783</v>
      </c>
      <c r="C26" s="3070">
        <f>SUM(C24/C13)</f>
        <v>30.647116377564409</v>
      </c>
      <c r="D26" s="3070">
        <f>SUM(D24/D13)</f>
        <v>14.242272904345374</v>
      </c>
      <c r="E26" s="3081">
        <f>SUM(E24/E13)</f>
        <v>26.565162556274473</v>
      </c>
      <c r="F26" s="3081">
        <f t="shared" ref="F26:V26" si="20">SUM(F24/F13)</f>
        <v>26.564750860740229</v>
      </c>
      <c r="G26" s="3081">
        <f t="shared" si="20"/>
        <v>26.564750860740229</v>
      </c>
      <c r="H26" s="3070">
        <f t="shared" si="20"/>
        <v>26.564888626633401</v>
      </c>
      <c r="I26" s="3081">
        <f t="shared" si="20"/>
        <v>26.56433432106747</v>
      </c>
      <c r="J26" s="3081">
        <f t="shared" si="20"/>
        <v>26.560352582161549</v>
      </c>
      <c r="K26" s="3081">
        <f t="shared" si="20"/>
        <v>26.560352582161549</v>
      </c>
      <c r="L26" s="3070">
        <f t="shared" si="20"/>
        <v>26.561728393131052</v>
      </c>
      <c r="M26" s="3070">
        <f t="shared" si="20"/>
        <v>26.563343069905478</v>
      </c>
      <c r="N26" s="3081">
        <f t="shared" si="20"/>
        <v>34.534796478578315</v>
      </c>
      <c r="O26" s="3081">
        <f t="shared" si="20"/>
        <v>34.534796478578315</v>
      </c>
      <c r="P26" s="3081">
        <f t="shared" si="20"/>
        <v>34.541355904457035</v>
      </c>
      <c r="Q26" s="3070">
        <f t="shared" si="20"/>
        <v>34.537062958197097</v>
      </c>
      <c r="R26" s="3070">
        <f t="shared" si="20"/>
        <v>29.18220957624715</v>
      </c>
      <c r="S26" s="3081">
        <f t="shared" si="20"/>
        <v>34.542042102415657</v>
      </c>
      <c r="T26" s="3081">
        <f t="shared" si="20"/>
        <v>34.542042102415657</v>
      </c>
      <c r="U26" s="3081">
        <f t="shared" si="20"/>
        <v>34.542720320250943</v>
      </c>
      <c r="V26" s="3070">
        <f t="shared" si="20"/>
        <v>34.542269054806624</v>
      </c>
      <c r="W26" s="3082">
        <f>SUM(W24/W13)</f>
        <v>30.551533004900786</v>
      </c>
    </row>
    <row r="27" spans="1:23" ht="18.75" customHeight="1">
      <c r="A27" s="3079" t="s">
        <v>264</v>
      </c>
      <c r="B27" s="3076">
        <f>SUM(B20/B14)</f>
        <v>24.169999999999998</v>
      </c>
      <c r="C27" s="3076">
        <f>SUM(C20/C14)</f>
        <v>24.169999999999998</v>
      </c>
      <c r="D27" s="3157">
        <v>0</v>
      </c>
      <c r="E27" s="3075">
        <f>SUM('Произв. прогр. Стоки'!E27)</f>
        <v>23.47</v>
      </c>
      <c r="F27" s="3075">
        <f>SUM(E27)</f>
        <v>23.47</v>
      </c>
      <c r="G27" s="3075">
        <f>SUM(E27)</f>
        <v>23.47</v>
      </c>
      <c r="H27" s="3076">
        <f>SUM(G27)</f>
        <v>23.47</v>
      </c>
      <c r="I27" s="3075">
        <f>SUM(E27)</f>
        <v>23.47</v>
      </c>
      <c r="J27" s="3075">
        <f>SUM(E27)</f>
        <v>23.47</v>
      </c>
      <c r="K27" s="3075">
        <f>SUM(E27)</f>
        <v>23.47</v>
      </c>
      <c r="L27" s="3076">
        <f>SUM(K27)</f>
        <v>23.47</v>
      </c>
      <c r="M27" s="3076">
        <f>SUM(L27)</f>
        <v>23.47</v>
      </c>
      <c r="N27" s="3075">
        <f>SUM('Произв. прогр. Стоки'!N27)</f>
        <v>24.87</v>
      </c>
      <c r="O27" s="3075">
        <f>SUM(N27)</f>
        <v>24.87</v>
      </c>
      <c r="P27" s="3075">
        <f>SUM(N27)</f>
        <v>24.87</v>
      </c>
      <c r="Q27" s="3076">
        <f>SUM(P27)</f>
        <v>24.87</v>
      </c>
      <c r="R27" s="3076">
        <f>SUM(Q27)</f>
        <v>24.87</v>
      </c>
      <c r="S27" s="3075">
        <f>SUM(N27)</f>
        <v>24.87</v>
      </c>
      <c r="T27" s="3075">
        <f>SUM(S27)</f>
        <v>24.87</v>
      </c>
      <c r="U27" s="3075">
        <f>SUM(S27)</f>
        <v>24.87</v>
      </c>
      <c r="V27" s="3076">
        <f>SUM(U27)</f>
        <v>24.87</v>
      </c>
      <c r="W27" s="3083">
        <f>SUM(W20/W14)</f>
        <v>24.17</v>
      </c>
    </row>
    <row r="28" spans="1:23" ht="18.75" customHeight="1">
      <c r="A28" s="3079" t="s">
        <v>1721</v>
      </c>
      <c r="B28" s="3076">
        <f>SUM(B21/B14)</f>
        <v>6.4771163775644123</v>
      </c>
      <c r="C28" s="3076">
        <f>SUM(C21/C14)</f>
        <v>6.4771163775644123</v>
      </c>
      <c r="D28" s="3157">
        <v>0</v>
      </c>
      <c r="E28" s="3075">
        <f>SUM(E30-E27)</f>
        <v>3.1655529331358352</v>
      </c>
      <c r="F28" s="3075">
        <f t="shared" ref="F28:U28" si="21">SUM(F30-F27)</f>
        <v>3.1655529331358352</v>
      </c>
      <c r="G28" s="3075">
        <f t="shared" si="21"/>
        <v>3.1655529331358352</v>
      </c>
      <c r="H28" s="3076">
        <f t="shared" ref="H28:H30" si="22">SUM(G28)</f>
        <v>3.1655529331358352</v>
      </c>
      <c r="I28" s="3075">
        <f t="shared" si="21"/>
        <v>3.1655529331358352</v>
      </c>
      <c r="J28" s="3075">
        <f t="shared" si="21"/>
        <v>3.1655529331358352</v>
      </c>
      <c r="K28" s="3075">
        <f t="shared" si="21"/>
        <v>3.1655529331358352</v>
      </c>
      <c r="L28" s="3076">
        <f t="shared" ref="L28:M30" si="23">SUM(K28)</f>
        <v>3.1655529331358352</v>
      </c>
      <c r="M28" s="3076">
        <f t="shared" si="23"/>
        <v>3.1655529331358352</v>
      </c>
      <c r="N28" s="3075">
        <f t="shared" si="21"/>
        <v>9.7886798219929894</v>
      </c>
      <c r="O28" s="3075">
        <f t="shared" si="21"/>
        <v>9.7886798219929894</v>
      </c>
      <c r="P28" s="3075">
        <f t="shared" si="21"/>
        <v>9.7886798219929894</v>
      </c>
      <c r="Q28" s="3076">
        <f t="shared" ref="Q28:R30" si="24">SUM(P28)</f>
        <v>9.7886798219929894</v>
      </c>
      <c r="R28" s="3076">
        <f t="shared" si="24"/>
        <v>9.7886798219929894</v>
      </c>
      <c r="S28" s="3075">
        <f t="shared" si="21"/>
        <v>9.7886798219929894</v>
      </c>
      <c r="T28" s="3075">
        <f t="shared" si="21"/>
        <v>9.7886798219929894</v>
      </c>
      <c r="U28" s="3075">
        <f t="shared" si="21"/>
        <v>9.7886798219929894</v>
      </c>
      <c r="V28" s="3076">
        <f t="shared" ref="V28:V30" si="25">SUM(U28)</f>
        <v>9.7886798219929894</v>
      </c>
      <c r="W28" s="3083">
        <f>SUM(W21/W14)</f>
        <v>6.4771163775644123</v>
      </c>
    </row>
    <row r="29" spans="1:23" ht="18.75" customHeight="1">
      <c r="A29" s="3079" t="s">
        <v>1753</v>
      </c>
      <c r="B29" s="3076">
        <f>SUM(B22/B15)</f>
        <v>14.242272904345374</v>
      </c>
      <c r="C29" s="3076">
        <v>0</v>
      </c>
      <c r="D29" s="3076">
        <f>SUM(D22/D15)</f>
        <v>14.242272904345374</v>
      </c>
      <c r="E29" s="3075">
        <f>SUM('Произв. прогр. Стоки'!E29)</f>
        <v>14.242272904345374</v>
      </c>
      <c r="F29" s="3075">
        <f>SUM(E29)</f>
        <v>14.242272904345374</v>
      </c>
      <c r="G29" s="3075">
        <f>SUM(E29)</f>
        <v>14.242272904345374</v>
      </c>
      <c r="H29" s="3076">
        <f>SUM(G29)</f>
        <v>14.242272904345374</v>
      </c>
      <c r="I29" s="3075">
        <f>SUM(E29)</f>
        <v>14.242272904345374</v>
      </c>
      <c r="J29" s="3075">
        <f>SUM(E29)</f>
        <v>14.242272904345374</v>
      </c>
      <c r="K29" s="3075">
        <f>SUM(E29)</f>
        <v>14.242272904345374</v>
      </c>
      <c r="L29" s="3076">
        <f>SUM(K29)</f>
        <v>14.242272904345374</v>
      </c>
      <c r="M29" s="3076">
        <f>SUM(L29)</f>
        <v>14.242272904345374</v>
      </c>
      <c r="N29" s="3075">
        <f>SUM('Произв. прогр. Стоки'!N29)</f>
        <v>14.242272904345374</v>
      </c>
      <c r="O29" s="3075">
        <f>SUM(N29)</f>
        <v>14.242272904345374</v>
      </c>
      <c r="P29" s="3075">
        <f>SUM(N29)</f>
        <v>14.242272904345374</v>
      </c>
      <c r="Q29" s="3076">
        <f>SUM(P29)</f>
        <v>14.242272904345374</v>
      </c>
      <c r="R29" s="3076">
        <f>SUM(Q29)</f>
        <v>14.242272904345374</v>
      </c>
      <c r="S29" s="3075">
        <f>SUM(N29)</f>
        <v>14.242272904345374</v>
      </c>
      <c r="T29" s="3075">
        <f>SUM(S29)</f>
        <v>14.242272904345374</v>
      </c>
      <c r="U29" s="3075">
        <f>SUM(S29)</f>
        <v>14.242272904345374</v>
      </c>
      <c r="V29" s="3076">
        <f>SUM(U29)</f>
        <v>14.242272904345374</v>
      </c>
      <c r="W29" s="3083">
        <f>SUM(W22/W15)</f>
        <v>14.242272904345374</v>
      </c>
    </row>
    <row r="30" spans="1:23" ht="18.75" customHeight="1">
      <c r="A30" s="3079" t="s">
        <v>265</v>
      </c>
      <c r="B30" s="3076">
        <f>SUM(B23/B16)</f>
        <v>30.647116377564412</v>
      </c>
      <c r="C30" s="3076">
        <f>SUM(C23/C16)</f>
        <v>30.647116377564412</v>
      </c>
      <c r="D30" s="3076">
        <v>0</v>
      </c>
      <c r="E30" s="3075">
        <f>SUM('Произв. прогр. Стоки'!E30)</f>
        <v>26.635552933135834</v>
      </c>
      <c r="F30" s="3075">
        <f>SUM(E30)</f>
        <v>26.635552933135834</v>
      </c>
      <c r="G30" s="3075">
        <f>SUM(E30)</f>
        <v>26.635552933135834</v>
      </c>
      <c r="H30" s="3076">
        <f t="shared" si="22"/>
        <v>26.635552933135834</v>
      </c>
      <c r="I30" s="3075">
        <f>SUM(E30)</f>
        <v>26.635552933135834</v>
      </c>
      <c r="J30" s="3075">
        <f>SUM(E30)</f>
        <v>26.635552933135834</v>
      </c>
      <c r="K30" s="3075">
        <f>SUM(E30)</f>
        <v>26.635552933135834</v>
      </c>
      <c r="L30" s="3076">
        <f t="shared" si="23"/>
        <v>26.635552933135834</v>
      </c>
      <c r="M30" s="3076">
        <f t="shared" si="23"/>
        <v>26.635552933135834</v>
      </c>
      <c r="N30" s="3075">
        <f>SUM('Произв. прогр. Стоки'!N30)</f>
        <v>34.65867982199299</v>
      </c>
      <c r="O30" s="3075">
        <f>SUM(N30)</f>
        <v>34.65867982199299</v>
      </c>
      <c r="P30" s="3075">
        <f>SUM(N30)</f>
        <v>34.65867982199299</v>
      </c>
      <c r="Q30" s="3076">
        <f t="shared" si="24"/>
        <v>34.65867982199299</v>
      </c>
      <c r="R30" s="3076">
        <f t="shared" si="24"/>
        <v>34.65867982199299</v>
      </c>
      <c r="S30" s="3075">
        <f>SUM(N30)</f>
        <v>34.65867982199299</v>
      </c>
      <c r="T30" s="3075">
        <f>SUM(N30)</f>
        <v>34.65867982199299</v>
      </c>
      <c r="U30" s="3075">
        <f>SUM(N30)</f>
        <v>34.65867982199299</v>
      </c>
      <c r="V30" s="3076">
        <f t="shared" si="25"/>
        <v>34.65867982199299</v>
      </c>
      <c r="W30" s="3083">
        <f>SUM(W23/W16)</f>
        <v>30.647116377564412</v>
      </c>
    </row>
    <row r="31" spans="1:23" ht="18.75" customHeight="1">
      <c r="A31" s="4991" t="s">
        <v>1722</v>
      </c>
      <c r="B31" s="4992"/>
      <c r="C31" s="4992"/>
      <c r="D31" s="4993"/>
      <c r="E31" s="4993"/>
      <c r="F31" s="4993"/>
      <c r="G31" s="4993"/>
      <c r="H31" s="4993"/>
      <c r="I31" s="4993"/>
      <c r="J31" s="4993"/>
      <c r="K31" s="4993"/>
      <c r="L31" s="4993"/>
      <c r="M31" s="4993"/>
      <c r="N31" s="4993"/>
      <c r="O31" s="4993"/>
      <c r="P31" s="4993"/>
      <c r="Q31" s="4993"/>
      <c r="R31" s="4993"/>
      <c r="S31" s="4993"/>
      <c r="T31" s="4993"/>
      <c r="U31" s="4993"/>
      <c r="V31" s="4994"/>
      <c r="W31" s="3107"/>
    </row>
    <row r="32" spans="1:23" ht="19.5" customHeight="1">
      <c r="A32" s="4981" t="s">
        <v>545</v>
      </c>
      <c r="B32" s="4982" t="s">
        <v>1960</v>
      </c>
      <c r="C32" s="4982" t="s">
        <v>1560</v>
      </c>
      <c r="D32" s="4995"/>
      <c r="E32" s="4981" t="s">
        <v>586</v>
      </c>
      <c r="F32" s="4981" t="s">
        <v>587</v>
      </c>
      <c r="G32" s="4981" t="s">
        <v>588</v>
      </c>
      <c r="H32" s="4984" t="s">
        <v>600</v>
      </c>
      <c r="I32" s="4981" t="s">
        <v>589</v>
      </c>
      <c r="J32" s="4981" t="s">
        <v>590</v>
      </c>
      <c r="K32" s="4981" t="s">
        <v>591</v>
      </c>
      <c r="L32" s="4984" t="s">
        <v>599</v>
      </c>
      <c r="M32" s="4984" t="s">
        <v>598</v>
      </c>
      <c r="N32" s="4981" t="s">
        <v>592</v>
      </c>
      <c r="O32" s="4981" t="s">
        <v>593</v>
      </c>
      <c r="P32" s="4981" t="s">
        <v>594</v>
      </c>
      <c r="Q32" s="4984" t="s">
        <v>225</v>
      </c>
      <c r="R32" s="4984" t="s">
        <v>229</v>
      </c>
      <c r="S32" s="4981" t="s">
        <v>595</v>
      </c>
      <c r="T32" s="4981" t="s">
        <v>596</v>
      </c>
      <c r="U32" s="4981" t="s">
        <v>597</v>
      </c>
      <c r="V32" s="4984" t="s">
        <v>135</v>
      </c>
      <c r="W32" s="4985" t="s">
        <v>601</v>
      </c>
    </row>
    <row r="33" spans="1:23" ht="41.25" customHeight="1">
      <c r="A33" s="4981"/>
      <c r="B33" s="4982"/>
      <c r="C33" s="4621" t="s">
        <v>351</v>
      </c>
      <c r="D33" s="4621" t="s">
        <v>1750</v>
      </c>
      <c r="E33" s="4981"/>
      <c r="F33" s="4981"/>
      <c r="G33" s="4981"/>
      <c r="H33" s="4984"/>
      <c r="I33" s="4981"/>
      <c r="J33" s="4981"/>
      <c r="K33" s="4981"/>
      <c r="L33" s="4984"/>
      <c r="M33" s="4984"/>
      <c r="N33" s="4981"/>
      <c r="O33" s="4981"/>
      <c r="P33" s="4981"/>
      <c r="Q33" s="4984"/>
      <c r="R33" s="4984"/>
      <c r="S33" s="4981"/>
      <c r="T33" s="4981"/>
      <c r="U33" s="4981"/>
      <c r="V33" s="4984"/>
      <c r="W33" s="4985"/>
    </row>
    <row r="34" spans="1:23" ht="18.75" customHeight="1">
      <c r="A34" s="3062" t="s">
        <v>1</v>
      </c>
      <c r="B34" s="3063">
        <f t="shared" ref="B34:B40" si="26">SUM(C34:D34)</f>
        <v>7949.41937884857</v>
      </c>
      <c r="C34" s="3063">
        <f>SUM('Произв. прогр. Стоки'!C35+'Произв. прогр. Стоки'!C54)</f>
        <v>7912.7293788485704</v>
      </c>
      <c r="D34" s="3063">
        <f>SUM('Произв. прогр. Стоки'!D35+'Произв. прогр. Стоки'!D54)</f>
        <v>36.69</v>
      </c>
      <c r="E34" s="3092">
        <f>SUM('Произв. прогр. Стоки'!E35+'Произв. прогр. Стоки'!E54)</f>
        <v>656.59418528024992</v>
      </c>
      <c r="F34" s="3092">
        <f>SUM('Произв. прогр. Стоки'!F35+'Произв. прогр. Стоки'!F54)</f>
        <v>652.77626181075004</v>
      </c>
      <c r="G34" s="3092">
        <f>SUM('Произв. прогр. Стоки'!G35+'Произв. прогр. Стоки'!G54)</f>
        <v>652.77626181075004</v>
      </c>
      <c r="H34" s="3063">
        <f>SUM('Произв. прогр. Стоки'!H35+'Произв. прогр. Стоки'!H54)</f>
        <v>1962.1467089017497</v>
      </c>
      <c r="I34" s="3092">
        <f>SUM('Произв. прогр. Стоки'!I35+'Произв. прогр. Стоки'!I54)</f>
        <v>648.95833834124983</v>
      </c>
      <c r="J34" s="3092">
        <f>SUM('Произв. прогр. Стоки'!J35+'Произв. прогр. Стоки'!J54)</f>
        <v>614.59702711574994</v>
      </c>
      <c r="K34" s="3092">
        <f>SUM('Произв. прогр. Стоки'!K35+'Произв. прогр. Стоки'!K54)</f>
        <v>614.59702711574994</v>
      </c>
      <c r="L34" s="3063">
        <f>SUM('Произв. прогр. Стоки'!L35+'Произв. прогр. Стоки'!L54)</f>
        <v>1878.1523925727497</v>
      </c>
      <c r="M34" s="3063">
        <f>SUM('Произв. прогр. Стоки'!M35+'Произв. прогр. Стоки'!M54)</f>
        <v>3840.2991014744994</v>
      </c>
      <c r="N34" s="3092">
        <f>SUM('Произв. прогр. Стоки'!N35+'Произв. прогр. Стоки'!N54)</f>
        <v>657.61881901385254</v>
      </c>
      <c r="O34" s="3092">
        <f>SUM('Произв. прогр. Стоки'!O35+'Произв. прогр. Стоки'!O54)</f>
        <v>657.61881901385254</v>
      </c>
      <c r="P34" s="3092">
        <f>SUM('Произв. прогр. Стоки'!P35+'Произв. прогр. Стоки'!P54)</f>
        <v>694.38542202513736</v>
      </c>
      <c r="Q34" s="3063">
        <f>SUM('Произв. прогр. Стоки'!Q35+'Произв. прогр. Стоки'!Q54)</f>
        <v>2009.6230600528424</v>
      </c>
      <c r="R34" s="3063">
        <f>SUM('Произв. прогр. Стоки'!R35+'Произв. прогр. Стоки'!R54)</f>
        <v>5849.9221615273409</v>
      </c>
      <c r="S34" s="3092">
        <f>SUM('Произв. прогр. Стоки'!S35+'Произв. прогр. Стоки'!S54)</f>
        <v>698.47060013750252</v>
      </c>
      <c r="T34" s="3092">
        <f>SUM('Произв. прогр. Стоки'!T35+'Произв. прогр. Стоки'!T54)</f>
        <v>698.47060013750252</v>
      </c>
      <c r="U34" s="3092">
        <f>SUM('Произв. прогр. Стоки'!U35+'Произв. прогр. Стоки'!U54)</f>
        <v>702.55577824986767</v>
      </c>
      <c r="V34" s="3063">
        <f>SUM('Произв. прогр. Стоки'!V35+'Произв. прогр. Стоки'!V54)</f>
        <v>2099.4969785248727</v>
      </c>
      <c r="W34" s="3065">
        <f t="shared" ref="W34:W71" si="27">SUM(E34+F34+G34+I34+J34+K34+N34+O34+P34+S34+T34+U34)</f>
        <v>7949.4191400522141</v>
      </c>
    </row>
    <row r="35" spans="1:23" ht="18.75" customHeight="1">
      <c r="A35" s="3062" t="s">
        <v>2</v>
      </c>
      <c r="B35" s="3063">
        <f t="shared" si="26"/>
        <v>5036.88</v>
      </c>
      <c r="C35" s="3063">
        <f>SUM('Произв. прогр. Стоки'!C36+'Произв. прогр. Стоки'!C56+'Произв. прогр. Стоки'!C93+'Произв. прогр. Стоки'!C108)</f>
        <v>5031.76</v>
      </c>
      <c r="D35" s="3063">
        <f>SUM('Произв. прогр. Стоки'!D36+'Произв. прогр. Стоки'!D56+'Произв. прогр. Стоки'!D93+'Произв. прогр. Стоки'!D108)</f>
        <v>5.12</v>
      </c>
      <c r="E35" s="3092">
        <f>SUM('Произв. прогр. Стоки'!E36+'Произв. прогр. Стоки'!E56+'Произв. прогр. Стоки'!E93+'Произв. прогр. Стоки'!E108)</f>
        <v>419.74</v>
      </c>
      <c r="F35" s="3092">
        <f>SUM('Произв. прогр. Стоки'!F36+'Произв. прогр. Стоки'!F56+'Произв. прогр. Стоки'!F93+'Произв. прогр. Стоки'!F108)</f>
        <v>419.74</v>
      </c>
      <c r="G35" s="3092">
        <f>SUM('Произв. прогр. Стоки'!G36+'Произв. прогр. Стоки'!G56+'Произв. прогр. Стоки'!G93+'Произв. прогр. Стоки'!G108)</f>
        <v>419.74</v>
      </c>
      <c r="H35" s="3063">
        <f>SUM('Произв. прогр. Стоки'!H36+'Произв. прогр. Стоки'!H56+'Произв. прогр. Стоки'!H93+'Произв. прогр. Стоки'!H108)</f>
        <v>1259.22</v>
      </c>
      <c r="I35" s="3092">
        <f>SUM('Произв. прогр. Стоки'!I36+'Произв. прогр. Стоки'!I56+'Произв. прогр. Стоки'!I93+'Произв. прогр. Стоки'!I108)</f>
        <v>419.74</v>
      </c>
      <c r="J35" s="3092">
        <f>SUM('Произв. прогр. Стоки'!J36+'Произв. прогр. Стоки'!J56+'Произв. прогр. Стоки'!J93+'Произв. прогр. Стоки'!J108)</f>
        <v>419.74</v>
      </c>
      <c r="K35" s="3092">
        <f>SUM('Произв. прогр. Стоки'!K36+'Произв. прогр. Стоки'!K56+'Произв. прогр. Стоки'!K93+'Произв. прогр. Стоки'!K108)</f>
        <v>419.74</v>
      </c>
      <c r="L35" s="3063">
        <f>SUM('Произв. прогр. Стоки'!L36+'Произв. прогр. Стоки'!L56+'Произв. прогр. Стоки'!L93+'Произв. прогр. Стоки'!L108)</f>
        <v>1259.22</v>
      </c>
      <c r="M35" s="3063">
        <f>SUM('Произв. прогр. Стоки'!M36+'Произв. прогр. Стоки'!M56+'Произв. прогр. Стоки'!M93+'Произв. прогр. Стоки'!M108)</f>
        <v>2518.44</v>
      </c>
      <c r="N35" s="3092">
        <f>SUM('Произв. прогр. Стоки'!N36+'Произв. прогр. Стоки'!N56+'Произв. прогр. Стоки'!N93+'Произв. прогр. Стоки'!N108)</f>
        <v>419.74</v>
      </c>
      <c r="O35" s="3092">
        <f>SUM('Произв. прогр. Стоки'!O36+'Произв. прогр. Стоки'!O56+'Произв. прогр. Стоки'!O93+'Произв. прогр. Стоки'!O108)</f>
        <v>419.74</v>
      </c>
      <c r="P35" s="3092">
        <f>SUM('Произв. прогр. Стоки'!P36+'Произв. прогр. Стоки'!P56+'Произв. прогр. Стоки'!P93+'Произв. прогр. Стоки'!P108)</f>
        <v>419.74</v>
      </c>
      <c r="Q35" s="3063">
        <f>SUM('Произв. прогр. Стоки'!Q36+'Произв. прогр. Стоки'!Q56+'Произв. прогр. Стоки'!Q93+'Произв. прогр. Стоки'!Q108)</f>
        <v>1259.22</v>
      </c>
      <c r="R35" s="3063">
        <f>SUM('Произв. прогр. Стоки'!R36+'Произв. прогр. Стоки'!R56+'Произв. прогр. Стоки'!R93+'Произв. прогр. Стоки'!R108)</f>
        <v>3777.66</v>
      </c>
      <c r="S35" s="3092">
        <f>SUM('Произв. прогр. Стоки'!S36+'Произв. прогр. Стоки'!S56+'Произв. прогр. Стоки'!S93+'Произв. прогр. Стоки'!S108)</f>
        <v>419.74</v>
      </c>
      <c r="T35" s="3092">
        <f>SUM('Произв. прогр. Стоки'!T36+'Произв. прогр. Стоки'!T56+'Произв. прогр. Стоки'!T93+'Произв. прогр. Стоки'!T108)</f>
        <v>419.74</v>
      </c>
      <c r="U35" s="3092">
        <f>SUM('Произв. прогр. Стоки'!U36+'Произв. прогр. Стоки'!U56+'Произв. прогр. Стоки'!U93+'Произв. прогр. Стоки'!U108)</f>
        <v>419.74</v>
      </c>
      <c r="V35" s="3063">
        <f>SUM('Произв. прогр. Стоки'!V36+'Произв. прогр. Стоки'!V56+'Произв. прогр. Стоки'!V93+'Произв. прогр. Стоки'!V108)</f>
        <v>1259.22</v>
      </c>
      <c r="W35" s="3065">
        <f t="shared" si="27"/>
        <v>5036.8799999999983</v>
      </c>
    </row>
    <row r="36" spans="1:23" ht="18.75" customHeight="1">
      <c r="A36" s="3062" t="s">
        <v>219</v>
      </c>
      <c r="B36" s="3063">
        <f t="shared" si="26"/>
        <v>0</v>
      </c>
      <c r="C36" s="3063">
        <v>0</v>
      </c>
      <c r="D36" s="3063">
        <v>0</v>
      </c>
      <c r="E36" s="3092">
        <v>0</v>
      </c>
      <c r="F36" s="3092">
        <v>0</v>
      </c>
      <c r="G36" s="3092">
        <v>0</v>
      </c>
      <c r="H36" s="3072">
        <f t="shared" ref="H36:H71" si="28">SUM(E36+F36+G36)</f>
        <v>0</v>
      </c>
      <c r="I36" s="3092">
        <v>0</v>
      </c>
      <c r="J36" s="3092">
        <v>0</v>
      </c>
      <c r="K36" s="3092">
        <v>0</v>
      </c>
      <c r="L36" s="3072">
        <f t="shared" ref="L36" si="29">SUM(I36+J36+K36)</f>
        <v>0</v>
      </c>
      <c r="M36" s="3072">
        <f t="shared" ref="M36" si="30">SUM(H36+L36)</f>
        <v>0</v>
      </c>
      <c r="N36" s="3092">
        <v>0</v>
      </c>
      <c r="O36" s="3092">
        <v>0</v>
      </c>
      <c r="P36" s="3092">
        <v>0</v>
      </c>
      <c r="Q36" s="3072">
        <f t="shared" ref="Q36" si="31">SUM(N36+O36+P36)</f>
        <v>0</v>
      </c>
      <c r="R36" s="3072">
        <f t="shared" ref="R36" si="32">SUM(M36+Q36)</f>
        <v>0</v>
      </c>
      <c r="S36" s="3092">
        <v>0</v>
      </c>
      <c r="T36" s="3092">
        <v>0</v>
      </c>
      <c r="U36" s="3092">
        <v>0</v>
      </c>
      <c r="V36" s="3072">
        <f t="shared" ref="V36:V71" si="33">SUM(S36+T36+U36)</f>
        <v>0</v>
      </c>
      <c r="W36" s="3065">
        <f t="shared" si="27"/>
        <v>0</v>
      </c>
    </row>
    <row r="37" spans="1:23" ht="18.75" customHeight="1">
      <c r="A37" s="3062" t="s">
        <v>8</v>
      </c>
      <c r="B37" s="3063">
        <f t="shared" si="26"/>
        <v>326.33343701052956</v>
      </c>
      <c r="C37" s="3063">
        <f>SUM('Произв. прогр. Стоки'!C55)</f>
        <v>324.01662962275776</v>
      </c>
      <c r="D37" s="3063">
        <f>SUM('Произв. прогр. Стоки'!D55)</f>
        <v>2.316807387771787</v>
      </c>
      <c r="E37" s="3092">
        <f>SUM('Произв. прогр. Стоки'!E55)</f>
        <v>27.194453084210796</v>
      </c>
      <c r="F37" s="3092">
        <f>SUM('Произв. прогр. Стоки'!F55)</f>
        <v>27.194453084210796</v>
      </c>
      <c r="G37" s="3092">
        <f>SUM('Произв. прогр. Стоки'!G55)</f>
        <v>27.194453084210796</v>
      </c>
      <c r="H37" s="3063">
        <f>SUM('Произв. прогр. Стоки'!H55)</f>
        <v>81.583359252632391</v>
      </c>
      <c r="I37" s="3092">
        <f>SUM('Произв. прогр. Стоки'!I55)</f>
        <v>27.194453084210796</v>
      </c>
      <c r="J37" s="3092">
        <f>SUM('Произв. прогр. Стоки'!J55)</f>
        <v>27.194453084210796</v>
      </c>
      <c r="K37" s="3092">
        <f>SUM('Произв. прогр. Стоки'!K55)</f>
        <v>27.194453084210796</v>
      </c>
      <c r="L37" s="3063">
        <f>SUM('Произв. прогр. Стоки'!L55)</f>
        <v>81.583359252632391</v>
      </c>
      <c r="M37" s="3063">
        <f>SUM('Произв. прогр. Стоки'!M55)</f>
        <v>163.16671850526478</v>
      </c>
      <c r="N37" s="3092">
        <f>SUM('Произв. прогр. Стоки'!N55)</f>
        <v>27.194453084210796</v>
      </c>
      <c r="O37" s="3092">
        <f>SUM('Произв. прогр. Стоки'!O55)</f>
        <v>27.194453084210796</v>
      </c>
      <c r="P37" s="3092">
        <f>SUM('Произв. прогр. Стоки'!P55)</f>
        <v>27.194453084210796</v>
      </c>
      <c r="Q37" s="3063">
        <f>SUM('Произв. прогр. Стоки'!Q55)</f>
        <v>81.583359252632391</v>
      </c>
      <c r="R37" s="3063">
        <f>SUM('Произв. прогр. Стоки'!R55)</f>
        <v>244.75007775789717</v>
      </c>
      <c r="S37" s="3092">
        <f>SUM('Произв. прогр. Стоки'!S55)</f>
        <v>27.194453084210796</v>
      </c>
      <c r="T37" s="3092">
        <f>SUM('Произв. прогр. Стоки'!T55)</f>
        <v>27.194453084210796</v>
      </c>
      <c r="U37" s="3092">
        <f>SUM('Произв. прогр. Стоки'!U55)</f>
        <v>27.194453084210796</v>
      </c>
      <c r="V37" s="3063">
        <f>SUM('Произв. прогр. Стоки'!V55)</f>
        <v>81.583359252632391</v>
      </c>
      <c r="W37" s="3111">
        <f t="shared" si="27"/>
        <v>326.33343701052962</v>
      </c>
    </row>
    <row r="38" spans="1:23" ht="18.75" customHeight="1">
      <c r="A38" s="3062" t="s">
        <v>3</v>
      </c>
      <c r="B38" s="3063">
        <f t="shared" si="26"/>
        <v>336.26021852982592</v>
      </c>
      <c r="C38" s="3063">
        <f>SUM('Произв. прогр. Стоки'!C38+'Произв. прогр. Стоки'!C58+'Произв. прогр. Стоки'!C89+'Произв. прогр. Стоки'!C110)</f>
        <v>336.26021852982592</v>
      </c>
      <c r="D38" s="3063">
        <f>SUM('Произв. прогр. Стоки'!D38+'Произв. прогр. Стоки'!D58+'Произв. прогр. Стоки'!D89+'Произв. прогр. Стоки'!D110)</f>
        <v>0</v>
      </c>
      <c r="E38" s="3092">
        <f>SUM('Произв. прогр. Стоки'!E38+'Произв. прогр. Стоки'!E58+'Произв. прогр. Стоки'!E89+'Произв. прогр. Стоки'!E110)</f>
        <v>28.021684877485498</v>
      </c>
      <c r="F38" s="3092">
        <f>SUM('Произв. прогр. Стоки'!F38+'Произв. прогр. Стоки'!F58+'Произв. прогр. Стоки'!F89+'Произв. прогр. Стоки'!F110)</f>
        <v>28.021684877485498</v>
      </c>
      <c r="G38" s="3092">
        <f>SUM('Произв. прогр. Стоки'!G38+'Произв. прогр. Стоки'!G58+'Произв. прогр. Стоки'!G89+'Произв. прогр. Стоки'!G110)</f>
        <v>28.021684877485498</v>
      </c>
      <c r="H38" s="3063">
        <f>SUM('Произв. прогр. Стоки'!H38+'Произв. прогр. Стоки'!H58+'Произв. прогр. Стоки'!H89+'Произв. прогр. Стоки'!H110)</f>
        <v>84.06505463245648</v>
      </c>
      <c r="I38" s="3092">
        <f>SUM('Произв. прогр. Стоки'!I38+'Произв. прогр. Стоки'!I58+'Произв. прогр. Стоки'!I89+'Произв. прогр. Стоки'!I110)</f>
        <v>28.021684877485498</v>
      </c>
      <c r="J38" s="3092">
        <f>SUM('Произв. прогр. Стоки'!J38+'Произв. прогр. Стоки'!J58+'Произв. прогр. Стоки'!J89+'Произв. прогр. Стоки'!J110)</f>
        <v>28.021684877485498</v>
      </c>
      <c r="K38" s="3092">
        <f>SUM('Произв. прогр. Стоки'!K38+'Произв. прогр. Стоки'!K58+'Произв. прогр. Стоки'!K89+'Произв. прогр. Стоки'!K110)</f>
        <v>28.021684877485498</v>
      </c>
      <c r="L38" s="3063">
        <f>SUM('Произв. прогр. Стоки'!L38+'Произв. прогр. Стоки'!L58+'Произв. прогр. Стоки'!L89+'Произв. прогр. Стоки'!L110)</f>
        <v>84.06505463245648</v>
      </c>
      <c r="M38" s="3063">
        <f>SUM('Произв. прогр. Стоки'!M38+'Произв. прогр. Стоки'!M58+'Произв. прогр. Стоки'!M89+'Произв. прогр. Стоки'!M110)</f>
        <v>168.13010926491296</v>
      </c>
      <c r="N38" s="3092">
        <f>SUM('Произв. прогр. Стоки'!N38+'Произв. прогр. Стоки'!N58+'Произв. прогр. Стоки'!N89+'Произв. прогр. Стоки'!N110)</f>
        <v>28.021684877485498</v>
      </c>
      <c r="O38" s="3092">
        <f>SUM('Произв. прогр. Стоки'!O38+'Произв. прогр. Стоки'!O58+'Произв. прогр. Стоки'!O89+'Произв. прогр. Стоки'!O110)</f>
        <v>28.021684877485498</v>
      </c>
      <c r="P38" s="3092">
        <f>SUM('Произв. прогр. Стоки'!P38+'Произв. прогр. Стоки'!P58+'Произв. прогр. Стоки'!P89+'Произв. прогр. Стоки'!P110)</f>
        <v>28.021684877485498</v>
      </c>
      <c r="Q38" s="3063">
        <f>SUM('Произв. прогр. Стоки'!Q38+'Произв. прогр. Стоки'!Q58+'Произв. прогр. Стоки'!Q89+'Произв. прогр. Стоки'!Q110)</f>
        <v>84.06505463245648</v>
      </c>
      <c r="R38" s="3063">
        <f>SUM('Произв. прогр. Стоки'!R38+'Произв. прогр. Стоки'!R58+'Произв. прогр. Стоки'!R89+'Произв. прогр. Стоки'!R110)</f>
        <v>252.19516389736947</v>
      </c>
      <c r="S38" s="3092">
        <f>SUM('Произв. прогр. Стоки'!S38+'Произв. прогр. Стоки'!S58+'Произв. прогр. Стоки'!S89+'Произв. прогр. Стоки'!S110)</f>
        <v>28.021684877485498</v>
      </c>
      <c r="T38" s="3092">
        <f>SUM('Произв. прогр. Стоки'!T38+'Произв. прогр. Стоки'!T58+'Произв. прогр. Стоки'!T89+'Произв. прогр. Стоки'!T110)</f>
        <v>28.021684877485498</v>
      </c>
      <c r="U38" s="3092">
        <f>SUM('Произв. прогр. Стоки'!U38+'Произв. прогр. Стоки'!U58+'Произв. прогр. Стоки'!U89+'Произв. прогр. Стоки'!U110)</f>
        <v>28.021684877485498</v>
      </c>
      <c r="V38" s="3063">
        <f>SUM('Произв. прогр. Стоки'!V38+'Произв. прогр. Стоки'!V58+'Произв. прогр. Стоки'!V89+'Произв. прогр. Стоки'!V110)</f>
        <v>84.06505463245648</v>
      </c>
      <c r="W38" s="3111">
        <f t="shared" si="27"/>
        <v>336.26021852982586</v>
      </c>
    </row>
    <row r="39" spans="1:23" ht="18.75" customHeight="1">
      <c r="A39" s="3062" t="s">
        <v>4</v>
      </c>
      <c r="B39" s="3063">
        <f t="shared" si="26"/>
        <v>36015.37528073966</v>
      </c>
      <c r="C39" s="3063">
        <f>SUM('Произв. прогр. Стоки'!C39+'Произв. прогр. Стоки'!C59+'Произв. прогр. Стоки'!C90+'Произв. прогр. Стоки'!C111)</f>
        <v>35876.293356354705</v>
      </c>
      <c r="D39" s="3063">
        <f>SUM('Произв. прогр. Стоки'!D39+'Произв. прогр. Стоки'!D59+'Произв. прогр. Стоки'!D90+'Произв. прогр. Стоки'!D111)</f>
        <v>139.08192438495129</v>
      </c>
      <c r="E39" s="3092">
        <f>SUM('Произв. прогр. Стоки'!E39+'Произв. прогр. Стоки'!E59+'Произв. прогр. Стоки'!E90+'Произв. прогр. Стоки'!E111)</f>
        <v>2942.4326209754618</v>
      </c>
      <c r="F39" s="3092">
        <f>SUM('Произв. прогр. Стоки'!F39+'Произв. прогр. Стоки'!F59+'Произв. прогр. Стоки'!F90+'Произв. прогр. Стоки'!F111)</f>
        <v>2942.4326209754618</v>
      </c>
      <c r="G39" s="3092">
        <f>SUM('Произв. прогр. Стоки'!G39+'Произв. прогр. Стоки'!G59+'Произв. прогр. Стоки'!G90+'Произв. прогр. Стоки'!G111)</f>
        <v>2942.4326209754618</v>
      </c>
      <c r="H39" s="3063">
        <f>SUM('Произв. прогр. Стоки'!H39+'Произв. прогр. Стоки'!H59+'Произв. прогр. Стоки'!H90+'Произв. прогр. Стоки'!H111)</f>
        <v>8827.2978629263871</v>
      </c>
      <c r="I39" s="3092">
        <f>SUM('Произв. прогр. Стоки'!I39+'Произв. прогр. Стоки'!I59+'Произв. прогр. Стоки'!I90+'Произв. прогр. Стоки'!I111)</f>
        <v>2942.4326209754618</v>
      </c>
      <c r="J39" s="3092">
        <f>SUM('Произв. прогр. Стоки'!J39+'Произв. прогр. Стоки'!J59+'Произв. прогр. Стоки'!J90+'Произв. прогр. Стоки'!J111)</f>
        <v>2942.4326209754618</v>
      </c>
      <c r="K39" s="3092">
        <f>SUM('Произв. прогр. Стоки'!K39+'Произв. прогр. Стоки'!K59+'Произв. прогр. Стоки'!K90+'Произв. прогр. Стоки'!K111)</f>
        <v>2942.4326209754618</v>
      </c>
      <c r="L39" s="3063">
        <f>SUM('Произв. прогр. Стоки'!L39+'Произв. прогр. Стоки'!L59+'Произв. прогр. Стоки'!L90+'Произв. прогр. Стоки'!L111)</f>
        <v>8827.2978629263871</v>
      </c>
      <c r="M39" s="3063">
        <f>SUM('Произв. прогр. Стоки'!M39+'Произв. прогр. Стоки'!M59+'Произв. прогр. Стоки'!M90+'Произв. прогр. Стоки'!M111)</f>
        <v>17654.595725852774</v>
      </c>
      <c r="N39" s="3092">
        <f>SUM('Произв. прогр. Стоки'!N39+'Произв. прогр. Стоки'!N59+'Произв. прогр. Стоки'!N90+'Произв. прогр. Стоки'!N111)</f>
        <v>3060.1299258144809</v>
      </c>
      <c r="O39" s="3092">
        <f>SUM('Произв. прогр. Стоки'!O39+'Произв. прогр. Стоки'!O59+'Произв. прогр. Стоки'!O90+'Произв. прогр. Стоки'!O111)</f>
        <v>3060.1299258144809</v>
      </c>
      <c r="P39" s="3092">
        <f>SUM('Произв. прогр. Стоки'!P39+'Произв. прогр. Стоки'!P59+'Произв. прогр. Стоки'!P90+'Произв. прогр. Стоки'!P111)</f>
        <v>3060.1299258144809</v>
      </c>
      <c r="Q39" s="3063">
        <f>SUM('Произв. прогр. Стоки'!Q39+'Произв. прогр. Стоки'!Q59+'Произв. прогр. Стоки'!Q90+'Произв. прогр. Стоки'!Q111)</f>
        <v>9180.3897774434427</v>
      </c>
      <c r="R39" s="3063">
        <f>SUM('Произв. прогр. Стоки'!R39+'Произв. прогр. Стоки'!R59+'Произв. прогр. Стоки'!R90+'Произв. прогр. Стоки'!R111)</f>
        <v>26834.985503296219</v>
      </c>
      <c r="S39" s="3092">
        <f>SUM('Произв. прогр. Стоки'!S39+'Произв. прогр. Стоки'!S59+'Произв. прогр. Стоки'!S90+'Произв. прогр. Стоки'!S111)</f>
        <v>3060.1299258144809</v>
      </c>
      <c r="T39" s="3092">
        <f>SUM('Произв. прогр. Стоки'!T39+'Произв. прогр. Стоки'!T59+'Произв. прогр. Стоки'!T90+'Произв. прогр. Стоки'!T111)</f>
        <v>3060.1299258144809</v>
      </c>
      <c r="U39" s="3092">
        <f>SUM('Произв. прогр. Стоки'!U39+'Произв. прогр. Стоки'!U59+'Произв. прогр. Стоки'!U90+'Произв. прогр. Стоки'!U111)</f>
        <v>3060.1299258144809</v>
      </c>
      <c r="V39" s="3063">
        <f>SUM('Произв. прогр. Стоки'!V39+'Произв. прогр. Стоки'!V59+'Произв. прогр. Стоки'!V90+'Произв. прогр. Стоки'!V111)</f>
        <v>9180.3897774434427</v>
      </c>
      <c r="W39" s="3111">
        <f t="shared" si="27"/>
        <v>36015.375280739645</v>
      </c>
    </row>
    <row r="40" spans="1:23" ht="18.75" customHeight="1">
      <c r="A40" s="3062" t="s">
        <v>121</v>
      </c>
      <c r="B40" s="3063">
        <f t="shared" si="26"/>
        <v>10809.947703451195</v>
      </c>
      <c r="C40" s="3063">
        <f>SUM('Произв. прогр. Стоки'!C40+'Произв. прогр. Стоки'!C60+'Произв. прогр. Стоки'!C91+'Произв. прогр. Стоки'!C112)</f>
        <v>10768.056227826448</v>
      </c>
      <c r="D40" s="3063">
        <f>SUM('Произв. прогр. Стоки'!D40+'Произв. прогр. Стоки'!D60+'Произв. прогр. Стоки'!D91+'Произв. прогр. Стоки'!D112)</f>
        <v>41.891475624747329</v>
      </c>
      <c r="E40" s="3092">
        <f>SUM('Произв. прогр. Стоки'!E40+'Произв. прогр. Стоки'!E60+'Произв. прогр. Стоки'!E91+'Произв. прогр. Стоки'!E112)</f>
        <v>883.16566204666617</v>
      </c>
      <c r="F40" s="3092">
        <f>SUM('Произв. прогр. Стоки'!F40+'Произв. прогр. Стоки'!F60+'Произв. прогр. Стоки'!F91+'Произв. прогр. Стоки'!F112)</f>
        <v>883.16566204666617</v>
      </c>
      <c r="G40" s="3092">
        <f>SUM('Произв. прогр. Стоки'!G40+'Произв. прогр. Стоки'!G60+'Произв. прогр. Стоки'!G91+'Произв. прогр. Стоки'!G112)</f>
        <v>883.16566204666617</v>
      </c>
      <c r="H40" s="3063">
        <f>SUM('Произв. прогр. Стоки'!H40+'Произв. прогр. Стоки'!H60+'Произв. прогр. Стоки'!H91+'Произв. прогр. Стоки'!H112)</f>
        <v>2649.4969861399986</v>
      </c>
      <c r="I40" s="3092">
        <f>SUM('Произв. прогр. Стоки'!I40+'Произв. прогр. Стоки'!I60+'Произв. прогр. Стоки'!I91+'Произв. прогр. Стоки'!I112)</f>
        <v>883.16566204666617</v>
      </c>
      <c r="J40" s="3092">
        <f>SUM('Произв. прогр. Стоки'!J40+'Произв. прогр. Стоки'!J60+'Произв. прогр. Стоки'!J91+'Произв. прогр. Стоки'!J112)</f>
        <v>883.16566204666617</v>
      </c>
      <c r="K40" s="3092">
        <f>SUM('Произв. прогр. Стоки'!K40+'Произв. прогр. Стоки'!K60+'Произв. прогр. Стоки'!K91+'Произв. прогр. Стоки'!K112)</f>
        <v>883.16566204666617</v>
      </c>
      <c r="L40" s="3063">
        <f>SUM('Произв. прогр. Стоки'!L40+'Произв. прогр. Стоки'!L60+'Произв. прогр. Стоки'!L91+'Произв. прогр. Стоки'!L112)</f>
        <v>2649.4969861399986</v>
      </c>
      <c r="M40" s="3063">
        <f>SUM('Произв. прогр. Стоки'!M40+'Произв. прогр. Стоки'!M60+'Произв. прогр. Стоки'!M91+'Произв. прогр. Стоки'!M112)</f>
        <v>5298.9939722799973</v>
      </c>
      <c r="N40" s="3092">
        <f>SUM('Произв. прогр. Стоки'!N40+'Произв. прогр. Стоки'!N60+'Произв. прогр. Стоки'!N91+'Произв. прогр. Стоки'!N112)</f>
        <v>918.49228852853298</v>
      </c>
      <c r="O40" s="3092">
        <f>SUM('Произв. прогр. Стоки'!O40+'Произв. прогр. Стоки'!O60+'Произв. прогр. Стоки'!O91+'Произв. прогр. Стоки'!O112)</f>
        <v>918.49228852853298</v>
      </c>
      <c r="P40" s="3092">
        <f>SUM('Произв. прогр. Стоки'!P40+'Произв. прогр. Стоки'!P60+'Произв. прогр. Стоки'!P91+'Произв. прогр. Стоки'!P112)</f>
        <v>918.49228852853298</v>
      </c>
      <c r="Q40" s="3063">
        <f>SUM('Произв. прогр. Стоки'!Q40+'Произв. прогр. Стоки'!Q60+'Произв. прогр. Стоки'!Q91+'Произв. прогр. Стоки'!Q112)</f>
        <v>2755.4768655855987</v>
      </c>
      <c r="R40" s="3063">
        <f>SUM('Произв. прогр. Стоки'!R40+'Произв. прогр. Стоки'!R60+'Произв. прогр. Стоки'!R91+'Произв. прогр. Стоки'!R112)</f>
        <v>8054.470837865596</v>
      </c>
      <c r="S40" s="3092">
        <f>SUM('Произв. прогр. Стоки'!S40+'Произв. прогр. Стоки'!S60+'Произв. прогр. Стоки'!S91+'Произв. прогр. Стоки'!S112)</f>
        <v>918.49228852853298</v>
      </c>
      <c r="T40" s="3092">
        <f>SUM('Произв. прогр. Стоки'!T40+'Произв. прогр. Стоки'!T60+'Произв. прогр. Стоки'!T91+'Произв. прогр. Стоки'!T112)</f>
        <v>918.49228852853298</v>
      </c>
      <c r="U40" s="3092">
        <f>SUM('Произв. прогр. Стоки'!U40+'Произв. прогр. Стоки'!U60+'Произв. прогр. Стоки'!U91+'Произв. прогр. Стоки'!U112)</f>
        <v>918.49228852853298</v>
      </c>
      <c r="V40" s="3063">
        <f>SUM('Произв. прогр. Стоки'!V40+'Произв. прогр. Стоки'!V60+'Произв. прогр. Стоки'!V91+'Произв. прогр. Стоки'!V112)</f>
        <v>2755.4768655855987</v>
      </c>
      <c r="W40" s="3111">
        <f t="shared" si="27"/>
        <v>10809.947703451195</v>
      </c>
    </row>
    <row r="41" spans="1:23" ht="18.75" customHeight="1">
      <c r="A41" s="3066" t="s">
        <v>321</v>
      </c>
      <c r="B41" s="3118">
        <f>SUM(B40/B39)</f>
        <v>0.30014813448944261</v>
      </c>
      <c r="C41" s="3118">
        <f t="shared" ref="C41:W41" si="34">SUM(C40/C39)</f>
        <v>0.30014405671368277</v>
      </c>
      <c r="D41" s="3118">
        <f t="shared" si="34"/>
        <v>0.30120000000000002</v>
      </c>
      <c r="E41" s="3119">
        <f t="shared" si="34"/>
        <v>0.30014813448944266</v>
      </c>
      <c r="F41" s="3119">
        <f t="shared" si="34"/>
        <v>0.30014813448944266</v>
      </c>
      <c r="G41" s="3119">
        <f t="shared" si="34"/>
        <v>0.30014813448944266</v>
      </c>
      <c r="H41" s="3118">
        <f t="shared" si="34"/>
        <v>0.30014813448944261</v>
      </c>
      <c r="I41" s="3119">
        <f t="shared" si="34"/>
        <v>0.30014813448944266</v>
      </c>
      <c r="J41" s="3119">
        <f t="shared" si="34"/>
        <v>0.30014813448944266</v>
      </c>
      <c r="K41" s="3119">
        <f t="shared" si="34"/>
        <v>0.30014813448944266</v>
      </c>
      <c r="L41" s="3118">
        <f t="shared" si="34"/>
        <v>0.30014813448944261</v>
      </c>
      <c r="M41" s="3118">
        <f t="shared" si="34"/>
        <v>0.30014813448944261</v>
      </c>
      <c r="N41" s="3119">
        <f t="shared" si="34"/>
        <v>0.30014813448944266</v>
      </c>
      <c r="O41" s="3119">
        <f t="shared" si="34"/>
        <v>0.30014813448944266</v>
      </c>
      <c r="P41" s="3119">
        <f t="shared" si="34"/>
        <v>0.30014813448944266</v>
      </c>
      <c r="Q41" s="3118">
        <f t="shared" si="34"/>
        <v>0.30014813448944261</v>
      </c>
      <c r="R41" s="3118">
        <f t="shared" si="34"/>
        <v>0.30014813448944261</v>
      </c>
      <c r="S41" s="3119">
        <f t="shared" si="34"/>
        <v>0.30014813448944266</v>
      </c>
      <c r="T41" s="3119">
        <f t="shared" si="34"/>
        <v>0.30014813448944266</v>
      </c>
      <c r="U41" s="3119">
        <f t="shared" si="34"/>
        <v>0.30014813448944266</v>
      </c>
      <c r="V41" s="3118">
        <f t="shared" si="34"/>
        <v>0.30014813448944261</v>
      </c>
      <c r="W41" s="3127">
        <f t="shared" si="34"/>
        <v>0.30014813448944272</v>
      </c>
    </row>
    <row r="42" spans="1:23" ht="18.75" customHeight="1">
      <c r="A42" s="3086" t="s">
        <v>1745</v>
      </c>
      <c r="B42" s="3063">
        <f>SUM(C42:D42)</f>
        <v>11723.956981165797</v>
      </c>
      <c r="C42" s="3063">
        <f>SUM('Произв. прогр. Стоки'!C42+'Произв. прогр. Стоки'!C62+'Произв. прогр. Стоки'!C94+'Произв. прогр. Стоки'!C114)</f>
        <v>11669.853562618358</v>
      </c>
      <c r="D42" s="3063">
        <f>SUM('Произв. прогр. Стоки'!D42+'Произв. прогр. Стоки'!D62+'Произв. прогр. Стоки'!D94+'Произв. прогр. Стоки'!D114)</f>
        <v>54.103418547438842</v>
      </c>
      <c r="E42" s="3092">
        <f>SUM('Произв. прогр. Стоки'!E42+'Произв. прогр. Стоки'!E62+'Произв. прогр. Стоки'!E94+'Произв. прогр. Стоки'!E114)</f>
        <v>991.14016750856365</v>
      </c>
      <c r="F42" s="3092">
        <f>SUM('Произв. прогр. Стоки'!F42+'Произв. прогр. Стоки'!F62+'Произв. прогр. Стоки'!F94+'Произв. прогр. Стоки'!F114)</f>
        <v>982.34951140960106</v>
      </c>
      <c r="G42" s="3092">
        <f>SUM('Произв. прогр. Стоки'!G42+'Произв. прогр. Стоки'!G62+'Произв. прогр. Стоки'!G94+'Произв. прогр. Стоки'!G114)</f>
        <v>978.54249419382199</v>
      </c>
      <c r="H42" s="3063">
        <f>SUM('Произв. прогр. Стоки'!H42+'Произв. прогр. Стоки'!H62+'Произв. прогр. Стоки'!H94+'Произв. прогр. Стоки'!H114)</f>
        <v>2952.0321731119861</v>
      </c>
      <c r="I42" s="3092">
        <f>SUM('Произв. прогр. Стоки'!I42+'Произв. прогр. Стоки'!I62+'Произв. прогр. Стоки'!I94+'Произв. прогр. Стоки'!I114)</f>
        <v>965.45643858724497</v>
      </c>
      <c r="J42" s="3092">
        <f>SUM('Произв. прогр. Стоки'!J42+'Произв. прогр. Стоки'!J62+'Произв. прогр. Стоки'!J94+'Произв. прогр. Стоки'!J114)</f>
        <v>941.80853322800567</v>
      </c>
      <c r="K42" s="3092">
        <f>SUM('Произв. прогр. Стоки'!K42+'Произв. прогр. Стоки'!K62+'Произв. прогр. Стоки'!K94+'Произв. прогр. Стоки'!K114)</f>
        <v>936.35355700172863</v>
      </c>
      <c r="L42" s="3063">
        <f>SUM('Произв. прогр. Стоки'!L42+'Произв. прогр. Стоки'!L62+'Произв. прогр. Стоки'!L94+'Произв. прогр. Стоки'!L114)</f>
        <v>2843.6185288169795</v>
      </c>
      <c r="M42" s="3063">
        <f>SUM('Произв. прогр. Стоки'!M42+'Произв. прогр. Стоки'!M62+'Произв. прогр. Стоки'!M94+'Произв. прогр. Стоки'!M114)</f>
        <v>5795.6507019289656</v>
      </c>
      <c r="N42" s="3092">
        <f>SUM('Произв. прогр. Стоки'!N42+'Произв. прогр. Стоки'!N62+'Произв. прогр. Стоки'!N94+'Произв. прогр. Стоки'!N114)</f>
        <v>965.99289516457577</v>
      </c>
      <c r="O42" s="3092">
        <f>SUM('Произв. прогр. Стоки'!O42+'Произв. прогр. Стоки'!O62+'Произв. прогр. Стоки'!O94+'Произв. прогр. Стоки'!O114)</f>
        <v>965.1472604167401</v>
      </c>
      <c r="P42" s="3092">
        <f>SUM('Произв. прогр. Стоки'!P42+'Произв. прогр. Стоки'!P62+'Произв. прогр. Стоки'!P94+'Произв. прогр. Стоки'!P114)</f>
        <v>977.49016628144136</v>
      </c>
      <c r="Q42" s="3063">
        <f>SUM('Произв. прогр. Стоки'!Q42+'Произв. прогр. Стоки'!Q62+'Произв. прогр. Стоки'!Q94+'Произв. прогр. Стоки'!Q114)</f>
        <v>2908.6303218627572</v>
      </c>
      <c r="R42" s="3063">
        <f>SUM('Произв. прогр. Стоки'!R42+'Произв. прогр. Стоки'!R62+'Произв. прогр. Стоки'!R94+'Произв. прогр. Стоки'!R114)</f>
        <v>8704.281023791722</v>
      </c>
      <c r="S42" s="3092">
        <f>SUM('Произв. прогр. Стоки'!S42+'Произв. прогр. Стоки'!S62+'Произв. прогр. Стоки'!S94+'Произв. прогр. Стоки'!S114)</f>
        <v>996.17196234393123</v>
      </c>
      <c r="T42" s="3092">
        <f>SUM('Произв. прогр. Стоки'!T42+'Произв. прогр. Стоки'!T62+'Произв. прогр. Стоки'!T94+'Произв. прогр. Стоки'!T114)</f>
        <v>1005.766937971144</v>
      </c>
      <c r="U42" s="3092">
        <f>SUM('Произв. прогр. Стоки'!U42+'Произв. прогр. Стоки'!U62+'Произв. прогр. Стоки'!U94+'Произв. прогр. Стоки'!U114)</f>
        <v>1017.7370570589987</v>
      </c>
      <c r="V42" s="3063">
        <f>SUM('Произв. прогр. Стоки'!V42+'Произв. прогр. Стоки'!V62+'Произв. прогр. Стоки'!V94+'Произв. прогр. Стоки'!V114)</f>
        <v>3019.6759573740737</v>
      </c>
      <c r="W42" s="3111">
        <f t="shared" si="27"/>
        <v>11723.956981165798</v>
      </c>
    </row>
    <row r="43" spans="1:23" ht="18.75" customHeight="1">
      <c r="A43" s="3088" t="s">
        <v>1746</v>
      </c>
      <c r="B43" s="3067">
        <f t="shared" ref="B43:B55" si="35">SUM(C43:D43)</f>
        <v>6005.2429046443449</v>
      </c>
      <c r="C43" s="3067">
        <f>SUM('Произв. прогр. Стоки'!C43+'Произв. прогр. Стоки'!C63+'Произв. прогр. Стоки'!C95+'Произв. прогр. Стоки'!C115)</f>
        <v>5974.7772696602824</v>
      </c>
      <c r="D43" s="3067">
        <f>SUM('Произв. прогр. Стоки'!D43+'Произв. прогр. Стоки'!D63+'Произв. прогр. Стоки'!D95+'Произв. прогр. Стоки'!D115)</f>
        <v>30.46563498406249</v>
      </c>
      <c r="E43" s="3094">
        <f>SUM('Произв. прогр. Стоки'!E43+'Произв. прогр. Стоки'!E63+'Произв. прогр. Стоки'!E95+'Произв. прогр. Стоки'!E115)</f>
        <v>489.36990497034003</v>
      </c>
      <c r="F43" s="3094">
        <f>SUM('Произв. прогр. Стоки'!F43+'Произв. прогр. Стоки'!F63+'Произв. прогр. Стоки'!F95+'Произв. прогр. Стоки'!F115)</f>
        <v>489.36990497034003</v>
      </c>
      <c r="G43" s="3094">
        <f>SUM('Произв. прогр. Стоки'!G43+'Произв. прогр. Стоки'!G63+'Произв. прогр. Стоки'!G95+'Произв. прогр. Стоки'!G115)</f>
        <v>489.36990497034003</v>
      </c>
      <c r="H43" s="3067">
        <f>SUM('Произв. прогр. Стоки'!H43+'Произв. прогр. Стоки'!H63+'Произв. прогр. Стоки'!H95+'Произв. прогр. Стоки'!H115)</f>
        <v>1468.1097149110201</v>
      </c>
      <c r="I43" s="3094">
        <f>SUM('Произв. прогр. Стоки'!I43+'Произв. прогр. Стоки'!I63+'Произв. прогр. Стоки'!I95+'Произв. прогр. Стоки'!I115)</f>
        <v>489.36990497034003</v>
      </c>
      <c r="J43" s="3094">
        <f>SUM('Произв. прогр. Стоки'!J43+'Произв. прогр. Стоки'!J63+'Произв. прогр. Стоки'!J95+'Произв. прогр. Стоки'!J115)</f>
        <v>489.36990497034003</v>
      </c>
      <c r="K43" s="3094">
        <f>SUM('Произв. прогр. Стоки'!K43+'Произв. прогр. Стоки'!K63+'Произв. прогр. Стоки'!K95+'Произв. прогр. Стоки'!K115)</f>
        <v>489.36990497034003</v>
      </c>
      <c r="L43" s="3067">
        <f>SUM('Произв. прогр. Стоки'!L43+'Произв. прогр. Стоки'!L63+'Произв. прогр. Стоки'!L95+'Произв. прогр. Стоки'!L115)</f>
        <v>1468.1097149110201</v>
      </c>
      <c r="M43" s="3067">
        <f>SUM('Произв. прогр. Стоки'!M43+'Произв. прогр. Стоки'!M63+'Произв. прогр. Стоки'!M95+'Произв. прогр. Стоки'!M115)</f>
        <v>2936.2194298220402</v>
      </c>
      <c r="N43" s="3094">
        <f>SUM('Произв. прогр. Стоки'!N43+'Произв. прогр. Стоки'!N63+'Произв. прогр. Стоки'!N95+'Произв. прогр. Стоки'!N115)</f>
        <v>511.50391247038414</v>
      </c>
      <c r="O43" s="3094">
        <f>SUM('Произв. прогр. Стоки'!O43+'Произв. прогр. Стоки'!O63+'Произв. прогр. Стоки'!O95+'Произв. прогр. Стоки'!O115)</f>
        <v>511.50391247038414</v>
      </c>
      <c r="P43" s="3094">
        <f>SUM('Произв. прогр. Стоки'!P43+'Произв. прогр. Стоки'!P63+'Произв. прогр. Стоки'!P95+'Произв. прогр. Стоки'!P115)</f>
        <v>511.50391247038414</v>
      </c>
      <c r="Q43" s="3067">
        <f>SUM('Произв. прогр. Стоки'!Q43+'Произв. прогр. Стоки'!Q63+'Произв. прогр. Стоки'!Q95+'Произв. прогр. Стоки'!Q115)</f>
        <v>1534.5117374111524</v>
      </c>
      <c r="R43" s="3067">
        <f>SUM('Произв. прогр. Стоки'!R43+'Произв. прогр. Стоки'!R63+'Произв. прогр. Стоки'!R95+'Произв. прогр. Стоки'!R115)</f>
        <v>4470.7311672331925</v>
      </c>
      <c r="S43" s="3094">
        <f>SUM('Произв. прогр. Стоки'!S43+'Произв. прогр. Стоки'!S63+'Произв. прогр. Стоки'!S95+'Произв. прогр. Стоки'!S115)</f>
        <v>511.50391247038414</v>
      </c>
      <c r="T43" s="3094">
        <f>SUM('Произв. прогр. Стоки'!T43+'Произв. прогр. Стоки'!T63+'Произв. прогр. Стоки'!T95+'Произв. прогр. Стоки'!T115)</f>
        <v>511.50391247038414</v>
      </c>
      <c r="U43" s="3094">
        <f>SUM('Произв. прогр. Стоки'!U43+'Произв. прогр. Стоки'!U63+'Произв. прогр. Стоки'!U95+'Произв. прогр. Стоки'!U115)</f>
        <v>511.50391247038414</v>
      </c>
      <c r="V43" s="3067">
        <f>SUM('Произв. прогр. Стоки'!V43+'Произв. прогр. Стоки'!V63+'Произв. прогр. Стоки'!V95+'Произв. прогр. Стоки'!V115)</f>
        <v>1534.5117374111524</v>
      </c>
      <c r="W43" s="3111">
        <f t="shared" si="27"/>
        <v>6005.2429046443458</v>
      </c>
    </row>
    <row r="44" spans="1:23" ht="18.75" customHeight="1">
      <c r="A44" s="3088" t="s">
        <v>1747</v>
      </c>
      <c r="B44" s="3067">
        <f t="shared" si="35"/>
        <v>1806.0122569097009</v>
      </c>
      <c r="C44" s="3067">
        <f>SUM('Произв. прогр. Стоки'!C44+'Произв. прогр. Стоки'!C64+'Произв. прогр. Стоки'!C96+'Произв. прогр. Стоки'!C116)</f>
        <v>1796.8633688333289</v>
      </c>
      <c r="D44" s="3067">
        <f>SUM('Произв. прогр. Стоки'!D44+'Произв. прогр. Стоки'!D64+'Произв. прогр. Стоки'!D96+'Произв. прогр. Стоки'!D116)</f>
        <v>9.1488880763720317</v>
      </c>
      <c r="E44" s="3094">
        <f>SUM('Произв. прогр. Стоки'!E44+'Произв. прогр. Стоки'!E64+'Произв. прогр. Стоки'!E96+'Произв. прогр. Стоки'!E116)</f>
        <v>147.17117345165803</v>
      </c>
      <c r="F44" s="3094">
        <f>SUM('Произв. прогр. Стоки'!F44+'Произв. прогр. Стоки'!F64+'Произв. прогр. Стоки'!F96+'Произв. прогр. Стоки'!F116)</f>
        <v>147.17117345165803</v>
      </c>
      <c r="G44" s="3094">
        <f>SUM('Произв. прогр. Стоки'!G44+'Произв. прогр. Стоки'!G64+'Произв. прогр. Стоки'!G96+'Произв. прогр. Стоки'!G116)</f>
        <v>147.17117345165803</v>
      </c>
      <c r="H44" s="3067">
        <f>SUM('Произв. прогр. Стоки'!H44+'Произв. прогр. Стоки'!H64+'Произв. прогр. Стоки'!H96+'Произв. прогр. Стоки'!H116)</f>
        <v>441.51352035497416</v>
      </c>
      <c r="I44" s="3094">
        <f>SUM('Произв. прогр. Стоки'!I44+'Произв. прогр. Стоки'!I64+'Произв. прогр. Стоки'!I96+'Произв. прогр. Стоки'!I116)</f>
        <v>147.17117345165803</v>
      </c>
      <c r="J44" s="3094">
        <f>SUM('Произв. прогр. Стоки'!J44+'Произв. прогр. Стоки'!J64+'Произв. прогр. Стоки'!J96+'Произв. прогр. Стоки'!J116)</f>
        <v>147.17117345165803</v>
      </c>
      <c r="K44" s="3094">
        <f>SUM('Произв. прогр. Стоки'!K44+'Произв. прогр. Стоки'!K64+'Произв. прогр. Стоки'!K96+'Произв. прогр. Стоки'!K116)</f>
        <v>147.17117345165803</v>
      </c>
      <c r="L44" s="3067">
        <f>SUM('Произв. прогр. Стоки'!L44+'Произв. прогр. Стоки'!L64+'Произв. прогр. Стоки'!L96+'Произв. прогр. Стоки'!L116)</f>
        <v>441.51352035497416</v>
      </c>
      <c r="M44" s="3067">
        <f>SUM('Произв. прогр. Стоки'!M44+'Произв. прогр. Стоки'!M64+'Произв. прогр. Стоки'!M96+'Произв. прогр. Стоки'!M116)</f>
        <v>883.02704070994832</v>
      </c>
      <c r="N44" s="3094">
        <f>SUM('Произв. прогр. Стоки'!N44+'Произв. прогр. Стоки'!N64+'Произв. прогр. Стоки'!N96+'Произв. прогр. Стоки'!N116)</f>
        <v>153.83086936662545</v>
      </c>
      <c r="O44" s="3094">
        <f>SUM('Произв. прогр. Стоки'!O44+'Произв. прогр. Стоки'!O64+'Произв. прогр. Стоки'!O96+'Произв. прогр. Стоки'!O116)</f>
        <v>153.83086936662545</v>
      </c>
      <c r="P44" s="3094">
        <f>SUM('Произв. прогр. Стоки'!P44+'Произв. прогр. Стоки'!P64+'Произв. прогр. Стоки'!P96+'Произв. прогр. Стоки'!P116)</f>
        <v>153.83086936662545</v>
      </c>
      <c r="Q44" s="3067">
        <f>SUM('Произв. прогр. Стоки'!Q44+'Произв. прогр. Стоки'!Q64+'Произв. прогр. Стоки'!Q96+'Произв. прогр. Стоки'!Q116)</f>
        <v>461.49260809987641</v>
      </c>
      <c r="R44" s="3067">
        <f>SUM('Произв. прогр. Стоки'!R44+'Произв. прогр. Стоки'!R64+'Произв. прогр. Стоки'!R96+'Произв. прогр. Стоки'!R116)</f>
        <v>1344.5196488098245</v>
      </c>
      <c r="S44" s="3094">
        <f>SUM('Произв. прогр. Стоки'!S44+'Произв. прогр. Стоки'!S64+'Произв. прогр. Стоки'!S96+'Произв. прогр. Стоки'!S116)</f>
        <v>153.83086936662545</v>
      </c>
      <c r="T44" s="3094">
        <f>SUM('Произв. прогр. Стоки'!T44+'Произв. прогр. Стоки'!T64+'Произв. прогр. Стоки'!T96+'Произв. прогр. Стоки'!T116)</f>
        <v>153.83086936662545</v>
      </c>
      <c r="U44" s="3094">
        <f>SUM('Произв. прогр. Стоки'!U44+'Произв. прогр. Стоки'!U64+'Произв. прогр. Стоки'!U96+'Произв. прогр. Стоки'!U116)</f>
        <v>153.83086936662545</v>
      </c>
      <c r="V44" s="3067">
        <f>SUM('Произв. прогр. Стоки'!V44+'Произв. прогр. Стоки'!V64+'Произв. прогр. Стоки'!V96+'Произв. прогр. Стоки'!V116)</f>
        <v>461.49260809987641</v>
      </c>
      <c r="W44" s="3111">
        <f t="shared" si="27"/>
        <v>1806.0122569097005</v>
      </c>
    </row>
    <row r="45" spans="1:23" ht="18.75" customHeight="1">
      <c r="A45" s="3088" t="s">
        <v>300</v>
      </c>
      <c r="B45" s="3067">
        <f t="shared" si="35"/>
        <v>3912.7018196117515</v>
      </c>
      <c r="C45" s="3067">
        <f>SUM(C42-C43-C44)</f>
        <v>3898.2129241247471</v>
      </c>
      <c r="D45" s="3067">
        <f>SUM(D42-D43-D44)</f>
        <v>14.488895487004321</v>
      </c>
      <c r="E45" s="3094">
        <f>SUM(E42-E43-E44)</f>
        <v>354.59908908656558</v>
      </c>
      <c r="F45" s="3094">
        <f t="shared" ref="F45:G45" si="36">SUM(F42-F43-F44)</f>
        <v>345.808432987603</v>
      </c>
      <c r="G45" s="3094">
        <f t="shared" si="36"/>
        <v>342.00141577182393</v>
      </c>
      <c r="H45" s="3076">
        <f t="shared" si="28"/>
        <v>1042.4089378459926</v>
      </c>
      <c r="I45" s="3094">
        <f t="shared" ref="I45:K45" si="37">SUM(I42-I43-I44)</f>
        <v>328.91536016524691</v>
      </c>
      <c r="J45" s="3094">
        <f t="shared" si="37"/>
        <v>305.26745480600761</v>
      </c>
      <c r="K45" s="3094">
        <f t="shared" si="37"/>
        <v>299.81247857973057</v>
      </c>
      <c r="L45" s="3076">
        <f t="shared" ref="L45" si="38">SUM(I45+J45+K45)</f>
        <v>933.99529355098502</v>
      </c>
      <c r="M45" s="3076">
        <f t="shared" ref="M45:M57" si="39">SUM(H45+L45)</f>
        <v>1976.4042313969776</v>
      </c>
      <c r="N45" s="3094">
        <f t="shared" ref="N45:P45" si="40">SUM(N42-N43-N44)</f>
        <v>300.65811332756618</v>
      </c>
      <c r="O45" s="3094">
        <f t="shared" si="40"/>
        <v>299.81247857973051</v>
      </c>
      <c r="P45" s="3094">
        <f t="shared" si="40"/>
        <v>312.15538444443177</v>
      </c>
      <c r="Q45" s="3076">
        <f t="shared" ref="Q45" si="41">SUM(N45+O45+P45)</f>
        <v>912.62597635172847</v>
      </c>
      <c r="R45" s="3076">
        <f t="shared" ref="R45:R57" si="42">SUM(M45+Q45)</f>
        <v>2889.0302077487058</v>
      </c>
      <c r="S45" s="3094">
        <f t="shared" ref="S45:U45" si="43">SUM(S42-S43-S44)</f>
        <v>330.83718050692164</v>
      </c>
      <c r="T45" s="3094">
        <f t="shared" si="43"/>
        <v>340.4321561341344</v>
      </c>
      <c r="U45" s="3094">
        <f t="shared" si="43"/>
        <v>352.40227522198916</v>
      </c>
      <c r="V45" s="3076">
        <f t="shared" si="33"/>
        <v>1023.6716118630452</v>
      </c>
      <c r="W45" s="3111">
        <f t="shared" si="27"/>
        <v>3912.7018196117515</v>
      </c>
    </row>
    <row r="46" spans="1:23" ht="18.75" customHeight="1">
      <c r="A46" s="3086" t="s">
        <v>1724</v>
      </c>
      <c r="B46" s="3063">
        <f>SUM(C46:D46)</f>
        <v>1513.464332389854</v>
      </c>
      <c r="C46" s="3063">
        <f>SUM('Произв. прогр. Стоки'!C124)</f>
        <v>1502.7644400919853</v>
      </c>
      <c r="D46" s="3063">
        <f>SUM('Произв. прогр. Стоки'!D124)</f>
        <v>10.699892297868617</v>
      </c>
      <c r="E46" s="3092">
        <f>SUM('Произв. прогр. Стоки'!E124)</f>
        <v>0</v>
      </c>
      <c r="F46" s="3092">
        <f>SUM('Произв. прогр. Стоки'!F124)</f>
        <v>0</v>
      </c>
      <c r="G46" s="3092">
        <f>SUM('Произв. прогр. Стоки'!G124)</f>
        <v>378.3660830974635</v>
      </c>
      <c r="H46" s="3063">
        <f>SUM('Произв. прогр. Стоки'!H124)</f>
        <v>378.3660830974635</v>
      </c>
      <c r="I46" s="3092">
        <f>SUM('Произв. прогр. Стоки'!I124)</f>
        <v>0</v>
      </c>
      <c r="J46" s="3092">
        <f>SUM('Произв. прогр. Стоки'!J124)</f>
        <v>0</v>
      </c>
      <c r="K46" s="3092">
        <f>SUM('Произв. прогр. Стоки'!K124)</f>
        <v>378.3660830974635</v>
      </c>
      <c r="L46" s="3063">
        <f>SUM('Произв. прогр. Стоки'!L124)</f>
        <v>378.3660830974635</v>
      </c>
      <c r="M46" s="3063">
        <f>SUM('Произв. прогр. Стоки'!M124)</f>
        <v>756.732166194927</v>
      </c>
      <c r="N46" s="3092">
        <f>SUM('Произв. прогр. Стоки'!N124)</f>
        <v>0</v>
      </c>
      <c r="O46" s="3092">
        <f>SUM('Произв. прогр. Стоки'!O124)</f>
        <v>0</v>
      </c>
      <c r="P46" s="3092">
        <f>SUM('Произв. прогр. Стоки'!P124)</f>
        <v>378.3660830974635</v>
      </c>
      <c r="Q46" s="3063">
        <f>SUM('Произв. прогр. Стоки'!Q124)</f>
        <v>378.3660830974635</v>
      </c>
      <c r="R46" s="3063">
        <f>SUM('Произв. прогр. Стоки'!R124)</f>
        <v>1135.0982492923904</v>
      </c>
      <c r="S46" s="3092">
        <f>SUM('Произв. прогр. Стоки'!S124)</f>
        <v>0</v>
      </c>
      <c r="T46" s="3092">
        <f>SUM('Произв. прогр. Стоки'!T124)</f>
        <v>0</v>
      </c>
      <c r="U46" s="3092">
        <f>SUM('Произв. прогр. Стоки'!U124)</f>
        <v>378.3660830974635</v>
      </c>
      <c r="V46" s="3063">
        <f>SUM('Произв. прогр. Стоки'!V124)</f>
        <v>378.3660830974635</v>
      </c>
      <c r="W46" s="3111">
        <f t="shared" si="27"/>
        <v>1513.464332389854</v>
      </c>
    </row>
    <row r="47" spans="1:23" ht="39.75" customHeight="1">
      <c r="A47" s="3066" t="s">
        <v>1756</v>
      </c>
      <c r="B47" s="3124">
        <f t="shared" si="35"/>
        <v>152.7343323898539</v>
      </c>
      <c r="C47" s="3124">
        <f>SUM('Произв. прогр. Стоки'!C125)</f>
        <v>151.65444009198529</v>
      </c>
      <c r="D47" s="3124">
        <f>SUM('Произв. прогр. Стоки'!D125)</f>
        <v>1.079892297868617</v>
      </c>
      <c r="E47" s="3128">
        <f>SUM('Произв. прогр. Стоки'!E125)</f>
        <v>0</v>
      </c>
      <c r="F47" s="3128">
        <f>SUM('Произв. прогр. Стоки'!F125)</f>
        <v>0</v>
      </c>
      <c r="G47" s="3128">
        <f>SUM('Произв. прогр. Стоки'!G125)</f>
        <v>38.183583097463476</v>
      </c>
      <c r="H47" s="3124">
        <f>SUM('Произв. прогр. Стоки'!H125)</f>
        <v>38.183583097463476</v>
      </c>
      <c r="I47" s="3128">
        <f>SUM('Произв. прогр. Стоки'!I125)</f>
        <v>0</v>
      </c>
      <c r="J47" s="3128">
        <f>SUM('Произв. прогр. Стоки'!J125)</f>
        <v>0</v>
      </c>
      <c r="K47" s="3128">
        <f>SUM('Произв. прогр. Стоки'!K125)</f>
        <v>38.183583097463476</v>
      </c>
      <c r="L47" s="3124">
        <f>SUM('Произв. прогр. Стоки'!L125)</f>
        <v>38.183583097463476</v>
      </c>
      <c r="M47" s="3124">
        <f>SUM('Произв. прогр. Стоки'!M125)</f>
        <v>76.367166194926952</v>
      </c>
      <c r="N47" s="3128">
        <f>SUM('Произв. прогр. Стоки'!N125)</f>
        <v>0</v>
      </c>
      <c r="O47" s="3128">
        <f>SUM('Произв. прогр. Стоки'!O125)</f>
        <v>0</v>
      </c>
      <c r="P47" s="3128">
        <f>SUM('Произв. прогр. Стоки'!P125)</f>
        <v>38.183583097463476</v>
      </c>
      <c r="Q47" s="3124">
        <f>SUM('Произв. прогр. Стоки'!Q125)</f>
        <v>38.183583097463476</v>
      </c>
      <c r="R47" s="3124">
        <f>SUM('Произв. прогр. Стоки'!R125)</f>
        <v>114.55074929239044</v>
      </c>
      <c r="S47" s="3128">
        <f>SUM('Произв. прогр. Стоки'!S125)</f>
        <v>0</v>
      </c>
      <c r="T47" s="3128">
        <f>SUM('Произв. прогр. Стоки'!T125)</f>
        <v>0</v>
      </c>
      <c r="U47" s="3128">
        <f>SUM('Произв. прогр. Стоки'!U125)</f>
        <v>38.183583097463476</v>
      </c>
      <c r="V47" s="3124">
        <f>SUM('Произв. прогр. Стоки'!V125)</f>
        <v>38.183583097463476</v>
      </c>
      <c r="W47" s="3129">
        <f t="shared" si="27"/>
        <v>152.7343323898539</v>
      </c>
    </row>
    <row r="48" spans="1:23" ht="18.75" customHeight="1">
      <c r="A48" s="3066" t="s">
        <v>542</v>
      </c>
      <c r="B48" s="3067">
        <f t="shared" si="35"/>
        <v>29.900000000000002</v>
      </c>
      <c r="C48" s="3067">
        <f>SUM('Произв. прогр. Стоки'!C126)</f>
        <v>29.69</v>
      </c>
      <c r="D48" s="3067">
        <f>SUM('Произв. прогр. Стоки'!D126)</f>
        <v>0.21</v>
      </c>
      <c r="E48" s="3094">
        <f>SUM('Произв. прогр. Стоки'!E126)</f>
        <v>0</v>
      </c>
      <c r="F48" s="3094">
        <f>SUM('Произв. прогр. Стоки'!F126)</f>
        <v>0</v>
      </c>
      <c r="G48" s="3094">
        <f>SUM('Произв. прогр. Стоки'!G126)</f>
        <v>7.4749999999999996</v>
      </c>
      <c r="H48" s="3067">
        <f>SUM('Произв. прогр. Стоки'!H126)</f>
        <v>7.4749999999999996</v>
      </c>
      <c r="I48" s="3094">
        <f>SUM('Произв. прогр. Стоки'!I126)</f>
        <v>0</v>
      </c>
      <c r="J48" s="3094">
        <f>SUM('Произв. прогр. Стоки'!J126)</f>
        <v>0</v>
      </c>
      <c r="K48" s="3094">
        <f>SUM('Произв. прогр. Стоки'!K126)</f>
        <v>7.4749999999999996</v>
      </c>
      <c r="L48" s="3067">
        <f>SUM('Произв. прогр. Стоки'!L126)</f>
        <v>7.4749999999999996</v>
      </c>
      <c r="M48" s="3067">
        <f>SUM('Произв. прогр. Стоки'!M126)</f>
        <v>14.95</v>
      </c>
      <c r="N48" s="3094">
        <f>SUM('Произв. прогр. Стоки'!N126)</f>
        <v>0</v>
      </c>
      <c r="O48" s="3094">
        <f>SUM('Произв. прогр. Стоки'!O126)</f>
        <v>0</v>
      </c>
      <c r="P48" s="3094">
        <f>SUM('Произв. прогр. Стоки'!P126)</f>
        <v>7.4749999999999996</v>
      </c>
      <c r="Q48" s="3067">
        <f>SUM('Произв. прогр. Стоки'!Q126)</f>
        <v>7.4749999999999996</v>
      </c>
      <c r="R48" s="3067">
        <f>SUM('Произв. прогр. Стоки'!R126)</f>
        <v>22.424999999999997</v>
      </c>
      <c r="S48" s="3094">
        <f>SUM('Произв. прогр. Стоки'!S126)</f>
        <v>0</v>
      </c>
      <c r="T48" s="3094">
        <f>SUM('Произв. прогр. Стоки'!T126)</f>
        <v>0</v>
      </c>
      <c r="U48" s="3094">
        <f>SUM('Произв. прогр. Стоки'!U126)</f>
        <v>7.4749999999999996</v>
      </c>
      <c r="V48" s="3067">
        <f>SUM('Произв. прогр. Стоки'!V126)</f>
        <v>7.4749999999999996</v>
      </c>
      <c r="W48" s="3111">
        <f t="shared" si="27"/>
        <v>29.9</v>
      </c>
    </row>
    <row r="49" spans="1:23" ht="18.75" customHeight="1">
      <c r="A49" s="3066" t="s">
        <v>544</v>
      </c>
      <c r="B49" s="3067">
        <f t="shared" si="35"/>
        <v>1330.8300000000002</v>
      </c>
      <c r="C49" s="3067">
        <f>SUM('Произв. прогр. Стоки'!C127)</f>
        <v>1321.42</v>
      </c>
      <c r="D49" s="3067">
        <f>SUM('Произв. прогр. Стоки'!D127)</f>
        <v>9.41</v>
      </c>
      <c r="E49" s="3094">
        <f>SUM('Произв. прогр. Стоки'!E127)</f>
        <v>0</v>
      </c>
      <c r="F49" s="3094">
        <f>SUM('Произв. прогр. Стоки'!F127)</f>
        <v>0</v>
      </c>
      <c r="G49" s="3094">
        <f>SUM('Произв. прогр. Стоки'!G127)</f>
        <v>332.70750000000004</v>
      </c>
      <c r="H49" s="3067">
        <f>SUM('Произв. прогр. Стоки'!H127)</f>
        <v>332.70750000000004</v>
      </c>
      <c r="I49" s="3094">
        <f>SUM('Произв. прогр. Стоки'!I127)</f>
        <v>0</v>
      </c>
      <c r="J49" s="3094">
        <f>SUM('Произв. прогр. Стоки'!J127)</f>
        <v>0</v>
      </c>
      <c r="K49" s="3094">
        <f>SUM('Произв. прогр. Стоки'!K127)</f>
        <v>332.70750000000004</v>
      </c>
      <c r="L49" s="3067">
        <f>SUM('Произв. прогр. Стоки'!L127)</f>
        <v>332.70750000000004</v>
      </c>
      <c r="M49" s="3067">
        <f>SUM('Произв. прогр. Стоки'!M127)</f>
        <v>665.41500000000008</v>
      </c>
      <c r="N49" s="3094">
        <f>SUM('Произв. прогр. Стоки'!N127)</f>
        <v>0</v>
      </c>
      <c r="O49" s="3094">
        <f>SUM('Произв. прогр. Стоки'!O127)</f>
        <v>0</v>
      </c>
      <c r="P49" s="3094">
        <f>SUM('Произв. прогр. Стоки'!P127)</f>
        <v>332.70750000000004</v>
      </c>
      <c r="Q49" s="3067">
        <f>SUM('Произв. прогр. Стоки'!Q127)</f>
        <v>332.70750000000004</v>
      </c>
      <c r="R49" s="3067">
        <f>SUM('Произв. прогр. Стоки'!R127)</f>
        <v>998.12250000000017</v>
      </c>
      <c r="S49" s="3094">
        <f>SUM('Произв. прогр. Стоки'!S127)</f>
        <v>0</v>
      </c>
      <c r="T49" s="3094">
        <f>SUM('Произв. прогр. Стоки'!T127)</f>
        <v>0</v>
      </c>
      <c r="U49" s="3094">
        <f>SUM('Произв. прогр. Стоки'!U127)</f>
        <v>332.70750000000004</v>
      </c>
      <c r="V49" s="3067">
        <f>SUM('Произв. прогр. Стоки'!V127)</f>
        <v>332.70750000000004</v>
      </c>
      <c r="W49" s="3111">
        <f t="shared" si="27"/>
        <v>1330.8300000000002</v>
      </c>
    </row>
    <row r="50" spans="1:23" ht="18.75" customHeight="1">
      <c r="A50" s="3086" t="s">
        <v>1748</v>
      </c>
      <c r="B50" s="3063">
        <f>SUM(C50:D50)</f>
        <v>15214.176314017532</v>
      </c>
      <c r="C50" s="3063">
        <f>SUM('Произв. прогр. Стоки'!C128)</f>
        <v>15206.883606181053</v>
      </c>
      <c r="D50" s="3063">
        <f>SUM('Произв. прогр. Стоки'!D128)</f>
        <v>7.2927078364799991</v>
      </c>
      <c r="E50" s="3092">
        <f>SUM('Произв. прогр. Стоки'!E128)</f>
        <v>1245.2921557650441</v>
      </c>
      <c r="F50" s="3092">
        <f>SUM('Произв. прогр. Стоки'!F128)</f>
        <v>1245.2921557650441</v>
      </c>
      <c r="G50" s="3092">
        <f>SUM('Произв. прогр. Стоки'!G128)</f>
        <v>1245.2921557650441</v>
      </c>
      <c r="H50" s="3063">
        <f>SUM('Произв. прогр. Стоки'!H128)</f>
        <v>3735.876467295132</v>
      </c>
      <c r="I50" s="3092">
        <f>SUM('Произв. прогр. Стоки'!I128)</f>
        <v>1245.2921557650441</v>
      </c>
      <c r="J50" s="3092">
        <f>SUM('Произв. прогр. Стоки'!J128)</f>
        <v>1245.2921557650441</v>
      </c>
      <c r="K50" s="3092">
        <f>SUM('Произв. прогр. Стоки'!K128)</f>
        <v>1245.2921557650441</v>
      </c>
      <c r="L50" s="3063">
        <f>SUM('Произв. прогр. Стоки'!L128)</f>
        <v>3735.876467295132</v>
      </c>
      <c r="M50" s="3063">
        <f>SUM('Произв. прогр. Стоки'!M128)</f>
        <v>7471.752934590264</v>
      </c>
      <c r="N50" s="3092">
        <f>SUM('Произв. прогр. Стоки'!N128)</f>
        <v>1290.4038965712111</v>
      </c>
      <c r="O50" s="3092">
        <f>SUM('Произв. прогр. Стоки'!O128)</f>
        <v>1290.4038965712111</v>
      </c>
      <c r="P50" s="3092">
        <f>SUM('Произв. прогр. Стоки'!P128)</f>
        <v>1290.4038965712111</v>
      </c>
      <c r="Q50" s="3063">
        <f>SUM('Произв. прогр. Стоки'!Q128)</f>
        <v>3871.2116897136334</v>
      </c>
      <c r="R50" s="3063">
        <f>SUM('Произв. прогр. Стоки'!R128)</f>
        <v>11342.964624303897</v>
      </c>
      <c r="S50" s="3092">
        <f>SUM('Произв. прогр. Стоки'!S128)</f>
        <v>1290.4038965712111</v>
      </c>
      <c r="T50" s="3092">
        <f>SUM('Произв. прогр. Стоки'!T128)</f>
        <v>1290.4038965712111</v>
      </c>
      <c r="U50" s="3092">
        <f>SUM('Произв. прогр. Стоки'!U128)</f>
        <v>1290.4038965712111</v>
      </c>
      <c r="V50" s="3063">
        <f>SUM('Произв. прогр. Стоки'!V128)</f>
        <v>3871.2116897136334</v>
      </c>
      <c r="W50" s="3111">
        <f t="shared" si="27"/>
        <v>15214.176314017534</v>
      </c>
    </row>
    <row r="51" spans="1:23" ht="18.75" customHeight="1">
      <c r="A51" s="3093" t="s">
        <v>1727</v>
      </c>
      <c r="B51" s="3067">
        <f t="shared" si="35"/>
        <v>10785.966063962662</v>
      </c>
      <c r="C51" s="3067">
        <f>SUM('Произв. прогр. Стоки'!C129)</f>
        <v>10780.795958291796</v>
      </c>
      <c r="D51" s="3067">
        <f>SUM('Произв. прогр. Стоки'!D129)</f>
        <v>5.1701056708666977</v>
      </c>
      <c r="E51" s="3094">
        <f>SUM('Произв. прогр. Стоки'!E129)</f>
        <v>881.20637777472723</v>
      </c>
      <c r="F51" s="3094">
        <f>SUM('Произв. прогр. Стоки'!F129)</f>
        <v>881.20637777472723</v>
      </c>
      <c r="G51" s="3094">
        <f>SUM('Произв. прогр. Стоки'!G129)</f>
        <v>881.20637777472723</v>
      </c>
      <c r="H51" s="3067">
        <f>SUM('Произв. прогр. Стоки'!H129)</f>
        <v>2643.6191333241818</v>
      </c>
      <c r="I51" s="3094">
        <f>SUM('Произв. прогр. Стоки'!I129)</f>
        <v>881.20637777472723</v>
      </c>
      <c r="J51" s="3094">
        <f>SUM('Произв. прогр. Стоки'!J129)</f>
        <v>881.20637777472723</v>
      </c>
      <c r="K51" s="3094">
        <f>SUM('Произв. прогр. Стоки'!K129)</f>
        <v>881.20637777472723</v>
      </c>
      <c r="L51" s="3067">
        <f>SUM('Произв. прогр. Стоки'!L129)</f>
        <v>2643.6191333241818</v>
      </c>
      <c r="M51" s="3067">
        <f>SUM('Произв. прогр. Стоки'!M129)</f>
        <v>5287.2382666483636</v>
      </c>
      <c r="N51" s="3094">
        <f>SUM('Произв. прогр. Стоки'!N129)</f>
        <v>916.45463288571636</v>
      </c>
      <c r="O51" s="3094">
        <f>SUM('Произв. прогр. Стоки'!O129)</f>
        <v>916.45463288571636</v>
      </c>
      <c r="P51" s="3094">
        <f>SUM('Произв. прогр. Стоки'!P129)</f>
        <v>916.45463288571636</v>
      </c>
      <c r="Q51" s="3067">
        <f>SUM('Произв. прогр. Стоки'!Q129)</f>
        <v>2749.3638986571491</v>
      </c>
      <c r="R51" s="3067">
        <f>SUM('Произв. прогр. Стоки'!R129)</f>
        <v>8036.6021653055122</v>
      </c>
      <c r="S51" s="3094">
        <f>SUM('Произв. прогр. Стоки'!S129)</f>
        <v>916.45463288571636</v>
      </c>
      <c r="T51" s="3094">
        <f>SUM('Произв. прогр. Стоки'!T129)</f>
        <v>916.45463288571636</v>
      </c>
      <c r="U51" s="3094">
        <f>SUM('Произв. прогр. Стоки'!U129)</f>
        <v>916.45463288571636</v>
      </c>
      <c r="V51" s="3067">
        <f>SUM('Произв. прогр. Стоки'!V129)</f>
        <v>2749.3638986571491</v>
      </c>
      <c r="W51" s="3111">
        <f t="shared" si="27"/>
        <v>10785.96606396266</v>
      </c>
    </row>
    <row r="52" spans="1:23" ht="18.75" customHeight="1">
      <c r="A52" s="3093" t="s">
        <v>1728</v>
      </c>
      <c r="B52" s="3067">
        <f t="shared" si="35"/>
        <v>3018.2266227243972</v>
      </c>
      <c r="C52" s="3067">
        <f>SUM('Произв. прогр. Стоки'!C130)</f>
        <v>3016.779876972967</v>
      </c>
      <c r="D52" s="3067">
        <f>SUM('Произв. прогр. Стоки'!D130)</f>
        <v>1.4467457514301953</v>
      </c>
      <c r="E52" s="3094">
        <f>SUM('Произв. прогр. Стоки'!E130)</f>
        <v>246.5871423794442</v>
      </c>
      <c r="F52" s="3094">
        <f>SUM('Произв. прогр. Стоки'!F130)</f>
        <v>246.5871423794442</v>
      </c>
      <c r="G52" s="3094">
        <f>SUM('Произв. прогр. Стоки'!G130)</f>
        <v>246.5871423794442</v>
      </c>
      <c r="H52" s="3067">
        <f>SUM('Произв. прогр. Стоки'!H130)</f>
        <v>739.76142713833258</v>
      </c>
      <c r="I52" s="3094">
        <f>SUM('Произв. прогр. Стоки'!I130)</f>
        <v>246.5871423794442</v>
      </c>
      <c r="J52" s="3094">
        <f>SUM('Произв. прогр. Стоки'!J130)</f>
        <v>246.5871423794442</v>
      </c>
      <c r="K52" s="3094">
        <f>SUM('Произв. прогр. Стоки'!K130)</f>
        <v>246.5871423794442</v>
      </c>
      <c r="L52" s="3067">
        <f>SUM('Произв. прогр. Стоки'!L130)</f>
        <v>739.76142713833258</v>
      </c>
      <c r="M52" s="3067">
        <f>SUM('Произв. прогр. Стоки'!M130)</f>
        <v>1479.5228542766652</v>
      </c>
      <c r="N52" s="3094">
        <f>SUM('Произв. прогр. Стоки'!N130)</f>
        <v>256.45062807462199</v>
      </c>
      <c r="O52" s="3094">
        <f>SUM('Произв. прогр. Стоки'!O130)</f>
        <v>256.45062807462199</v>
      </c>
      <c r="P52" s="3094">
        <f>SUM('Произв. прогр. Стоки'!P130)</f>
        <v>256.45062807462199</v>
      </c>
      <c r="Q52" s="3067">
        <f>SUM('Произв. прогр. Стоки'!Q130)</f>
        <v>769.35188422386591</v>
      </c>
      <c r="R52" s="3067">
        <f>SUM('Произв. прогр. Стоки'!R130)</f>
        <v>2248.8747385005308</v>
      </c>
      <c r="S52" s="3094">
        <f>SUM('Произв. прогр. Стоки'!S130)</f>
        <v>256.45062807462199</v>
      </c>
      <c r="T52" s="3094">
        <f>SUM('Произв. прогр. Стоки'!T130)</f>
        <v>256.45062807462199</v>
      </c>
      <c r="U52" s="3094">
        <f>SUM('Произв. прогр. Стоки'!U130)</f>
        <v>256.45062807462199</v>
      </c>
      <c r="V52" s="3067">
        <f>SUM('Произв. прогр. Стоки'!V130)</f>
        <v>769.35188422386591</v>
      </c>
      <c r="W52" s="3111">
        <f t="shared" si="27"/>
        <v>3018.2266227243967</v>
      </c>
    </row>
    <row r="53" spans="1:23" ht="18.75" customHeight="1">
      <c r="A53" s="3088" t="s">
        <v>1729</v>
      </c>
      <c r="B53" s="3067">
        <f t="shared" si="35"/>
        <v>1409.9836273304729</v>
      </c>
      <c r="C53" s="3067">
        <f>SUM(C50-C51-C52)</f>
        <v>1409.3077709162899</v>
      </c>
      <c r="D53" s="3067">
        <f t="shared" ref="D53:V53" si="44">SUM(D50-D51-D52)</f>
        <v>0.67585641418310605</v>
      </c>
      <c r="E53" s="3094">
        <f t="shared" si="44"/>
        <v>117.49863561087264</v>
      </c>
      <c r="F53" s="3094">
        <f t="shared" si="44"/>
        <v>117.49863561087264</v>
      </c>
      <c r="G53" s="3094">
        <f t="shared" si="44"/>
        <v>117.49863561087264</v>
      </c>
      <c r="H53" s="3067">
        <f t="shared" si="44"/>
        <v>352.49590683261761</v>
      </c>
      <c r="I53" s="3094">
        <f t="shared" si="44"/>
        <v>117.49863561087264</v>
      </c>
      <c r="J53" s="3094">
        <f t="shared" si="44"/>
        <v>117.49863561087264</v>
      </c>
      <c r="K53" s="3094">
        <f t="shared" si="44"/>
        <v>117.49863561087264</v>
      </c>
      <c r="L53" s="3067">
        <f t="shared" si="44"/>
        <v>352.49590683261761</v>
      </c>
      <c r="M53" s="3067">
        <f t="shared" si="44"/>
        <v>704.99181366523521</v>
      </c>
      <c r="N53" s="3094">
        <f t="shared" si="44"/>
        <v>117.49863561087278</v>
      </c>
      <c r="O53" s="3094">
        <f t="shared" si="44"/>
        <v>117.49863561087278</v>
      </c>
      <c r="P53" s="3094">
        <f t="shared" si="44"/>
        <v>117.49863561087278</v>
      </c>
      <c r="Q53" s="3067">
        <f t="shared" si="44"/>
        <v>352.4959068326184</v>
      </c>
      <c r="R53" s="3067">
        <f t="shared" si="44"/>
        <v>1057.4877204978538</v>
      </c>
      <c r="S53" s="3094">
        <f t="shared" si="44"/>
        <v>117.49863561087278</v>
      </c>
      <c r="T53" s="3094">
        <f t="shared" si="44"/>
        <v>117.49863561087278</v>
      </c>
      <c r="U53" s="3094">
        <f t="shared" si="44"/>
        <v>117.49863561087278</v>
      </c>
      <c r="V53" s="3067">
        <f t="shared" si="44"/>
        <v>352.4959068326184</v>
      </c>
      <c r="W53" s="3111">
        <f t="shared" si="27"/>
        <v>1409.9836273304722</v>
      </c>
    </row>
    <row r="54" spans="1:23" ht="18.75" customHeight="1">
      <c r="A54" s="3062" t="s">
        <v>1758</v>
      </c>
      <c r="B54" s="3063">
        <f t="shared" si="35"/>
        <v>0</v>
      </c>
      <c r="C54" s="3063">
        <f>SUM('Произв. прогр. Стоки'!C132)</f>
        <v>0</v>
      </c>
      <c r="D54" s="3063">
        <f>SUM('Произв. прогр. Стоки'!D132)</f>
        <v>0</v>
      </c>
      <c r="E54" s="3092">
        <f>SUM('Произв. прогр. Стоки'!E132)</f>
        <v>0</v>
      </c>
      <c r="F54" s="3092">
        <f>SUM('Произв. прогр. Стоки'!F132)</f>
        <v>0</v>
      </c>
      <c r="G54" s="3092">
        <f>SUM('Произв. прогр. Стоки'!G132)</f>
        <v>0</v>
      </c>
      <c r="H54" s="3063">
        <f>SUM('Произв. прогр. Стоки'!H132)</f>
        <v>0</v>
      </c>
      <c r="I54" s="3092">
        <f>SUM('Произв. прогр. Стоки'!I132)</f>
        <v>0</v>
      </c>
      <c r="J54" s="3092">
        <f>SUM('Произв. прогр. Стоки'!J132)</f>
        <v>0</v>
      </c>
      <c r="K54" s="3092">
        <f>SUM('Произв. прогр. Стоки'!K132)</f>
        <v>0</v>
      </c>
      <c r="L54" s="3063">
        <f>SUM('Произв. прогр. Стоки'!L132)</f>
        <v>0</v>
      </c>
      <c r="M54" s="3063">
        <f>SUM('Произв. прогр. Стоки'!M132)</f>
        <v>0</v>
      </c>
      <c r="N54" s="3092">
        <f>SUM('Произв. прогр. Стоки'!N132)</f>
        <v>0</v>
      </c>
      <c r="O54" s="3092">
        <f>SUM('Произв. прогр. Стоки'!O132)</f>
        <v>0</v>
      </c>
      <c r="P54" s="3092">
        <f>SUM('Произв. прогр. Стоки'!P132)</f>
        <v>0</v>
      </c>
      <c r="Q54" s="3063">
        <f>SUM('Произв. прогр. Стоки'!Q132)</f>
        <v>0</v>
      </c>
      <c r="R54" s="3063">
        <f>SUM('Произв. прогр. Стоки'!R132)</f>
        <v>0</v>
      </c>
      <c r="S54" s="3092">
        <f>SUM('Произв. прогр. Стоки'!S132)</f>
        <v>0</v>
      </c>
      <c r="T54" s="3092">
        <f>SUM('Произв. прогр. Стоки'!T132)</f>
        <v>0</v>
      </c>
      <c r="U54" s="3092">
        <f>SUM('Произв. прогр. Стоки'!U132)</f>
        <v>0</v>
      </c>
      <c r="V54" s="3063">
        <f>SUM('Произв. прогр. Стоки'!V132)</f>
        <v>0</v>
      </c>
      <c r="W54" s="3111">
        <f t="shared" si="27"/>
        <v>0</v>
      </c>
    </row>
    <row r="55" spans="1:23" ht="18.75" hidden="1" customHeight="1">
      <c r="A55" s="3066" t="s">
        <v>286</v>
      </c>
      <c r="B55" s="3067">
        <f t="shared" si="35"/>
        <v>0</v>
      </c>
      <c r="C55" s="3067">
        <f>SUM('Произв. прогр. Стоки'!C133)</f>
        <v>0</v>
      </c>
      <c r="D55" s="3067">
        <f>SUM('Произв. прогр. Стоки'!D133)</f>
        <v>0</v>
      </c>
      <c r="E55" s="3094">
        <f>SUM('Произв. прогр. Стоки'!E133)</f>
        <v>0</v>
      </c>
      <c r="F55" s="3094">
        <f>SUM('Произв. прогр. Стоки'!F133)</f>
        <v>0</v>
      </c>
      <c r="G55" s="3094">
        <f>SUM('Произв. прогр. Стоки'!G133)</f>
        <v>0</v>
      </c>
      <c r="H55" s="3067">
        <f>SUM('Произв. прогр. Стоки'!H133)</f>
        <v>0</v>
      </c>
      <c r="I55" s="3094">
        <f>SUM('Произв. прогр. Стоки'!I133)</f>
        <v>0</v>
      </c>
      <c r="J55" s="3094">
        <f>SUM('Произв. прогр. Стоки'!J133)</f>
        <v>0</v>
      </c>
      <c r="K55" s="3094">
        <f>SUM('Произв. прогр. Стоки'!K133)</f>
        <v>0</v>
      </c>
      <c r="L55" s="3067">
        <f>SUM('Произв. прогр. Стоки'!L133)</f>
        <v>0</v>
      </c>
      <c r="M55" s="3067">
        <f>SUM('Произв. прогр. Стоки'!M133)</f>
        <v>0</v>
      </c>
      <c r="N55" s="3094">
        <f>SUM('Произв. прогр. Стоки'!N133)</f>
        <v>0</v>
      </c>
      <c r="O55" s="3094">
        <f>SUM('Произв. прогр. Стоки'!O133)</f>
        <v>0</v>
      </c>
      <c r="P55" s="3094">
        <f>SUM('Произв. прогр. Стоки'!P133)</f>
        <v>0</v>
      </c>
      <c r="Q55" s="3067">
        <f>SUM('Произв. прогр. Стоки'!Q133)</f>
        <v>0</v>
      </c>
      <c r="R55" s="3067">
        <f>SUM('Произв. прогр. Стоки'!R133)</f>
        <v>0</v>
      </c>
      <c r="S55" s="3094">
        <f>SUM('Произв. прогр. Стоки'!S133)</f>
        <v>0</v>
      </c>
      <c r="T55" s="3094">
        <f>SUM('Произв. прогр. Стоки'!T133)</f>
        <v>0</v>
      </c>
      <c r="U55" s="3094">
        <f>SUM('Произв. прогр. Стоки'!U133)</f>
        <v>0</v>
      </c>
      <c r="V55" s="3067">
        <f>SUM('Произв. прогр. Стоки'!V133)</f>
        <v>0</v>
      </c>
      <c r="W55" s="3111">
        <f t="shared" si="27"/>
        <v>0</v>
      </c>
    </row>
    <row r="56" spans="1:23" ht="18.75" customHeight="1">
      <c r="A56" s="3062" t="s">
        <v>1731</v>
      </c>
      <c r="B56" s="3063">
        <f>SUM(C56:D56)</f>
        <v>365.36847945936529</v>
      </c>
      <c r="C56" s="3063">
        <f>SUM('Произв. прогр. Стоки'!C134)</f>
        <v>365.36847945936529</v>
      </c>
      <c r="D56" s="3063">
        <f>SUM('Произв. прогр. Стоки'!D134)</f>
        <v>0</v>
      </c>
      <c r="E56" s="3092">
        <f>SUM('Произв. прогр. Стоки'!E134)</f>
        <v>30.447373288280442</v>
      </c>
      <c r="F56" s="3092">
        <f>SUM('Произв. прогр. Стоки'!F134)</f>
        <v>30.447373288280442</v>
      </c>
      <c r="G56" s="3092">
        <f>SUM('Произв. прогр. Стоки'!G134)</f>
        <v>30.447373288280442</v>
      </c>
      <c r="H56" s="3063">
        <f>SUM('Произв. прогр. Стоки'!H134)</f>
        <v>91.342119864841322</v>
      </c>
      <c r="I56" s="3092">
        <f>SUM('Произв. прогр. Стоки'!I134)</f>
        <v>30.447373288280442</v>
      </c>
      <c r="J56" s="3092">
        <f>SUM('Произв. прогр. Стоки'!J134)</f>
        <v>30.447373288280442</v>
      </c>
      <c r="K56" s="3092">
        <f>SUM('Произв. прогр. Стоки'!K134)</f>
        <v>30.447373288280442</v>
      </c>
      <c r="L56" s="3063">
        <f>SUM('Произв. прогр. Стоки'!L134)</f>
        <v>91.342119864841322</v>
      </c>
      <c r="M56" s="3063">
        <f>SUM('Произв. прогр. Стоки'!M134)</f>
        <v>182.68423972968264</v>
      </c>
      <c r="N56" s="3092">
        <f>SUM('Произв. прогр. Стоки'!N134)</f>
        <v>30.447373288280442</v>
      </c>
      <c r="O56" s="3092">
        <f>SUM('Произв. прогр. Стоки'!O134)</f>
        <v>30.447373288280442</v>
      </c>
      <c r="P56" s="3092">
        <f>SUM('Произв. прогр. Стоки'!P134)</f>
        <v>30.447373288280442</v>
      </c>
      <c r="Q56" s="3063">
        <f>SUM('Произв. прогр. Стоки'!Q134)</f>
        <v>91.342119864841322</v>
      </c>
      <c r="R56" s="3063">
        <f>SUM('Произв. прогр. Стоки'!R134)</f>
        <v>274.02635959452397</v>
      </c>
      <c r="S56" s="3092">
        <f>SUM('Произв. прогр. Стоки'!S134)</f>
        <v>30.447373288280442</v>
      </c>
      <c r="T56" s="3092">
        <f>SUM('Произв. прогр. Стоки'!T134)</f>
        <v>30.447373288280442</v>
      </c>
      <c r="U56" s="3092">
        <f>SUM('Произв. прогр. Стоки'!U134)</f>
        <v>30.447373288280442</v>
      </c>
      <c r="V56" s="3063">
        <f>SUM('Произв. прогр. Стоки'!V134)</f>
        <v>91.342119864841322</v>
      </c>
      <c r="W56" s="3111">
        <f t="shared" si="27"/>
        <v>365.36847945936535</v>
      </c>
    </row>
    <row r="57" spans="1:23" ht="18.75" customHeight="1">
      <c r="A57" s="3058" t="s">
        <v>12</v>
      </c>
      <c r="B57" s="3060">
        <f>SUM(B34+B35+B37+B38+B39+B40+B42+B46+B50+B54+B56)</f>
        <v>89291.182125612322</v>
      </c>
      <c r="C57" s="3060">
        <f t="shared" ref="C57:G57" si="45">SUM(C34+C35+C37+C38+C39+C40+C42+C46+C50+C54+C56)</f>
        <v>88993.985899533087</v>
      </c>
      <c r="D57" s="3060">
        <f t="shared" si="45"/>
        <v>297.19622607925788</v>
      </c>
      <c r="E57" s="3073">
        <f t="shared" si="45"/>
        <v>7224.0283028259628</v>
      </c>
      <c r="F57" s="3073">
        <f t="shared" si="45"/>
        <v>7211.4197232575007</v>
      </c>
      <c r="G57" s="3073">
        <f t="shared" si="45"/>
        <v>7585.9787891391843</v>
      </c>
      <c r="H57" s="3070">
        <f t="shared" ref="H57" si="46">SUM(E57+F57+G57)</f>
        <v>22021.42681522265</v>
      </c>
      <c r="I57" s="3073">
        <f t="shared" ref="I57:K57" si="47">SUM(I34+I35+I37+I38+I39+I40+I42+I46+I50+I54+I56)</f>
        <v>7190.7087269656449</v>
      </c>
      <c r="J57" s="3073">
        <f t="shared" si="47"/>
        <v>7132.6995103809049</v>
      </c>
      <c r="K57" s="3073">
        <f t="shared" si="47"/>
        <v>7505.6106172520913</v>
      </c>
      <c r="L57" s="3070">
        <f t="shared" ref="L57" si="48">SUM(I57+J57+K57)</f>
        <v>21829.018854598642</v>
      </c>
      <c r="M57" s="3070">
        <f t="shared" si="39"/>
        <v>43850.445669821289</v>
      </c>
      <c r="N57" s="3073">
        <f t="shared" ref="N57:P57" si="49">SUM(N34+N35+N37+N38+N39+N40+N42+N46+N50+N54+N56)</f>
        <v>7398.0413363426314</v>
      </c>
      <c r="O57" s="3073">
        <f t="shared" si="49"/>
        <v>7397.1957015947946</v>
      </c>
      <c r="P57" s="3073">
        <f t="shared" si="49"/>
        <v>7824.6712935682435</v>
      </c>
      <c r="Q57" s="3070">
        <f t="shared" ref="Q57" si="50">SUM(N57+O57+P57)</f>
        <v>22619.908331505671</v>
      </c>
      <c r="R57" s="3070">
        <f t="shared" si="42"/>
        <v>66470.354001326952</v>
      </c>
      <c r="S57" s="3073">
        <f t="shared" ref="S57:U57" si="51">SUM(S34+S35+S37+S38+S39+S40+S42+S46+S50+S54+S56)</f>
        <v>7469.0721846456354</v>
      </c>
      <c r="T57" s="3073">
        <f t="shared" si="51"/>
        <v>7478.6671602728484</v>
      </c>
      <c r="U57" s="3073">
        <f t="shared" si="51"/>
        <v>7873.0885405705312</v>
      </c>
      <c r="V57" s="3070">
        <f t="shared" si="33"/>
        <v>22820.827885489016</v>
      </c>
      <c r="W57" s="3115">
        <f t="shared" si="27"/>
        <v>89291.181886815961</v>
      </c>
    </row>
    <row r="58" spans="1:23" ht="18.75" customHeight="1">
      <c r="A58" s="3058" t="s">
        <v>13</v>
      </c>
      <c r="B58" s="3060">
        <f t="shared" ref="B58" si="52">SUM(C58:D58)</f>
        <v>3248.93</v>
      </c>
      <c r="C58" s="3060">
        <f>SUM(C13)</f>
        <v>3230</v>
      </c>
      <c r="D58" s="3060">
        <f>SUM(D13)</f>
        <v>18.93</v>
      </c>
      <c r="E58" s="3073">
        <f t="shared" ref="E58:V58" si="53">SUM(E13)</f>
        <v>277.74250000000001</v>
      </c>
      <c r="F58" s="3073">
        <f t="shared" si="53"/>
        <v>276.1275</v>
      </c>
      <c r="G58" s="3073">
        <f t="shared" si="53"/>
        <v>276.1275</v>
      </c>
      <c r="H58" s="3060">
        <f t="shared" si="53"/>
        <v>829.99749999999995</v>
      </c>
      <c r="I58" s="3073">
        <f t="shared" si="53"/>
        <v>274.51249999999993</v>
      </c>
      <c r="J58" s="3073">
        <f t="shared" si="53"/>
        <v>259.97749999999996</v>
      </c>
      <c r="K58" s="3073">
        <f t="shared" si="53"/>
        <v>259.97749999999996</v>
      </c>
      <c r="L58" s="3060">
        <f t="shared" si="53"/>
        <v>794.46749999999986</v>
      </c>
      <c r="M58" s="3060">
        <f t="shared" si="53"/>
        <v>1624.4649999999997</v>
      </c>
      <c r="N58" s="3073">
        <f t="shared" si="53"/>
        <v>259.97749999999996</v>
      </c>
      <c r="O58" s="3073">
        <f t="shared" si="53"/>
        <v>259.97749999999996</v>
      </c>
      <c r="P58" s="3073">
        <f t="shared" si="53"/>
        <v>274.51249999999993</v>
      </c>
      <c r="Q58" s="3060">
        <f t="shared" si="53"/>
        <v>794.46749999999986</v>
      </c>
      <c r="R58" s="3060">
        <f t="shared" si="53"/>
        <v>2418.9324999999994</v>
      </c>
      <c r="S58" s="3073">
        <f t="shared" si="53"/>
        <v>276.1275</v>
      </c>
      <c r="T58" s="3073">
        <f t="shared" si="53"/>
        <v>276.1275</v>
      </c>
      <c r="U58" s="3073">
        <f t="shared" si="53"/>
        <v>277.74250000000001</v>
      </c>
      <c r="V58" s="3060">
        <f t="shared" si="53"/>
        <v>829.99749999999995</v>
      </c>
      <c r="W58" s="3115">
        <f t="shared" ref="W58" si="54">SUM(E58+F58+G58+I58+J58+K58+N58+O58+P58+S58+T58+U58)</f>
        <v>3248.9299999999994</v>
      </c>
    </row>
    <row r="59" spans="1:23" ht="18.75" customHeight="1">
      <c r="A59" s="3058" t="s">
        <v>14</v>
      </c>
      <c r="B59" s="3060">
        <f>SUM(B57/B58)</f>
        <v>27.483258219048217</v>
      </c>
      <c r="C59" s="3060">
        <f t="shared" ref="C59:W59" si="55">SUM(C57/C58)</f>
        <v>27.552317615954514</v>
      </c>
      <c r="D59" s="3060">
        <f t="shared" si="55"/>
        <v>15.699747811899519</v>
      </c>
      <c r="E59" s="3073">
        <f t="shared" si="55"/>
        <v>26.009805135425665</v>
      </c>
      <c r="F59" s="3073">
        <f t="shared" si="55"/>
        <v>26.116267750432321</v>
      </c>
      <c r="G59" s="3073">
        <f t="shared" si="55"/>
        <v>27.472739184395557</v>
      </c>
      <c r="H59" s="3060">
        <f t="shared" si="55"/>
        <v>26.53191945183287</v>
      </c>
      <c r="I59" s="3073">
        <f t="shared" si="55"/>
        <v>26.194467381141649</v>
      </c>
      <c r="J59" s="3073">
        <f t="shared" si="55"/>
        <v>27.435833910168789</v>
      </c>
      <c r="K59" s="3073">
        <f t="shared" si="55"/>
        <v>28.870231528698032</v>
      </c>
      <c r="L59" s="3060">
        <f t="shared" si="55"/>
        <v>27.476289281309363</v>
      </c>
      <c r="M59" s="3060">
        <f t="shared" si="55"/>
        <v>26.99377682487545</v>
      </c>
      <c r="N59" s="3073">
        <f t="shared" si="55"/>
        <v>28.456467718716553</v>
      </c>
      <c r="O59" s="3073">
        <f t="shared" si="55"/>
        <v>28.453214995893088</v>
      </c>
      <c r="P59" s="3073">
        <f t="shared" si="55"/>
        <v>28.503879763465218</v>
      </c>
      <c r="Q59" s="3060">
        <f t="shared" si="55"/>
        <v>28.471785606718555</v>
      </c>
      <c r="R59" s="3060">
        <f t="shared" si="55"/>
        <v>27.479209941297231</v>
      </c>
      <c r="S59" s="3073">
        <f t="shared" si="55"/>
        <v>27.049360113156549</v>
      </c>
      <c r="T59" s="3073">
        <f t="shared" si="55"/>
        <v>27.084108465375049</v>
      </c>
      <c r="U59" s="3073">
        <f t="shared" si="55"/>
        <v>28.34671877933889</v>
      </c>
      <c r="V59" s="3060">
        <f t="shared" si="55"/>
        <v>27.495056172445118</v>
      </c>
      <c r="W59" s="4623">
        <f t="shared" si="55"/>
        <v>27.48325814554822</v>
      </c>
    </row>
    <row r="60" spans="1:23" ht="18.75" customHeight="1">
      <c r="A60" s="4597" t="s">
        <v>1967</v>
      </c>
      <c r="B60" s="4599">
        <f>SUM(B61:B64)</f>
        <v>13870.72</v>
      </c>
      <c r="C60" s="4599">
        <f t="shared" ref="C60:V60" si="56">SUM(C61:C64)</f>
        <v>13898.31</v>
      </c>
      <c r="D60" s="4599">
        <f t="shared" si="56"/>
        <v>-27.59</v>
      </c>
      <c r="E60" s="4022">
        <f t="shared" si="56"/>
        <v>1155.8933333333332</v>
      </c>
      <c r="F60" s="4022">
        <f t="shared" si="56"/>
        <v>1155.8933333333332</v>
      </c>
      <c r="G60" s="4022">
        <f t="shared" si="56"/>
        <v>1155.8933333333332</v>
      </c>
      <c r="H60" s="4599">
        <f t="shared" si="56"/>
        <v>3467.6800000000003</v>
      </c>
      <c r="I60" s="4022">
        <f t="shared" si="56"/>
        <v>1155.8933333333332</v>
      </c>
      <c r="J60" s="4022">
        <f t="shared" si="56"/>
        <v>1155.8933333333332</v>
      </c>
      <c r="K60" s="4022">
        <f t="shared" si="56"/>
        <v>1155.8933333333332</v>
      </c>
      <c r="L60" s="4599">
        <f t="shared" si="56"/>
        <v>3467.6800000000003</v>
      </c>
      <c r="M60" s="4599">
        <f t="shared" si="56"/>
        <v>6935.3600000000006</v>
      </c>
      <c r="N60" s="4022">
        <f t="shared" si="56"/>
        <v>1155.8933333333332</v>
      </c>
      <c r="O60" s="4022">
        <f t="shared" si="56"/>
        <v>1155.8933333333332</v>
      </c>
      <c r="P60" s="4022">
        <f t="shared" si="56"/>
        <v>1155.8933333333332</v>
      </c>
      <c r="Q60" s="4599">
        <f t="shared" si="56"/>
        <v>3467.6800000000003</v>
      </c>
      <c r="R60" s="4599">
        <f t="shared" si="56"/>
        <v>10403.039999999999</v>
      </c>
      <c r="S60" s="4022">
        <f t="shared" si="56"/>
        <v>1155.8933333333332</v>
      </c>
      <c r="T60" s="4022">
        <f t="shared" si="56"/>
        <v>1155.8933333333332</v>
      </c>
      <c r="U60" s="4022">
        <f t="shared" si="56"/>
        <v>1155.8933333333332</v>
      </c>
      <c r="V60" s="4599">
        <f t="shared" si="56"/>
        <v>3467.6800000000003</v>
      </c>
      <c r="W60" s="3125">
        <f t="shared" ref="W60" si="57">SUM(E60+F60+G60+I60+J60+K60+N60+O60+P60+S60+T60+U60)</f>
        <v>13870.72</v>
      </c>
    </row>
    <row r="61" spans="1:23" ht="18.75" customHeight="1">
      <c r="A61" s="4612" t="s">
        <v>1700</v>
      </c>
      <c r="B61" s="3063">
        <f>SUM(C61:D61)</f>
        <v>5234.7</v>
      </c>
      <c r="C61" s="4624">
        <f>SUM('Произв. прогр. Стоки'!C139)</f>
        <v>5234.7</v>
      </c>
      <c r="D61" s="4624">
        <f>SUM('Произв. прогр. Стоки'!D139)</f>
        <v>0</v>
      </c>
      <c r="E61" s="4625">
        <f>SUM('Произв. прогр. Стоки'!E139)</f>
        <v>436.22499999999997</v>
      </c>
      <c r="F61" s="4625">
        <f>SUM('Произв. прогр. Стоки'!F139)</f>
        <v>436.22499999999997</v>
      </c>
      <c r="G61" s="4625">
        <f>SUM('Произв. прогр. Стоки'!G139)</f>
        <v>436.22499999999997</v>
      </c>
      <c r="H61" s="4624">
        <f>SUM('Произв. прогр. Стоки'!H139)</f>
        <v>1308.675</v>
      </c>
      <c r="I61" s="4625">
        <f>SUM('Произв. прогр. Стоки'!I139)</f>
        <v>436.22499999999997</v>
      </c>
      <c r="J61" s="4625">
        <f>SUM('Произв. прогр. Стоки'!J139)</f>
        <v>436.22499999999997</v>
      </c>
      <c r="K61" s="4625">
        <f>SUM('Произв. прогр. Стоки'!K139)</f>
        <v>436.22499999999997</v>
      </c>
      <c r="L61" s="4624">
        <f>SUM('Произв. прогр. Стоки'!L139)</f>
        <v>1308.675</v>
      </c>
      <c r="M61" s="4624">
        <f>SUM('Произв. прогр. Стоки'!M139)</f>
        <v>2617.35</v>
      </c>
      <c r="N61" s="4625">
        <f>SUM('Произв. прогр. Стоки'!N139)</f>
        <v>436.22499999999997</v>
      </c>
      <c r="O61" s="4625">
        <f>SUM('Произв. прогр. Стоки'!O139)</f>
        <v>436.22499999999997</v>
      </c>
      <c r="P61" s="4625">
        <f>SUM('Произв. прогр. Стоки'!P139)</f>
        <v>436.22499999999997</v>
      </c>
      <c r="Q61" s="4624">
        <f>SUM('Произв. прогр. Стоки'!Q139)</f>
        <v>1308.675</v>
      </c>
      <c r="R61" s="4624">
        <f>SUM('Произв. прогр. Стоки'!R139)</f>
        <v>3926.0249999999996</v>
      </c>
      <c r="S61" s="4625">
        <f>SUM('Произв. прогр. Стоки'!S139)</f>
        <v>436.22499999999997</v>
      </c>
      <c r="T61" s="4625">
        <f>SUM('Произв. прогр. Стоки'!T139)</f>
        <v>436.22499999999997</v>
      </c>
      <c r="U61" s="4625">
        <f>SUM('Произв. прогр. Стоки'!U139)</f>
        <v>436.22499999999997</v>
      </c>
      <c r="V61" s="4624">
        <f>SUM('Произв. прогр. Стоки'!V139)</f>
        <v>1308.675</v>
      </c>
      <c r="W61" s="3111">
        <f t="shared" si="27"/>
        <v>5234.7000000000007</v>
      </c>
    </row>
    <row r="62" spans="1:23" ht="57.75" customHeight="1">
      <c r="A62" s="4469" t="s">
        <v>1906</v>
      </c>
      <c r="B62" s="4600">
        <f>SUM('Произв. прогр. Стоки'!B140)</f>
        <v>9553.14</v>
      </c>
      <c r="C62" s="4600">
        <f>SUM('Произв. прогр. Стоки'!C140)</f>
        <v>9580.73</v>
      </c>
      <c r="D62" s="4600">
        <f>SUM('Произв. прогр. Стоки'!D140)</f>
        <v>-27.59</v>
      </c>
      <c r="E62" s="3172">
        <f t="shared" ref="E62:E64" si="58">SUM(B62/12)</f>
        <v>796.09499999999991</v>
      </c>
      <c r="F62" s="3172">
        <f t="shared" ref="F62:F64" si="59">SUM(E62)</f>
        <v>796.09499999999991</v>
      </c>
      <c r="G62" s="3172">
        <f t="shared" ref="G62:G64" si="60">SUM(F62)</f>
        <v>796.09499999999991</v>
      </c>
      <c r="H62" s="3173">
        <f t="shared" ref="H62:H66" si="61">SUM(E62+F62+G62)</f>
        <v>2388.2849999999999</v>
      </c>
      <c r="I62" s="3172">
        <f t="shared" ref="I62:I64" si="62">SUM(E62)</f>
        <v>796.09499999999991</v>
      </c>
      <c r="J62" s="3172">
        <f t="shared" ref="J62:J64" si="63">SUM(E62)</f>
        <v>796.09499999999991</v>
      </c>
      <c r="K62" s="3172">
        <f t="shared" ref="K62:K64" si="64">SUM(E62)</f>
        <v>796.09499999999991</v>
      </c>
      <c r="L62" s="4602">
        <f t="shared" ref="L62:L65" si="65">SUM(I62+J62+K62)</f>
        <v>2388.2849999999999</v>
      </c>
      <c r="M62" s="4602">
        <f t="shared" ref="M62:M65" si="66">SUM(H62+L62)</f>
        <v>4776.57</v>
      </c>
      <c r="N62" s="3172">
        <f t="shared" ref="N62:N64" si="67">SUM(E62)</f>
        <v>796.09499999999991</v>
      </c>
      <c r="O62" s="3172">
        <f t="shared" ref="O62:O64" si="68">SUM(E62)</f>
        <v>796.09499999999991</v>
      </c>
      <c r="P62" s="3172">
        <f t="shared" ref="P62:P64" si="69">E62</f>
        <v>796.09499999999991</v>
      </c>
      <c r="Q62" s="3173">
        <f t="shared" ref="Q62:Q65" si="70">SUM(N62+O62+P62)</f>
        <v>2388.2849999999999</v>
      </c>
      <c r="R62" s="3173">
        <f t="shared" ref="R62:R65" si="71">SUM(M62+Q62)</f>
        <v>7164.8549999999996</v>
      </c>
      <c r="S62" s="3172">
        <f t="shared" ref="S62:S64" si="72">E62</f>
        <v>796.09499999999991</v>
      </c>
      <c r="T62" s="3172">
        <f t="shared" ref="T62:T64" si="73">E62</f>
        <v>796.09499999999991</v>
      </c>
      <c r="U62" s="3172">
        <f t="shared" ref="U62:U64" si="74">E62</f>
        <v>796.09499999999991</v>
      </c>
      <c r="V62" s="3173">
        <f t="shared" ref="V62:V66" si="75">SUM(S62+T62+U62)</f>
        <v>2388.2849999999999</v>
      </c>
      <c r="W62" s="3125">
        <f t="shared" si="27"/>
        <v>9553.14</v>
      </c>
    </row>
    <row r="63" spans="1:23" ht="82.5" customHeight="1">
      <c r="A63" s="4469" t="s">
        <v>1907</v>
      </c>
      <c r="B63" s="4600">
        <f>SUM('Произв. прогр. Стоки'!B141)</f>
        <v>0</v>
      </c>
      <c r="C63" s="4600">
        <f>SUM('Произв. прогр. Стоки'!C141)</f>
        <v>0</v>
      </c>
      <c r="D63" s="4600">
        <f>SUM('Произв. прогр. Стоки'!D141)</f>
        <v>0</v>
      </c>
      <c r="E63" s="3172">
        <f t="shared" si="58"/>
        <v>0</v>
      </c>
      <c r="F63" s="3172">
        <f t="shared" si="59"/>
        <v>0</v>
      </c>
      <c r="G63" s="3172">
        <f t="shared" si="60"/>
        <v>0</v>
      </c>
      <c r="H63" s="3173">
        <f t="shared" si="61"/>
        <v>0</v>
      </c>
      <c r="I63" s="3172">
        <f t="shared" si="62"/>
        <v>0</v>
      </c>
      <c r="J63" s="3172">
        <f t="shared" si="63"/>
        <v>0</v>
      </c>
      <c r="K63" s="3172">
        <f t="shared" si="64"/>
        <v>0</v>
      </c>
      <c r="L63" s="4602">
        <f t="shared" si="65"/>
        <v>0</v>
      </c>
      <c r="M63" s="4602">
        <f t="shared" si="66"/>
        <v>0</v>
      </c>
      <c r="N63" s="3172">
        <f t="shared" si="67"/>
        <v>0</v>
      </c>
      <c r="O63" s="3172">
        <f t="shared" si="68"/>
        <v>0</v>
      </c>
      <c r="P63" s="3172">
        <f t="shared" si="69"/>
        <v>0</v>
      </c>
      <c r="Q63" s="3173">
        <f t="shared" si="70"/>
        <v>0</v>
      </c>
      <c r="R63" s="3173">
        <f t="shared" si="71"/>
        <v>0</v>
      </c>
      <c r="S63" s="3172">
        <f t="shared" si="72"/>
        <v>0</v>
      </c>
      <c r="T63" s="3172">
        <f t="shared" si="73"/>
        <v>0</v>
      </c>
      <c r="U63" s="3172">
        <f t="shared" si="74"/>
        <v>0</v>
      </c>
      <c r="V63" s="3173">
        <f t="shared" si="75"/>
        <v>0</v>
      </c>
      <c r="W63" s="3125">
        <f t="shared" si="27"/>
        <v>0</v>
      </c>
    </row>
    <row r="64" spans="1:23" ht="308.25" customHeight="1">
      <c r="A64" s="4620" t="s">
        <v>1908</v>
      </c>
      <c r="B64" s="4600">
        <f>SUM('Произв. прогр. Стоки'!B142)</f>
        <v>-917.12</v>
      </c>
      <c r="C64" s="4600">
        <f>SUM('Произв. прогр. Стоки'!C142)</f>
        <v>-917.12</v>
      </c>
      <c r="D64" s="4600">
        <f>SUM('Произв. прогр. Стоки'!D142)</f>
        <v>0</v>
      </c>
      <c r="E64" s="3172">
        <f t="shared" si="58"/>
        <v>-76.426666666666662</v>
      </c>
      <c r="F64" s="3172">
        <f t="shared" si="59"/>
        <v>-76.426666666666662</v>
      </c>
      <c r="G64" s="3172">
        <f t="shared" si="60"/>
        <v>-76.426666666666662</v>
      </c>
      <c r="H64" s="3173">
        <f t="shared" si="61"/>
        <v>-229.27999999999997</v>
      </c>
      <c r="I64" s="3172">
        <f t="shared" si="62"/>
        <v>-76.426666666666662</v>
      </c>
      <c r="J64" s="3172">
        <f t="shared" si="63"/>
        <v>-76.426666666666662</v>
      </c>
      <c r="K64" s="3172">
        <f t="shared" si="64"/>
        <v>-76.426666666666662</v>
      </c>
      <c r="L64" s="4602">
        <f t="shared" si="65"/>
        <v>-229.27999999999997</v>
      </c>
      <c r="M64" s="4602">
        <f t="shared" si="66"/>
        <v>-458.55999999999995</v>
      </c>
      <c r="N64" s="3172">
        <f t="shared" si="67"/>
        <v>-76.426666666666662</v>
      </c>
      <c r="O64" s="3172">
        <f t="shared" si="68"/>
        <v>-76.426666666666662</v>
      </c>
      <c r="P64" s="3172">
        <f t="shared" si="69"/>
        <v>-76.426666666666662</v>
      </c>
      <c r="Q64" s="3173">
        <f t="shared" si="70"/>
        <v>-229.27999999999997</v>
      </c>
      <c r="R64" s="3173">
        <f t="shared" si="71"/>
        <v>-687.83999999999992</v>
      </c>
      <c r="S64" s="3172">
        <f t="shared" si="72"/>
        <v>-76.426666666666662</v>
      </c>
      <c r="T64" s="3172">
        <f t="shared" si="73"/>
        <v>-76.426666666666662</v>
      </c>
      <c r="U64" s="3172">
        <f t="shared" si="74"/>
        <v>-76.426666666666662</v>
      </c>
      <c r="V64" s="3173">
        <f t="shared" si="75"/>
        <v>-229.27999999999997</v>
      </c>
      <c r="W64" s="3125">
        <f t="shared" si="27"/>
        <v>-917.11999999999978</v>
      </c>
    </row>
    <row r="65" spans="1:23" ht="18.75" customHeight="1">
      <c r="A65" s="4597" t="s">
        <v>1968</v>
      </c>
      <c r="B65" s="4599">
        <f>SUM(B57+B60)</f>
        <v>103161.90212561232</v>
      </c>
      <c r="C65" s="4599">
        <f t="shared" ref="C65:K65" si="76">SUM(C57+C60)</f>
        <v>102892.29589953308</v>
      </c>
      <c r="D65" s="4599">
        <f t="shared" si="76"/>
        <v>269.60622607925791</v>
      </c>
      <c r="E65" s="4022">
        <f t="shared" si="76"/>
        <v>8379.9216361592953</v>
      </c>
      <c r="F65" s="4022">
        <f t="shared" si="76"/>
        <v>8367.3130565908341</v>
      </c>
      <c r="G65" s="4022">
        <f t="shared" si="76"/>
        <v>8741.8721224725177</v>
      </c>
      <c r="H65" s="3101">
        <f t="shared" si="61"/>
        <v>25489.106815222643</v>
      </c>
      <c r="I65" s="4022">
        <f t="shared" si="76"/>
        <v>8346.6020602989774</v>
      </c>
      <c r="J65" s="4022">
        <f t="shared" si="76"/>
        <v>8288.5928437142375</v>
      </c>
      <c r="K65" s="4022">
        <f t="shared" si="76"/>
        <v>8661.5039505854238</v>
      </c>
      <c r="L65" s="3101">
        <f t="shared" si="65"/>
        <v>25296.698854598639</v>
      </c>
      <c r="M65" s="3101">
        <f t="shared" si="66"/>
        <v>50785.805669821282</v>
      </c>
      <c r="N65" s="4022">
        <f t="shared" ref="N65:P65" si="77">SUM(N57+N60)</f>
        <v>8553.934669675964</v>
      </c>
      <c r="O65" s="4022">
        <f t="shared" si="77"/>
        <v>8553.0890349281271</v>
      </c>
      <c r="P65" s="4022">
        <f t="shared" si="77"/>
        <v>8980.564626901576</v>
      </c>
      <c r="Q65" s="3101">
        <f t="shared" si="70"/>
        <v>26087.588331505671</v>
      </c>
      <c r="R65" s="3101">
        <f t="shared" si="71"/>
        <v>76873.39400132696</v>
      </c>
      <c r="S65" s="4022">
        <f t="shared" ref="S65:U65" si="78">SUM(S57+S60)</f>
        <v>8624.9655179789679</v>
      </c>
      <c r="T65" s="4022">
        <f t="shared" si="78"/>
        <v>8634.5604936061809</v>
      </c>
      <c r="U65" s="4022">
        <f t="shared" si="78"/>
        <v>9028.9818739038637</v>
      </c>
      <c r="V65" s="3101">
        <f t="shared" si="75"/>
        <v>26288.507885489013</v>
      </c>
      <c r="W65" s="3125">
        <f t="shared" si="27"/>
        <v>103161.90188681596</v>
      </c>
    </row>
    <row r="66" spans="1:23" ht="18.75" customHeight="1">
      <c r="A66" s="3106" t="s">
        <v>435</v>
      </c>
      <c r="B66" s="3060">
        <f t="shared" ref="B66" si="79">SUM(C66:D66)</f>
        <v>0</v>
      </c>
      <c r="C66" s="3060">
        <f>SUM('Произв. прогр. Стоки'!C144)</f>
        <v>0</v>
      </c>
      <c r="D66" s="3060">
        <f>SUM('Произв. прогр. Стоки'!D144)</f>
        <v>0</v>
      </c>
      <c r="E66" s="3073">
        <f>SUM('Произв. прогр. Стоки'!E144)</f>
        <v>0</v>
      </c>
      <c r="F66" s="3073">
        <f>SUM('Произв. прогр. Стоки'!F144)</f>
        <v>0</v>
      </c>
      <c r="G66" s="3073">
        <f>SUM('Произв. прогр. Стоки'!G144)</f>
        <v>0</v>
      </c>
      <c r="H66" s="3101">
        <f t="shared" si="61"/>
        <v>0</v>
      </c>
      <c r="I66" s="3073">
        <f>SUM('Произв. прогр. Стоки'!I144)</f>
        <v>0</v>
      </c>
      <c r="J66" s="3073">
        <f>SUM('Произв. прогр. Стоки'!J144)</f>
        <v>0</v>
      </c>
      <c r="K66" s="3073">
        <f>SUM('Произв. прогр. Стоки'!K144)</f>
        <v>0</v>
      </c>
      <c r="L66" s="3101">
        <f t="shared" ref="L66" si="80">SUM(I66+J66+K66)</f>
        <v>0</v>
      </c>
      <c r="M66" s="3101">
        <f t="shared" ref="M66" si="81">SUM(H66+L66)</f>
        <v>0</v>
      </c>
      <c r="N66" s="3073">
        <f>SUM('Произв. прогр. Стоки'!N144)</f>
        <v>0</v>
      </c>
      <c r="O66" s="3073">
        <f>SUM('Произв. прогр. Стоки'!O144)</f>
        <v>0</v>
      </c>
      <c r="P66" s="3073">
        <f>SUM('Произв. прогр. Стоки'!P144)</f>
        <v>0</v>
      </c>
      <c r="Q66" s="3101">
        <f t="shared" ref="Q66" si="82">SUM(N66+O66+P66)</f>
        <v>0</v>
      </c>
      <c r="R66" s="3101">
        <f t="shared" ref="R66" si="83">SUM(M66+Q66)</f>
        <v>0</v>
      </c>
      <c r="S66" s="3073">
        <f>SUM('Произв. прогр. Стоки'!S144)</f>
        <v>0</v>
      </c>
      <c r="T66" s="3073">
        <f>SUM('Произв. прогр. Стоки'!T144)</f>
        <v>0</v>
      </c>
      <c r="U66" s="3073">
        <f>SUM('Произв. прогр. Стоки'!U144)</f>
        <v>0</v>
      </c>
      <c r="V66" s="3101">
        <f t="shared" si="75"/>
        <v>0</v>
      </c>
      <c r="W66" s="3115">
        <f t="shared" si="27"/>
        <v>0</v>
      </c>
    </row>
    <row r="67" spans="1:23" ht="18.75" customHeight="1">
      <c r="A67" s="3106" t="s">
        <v>547</v>
      </c>
      <c r="B67" s="3060">
        <f>SUM(C67:D67)</f>
        <v>103161.90212561234</v>
      </c>
      <c r="C67" s="3060">
        <f>SUM(C65+C66)</f>
        <v>102892.29589953308</v>
      </c>
      <c r="D67" s="3060">
        <f>SUM(D65+D66)</f>
        <v>269.60622607925791</v>
      </c>
      <c r="E67" s="3073">
        <f>SUM(E65+E66)</f>
        <v>8379.9216361592953</v>
      </c>
      <c r="F67" s="3073">
        <f t="shared" ref="F67:G67" si="84">SUM(F65+F66)</f>
        <v>8367.3130565908341</v>
      </c>
      <c r="G67" s="3073">
        <f t="shared" si="84"/>
        <v>8741.8721224725177</v>
      </c>
      <c r="H67" s="3070">
        <f t="shared" si="28"/>
        <v>25489.106815222643</v>
      </c>
      <c r="I67" s="3073">
        <f>SUM(I65+I66)</f>
        <v>8346.6020602989774</v>
      </c>
      <c r="J67" s="3073">
        <f t="shared" ref="J67" si="85">SUM(J65+J66)</f>
        <v>8288.5928437142375</v>
      </c>
      <c r="K67" s="3073">
        <f t="shared" ref="K67" si="86">SUM(K65+K66)</f>
        <v>8661.5039505854238</v>
      </c>
      <c r="L67" s="3070">
        <f t="shared" ref="L67:L71" si="87">SUM(I67+J67+K67)</f>
        <v>25296.698854598639</v>
      </c>
      <c r="M67" s="3070">
        <f t="shared" ref="M67:M71" si="88">SUM(H67+L67)</f>
        <v>50785.805669821282</v>
      </c>
      <c r="N67" s="3073">
        <f>SUM(N65+N66)</f>
        <v>8553.934669675964</v>
      </c>
      <c r="O67" s="3073">
        <f t="shared" ref="O67" si="89">SUM(O65+O66)</f>
        <v>8553.0890349281271</v>
      </c>
      <c r="P67" s="3073">
        <f t="shared" ref="P67" si="90">SUM(P65+P66)</f>
        <v>8980.564626901576</v>
      </c>
      <c r="Q67" s="3070">
        <f t="shared" ref="Q67:Q71" si="91">SUM(N67+O67+P67)</f>
        <v>26087.588331505671</v>
      </c>
      <c r="R67" s="3070">
        <f t="shared" ref="R67:R71" si="92">SUM(M67+Q67)</f>
        <v>76873.39400132696</v>
      </c>
      <c r="S67" s="3073">
        <f>SUM(S65+S66)</f>
        <v>8624.9655179789679</v>
      </c>
      <c r="T67" s="3073">
        <f t="shared" ref="T67" si="93">SUM(T65+T66)</f>
        <v>8634.5604936061809</v>
      </c>
      <c r="U67" s="3073">
        <f t="shared" ref="U67" si="94">SUM(U65+U66)</f>
        <v>9028.9818739038637</v>
      </c>
      <c r="V67" s="3070">
        <f t="shared" si="33"/>
        <v>26288.507885489013</v>
      </c>
      <c r="W67" s="3115">
        <f t="shared" si="27"/>
        <v>103161.90188681596</v>
      </c>
    </row>
    <row r="68" spans="1:23" ht="18.75" hidden="1" customHeight="1">
      <c r="A68" s="3106" t="s">
        <v>70</v>
      </c>
      <c r="B68" s="3060" t="e">
        <f>SUM(B67/#REF!)</f>
        <v>#REF!</v>
      </c>
      <c r="C68" s="3060" t="e">
        <f>SUM(C67/#REF!)</f>
        <v>#REF!</v>
      </c>
      <c r="D68" s="3060" t="e">
        <f>SUM(D67/#REF!)</f>
        <v>#REF!</v>
      </c>
      <c r="E68" s="3098"/>
      <c r="F68" s="3098"/>
      <c r="G68" s="3098"/>
      <c r="H68" s="3070">
        <f t="shared" si="28"/>
        <v>0</v>
      </c>
      <c r="I68" s="3098"/>
      <c r="J68" s="3098"/>
      <c r="K68" s="3098"/>
      <c r="L68" s="3070">
        <f t="shared" si="87"/>
        <v>0</v>
      </c>
      <c r="M68" s="3070">
        <f t="shared" si="88"/>
        <v>0</v>
      </c>
      <c r="N68" s="3098"/>
      <c r="O68" s="3098"/>
      <c r="P68" s="3098"/>
      <c r="Q68" s="3070">
        <f t="shared" si="91"/>
        <v>0</v>
      </c>
      <c r="R68" s="3070">
        <f t="shared" si="92"/>
        <v>0</v>
      </c>
      <c r="S68" s="3098"/>
      <c r="T68" s="3098"/>
      <c r="U68" s="3098"/>
      <c r="V68" s="3070">
        <f t="shared" si="33"/>
        <v>0</v>
      </c>
      <c r="W68" s="3115">
        <f t="shared" si="27"/>
        <v>0</v>
      </c>
    </row>
    <row r="69" spans="1:23" ht="18.75" customHeight="1">
      <c r="A69" s="3106" t="s">
        <v>70</v>
      </c>
      <c r="B69" s="3060">
        <f>SUM(B67/B58)</f>
        <v>31.752577656524561</v>
      </c>
      <c r="C69" s="3060">
        <f t="shared" ref="C69:W69" si="95">SUM(C67/C58)</f>
        <v>31.855199968895693</v>
      </c>
      <c r="D69" s="3060">
        <f t="shared" si="95"/>
        <v>14.242272904345374</v>
      </c>
      <c r="E69" s="3073">
        <f t="shared" si="95"/>
        <v>30.171549676982441</v>
      </c>
      <c r="F69" s="3073">
        <f t="shared" si="95"/>
        <v>30.302353284590758</v>
      </c>
      <c r="G69" s="3073">
        <f t="shared" si="95"/>
        <v>31.658824718553994</v>
      </c>
      <c r="H69" s="3060">
        <f t="shared" si="95"/>
        <v>30.70985974683375</v>
      </c>
      <c r="I69" s="3073">
        <f t="shared" si="95"/>
        <v>30.405180311639651</v>
      </c>
      <c r="J69" s="3073">
        <f t="shared" si="95"/>
        <v>31.881962261019659</v>
      </c>
      <c r="K69" s="3073">
        <f t="shared" si="95"/>
        <v>33.316359879548905</v>
      </c>
      <c r="L69" s="3060">
        <f t="shared" si="95"/>
        <v>31.84107449908101</v>
      </c>
      <c r="M69" s="3060">
        <f t="shared" si="95"/>
        <v>31.263096262351784</v>
      </c>
      <c r="N69" s="3073">
        <f t="shared" si="95"/>
        <v>32.902596069567423</v>
      </c>
      <c r="O69" s="3073">
        <f t="shared" si="95"/>
        <v>32.899343346743962</v>
      </c>
      <c r="P69" s="3073">
        <f t="shared" si="95"/>
        <v>32.714592693963219</v>
      </c>
      <c r="Q69" s="3060">
        <f t="shared" si="95"/>
        <v>32.836570824490209</v>
      </c>
      <c r="R69" s="3060">
        <f t="shared" si="95"/>
        <v>31.77988389561386</v>
      </c>
      <c r="S69" s="3073">
        <f t="shared" si="95"/>
        <v>31.235445647314982</v>
      </c>
      <c r="T69" s="3073">
        <f t="shared" si="95"/>
        <v>31.270193999533479</v>
      </c>
      <c r="U69" s="3073">
        <f t="shared" si="95"/>
        <v>32.508463320895665</v>
      </c>
      <c r="V69" s="3060">
        <f t="shared" si="95"/>
        <v>31.672996467446005</v>
      </c>
      <c r="W69" s="4623">
        <f t="shared" si="95"/>
        <v>31.752577583024561</v>
      </c>
    </row>
    <row r="70" spans="1:23" ht="18.75" customHeight="1">
      <c r="A70" s="3106" t="s">
        <v>326</v>
      </c>
      <c r="B70" s="3060">
        <f>SUM(C70:D70)</f>
        <v>-3902.11</v>
      </c>
      <c r="C70" s="3060">
        <f>SUM('Произв. прогр. Стоки'!C147)</f>
        <v>-3902.11</v>
      </c>
      <c r="D70" s="3060">
        <f>SUM('Произв. прогр. Стоки'!D147)</f>
        <v>0</v>
      </c>
      <c r="E70" s="3073">
        <f>SUM('Произв. прогр. Стоки'!E147)</f>
        <v>-325.17583333333334</v>
      </c>
      <c r="F70" s="3073">
        <f>SUM('Произв. прогр. Стоки'!F147)</f>
        <v>-325.17583333333334</v>
      </c>
      <c r="G70" s="3073">
        <f>SUM('Произв. прогр. Стоки'!G147)</f>
        <v>-325.17583333333334</v>
      </c>
      <c r="H70" s="3060">
        <f>SUM('Произв. прогр. Стоки'!H147)</f>
        <v>-975.52750000000003</v>
      </c>
      <c r="I70" s="3073">
        <f>SUM('Произв. прогр. Стоки'!I147)</f>
        <v>-325.17583333333334</v>
      </c>
      <c r="J70" s="3073">
        <f>SUM('Произв. прогр. Стоки'!J147)</f>
        <v>-325.17583333333334</v>
      </c>
      <c r="K70" s="3073">
        <f>SUM('Произв. прогр. Стоки'!K147)</f>
        <v>-325.17583333333334</v>
      </c>
      <c r="L70" s="3060">
        <f>SUM('Произв. прогр. Стоки'!L147)</f>
        <v>-975.52750000000003</v>
      </c>
      <c r="M70" s="3060">
        <f>SUM('Произв. прогр. Стоки'!M147)</f>
        <v>-1951.0550000000001</v>
      </c>
      <c r="N70" s="3073">
        <f>SUM('Произв. прогр. Стоки'!N147)</f>
        <v>-325.17583333333334</v>
      </c>
      <c r="O70" s="3073">
        <f>SUM('Произв. прогр. Стоки'!O147)</f>
        <v>-325.17583333333334</v>
      </c>
      <c r="P70" s="3073">
        <f>SUM('Произв. прогр. Стоки'!P147)</f>
        <v>-325.17583333333334</v>
      </c>
      <c r="Q70" s="3060">
        <f>SUM('Произв. прогр. Стоки'!Q147)</f>
        <v>-975.52750000000003</v>
      </c>
      <c r="R70" s="3060">
        <f>SUM('Произв. прогр. Стоки'!R147)</f>
        <v>-2926.5825</v>
      </c>
      <c r="S70" s="3073">
        <f>SUM('Произв. прогр. Стоки'!S147)</f>
        <v>-325.17583333333334</v>
      </c>
      <c r="T70" s="3073">
        <f>SUM('Произв. прогр. Стоки'!T147)</f>
        <v>-325.17583333333334</v>
      </c>
      <c r="U70" s="3073">
        <f>SUM('Произв. прогр. Стоки'!U147)</f>
        <v>-325.17583333333334</v>
      </c>
      <c r="V70" s="3060">
        <f>SUM('Произв. прогр. Стоки'!V147)</f>
        <v>-975.52750000000003</v>
      </c>
      <c r="W70" s="3115">
        <f t="shared" si="27"/>
        <v>-3902.1099999999992</v>
      </c>
    </row>
    <row r="71" spans="1:23" ht="18.75" customHeight="1">
      <c r="A71" s="3169" t="s">
        <v>1971</v>
      </c>
      <c r="B71" s="3060">
        <f>SUM(B67+B70)</f>
        <v>99259.792125612337</v>
      </c>
      <c r="C71" s="3060">
        <f t="shared" ref="C71:G71" si="96">SUM(C67+C70)</f>
        <v>98990.185899533084</v>
      </c>
      <c r="D71" s="3060">
        <f t="shared" si="96"/>
        <v>269.60622607925791</v>
      </c>
      <c r="E71" s="3073">
        <f t="shared" si="96"/>
        <v>8054.7458028259616</v>
      </c>
      <c r="F71" s="3073">
        <f t="shared" si="96"/>
        <v>8042.1372232575004</v>
      </c>
      <c r="G71" s="3073">
        <f t="shared" si="96"/>
        <v>8416.696289139185</v>
      </c>
      <c r="H71" s="3070">
        <f t="shared" si="28"/>
        <v>24513.579315222647</v>
      </c>
      <c r="I71" s="3073">
        <f t="shared" ref="I71" si="97">SUM(I67+I70)</f>
        <v>8021.4262269656438</v>
      </c>
      <c r="J71" s="3073">
        <f t="shared" ref="J71" si="98">SUM(J67+J70)</f>
        <v>7963.4170103809038</v>
      </c>
      <c r="K71" s="3073">
        <f t="shared" ref="K71" si="99">SUM(K67+K70)</f>
        <v>8336.328117252091</v>
      </c>
      <c r="L71" s="3070">
        <f t="shared" si="87"/>
        <v>24321.171354598639</v>
      </c>
      <c r="M71" s="3070">
        <f t="shared" si="88"/>
        <v>48834.750669821282</v>
      </c>
      <c r="N71" s="3073">
        <f t="shared" ref="N71" si="100">SUM(N67+N70)</f>
        <v>8228.7588363426312</v>
      </c>
      <c r="O71" s="3073">
        <f t="shared" ref="O71" si="101">SUM(O67+O70)</f>
        <v>8227.9132015947944</v>
      </c>
      <c r="P71" s="3073">
        <f t="shared" ref="P71" si="102">SUM(P67+P70)</f>
        <v>8655.3887935682433</v>
      </c>
      <c r="Q71" s="3070">
        <f t="shared" si="91"/>
        <v>25112.060831505667</v>
      </c>
      <c r="R71" s="3070">
        <f t="shared" si="92"/>
        <v>73946.811501326942</v>
      </c>
      <c r="S71" s="3073">
        <f t="shared" ref="S71" si="103">SUM(S67+S70)</f>
        <v>8299.7896846456351</v>
      </c>
      <c r="T71" s="3073">
        <f t="shared" ref="T71" si="104">SUM(T67+T70)</f>
        <v>8309.3846602728481</v>
      </c>
      <c r="U71" s="3073">
        <f t="shared" ref="U71" si="105">SUM(U67+U70)</f>
        <v>8703.806040570531</v>
      </c>
      <c r="V71" s="3070">
        <f t="shared" si="33"/>
        <v>25312.980385489012</v>
      </c>
      <c r="W71" s="3115">
        <f t="shared" si="27"/>
        <v>99259.791886815976</v>
      </c>
    </row>
    <row r="72" spans="1:23" ht="18.75" customHeight="1">
      <c r="A72" s="3106" t="s">
        <v>327</v>
      </c>
      <c r="B72" s="3060">
        <f>SUM(B71/B58)</f>
        <v>30.551533004900797</v>
      </c>
      <c r="C72" s="3060">
        <f t="shared" ref="C72:W72" si="106">SUM(C71/C58)</f>
        <v>30.647116377564423</v>
      </c>
      <c r="D72" s="3060">
        <f t="shared" si="106"/>
        <v>14.242272904345374</v>
      </c>
      <c r="E72" s="3073">
        <f t="shared" si="106"/>
        <v>29.000767987707899</v>
      </c>
      <c r="F72" s="3073">
        <f t="shared" si="106"/>
        <v>29.124723988945327</v>
      </c>
      <c r="G72" s="3073">
        <f t="shared" si="106"/>
        <v>30.481195422908566</v>
      </c>
      <c r="H72" s="3060">
        <f t="shared" si="106"/>
        <v>29.534521869310026</v>
      </c>
      <c r="I72" s="3073">
        <f t="shared" si="106"/>
        <v>29.220622838543402</v>
      </c>
      <c r="J72" s="3073">
        <f t="shared" si="106"/>
        <v>30.631177738000037</v>
      </c>
      <c r="K72" s="3073">
        <f t="shared" si="106"/>
        <v>32.065575356529287</v>
      </c>
      <c r="L72" s="3060">
        <f t="shared" si="106"/>
        <v>30.613173420685733</v>
      </c>
      <c r="M72" s="3060">
        <f t="shared" si="106"/>
        <v>30.06205161072802</v>
      </c>
      <c r="N72" s="3073">
        <f t="shared" si="106"/>
        <v>31.651811546547805</v>
      </c>
      <c r="O72" s="3073">
        <f t="shared" si="106"/>
        <v>31.648558823724343</v>
      </c>
      <c r="P72" s="3073">
        <f t="shared" si="106"/>
        <v>31.530035220866974</v>
      </c>
      <c r="Q72" s="3060">
        <f t="shared" si="106"/>
        <v>31.608669746094925</v>
      </c>
      <c r="R72" s="3060">
        <f t="shared" si="106"/>
        <v>30.57001859346094</v>
      </c>
      <c r="S72" s="3073">
        <f t="shared" si="106"/>
        <v>30.057816351669555</v>
      </c>
      <c r="T72" s="3073">
        <f t="shared" si="106"/>
        <v>30.092564703888051</v>
      </c>
      <c r="U72" s="3073">
        <f t="shared" si="106"/>
        <v>31.337681631621127</v>
      </c>
      <c r="V72" s="3060">
        <f t="shared" si="106"/>
        <v>30.497658589922274</v>
      </c>
      <c r="W72" s="4623">
        <f t="shared" si="106"/>
        <v>30.551532931400796</v>
      </c>
    </row>
    <row r="73" spans="1:23" ht="18.75" customHeight="1">
      <c r="A73" s="4986" t="s">
        <v>1732</v>
      </c>
      <c r="B73" s="4992"/>
      <c r="C73" s="4992"/>
      <c r="D73" s="4992"/>
      <c r="E73" s="4992"/>
      <c r="F73" s="4992"/>
      <c r="G73" s="4992"/>
      <c r="H73" s="4992"/>
      <c r="I73" s="4992"/>
      <c r="J73" s="4992"/>
      <c r="K73" s="4992"/>
      <c r="L73" s="4992"/>
      <c r="M73" s="4992"/>
      <c r="N73" s="4992"/>
      <c r="O73" s="4992"/>
      <c r="P73" s="4992"/>
      <c r="Q73" s="4992"/>
      <c r="R73" s="4992"/>
      <c r="S73" s="4992"/>
      <c r="T73" s="4992"/>
      <c r="U73" s="4992"/>
      <c r="V73" s="4996"/>
      <c r="W73" s="3109"/>
    </row>
    <row r="74" spans="1:23" ht="19.5" customHeight="1">
      <c r="A74" s="4981" t="s">
        <v>545</v>
      </c>
      <c r="B74" s="4982" t="s">
        <v>1960</v>
      </c>
      <c r="C74" s="4982" t="s">
        <v>1560</v>
      </c>
      <c r="D74" s="4995"/>
      <c r="E74" s="4981" t="s">
        <v>586</v>
      </c>
      <c r="F74" s="4981" t="s">
        <v>587</v>
      </c>
      <c r="G74" s="4981" t="s">
        <v>588</v>
      </c>
      <c r="H74" s="4984" t="s">
        <v>600</v>
      </c>
      <c r="I74" s="4981" t="s">
        <v>589</v>
      </c>
      <c r="J74" s="4981" t="s">
        <v>590</v>
      </c>
      <c r="K74" s="4981" t="s">
        <v>591</v>
      </c>
      <c r="L74" s="4984" t="s">
        <v>599</v>
      </c>
      <c r="M74" s="4984" t="s">
        <v>598</v>
      </c>
      <c r="N74" s="4981" t="s">
        <v>592</v>
      </c>
      <c r="O74" s="4981" t="s">
        <v>593</v>
      </c>
      <c r="P74" s="4981" t="s">
        <v>594</v>
      </c>
      <c r="Q74" s="4984" t="s">
        <v>225</v>
      </c>
      <c r="R74" s="4984" t="s">
        <v>229</v>
      </c>
      <c r="S74" s="4981" t="s">
        <v>595</v>
      </c>
      <c r="T74" s="4981" t="s">
        <v>596</v>
      </c>
      <c r="U74" s="4981" t="s">
        <v>597</v>
      </c>
      <c r="V74" s="4984" t="s">
        <v>135</v>
      </c>
      <c r="W74" s="4985" t="s">
        <v>601</v>
      </c>
    </row>
    <row r="75" spans="1:23" ht="41.25" customHeight="1">
      <c r="A75" s="4981"/>
      <c r="B75" s="4982"/>
      <c r="C75" s="3179" t="s">
        <v>351</v>
      </c>
      <c r="D75" s="3179" t="s">
        <v>1750</v>
      </c>
      <c r="E75" s="4981"/>
      <c r="F75" s="4981"/>
      <c r="G75" s="4981"/>
      <c r="H75" s="4984"/>
      <c r="I75" s="4981"/>
      <c r="J75" s="4981"/>
      <c r="K75" s="4981"/>
      <c r="L75" s="4984"/>
      <c r="M75" s="4984"/>
      <c r="N75" s="4981"/>
      <c r="O75" s="4981"/>
      <c r="P75" s="4981"/>
      <c r="Q75" s="4984"/>
      <c r="R75" s="4984"/>
      <c r="S75" s="4981"/>
      <c r="T75" s="4981"/>
      <c r="U75" s="4981"/>
      <c r="V75" s="4984"/>
      <c r="W75" s="4985"/>
    </row>
    <row r="76" spans="1:23" ht="18.75" customHeight="1">
      <c r="A76" s="3095" t="s">
        <v>1733</v>
      </c>
      <c r="B76" s="3060">
        <f>SUM('Произв. прогр. Стоки'!B153)</f>
        <v>103161.90212561234</v>
      </c>
      <c r="C76" s="3060">
        <f>SUM('Произв. прогр. Стоки'!C153)</f>
        <v>102892.29589953308</v>
      </c>
      <c r="D76" s="3060">
        <f>SUM('Произв. прогр. Стоки'!D153)</f>
        <v>269.60622607925791</v>
      </c>
      <c r="E76" s="3073">
        <f>SUM('Произв. прогр. Стоки'!E153)</f>
        <v>8379.9216361592953</v>
      </c>
      <c r="F76" s="3073">
        <f>SUM('Произв. прогр. Стоки'!F153)</f>
        <v>8367.3130565908323</v>
      </c>
      <c r="G76" s="3073">
        <f>SUM('Произв. прогр. Стоки'!G153)</f>
        <v>8741.8721224725177</v>
      </c>
      <c r="H76" s="3060">
        <f>SUM('Произв. прогр. Стоки'!H153)</f>
        <v>25489.106815222643</v>
      </c>
      <c r="I76" s="3073">
        <f>SUM('Произв. прогр. Стоки'!I153)</f>
        <v>8346.6020602989774</v>
      </c>
      <c r="J76" s="3073">
        <f>SUM('Произв. прогр. Стоки'!J153)</f>
        <v>8288.5928437142375</v>
      </c>
      <c r="K76" s="3073">
        <f>SUM('Произв. прогр. Стоки'!K153)</f>
        <v>8661.5039505854238</v>
      </c>
      <c r="L76" s="3060">
        <f>SUM('Произв. прогр. Стоки'!L153)</f>
        <v>25296.698854598639</v>
      </c>
      <c r="M76" s="3060">
        <f>SUM('Произв. прогр. Стоки'!M153)</f>
        <v>50785.805669821282</v>
      </c>
      <c r="N76" s="3073">
        <f>SUM('Произв. прогр. Стоки'!N153)</f>
        <v>8553.934669675964</v>
      </c>
      <c r="O76" s="3073">
        <f>SUM('Произв. прогр. Стоки'!O153)</f>
        <v>8553.0890349281271</v>
      </c>
      <c r="P76" s="3073">
        <f>SUM('Произв. прогр. Стоки'!P153)</f>
        <v>8980.564626901576</v>
      </c>
      <c r="Q76" s="3060">
        <f>SUM('Произв. прогр. Стоки'!Q153)</f>
        <v>26087.588331505671</v>
      </c>
      <c r="R76" s="3060">
        <f>SUM('Произв. прогр. Стоки'!R153)</f>
        <v>76873.39400132696</v>
      </c>
      <c r="S76" s="3073">
        <f>SUM('Произв. прогр. Стоки'!S153)</f>
        <v>8624.9655179789679</v>
      </c>
      <c r="T76" s="3073">
        <f>SUM('Произв. прогр. Стоки'!T153)</f>
        <v>8634.5604936061809</v>
      </c>
      <c r="U76" s="3073">
        <f>SUM('Произв. прогр. Стоки'!U153)</f>
        <v>9028.9818739038637</v>
      </c>
      <c r="V76" s="3060">
        <f>SUM('Произв. прогр. Стоки'!V153)</f>
        <v>26288.507885489013</v>
      </c>
      <c r="W76" s="3085">
        <f t="shared" ref="W76:W84" si="107">SUM(E76+F76+G76+I76+J76+K76+N76+O76+P76+S76+T76+U76)</f>
        <v>103161.90188681596</v>
      </c>
    </row>
    <row r="77" spans="1:23" ht="18.75" customHeight="1">
      <c r="A77" s="3059" t="s">
        <v>390</v>
      </c>
      <c r="B77" s="3063">
        <f>SUM('Произв. прогр. Стоки'!B154)</f>
        <v>48316.19455</v>
      </c>
      <c r="C77" s="3063">
        <f>SUM('Произв. прогр. Стоки'!C154)</f>
        <v>48175.45</v>
      </c>
      <c r="D77" s="3063">
        <f>SUM('Произв. прогр. Стоки'!D154)</f>
        <v>140.74455</v>
      </c>
      <c r="E77" s="3092">
        <f>SUM('Произв. прогр. Стоки'!E154)</f>
        <v>4130.4246828350797</v>
      </c>
      <c r="F77" s="3092">
        <f>SUM('Произв. прогр. Стоки'!F154)</f>
        <v>4106.4073435269847</v>
      </c>
      <c r="G77" s="3092">
        <f>SUM('Произв. прогр. Стоки'!G154)</f>
        <v>4106.4073435269847</v>
      </c>
      <c r="H77" s="3063">
        <f>SUM('Произв. прогр. Стоки'!H154)</f>
        <v>12343.239369889048</v>
      </c>
      <c r="I77" s="3092">
        <f>SUM('Произв. прогр. Стоки'!I154)</f>
        <v>4082.390004218888</v>
      </c>
      <c r="J77" s="3092">
        <f>SUM('Произв. прогр. Стоки'!J154)</f>
        <v>3866.233950446031</v>
      </c>
      <c r="K77" s="3092">
        <f>SUM('Произв. прогр. Стоки'!K154)</f>
        <v>3866.233950446031</v>
      </c>
      <c r="L77" s="3063">
        <f>SUM('Произв. прогр. Стоки'!L154)</f>
        <v>11814.85790511095</v>
      </c>
      <c r="M77" s="3063">
        <f>SUM('Произв. прогр. Стоки'!M154)</f>
        <v>24158.097275</v>
      </c>
      <c r="N77" s="3092">
        <f>SUM('Произв. прогр. Стоки'!N154)</f>
        <v>3866.233950446031</v>
      </c>
      <c r="O77" s="3092">
        <f>SUM('Произв. прогр. Стоки'!O154)</f>
        <v>3866.233950446031</v>
      </c>
      <c r="P77" s="3092">
        <f>SUM('Произв. прогр. Стоки'!P154)</f>
        <v>4082.390004218888</v>
      </c>
      <c r="Q77" s="3063">
        <f>SUM('Произв. прогр. Стоки'!Q154)</f>
        <v>11814.85790511095</v>
      </c>
      <c r="R77" s="3063">
        <f>SUM('Произв. прогр. Стоки'!R154)</f>
        <v>35972.955180110948</v>
      </c>
      <c r="S77" s="3092">
        <f>SUM('Произв. прогр. Стоки'!S154)</f>
        <v>4106.4073435269847</v>
      </c>
      <c r="T77" s="3092">
        <f>SUM('Произв. прогр. Стоки'!T154)</f>
        <v>4106.4073435269847</v>
      </c>
      <c r="U77" s="3092">
        <f>SUM('Произв. прогр. Стоки'!U154)</f>
        <v>4130.4246828350797</v>
      </c>
      <c r="V77" s="3063">
        <f>SUM('Произв. прогр. Стоки'!V154)</f>
        <v>12343.239369889048</v>
      </c>
      <c r="W77" s="3087">
        <f t="shared" si="107"/>
        <v>48316.19455</v>
      </c>
    </row>
    <row r="78" spans="1:23" ht="18.75" customHeight="1">
      <c r="A78" s="3059" t="s">
        <v>1734</v>
      </c>
      <c r="B78" s="3063">
        <f>SUM('Произв. прогр. Стоки'!B155)</f>
        <v>54845.707575612338</v>
      </c>
      <c r="C78" s="3063">
        <f>SUM('Произв. прогр. Стоки'!C155)</f>
        <v>54716.845899533088</v>
      </c>
      <c r="D78" s="3063">
        <f>SUM('Произв. прогр. Стоки'!D155)</f>
        <v>128.8616760792579</v>
      </c>
      <c r="E78" s="3092">
        <f>SUM('Произв. прогр. Стоки'!E155)</f>
        <v>4249.4969533242156</v>
      </c>
      <c r="F78" s="3092">
        <f>SUM('Произв. прогр. Стоки'!F155)</f>
        <v>4260.9057130638475</v>
      </c>
      <c r="G78" s="3092">
        <f>SUM('Произв. прогр. Стоки'!G155)</f>
        <v>4635.464778945533</v>
      </c>
      <c r="H78" s="3063">
        <f>SUM('Произв. прогр. Стоки'!H155)</f>
        <v>13145.867445333595</v>
      </c>
      <c r="I78" s="3092">
        <f>SUM('Произв. прогр. Стоки'!I155)</f>
        <v>4264.2120560800895</v>
      </c>
      <c r="J78" s="3092">
        <f>SUM('Произв. прогр. Стоки'!J155)</f>
        <v>4422.3588932682069</v>
      </c>
      <c r="K78" s="3092">
        <f>SUM('Произв. прогр. Стоки'!K155)</f>
        <v>4795.2700001393932</v>
      </c>
      <c r="L78" s="3063">
        <f>SUM('Произв. прогр. Стоки'!L155)</f>
        <v>13481.840949487691</v>
      </c>
      <c r="M78" s="3063">
        <f>SUM('Произв. прогр. Стоки'!M155)</f>
        <v>26627.708394821286</v>
      </c>
      <c r="N78" s="3092">
        <f>SUM('Произв. прогр. Стоки'!N155)</f>
        <v>4687.7007192299334</v>
      </c>
      <c r="O78" s="3092">
        <f>SUM('Произв. прогр. Стоки'!O155)</f>
        <v>4686.8550844820966</v>
      </c>
      <c r="P78" s="3092">
        <f>SUM('Произв. прогр. Стоки'!P155)</f>
        <v>4898.1746226826881</v>
      </c>
      <c r="Q78" s="3063">
        <f>SUM('Произв. прогр. Стоки'!Q155)</f>
        <v>14272.730426394719</v>
      </c>
      <c r="R78" s="3063">
        <f>SUM('Произв. прогр. Стоки'!R155)</f>
        <v>40900.438821216005</v>
      </c>
      <c r="S78" s="3092">
        <f>SUM('Произв. прогр. Стоки'!S155)</f>
        <v>4518.5581744519832</v>
      </c>
      <c r="T78" s="3092">
        <f>SUM('Произв. прогр. Стоки'!T155)</f>
        <v>4528.1531500791962</v>
      </c>
      <c r="U78" s="3092">
        <f>SUM('Произв. прогр. Стоки'!U155)</f>
        <v>4898.5571910687841</v>
      </c>
      <c r="V78" s="3063">
        <f>SUM('Произв. прогр. Стоки'!V155)</f>
        <v>13945.268515599964</v>
      </c>
      <c r="W78" s="3087">
        <f t="shared" si="107"/>
        <v>54845.707336815969</v>
      </c>
    </row>
    <row r="79" spans="1:23" ht="18.75" customHeight="1">
      <c r="A79" s="3095" t="s">
        <v>1735</v>
      </c>
      <c r="B79" s="3060">
        <f>SUM('Произв. прогр. Стоки'!B156)</f>
        <v>3248.93</v>
      </c>
      <c r="C79" s="3060">
        <f>SUM('Произв. прогр. Стоки'!C156)</f>
        <v>3230</v>
      </c>
      <c r="D79" s="3060">
        <f>SUM('Произв. прогр. Стоки'!D156)</f>
        <v>18.93</v>
      </c>
      <c r="E79" s="3073">
        <f>SUM('Произв. прогр. Стоки'!E156)</f>
        <v>277.74250000000001</v>
      </c>
      <c r="F79" s="3073">
        <f>SUM('Произв. прогр. Стоки'!F156)</f>
        <v>276.1275</v>
      </c>
      <c r="G79" s="3073">
        <f>SUM('Произв. прогр. Стоки'!G156)</f>
        <v>276.1275</v>
      </c>
      <c r="H79" s="3060">
        <f>SUM('Произв. прогр. Стоки'!H156)</f>
        <v>829.99749999999995</v>
      </c>
      <c r="I79" s="3073">
        <f>SUM('Произв. прогр. Стоки'!I156)</f>
        <v>274.51249999999993</v>
      </c>
      <c r="J79" s="3073">
        <f>SUM('Произв. прогр. Стоки'!J156)</f>
        <v>259.97749999999996</v>
      </c>
      <c r="K79" s="3073">
        <f>SUM('Произв. прогр. Стоки'!K156)</f>
        <v>259.97749999999996</v>
      </c>
      <c r="L79" s="3060">
        <f>SUM('Произв. прогр. Стоки'!L156)</f>
        <v>794.46749999999986</v>
      </c>
      <c r="M79" s="3060">
        <f>SUM('Произв. прогр. Стоки'!M156)</f>
        <v>1624.4649999999997</v>
      </c>
      <c r="N79" s="3073">
        <f>SUM('Произв. прогр. Стоки'!N156)</f>
        <v>259.97749999999996</v>
      </c>
      <c r="O79" s="3073">
        <f>SUM('Произв. прогр. Стоки'!O156)</f>
        <v>259.97749999999996</v>
      </c>
      <c r="P79" s="3073">
        <f>SUM('Произв. прогр. Стоки'!P156)</f>
        <v>274.51249999999993</v>
      </c>
      <c r="Q79" s="3060">
        <f>SUM('Произв. прогр. Стоки'!Q156)</f>
        <v>794.46749999999986</v>
      </c>
      <c r="R79" s="3060">
        <f>SUM('Произв. прогр. Стоки'!R156)</f>
        <v>2418.9324999999994</v>
      </c>
      <c r="S79" s="3073">
        <f>SUM('Произв. прогр. Стоки'!S156)</f>
        <v>276.1275</v>
      </c>
      <c r="T79" s="3073">
        <f>SUM('Произв. прогр. Стоки'!T156)</f>
        <v>276.1275</v>
      </c>
      <c r="U79" s="3073">
        <f>SUM('Произв. прогр. Стоки'!U156)</f>
        <v>277.74250000000001</v>
      </c>
      <c r="V79" s="3060">
        <f>SUM('Произв. прогр. Стоки'!V156)</f>
        <v>829.99749999999995</v>
      </c>
      <c r="W79" s="3085">
        <f t="shared" si="107"/>
        <v>3248.9299999999994</v>
      </c>
    </row>
    <row r="80" spans="1:23" ht="18.75" customHeight="1">
      <c r="A80" s="3059" t="s">
        <v>390</v>
      </c>
      <c r="B80" s="3063">
        <f>SUM('Произв. прогр. Стоки'!B157)</f>
        <v>1624.4649999999999</v>
      </c>
      <c r="C80" s="3063">
        <f>SUM('Произв. прогр. Стоки'!C157)</f>
        <v>1615</v>
      </c>
      <c r="D80" s="3063">
        <f>SUM('Произв. прогр. Стоки'!D157)</f>
        <v>9.4649999999999999</v>
      </c>
      <c r="E80" s="3092">
        <f>SUM('Произв. прогр. Стоки'!E157)</f>
        <v>138.87125</v>
      </c>
      <c r="F80" s="3092">
        <f>SUM('Произв. прогр. Стоки'!F157)</f>
        <v>138.06375</v>
      </c>
      <c r="G80" s="3092">
        <f>SUM('Произв. прогр. Стоки'!G157)</f>
        <v>138.06375</v>
      </c>
      <c r="H80" s="3063">
        <f>SUM('Произв. прогр. Стоки'!H157)</f>
        <v>414.99874999999997</v>
      </c>
      <c r="I80" s="3092">
        <f>SUM('Произв. прогр. Стоки'!I157)</f>
        <v>137.25624999999997</v>
      </c>
      <c r="J80" s="3092">
        <f>SUM('Произв. прогр. Стоки'!J157)</f>
        <v>129.98874999999998</v>
      </c>
      <c r="K80" s="3092">
        <f>SUM('Произв. прогр. Стоки'!K157)</f>
        <v>129.98874999999998</v>
      </c>
      <c r="L80" s="3063">
        <f>SUM('Произв. прогр. Стоки'!L157)</f>
        <v>397.23374999999993</v>
      </c>
      <c r="M80" s="3063">
        <f>SUM('Произв. прогр. Стоки'!M157)</f>
        <v>812.23249999999985</v>
      </c>
      <c r="N80" s="3092">
        <f>SUM('Произв. прогр. Стоки'!N157)</f>
        <v>129.98874999999998</v>
      </c>
      <c r="O80" s="3092">
        <f>SUM('Произв. прогр. Стоки'!O157)</f>
        <v>129.98874999999998</v>
      </c>
      <c r="P80" s="3092">
        <f>SUM('Произв. прогр. Стоки'!P157)</f>
        <v>137.25624999999997</v>
      </c>
      <c r="Q80" s="3063">
        <f>SUM('Произв. прогр. Стоки'!Q157)</f>
        <v>397.23374999999993</v>
      </c>
      <c r="R80" s="3063">
        <f>SUM('Произв. прогр. Стоки'!R157)</f>
        <v>1209.4662499999997</v>
      </c>
      <c r="S80" s="3092">
        <f>SUM('Произв. прогр. Стоки'!S157)</f>
        <v>138.06375</v>
      </c>
      <c r="T80" s="3092">
        <f>SUM('Произв. прогр. Стоки'!T157)</f>
        <v>138.06375</v>
      </c>
      <c r="U80" s="3092">
        <f>SUM('Произв. прогр. Стоки'!U157)</f>
        <v>138.87125</v>
      </c>
      <c r="V80" s="3063">
        <f>SUM('Произв. прогр. Стоки'!V157)</f>
        <v>414.99874999999997</v>
      </c>
      <c r="W80" s="3087">
        <f t="shared" si="107"/>
        <v>1624.4649999999997</v>
      </c>
    </row>
    <row r="81" spans="1:23" ht="18.75" customHeight="1">
      <c r="A81" s="3059" t="s">
        <v>1734</v>
      </c>
      <c r="B81" s="3063">
        <f>SUM('Произв. прогр. Стоки'!B158)</f>
        <v>1624.4649999999999</v>
      </c>
      <c r="C81" s="3063">
        <f>SUM('Произв. прогр. Стоки'!C158)</f>
        <v>1615</v>
      </c>
      <c r="D81" s="3063">
        <f>SUM('Произв. прогр. Стоки'!D158)</f>
        <v>9.4649999999999999</v>
      </c>
      <c r="E81" s="3092">
        <f>SUM('Произв. прогр. Стоки'!E158)</f>
        <v>138.87125</v>
      </c>
      <c r="F81" s="3092">
        <f>SUM('Произв. прогр. Стоки'!F158)</f>
        <v>138.06375</v>
      </c>
      <c r="G81" s="3092">
        <f>SUM('Произв. прогр. Стоки'!G158)</f>
        <v>138.06375</v>
      </c>
      <c r="H81" s="3063">
        <f>SUM('Произв. прогр. Стоки'!H158)</f>
        <v>414.99874999999997</v>
      </c>
      <c r="I81" s="3092">
        <f>SUM('Произв. прогр. Стоки'!I158)</f>
        <v>137.25624999999997</v>
      </c>
      <c r="J81" s="3092">
        <f>SUM('Произв. прогр. Стоки'!J158)</f>
        <v>129.98874999999998</v>
      </c>
      <c r="K81" s="3092">
        <f>SUM('Произв. прогр. Стоки'!K158)</f>
        <v>129.98874999999998</v>
      </c>
      <c r="L81" s="3063">
        <f>SUM('Произв. прогр. Стоки'!L158)</f>
        <v>397.23374999999993</v>
      </c>
      <c r="M81" s="3063">
        <f>SUM('Произв. прогр. Стоки'!M158)</f>
        <v>812.23249999999985</v>
      </c>
      <c r="N81" s="3092">
        <f>SUM('Произв. прогр. Стоки'!N158)</f>
        <v>129.98874999999998</v>
      </c>
      <c r="O81" s="3092">
        <f>SUM('Произв. прогр. Стоки'!O158)</f>
        <v>129.98874999999998</v>
      </c>
      <c r="P81" s="3092">
        <f>SUM('Произв. прогр. Стоки'!P158)</f>
        <v>137.25624999999997</v>
      </c>
      <c r="Q81" s="3063">
        <f>SUM('Произв. прогр. Стоки'!Q158)</f>
        <v>397.23374999999993</v>
      </c>
      <c r="R81" s="3063">
        <f>SUM('Произв. прогр. Стоки'!R158)</f>
        <v>1209.4662499999997</v>
      </c>
      <c r="S81" s="3092">
        <f>SUM('Произв. прогр. Стоки'!S158)</f>
        <v>138.06375</v>
      </c>
      <c r="T81" s="3092">
        <f>SUM('Произв. прогр. Стоки'!T158)</f>
        <v>138.06375</v>
      </c>
      <c r="U81" s="3092">
        <f>SUM('Произв. прогр. Стоки'!U158)</f>
        <v>138.87125</v>
      </c>
      <c r="V81" s="3063">
        <f>SUM('Произв. прогр. Стоки'!V158)</f>
        <v>414.99874999999997</v>
      </c>
      <c r="W81" s="3087">
        <f t="shared" si="107"/>
        <v>1624.4649999999997</v>
      </c>
    </row>
    <row r="82" spans="1:23" ht="18.75" customHeight="1">
      <c r="A82" s="3095" t="s">
        <v>1736</v>
      </c>
      <c r="B82" s="3060">
        <f>SUM('Произв. прогр. Стоки'!B159)</f>
        <v>2280</v>
      </c>
      <c r="C82" s="3060">
        <f>SUM('Произв. прогр. Стоки'!C159)</f>
        <v>2280</v>
      </c>
      <c r="D82" s="3060">
        <f>SUM('Произв. прогр. Стоки'!D159)</f>
        <v>0</v>
      </c>
      <c r="E82" s="3073">
        <f>SUM('Произв. прогр. Стоки'!E159)</f>
        <v>194.94000000000003</v>
      </c>
      <c r="F82" s="3073">
        <f>SUM('Произв. прогр. Стоки'!F159)</f>
        <v>193.8</v>
      </c>
      <c r="G82" s="3073">
        <f>SUM('Произв. прогр. Стоки'!G159)</f>
        <v>193.8</v>
      </c>
      <c r="H82" s="3060">
        <f>SUM('Произв. прогр. Стоки'!H159)</f>
        <v>582.54</v>
      </c>
      <c r="I82" s="3073">
        <f>SUM('Произв. прогр. Стоки'!I159)</f>
        <v>192.65999999999997</v>
      </c>
      <c r="J82" s="3073">
        <f>SUM('Произв. прогр. Стоки'!J159)</f>
        <v>182.4</v>
      </c>
      <c r="K82" s="3073">
        <f>SUM('Произв. прогр. Стоки'!K159)</f>
        <v>182.4</v>
      </c>
      <c r="L82" s="3060">
        <f>SUM('Произв. прогр. Стоки'!L159)</f>
        <v>557.45999999999992</v>
      </c>
      <c r="M82" s="3060">
        <f>SUM('Произв. прогр. Стоки'!M159)</f>
        <v>1140</v>
      </c>
      <c r="N82" s="3073">
        <f>SUM('Произв. прогр. Стоки'!N159)</f>
        <v>182.4</v>
      </c>
      <c r="O82" s="3073">
        <f>SUM('Произв. прогр. Стоки'!O159)</f>
        <v>182.4</v>
      </c>
      <c r="P82" s="3073">
        <f>SUM('Произв. прогр. Стоки'!P159)</f>
        <v>192.65999999999997</v>
      </c>
      <c r="Q82" s="3060">
        <f>SUM('Произв. прогр. Стоки'!Q159)</f>
        <v>557.46</v>
      </c>
      <c r="R82" s="3060">
        <f>SUM('Произв. прогр. Стоки'!R159)</f>
        <v>1697.46</v>
      </c>
      <c r="S82" s="3073">
        <f>SUM('Произв. прогр. Стоки'!S159)</f>
        <v>193.8</v>
      </c>
      <c r="T82" s="3073">
        <f>SUM('Произв. прогр. Стоки'!T159)</f>
        <v>193.8</v>
      </c>
      <c r="U82" s="3073">
        <f>SUM('Произв. прогр. Стоки'!U159)</f>
        <v>194.94000000000003</v>
      </c>
      <c r="V82" s="3060">
        <f>SUM('Произв. прогр. Стоки'!V159)</f>
        <v>582.54000000000008</v>
      </c>
      <c r="W82" s="3085">
        <f t="shared" si="107"/>
        <v>2280</v>
      </c>
    </row>
    <row r="83" spans="1:23" ht="18.75" customHeight="1">
      <c r="A83" s="3059" t="s">
        <v>390</v>
      </c>
      <c r="B83" s="3063">
        <f>SUM('Произв. прогр. Стоки'!B160)</f>
        <v>1140</v>
      </c>
      <c r="C83" s="3063">
        <f>SUM('Произв. прогр. Стоки'!C160)</f>
        <v>1140</v>
      </c>
      <c r="D83" s="3063">
        <f>SUM('Произв. прогр. Стоки'!D160)</f>
        <v>0</v>
      </c>
      <c r="E83" s="3092">
        <f>SUM('Произв. прогр. Стоки'!E160)</f>
        <v>97.470000000000013</v>
      </c>
      <c r="F83" s="3092">
        <f>SUM('Произв. прогр. Стоки'!F160)</f>
        <v>96.9</v>
      </c>
      <c r="G83" s="3092">
        <f>SUM('Произв. прогр. Стоки'!G160)</f>
        <v>96.9</v>
      </c>
      <c r="H83" s="3063">
        <f>SUM('Произв. прогр. Стоки'!H160)</f>
        <v>291.27</v>
      </c>
      <c r="I83" s="3092">
        <f>SUM('Произв. прогр. Стоки'!I160)</f>
        <v>96.329999999999984</v>
      </c>
      <c r="J83" s="3092">
        <f>SUM('Произв. прогр. Стоки'!J160)</f>
        <v>91.2</v>
      </c>
      <c r="K83" s="3092">
        <f>SUM('Произв. прогр. Стоки'!K160)</f>
        <v>91.2</v>
      </c>
      <c r="L83" s="3063">
        <f>SUM('Произв. прогр. Стоки'!L160)</f>
        <v>278.72999999999996</v>
      </c>
      <c r="M83" s="3063">
        <f>SUM('Произв. прогр. Стоки'!M160)</f>
        <v>570</v>
      </c>
      <c r="N83" s="3092">
        <f>SUM('Произв. прогр. Стоки'!N160)</f>
        <v>91.2</v>
      </c>
      <c r="O83" s="3092">
        <f>SUM('Произв. прогр. Стоки'!O160)</f>
        <v>91.2</v>
      </c>
      <c r="P83" s="3092">
        <f>SUM('Произв. прогр. Стоки'!P160)</f>
        <v>96.329999999999984</v>
      </c>
      <c r="Q83" s="3063">
        <f>SUM('Произв. прогр. Стоки'!Q160)</f>
        <v>278.73</v>
      </c>
      <c r="R83" s="3063">
        <f>SUM('Произв. прогр. Стоки'!R160)</f>
        <v>848.73</v>
      </c>
      <c r="S83" s="3092">
        <f>SUM('Произв. прогр. Стоки'!S160)</f>
        <v>96.9</v>
      </c>
      <c r="T83" s="3092">
        <f>SUM('Произв. прогр. Стоки'!T160)</f>
        <v>96.9</v>
      </c>
      <c r="U83" s="3092">
        <f>SUM('Произв. прогр. Стоки'!U160)</f>
        <v>97.470000000000013</v>
      </c>
      <c r="V83" s="3063">
        <f>SUM('Произв. прогр. Стоки'!V160)</f>
        <v>291.27000000000004</v>
      </c>
      <c r="W83" s="3111">
        <f t="shared" si="107"/>
        <v>1140</v>
      </c>
    </row>
    <row r="84" spans="1:23" ht="18.75" customHeight="1">
      <c r="A84" s="3059" t="s">
        <v>1734</v>
      </c>
      <c r="B84" s="3063">
        <f>SUM('Произв. прогр. Стоки'!B161)</f>
        <v>1140</v>
      </c>
      <c r="C84" s="3063">
        <f>SUM('Произв. прогр. Стоки'!C161)</f>
        <v>1140</v>
      </c>
      <c r="D84" s="3063">
        <f>SUM('Произв. прогр. Стоки'!D161)</f>
        <v>0</v>
      </c>
      <c r="E84" s="3092">
        <f>SUM('Произв. прогр. Стоки'!E161)</f>
        <v>97.470000000000013</v>
      </c>
      <c r="F84" s="3092">
        <f>SUM('Произв. прогр. Стоки'!F161)</f>
        <v>96.9</v>
      </c>
      <c r="G84" s="3092">
        <f>SUM('Произв. прогр. Стоки'!G161)</f>
        <v>96.9</v>
      </c>
      <c r="H84" s="3063">
        <f>SUM('Произв. прогр. Стоки'!H161)</f>
        <v>291.27</v>
      </c>
      <c r="I84" s="3092">
        <f>SUM('Произв. прогр. Стоки'!I161)</f>
        <v>96.329999999999984</v>
      </c>
      <c r="J84" s="3092">
        <f>SUM('Произв. прогр. Стоки'!J161)</f>
        <v>91.2</v>
      </c>
      <c r="K84" s="3092">
        <f>SUM('Произв. прогр. Стоки'!K161)</f>
        <v>91.2</v>
      </c>
      <c r="L84" s="3063">
        <f>SUM('Произв. прогр. Стоки'!L161)</f>
        <v>278.72999999999996</v>
      </c>
      <c r="M84" s="3063">
        <f>SUM('Произв. прогр. Стоки'!M161)</f>
        <v>570</v>
      </c>
      <c r="N84" s="3092">
        <f>SUM('Произв. прогр. Стоки'!N161)</f>
        <v>91.2</v>
      </c>
      <c r="O84" s="3092">
        <f>SUM('Произв. прогр. Стоки'!O161)</f>
        <v>91.2</v>
      </c>
      <c r="P84" s="3092">
        <f>SUM('Произв. прогр. Стоки'!P161)</f>
        <v>96.329999999999984</v>
      </c>
      <c r="Q84" s="3063">
        <f>SUM('Произв. прогр. Стоки'!Q161)</f>
        <v>278.73</v>
      </c>
      <c r="R84" s="3063">
        <f>SUM('Произв. прогр. Стоки'!R161)</f>
        <v>848.73</v>
      </c>
      <c r="S84" s="3092">
        <f>SUM('Произв. прогр. Стоки'!S161)</f>
        <v>96.9</v>
      </c>
      <c r="T84" s="3092">
        <f>SUM('Произв. прогр. Стоки'!T161)</f>
        <v>96.9</v>
      </c>
      <c r="U84" s="3092">
        <f>SUM('Произв. прогр. Стоки'!U161)</f>
        <v>97.470000000000013</v>
      </c>
      <c r="V84" s="3063">
        <f>SUM('Произв. прогр. Стоки'!V161)</f>
        <v>291.27000000000004</v>
      </c>
      <c r="W84" s="3111">
        <f t="shared" si="107"/>
        <v>1140</v>
      </c>
    </row>
    <row r="85" spans="1:23" ht="18.75" customHeight="1">
      <c r="A85" s="3095" t="s">
        <v>1737</v>
      </c>
      <c r="B85" s="3060">
        <f>SUM('Произв. прогр. Стоки'!B162)</f>
        <v>31.752577656524561</v>
      </c>
      <c r="C85" s="3060">
        <f>SUM('Произв. прогр. Стоки'!C162)</f>
        <v>31.855199968895693</v>
      </c>
      <c r="D85" s="3060">
        <f>SUM('Произв. прогр. Стоки'!D162)</f>
        <v>14.242272904345374</v>
      </c>
      <c r="E85" s="3073">
        <f>SUM('Произв. прогр. Стоки'!E162)</f>
        <v>30.171549676982441</v>
      </c>
      <c r="F85" s="3073">
        <f>SUM('Произв. прогр. Стоки'!F162)</f>
        <v>30.302353284590751</v>
      </c>
      <c r="G85" s="3073">
        <f>SUM('Произв. прогр. Стоки'!G162)</f>
        <v>31.658824718553994</v>
      </c>
      <c r="H85" s="3060">
        <f>SUM('Произв. прогр. Стоки'!H162)</f>
        <v>30.70985974683375</v>
      </c>
      <c r="I85" s="3073">
        <f>SUM('Произв. прогр. Стоки'!I162)</f>
        <v>30.405180311639651</v>
      </c>
      <c r="J85" s="3073">
        <f>SUM('Произв. прогр. Стоки'!J162)</f>
        <v>31.881962261019659</v>
      </c>
      <c r="K85" s="3073">
        <f>SUM('Произв. прогр. Стоки'!K162)</f>
        <v>33.316359879548905</v>
      </c>
      <c r="L85" s="3060">
        <f>SUM('Произв. прогр. Стоки'!L162)</f>
        <v>31.84107449908101</v>
      </c>
      <c r="M85" s="3060">
        <f>SUM('Произв. прогр. Стоки'!M162)</f>
        <v>31.263096262351784</v>
      </c>
      <c r="N85" s="3073">
        <f>SUM('Произв. прогр. Стоки'!N162)</f>
        <v>32.902596069567423</v>
      </c>
      <c r="O85" s="3073">
        <f>SUM('Произв. прогр. Стоки'!O162)</f>
        <v>32.899343346743962</v>
      </c>
      <c r="P85" s="3073">
        <f>SUM('Произв. прогр. Стоки'!P162)</f>
        <v>32.714592693963219</v>
      </c>
      <c r="Q85" s="3060">
        <f>SUM('Произв. прогр. Стоки'!Q162)</f>
        <v>32.836570824490209</v>
      </c>
      <c r="R85" s="3060">
        <f>SUM('Произв. прогр. Стоки'!R162)</f>
        <v>31.77988389561386</v>
      </c>
      <c r="S85" s="3073">
        <f>SUM('Произв. прогр. Стоки'!S162)</f>
        <v>31.235445647314982</v>
      </c>
      <c r="T85" s="3073">
        <f>SUM('Произв. прогр. Стоки'!T162)</f>
        <v>31.270193999533479</v>
      </c>
      <c r="U85" s="3073">
        <f>SUM('Произв. прогр. Стоки'!U162)</f>
        <v>32.508463320895665</v>
      </c>
      <c r="V85" s="3060">
        <f>SUM('Произв. прогр. Стоки'!V162)</f>
        <v>31.672996467446005</v>
      </c>
      <c r="W85" s="3082">
        <f t="shared" ref="W85" si="108">SUM(W69)</f>
        <v>31.752577583024561</v>
      </c>
    </row>
    <row r="86" spans="1:23" ht="18.75" customHeight="1">
      <c r="A86" s="3059" t="s">
        <v>390</v>
      </c>
      <c r="B86" s="3063">
        <f>SUM('Произв. прогр. Стоки'!B163)</f>
        <v>29.742835056464745</v>
      </c>
      <c r="C86" s="3063">
        <f>SUM('Произв. прогр. Стоки'!C163)</f>
        <v>29.83</v>
      </c>
      <c r="D86" s="3063">
        <f>SUM('Произв. прогр. Стоки'!D163)</f>
        <v>14.87</v>
      </c>
      <c r="E86" s="3092">
        <f>SUM('Произв. прогр. Стоки'!E163)</f>
        <v>29.742835056464745</v>
      </c>
      <c r="F86" s="3092">
        <f>SUM('Произв. прогр. Стоки'!F163)</f>
        <v>29.742835056464745</v>
      </c>
      <c r="G86" s="3092">
        <f>SUM('Произв. прогр. Стоки'!G163)</f>
        <v>29.742835056464745</v>
      </c>
      <c r="H86" s="3063">
        <f>SUM('Произв. прогр. Стоки'!H163)</f>
        <v>29.742835056464745</v>
      </c>
      <c r="I86" s="3092">
        <f>SUM('Произв. прогр. Стоки'!I163)</f>
        <v>29.742835056464745</v>
      </c>
      <c r="J86" s="3092">
        <f>SUM('Произв. прогр. Стоки'!J163)</f>
        <v>29.742835056464745</v>
      </c>
      <c r="K86" s="3092">
        <f>SUM('Произв. прогр. Стоки'!K163)</f>
        <v>29.742835056464745</v>
      </c>
      <c r="L86" s="3063">
        <f>SUM('Произв. прогр. Стоки'!L163)</f>
        <v>29.742835056464745</v>
      </c>
      <c r="M86" s="3063">
        <f>SUM('Произв. прогр. Стоки'!M163)</f>
        <v>29.742835056464745</v>
      </c>
      <c r="N86" s="3092">
        <f>SUM('Произв. прогр. Стоки'!N163)</f>
        <v>29.742835056464745</v>
      </c>
      <c r="O86" s="3092">
        <f>SUM('Произв. прогр. Стоки'!O163)</f>
        <v>29.742835056464745</v>
      </c>
      <c r="P86" s="3092">
        <f>SUM('Произв. прогр. Стоки'!P163)</f>
        <v>29.742835056464745</v>
      </c>
      <c r="Q86" s="3063">
        <f>SUM('Произв. прогр. Стоки'!Q163)</f>
        <v>29.742835056464745</v>
      </c>
      <c r="R86" s="3063">
        <f>SUM('Произв. прогр. Стоки'!R163)</f>
        <v>29.742835056464745</v>
      </c>
      <c r="S86" s="3092">
        <f>SUM('Произв. прогр. Стоки'!S163)</f>
        <v>29.742835056464745</v>
      </c>
      <c r="T86" s="3092">
        <f>SUM('Произв. прогр. Стоки'!T163)</f>
        <v>29.742835056464745</v>
      </c>
      <c r="U86" s="3092">
        <f>SUM('Произв. прогр. Стоки'!U163)</f>
        <v>29.742835056464745</v>
      </c>
      <c r="V86" s="3063">
        <f>SUM('Произв. прогр. Стоки'!V163)</f>
        <v>29.742835056464745</v>
      </c>
      <c r="W86" s="3130">
        <f>SUM(E86)</f>
        <v>29.742835056464745</v>
      </c>
    </row>
    <row r="87" spans="1:23" ht="18.75" customHeight="1">
      <c r="A87" s="3059" t="s">
        <v>1734</v>
      </c>
      <c r="B87" s="3063">
        <f>SUM('Произв. прогр. Стоки'!B164)</f>
        <v>33.762320256584374</v>
      </c>
      <c r="C87" s="3063">
        <f>SUM('Произв. прогр. Стоки'!C164)</f>
        <v>33.880399937791388</v>
      </c>
      <c r="D87" s="3063">
        <f>SUM('Произв. прогр. Стоки'!D164)</f>
        <v>13.614545808690746</v>
      </c>
      <c r="E87" s="3092">
        <f>SUM('Произв. прогр. Стоки'!E164)</f>
        <v>30.600264297500136</v>
      </c>
      <c r="F87" s="3092">
        <f>SUM('Произв. прогр. Стоки'!F164)</f>
        <v>30.861871512716753</v>
      </c>
      <c r="G87" s="3092">
        <f>SUM('Произв. прогр. Стоки'!G164)</f>
        <v>33.57481438064324</v>
      </c>
      <c r="H87" s="3063">
        <f>SUM('Произв. прогр. Стоки'!H164)</f>
        <v>31.676884437202752</v>
      </c>
      <c r="I87" s="3092">
        <f>SUM('Произв. прогр. Стоки'!I164)</f>
        <v>31.067525566814556</v>
      </c>
      <c r="J87" s="3092">
        <f>SUM('Произв. прогр. Стоки'!J164)</f>
        <v>34.021089465574576</v>
      </c>
      <c r="K87" s="3092">
        <f>SUM('Произв. прогр. Стоки'!K164)</f>
        <v>36.889884702633069</v>
      </c>
      <c r="L87" s="3063">
        <f>SUM('Произв. прогр. Стоки'!L164)</f>
        <v>33.939313941697286</v>
      </c>
      <c r="M87" s="3063">
        <f>SUM('Произв. прогр. Стоки'!M164)</f>
        <v>32.783357468238826</v>
      </c>
      <c r="N87" s="3092">
        <f>SUM('Произв. прогр. Стоки'!N164)</f>
        <v>36.062357082670111</v>
      </c>
      <c r="O87" s="3092">
        <f>SUM('Произв. прогр. Стоки'!O164)</f>
        <v>36.055851637023181</v>
      </c>
      <c r="P87" s="3092">
        <f>SUM('Произв. прогр. Стоки'!P164)</f>
        <v>35.686350331461696</v>
      </c>
      <c r="Q87" s="3063">
        <f>SUM('Произв. прогр. Стоки'!Q164)</f>
        <v>35.93030659251567</v>
      </c>
      <c r="R87" s="3063">
        <f>SUM('Произв. прогр. Стоки'!R164)</f>
        <v>33.816932734762972</v>
      </c>
      <c r="S87" s="3092">
        <f>SUM('Произв. прогр. Стоки'!S164)</f>
        <v>32.728056238165216</v>
      </c>
      <c r="T87" s="3092">
        <f>SUM('Произв. прогр. Стоки'!T164)</f>
        <v>32.797552942602209</v>
      </c>
      <c r="U87" s="3092">
        <f>SUM('Произв. прогр. Стоки'!U164)</f>
        <v>35.27409158532658</v>
      </c>
      <c r="V87" s="3063">
        <f>SUM('Произв. прогр. Стоки'!V164)</f>
        <v>33.603157878427261</v>
      </c>
      <c r="W87" s="3131">
        <f t="shared" ref="W87" si="109">SUM(W78/W81)</f>
        <v>33.762320109584373</v>
      </c>
    </row>
    <row r="88" spans="1:23" ht="18.75" customHeight="1">
      <c r="A88" s="3099" t="s">
        <v>1738</v>
      </c>
      <c r="B88" s="3068">
        <f>SUM('Произв. прогр. Стоки'!B165)</f>
        <v>1.1351412934405516</v>
      </c>
      <c r="C88" s="3068">
        <f>SUM('Произв. прогр. Стоки'!C165)</f>
        <v>1.1357827669390341</v>
      </c>
      <c r="D88" s="3068">
        <f>SUM('Произв. прогр. Стоки'!D165)</f>
        <v>0.91557133884941133</v>
      </c>
      <c r="E88" s="3097">
        <f>SUM('Произв. прогр. Стоки'!E165)</f>
        <v>1.028828093872276</v>
      </c>
      <c r="F88" s="3097">
        <f>SUM('Произв. прогр. Стоки'!F165)</f>
        <v>1.037623732039249</v>
      </c>
      <c r="G88" s="3097">
        <f>SUM('Произв. прогр. Стоки'!G165)</f>
        <v>1.128837056618972</v>
      </c>
      <c r="H88" s="3068">
        <f>SUM('Произв. прогр. Стоки'!H165)</f>
        <v>1.0650257239118714</v>
      </c>
      <c r="I88" s="3097">
        <f>SUM('Произв. прогр. Стоки'!I165)</f>
        <v>1.0445381386083397</v>
      </c>
      <c r="J88" s="3097">
        <f>SUM('Произв. прогр. Стоки'!J165)</f>
        <v>1.1438415134598923</v>
      </c>
      <c r="K88" s="3097">
        <f>SUM('Произв. прогр. Стоки'!K165)</f>
        <v>1.2402948351292047</v>
      </c>
      <c r="L88" s="3068">
        <f>SUM('Произв. прогр. Стоки'!L165)</f>
        <v>1.1410920941889302</v>
      </c>
      <c r="M88" s="3068">
        <f>SUM('Произв. прогр. Стоки'!M165)</f>
        <v>1.1022270542132873</v>
      </c>
      <c r="N88" s="3097">
        <f>SUM('Произв. прогр. Стоки'!N165)</f>
        <v>1.2124720798877506</v>
      </c>
      <c r="O88" s="3097">
        <f>SUM('Произв. прогр. Стоки'!O165)</f>
        <v>1.2122533567689027</v>
      </c>
      <c r="P88" s="3097">
        <f>SUM('Произв. прогр. Стоки'!P165)</f>
        <v>1.1998301528322231</v>
      </c>
      <c r="Q88" s="3068">
        <f>SUM('Произв. прогр. Стоки'!Q165)</f>
        <v>1.20803233868945</v>
      </c>
      <c r="R88" s="3068">
        <f>SUM('Произв. прогр. Стоки'!R165)</f>
        <v>1.1369774492096612</v>
      </c>
      <c r="S88" s="3097">
        <f>SUM('Произв. прогр. Стоки'!S165)</f>
        <v>1.1003677415429038</v>
      </c>
      <c r="T88" s="3097">
        <f>SUM('Произв. прогр. Стоки'!T165)</f>
        <v>1.1027043279612818</v>
      </c>
      <c r="U88" s="3097">
        <f>SUM('Произв. прогр. Стоки'!U165)</f>
        <v>1.1859693777799298</v>
      </c>
      <c r="V88" s="3068">
        <f>SUM('Произв. прогр. Стоки'!V165)</f>
        <v>1.1297900087410617</v>
      </c>
      <c r="W88" s="3089">
        <f t="shared" ref="W88" si="110">SUM(W87/W86)</f>
        <v>1.1351412884981849</v>
      </c>
    </row>
    <row r="89" spans="1:23" ht="18.75" customHeight="1">
      <c r="A89" s="3095" t="s">
        <v>1739</v>
      </c>
      <c r="B89" s="3060">
        <f>SUM('Произв. прогр. Стоки'!B166)</f>
        <v>24.17</v>
      </c>
      <c r="C89" s="3060">
        <f>SUM('Произв. прогр. Стоки'!C166)</f>
        <v>24.17</v>
      </c>
      <c r="D89" s="3060">
        <f>SUM('Произв. прогр. Стоки'!D166)</f>
        <v>0</v>
      </c>
      <c r="E89" s="3073">
        <f>SUM('Произв. прогр. Стоки'!E166)</f>
        <v>24.169999999999998</v>
      </c>
      <c r="F89" s="3073">
        <f>SUM('Произв. прогр. Стоки'!F166)</f>
        <v>24.17</v>
      </c>
      <c r="G89" s="3073">
        <f>SUM('Произв. прогр. Стоки'!G166)</f>
        <v>24.17</v>
      </c>
      <c r="H89" s="3060">
        <f>SUM('Произв. прогр. Стоки'!H166)</f>
        <v>24.17</v>
      </c>
      <c r="I89" s="3073">
        <f>SUM('Произв. прогр. Стоки'!I166)</f>
        <v>24.169999999999998</v>
      </c>
      <c r="J89" s="3073">
        <f>SUM('Произв. прогр. Стоки'!J166)</f>
        <v>24.17</v>
      </c>
      <c r="K89" s="3073">
        <f>SUM('Произв. прогр. Стоки'!K166)</f>
        <v>24.17</v>
      </c>
      <c r="L89" s="3060">
        <f>SUM('Произв. прогр. Стоки'!L166)</f>
        <v>24.17</v>
      </c>
      <c r="M89" s="3060">
        <f>SUM('Произв. прогр. Стоки'!M166)</f>
        <v>24.17</v>
      </c>
      <c r="N89" s="3073">
        <f>SUM('Произв. прогр. Стоки'!N166)</f>
        <v>24.17</v>
      </c>
      <c r="O89" s="3073">
        <f>SUM('Произв. прогр. Стоки'!O166)</f>
        <v>24.17</v>
      </c>
      <c r="P89" s="3073">
        <f>SUM('Произв. прогр. Стоки'!P166)</f>
        <v>24.169999999999998</v>
      </c>
      <c r="Q89" s="3060">
        <f>SUM('Произв. прогр. Стоки'!Q166)</f>
        <v>24.169999999999998</v>
      </c>
      <c r="R89" s="3060">
        <f>SUM('Произв. прогр. Стоки'!R166)</f>
        <v>24.17</v>
      </c>
      <c r="S89" s="3073">
        <f>SUM('Произв. прогр. Стоки'!S166)</f>
        <v>24.17</v>
      </c>
      <c r="T89" s="3073">
        <f>SUM('Произв. прогр. Стоки'!T166)</f>
        <v>24.17</v>
      </c>
      <c r="U89" s="3073">
        <f>SUM('Произв. прогр. Стоки'!U166)</f>
        <v>24.169999999999998</v>
      </c>
      <c r="V89" s="3060">
        <f>SUM('Произв. прогр. Стоки'!V166)</f>
        <v>24.169999999999998</v>
      </c>
      <c r="W89" s="3105">
        <f t="shared" ref="W89" si="111">SUM((W90*W83)+(W91*W84))/W82</f>
        <v>24.17</v>
      </c>
    </row>
    <row r="90" spans="1:23" ht="18.75" customHeight="1">
      <c r="A90" s="3059" t="s">
        <v>390</v>
      </c>
      <c r="B90" s="3063">
        <f>SUM('Произв. прогр. Стоки'!B167)</f>
        <v>23.47</v>
      </c>
      <c r="C90" s="3063">
        <f>SUM('Произв. прогр. Стоки'!C167)</f>
        <v>23.47</v>
      </c>
      <c r="D90" s="3063">
        <f>SUM('Произв. прогр. Стоки'!D167)</f>
        <v>0</v>
      </c>
      <c r="E90" s="3092">
        <f>SUM('Произв. прогр. Стоки'!E167)</f>
        <v>23.47</v>
      </c>
      <c r="F90" s="3092">
        <f>SUM('Произв. прогр. Стоки'!F167)</f>
        <v>23.47</v>
      </c>
      <c r="G90" s="3092">
        <f>SUM('Произв. прогр. Стоки'!G167)</f>
        <v>23.47</v>
      </c>
      <c r="H90" s="3063">
        <f>SUM('Произв. прогр. Стоки'!H167)</f>
        <v>23.47</v>
      </c>
      <c r="I90" s="3092">
        <f>SUM('Произв. прогр. Стоки'!I167)</f>
        <v>23.47</v>
      </c>
      <c r="J90" s="3092">
        <f>SUM('Произв. прогр. Стоки'!J167)</f>
        <v>23.47</v>
      </c>
      <c r="K90" s="3092">
        <f>SUM('Произв. прогр. Стоки'!K167)</f>
        <v>23.47</v>
      </c>
      <c r="L90" s="3063">
        <f>SUM('Произв. прогр. Стоки'!L167)</f>
        <v>23.47</v>
      </c>
      <c r="M90" s="3063">
        <f>SUM('Произв. прогр. Стоки'!M167)</f>
        <v>23.47</v>
      </c>
      <c r="N90" s="3092">
        <f>SUM('Произв. прогр. Стоки'!N167)</f>
        <v>23.47</v>
      </c>
      <c r="O90" s="3092">
        <f>SUM('Произв. прогр. Стоки'!O167)</f>
        <v>23.47</v>
      </c>
      <c r="P90" s="3092">
        <f>SUM('Произв. прогр. Стоки'!P167)</f>
        <v>23.47</v>
      </c>
      <c r="Q90" s="3063">
        <f>SUM('Произв. прогр. Стоки'!Q167)</f>
        <v>23.47</v>
      </c>
      <c r="R90" s="3063">
        <f>SUM('Произв. прогр. Стоки'!R167)</f>
        <v>23.47</v>
      </c>
      <c r="S90" s="3092">
        <f>SUM('Произв. прогр. Стоки'!S167)</f>
        <v>23.47</v>
      </c>
      <c r="T90" s="3092">
        <f>SUM('Произв. прогр. Стоки'!T167)</f>
        <v>23.47</v>
      </c>
      <c r="U90" s="3092">
        <f>SUM('Произв. прогр. Стоки'!U167)</f>
        <v>23.47</v>
      </c>
      <c r="V90" s="3063">
        <f>SUM('Произв. прогр. Стоки'!V167)</f>
        <v>23.47</v>
      </c>
      <c r="W90" s="3108">
        <f>SUM(E90)</f>
        <v>23.47</v>
      </c>
    </row>
    <row r="91" spans="1:23" ht="18.75" customHeight="1">
      <c r="A91" s="3059" t="s">
        <v>1734</v>
      </c>
      <c r="B91" s="3063">
        <f>SUM('Произв. прогр. Стоки'!B168)</f>
        <v>24.87</v>
      </c>
      <c r="C91" s="3063">
        <f>SUM('Произв. прогр. Стоки'!C168)</f>
        <v>24.87</v>
      </c>
      <c r="D91" s="3063">
        <f>SUM('Произв. прогр. Стоки'!D168)</f>
        <v>0</v>
      </c>
      <c r="E91" s="3092">
        <f>SUM('Произв. прогр. Стоки'!E168)</f>
        <v>24.87</v>
      </c>
      <c r="F91" s="3092">
        <f>SUM('Произв. прогр. Стоки'!F168)</f>
        <v>24.87</v>
      </c>
      <c r="G91" s="3092">
        <f>SUM('Произв. прогр. Стоки'!G168)</f>
        <v>24.87</v>
      </c>
      <c r="H91" s="3063">
        <f>SUM('Произв. прогр. Стоки'!H168)</f>
        <v>24.87</v>
      </c>
      <c r="I91" s="3092">
        <f>SUM('Произв. прогр. Стоки'!I168)</f>
        <v>24.87</v>
      </c>
      <c r="J91" s="3092">
        <f>SUM('Произв. прогр. Стоки'!J168)</f>
        <v>24.87</v>
      </c>
      <c r="K91" s="3092">
        <f>SUM('Произв. прогр. Стоки'!K168)</f>
        <v>24.87</v>
      </c>
      <c r="L91" s="3063">
        <f>SUM('Произв. прогр. Стоки'!L168)</f>
        <v>24.87</v>
      </c>
      <c r="M91" s="3063">
        <f>SUM('Произв. прогр. Стоки'!M168)</f>
        <v>24.87</v>
      </c>
      <c r="N91" s="3092">
        <f>SUM('Произв. прогр. Стоки'!N168)</f>
        <v>24.87</v>
      </c>
      <c r="O91" s="3092">
        <f>SUM('Произв. прогр. Стоки'!O168)</f>
        <v>24.87</v>
      </c>
      <c r="P91" s="3092">
        <f>SUM('Произв. прогр. Стоки'!P168)</f>
        <v>24.87</v>
      </c>
      <c r="Q91" s="3063">
        <f>SUM('Произв. прогр. Стоки'!Q168)</f>
        <v>24.87</v>
      </c>
      <c r="R91" s="3063">
        <f>SUM('Произв. прогр. Стоки'!R168)</f>
        <v>24.87</v>
      </c>
      <c r="S91" s="3092">
        <f>SUM('Произв. прогр. Стоки'!S168)</f>
        <v>24.87</v>
      </c>
      <c r="T91" s="3092">
        <f>SUM('Произв. прогр. Стоки'!T168)</f>
        <v>24.87</v>
      </c>
      <c r="U91" s="3092">
        <f>SUM('Произв. прогр. Стоки'!U168)</f>
        <v>24.87</v>
      </c>
      <c r="V91" s="3063">
        <f>SUM('Произв. прогр. Стоки'!V168)</f>
        <v>24.87</v>
      </c>
      <c r="W91" s="3108">
        <f>SUM(E91)</f>
        <v>24.87</v>
      </c>
    </row>
    <row r="92" spans="1:23" ht="18.75" customHeight="1">
      <c r="A92" s="3099" t="s">
        <v>1740</v>
      </c>
      <c r="B92" s="3068">
        <f>SUM('Произв. прогр. Стоки'!B169)</f>
        <v>1.0596506178099703</v>
      </c>
      <c r="C92" s="3068">
        <f>SUM('Произв. прогр. Стоки'!C169)</f>
        <v>1.0596506178099703</v>
      </c>
      <c r="D92" s="3068">
        <f>SUM('Произв. прогр. Стоки'!D169)</f>
        <v>0</v>
      </c>
      <c r="E92" s="3097">
        <f>SUM('Произв. прогр. Стоки'!E169)</f>
        <v>1.0596506178099703</v>
      </c>
      <c r="F92" s="3097">
        <f>SUM('Произв. прогр. Стоки'!F169)</f>
        <v>1.0596506178099703</v>
      </c>
      <c r="G92" s="3097">
        <f>SUM('Произв. прогр. Стоки'!G169)</f>
        <v>1.0596506178099703</v>
      </c>
      <c r="H92" s="3068">
        <f>SUM('Произв. прогр. Стоки'!H169)</f>
        <v>1.0596506178099703</v>
      </c>
      <c r="I92" s="3097">
        <f>SUM('Произв. прогр. Стоки'!I169)</f>
        <v>1.0596506178099703</v>
      </c>
      <c r="J92" s="3097">
        <f>SUM('Произв. прогр. Стоки'!J169)</f>
        <v>1.0596506178099703</v>
      </c>
      <c r="K92" s="3097">
        <f>SUM('Произв. прогр. Стоки'!K169)</f>
        <v>1.0596506178099703</v>
      </c>
      <c r="L92" s="3068">
        <f>SUM('Произв. прогр. Стоки'!L169)</f>
        <v>1.0596506178099703</v>
      </c>
      <c r="M92" s="3068">
        <f>SUM('Произв. прогр. Стоки'!M169)</f>
        <v>1.0596506178099703</v>
      </c>
      <c r="N92" s="3097">
        <f>SUM('Произв. прогр. Стоки'!N169)</f>
        <v>1.0596506178099703</v>
      </c>
      <c r="O92" s="3097">
        <f>SUM('Произв. прогр. Стоки'!O169)</f>
        <v>1.0596506178099703</v>
      </c>
      <c r="P92" s="3097">
        <f>SUM('Произв. прогр. Стоки'!P169)</f>
        <v>1.0596506178099703</v>
      </c>
      <c r="Q92" s="3068">
        <f>SUM('Произв. прогр. Стоки'!Q169)</f>
        <v>1.0596506178099703</v>
      </c>
      <c r="R92" s="3068">
        <f>SUM('Произв. прогр. Стоки'!R169)</f>
        <v>1.0596506178099703</v>
      </c>
      <c r="S92" s="3097">
        <f>SUM('Произв. прогр. Стоки'!S169)</f>
        <v>1.0596506178099703</v>
      </c>
      <c r="T92" s="3097">
        <f>SUM('Произв. прогр. Стоки'!T169)</f>
        <v>1.0596506178099703</v>
      </c>
      <c r="U92" s="3097">
        <f>SUM('Произв. прогр. Стоки'!U169)</f>
        <v>1.0596506178099703</v>
      </c>
      <c r="V92" s="3068">
        <f>SUM('Произв. прогр. Стоки'!V169)</f>
        <v>1.0596506178099703</v>
      </c>
      <c r="W92" s="3089">
        <f t="shared" ref="W92" si="112">SUM(W91/W90)</f>
        <v>1.0596506178099703</v>
      </c>
    </row>
    <row r="93" spans="1:23" ht="18.75" customHeight="1">
      <c r="A93" s="3095" t="s">
        <v>1741</v>
      </c>
      <c r="B93" s="3060">
        <f>SUM('Произв. прогр. Стоки'!B170)</f>
        <v>17522.255929082181</v>
      </c>
      <c r="C93" s="3060">
        <f>SUM('Произв. прогр. Стоки'!C170)</f>
        <v>17522.255929082181</v>
      </c>
      <c r="D93" s="3060">
        <f>SUM('Произв. прогр. Стоки'!D170)</f>
        <v>0</v>
      </c>
      <c r="E93" s="3073">
        <f>SUM('Произв. прогр. Стоки'!E170)</f>
        <v>1498.1528819365267</v>
      </c>
      <c r="F93" s="3073">
        <f>SUM('Произв. прогр. Стоки'!F170)</f>
        <v>1489.3917539719855</v>
      </c>
      <c r="G93" s="3073">
        <f>SUM('Произв. прогр. Стоки'!G170)</f>
        <v>1489.3917539719855</v>
      </c>
      <c r="H93" s="3060">
        <f>SUM('Произв. прогр. Стоки'!H170)</f>
        <v>4476.9363898804977</v>
      </c>
      <c r="I93" s="3073">
        <f>SUM('Произв. прогр. Стоки'!I170)</f>
        <v>1480.6306260074439</v>
      </c>
      <c r="J93" s="3073">
        <f>SUM('Произв. прогр. Стоки'!J170)</f>
        <v>1401.7804743265744</v>
      </c>
      <c r="K93" s="3073">
        <f>SUM('Произв. прогр. Стоки'!K170)</f>
        <v>1401.7804743265744</v>
      </c>
      <c r="L93" s="3060">
        <f>SUM('Произв. прогр. Стоки'!L170)</f>
        <v>4284.1915746605928</v>
      </c>
      <c r="M93" s="3060">
        <f>SUM('Произв. прогр. Стоки'!M170)</f>
        <v>8761.1279645410905</v>
      </c>
      <c r="N93" s="3073">
        <f>SUM('Произв. прогр. Стоки'!N170)</f>
        <v>1401.7804743265744</v>
      </c>
      <c r="O93" s="3073">
        <f>SUM('Произв. прогр. Стоки'!O170)</f>
        <v>1401.7804743265744</v>
      </c>
      <c r="P93" s="3073">
        <f>SUM('Произв. прогр. Стоки'!P170)</f>
        <v>1480.6306260074439</v>
      </c>
      <c r="Q93" s="3060">
        <f>SUM('Произв. прогр. Стоки'!Q170)</f>
        <v>4284.1915746605928</v>
      </c>
      <c r="R93" s="3060">
        <f>SUM('Произв. прогр. Стоки'!R170)</f>
        <v>13045.319539201682</v>
      </c>
      <c r="S93" s="3073">
        <f>SUM('Произв. прогр. Стоки'!S170)</f>
        <v>1489.3917539719855</v>
      </c>
      <c r="T93" s="3073">
        <f>SUM('Произв. прогр. Стоки'!T170)</f>
        <v>1489.3917539719855</v>
      </c>
      <c r="U93" s="3073">
        <f>SUM('Произв. прогр. Стоки'!U170)</f>
        <v>1498.1528819365267</v>
      </c>
      <c r="V93" s="3060">
        <f>SUM('Произв. прогр. Стоки'!V170)</f>
        <v>4476.9363898804977</v>
      </c>
      <c r="W93" s="3085">
        <f t="shared" ref="W93:W95" si="113">SUM(E93+F93+G93+I93+J93+K93+N93+O93+P93+S93+T93+U93)</f>
        <v>17522.255929082181</v>
      </c>
    </row>
    <row r="94" spans="1:23" ht="18.75" customHeight="1">
      <c r="A94" s="3059" t="s">
        <v>390</v>
      </c>
      <c r="B94" s="3063">
        <f>SUM('Произв. прогр. Стоки'!B171)</f>
        <v>7250.4</v>
      </c>
      <c r="C94" s="3063">
        <f>SUM('Произв. прогр. Стоки'!C171)</f>
        <v>7250.4</v>
      </c>
      <c r="D94" s="3063">
        <f>SUM('Произв. прогр. Стоки'!D171)</f>
        <v>0</v>
      </c>
      <c r="E94" s="3092">
        <f>SUM('Произв. прогр. Стоки'!E171)</f>
        <v>619.90920000000006</v>
      </c>
      <c r="F94" s="3092">
        <f>SUM('Произв. прогр. Стоки'!F171)</f>
        <v>616.28399999999999</v>
      </c>
      <c r="G94" s="3092">
        <f>SUM('Произв. прогр. Стоки'!G171)</f>
        <v>616.28399999999999</v>
      </c>
      <c r="H94" s="3063">
        <f>SUM('Произв. прогр. Стоки'!H171)</f>
        <v>1852.4772000000003</v>
      </c>
      <c r="I94" s="3092">
        <f>SUM('Произв. прогр. Стоки'!I171)</f>
        <v>612.65879999999981</v>
      </c>
      <c r="J94" s="3092">
        <f>SUM('Произв. прогр. Стоки'!J171)</f>
        <v>580.03199999999993</v>
      </c>
      <c r="K94" s="3092">
        <f>SUM('Произв. прогр. Стоки'!K171)</f>
        <v>580.03199999999993</v>
      </c>
      <c r="L94" s="3063">
        <f>SUM('Произв. прогр. Стоки'!L171)</f>
        <v>1772.7227999999998</v>
      </c>
      <c r="M94" s="3063">
        <f>SUM('Произв. прогр. Стоки'!M171)</f>
        <v>3625.2</v>
      </c>
      <c r="N94" s="3092">
        <f>SUM('Произв. прогр. Стоки'!N171)</f>
        <v>580.03199999999993</v>
      </c>
      <c r="O94" s="3092">
        <f>SUM('Произв. прогр. Стоки'!O171)</f>
        <v>580.03199999999993</v>
      </c>
      <c r="P94" s="3092">
        <f>SUM('Произв. прогр. Стоки'!P171)</f>
        <v>612.65879999999981</v>
      </c>
      <c r="Q94" s="3063">
        <f>SUM('Произв. прогр. Стоки'!Q171)</f>
        <v>1772.7227999999996</v>
      </c>
      <c r="R94" s="3063">
        <f>SUM('Произв. прогр. Стоки'!R171)</f>
        <v>5397.9227999999994</v>
      </c>
      <c r="S94" s="3092">
        <f>SUM('Произв. прогр. Стоки'!S171)</f>
        <v>616.28399999999999</v>
      </c>
      <c r="T94" s="3092">
        <f>SUM('Произв. прогр. Стоки'!T171)</f>
        <v>616.28399999999999</v>
      </c>
      <c r="U94" s="3092">
        <f>SUM('Произв. прогр. Стоки'!U171)</f>
        <v>619.90920000000006</v>
      </c>
      <c r="V94" s="3063">
        <f>SUM('Произв. прогр. Стоки'!V171)</f>
        <v>1852.4772</v>
      </c>
      <c r="W94" s="3087">
        <f t="shared" si="113"/>
        <v>7250.4</v>
      </c>
    </row>
    <row r="95" spans="1:23" ht="18.75" customHeight="1">
      <c r="A95" s="3059" t="s">
        <v>1734</v>
      </c>
      <c r="B95" s="3063">
        <f>SUM('Произв. прогр. Стоки'!B172)</f>
        <v>10271.855929082181</v>
      </c>
      <c r="C95" s="3063">
        <f>SUM('Произв. прогр. Стоки'!C172)</f>
        <v>10271.855929082181</v>
      </c>
      <c r="D95" s="3063">
        <f>SUM('Произв. прогр. Стоки'!D172)</f>
        <v>0</v>
      </c>
      <c r="E95" s="3092">
        <f>SUM('Произв. прогр. Стоки'!E172)</f>
        <v>878.24368193652663</v>
      </c>
      <c r="F95" s="3092">
        <f>SUM('Произв. прогр. Стоки'!F172)</f>
        <v>873.10775397198552</v>
      </c>
      <c r="G95" s="3092">
        <f>SUM('Произв. прогр. Стоки'!G172)</f>
        <v>873.10775397198552</v>
      </c>
      <c r="H95" s="3063">
        <f>SUM('Произв. прогр. Стоки'!H172)</f>
        <v>2624.4591898804974</v>
      </c>
      <c r="I95" s="3092">
        <f>SUM('Произв. прогр. Стоки'!I172)</f>
        <v>867.97182600744418</v>
      </c>
      <c r="J95" s="3092">
        <f>SUM('Произв. прогр. Стоки'!J172)</f>
        <v>821.74847432657452</v>
      </c>
      <c r="K95" s="3092">
        <f>SUM('Произв. прогр. Стоки'!K172)</f>
        <v>821.74847432657452</v>
      </c>
      <c r="L95" s="3063">
        <f>SUM('Произв. прогр. Стоки'!L172)</f>
        <v>2511.4687746605932</v>
      </c>
      <c r="M95" s="3063">
        <f>SUM('Произв. прогр. Стоки'!M172)</f>
        <v>5135.9279645410907</v>
      </c>
      <c r="N95" s="3092">
        <f>SUM('Произв. прогр. Стоки'!N172)</f>
        <v>821.74847432657452</v>
      </c>
      <c r="O95" s="3092">
        <f>SUM('Произв. прогр. Стоки'!O172)</f>
        <v>821.74847432657452</v>
      </c>
      <c r="P95" s="3092">
        <f>SUM('Произв. прогр. Стоки'!P172)</f>
        <v>867.97182600744418</v>
      </c>
      <c r="Q95" s="3063">
        <f>SUM('Произв. прогр. Стоки'!Q172)</f>
        <v>2511.4687746605932</v>
      </c>
      <c r="R95" s="3063">
        <f>SUM('Произв. прогр. Стоки'!R172)</f>
        <v>7647.3967392016839</v>
      </c>
      <c r="S95" s="3092">
        <f>SUM('Произв. прогр. Стоки'!S172)</f>
        <v>873.10775397198552</v>
      </c>
      <c r="T95" s="3092">
        <f>SUM('Произв. прогр. Стоки'!T172)</f>
        <v>873.10775397198552</v>
      </c>
      <c r="U95" s="3092">
        <f>SUM('Произв. прогр. Стоки'!U172)</f>
        <v>878.24368193652663</v>
      </c>
      <c r="V95" s="3063">
        <f>SUM('Произв. прогр. Стоки'!V172)</f>
        <v>2624.4591898804974</v>
      </c>
      <c r="W95" s="3087">
        <f t="shared" si="113"/>
        <v>10271.855929082181</v>
      </c>
    </row>
    <row r="96" spans="1:23" ht="18.75" customHeight="1">
      <c r="A96" s="4986" t="s">
        <v>1742</v>
      </c>
      <c r="B96" s="4992"/>
      <c r="C96" s="4992"/>
      <c r="D96" s="4992"/>
      <c r="E96" s="4992"/>
      <c r="F96" s="4992"/>
      <c r="G96" s="4992"/>
      <c r="H96" s="4992"/>
      <c r="I96" s="4992"/>
      <c r="J96" s="4992"/>
      <c r="K96" s="4992"/>
      <c r="L96" s="4992"/>
      <c r="M96" s="4992"/>
      <c r="N96" s="4992"/>
      <c r="O96" s="4992"/>
      <c r="P96" s="4992"/>
      <c r="Q96" s="4992"/>
      <c r="R96" s="4992"/>
      <c r="S96" s="4992"/>
      <c r="T96" s="4992"/>
      <c r="U96" s="4992"/>
      <c r="V96" s="4996"/>
      <c r="W96" s="3107"/>
    </row>
    <row r="97" spans="1:23" ht="19.5" customHeight="1">
      <c r="A97" s="4981" t="s">
        <v>545</v>
      </c>
      <c r="B97" s="4982" t="s">
        <v>1960</v>
      </c>
      <c r="C97" s="4982" t="s">
        <v>1560</v>
      </c>
      <c r="D97" s="4995"/>
      <c r="E97" s="4981" t="s">
        <v>586</v>
      </c>
      <c r="F97" s="4981" t="s">
        <v>587</v>
      </c>
      <c r="G97" s="4981" t="s">
        <v>588</v>
      </c>
      <c r="H97" s="4984" t="s">
        <v>600</v>
      </c>
      <c r="I97" s="4981" t="s">
        <v>589</v>
      </c>
      <c r="J97" s="4981" t="s">
        <v>590</v>
      </c>
      <c r="K97" s="4981" t="s">
        <v>591</v>
      </c>
      <c r="L97" s="4984" t="s">
        <v>599</v>
      </c>
      <c r="M97" s="4984" t="s">
        <v>598</v>
      </c>
      <c r="N97" s="4981" t="s">
        <v>592</v>
      </c>
      <c r="O97" s="4981" t="s">
        <v>593</v>
      </c>
      <c r="P97" s="4981" t="s">
        <v>594</v>
      </c>
      <c r="Q97" s="4984" t="s">
        <v>225</v>
      </c>
      <c r="R97" s="4984" t="s">
        <v>229</v>
      </c>
      <c r="S97" s="4981" t="s">
        <v>595</v>
      </c>
      <c r="T97" s="4981" t="s">
        <v>596</v>
      </c>
      <c r="U97" s="4981" t="s">
        <v>597</v>
      </c>
      <c r="V97" s="4984" t="s">
        <v>135</v>
      </c>
      <c r="W97" s="4985" t="s">
        <v>601</v>
      </c>
    </row>
    <row r="98" spans="1:23" ht="41.25" customHeight="1">
      <c r="A98" s="4981"/>
      <c r="B98" s="4982"/>
      <c r="C98" s="3179" t="s">
        <v>351</v>
      </c>
      <c r="D98" s="3179" t="s">
        <v>1750</v>
      </c>
      <c r="E98" s="4981"/>
      <c r="F98" s="4981"/>
      <c r="G98" s="4981"/>
      <c r="H98" s="4984"/>
      <c r="I98" s="4981"/>
      <c r="J98" s="4981"/>
      <c r="K98" s="4981"/>
      <c r="L98" s="4984"/>
      <c r="M98" s="4984"/>
      <c r="N98" s="4981"/>
      <c r="O98" s="4981"/>
      <c r="P98" s="4981"/>
      <c r="Q98" s="4984"/>
      <c r="R98" s="4984"/>
      <c r="S98" s="4981"/>
      <c r="T98" s="4981"/>
      <c r="U98" s="4981"/>
      <c r="V98" s="4984"/>
      <c r="W98" s="4985"/>
    </row>
    <row r="99" spans="1:23" ht="18.75" customHeight="1">
      <c r="A99" s="3095" t="s">
        <v>1733</v>
      </c>
      <c r="B99" s="3060">
        <f>SUM('Произв. прогр. Стоки'!B176)</f>
        <v>99259.792125612337</v>
      </c>
      <c r="C99" s="3060">
        <f>SUM('Произв. прогр. Стоки'!C176)</f>
        <v>98990.185899533084</v>
      </c>
      <c r="D99" s="3060">
        <f>SUM('Произв. прогр. Стоки'!D176)</f>
        <v>269.60622607925791</v>
      </c>
      <c r="E99" s="3073">
        <f>SUM('Произв. прогр. Стоки'!E176)</f>
        <v>8054.7458028259616</v>
      </c>
      <c r="F99" s="3073">
        <f>SUM('Произв. прогр. Стоки'!F176)</f>
        <v>8042.1372232574986</v>
      </c>
      <c r="G99" s="3073">
        <f>SUM('Произв. прогр. Стоки'!G176)</f>
        <v>8416.696289139185</v>
      </c>
      <c r="H99" s="3060">
        <f>SUM('Произв. прогр. Стоки'!H176)</f>
        <v>24513.579315222647</v>
      </c>
      <c r="I99" s="3073">
        <f>SUM('Произв. прогр. Стоки'!I176)</f>
        <v>8021.4262269656438</v>
      </c>
      <c r="J99" s="3073">
        <f>SUM('Произв. прогр. Стоки'!J176)</f>
        <v>7963.4170103809038</v>
      </c>
      <c r="K99" s="3073">
        <f>SUM('Произв. прогр. Стоки'!K176)</f>
        <v>8336.328117252091</v>
      </c>
      <c r="L99" s="3060">
        <f>SUM('Произв. прогр. Стоки'!L176)</f>
        <v>24321.171354598639</v>
      </c>
      <c r="M99" s="3060">
        <f>SUM('Произв. прогр. Стоки'!M176)</f>
        <v>48834.750669821282</v>
      </c>
      <c r="N99" s="3073">
        <f>SUM('Произв. прогр. Стоки'!N176)</f>
        <v>8228.7588363426312</v>
      </c>
      <c r="O99" s="3073">
        <f>SUM('Произв. прогр. Стоки'!O176)</f>
        <v>8227.9132015947944</v>
      </c>
      <c r="P99" s="3073">
        <f>SUM('Произв. прогр. Стоки'!P176)</f>
        <v>8655.3887935682433</v>
      </c>
      <c r="Q99" s="3060">
        <f>SUM('Произв. прогр. Стоки'!Q176)</f>
        <v>25112.060831505667</v>
      </c>
      <c r="R99" s="3060">
        <f>SUM('Произв. прогр. Стоки'!R176)</f>
        <v>73946.811501326942</v>
      </c>
      <c r="S99" s="3073">
        <f>SUM('Произв. прогр. Стоки'!S176)</f>
        <v>8299.7896846456351</v>
      </c>
      <c r="T99" s="3073">
        <f>SUM('Произв. прогр. Стоки'!T176)</f>
        <v>8309.3846602728481</v>
      </c>
      <c r="U99" s="3073">
        <f>SUM('Произв. прогр. Стоки'!U176)</f>
        <v>8703.806040570531</v>
      </c>
      <c r="V99" s="3060">
        <f>SUM('Произв. прогр. Стоки'!V176)</f>
        <v>25312.980385489012</v>
      </c>
      <c r="W99" s="3085">
        <f t="shared" ref="W99:W107" si="114">SUM(E99+F99+G99+I99+J99+K99+N99+O99+P99+S99+T99+U99)</f>
        <v>99259.791886815976</v>
      </c>
    </row>
    <row r="100" spans="1:23" ht="18.75" customHeight="1">
      <c r="A100" s="3059" t="s">
        <v>390</v>
      </c>
      <c r="B100" s="3063">
        <f>SUM('Произв. прогр. Стоки'!B177)</f>
        <v>43151.221100053997</v>
      </c>
      <c r="C100" s="3063">
        <f>SUM('Произв. прогр. Стоки'!C177)</f>
        <v>43016.417987014371</v>
      </c>
      <c r="D100" s="3063">
        <f>SUM('Произв. прогр. Стоки'!D177)</f>
        <v>134.80311303962895</v>
      </c>
      <c r="E100" s="3092">
        <f>SUM('Произв. прогр. Стоки'!E177)</f>
        <v>3688.884656296611</v>
      </c>
      <c r="F100" s="3092">
        <f>SUM('Произв. прогр. Стоки'!F177)</f>
        <v>3667.4347567676618</v>
      </c>
      <c r="G100" s="3092">
        <f>SUM('Произв. прогр. Стоки'!G177)</f>
        <v>3667.4347567676618</v>
      </c>
      <c r="H100" s="3063">
        <f>SUM('Произв. прогр. Стоки'!H177)</f>
        <v>11023.754169831935</v>
      </c>
      <c r="I100" s="3092">
        <f>SUM('Произв. прогр. Стоки'!I177)</f>
        <v>3645.9848572387123</v>
      </c>
      <c r="J100" s="3092">
        <f>SUM('Произв. прогр. Стоки'!J177)</f>
        <v>3452.9357614781748</v>
      </c>
      <c r="K100" s="3092">
        <f>SUM('Произв. прогр. Стоки'!K177)</f>
        <v>3452.9357614781748</v>
      </c>
      <c r="L100" s="3063">
        <f>SUM('Произв. прогр. Стоки'!L177)</f>
        <v>10551.856380195062</v>
      </c>
      <c r="M100" s="3063">
        <f>SUM('Произв. прогр. Стоки'!M177)</f>
        <v>21575.610550026999</v>
      </c>
      <c r="N100" s="3092">
        <f>SUM('Произв. прогр. Стоки'!N177)</f>
        <v>3452.9357614781748</v>
      </c>
      <c r="O100" s="3092">
        <f>SUM('Произв. прогр. Стоки'!O177)</f>
        <v>3452.9357614781748</v>
      </c>
      <c r="P100" s="3092">
        <f>SUM('Произв. прогр. Стоки'!P177)</f>
        <v>3645.9848572387123</v>
      </c>
      <c r="Q100" s="3063">
        <f>SUM('Произв. прогр. Стоки'!Q177)</f>
        <v>10551.856380195062</v>
      </c>
      <c r="R100" s="3063">
        <f>SUM('Произв. прогр. Стоки'!R177)</f>
        <v>32127.466930222061</v>
      </c>
      <c r="S100" s="3092">
        <f>SUM('Произв. прогр. Стоки'!S177)</f>
        <v>3667.4347567676618</v>
      </c>
      <c r="T100" s="3092">
        <f>SUM('Произв. прогр. Стоки'!T177)</f>
        <v>3667.4347567676618</v>
      </c>
      <c r="U100" s="3092">
        <f>SUM('Произв. прогр. Стоки'!U177)</f>
        <v>3688.884656296611</v>
      </c>
      <c r="V100" s="3063">
        <f>SUM('Произв. прогр. Стоки'!V177)</f>
        <v>11023.754169831935</v>
      </c>
      <c r="W100" s="3087">
        <f t="shared" si="114"/>
        <v>43151.221100053997</v>
      </c>
    </row>
    <row r="101" spans="1:23" ht="18.75" customHeight="1">
      <c r="A101" s="3059" t="s">
        <v>1734</v>
      </c>
      <c r="B101" s="3063">
        <f>SUM('Произв. прогр. Стоки'!B178)</f>
        <v>56108.57102555834</v>
      </c>
      <c r="C101" s="3063">
        <f>SUM('Произв. прогр. Стоки'!C178)</f>
        <v>55973.767912518713</v>
      </c>
      <c r="D101" s="3063">
        <f>SUM('Произв. прогр. Стоки'!D178)</f>
        <v>134.80311303962895</v>
      </c>
      <c r="E101" s="3092">
        <f>SUM('Произв. прогр. Стоки'!E178)</f>
        <v>4365.8611465293507</v>
      </c>
      <c r="F101" s="3092">
        <f>SUM('Произв. прогр. Стоки'!F178)</f>
        <v>4374.7024664898363</v>
      </c>
      <c r="G101" s="3092">
        <f>SUM('Произв. прогр. Стоки'!G178)</f>
        <v>4749.2615323715236</v>
      </c>
      <c r="H101" s="3063">
        <f>SUM('Произв. прогр. Стоки'!H178)</f>
        <v>13489.825145390711</v>
      </c>
      <c r="I101" s="3092">
        <f>SUM('Произв. прогр. Стоки'!I178)</f>
        <v>4375.441369726932</v>
      </c>
      <c r="J101" s="3092">
        <f>SUM('Произв. прогр. Стоки'!J178)</f>
        <v>4510.481248902729</v>
      </c>
      <c r="K101" s="3092">
        <f>SUM('Произв. прогр. Стоки'!K178)</f>
        <v>4883.3923557739163</v>
      </c>
      <c r="L101" s="3063">
        <f>SUM('Произв. прогр. Стоки'!L178)</f>
        <v>13769.314974403578</v>
      </c>
      <c r="M101" s="3063">
        <f>SUM('Произв. прогр. Стоки'!M178)</f>
        <v>27259.140119794291</v>
      </c>
      <c r="N101" s="3092">
        <f>SUM('Произв. прогр. Стоки'!N178)</f>
        <v>4775.8230748644564</v>
      </c>
      <c r="O101" s="3092">
        <f>SUM('Произв. прогр. Стоки'!O178)</f>
        <v>4774.9774401166196</v>
      </c>
      <c r="P101" s="3092">
        <f>SUM('Произв. прогр. Стоки'!P178)</f>
        <v>5009.4039363295306</v>
      </c>
      <c r="Q101" s="3063">
        <f>SUM('Произв. прогр. Стоки'!Q178)</f>
        <v>14560.204451310607</v>
      </c>
      <c r="R101" s="3063">
        <f>SUM('Произв. прогр. Стоки'!R178)</f>
        <v>41819.344571104899</v>
      </c>
      <c r="S101" s="3092">
        <f>SUM('Произв. прогр. Стоки'!S178)</f>
        <v>4632.3549278779738</v>
      </c>
      <c r="T101" s="3092">
        <f>SUM('Произв. прогр. Стоки'!T178)</f>
        <v>4641.9499035051867</v>
      </c>
      <c r="U101" s="3092">
        <f>SUM('Произв. прогр. Стоки'!U178)</f>
        <v>5014.92138427392</v>
      </c>
      <c r="V101" s="3063">
        <f>SUM('Произв. прогр. Стоки'!V178)</f>
        <v>14289.22621565708</v>
      </c>
      <c r="W101" s="3087">
        <f t="shared" si="114"/>
        <v>56108.570786761971</v>
      </c>
    </row>
    <row r="102" spans="1:23" ht="18.75" customHeight="1">
      <c r="A102" s="3095" t="s">
        <v>1735</v>
      </c>
      <c r="B102" s="3060">
        <f>SUM('Произв. прогр. Стоки'!B179)</f>
        <v>3248.93</v>
      </c>
      <c r="C102" s="3060">
        <f>SUM('Произв. прогр. Стоки'!C179)</f>
        <v>3230</v>
      </c>
      <c r="D102" s="3060">
        <f>SUM('Произв. прогр. Стоки'!D179)</f>
        <v>18.93</v>
      </c>
      <c r="E102" s="3073">
        <f>SUM('Произв. прогр. Стоки'!E179)</f>
        <v>277.74250000000001</v>
      </c>
      <c r="F102" s="3073">
        <f>SUM('Произв. прогр. Стоки'!F179)</f>
        <v>276.1275</v>
      </c>
      <c r="G102" s="3073">
        <f>SUM('Произв. прогр. Стоки'!G179)</f>
        <v>276.1275</v>
      </c>
      <c r="H102" s="3060">
        <f>SUM('Произв. прогр. Стоки'!H179)</f>
        <v>829.99749999999995</v>
      </c>
      <c r="I102" s="3073">
        <f>SUM('Произв. прогр. Стоки'!I179)</f>
        <v>274.51249999999993</v>
      </c>
      <c r="J102" s="3073">
        <f>SUM('Произв. прогр. Стоки'!J179)</f>
        <v>259.97749999999996</v>
      </c>
      <c r="K102" s="3073">
        <f>SUM('Произв. прогр. Стоки'!K179)</f>
        <v>259.97749999999996</v>
      </c>
      <c r="L102" s="3060">
        <f>SUM('Произв. прогр. Стоки'!L179)</f>
        <v>794.46749999999986</v>
      </c>
      <c r="M102" s="3060">
        <f>SUM('Произв. прогр. Стоки'!M179)</f>
        <v>1624.4649999999997</v>
      </c>
      <c r="N102" s="3073">
        <f>SUM('Произв. прогр. Стоки'!N179)</f>
        <v>259.97749999999996</v>
      </c>
      <c r="O102" s="3073">
        <f>SUM('Произв. прогр. Стоки'!O179)</f>
        <v>259.97749999999996</v>
      </c>
      <c r="P102" s="3073">
        <f>SUM('Произв. прогр. Стоки'!P179)</f>
        <v>274.51249999999993</v>
      </c>
      <c r="Q102" s="3060">
        <f>SUM('Произв. прогр. Стоки'!Q179)</f>
        <v>794.46749999999986</v>
      </c>
      <c r="R102" s="3060">
        <f>SUM('Произв. прогр. Стоки'!R179)</f>
        <v>2418.9324999999994</v>
      </c>
      <c r="S102" s="3073">
        <f>SUM('Произв. прогр. Стоки'!S179)</f>
        <v>276.1275</v>
      </c>
      <c r="T102" s="3073">
        <f>SUM('Произв. прогр. Стоки'!T179)</f>
        <v>276.1275</v>
      </c>
      <c r="U102" s="3073">
        <f>SUM('Произв. прогр. Стоки'!U179)</f>
        <v>277.74250000000001</v>
      </c>
      <c r="V102" s="3060">
        <f>SUM('Произв. прогр. Стоки'!V179)</f>
        <v>829.99749999999995</v>
      </c>
      <c r="W102" s="3085">
        <f t="shared" si="114"/>
        <v>3248.9299999999994</v>
      </c>
    </row>
    <row r="103" spans="1:23" ht="18.75" customHeight="1">
      <c r="A103" s="3059" t="s">
        <v>390</v>
      </c>
      <c r="B103" s="3063">
        <f>SUM('Произв. прогр. Стоки'!B180)</f>
        <v>1624.4649999999999</v>
      </c>
      <c r="C103" s="3063">
        <f>SUM('Произв. прогр. Стоки'!C180)</f>
        <v>1615</v>
      </c>
      <c r="D103" s="3063">
        <f>SUM('Произв. прогр. Стоки'!D180)</f>
        <v>9.4649999999999999</v>
      </c>
      <c r="E103" s="3092">
        <f>SUM('Произв. прогр. Стоки'!E180)</f>
        <v>138.87125</v>
      </c>
      <c r="F103" s="3092">
        <f>SUM('Произв. прогр. Стоки'!F180)</f>
        <v>138.06375</v>
      </c>
      <c r="G103" s="3092">
        <f>SUM('Произв. прогр. Стоки'!G180)</f>
        <v>138.06375</v>
      </c>
      <c r="H103" s="3063">
        <f>SUM('Произв. прогр. Стоки'!H180)</f>
        <v>414.99874999999997</v>
      </c>
      <c r="I103" s="3092">
        <f>SUM('Произв. прогр. Стоки'!I180)</f>
        <v>137.25624999999997</v>
      </c>
      <c r="J103" s="3092">
        <f>SUM('Произв. прогр. Стоки'!J180)</f>
        <v>129.98874999999998</v>
      </c>
      <c r="K103" s="3092">
        <f>SUM('Произв. прогр. Стоки'!K180)</f>
        <v>129.98874999999998</v>
      </c>
      <c r="L103" s="3063">
        <f>SUM('Произв. прогр. Стоки'!L180)</f>
        <v>397.23374999999993</v>
      </c>
      <c r="M103" s="3063">
        <f>SUM('Произв. прогр. Стоки'!M180)</f>
        <v>812.23249999999985</v>
      </c>
      <c r="N103" s="3092">
        <f>SUM('Произв. прогр. Стоки'!N180)</f>
        <v>129.98874999999998</v>
      </c>
      <c r="O103" s="3092">
        <f>SUM('Произв. прогр. Стоки'!O180)</f>
        <v>129.98874999999998</v>
      </c>
      <c r="P103" s="3092">
        <f>SUM('Произв. прогр. Стоки'!P180)</f>
        <v>137.25624999999997</v>
      </c>
      <c r="Q103" s="3063">
        <f>SUM('Произв. прогр. Стоки'!Q180)</f>
        <v>397.23374999999993</v>
      </c>
      <c r="R103" s="3063">
        <f>SUM('Произв. прогр. Стоки'!R180)</f>
        <v>1209.4662499999997</v>
      </c>
      <c r="S103" s="3092">
        <f>SUM('Произв. прогр. Стоки'!S180)</f>
        <v>138.06375</v>
      </c>
      <c r="T103" s="3092">
        <f>SUM('Произв. прогр. Стоки'!T180)</f>
        <v>138.06375</v>
      </c>
      <c r="U103" s="3092">
        <f>SUM('Произв. прогр. Стоки'!U180)</f>
        <v>138.87125</v>
      </c>
      <c r="V103" s="3063">
        <f>SUM('Произв. прогр. Стоки'!V180)</f>
        <v>414.99874999999997</v>
      </c>
      <c r="W103" s="3087">
        <f t="shared" si="114"/>
        <v>1624.4649999999997</v>
      </c>
    </row>
    <row r="104" spans="1:23" ht="18.75" customHeight="1">
      <c r="A104" s="3059" t="s">
        <v>1734</v>
      </c>
      <c r="B104" s="3063">
        <f>SUM('Произв. прогр. Стоки'!B181)</f>
        <v>1624.4649999999999</v>
      </c>
      <c r="C104" s="3063">
        <f>SUM('Произв. прогр. Стоки'!C181)</f>
        <v>1615</v>
      </c>
      <c r="D104" s="3063">
        <f>SUM('Произв. прогр. Стоки'!D181)</f>
        <v>9.4649999999999999</v>
      </c>
      <c r="E104" s="3092">
        <f>SUM('Произв. прогр. Стоки'!E181)</f>
        <v>138.87125</v>
      </c>
      <c r="F104" s="3092">
        <f>SUM('Произв. прогр. Стоки'!F181)</f>
        <v>138.06375</v>
      </c>
      <c r="G104" s="3092">
        <f>SUM('Произв. прогр. Стоки'!G181)</f>
        <v>138.06375</v>
      </c>
      <c r="H104" s="3063">
        <f>SUM('Произв. прогр. Стоки'!H181)</f>
        <v>414.99874999999997</v>
      </c>
      <c r="I104" s="3092">
        <f>SUM('Произв. прогр. Стоки'!I181)</f>
        <v>137.25624999999997</v>
      </c>
      <c r="J104" s="3092">
        <f>SUM('Произв. прогр. Стоки'!J181)</f>
        <v>129.98874999999998</v>
      </c>
      <c r="K104" s="3092">
        <f>SUM('Произв. прогр. Стоки'!K181)</f>
        <v>129.98874999999998</v>
      </c>
      <c r="L104" s="3063">
        <f>SUM('Произв. прогр. Стоки'!L181)</f>
        <v>397.23374999999993</v>
      </c>
      <c r="M104" s="3063">
        <f>SUM('Произв. прогр. Стоки'!M181)</f>
        <v>812.23249999999985</v>
      </c>
      <c r="N104" s="3092">
        <f>SUM('Произв. прогр. Стоки'!N181)</f>
        <v>129.98874999999998</v>
      </c>
      <c r="O104" s="3092">
        <f>SUM('Произв. прогр. Стоки'!O181)</f>
        <v>129.98874999999998</v>
      </c>
      <c r="P104" s="3092">
        <f>SUM('Произв. прогр. Стоки'!P181)</f>
        <v>137.25624999999997</v>
      </c>
      <c r="Q104" s="3063">
        <f>SUM('Произв. прогр. Стоки'!Q181)</f>
        <v>397.23374999999993</v>
      </c>
      <c r="R104" s="3063">
        <f>SUM('Произв. прогр. Стоки'!R181)</f>
        <v>1209.4662499999997</v>
      </c>
      <c r="S104" s="3092">
        <f>SUM('Произв. прогр. Стоки'!S181)</f>
        <v>138.06375</v>
      </c>
      <c r="T104" s="3092">
        <f>SUM('Произв. прогр. Стоки'!T181)</f>
        <v>138.06375</v>
      </c>
      <c r="U104" s="3092">
        <f>SUM('Произв. прогр. Стоки'!U181)</f>
        <v>138.87125</v>
      </c>
      <c r="V104" s="3063">
        <f>SUM('Произв. прогр. Стоки'!V181)</f>
        <v>414.99874999999997</v>
      </c>
      <c r="W104" s="3087">
        <f t="shared" si="114"/>
        <v>1624.4649999999997</v>
      </c>
    </row>
    <row r="105" spans="1:23" ht="18.75" customHeight="1">
      <c r="A105" s="3095" t="s">
        <v>1736</v>
      </c>
      <c r="B105" s="3060">
        <f>SUM('Произв. прогр. Стоки'!B182)</f>
        <v>2280</v>
      </c>
      <c r="C105" s="3060">
        <f>SUM('Произв. прогр. Стоки'!C182)</f>
        <v>2280</v>
      </c>
      <c r="D105" s="3060">
        <f>SUM('Произв. прогр. Стоки'!D182)</f>
        <v>0</v>
      </c>
      <c r="E105" s="3073">
        <f>SUM('Произв. прогр. Стоки'!E182)</f>
        <v>194.94000000000003</v>
      </c>
      <c r="F105" s="3073">
        <f>SUM('Произв. прогр. Стоки'!F182)</f>
        <v>193.8</v>
      </c>
      <c r="G105" s="3073">
        <f>SUM('Произв. прогр. Стоки'!G182)</f>
        <v>193.8</v>
      </c>
      <c r="H105" s="3060">
        <f>SUM('Произв. прогр. Стоки'!H182)</f>
        <v>582.54</v>
      </c>
      <c r="I105" s="3073">
        <f>SUM('Произв. прогр. Стоки'!I182)</f>
        <v>192.65999999999997</v>
      </c>
      <c r="J105" s="3073">
        <f>SUM('Произв. прогр. Стоки'!J182)</f>
        <v>182.4</v>
      </c>
      <c r="K105" s="3073">
        <f>SUM('Произв. прогр. Стоки'!K182)</f>
        <v>182.4</v>
      </c>
      <c r="L105" s="3060">
        <f>SUM('Произв. прогр. Стоки'!L182)</f>
        <v>557.45999999999992</v>
      </c>
      <c r="M105" s="3060">
        <f>SUM('Произв. прогр. Стоки'!M182)</f>
        <v>1140</v>
      </c>
      <c r="N105" s="3073">
        <f>SUM('Произв. прогр. Стоки'!N182)</f>
        <v>182.4</v>
      </c>
      <c r="O105" s="3073">
        <f>SUM('Произв. прогр. Стоки'!O182)</f>
        <v>182.4</v>
      </c>
      <c r="P105" s="3073">
        <f>SUM('Произв. прогр. Стоки'!P182)</f>
        <v>192.65999999999997</v>
      </c>
      <c r="Q105" s="3060">
        <f>SUM('Произв. прогр. Стоки'!Q182)</f>
        <v>557.46</v>
      </c>
      <c r="R105" s="3060">
        <f>SUM('Произв. прогр. Стоки'!R182)</f>
        <v>1697.46</v>
      </c>
      <c r="S105" s="3073">
        <f>SUM('Произв. прогр. Стоки'!S182)</f>
        <v>193.8</v>
      </c>
      <c r="T105" s="3073">
        <f>SUM('Произв. прогр. Стоки'!T182)</f>
        <v>193.8</v>
      </c>
      <c r="U105" s="3073">
        <f>SUM('Произв. прогр. Стоки'!U182)</f>
        <v>194.94000000000003</v>
      </c>
      <c r="V105" s="3060">
        <f>SUM('Произв. прогр. Стоки'!V182)</f>
        <v>582.54000000000008</v>
      </c>
      <c r="W105" s="3085">
        <f t="shared" si="114"/>
        <v>2280</v>
      </c>
    </row>
    <row r="106" spans="1:23" ht="18.75" customHeight="1">
      <c r="A106" s="3059" t="s">
        <v>390</v>
      </c>
      <c r="B106" s="3063">
        <f>SUM('Произв. прогр. Стоки'!B183)</f>
        <v>1140</v>
      </c>
      <c r="C106" s="3063">
        <f>SUM('Произв. прогр. Стоки'!C183)</f>
        <v>1140</v>
      </c>
      <c r="D106" s="3063">
        <f>SUM('Произв. прогр. Стоки'!D183)</f>
        <v>0</v>
      </c>
      <c r="E106" s="3092">
        <f>SUM('Произв. прогр. Стоки'!E183)</f>
        <v>97.470000000000013</v>
      </c>
      <c r="F106" s="3092">
        <f>SUM('Произв. прогр. Стоки'!F183)</f>
        <v>96.9</v>
      </c>
      <c r="G106" s="3092">
        <f>SUM('Произв. прогр. Стоки'!G183)</f>
        <v>96.9</v>
      </c>
      <c r="H106" s="3063">
        <f>SUM('Произв. прогр. Стоки'!H183)</f>
        <v>291.27</v>
      </c>
      <c r="I106" s="3092">
        <f>SUM('Произв. прогр. Стоки'!I183)</f>
        <v>96.329999999999984</v>
      </c>
      <c r="J106" s="3092">
        <f>SUM('Произв. прогр. Стоки'!J183)</f>
        <v>91.2</v>
      </c>
      <c r="K106" s="3092">
        <f>SUM('Произв. прогр. Стоки'!K183)</f>
        <v>91.2</v>
      </c>
      <c r="L106" s="3063">
        <f>SUM('Произв. прогр. Стоки'!L183)</f>
        <v>278.72999999999996</v>
      </c>
      <c r="M106" s="3063">
        <f>SUM('Произв. прогр. Стоки'!M183)</f>
        <v>570</v>
      </c>
      <c r="N106" s="3092">
        <f>SUM('Произв. прогр. Стоки'!N183)</f>
        <v>91.2</v>
      </c>
      <c r="O106" s="3092">
        <f>SUM('Произв. прогр. Стоки'!O183)</f>
        <v>91.2</v>
      </c>
      <c r="P106" s="3092">
        <f>SUM('Произв. прогр. Стоки'!P183)</f>
        <v>96.329999999999984</v>
      </c>
      <c r="Q106" s="3063">
        <f>SUM('Произв. прогр. Стоки'!Q183)</f>
        <v>278.73</v>
      </c>
      <c r="R106" s="3063">
        <f>SUM('Произв. прогр. Стоки'!R183)</f>
        <v>848.73</v>
      </c>
      <c r="S106" s="3092">
        <f>SUM('Произв. прогр. Стоки'!S183)</f>
        <v>96.9</v>
      </c>
      <c r="T106" s="3092">
        <f>SUM('Произв. прогр. Стоки'!T183)</f>
        <v>96.9</v>
      </c>
      <c r="U106" s="3092">
        <f>SUM('Произв. прогр. Стоки'!U183)</f>
        <v>97.470000000000013</v>
      </c>
      <c r="V106" s="3063">
        <f>SUM('Произв. прогр. Стоки'!V183)</f>
        <v>291.27000000000004</v>
      </c>
      <c r="W106" s="3087">
        <f t="shared" si="114"/>
        <v>1140</v>
      </c>
    </row>
    <row r="107" spans="1:23" ht="18.75" customHeight="1">
      <c r="A107" s="3059" t="s">
        <v>1734</v>
      </c>
      <c r="B107" s="3063">
        <f>SUM('Произв. прогр. Стоки'!B184)</f>
        <v>1140</v>
      </c>
      <c r="C107" s="3063">
        <f>SUM('Произв. прогр. Стоки'!C184)</f>
        <v>1140</v>
      </c>
      <c r="D107" s="3063">
        <f>SUM('Произв. прогр. Стоки'!D184)</f>
        <v>0</v>
      </c>
      <c r="E107" s="3092">
        <f>SUM('Произв. прогр. Стоки'!E184)</f>
        <v>97.470000000000013</v>
      </c>
      <c r="F107" s="3092">
        <f>SUM('Произв. прогр. Стоки'!F184)</f>
        <v>96.9</v>
      </c>
      <c r="G107" s="3092">
        <f>SUM('Произв. прогр. Стоки'!G184)</f>
        <v>96.9</v>
      </c>
      <c r="H107" s="3063">
        <f>SUM('Произв. прогр. Стоки'!H184)</f>
        <v>291.27</v>
      </c>
      <c r="I107" s="3092">
        <f>SUM('Произв. прогр. Стоки'!I184)</f>
        <v>96.329999999999984</v>
      </c>
      <c r="J107" s="3092">
        <f>SUM('Произв. прогр. Стоки'!J184)</f>
        <v>91.2</v>
      </c>
      <c r="K107" s="3092">
        <f>SUM('Произв. прогр. Стоки'!K184)</f>
        <v>91.2</v>
      </c>
      <c r="L107" s="3063">
        <f>SUM('Произв. прогр. Стоки'!L184)</f>
        <v>278.72999999999996</v>
      </c>
      <c r="M107" s="3063">
        <f>SUM('Произв. прогр. Стоки'!M184)</f>
        <v>570</v>
      </c>
      <c r="N107" s="3092">
        <f>SUM('Произв. прогр. Стоки'!N184)</f>
        <v>91.2</v>
      </c>
      <c r="O107" s="3092">
        <f>SUM('Произв. прогр. Стоки'!O184)</f>
        <v>91.2</v>
      </c>
      <c r="P107" s="3092">
        <f>SUM('Произв. прогр. Стоки'!P184)</f>
        <v>96.329999999999984</v>
      </c>
      <c r="Q107" s="3063">
        <f>SUM('Произв. прогр. Стоки'!Q184)</f>
        <v>278.73</v>
      </c>
      <c r="R107" s="3063">
        <f>SUM('Произв. прогр. Стоки'!R184)</f>
        <v>848.73</v>
      </c>
      <c r="S107" s="3092">
        <f>SUM('Произв. прогр. Стоки'!S184)</f>
        <v>96.9</v>
      </c>
      <c r="T107" s="3092">
        <f>SUM('Произв. прогр. Стоки'!T184)</f>
        <v>96.9</v>
      </c>
      <c r="U107" s="3092">
        <f>SUM('Произв. прогр. Стоки'!U184)</f>
        <v>97.470000000000013</v>
      </c>
      <c r="V107" s="3063">
        <f>SUM('Произв. прогр. Стоки'!V184)</f>
        <v>291.27000000000004</v>
      </c>
      <c r="W107" s="3087">
        <f t="shared" si="114"/>
        <v>1140</v>
      </c>
    </row>
    <row r="108" spans="1:23" ht="18.75" customHeight="1">
      <c r="A108" s="3095" t="s">
        <v>1737</v>
      </c>
      <c r="B108" s="3060">
        <f>SUM('Произв. прогр. Стоки'!B185)</f>
        <v>30.551533004900797</v>
      </c>
      <c r="C108" s="3060">
        <f>SUM('Произв. прогр. Стоки'!C185)</f>
        <v>30.647116377564423</v>
      </c>
      <c r="D108" s="3060">
        <f>SUM('Произв. прогр. Стоки'!D185)</f>
        <v>14.242272904345374</v>
      </c>
      <c r="E108" s="3073">
        <f>SUM('Произв. прогр. Стоки'!E185)</f>
        <v>29.000767987707899</v>
      </c>
      <c r="F108" s="3073">
        <f>SUM('Произв. прогр. Стоки'!F185)</f>
        <v>29.12472398894532</v>
      </c>
      <c r="G108" s="3073">
        <f>SUM('Произв. прогр. Стоки'!G185)</f>
        <v>30.481195422908566</v>
      </c>
      <c r="H108" s="3060">
        <f>SUM('Произв. прогр. Стоки'!H185)</f>
        <v>29.534521869310026</v>
      </c>
      <c r="I108" s="3073">
        <f>SUM('Произв. прогр. Стоки'!I185)</f>
        <v>29.220622838543402</v>
      </c>
      <c r="J108" s="3073">
        <f>SUM('Произв. прогр. Стоки'!J185)</f>
        <v>30.631177738000037</v>
      </c>
      <c r="K108" s="3073">
        <f>SUM('Произв. прогр. Стоки'!K185)</f>
        <v>32.065575356529287</v>
      </c>
      <c r="L108" s="3060">
        <f>SUM('Произв. прогр. Стоки'!L185)</f>
        <v>30.613173420685733</v>
      </c>
      <c r="M108" s="3060">
        <f>SUM('Произв. прогр. Стоки'!M185)</f>
        <v>30.06205161072802</v>
      </c>
      <c r="N108" s="3073">
        <f>SUM('Произв. прогр. Стоки'!N185)</f>
        <v>31.651811546547805</v>
      </c>
      <c r="O108" s="3073">
        <f>SUM('Произв. прогр. Стоки'!O185)</f>
        <v>31.648558823724343</v>
      </c>
      <c r="P108" s="3073">
        <f>SUM('Произв. прогр. Стоки'!P185)</f>
        <v>31.530035220866974</v>
      </c>
      <c r="Q108" s="3060">
        <f>SUM('Произв. прогр. Стоки'!Q185)</f>
        <v>31.608669746094925</v>
      </c>
      <c r="R108" s="3060">
        <f>SUM('Произв. прогр. Стоки'!R185)</f>
        <v>30.57001859346094</v>
      </c>
      <c r="S108" s="3073">
        <f>SUM('Произв. прогр. Стоки'!S185)</f>
        <v>30.057816351669555</v>
      </c>
      <c r="T108" s="3073">
        <f>SUM('Произв. прогр. Стоки'!T185)</f>
        <v>30.092564703888051</v>
      </c>
      <c r="U108" s="3073">
        <f>SUM('Произв. прогр. Стоки'!U185)</f>
        <v>31.337681631621127</v>
      </c>
      <c r="V108" s="3060">
        <f>SUM('Произв. прогр. Стоки'!V185)</f>
        <v>30.497658589922274</v>
      </c>
      <c r="W108" s="3110">
        <f t="shared" ref="W108" si="115">SUM(W72)</f>
        <v>30.551532931400796</v>
      </c>
    </row>
    <row r="109" spans="1:23" ht="18.75" customHeight="1">
      <c r="A109" s="3059" t="s">
        <v>390</v>
      </c>
      <c r="B109" s="3063">
        <f>SUM('Произв. прогр. Стоки'!B186)</f>
        <v>26.563343069905475</v>
      </c>
      <c r="C109" s="3063">
        <f>SUM('Произв. прогр. Стоки'!C186)</f>
        <v>26.635552933135834</v>
      </c>
      <c r="D109" s="3063">
        <f>SUM('Произв. прогр. Стоки'!D186)</f>
        <v>14.242272904345374</v>
      </c>
      <c r="E109" s="3092">
        <f>SUM('Произв. прогр. Стоки'!E186)</f>
        <v>26.563343069905475</v>
      </c>
      <c r="F109" s="3092">
        <f>SUM('Произв. прогр. Стоки'!F186)</f>
        <v>26.563343069905475</v>
      </c>
      <c r="G109" s="3092">
        <f>SUM('Произв. прогр. Стоки'!G186)</f>
        <v>26.563343069905475</v>
      </c>
      <c r="H109" s="3063">
        <f>SUM('Произв. прогр. Стоки'!H186)</f>
        <v>26.563343069905475</v>
      </c>
      <c r="I109" s="3092">
        <f>SUM('Произв. прогр. Стоки'!I186)</f>
        <v>26.563343069905475</v>
      </c>
      <c r="J109" s="3092">
        <f>SUM('Произв. прогр. Стоки'!J186)</f>
        <v>26.563343069905475</v>
      </c>
      <c r="K109" s="3092">
        <f>SUM('Произв. прогр. Стоки'!K186)</f>
        <v>26.563343069905475</v>
      </c>
      <c r="L109" s="3063">
        <f>SUM('Произв. прогр. Стоки'!L186)</f>
        <v>26.563343069905475</v>
      </c>
      <c r="M109" s="3063">
        <f>SUM('Произв. прогр. Стоки'!M186)</f>
        <v>26.563343069905475</v>
      </c>
      <c r="N109" s="3092">
        <f>SUM('Произв. прогр. Стоки'!N186)</f>
        <v>26.563343069905475</v>
      </c>
      <c r="O109" s="3092">
        <f>SUM('Произв. прогр. Стоки'!O186)</f>
        <v>26.563343069905475</v>
      </c>
      <c r="P109" s="3092">
        <f>SUM('Произв. прогр. Стоки'!P186)</f>
        <v>26.563343069905475</v>
      </c>
      <c r="Q109" s="3063">
        <f>SUM('Произв. прогр. Стоки'!Q186)</f>
        <v>26.563343069905475</v>
      </c>
      <c r="R109" s="3063">
        <f>SUM('Произв. прогр. Стоки'!R186)</f>
        <v>26.563343069905475</v>
      </c>
      <c r="S109" s="3092">
        <f>SUM('Произв. прогр. Стоки'!S186)</f>
        <v>26.563343069905475</v>
      </c>
      <c r="T109" s="3092">
        <f>SUM('Произв. прогр. Стоки'!T186)</f>
        <v>26.563343069905475</v>
      </c>
      <c r="U109" s="3092">
        <f>SUM('Произв. прогр. Стоки'!U186)</f>
        <v>26.563343069905475</v>
      </c>
      <c r="V109" s="3063">
        <f>SUM('Произв. прогр. Стоки'!V186)</f>
        <v>26.563343069905475</v>
      </c>
      <c r="W109" s="3108">
        <f>SUM(E109)</f>
        <v>26.563343069905475</v>
      </c>
    </row>
    <row r="110" spans="1:23" ht="18.75" customHeight="1">
      <c r="A110" s="3059" t="s">
        <v>1734</v>
      </c>
      <c r="B110" s="3063">
        <f>SUM('Произв. прогр. Стоки'!B187)</f>
        <v>34.539722939896116</v>
      </c>
      <c r="C110" s="3063">
        <f>SUM('Произв. прогр. Стоки'!C187)</f>
        <v>34.658679821993012</v>
      </c>
      <c r="D110" s="3063">
        <f>SUM('Произв. прогр. Стоки'!D187)</f>
        <v>14.242272904345374</v>
      </c>
      <c r="E110" s="3092">
        <f>SUM('Произв. прогр. Стоки'!E187)</f>
        <v>31.438192905510324</v>
      </c>
      <c r="F110" s="3092">
        <f>SUM('Произв. прогр. Стоки'!F187)</f>
        <v>31.686104907985161</v>
      </c>
      <c r="G110" s="3092">
        <f>SUM('Произв. прогр. Стоки'!G187)</f>
        <v>34.399047775911662</v>
      </c>
      <c r="H110" s="3063">
        <f>SUM('Произв. прогр. Стоки'!H187)</f>
        <v>32.505700668714574</v>
      </c>
      <c r="I110" s="3092">
        <f>SUM('Произв. прогр. Стоки'!I187)</f>
        <v>31.877902607181333</v>
      </c>
      <c r="J110" s="3092">
        <f>SUM('Произв. прогр. Стоки'!J187)</f>
        <v>34.699012406094603</v>
      </c>
      <c r="K110" s="3092">
        <f>SUM('Произв. прогр. Стоки'!K187)</f>
        <v>37.567807643153095</v>
      </c>
      <c r="L110" s="3063">
        <f>SUM('Произв. прогр. Стоки'!L187)</f>
        <v>34.663003771465995</v>
      </c>
      <c r="M110" s="3063">
        <f>SUM('Произв. прогр. Стоки'!M187)</f>
        <v>33.560760151550568</v>
      </c>
      <c r="N110" s="3092">
        <f>SUM('Произв. прогр. Стоки'!N187)</f>
        <v>36.740280023190138</v>
      </c>
      <c r="O110" s="3092">
        <f>SUM('Произв. прогр. Стоки'!O187)</f>
        <v>36.733774577543215</v>
      </c>
      <c r="P110" s="3092">
        <f>SUM('Произв. прогр. Стоки'!P187)</f>
        <v>36.49672737182847</v>
      </c>
      <c r="Q110" s="3063">
        <f>SUM('Произв. прогр. Стоки'!Q187)</f>
        <v>36.653996422284386</v>
      </c>
      <c r="R110" s="3063">
        <f>SUM('Произв. прогр. Стоки'!R187)</f>
        <v>34.576694117016416</v>
      </c>
      <c r="S110" s="3092">
        <f>SUM('Произв. прогр. Стоки'!S187)</f>
        <v>33.552289633433638</v>
      </c>
      <c r="T110" s="3092">
        <f>SUM('Произв. прогр. Стоки'!T187)</f>
        <v>33.621786337870631</v>
      </c>
      <c r="U110" s="3092">
        <f>SUM('Произв. прогр. Стоки'!U187)</f>
        <v>36.112020193336775</v>
      </c>
      <c r="V110" s="3063">
        <f>SUM('Произв. прогр. Стоки'!V187)</f>
        <v>34.431974109939077</v>
      </c>
      <c r="W110" s="642">
        <f t="shared" ref="W110" si="116">SUM(W101/W104)</f>
        <v>34.539722792896114</v>
      </c>
    </row>
    <row r="111" spans="1:23" ht="18.75" customHeight="1">
      <c r="A111" s="3099" t="s">
        <v>1738</v>
      </c>
      <c r="B111" s="3068">
        <f>SUM('Произв. прогр. Стоки'!B188)</f>
        <v>1.3002777116193389</v>
      </c>
      <c r="C111" s="3068">
        <f>SUM('Произв. прогр. Стоки'!C188)</f>
        <v>1.3012187097822943</v>
      </c>
      <c r="D111" s="3068">
        <f>SUM('Произв. прогр. Стоки'!D188)</f>
        <v>1</v>
      </c>
      <c r="E111" s="3097">
        <f>SUM('Произв. прогр. Стоки'!E188)</f>
        <v>1.1835179338224087</v>
      </c>
      <c r="F111" s="3097">
        <f>SUM('Произв. прогр. Стоки'!F188)</f>
        <v>1.1928507953459908</v>
      </c>
      <c r="G111" s="3097">
        <f>SUM('Произв. прогр. Стоки'!G188)</f>
        <v>1.2949818735309535</v>
      </c>
      <c r="H111" s="3068">
        <f>SUM('Произв. прогр. Стоки'!H188)</f>
        <v>1.2237051858710284</v>
      </c>
      <c r="I111" s="3097">
        <f>SUM('Произв. прогр. Стоки'!I188)</f>
        <v>1.2000711854411468</v>
      </c>
      <c r="J111" s="3097">
        <f>SUM('Произв. прогр. Стоки'!J188)</f>
        <v>1.3062743011969118</v>
      </c>
      <c r="K111" s="3097">
        <f>SUM('Произв. прогр. Стоки'!K188)</f>
        <v>1.4142725764708042</v>
      </c>
      <c r="L111" s="3068">
        <f>SUM('Произв. прогр. Стоки'!L188)</f>
        <v>1.304918725035664</v>
      </c>
      <c r="M111" s="3068">
        <f>SUM('Произв. прогр. Стоки'!M188)</f>
        <v>1.2634238116501499</v>
      </c>
      <c r="N111" s="3097">
        <f>SUM('Произв. прогр. Стоки'!N188)</f>
        <v>1.383119584251971</v>
      </c>
      <c r="O111" s="3097">
        <f>SUM('Произв. прогр. Стоки'!O188)</f>
        <v>1.3828746811300334</v>
      </c>
      <c r="P111" s="3097">
        <f>SUM('Произв. прогр. Стоки'!P188)</f>
        <v>1.3739508342674258</v>
      </c>
      <c r="Q111" s="3068">
        <f>SUM('Произв. прогр. Стоки'!Q188)</f>
        <v>1.3798713635487756</v>
      </c>
      <c r="R111" s="3068">
        <f>SUM('Произв. прогр. Стоки'!R188)</f>
        <v>1.3016695235243014</v>
      </c>
      <c r="S111" s="3097">
        <f>SUM('Произв. прогр. Стоки'!S188)</f>
        <v>1.2631049316773002</v>
      </c>
      <c r="T111" s="3097">
        <f>SUM('Произв. прогр. Стоки'!T188)</f>
        <v>1.2657211951594267</v>
      </c>
      <c r="U111" s="3097">
        <f>SUM('Произв. прогр. Стоки'!U188)</f>
        <v>1.3594682001547209</v>
      </c>
      <c r="V111" s="3068">
        <f>SUM('Произв. прогр. Стоки'!V188)</f>
        <v>1.2962214138230306</v>
      </c>
      <c r="W111" s="3089">
        <f t="shared" ref="W111" si="117">SUM(W110/W109)</f>
        <v>1.3002777060853969</v>
      </c>
    </row>
    <row r="112" spans="1:23" ht="18.75" customHeight="1">
      <c r="A112" s="3095" t="s">
        <v>1739</v>
      </c>
      <c r="B112" s="3060">
        <f>SUM('Произв. прогр. Стоки'!B189)</f>
        <v>24.17</v>
      </c>
      <c r="C112" s="3060">
        <f>SUM('Произв. прогр. Стоки'!C189)</f>
        <v>24.17</v>
      </c>
      <c r="D112" s="3060">
        <f>SUM('Произв. прогр. Стоки'!D189)</f>
        <v>0</v>
      </c>
      <c r="E112" s="3073">
        <f>SUM('Произв. прогр. Стоки'!E189)</f>
        <v>24.169999999999998</v>
      </c>
      <c r="F112" s="3073">
        <f>SUM('Произв. прогр. Стоки'!F189)</f>
        <v>24.17</v>
      </c>
      <c r="G112" s="3073">
        <f>SUM('Произв. прогр. Стоки'!G189)</f>
        <v>24.17</v>
      </c>
      <c r="H112" s="3060">
        <f>SUM('Произв. прогр. Стоки'!H189)</f>
        <v>24.17</v>
      </c>
      <c r="I112" s="3073">
        <f>SUM('Произв. прогр. Стоки'!I189)</f>
        <v>24.169999999999998</v>
      </c>
      <c r="J112" s="3073">
        <f>SUM('Произв. прогр. Стоки'!J189)</f>
        <v>24.17</v>
      </c>
      <c r="K112" s="3073">
        <f>SUM('Произв. прогр. Стоки'!K189)</f>
        <v>24.17</v>
      </c>
      <c r="L112" s="3060">
        <f>SUM('Произв. прогр. Стоки'!L189)</f>
        <v>24.17</v>
      </c>
      <c r="M112" s="3060">
        <f>SUM('Произв. прогр. Стоки'!M189)</f>
        <v>24.17</v>
      </c>
      <c r="N112" s="3073">
        <f>SUM('Произв. прогр. Стоки'!N189)</f>
        <v>24.17</v>
      </c>
      <c r="O112" s="3073">
        <f>SUM('Произв. прогр. Стоки'!O189)</f>
        <v>24.17</v>
      </c>
      <c r="P112" s="3073">
        <f>SUM('Произв. прогр. Стоки'!P189)</f>
        <v>24.169999999999998</v>
      </c>
      <c r="Q112" s="3060">
        <f>SUM('Произв. прогр. Стоки'!Q189)</f>
        <v>24.169999999999998</v>
      </c>
      <c r="R112" s="3060">
        <f>SUM('Произв. прогр. Стоки'!R189)</f>
        <v>24.17</v>
      </c>
      <c r="S112" s="3073">
        <f>SUM('Произв. прогр. Стоки'!S189)</f>
        <v>24.17</v>
      </c>
      <c r="T112" s="3073">
        <f>SUM('Произв. прогр. Стоки'!T189)</f>
        <v>24.17</v>
      </c>
      <c r="U112" s="3073">
        <f>SUM('Произв. прогр. Стоки'!U189)</f>
        <v>24.169999999999998</v>
      </c>
      <c r="V112" s="3060">
        <f>SUM('Произв. прогр. Стоки'!V189)</f>
        <v>24.169999999999998</v>
      </c>
      <c r="W112" s="3105">
        <f t="shared" ref="W112" si="118">SUM((W113*W106)+(W114*W107))/W105</f>
        <v>24.17</v>
      </c>
    </row>
    <row r="113" spans="1:23" ht="18.75" customHeight="1">
      <c r="A113" s="3059" t="s">
        <v>390</v>
      </c>
      <c r="B113" s="3063">
        <f>SUM('Произв. прогр. Стоки'!B190)</f>
        <v>23.47</v>
      </c>
      <c r="C113" s="3063">
        <f>SUM('Произв. прогр. Стоки'!C190)</f>
        <v>23.47</v>
      </c>
      <c r="D113" s="3063">
        <f>SUM('Произв. прогр. Стоки'!D190)</f>
        <v>0</v>
      </c>
      <c r="E113" s="3092">
        <f>SUM('Произв. прогр. Стоки'!E190)</f>
        <v>23.47</v>
      </c>
      <c r="F113" s="3092">
        <f>SUM('Произв. прогр. Стоки'!F190)</f>
        <v>23.47</v>
      </c>
      <c r="G113" s="3092">
        <f>SUM('Произв. прогр. Стоки'!G190)</f>
        <v>23.47</v>
      </c>
      <c r="H113" s="3063">
        <f>SUM('Произв. прогр. Стоки'!H190)</f>
        <v>23.47</v>
      </c>
      <c r="I113" s="3092">
        <f>SUM('Произв. прогр. Стоки'!I190)</f>
        <v>23.47</v>
      </c>
      <c r="J113" s="3092">
        <f>SUM('Произв. прогр. Стоки'!J190)</f>
        <v>23.47</v>
      </c>
      <c r="K113" s="3092">
        <f>SUM('Произв. прогр. Стоки'!K190)</f>
        <v>23.47</v>
      </c>
      <c r="L113" s="3063">
        <f>SUM('Произв. прогр. Стоки'!L190)</f>
        <v>23.47</v>
      </c>
      <c r="M113" s="3063">
        <f>SUM('Произв. прогр. Стоки'!M190)</f>
        <v>23.47</v>
      </c>
      <c r="N113" s="3092">
        <f>SUM('Произв. прогр. Стоки'!N190)</f>
        <v>23.47</v>
      </c>
      <c r="O113" s="3092">
        <f>SUM('Произв. прогр. Стоки'!O190)</f>
        <v>23.47</v>
      </c>
      <c r="P113" s="3092">
        <f>SUM('Произв. прогр. Стоки'!P190)</f>
        <v>23.47</v>
      </c>
      <c r="Q113" s="3063">
        <f>SUM('Произв. прогр. Стоки'!Q190)</f>
        <v>23.47</v>
      </c>
      <c r="R113" s="3063">
        <f>SUM('Произв. прогр. Стоки'!R190)</f>
        <v>23.47</v>
      </c>
      <c r="S113" s="3092">
        <f>SUM('Произв. прогр. Стоки'!S190)</f>
        <v>23.47</v>
      </c>
      <c r="T113" s="3092">
        <f>SUM('Произв. прогр. Стоки'!T190)</f>
        <v>23.47</v>
      </c>
      <c r="U113" s="3092">
        <f>SUM('Произв. прогр. Стоки'!U190)</f>
        <v>23.47</v>
      </c>
      <c r="V113" s="3063">
        <f>SUM('Произв. прогр. Стоки'!V190)</f>
        <v>23.47</v>
      </c>
      <c r="W113" s="3108">
        <f>SUM(E113)</f>
        <v>23.47</v>
      </c>
    </row>
    <row r="114" spans="1:23" ht="18.75" customHeight="1">
      <c r="A114" s="3059" t="s">
        <v>1734</v>
      </c>
      <c r="B114" s="3063">
        <f>SUM('Произв. прогр. Стоки'!B191)</f>
        <v>24.87</v>
      </c>
      <c r="C114" s="3063">
        <f>SUM('Произв. прогр. Стоки'!C191)</f>
        <v>24.87</v>
      </c>
      <c r="D114" s="3063">
        <f>SUM('Произв. прогр. Стоки'!D191)</f>
        <v>0</v>
      </c>
      <c r="E114" s="3092">
        <f>SUM('Произв. прогр. Стоки'!E191)</f>
        <v>24.87</v>
      </c>
      <c r="F114" s="3092">
        <f>SUM('Произв. прогр. Стоки'!F191)</f>
        <v>24.87</v>
      </c>
      <c r="G114" s="3092">
        <f>SUM('Произв. прогр. Стоки'!G191)</f>
        <v>24.87</v>
      </c>
      <c r="H114" s="3063">
        <f>SUM('Произв. прогр. Стоки'!H191)</f>
        <v>24.87</v>
      </c>
      <c r="I114" s="3092">
        <f>SUM('Произв. прогр. Стоки'!I191)</f>
        <v>24.87</v>
      </c>
      <c r="J114" s="3092">
        <f>SUM('Произв. прогр. Стоки'!J191)</f>
        <v>24.87</v>
      </c>
      <c r="K114" s="3092">
        <f>SUM('Произв. прогр. Стоки'!K191)</f>
        <v>24.87</v>
      </c>
      <c r="L114" s="3063">
        <f>SUM('Произв. прогр. Стоки'!L191)</f>
        <v>24.87</v>
      </c>
      <c r="M114" s="3063">
        <f>SUM('Произв. прогр. Стоки'!M191)</f>
        <v>24.87</v>
      </c>
      <c r="N114" s="3092">
        <f>SUM('Произв. прогр. Стоки'!N191)</f>
        <v>24.87</v>
      </c>
      <c r="O114" s="3092">
        <f>SUM('Произв. прогр. Стоки'!O191)</f>
        <v>24.87</v>
      </c>
      <c r="P114" s="3092">
        <f>SUM('Произв. прогр. Стоки'!P191)</f>
        <v>24.87</v>
      </c>
      <c r="Q114" s="3063">
        <f>SUM('Произв. прогр. Стоки'!Q191)</f>
        <v>24.87</v>
      </c>
      <c r="R114" s="3063">
        <f>SUM('Произв. прогр. Стоки'!R191)</f>
        <v>24.87</v>
      </c>
      <c r="S114" s="3092">
        <f>SUM('Произв. прогр. Стоки'!S191)</f>
        <v>24.87</v>
      </c>
      <c r="T114" s="3092">
        <f>SUM('Произв. прогр. Стоки'!T191)</f>
        <v>24.87</v>
      </c>
      <c r="U114" s="3092">
        <f>SUM('Произв. прогр. Стоки'!U191)</f>
        <v>24.87</v>
      </c>
      <c r="V114" s="3063">
        <f>SUM('Произв. прогр. Стоки'!V191)</f>
        <v>24.87</v>
      </c>
      <c r="W114" s="3108">
        <f>SUM(E114)</f>
        <v>24.87</v>
      </c>
    </row>
    <row r="115" spans="1:23" ht="18.75" customHeight="1">
      <c r="A115" s="3099" t="s">
        <v>1740</v>
      </c>
      <c r="B115" s="3068">
        <f>SUM('Произв. прогр. Стоки'!B192)</f>
        <v>1.0596506178099703</v>
      </c>
      <c r="C115" s="3068">
        <f>SUM('Произв. прогр. Стоки'!C192)</f>
        <v>1.0596506178099703</v>
      </c>
      <c r="D115" s="3068">
        <f>SUM('Произв. прогр. Стоки'!D192)</f>
        <v>0</v>
      </c>
      <c r="E115" s="3097">
        <f>SUM('Произв. прогр. Стоки'!E192)</f>
        <v>1.0596506178099703</v>
      </c>
      <c r="F115" s="3097">
        <f>SUM('Произв. прогр. Стоки'!F192)</f>
        <v>1.0596506178099703</v>
      </c>
      <c r="G115" s="3097">
        <f>SUM('Произв. прогр. Стоки'!G192)</f>
        <v>1.0596506178099703</v>
      </c>
      <c r="H115" s="3068">
        <f>SUM('Произв. прогр. Стоки'!H192)</f>
        <v>1.0596506178099703</v>
      </c>
      <c r="I115" s="3097">
        <f>SUM('Произв. прогр. Стоки'!I192)</f>
        <v>1.0596506178099703</v>
      </c>
      <c r="J115" s="3097">
        <f>SUM('Произв. прогр. Стоки'!J192)</f>
        <v>1.0596506178099703</v>
      </c>
      <c r="K115" s="3097">
        <f>SUM('Произв. прогр. Стоки'!K192)</f>
        <v>1.0596506178099703</v>
      </c>
      <c r="L115" s="3068">
        <f>SUM('Произв. прогр. Стоки'!L192)</f>
        <v>1.0596506178099703</v>
      </c>
      <c r="M115" s="3068">
        <f>SUM('Произв. прогр. Стоки'!M192)</f>
        <v>1.0596506178099703</v>
      </c>
      <c r="N115" s="3097">
        <f>SUM('Произв. прогр. Стоки'!N192)</f>
        <v>1.0596506178099703</v>
      </c>
      <c r="O115" s="3097">
        <f>SUM('Произв. прогр. Стоки'!O192)</f>
        <v>1.0596506178099703</v>
      </c>
      <c r="P115" s="3097">
        <f>SUM('Произв. прогр. Стоки'!P192)</f>
        <v>1.0596506178099703</v>
      </c>
      <c r="Q115" s="3068">
        <f>SUM('Произв. прогр. Стоки'!Q192)</f>
        <v>1.0596506178099703</v>
      </c>
      <c r="R115" s="3068">
        <f>SUM('Произв. прогр. Стоки'!R192)</f>
        <v>1.0596506178099703</v>
      </c>
      <c r="S115" s="3097">
        <f>SUM('Произв. прогр. Стоки'!S192)</f>
        <v>1.0596506178099703</v>
      </c>
      <c r="T115" s="3097">
        <f>SUM('Произв. прогр. Стоки'!T192)</f>
        <v>1.0596506178099703</v>
      </c>
      <c r="U115" s="3097">
        <f>SUM('Произв. прогр. Стоки'!U192)</f>
        <v>1.0596506178099703</v>
      </c>
      <c r="V115" s="3068">
        <f>SUM('Произв. прогр. Стоки'!V192)</f>
        <v>1.0596506178099703</v>
      </c>
      <c r="W115" s="3089">
        <f t="shared" ref="W115" si="119">SUM(W114/W113)</f>
        <v>1.0596506178099703</v>
      </c>
    </row>
    <row r="116" spans="1:23" ht="18.75" customHeight="1">
      <c r="A116" s="3095" t="s">
        <v>1741</v>
      </c>
      <c r="B116" s="3060">
        <f>SUM('Произв. прогр. Стоки'!B193)</f>
        <v>14767.825340846885</v>
      </c>
      <c r="C116" s="3060">
        <f>SUM('Произв. прогр. Стоки'!C193)</f>
        <v>14767.825340846885</v>
      </c>
      <c r="D116" s="3060">
        <f>SUM('Произв. прогр. Стоки'!D193)</f>
        <v>0</v>
      </c>
      <c r="E116" s="3073">
        <f>SUM('Произв. прогр. Стоки'!E193)</f>
        <v>1262.6490666424088</v>
      </c>
      <c r="F116" s="3073">
        <f>SUM('Произв. прогр. Стоки'!F193)</f>
        <v>1255.2651539719852</v>
      </c>
      <c r="G116" s="3073">
        <f>SUM('Произв. прогр. Стоки'!G193)</f>
        <v>1255.2651539719852</v>
      </c>
      <c r="H116" s="3060">
        <f>SUM('Произв. прогр. Стоки'!H193)</f>
        <v>3773.1793745863797</v>
      </c>
      <c r="I116" s="3073">
        <f>SUM('Произв. прогр. Стоки'!I193)</f>
        <v>1247.8812413015617</v>
      </c>
      <c r="J116" s="3073">
        <f>SUM('Произв. прогр. Стоки'!J193)</f>
        <v>1181.4260272677509</v>
      </c>
      <c r="K116" s="3073">
        <f>SUM('Произв. прогр. Стоки'!K193)</f>
        <v>1181.4260272677509</v>
      </c>
      <c r="L116" s="3060">
        <f>SUM('Произв. прогр. Стоки'!L193)</f>
        <v>3610.7332958370635</v>
      </c>
      <c r="M116" s="3060">
        <f>SUM('Произв. прогр. Стоки'!M193)</f>
        <v>7383.9126704234432</v>
      </c>
      <c r="N116" s="3073">
        <f>SUM('Произв. прогр. Стоки'!N193)</f>
        <v>1181.4260272677509</v>
      </c>
      <c r="O116" s="3073">
        <f>SUM('Произв. прогр. Стоки'!O193)</f>
        <v>1181.4260272677509</v>
      </c>
      <c r="P116" s="3073">
        <f>SUM('Произв. прогр. Стоки'!P193)</f>
        <v>1247.8812413015617</v>
      </c>
      <c r="Q116" s="3060">
        <f>SUM('Произв. прогр. Стоки'!Q193)</f>
        <v>3610.7332958370635</v>
      </c>
      <c r="R116" s="3060">
        <f>SUM('Произв. прогр. Стоки'!R193)</f>
        <v>10994.645966260507</v>
      </c>
      <c r="S116" s="3073">
        <f>SUM('Произв. прогр. Стоки'!S193)</f>
        <v>1255.2651539719852</v>
      </c>
      <c r="T116" s="3073">
        <f>SUM('Произв. прогр. Стоки'!T193)</f>
        <v>1255.2651539719852</v>
      </c>
      <c r="U116" s="3073">
        <f>SUM('Произв. прогр. Стоки'!U193)</f>
        <v>1262.6490666424088</v>
      </c>
      <c r="V116" s="3060">
        <f>SUM('Произв. прогр. Стоки'!V193)</f>
        <v>3773.1793745863793</v>
      </c>
      <c r="W116" s="3085">
        <f t="shared" ref="W116:W118" si="120">SUM(E116+F116+G116+I116+J116+K116+N116+O116+P116+S116+T116+U116)</f>
        <v>14767.825340846886</v>
      </c>
    </row>
    <row r="117" spans="1:23" ht="18.75" customHeight="1">
      <c r="A117" s="3059" t="s">
        <v>390</v>
      </c>
      <c r="B117" s="3063">
        <f>SUM('Произв. прогр. Стоки'!B194)</f>
        <v>3608.7303437748519</v>
      </c>
      <c r="C117" s="3063">
        <f>SUM('Произв. прогр. Стоки'!C194)</f>
        <v>3608.7303437748519</v>
      </c>
      <c r="D117" s="3063">
        <f>SUM('Произв. прогр. Стоки'!D194)</f>
        <v>0</v>
      </c>
      <c r="E117" s="3092">
        <f>SUM('Произв. прогр. Стоки'!E194)</f>
        <v>308.54644439274989</v>
      </c>
      <c r="F117" s="3092">
        <f>SUM('Произв. прогр. Стоки'!F194)</f>
        <v>306.74207922086242</v>
      </c>
      <c r="G117" s="3092">
        <f>SUM('Произв. прогр. Стоки'!G194)</f>
        <v>306.74207922086242</v>
      </c>
      <c r="H117" s="3063">
        <f>SUM('Произв. прогр. Стоки'!H194)</f>
        <v>922.03060283447485</v>
      </c>
      <c r="I117" s="3092">
        <f>SUM('Произв. прогр. Стоки'!I194)</f>
        <v>304.93771404897495</v>
      </c>
      <c r="J117" s="3092">
        <f>SUM('Произв. прогр. Стоки'!J194)</f>
        <v>288.69842750198819</v>
      </c>
      <c r="K117" s="3092">
        <f>SUM('Произв. прогр. Стоки'!K194)</f>
        <v>288.69842750198819</v>
      </c>
      <c r="L117" s="3063">
        <f>SUM('Произв. прогр. Стоки'!L194)</f>
        <v>882.33456905295134</v>
      </c>
      <c r="M117" s="3063">
        <f>SUM('Произв. прогр. Стоки'!M194)</f>
        <v>1804.3651718874262</v>
      </c>
      <c r="N117" s="3092">
        <f>SUM('Произв. прогр. Стоки'!N194)</f>
        <v>288.69842750198819</v>
      </c>
      <c r="O117" s="3092">
        <f>SUM('Произв. прогр. Стоки'!O194)</f>
        <v>288.69842750198819</v>
      </c>
      <c r="P117" s="3092">
        <f>SUM('Произв. прогр. Стоки'!P194)</f>
        <v>304.93771404897495</v>
      </c>
      <c r="Q117" s="3063">
        <f>SUM('Произв. прогр. Стоки'!Q194)</f>
        <v>882.33456905295134</v>
      </c>
      <c r="R117" s="3063">
        <f>SUM('Произв. прогр. Стоки'!R194)</f>
        <v>2686.6997409403775</v>
      </c>
      <c r="S117" s="3092">
        <f>SUM('Произв. прогр. Стоки'!S194)</f>
        <v>306.74207922086242</v>
      </c>
      <c r="T117" s="3092">
        <f>SUM('Произв. прогр. Стоки'!T194)</f>
        <v>306.74207922086242</v>
      </c>
      <c r="U117" s="3092">
        <f>SUM('Произв. прогр. Стоки'!U194)</f>
        <v>308.54644439274989</v>
      </c>
      <c r="V117" s="3063">
        <f>SUM('Произв. прогр. Стоки'!V194)</f>
        <v>922.03060283447473</v>
      </c>
      <c r="W117" s="3087">
        <f t="shared" si="120"/>
        <v>3608.7303437748519</v>
      </c>
    </row>
    <row r="118" spans="1:23" ht="18.75" customHeight="1">
      <c r="A118" s="3059" t="s">
        <v>1734</v>
      </c>
      <c r="B118" s="3063">
        <f>SUM('Произв. прогр. Стоки'!B195)</f>
        <v>11159.094997072032</v>
      </c>
      <c r="C118" s="3063">
        <f>SUM('Произв. прогр. Стоки'!C195)</f>
        <v>11159.094997072032</v>
      </c>
      <c r="D118" s="3063">
        <f>SUM('Произв. прогр. Стоки'!D195)</f>
        <v>0</v>
      </c>
      <c r="E118" s="3092">
        <f>SUM('Произв. прогр. Стоки'!E195)</f>
        <v>954.10262224965891</v>
      </c>
      <c r="F118" s="3092">
        <f>SUM('Произв. прогр. Стоки'!F195)</f>
        <v>948.52307475112275</v>
      </c>
      <c r="G118" s="3092">
        <f>SUM('Произв. прогр. Стоки'!G195)</f>
        <v>948.52307475112275</v>
      </c>
      <c r="H118" s="3063">
        <f>SUM('Произв. прогр. Стоки'!H195)</f>
        <v>2851.1487717519044</v>
      </c>
      <c r="I118" s="3092">
        <f>SUM('Произв. прогр. Стоки'!I195)</f>
        <v>942.94352725258659</v>
      </c>
      <c r="J118" s="3092">
        <f>SUM('Произв. прогр. Стоки'!J195)</f>
        <v>892.72759976576265</v>
      </c>
      <c r="K118" s="3092">
        <f>SUM('Произв. прогр. Стоки'!K195)</f>
        <v>892.72759976576265</v>
      </c>
      <c r="L118" s="3063">
        <f>SUM('Произв. прогр. Стоки'!L195)</f>
        <v>2728.3987267841117</v>
      </c>
      <c r="M118" s="3063">
        <f>SUM('Произв. прогр. Стоки'!M195)</f>
        <v>5579.5474985360161</v>
      </c>
      <c r="N118" s="3092">
        <f>SUM('Произв. прогр. Стоки'!N195)</f>
        <v>892.72759976576265</v>
      </c>
      <c r="O118" s="3092">
        <f>SUM('Произв. прогр. Стоки'!O195)</f>
        <v>892.72759976576265</v>
      </c>
      <c r="P118" s="3092">
        <f>SUM('Произв. прогр. Стоки'!P195)</f>
        <v>942.94352725258659</v>
      </c>
      <c r="Q118" s="3063">
        <f>SUM('Произв. прогр. Стоки'!Q195)</f>
        <v>2728.3987267841121</v>
      </c>
      <c r="R118" s="3063">
        <f>SUM('Произв. прогр. Стоки'!R195)</f>
        <v>8307.9462253201273</v>
      </c>
      <c r="S118" s="3092">
        <f>SUM('Произв. прогр. Стоки'!S195)</f>
        <v>948.52307475112275</v>
      </c>
      <c r="T118" s="3092">
        <f>SUM('Произв. прогр. Стоки'!T195)</f>
        <v>948.52307475112275</v>
      </c>
      <c r="U118" s="3092">
        <f>SUM('Произв. прогр. Стоки'!U195)</f>
        <v>954.10262224965891</v>
      </c>
      <c r="V118" s="3063">
        <f>SUM('Произв. прогр. Стоки'!V195)</f>
        <v>2851.1487717519044</v>
      </c>
      <c r="W118" s="3087">
        <f t="shared" si="120"/>
        <v>11159.094997072032</v>
      </c>
    </row>
    <row r="119" spans="1:23" ht="18.75" customHeight="1"/>
    <row r="120" spans="1:23" ht="18.75" customHeight="1"/>
    <row r="121" spans="1:23" ht="18.75" customHeight="1">
      <c r="A121" s="430" t="s">
        <v>1743</v>
      </c>
      <c r="B121" s="430"/>
      <c r="C121" s="430" t="s">
        <v>1744</v>
      </c>
    </row>
    <row r="122" spans="1:23" ht="18.75" customHeight="1"/>
    <row r="123" spans="1:23" ht="18.75" customHeight="1"/>
    <row r="124" spans="1:23" ht="18.75" customHeight="1"/>
    <row r="125" spans="1:23" ht="18.75" customHeight="1"/>
    <row r="126" spans="1:23" ht="18.75" customHeight="1"/>
    <row r="127" spans="1:23" ht="18.75" customHeight="1">
      <c r="A127" s="4858" t="s">
        <v>2040</v>
      </c>
      <c r="B127" s="423"/>
      <c r="C127" s="423"/>
      <c r="D127" s="423"/>
      <c r="E127" s="423"/>
      <c r="F127" s="423"/>
      <c r="G127" s="423"/>
      <c r="H127" s="423"/>
      <c r="I127" s="423"/>
    </row>
    <row r="128" spans="1:23" ht="18.75" customHeight="1"/>
    <row r="129" ht="18.75" customHeight="1"/>
    <row r="130" ht="18.75" customHeight="1"/>
    <row r="131" ht="18.75" customHeight="1"/>
    <row r="132" ht="18.75" customHeight="1"/>
    <row r="133" ht="18.75" customHeight="1"/>
    <row r="134" ht="18.75" customHeight="1"/>
    <row r="135" ht="18.75" customHeight="1"/>
    <row r="136" ht="18.75" customHeight="1"/>
    <row r="137" ht="18.75" customHeight="1"/>
    <row r="138" ht="18.75" customHeight="1"/>
    <row r="139" ht="18.75" customHeight="1"/>
    <row r="140" ht="18.75" customHeight="1"/>
    <row r="141" ht="18.75" customHeight="1"/>
    <row r="142" ht="18.75" customHeight="1"/>
    <row r="143" ht="18.75" customHeight="1"/>
    <row r="144" ht="18.75" customHeight="1"/>
    <row r="145" ht="18.75" customHeight="1"/>
    <row r="146" ht="18.75" customHeight="1"/>
    <row r="147" ht="18.75" customHeight="1"/>
    <row r="148" ht="18.75" customHeight="1"/>
    <row r="149" ht="18.75" customHeight="1"/>
    <row r="150" ht="18.75" customHeight="1"/>
    <row r="151" ht="18.75" customHeight="1"/>
    <row r="152" ht="18.75" customHeight="1"/>
    <row r="153" ht="18.75" customHeight="1"/>
    <row r="154" ht="18.75" customHeight="1"/>
    <row r="155" ht="18.75" customHeight="1"/>
    <row r="156" ht="18.75" customHeight="1"/>
    <row r="157" ht="18.75" customHeight="1"/>
    <row r="158" ht="18.75" customHeight="1"/>
    <row r="159" ht="18.75" customHeight="1"/>
    <row r="160" ht="18.75" customHeight="1"/>
    <row r="161" ht="18.75" customHeight="1"/>
    <row r="162" ht="18.75" customHeight="1"/>
    <row r="163" ht="18.75" customHeight="1"/>
    <row r="164" ht="18.75" customHeight="1"/>
    <row r="165" ht="18.75" customHeight="1"/>
    <row r="166" ht="18.75" customHeight="1"/>
    <row r="167" ht="18.75" customHeight="1"/>
    <row r="168" ht="18.75" customHeight="1"/>
    <row r="169" ht="18.75" customHeight="1"/>
    <row r="170" ht="18.75" customHeight="1"/>
    <row r="171" ht="18.75" customHeight="1"/>
    <row r="172" ht="18.75" customHeight="1"/>
    <row r="173" ht="18.75" customHeight="1"/>
    <row r="174" ht="18.75" customHeight="1"/>
    <row r="175" ht="18.75" customHeight="1"/>
    <row r="176" ht="18.75" customHeight="1"/>
    <row r="177" ht="18.75" customHeight="1"/>
    <row r="178" ht="18.75" customHeight="1"/>
    <row r="179" ht="18.75" customHeight="1"/>
    <row r="180" ht="18.75" customHeight="1"/>
    <row r="181" ht="18.75" customHeight="1"/>
    <row r="182" ht="18.75" customHeight="1"/>
    <row r="183" ht="18.75" customHeight="1"/>
    <row r="184" ht="18.75" customHeight="1"/>
    <row r="185" ht="18.75" customHeight="1"/>
    <row r="186" ht="18.75" customHeight="1"/>
    <row r="187" ht="18.75" customHeight="1"/>
    <row r="188" ht="18.75" customHeight="1"/>
    <row r="189" ht="18.75" customHeight="1"/>
    <row r="190" ht="18.75" customHeight="1"/>
    <row r="191" ht="18.75" customHeight="1"/>
    <row r="192" ht="18.75" customHeight="1"/>
    <row r="193" ht="18.75" customHeight="1"/>
    <row r="194" ht="18.75" customHeight="1"/>
    <row r="195" ht="18.75" customHeight="1"/>
    <row r="196" ht="18.75" customHeight="1"/>
    <row r="197" ht="18.75" customHeight="1"/>
    <row r="198" ht="18.75" customHeight="1"/>
    <row r="199" ht="18.75" customHeight="1"/>
    <row r="200" ht="18.75" customHeight="1"/>
    <row r="201" ht="18.75" customHeight="1"/>
    <row r="202" ht="18.75" customHeight="1"/>
    <row r="203" ht="18.75" customHeight="1"/>
    <row r="204" ht="18.75" customHeight="1"/>
    <row r="205" ht="18.75" customHeight="1"/>
    <row r="206" ht="18.75" customHeight="1"/>
    <row r="207" ht="18.75" customHeight="1"/>
    <row r="208" ht="18.75" customHeight="1"/>
    <row r="209" ht="18.75" customHeight="1"/>
    <row r="210" ht="18.75" customHeight="1"/>
    <row r="211" ht="18.75" customHeight="1"/>
    <row r="212" ht="18.75" customHeight="1"/>
    <row r="213" ht="18.75" customHeight="1"/>
    <row r="214" ht="18.75" customHeight="1"/>
    <row r="215" ht="18.75" customHeight="1"/>
    <row r="216" ht="18.75" customHeight="1"/>
    <row r="217" ht="18.75" customHeight="1"/>
    <row r="218" ht="18.75" customHeight="1"/>
    <row r="219" ht="18.75" customHeight="1"/>
    <row r="220" ht="18.75" customHeight="1"/>
    <row r="221" ht="18.75" customHeight="1"/>
    <row r="222" ht="18.75" customHeight="1"/>
    <row r="223" ht="18.75" customHeight="1"/>
    <row r="224" ht="18.75" customHeight="1"/>
    <row r="225" ht="18.75" customHeight="1"/>
    <row r="226" ht="18.75" customHeight="1"/>
    <row r="227" ht="18.75" customHeight="1"/>
    <row r="228" ht="18.75" customHeight="1"/>
    <row r="229" ht="18.75" customHeight="1"/>
    <row r="230" ht="18.75" customHeight="1"/>
    <row r="231" ht="18.75" customHeight="1"/>
    <row r="232" ht="18.75" customHeight="1"/>
    <row r="233" ht="18.75" customHeight="1"/>
    <row r="234" ht="18.75" customHeight="1"/>
    <row r="235" ht="18.75" customHeight="1"/>
    <row r="236" ht="18.75" customHeight="1"/>
    <row r="237" ht="18.75" customHeight="1"/>
    <row r="238" ht="18.75" customHeight="1"/>
    <row r="239" ht="18.75" customHeight="1"/>
    <row r="240" ht="18.75" customHeight="1"/>
    <row r="241" ht="18.75" customHeight="1"/>
    <row r="242" ht="18.75" customHeight="1"/>
    <row r="243" ht="18.75" customHeight="1"/>
    <row r="244" ht="18.75" customHeight="1"/>
    <row r="245" ht="18.75" customHeight="1"/>
    <row r="246" ht="18.75" customHeight="1"/>
    <row r="247" ht="18.75" customHeight="1"/>
    <row r="248" ht="18.75" customHeight="1"/>
    <row r="249" ht="18.75" customHeight="1"/>
    <row r="250" ht="18.75" customHeight="1"/>
    <row r="251" ht="18.75" customHeight="1"/>
    <row r="252" ht="18.75" customHeight="1"/>
    <row r="253" ht="18.75" customHeight="1"/>
    <row r="254" ht="18.75" customHeight="1"/>
    <row r="255" ht="18.75" customHeight="1"/>
    <row r="256" ht="18.75" customHeight="1"/>
    <row r="257" ht="18.75" customHeight="1"/>
    <row r="258" ht="18.75" customHeight="1"/>
    <row r="259" ht="18.75" customHeight="1"/>
    <row r="260" ht="18.75" customHeight="1"/>
    <row r="261" ht="18.75" customHeight="1"/>
    <row r="262" ht="18.75" customHeight="1"/>
    <row r="263" ht="18.75" customHeight="1"/>
    <row r="264" ht="18.75" customHeight="1"/>
    <row r="265" ht="18.75" customHeight="1"/>
    <row r="266" ht="18.75" customHeight="1"/>
    <row r="267" ht="18.75" customHeight="1"/>
    <row r="268" ht="18.75" customHeight="1"/>
    <row r="269" ht="18.75" customHeight="1"/>
    <row r="270" ht="18.75" customHeight="1"/>
    <row r="271" ht="18.75" customHeight="1"/>
    <row r="272" ht="18.75" customHeight="1"/>
    <row r="273" ht="18.75" customHeight="1"/>
    <row r="274" ht="18.75" customHeight="1"/>
    <row r="275" ht="18.75" customHeight="1"/>
    <row r="276" ht="18.75" customHeight="1"/>
    <row r="277" ht="18.75" customHeight="1"/>
    <row r="278" ht="18.75" customHeight="1"/>
    <row r="279" ht="18.75" customHeight="1"/>
    <row r="280" ht="18.75" customHeight="1"/>
    <row r="281" ht="18.75" customHeight="1"/>
    <row r="282" ht="18.75" customHeight="1"/>
    <row r="283" ht="18.75" customHeight="1"/>
    <row r="284" ht="18.75" customHeight="1"/>
    <row r="285" ht="18.75" customHeight="1"/>
    <row r="286" ht="18.75" customHeight="1"/>
    <row r="287" ht="18.75" customHeight="1"/>
    <row r="288" ht="18.75" customHeight="1"/>
    <row r="289" ht="18.75" customHeight="1"/>
    <row r="290" ht="18.75" customHeight="1"/>
    <row r="291" ht="18.75" customHeight="1"/>
    <row r="292" ht="18.75" customHeight="1"/>
    <row r="293" ht="18.75" customHeight="1"/>
    <row r="294" ht="18.75" customHeight="1"/>
    <row r="295" ht="18.75" customHeight="1"/>
    <row r="296" ht="18.75" customHeight="1"/>
    <row r="297" ht="18.75" customHeight="1"/>
    <row r="298" ht="18.75" customHeight="1"/>
    <row r="299" ht="18.75" customHeight="1"/>
    <row r="300" ht="18.75" customHeight="1"/>
    <row r="301" ht="18.75" customHeight="1"/>
    <row r="302" ht="18.75" customHeight="1"/>
    <row r="303" ht="18.75" customHeight="1"/>
    <row r="304" ht="18.75" customHeight="1"/>
    <row r="305" ht="18.75" customHeight="1"/>
    <row r="306" ht="18.75" customHeight="1"/>
    <row r="307" ht="18.75" customHeight="1"/>
    <row r="308" ht="18.75" customHeight="1"/>
    <row r="309" ht="18.75" customHeight="1"/>
    <row r="310" ht="18.75" customHeight="1"/>
    <row r="311" ht="18.75" customHeight="1"/>
    <row r="312" ht="18.75" customHeight="1"/>
    <row r="313" ht="18.75" customHeight="1"/>
    <row r="314" ht="18.75" customHeight="1"/>
    <row r="315" ht="18.75" customHeight="1"/>
    <row r="316" ht="18.75" customHeight="1"/>
    <row r="317" ht="18.75" customHeight="1"/>
    <row r="318" ht="18.75" customHeight="1"/>
    <row r="319" ht="18.75" customHeight="1"/>
    <row r="320" ht="18.75" customHeight="1"/>
    <row r="321" ht="18.75" customHeight="1"/>
    <row r="322" ht="18.75" customHeight="1"/>
    <row r="323" ht="18.75" customHeight="1"/>
    <row r="324" ht="18.75" customHeight="1"/>
    <row r="325" ht="18.75" customHeight="1"/>
    <row r="326" ht="18.75" customHeight="1"/>
    <row r="327" ht="18.75" customHeight="1"/>
    <row r="328" ht="18.75" customHeight="1"/>
    <row r="329" ht="18.75" customHeight="1"/>
    <row r="330" ht="18.75" customHeight="1"/>
    <row r="331" ht="18.75" customHeight="1"/>
    <row r="332" ht="18.75" customHeight="1"/>
    <row r="333" ht="18.75" customHeight="1"/>
    <row r="334" ht="18.75" customHeight="1"/>
    <row r="335" ht="18.75" customHeight="1"/>
    <row r="336" ht="18.75" customHeight="1"/>
    <row r="337" ht="18.75" customHeight="1"/>
    <row r="338" ht="18.75" customHeight="1"/>
    <row r="339" ht="18.75" customHeight="1"/>
    <row r="340" ht="18.75" customHeight="1"/>
    <row r="341" ht="18.75" customHeight="1"/>
    <row r="342" ht="18.75" customHeight="1"/>
    <row r="343" ht="18.75" customHeight="1"/>
    <row r="344" ht="18.75" customHeight="1"/>
    <row r="345" ht="18.75" customHeight="1"/>
    <row r="346" ht="18.75" customHeight="1"/>
    <row r="347" ht="18.75" customHeight="1"/>
    <row r="348" ht="18.75" customHeight="1"/>
    <row r="349" ht="18.75" customHeight="1"/>
    <row r="350" ht="18.75" customHeight="1"/>
    <row r="351" ht="18.75" customHeight="1"/>
    <row r="352" ht="18.75" customHeight="1"/>
    <row r="353" ht="18.75" customHeight="1"/>
    <row r="354" ht="18.75" customHeight="1"/>
    <row r="355" ht="18.75" customHeight="1"/>
    <row r="356" ht="18.75" customHeight="1"/>
    <row r="357" ht="18.75" customHeight="1"/>
    <row r="358" ht="18.75" customHeight="1"/>
    <row r="359" ht="18.75" customHeight="1"/>
    <row r="360" ht="18.75" customHeight="1"/>
    <row r="361" ht="18.75" customHeight="1"/>
    <row r="362" ht="18.75" customHeight="1"/>
    <row r="363" ht="18.75" customHeight="1"/>
    <row r="364" ht="18.75" customHeight="1"/>
    <row r="365" ht="18.75" customHeight="1"/>
    <row r="366" ht="18.75" customHeight="1"/>
    <row r="367" ht="18.75" customHeight="1"/>
    <row r="368" ht="18.75" customHeight="1"/>
    <row r="369" ht="18.75" customHeight="1"/>
    <row r="370" ht="18.75" customHeight="1"/>
    <row r="371" ht="18.75" customHeight="1"/>
    <row r="372" ht="18.75" customHeight="1"/>
    <row r="373" ht="18.75" customHeight="1"/>
    <row r="374" ht="18.75" customHeight="1"/>
    <row r="375" ht="18.75" customHeight="1"/>
    <row r="376" ht="18.75" customHeight="1"/>
    <row r="377" ht="18.75" customHeight="1"/>
    <row r="378" ht="18.75" customHeight="1"/>
    <row r="379" ht="18.75" customHeight="1"/>
    <row r="380" ht="18.75" customHeight="1"/>
    <row r="381" ht="18.75" customHeight="1"/>
    <row r="382" ht="18.75" customHeight="1"/>
    <row r="383" ht="18.75" customHeight="1"/>
    <row r="384" ht="18.75" customHeight="1"/>
    <row r="385" ht="18.75" customHeight="1"/>
    <row r="386" ht="18.75" customHeight="1"/>
    <row r="387" ht="18.75" customHeight="1"/>
    <row r="388" ht="18.75" customHeight="1"/>
    <row r="389" ht="18.75" customHeight="1"/>
    <row r="390" ht="18.75" customHeight="1"/>
    <row r="391" ht="18.75" customHeight="1"/>
    <row r="392" ht="18.75" customHeight="1"/>
    <row r="393" ht="18.75" customHeight="1"/>
    <row r="394" ht="18.75" customHeight="1"/>
    <row r="395" ht="18.75" customHeight="1"/>
    <row r="396" ht="18.75" customHeight="1"/>
    <row r="397" ht="18.75" customHeight="1"/>
    <row r="398" ht="18.75" customHeight="1"/>
    <row r="399" ht="18.75" customHeight="1"/>
    <row r="400" ht="18.75" customHeight="1"/>
    <row r="401" ht="18.75" customHeight="1"/>
    <row r="402" ht="18.75" customHeight="1"/>
    <row r="403" ht="18.75" customHeight="1"/>
    <row r="404" ht="18.75" customHeight="1"/>
    <row r="405" ht="18.75" customHeight="1"/>
    <row r="406" ht="18.75" customHeight="1"/>
    <row r="407" ht="18.75" customHeight="1"/>
    <row r="408" ht="18.75" customHeight="1"/>
    <row r="409" ht="18.75" customHeight="1"/>
    <row r="410" ht="18.75" customHeight="1"/>
    <row r="411" ht="18.75" customHeight="1"/>
    <row r="412" ht="18.75" customHeight="1"/>
    <row r="413" ht="18.75" customHeight="1"/>
    <row r="414" ht="18.75" customHeight="1"/>
    <row r="415" ht="18.75" customHeight="1"/>
    <row r="416" ht="18.75" customHeight="1"/>
    <row r="417" ht="18.75" customHeight="1"/>
    <row r="418" ht="18.75" customHeight="1"/>
    <row r="419" ht="18.75" customHeight="1"/>
    <row r="420" ht="18.75" customHeight="1"/>
    <row r="421" ht="18.75" customHeight="1"/>
    <row r="422" ht="18.75" customHeight="1"/>
    <row r="423" ht="18.75" customHeight="1"/>
    <row r="424" ht="18.75" customHeight="1"/>
    <row r="425" ht="18.75" customHeight="1"/>
    <row r="426" ht="18.75" customHeight="1"/>
    <row r="427" ht="18.75" customHeight="1"/>
    <row r="428" ht="18.75" customHeight="1"/>
    <row r="429" ht="18.75" customHeight="1"/>
    <row r="430" ht="18.75" customHeight="1"/>
    <row r="431" ht="18.75" customHeight="1"/>
    <row r="432" ht="18.75" customHeight="1"/>
    <row r="433" ht="18.75" customHeight="1"/>
    <row r="434" ht="18.75" customHeight="1"/>
    <row r="435" ht="18.75" customHeight="1"/>
    <row r="436" ht="18.75" customHeight="1"/>
    <row r="437" ht="18.75" customHeight="1"/>
    <row r="438" ht="18.75" customHeight="1"/>
    <row r="439" ht="18.75" customHeight="1"/>
    <row r="440" ht="18.75" customHeight="1"/>
    <row r="441" ht="18.75" customHeight="1"/>
    <row r="442" ht="18.75" customHeight="1"/>
    <row r="443" ht="18.75" customHeight="1"/>
    <row r="444" ht="18.75" customHeight="1"/>
    <row r="445" ht="18.75" customHeight="1"/>
    <row r="446" ht="18.75" customHeight="1"/>
    <row r="447" ht="18.75" customHeight="1"/>
    <row r="448" ht="18.75" customHeight="1"/>
    <row r="449" ht="18.75" customHeight="1"/>
    <row r="450" ht="18.75" customHeight="1"/>
    <row r="451" ht="18.75" customHeight="1"/>
    <row r="452" ht="18.75" customHeight="1"/>
    <row r="453" ht="18.75" customHeight="1"/>
    <row r="454" ht="18.75" customHeight="1"/>
    <row r="455" ht="18.75" customHeight="1"/>
    <row r="456" ht="18.75" customHeight="1"/>
    <row r="457" ht="18.75" customHeight="1"/>
    <row r="458" ht="18.75" customHeight="1"/>
    <row r="459" ht="18.75" customHeight="1"/>
    <row r="460" ht="18.75" customHeight="1"/>
    <row r="461" ht="18.75" customHeight="1"/>
    <row r="462" ht="18.75" customHeight="1"/>
    <row r="463" ht="18.75" customHeight="1"/>
    <row r="464" ht="18.75" customHeight="1"/>
    <row r="465" ht="18.75" customHeight="1"/>
    <row r="466" ht="18.75" customHeight="1"/>
    <row r="467" ht="18.75" customHeight="1"/>
    <row r="468" ht="18.75" customHeight="1"/>
    <row r="469" ht="18.75" customHeight="1"/>
    <row r="470" ht="18.75" customHeight="1"/>
    <row r="471" ht="18.75" customHeight="1"/>
    <row r="472" ht="18.75" customHeight="1"/>
    <row r="473" ht="18.75" customHeight="1"/>
    <row r="474" ht="18.75" customHeight="1"/>
    <row r="475" ht="18.75" customHeight="1"/>
    <row r="476" ht="18.75" customHeight="1"/>
    <row r="477" ht="18.75" customHeight="1"/>
    <row r="478" ht="18.75" customHeight="1"/>
    <row r="479" ht="18.75" customHeight="1"/>
    <row r="480" ht="18.75" customHeight="1"/>
    <row r="481" ht="18.75" customHeight="1"/>
    <row r="482" ht="18.75" customHeight="1"/>
    <row r="483" ht="18.75" customHeight="1"/>
    <row r="484" ht="18.75" customHeight="1"/>
    <row r="485" ht="18.75" customHeight="1"/>
    <row r="486" ht="18.75" customHeight="1"/>
    <row r="487" ht="18.75" customHeight="1"/>
    <row r="488" ht="18.75" customHeight="1"/>
    <row r="489" ht="18.75" customHeight="1"/>
    <row r="490" ht="18.75" customHeight="1"/>
    <row r="491" ht="18.75" customHeight="1"/>
    <row r="492" ht="18.75" customHeight="1"/>
    <row r="493" ht="18.75" customHeight="1"/>
    <row r="494" ht="18.75" customHeight="1"/>
    <row r="495" ht="18.75" customHeight="1"/>
    <row r="496" ht="18.75" customHeight="1"/>
    <row r="497" ht="18.75" customHeight="1"/>
    <row r="498" ht="18.75" customHeight="1"/>
    <row r="499" ht="18.75" customHeight="1"/>
    <row r="500" ht="18.75" customHeight="1"/>
    <row r="501" ht="18.75" customHeight="1"/>
    <row r="502" ht="18.75" customHeight="1"/>
    <row r="503" ht="18.75" customHeight="1"/>
    <row r="504" ht="18.75" customHeight="1"/>
    <row r="505" ht="18.75" customHeight="1"/>
    <row r="506" ht="18.75" customHeight="1"/>
    <row r="507" ht="18.75" customHeight="1"/>
    <row r="508" ht="18.75" customHeight="1"/>
    <row r="509" ht="18.75" customHeight="1"/>
    <row r="510" ht="18.75" customHeight="1"/>
    <row r="511" ht="18.75" customHeight="1"/>
    <row r="512" ht="18.75" customHeight="1"/>
    <row r="513" ht="18.75" customHeight="1"/>
    <row r="514" ht="18.75" customHeight="1"/>
    <row r="515" ht="18.75" customHeight="1"/>
    <row r="516" ht="18.75" customHeight="1"/>
    <row r="517" ht="18.75" customHeight="1"/>
    <row r="518" ht="18.75" customHeight="1"/>
    <row r="519" ht="18.75" customHeight="1"/>
    <row r="520" ht="18.75" customHeight="1"/>
    <row r="521" ht="18.75" customHeight="1"/>
    <row r="522" ht="18.75" customHeight="1"/>
    <row r="523" ht="18.75" customHeight="1"/>
  </sheetData>
  <mergeCells count="116">
    <mergeCell ref="T97:T98"/>
    <mergeCell ref="U97:U98"/>
    <mergeCell ref="V97:V98"/>
    <mergeCell ref="W97:W98"/>
    <mergeCell ref="N97:N98"/>
    <mergeCell ref="O97:O98"/>
    <mergeCell ref="P97:P98"/>
    <mergeCell ref="Q97:Q98"/>
    <mergeCell ref="R97:R98"/>
    <mergeCell ref="S97:S98"/>
    <mergeCell ref="H97:H98"/>
    <mergeCell ref="I97:I98"/>
    <mergeCell ref="J97:J98"/>
    <mergeCell ref="K97:K98"/>
    <mergeCell ref="L97:L98"/>
    <mergeCell ref="M97:M98"/>
    <mergeCell ref="V74:V75"/>
    <mergeCell ref="W74:W75"/>
    <mergeCell ref="A96:V96"/>
    <mergeCell ref="A97:A98"/>
    <mergeCell ref="B97:B98"/>
    <mergeCell ref="C97:D97"/>
    <mergeCell ref="E97:E98"/>
    <mergeCell ref="F97:F98"/>
    <mergeCell ref="G97:G98"/>
    <mergeCell ref="P74:P75"/>
    <mergeCell ref="Q74:Q75"/>
    <mergeCell ref="R74:R75"/>
    <mergeCell ref="S74:S75"/>
    <mergeCell ref="T74:T75"/>
    <mergeCell ref="U74:U75"/>
    <mergeCell ref="J74:J75"/>
    <mergeCell ref="K74:K75"/>
    <mergeCell ref="L74:L75"/>
    <mergeCell ref="M74:M75"/>
    <mergeCell ref="N74:N75"/>
    <mergeCell ref="O74:O75"/>
    <mergeCell ref="A73:V73"/>
    <mergeCell ref="A74:A75"/>
    <mergeCell ref="B74:B75"/>
    <mergeCell ref="C74:D74"/>
    <mergeCell ref="E74:E75"/>
    <mergeCell ref="F74:F75"/>
    <mergeCell ref="G74:G75"/>
    <mergeCell ref="H74:H75"/>
    <mergeCell ref="I74:I75"/>
    <mergeCell ref="R32:R33"/>
    <mergeCell ref="S32:S33"/>
    <mergeCell ref="T32:T33"/>
    <mergeCell ref="U32:U33"/>
    <mergeCell ref="V32:V33"/>
    <mergeCell ref="W32:W33"/>
    <mergeCell ref="L32:L33"/>
    <mergeCell ref="M32:M33"/>
    <mergeCell ref="N32:N33"/>
    <mergeCell ref="O32:O33"/>
    <mergeCell ref="P32:P33"/>
    <mergeCell ref="Q32:Q33"/>
    <mergeCell ref="A31:V31"/>
    <mergeCell ref="A32:A33"/>
    <mergeCell ref="B32:B33"/>
    <mergeCell ref="C32:D32"/>
    <mergeCell ref="E32:E33"/>
    <mergeCell ref="N18:N19"/>
    <mergeCell ref="O18:O19"/>
    <mergeCell ref="P18:P19"/>
    <mergeCell ref="Q18:Q19"/>
    <mergeCell ref="R18:R19"/>
    <mergeCell ref="S18:S19"/>
    <mergeCell ref="H18:H19"/>
    <mergeCell ref="I18:I19"/>
    <mergeCell ref="J18:J19"/>
    <mergeCell ref="K18:K19"/>
    <mergeCell ref="L18:L19"/>
    <mergeCell ref="M18:M19"/>
    <mergeCell ref="F32:F33"/>
    <mergeCell ref="G32:G33"/>
    <mergeCell ref="H32:H33"/>
    <mergeCell ref="I32:I33"/>
    <mergeCell ref="J32:J33"/>
    <mergeCell ref="K32:K33"/>
    <mergeCell ref="T18:T19"/>
    <mergeCell ref="W10:W11"/>
    <mergeCell ref="A17:V17"/>
    <mergeCell ref="A18:A19"/>
    <mergeCell ref="B18:B19"/>
    <mergeCell ref="C18:D18"/>
    <mergeCell ref="E18:E19"/>
    <mergeCell ref="F18:F19"/>
    <mergeCell ref="G18:G19"/>
    <mergeCell ref="O10:O11"/>
    <mergeCell ref="P10:P11"/>
    <mergeCell ref="Q10:Q11"/>
    <mergeCell ref="R10:R11"/>
    <mergeCell ref="S10:S11"/>
    <mergeCell ref="T10:T11"/>
    <mergeCell ref="I10:I11"/>
    <mergeCell ref="J10:J11"/>
    <mergeCell ref="K10:K11"/>
    <mergeCell ref="L10:L11"/>
    <mergeCell ref="M10:M11"/>
    <mergeCell ref="N10:N11"/>
    <mergeCell ref="W18:W19"/>
    <mergeCell ref="U18:U19"/>
    <mergeCell ref="V18:V19"/>
    <mergeCell ref="A7:V7"/>
    <mergeCell ref="A9:V9"/>
    <mergeCell ref="A10:A11"/>
    <mergeCell ref="B10:B11"/>
    <mergeCell ref="C10:D10"/>
    <mergeCell ref="E10:E11"/>
    <mergeCell ref="F10:F11"/>
    <mergeCell ref="G10:G11"/>
    <mergeCell ref="H10:H11"/>
    <mergeCell ref="U10:U11"/>
    <mergeCell ref="V10:V11"/>
  </mergeCells>
  <printOptions horizontalCentered="1"/>
  <pageMargins left="0.35433070866141736" right="0.35433070866141736" top="0.74803149606299213" bottom="0.75196850393700787" header="0.51181102362204722" footer="0.51181102362204722"/>
  <pageSetup paperSize="9" scale="44" fitToHeight="3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1"/>
    <pageSetUpPr fitToPage="1"/>
  </sheetPr>
  <dimension ref="A1:W601"/>
  <sheetViews>
    <sheetView topLeftCell="A71" zoomScale="50" zoomScaleNormal="50" zoomScalePageLayoutView="90" workbookViewId="0">
      <selection activeCell="C138" sqref="C138"/>
    </sheetView>
  </sheetViews>
  <sheetFormatPr defaultRowHeight="12.75"/>
  <cols>
    <col min="1" max="1" width="53.42578125" customWidth="1"/>
    <col min="2" max="4" width="14.7109375" customWidth="1"/>
    <col min="5" max="7" width="12.7109375" customWidth="1"/>
    <col min="8" max="8" width="13.7109375" customWidth="1"/>
    <col min="9" max="11" width="12.7109375" customWidth="1"/>
    <col min="12" max="13" width="13.7109375" customWidth="1"/>
    <col min="14" max="16" width="12.7109375" customWidth="1"/>
    <col min="17" max="18" width="13.7109375" customWidth="1"/>
    <col min="19" max="21" width="12.7109375" customWidth="1"/>
    <col min="22" max="22" width="13.7109375" customWidth="1"/>
    <col min="23" max="23" width="13.28515625" customWidth="1"/>
  </cols>
  <sheetData>
    <row r="1" spans="1:23" ht="23.25">
      <c r="R1" s="3051" t="s">
        <v>1705</v>
      </c>
      <c r="S1" s="3051"/>
    </row>
    <row r="2" spans="1:23" ht="23.25">
      <c r="R2" s="3051" t="s">
        <v>1759</v>
      </c>
      <c r="S2" s="3051"/>
    </row>
    <row r="3" spans="1:23" ht="31.5" customHeight="1">
      <c r="R3" s="3051" t="s">
        <v>1760</v>
      </c>
      <c r="S3" s="3051"/>
    </row>
    <row r="4" spans="1:23" ht="29.25" customHeight="1">
      <c r="R4" s="3051" t="s">
        <v>1761</v>
      </c>
      <c r="S4" s="3051"/>
    </row>
    <row r="5" spans="1:23" ht="23.25">
      <c r="R5" s="3051"/>
      <c r="S5" s="3051"/>
    </row>
    <row r="7" spans="1:23" ht="23.25">
      <c r="A7" s="4977" t="s">
        <v>1962</v>
      </c>
      <c r="B7" s="4977"/>
      <c r="C7" s="4977"/>
      <c r="D7" s="4977"/>
      <c r="E7" s="4978"/>
      <c r="F7" s="4978"/>
      <c r="G7" s="4978"/>
      <c r="H7" s="4978"/>
      <c r="I7" s="4978"/>
      <c r="J7" s="4978"/>
      <c r="K7" s="4978"/>
      <c r="L7" s="4978"/>
      <c r="M7" s="4978"/>
      <c r="N7" s="4978"/>
      <c r="O7" s="4978"/>
      <c r="P7" s="4978"/>
      <c r="Q7" s="4978"/>
      <c r="R7" s="4978"/>
      <c r="S7" s="4978"/>
      <c r="T7" s="4978"/>
      <c r="U7" s="4978"/>
      <c r="V7" s="4978"/>
    </row>
    <row r="8" spans="1:23">
      <c r="A8" s="4997"/>
      <c r="B8" s="4998"/>
      <c r="C8" s="4998"/>
      <c r="D8" s="4998"/>
    </row>
    <row r="9" spans="1:23" ht="18.75" customHeight="1">
      <c r="A9" s="4979" t="s">
        <v>1749</v>
      </c>
      <c r="B9" s="4979"/>
      <c r="C9" s="4979"/>
      <c r="D9" s="4979"/>
      <c r="E9" s="4980"/>
      <c r="F9" s="4980"/>
      <c r="G9" s="4980"/>
      <c r="H9" s="4980"/>
      <c r="I9" s="4980"/>
      <c r="J9" s="4980"/>
      <c r="K9" s="4980"/>
      <c r="L9" s="4980"/>
      <c r="M9" s="4980"/>
      <c r="N9" s="4980"/>
      <c r="O9" s="4980"/>
      <c r="P9" s="4980"/>
      <c r="Q9" s="4980"/>
      <c r="R9" s="4980"/>
      <c r="S9" s="4980"/>
      <c r="T9" s="4980"/>
      <c r="U9" s="4980"/>
      <c r="V9" s="4980"/>
      <c r="W9" s="3107"/>
    </row>
    <row r="10" spans="1:23" ht="18.75" customHeight="1">
      <c r="A10" s="4981" t="s">
        <v>545</v>
      </c>
      <c r="B10" s="4982" t="s">
        <v>1960</v>
      </c>
      <c r="C10" s="4982" t="s">
        <v>1560</v>
      </c>
      <c r="D10" s="4995"/>
      <c r="E10" s="4981" t="s">
        <v>586</v>
      </c>
      <c r="F10" s="4981" t="s">
        <v>587</v>
      </c>
      <c r="G10" s="4981" t="s">
        <v>588</v>
      </c>
      <c r="H10" s="4984" t="s">
        <v>600</v>
      </c>
      <c r="I10" s="4981" t="s">
        <v>589</v>
      </c>
      <c r="J10" s="4981" t="s">
        <v>590</v>
      </c>
      <c r="K10" s="4981" t="s">
        <v>591</v>
      </c>
      <c r="L10" s="4984" t="s">
        <v>599</v>
      </c>
      <c r="M10" s="4984" t="s">
        <v>598</v>
      </c>
      <c r="N10" s="4981" t="s">
        <v>592</v>
      </c>
      <c r="O10" s="4981" t="s">
        <v>593</v>
      </c>
      <c r="P10" s="4981" t="s">
        <v>594</v>
      </c>
      <c r="Q10" s="4984" t="s">
        <v>225</v>
      </c>
      <c r="R10" s="4984" t="s">
        <v>229</v>
      </c>
      <c r="S10" s="4981" t="s">
        <v>595</v>
      </c>
      <c r="T10" s="4981" t="s">
        <v>596</v>
      </c>
      <c r="U10" s="4981" t="s">
        <v>597</v>
      </c>
      <c r="V10" s="4984" t="s">
        <v>135</v>
      </c>
      <c r="W10" s="4985" t="s">
        <v>601</v>
      </c>
    </row>
    <row r="11" spans="1:23" ht="39.75" customHeight="1">
      <c r="A11" s="4981"/>
      <c r="B11" s="4982"/>
      <c r="C11" s="3163" t="s">
        <v>351</v>
      </c>
      <c r="D11" s="3163" t="s">
        <v>1750</v>
      </c>
      <c r="E11" s="4981"/>
      <c r="F11" s="4981"/>
      <c r="G11" s="4981"/>
      <c r="H11" s="4984"/>
      <c r="I11" s="4981"/>
      <c r="J11" s="4981"/>
      <c r="K11" s="4981"/>
      <c r="L11" s="4984"/>
      <c r="M11" s="4984"/>
      <c r="N11" s="4981"/>
      <c r="O11" s="4981"/>
      <c r="P11" s="4981"/>
      <c r="Q11" s="4984"/>
      <c r="R11" s="4984"/>
      <c r="S11" s="4981"/>
      <c r="T11" s="4981"/>
      <c r="U11" s="4981"/>
      <c r="V11" s="4984"/>
      <c r="W11" s="4985"/>
    </row>
    <row r="12" spans="1:23" ht="19.5" customHeight="1">
      <c r="A12" s="3084" t="s">
        <v>1751</v>
      </c>
      <c r="B12" s="3258">
        <f>SUM(C12:D12)</f>
        <v>4080.0924999999993</v>
      </c>
      <c r="C12" s="3258">
        <f>SUM(M12+Q12+V12)</f>
        <v>4061.1624999999995</v>
      </c>
      <c r="D12" s="4613">
        <f>SUM(D13)</f>
        <v>18.93</v>
      </c>
      <c r="E12" s="4614">
        <f>SUM(E13*1.25)</f>
        <v>347.17812500000002</v>
      </c>
      <c r="F12" s="4614">
        <f>SUM(F13*1.25)</f>
        <v>345.15937500000001</v>
      </c>
      <c r="G12" s="4614">
        <f>SUM(G13*1.25)</f>
        <v>345.15937500000001</v>
      </c>
      <c r="H12" s="4615">
        <f t="shared" ref="H12" si="0">SUM(H13*1.25)</f>
        <v>1037.4968749999998</v>
      </c>
      <c r="I12" s="4614">
        <f>SUM(I13*1.25)</f>
        <v>343.14062499999989</v>
      </c>
      <c r="J12" s="4614">
        <f>SUM(J13*1.25)</f>
        <v>324.97187499999995</v>
      </c>
      <c r="K12" s="4614">
        <f>SUM(K13*1.25)</f>
        <v>324.97187499999995</v>
      </c>
      <c r="L12" s="4615">
        <f t="shared" ref="L12:V12" si="1">SUM(L13*1.25)</f>
        <v>993.0843749999998</v>
      </c>
      <c r="M12" s="4615">
        <f t="shared" si="1"/>
        <v>2030.5812499999997</v>
      </c>
      <c r="N12" s="4614">
        <f>SUM(N13*1.25)</f>
        <v>324.97187499999995</v>
      </c>
      <c r="O12" s="4614">
        <f>SUM(O13*1.25)</f>
        <v>324.97187499999995</v>
      </c>
      <c r="P12" s="4614">
        <f>SUM(P13*1.25)</f>
        <v>343.14062499999989</v>
      </c>
      <c r="Q12" s="4615">
        <f t="shared" si="1"/>
        <v>993.0843749999998</v>
      </c>
      <c r="R12" s="4615">
        <f t="shared" si="1"/>
        <v>3023.6656249999992</v>
      </c>
      <c r="S12" s="4614">
        <f>SUM(S13*1.25)</f>
        <v>345.15937500000001</v>
      </c>
      <c r="T12" s="4614">
        <f>SUM(T13*1.25)</f>
        <v>345.15937500000001</v>
      </c>
      <c r="U12" s="4614">
        <f>SUM(U13*1.25)</f>
        <v>347.17812500000002</v>
      </c>
      <c r="V12" s="4615">
        <f t="shared" si="1"/>
        <v>1037.4968749999998</v>
      </c>
      <c r="W12" s="3110">
        <f>SUM(E12+F12+G12+I12+J12+K12+N12+O12+P12+S12+T12+U12)</f>
        <v>4061.1624999999999</v>
      </c>
    </row>
    <row r="13" spans="1:23" ht="18.75" customHeight="1">
      <c r="A13" s="3058" t="s">
        <v>1752</v>
      </c>
      <c r="B13" s="4616">
        <f>SUM(C13:D13)</f>
        <v>3248.93</v>
      </c>
      <c r="C13" s="4616">
        <f>SUM(C14:C16)</f>
        <v>3230</v>
      </c>
      <c r="D13" s="4616">
        <f>SUM(D14:D16)</f>
        <v>18.93</v>
      </c>
      <c r="E13" s="3077">
        <f>SUM(E14:E16)</f>
        <v>277.74250000000001</v>
      </c>
      <c r="F13" s="3077">
        <f>SUM(F14:F16)</f>
        <v>276.1275</v>
      </c>
      <c r="G13" s="3077">
        <f>SUM(G14:G16)</f>
        <v>276.1275</v>
      </c>
      <c r="H13" s="3070">
        <f t="shared" ref="H13:H16" si="2">SUM(E13+F13+G13)</f>
        <v>829.99749999999995</v>
      </c>
      <c r="I13" s="3077">
        <f>SUM(I14:I16)</f>
        <v>274.51249999999993</v>
      </c>
      <c r="J13" s="3077">
        <f>SUM(J14:J16)</f>
        <v>259.97749999999996</v>
      </c>
      <c r="K13" s="3077">
        <f>SUM(K14:K16)</f>
        <v>259.97749999999996</v>
      </c>
      <c r="L13" s="3070">
        <f t="shared" ref="L13:L16" si="3">SUM(I13+J13+K13)</f>
        <v>794.46749999999986</v>
      </c>
      <c r="M13" s="3070">
        <f t="shared" ref="M13:M16" si="4">SUM(H13+L13)</f>
        <v>1624.4649999999997</v>
      </c>
      <c r="N13" s="3077">
        <f>SUM(N14:N16)</f>
        <v>259.97749999999996</v>
      </c>
      <c r="O13" s="3077">
        <f>SUM(O14:O16)</f>
        <v>259.97749999999996</v>
      </c>
      <c r="P13" s="3077">
        <f>SUM(P14:P16)</f>
        <v>274.51249999999993</v>
      </c>
      <c r="Q13" s="3070">
        <f t="shared" ref="Q13:Q16" si="5">SUM(N13+O13+P13)</f>
        <v>794.46749999999986</v>
      </c>
      <c r="R13" s="3070">
        <f t="shared" ref="R13:R16" si="6">SUM(M13+Q13)</f>
        <v>2418.9324999999994</v>
      </c>
      <c r="S13" s="3077">
        <f>SUM(S14:S16)</f>
        <v>276.1275</v>
      </c>
      <c r="T13" s="3077">
        <f>SUM(T14:T16)</f>
        <v>276.1275</v>
      </c>
      <c r="U13" s="3077">
        <f>SUM(U14:U16)</f>
        <v>277.74250000000001</v>
      </c>
      <c r="V13" s="3070">
        <f t="shared" ref="V13:V16" si="7">SUM(S13+T13+U13)</f>
        <v>829.99749999999995</v>
      </c>
      <c r="W13" s="3110">
        <f>SUM(E13+F13+G13+I13+J13+K13+N13+O13+P13+S13+T13+U13)</f>
        <v>3248.9299999999994</v>
      </c>
    </row>
    <row r="14" spans="1:23" ht="18.75" customHeight="1">
      <c r="A14" s="3062" t="s">
        <v>264</v>
      </c>
      <c r="B14" s="4617">
        <f>SUM(C14:D14)</f>
        <v>2280</v>
      </c>
      <c r="C14" s="4617">
        <f>SUM(объемы!AJ59)</f>
        <v>2280</v>
      </c>
      <c r="D14" s="4617">
        <v>0</v>
      </c>
      <c r="E14" s="4618">
        <f>SUM(B14*8.55%)</f>
        <v>194.94000000000003</v>
      </c>
      <c r="F14" s="4618">
        <f>SUM(B14*8.5%)</f>
        <v>193.8</v>
      </c>
      <c r="G14" s="4618">
        <f>SUM(B14*8.5%)</f>
        <v>193.8</v>
      </c>
      <c r="H14" s="3072">
        <f t="shared" si="2"/>
        <v>582.54</v>
      </c>
      <c r="I14" s="4618">
        <f>SUM(B14*8.45%)</f>
        <v>192.65999999999997</v>
      </c>
      <c r="J14" s="4618">
        <f>SUM(B14*8%)</f>
        <v>182.4</v>
      </c>
      <c r="K14" s="4618">
        <f>SUM(B14*8%)</f>
        <v>182.4</v>
      </c>
      <c r="L14" s="3072">
        <f t="shared" si="3"/>
        <v>557.45999999999992</v>
      </c>
      <c r="M14" s="3072">
        <f t="shared" si="4"/>
        <v>1140</v>
      </c>
      <c r="N14" s="4618">
        <f>SUM(B14*8%)</f>
        <v>182.4</v>
      </c>
      <c r="O14" s="4618">
        <f>SUM(B14*8%)</f>
        <v>182.4</v>
      </c>
      <c r="P14" s="4618">
        <f>SUM(B14*8.45%)</f>
        <v>192.65999999999997</v>
      </c>
      <c r="Q14" s="3072">
        <f t="shared" si="5"/>
        <v>557.46</v>
      </c>
      <c r="R14" s="3072">
        <f t="shared" si="6"/>
        <v>1697.46</v>
      </c>
      <c r="S14" s="4618">
        <f>SUM(B14*8.5%)</f>
        <v>193.8</v>
      </c>
      <c r="T14" s="4618">
        <f>SUM(B14*8.5%)</f>
        <v>193.8</v>
      </c>
      <c r="U14" s="4618">
        <f>SUM(B14*8.55%)</f>
        <v>194.94000000000003</v>
      </c>
      <c r="V14" s="3072">
        <f t="shared" si="7"/>
        <v>582.54000000000008</v>
      </c>
      <c r="W14" s="3132">
        <f>SUM(E14+F14+G14+I14+J14+K14+N14+O14+P14+S14+T14+U14)</f>
        <v>2280</v>
      </c>
    </row>
    <row r="15" spans="1:23" ht="18.75" customHeight="1">
      <c r="A15" s="3062" t="s">
        <v>1753</v>
      </c>
      <c r="B15" s="4617">
        <f>SUM(C15:D15)</f>
        <v>18.93</v>
      </c>
      <c r="C15" s="4617">
        <v>0</v>
      </c>
      <c r="D15" s="4617">
        <f>SUM(объемы!AJ61)</f>
        <v>18.93</v>
      </c>
      <c r="E15" s="4618">
        <f>SUM(B15/12)</f>
        <v>1.5774999999999999</v>
      </c>
      <c r="F15" s="4618">
        <f>SUM(E15)</f>
        <v>1.5774999999999999</v>
      </c>
      <c r="G15" s="4618">
        <f>SUM(E15)</f>
        <v>1.5774999999999999</v>
      </c>
      <c r="H15" s="3072">
        <f t="shared" si="2"/>
        <v>4.7324999999999999</v>
      </c>
      <c r="I15" s="4618">
        <f>SUM(E15)</f>
        <v>1.5774999999999999</v>
      </c>
      <c r="J15" s="4618">
        <f>SUM(E15)</f>
        <v>1.5774999999999999</v>
      </c>
      <c r="K15" s="4618">
        <f>SUM(E15)</f>
        <v>1.5774999999999999</v>
      </c>
      <c r="L15" s="3072">
        <f t="shared" si="3"/>
        <v>4.7324999999999999</v>
      </c>
      <c r="M15" s="3072">
        <f t="shared" si="4"/>
        <v>9.4649999999999999</v>
      </c>
      <c r="N15" s="4618">
        <f>SUM(E15)</f>
        <v>1.5774999999999999</v>
      </c>
      <c r="O15" s="4618">
        <f>SUM(E15)</f>
        <v>1.5774999999999999</v>
      </c>
      <c r="P15" s="4618">
        <f>SUM(E15)</f>
        <v>1.5774999999999999</v>
      </c>
      <c r="Q15" s="3072">
        <f t="shared" si="5"/>
        <v>4.7324999999999999</v>
      </c>
      <c r="R15" s="3072">
        <f t="shared" si="6"/>
        <v>14.1975</v>
      </c>
      <c r="S15" s="4618">
        <f>SUM(E15)</f>
        <v>1.5774999999999999</v>
      </c>
      <c r="T15" s="4618">
        <f>SUM(E15)</f>
        <v>1.5774999999999999</v>
      </c>
      <c r="U15" s="4618">
        <f>SUM(E15)</f>
        <v>1.5774999999999999</v>
      </c>
      <c r="V15" s="3072">
        <f t="shared" si="7"/>
        <v>4.7324999999999999</v>
      </c>
      <c r="W15" s="3132">
        <f>SUM(E15+F15+G15+I15+J15+K15+N15+O15+P15+S15+T15+U15)</f>
        <v>18.930000000000003</v>
      </c>
    </row>
    <row r="16" spans="1:23" ht="18.75" customHeight="1">
      <c r="A16" s="3062" t="s">
        <v>1754</v>
      </c>
      <c r="B16" s="4617">
        <f>SUM(C16:D16)</f>
        <v>950</v>
      </c>
      <c r="C16" s="4617">
        <f>SUM(объемы!AJ60)</f>
        <v>950</v>
      </c>
      <c r="D16" s="4617">
        <v>0</v>
      </c>
      <c r="E16" s="4618">
        <f>SUM(B16*8.55%)</f>
        <v>81.225000000000009</v>
      </c>
      <c r="F16" s="4618">
        <f>SUM(B16*8.5%)</f>
        <v>80.75</v>
      </c>
      <c r="G16" s="4618">
        <f>SUM(B16*8.5%)</f>
        <v>80.75</v>
      </c>
      <c r="H16" s="3072">
        <f t="shared" si="2"/>
        <v>242.72500000000002</v>
      </c>
      <c r="I16" s="4618">
        <f>SUM(B16*8.45%)</f>
        <v>80.274999999999991</v>
      </c>
      <c r="J16" s="4618">
        <f>SUM(B16*8%)</f>
        <v>76</v>
      </c>
      <c r="K16" s="4618">
        <f>SUM(B16*8%)</f>
        <v>76</v>
      </c>
      <c r="L16" s="3072">
        <f t="shared" si="3"/>
        <v>232.27499999999998</v>
      </c>
      <c r="M16" s="3072">
        <f t="shared" si="4"/>
        <v>475</v>
      </c>
      <c r="N16" s="4618">
        <f>SUM(B16*8%)</f>
        <v>76</v>
      </c>
      <c r="O16" s="4618">
        <f>SUM(B16*8%)</f>
        <v>76</v>
      </c>
      <c r="P16" s="4618">
        <f>SUM(B16*8.45%)</f>
        <v>80.274999999999991</v>
      </c>
      <c r="Q16" s="3072">
        <f t="shared" si="5"/>
        <v>232.27499999999998</v>
      </c>
      <c r="R16" s="3072">
        <f t="shared" si="6"/>
        <v>707.27499999999998</v>
      </c>
      <c r="S16" s="4618">
        <f>SUM(B16*8.5%)</f>
        <v>80.75</v>
      </c>
      <c r="T16" s="4618">
        <f>SUM(B16*8.5%)</f>
        <v>80.75</v>
      </c>
      <c r="U16" s="4618">
        <f>SUM(B16*8.55%)</f>
        <v>81.225000000000009</v>
      </c>
      <c r="V16" s="3072">
        <f t="shared" si="7"/>
        <v>242.72500000000002</v>
      </c>
      <c r="W16" s="3132">
        <f>SUM(E16+F16+G16+I16+J16+K16+N16+O16+P16+S16+T16+U16)</f>
        <v>950</v>
      </c>
    </row>
    <row r="17" spans="1:23" ht="18.75" customHeight="1">
      <c r="A17" s="4986" t="s">
        <v>1712</v>
      </c>
      <c r="B17" s="4987"/>
      <c r="C17" s="4987"/>
      <c r="D17" s="4987"/>
      <c r="E17" s="4987"/>
      <c r="F17" s="4987"/>
      <c r="G17" s="4987"/>
      <c r="H17" s="4987"/>
      <c r="I17" s="4987"/>
      <c r="J17" s="4987"/>
      <c r="K17" s="4987"/>
      <c r="L17" s="4987"/>
      <c r="M17" s="4987"/>
      <c r="N17" s="4987"/>
      <c r="O17" s="4987"/>
      <c r="P17" s="4987"/>
      <c r="Q17" s="4987"/>
      <c r="R17" s="4987"/>
      <c r="S17" s="4987"/>
      <c r="T17" s="4987"/>
      <c r="U17" s="4987"/>
      <c r="V17" s="4994"/>
      <c r="W17" s="3065"/>
    </row>
    <row r="18" spans="1:23" ht="18.75" customHeight="1">
      <c r="A18" s="4989" t="s">
        <v>545</v>
      </c>
      <c r="B18" s="4982" t="s">
        <v>1960</v>
      </c>
      <c r="C18" s="4982" t="s">
        <v>575</v>
      </c>
      <c r="D18" s="4982"/>
      <c r="E18" s="4981" t="s">
        <v>586</v>
      </c>
      <c r="F18" s="4981" t="s">
        <v>587</v>
      </c>
      <c r="G18" s="4981" t="s">
        <v>588</v>
      </c>
      <c r="H18" s="4984" t="s">
        <v>600</v>
      </c>
      <c r="I18" s="4981" t="s">
        <v>589</v>
      </c>
      <c r="J18" s="4981" t="s">
        <v>590</v>
      </c>
      <c r="K18" s="4981" t="s">
        <v>591</v>
      </c>
      <c r="L18" s="4984" t="s">
        <v>599</v>
      </c>
      <c r="M18" s="4984" t="s">
        <v>598</v>
      </c>
      <c r="N18" s="4981" t="s">
        <v>592</v>
      </c>
      <c r="O18" s="4981" t="s">
        <v>593</v>
      </c>
      <c r="P18" s="4981" t="s">
        <v>594</v>
      </c>
      <c r="Q18" s="4984" t="s">
        <v>225</v>
      </c>
      <c r="R18" s="4984" t="s">
        <v>229</v>
      </c>
      <c r="S18" s="4981" t="s">
        <v>595</v>
      </c>
      <c r="T18" s="4981" t="s">
        <v>596</v>
      </c>
      <c r="U18" s="4981" t="s">
        <v>597</v>
      </c>
      <c r="V18" s="4984" t="s">
        <v>135</v>
      </c>
      <c r="W18" s="4985" t="s">
        <v>601</v>
      </c>
    </row>
    <row r="19" spans="1:23" ht="39" customHeight="1">
      <c r="A19" s="4990"/>
      <c r="B19" s="4982"/>
      <c r="C19" s="3163" t="s">
        <v>351</v>
      </c>
      <c r="D19" s="3163" t="s">
        <v>1750</v>
      </c>
      <c r="E19" s="4981"/>
      <c r="F19" s="4981"/>
      <c r="G19" s="4981"/>
      <c r="H19" s="4984"/>
      <c r="I19" s="4981"/>
      <c r="J19" s="4981"/>
      <c r="K19" s="4981"/>
      <c r="L19" s="4984"/>
      <c r="M19" s="4984"/>
      <c r="N19" s="4981"/>
      <c r="O19" s="4981"/>
      <c r="P19" s="4981"/>
      <c r="Q19" s="4984"/>
      <c r="R19" s="4984"/>
      <c r="S19" s="4981"/>
      <c r="T19" s="4981"/>
      <c r="U19" s="4981"/>
      <c r="V19" s="4984"/>
      <c r="W19" s="4985"/>
    </row>
    <row r="20" spans="1:23" ht="18.75" customHeight="1">
      <c r="A20" s="3078" t="s">
        <v>1713</v>
      </c>
      <c r="B20" s="3072">
        <f>SUM(C20:D20)</f>
        <v>55107.6</v>
      </c>
      <c r="C20" s="3072">
        <f>SUM(H20+L20+Q20+V20)</f>
        <v>55107.6</v>
      </c>
      <c r="D20" s="3156">
        <v>0</v>
      </c>
      <c r="E20" s="3074">
        <f>SUM(E14*E27)</f>
        <v>4575.2418000000007</v>
      </c>
      <c r="F20" s="3074">
        <f>SUM(F14*F27)</f>
        <v>4548.4859999999999</v>
      </c>
      <c r="G20" s="3074">
        <f>SUM(G14*G27)</f>
        <v>4548.4859999999999</v>
      </c>
      <c r="H20" s="3072">
        <f>SUM(E20:G20)</f>
        <v>13672.213800000001</v>
      </c>
      <c r="I20" s="3074">
        <f>SUM(I14*I27)</f>
        <v>4521.7301999999991</v>
      </c>
      <c r="J20" s="3074">
        <f>SUM(J14*J27)</f>
        <v>4280.9279999999999</v>
      </c>
      <c r="K20" s="3074">
        <f>SUM(K14*K27)</f>
        <v>4280.9279999999999</v>
      </c>
      <c r="L20" s="3072">
        <f>SUM(I20:K20)</f>
        <v>13083.586199999998</v>
      </c>
      <c r="M20" s="3072">
        <f>SUM(H20+L20)</f>
        <v>26755.8</v>
      </c>
      <c r="N20" s="3074">
        <f>SUM(N14*N27)</f>
        <v>4536.2880000000005</v>
      </c>
      <c r="O20" s="3074">
        <f>SUM(O14*O27)</f>
        <v>4536.2880000000005</v>
      </c>
      <c r="P20" s="3074">
        <f>SUM(P14*P27)</f>
        <v>4791.4541999999992</v>
      </c>
      <c r="Q20" s="3072">
        <f>SUM(N20:P20)</f>
        <v>13864.030200000001</v>
      </c>
      <c r="R20" s="3072">
        <f>SUM(M20+Q20)</f>
        <v>40619.830199999997</v>
      </c>
      <c r="S20" s="3074">
        <f>SUM(S14*S27)</f>
        <v>4819.8060000000005</v>
      </c>
      <c r="T20" s="3074">
        <f>SUM(T14*T27)</f>
        <v>4819.8060000000005</v>
      </c>
      <c r="U20" s="3074">
        <f>SUM(U14*U27)</f>
        <v>4848.1578000000009</v>
      </c>
      <c r="V20" s="3072">
        <f>SUM(S20:U20)</f>
        <v>14487.769800000002</v>
      </c>
      <c r="W20" s="3065">
        <f t="shared" ref="W20:W25" si="8">SUM(E20+F20+G20+I20+J20+K20+N20+O20+P20+S20+T20+U20)</f>
        <v>55107.600000000006</v>
      </c>
    </row>
    <row r="21" spans="1:23" ht="18.75" customHeight="1">
      <c r="A21" s="3078" t="s">
        <v>1714</v>
      </c>
      <c r="B21" s="3072">
        <f t="shared" ref="B21:B25" si="9">SUM(C21:D21)</f>
        <v>14767.825340846859</v>
      </c>
      <c r="C21" s="3072">
        <f t="shared" ref="C21:C23" si="10">SUM(H21+L21+Q21+V21)</f>
        <v>14767.825340846859</v>
      </c>
      <c r="D21" s="3156">
        <v>0</v>
      </c>
      <c r="E21" s="3074">
        <f>SUM(E14*E28)</f>
        <v>617.09288878549978</v>
      </c>
      <c r="F21" s="3074">
        <f>SUM(F14*F28)</f>
        <v>613.48415844172484</v>
      </c>
      <c r="G21" s="3074">
        <f>SUM(G14*G28)</f>
        <v>613.48415844172484</v>
      </c>
      <c r="H21" s="3072">
        <f>SUM(E21:G21)</f>
        <v>1844.0612056689497</v>
      </c>
      <c r="I21" s="3074">
        <f>SUM(I14*I28)</f>
        <v>609.87542809794991</v>
      </c>
      <c r="J21" s="3074">
        <f>SUM(J14*J28)</f>
        <v>577.39685500397638</v>
      </c>
      <c r="K21" s="3074">
        <f>SUM(K14*K28)</f>
        <v>577.39685500397638</v>
      </c>
      <c r="L21" s="3072">
        <f>SUM(I21:K21)</f>
        <v>1764.6691381059027</v>
      </c>
      <c r="M21" s="3072">
        <f t="shared" ref="M21:M25" si="11">SUM(H21+L21)</f>
        <v>3608.7303437748524</v>
      </c>
      <c r="N21" s="3074">
        <f>SUM(N14*N28)</f>
        <v>1785.4551995315212</v>
      </c>
      <c r="O21" s="3074">
        <f>SUM(O14*O28)</f>
        <v>1785.4551995315212</v>
      </c>
      <c r="P21" s="3074">
        <f>SUM(P14*P28)</f>
        <v>1885.8870545051691</v>
      </c>
      <c r="Q21" s="3072">
        <f>SUM(N21:P21)</f>
        <v>5456.7974535682115</v>
      </c>
      <c r="R21" s="3072">
        <f t="shared" ref="R21:R25" si="12">SUM(M21+Q21)</f>
        <v>9065.5277973430639</v>
      </c>
      <c r="S21" s="3074">
        <f>SUM(S14*S28)</f>
        <v>1897.0461495022414</v>
      </c>
      <c r="T21" s="3074">
        <f>SUM(T14*T28)</f>
        <v>1897.0461495022414</v>
      </c>
      <c r="U21" s="3074">
        <f>SUM(U14*U28)</f>
        <v>1908.2052444993135</v>
      </c>
      <c r="V21" s="3072">
        <f>SUM(S21:U21)</f>
        <v>5702.2975435037961</v>
      </c>
      <c r="W21" s="3065">
        <f t="shared" si="8"/>
        <v>14767.825340846859</v>
      </c>
    </row>
    <row r="22" spans="1:23" ht="18.75" customHeight="1">
      <c r="A22" s="3078" t="s">
        <v>1755</v>
      </c>
      <c r="B22" s="3072">
        <f t="shared" si="9"/>
        <v>269.60622607925791</v>
      </c>
      <c r="C22" s="3072">
        <v>0</v>
      </c>
      <c r="D22" s="3072">
        <f>SUM(H22+L22+Q22+V22)</f>
        <v>269.60622607925791</v>
      </c>
      <c r="E22" s="3074">
        <f>SUM(E15*E29)</f>
        <v>22.467185506604824</v>
      </c>
      <c r="F22" s="3074">
        <f t="shared" ref="F22:K23" si="13">SUM(F15*F29)</f>
        <v>22.467185506604824</v>
      </c>
      <c r="G22" s="3074">
        <f t="shared" si="13"/>
        <v>22.467185506604824</v>
      </c>
      <c r="H22" s="3072">
        <f t="shared" ref="H22:H25" si="14">SUM(E22:G22)</f>
        <v>67.401556519814477</v>
      </c>
      <c r="I22" s="3074">
        <f t="shared" si="13"/>
        <v>22.467185506604824</v>
      </c>
      <c r="J22" s="3074">
        <f t="shared" si="13"/>
        <v>22.467185506604824</v>
      </c>
      <c r="K22" s="3074">
        <f t="shared" si="13"/>
        <v>22.467185506604824</v>
      </c>
      <c r="L22" s="3072">
        <f t="shared" ref="L22:L25" si="15">SUM(I22:K22)</f>
        <v>67.401556519814477</v>
      </c>
      <c r="M22" s="3072">
        <f t="shared" si="11"/>
        <v>134.80311303962895</v>
      </c>
      <c r="N22" s="3074">
        <f t="shared" ref="N22:P23" si="16">SUM(N15*N29)</f>
        <v>22.467185506604824</v>
      </c>
      <c r="O22" s="3074">
        <f t="shared" si="16"/>
        <v>22.467185506604824</v>
      </c>
      <c r="P22" s="3074">
        <f t="shared" si="16"/>
        <v>22.467185506604824</v>
      </c>
      <c r="Q22" s="3072">
        <f t="shared" ref="Q22:Q25" si="17">SUM(N22:P22)</f>
        <v>67.401556519814477</v>
      </c>
      <c r="R22" s="3072">
        <f t="shared" si="12"/>
        <v>202.20466955944343</v>
      </c>
      <c r="S22" s="3074">
        <f t="shared" ref="S22:U23" si="18">SUM(S15*S29)</f>
        <v>22.467185506604824</v>
      </c>
      <c r="T22" s="3074">
        <f t="shared" si="18"/>
        <v>22.467185506604824</v>
      </c>
      <c r="U22" s="3074">
        <f t="shared" si="18"/>
        <v>22.467185506604824</v>
      </c>
      <c r="V22" s="3072">
        <f t="shared" ref="V22:V25" si="19">SUM(S22:U22)</f>
        <v>67.401556519814477</v>
      </c>
      <c r="W22" s="3065">
        <f t="shared" si="8"/>
        <v>269.60622607925797</v>
      </c>
    </row>
    <row r="23" spans="1:23" ht="18.75" customHeight="1">
      <c r="A23" s="3078" t="s">
        <v>1715</v>
      </c>
      <c r="B23" s="3072">
        <f t="shared" si="9"/>
        <v>29114.76055868619</v>
      </c>
      <c r="C23" s="3072">
        <f t="shared" si="10"/>
        <v>29114.76055868619</v>
      </c>
      <c r="D23" s="3156">
        <v>0</v>
      </c>
      <c r="E23" s="3074">
        <f>SUM(E16*E30)</f>
        <v>2163.4727869939584</v>
      </c>
      <c r="F23" s="3074">
        <f t="shared" si="13"/>
        <v>2150.8208993507187</v>
      </c>
      <c r="G23" s="3074">
        <f t="shared" si="13"/>
        <v>2150.8208993507187</v>
      </c>
      <c r="H23" s="3072">
        <f t="shared" si="14"/>
        <v>6465.1145856953963</v>
      </c>
      <c r="I23" s="3074">
        <f t="shared" si="13"/>
        <v>2138.1690117074791</v>
      </c>
      <c r="J23" s="3074">
        <f t="shared" si="13"/>
        <v>2024.3020229183235</v>
      </c>
      <c r="K23" s="3074">
        <f t="shared" si="13"/>
        <v>2024.3020229183235</v>
      </c>
      <c r="L23" s="3072">
        <f t="shared" si="15"/>
        <v>6186.7730575441255</v>
      </c>
      <c r="M23" s="3072">
        <f t="shared" si="11"/>
        <v>12651.887643239523</v>
      </c>
      <c r="N23" s="3074">
        <f t="shared" si="16"/>
        <v>2634.0596664714672</v>
      </c>
      <c r="O23" s="3074">
        <f t="shared" si="16"/>
        <v>2634.0596664714672</v>
      </c>
      <c r="P23" s="3074">
        <f t="shared" si="16"/>
        <v>2782.225522710487</v>
      </c>
      <c r="Q23" s="3072">
        <f t="shared" si="17"/>
        <v>8050.3448556534213</v>
      </c>
      <c r="R23" s="3072">
        <f t="shared" si="12"/>
        <v>20702.232498892943</v>
      </c>
      <c r="S23" s="3074">
        <f t="shared" si="18"/>
        <v>2798.6883956259339</v>
      </c>
      <c r="T23" s="3074">
        <f t="shared" si="18"/>
        <v>2798.6883956259339</v>
      </c>
      <c r="U23" s="3074">
        <f t="shared" si="18"/>
        <v>2815.1512685413809</v>
      </c>
      <c r="V23" s="3072">
        <f t="shared" si="19"/>
        <v>8412.5280597932488</v>
      </c>
      <c r="W23" s="3065">
        <f t="shared" si="8"/>
        <v>29114.76055868619</v>
      </c>
    </row>
    <row r="24" spans="1:23" ht="18.75" customHeight="1">
      <c r="A24" s="3080" t="s">
        <v>1718</v>
      </c>
      <c r="B24" s="3070">
        <f>SUM(B20+B21+B22+B23)</f>
        <v>99259.792125612294</v>
      </c>
      <c r="C24" s="3070">
        <f>SUM(C20+C21+C22+C23)</f>
        <v>98990.18589953304</v>
      </c>
      <c r="D24" s="3070">
        <f>SUM(D20+D21+D22+D23)</f>
        <v>269.60622607925791</v>
      </c>
      <c r="E24" s="3081">
        <f>SUM(E20+E21+E22+E23)</f>
        <v>7378.2746612860628</v>
      </c>
      <c r="F24" s="3081">
        <f t="shared" ref="F24:G24" si="20">SUM(F20+F21+F22+F23)</f>
        <v>7335.2582432990475</v>
      </c>
      <c r="G24" s="3081">
        <f t="shared" si="20"/>
        <v>7335.2582432990475</v>
      </c>
      <c r="H24" s="3070">
        <f t="shared" si="14"/>
        <v>22048.791147884156</v>
      </c>
      <c r="I24" s="3081">
        <f t="shared" ref="I24:K24" si="21">SUM(I20+I21+I22+I23)</f>
        <v>7292.2418253120322</v>
      </c>
      <c r="J24" s="3081">
        <f t="shared" si="21"/>
        <v>6905.0940634289036</v>
      </c>
      <c r="K24" s="3081">
        <f t="shared" si="21"/>
        <v>6905.0940634289036</v>
      </c>
      <c r="L24" s="3070">
        <f t="shared" si="15"/>
        <v>21102.429952169841</v>
      </c>
      <c r="M24" s="3070">
        <f t="shared" si="11"/>
        <v>43151.221100053997</v>
      </c>
      <c r="N24" s="3081">
        <f t="shared" ref="N24:P24" si="22">SUM(N20+N21+N22+N23)</f>
        <v>8978.270051509593</v>
      </c>
      <c r="O24" s="3081">
        <f t="shared" si="22"/>
        <v>8978.270051509593</v>
      </c>
      <c r="P24" s="3081">
        <f t="shared" si="22"/>
        <v>9482.0339627222602</v>
      </c>
      <c r="Q24" s="3070">
        <f t="shared" si="17"/>
        <v>27438.574065741446</v>
      </c>
      <c r="R24" s="3070">
        <f t="shared" si="12"/>
        <v>70589.79516579544</v>
      </c>
      <c r="S24" s="3081">
        <f t="shared" ref="S24:U24" si="23">SUM(S20+S21+S22+S23)</f>
        <v>9538.0077306347794</v>
      </c>
      <c r="T24" s="3081">
        <f t="shared" si="23"/>
        <v>9538.0077306347794</v>
      </c>
      <c r="U24" s="3081">
        <f t="shared" si="23"/>
        <v>9593.9814985472985</v>
      </c>
      <c r="V24" s="3070">
        <f t="shared" si="19"/>
        <v>28669.996959816857</v>
      </c>
      <c r="W24" s="3061">
        <f t="shared" si="8"/>
        <v>99259.792125612294</v>
      </c>
    </row>
    <row r="25" spans="1:23" ht="18.75" customHeight="1">
      <c r="A25" s="3079" t="s">
        <v>1719</v>
      </c>
      <c r="B25" s="3076">
        <f t="shared" si="9"/>
        <v>-3902.11</v>
      </c>
      <c r="C25" s="3076">
        <f>SUM(H25+L25+Q25+V25)</f>
        <v>-3902.11</v>
      </c>
      <c r="D25" s="3157">
        <v>0</v>
      </c>
      <c r="E25" s="3075">
        <f>SUM(E147)</f>
        <v>-325.17583333333334</v>
      </c>
      <c r="F25" s="3075">
        <f t="shared" ref="F25:K25" si="24">SUM(F147)</f>
        <v>-325.17583333333334</v>
      </c>
      <c r="G25" s="3075">
        <f t="shared" si="24"/>
        <v>-325.17583333333334</v>
      </c>
      <c r="H25" s="3076">
        <f t="shared" si="14"/>
        <v>-975.52750000000003</v>
      </c>
      <c r="I25" s="3075">
        <f t="shared" si="24"/>
        <v>-325.17583333333334</v>
      </c>
      <c r="J25" s="3075">
        <f t="shared" si="24"/>
        <v>-325.17583333333334</v>
      </c>
      <c r="K25" s="3075">
        <f t="shared" si="24"/>
        <v>-325.17583333333334</v>
      </c>
      <c r="L25" s="3076">
        <f t="shared" si="15"/>
        <v>-975.52750000000003</v>
      </c>
      <c r="M25" s="3076">
        <f t="shared" si="11"/>
        <v>-1951.0550000000001</v>
      </c>
      <c r="N25" s="3075">
        <f t="shared" ref="N25:P25" si="25">SUM(N147)</f>
        <v>-325.17583333333334</v>
      </c>
      <c r="O25" s="3075">
        <f t="shared" si="25"/>
        <v>-325.17583333333334</v>
      </c>
      <c r="P25" s="3075">
        <f t="shared" si="25"/>
        <v>-325.17583333333334</v>
      </c>
      <c r="Q25" s="3076">
        <f t="shared" si="17"/>
        <v>-975.52750000000003</v>
      </c>
      <c r="R25" s="3076">
        <f t="shared" si="12"/>
        <v>-2926.5825</v>
      </c>
      <c r="S25" s="3075">
        <f t="shared" ref="S25:U25" si="26">SUM(S147)</f>
        <v>-325.17583333333334</v>
      </c>
      <c r="T25" s="3075">
        <f t="shared" si="26"/>
        <v>-325.17583333333334</v>
      </c>
      <c r="U25" s="3075">
        <f t="shared" si="26"/>
        <v>-325.17583333333334</v>
      </c>
      <c r="V25" s="3076">
        <f t="shared" si="19"/>
        <v>-975.52750000000003</v>
      </c>
      <c r="W25" s="3065">
        <f t="shared" si="8"/>
        <v>-3902.1099999999992</v>
      </c>
    </row>
    <row r="26" spans="1:23" ht="18.75" customHeight="1">
      <c r="A26" s="3080" t="s">
        <v>1720</v>
      </c>
      <c r="B26" s="3070">
        <f>SUM(B24/B13)</f>
        <v>30.551533004900783</v>
      </c>
      <c r="C26" s="3070">
        <f>SUM(C24/C13)</f>
        <v>30.647116377564409</v>
      </c>
      <c r="D26" s="3070">
        <f>SUM(D24/D13)</f>
        <v>14.242272904345374</v>
      </c>
      <c r="E26" s="3081">
        <f>SUM(E24/E13)</f>
        <v>26.565162556274473</v>
      </c>
      <c r="F26" s="3081">
        <f t="shared" ref="F26:V26" si="27">SUM(F24/F13)</f>
        <v>26.564750860740229</v>
      </c>
      <c r="G26" s="3081">
        <f t="shared" si="27"/>
        <v>26.564750860740229</v>
      </c>
      <c r="H26" s="3070">
        <f t="shared" si="27"/>
        <v>26.564888626633401</v>
      </c>
      <c r="I26" s="3081">
        <f t="shared" si="27"/>
        <v>26.56433432106747</v>
      </c>
      <c r="J26" s="3081">
        <f t="shared" si="27"/>
        <v>26.560352582161549</v>
      </c>
      <c r="K26" s="3081">
        <f t="shared" si="27"/>
        <v>26.560352582161549</v>
      </c>
      <c r="L26" s="3070">
        <f t="shared" si="27"/>
        <v>26.561728393131052</v>
      </c>
      <c r="M26" s="3070">
        <f t="shared" si="27"/>
        <v>26.563343069905478</v>
      </c>
      <c r="N26" s="3081">
        <f t="shared" si="27"/>
        <v>34.534796478578315</v>
      </c>
      <c r="O26" s="3081">
        <f t="shared" si="27"/>
        <v>34.534796478578315</v>
      </c>
      <c r="P26" s="3081">
        <f t="shared" si="27"/>
        <v>34.541355904457035</v>
      </c>
      <c r="Q26" s="3070">
        <f t="shared" si="27"/>
        <v>34.537062958197097</v>
      </c>
      <c r="R26" s="3070">
        <f t="shared" si="27"/>
        <v>29.18220957624715</v>
      </c>
      <c r="S26" s="3081">
        <f t="shared" si="27"/>
        <v>34.542042102415657</v>
      </c>
      <c r="T26" s="3081">
        <f t="shared" si="27"/>
        <v>34.542042102415657</v>
      </c>
      <c r="U26" s="3081">
        <f t="shared" si="27"/>
        <v>34.542720320250943</v>
      </c>
      <c r="V26" s="3070">
        <f t="shared" si="27"/>
        <v>34.542269054806624</v>
      </c>
      <c r="W26" s="3082">
        <f>SUM(W24/W13)</f>
        <v>30.551533004900786</v>
      </c>
    </row>
    <row r="27" spans="1:23" ht="18.75" customHeight="1">
      <c r="A27" s="3079" t="s">
        <v>264</v>
      </c>
      <c r="B27" s="3076">
        <f>SUM(B20/B14)</f>
        <v>24.169999999999998</v>
      </c>
      <c r="C27" s="3076">
        <f>SUM(C20/C14)</f>
        <v>24.169999999999998</v>
      </c>
      <c r="D27" s="3157">
        <v>0</v>
      </c>
      <c r="E27" s="3075">
        <f>SUM('Тариф стоки 2016-2018 ПЛАН'!Q44)</f>
        <v>23.47</v>
      </c>
      <c r="F27" s="3075">
        <f>SUM(E27)</f>
        <v>23.47</v>
      </c>
      <c r="G27" s="3075">
        <f>SUM(E27)</f>
        <v>23.47</v>
      </c>
      <c r="H27" s="3076">
        <f>SUM(G27)</f>
        <v>23.47</v>
      </c>
      <c r="I27" s="3075">
        <f>SUM(E27)</f>
        <v>23.47</v>
      </c>
      <c r="J27" s="3075">
        <f>SUM(E27)</f>
        <v>23.47</v>
      </c>
      <c r="K27" s="3075">
        <f>SUM(E27)</f>
        <v>23.47</v>
      </c>
      <c r="L27" s="3076">
        <f>SUM(K27)</f>
        <v>23.47</v>
      </c>
      <c r="M27" s="3076">
        <f>SUM(L27)</f>
        <v>23.47</v>
      </c>
      <c r="N27" s="3075">
        <f>SUM('Тариф стоки 2016-2018 ПЛАН'!Q45)</f>
        <v>24.87</v>
      </c>
      <c r="O27" s="3075">
        <f>SUM(N27)</f>
        <v>24.87</v>
      </c>
      <c r="P27" s="3075">
        <f>SUM(N27)</f>
        <v>24.87</v>
      </c>
      <c r="Q27" s="3076">
        <f>SUM(P27)</f>
        <v>24.87</v>
      </c>
      <c r="R27" s="3076">
        <f>SUM(Q27)</f>
        <v>24.87</v>
      </c>
      <c r="S27" s="3075">
        <f>SUM(N27)</f>
        <v>24.87</v>
      </c>
      <c r="T27" s="3075">
        <f>SUM(S27)</f>
        <v>24.87</v>
      </c>
      <c r="U27" s="3075">
        <f>SUM(S27)</f>
        <v>24.87</v>
      </c>
      <c r="V27" s="3076">
        <f>SUM(U27)</f>
        <v>24.87</v>
      </c>
      <c r="W27" s="3083">
        <f>SUM(W20/W14)</f>
        <v>24.17</v>
      </c>
    </row>
    <row r="28" spans="1:23" ht="18.75" customHeight="1">
      <c r="A28" s="3079" t="s">
        <v>1721</v>
      </c>
      <c r="B28" s="3076">
        <f>SUM(B21/B14)</f>
        <v>6.4771163775644123</v>
      </c>
      <c r="C28" s="3076">
        <f>SUM(C21/C14)</f>
        <v>6.4771163775644123</v>
      </c>
      <c r="D28" s="3157">
        <v>0</v>
      </c>
      <c r="E28" s="3075">
        <f>SUM(E30-E27)</f>
        <v>3.1655529331358352</v>
      </c>
      <c r="F28" s="3075">
        <f t="shared" ref="F28:U28" si="28">SUM(F30-F27)</f>
        <v>3.1655529331358352</v>
      </c>
      <c r="G28" s="3075">
        <f t="shared" si="28"/>
        <v>3.1655529331358352</v>
      </c>
      <c r="H28" s="3076">
        <f t="shared" ref="H28:H30" si="29">SUM(G28)</f>
        <v>3.1655529331358352</v>
      </c>
      <c r="I28" s="3075">
        <f t="shared" si="28"/>
        <v>3.1655529331358352</v>
      </c>
      <c r="J28" s="3075">
        <f t="shared" si="28"/>
        <v>3.1655529331358352</v>
      </c>
      <c r="K28" s="3075">
        <f t="shared" si="28"/>
        <v>3.1655529331358352</v>
      </c>
      <c r="L28" s="3076">
        <f t="shared" ref="L28:M30" si="30">SUM(K28)</f>
        <v>3.1655529331358352</v>
      </c>
      <c r="M28" s="3076">
        <f t="shared" si="30"/>
        <v>3.1655529331358352</v>
      </c>
      <c r="N28" s="3075">
        <f t="shared" si="28"/>
        <v>9.7886798219929894</v>
      </c>
      <c r="O28" s="3075">
        <f t="shared" si="28"/>
        <v>9.7886798219929894</v>
      </c>
      <c r="P28" s="3075">
        <f t="shared" si="28"/>
        <v>9.7886798219929894</v>
      </c>
      <c r="Q28" s="3076">
        <f t="shared" ref="Q28:R30" si="31">SUM(P28)</f>
        <v>9.7886798219929894</v>
      </c>
      <c r="R28" s="3076">
        <f t="shared" si="31"/>
        <v>9.7886798219929894</v>
      </c>
      <c r="S28" s="3075">
        <f t="shared" si="28"/>
        <v>9.7886798219929894</v>
      </c>
      <c r="T28" s="3075">
        <f t="shared" si="28"/>
        <v>9.7886798219929894</v>
      </c>
      <c r="U28" s="3075">
        <f t="shared" si="28"/>
        <v>9.7886798219929894</v>
      </c>
      <c r="V28" s="3076">
        <f t="shared" ref="V28:V30" si="32">SUM(U28)</f>
        <v>9.7886798219929894</v>
      </c>
      <c r="W28" s="3083">
        <f>SUM(W21/W14)</f>
        <v>6.4771163775644123</v>
      </c>
    </row>
    <row r="29" spans="1:23" ht="18.75" customHeight="1">
      <c r="A29" s="3079" t="s">
        <v>1753</v>
      </c>
      <c r="B29" s="3076">
        <f>SUM(B22/B15)</f>
        <v>14.242272904345374</v>
      </c>
      <c r="C29" s="3076">
        <v>0</v>
      </c>
      <c r="D29" s="3076">
        <f>SUM(D22/D15)</f>
        <v>14.242272904345374</v>
      </c>
      <c r="E29" s="3075">
        <f>SUM('Тариф очистка 2016-2018 ПЛАН'!Q43)</f>
        <v>14.242272904345374</v>
      </c>
      <c r="F29" s="3075">
        <f>SUM(E29)</f>
        <v>14.242272904345374</v>
      </c>
      <c r="G29" s="3075">
        <f>SUM(E29)</f>
        <v>14.242272904345374</v>
      </c>
      <c r="H29" s="3076">
        <f>SUM(G29)</f>
        <v>14.242272904345374</v>
      </c>
      <c r="I29" s="3075">
        <f>SUM(E29)</f>
        <v>14.242272904345374</v>
      </c>
      <c r="J29" s="3075">
        <f>SUM(E29)</f>
        <v>14.242272904345374</v>
      </c>
      <c r="K29" s="3075">
        <f>SUM(E29)</f>
        <v>14.242272904345374</v>
      </c>
      <c r="L29" s="3076">
        <f>SUM(K29)</f>
        <v>14.242272904345374</v>
      </c>
      <c r="M29" s="3076">
        <f>SUM(L29)</f>
        <v>14.242272904345374</v>
      </c>
      <c r="N29" s="3075">
        <f>SUM('Тариф очистка 2016-2018 ПЛАН'!Q44)</f>
        <v>14.242272904345374</v>
      </c>
      <c r="O29" s="3075">
        <f>SUM(N29)</f>
        <v>14.242272904345374</v>
      </c>
      <c r="P29" s="3075">
        <f>SUM(N29)</f>
        <v>14.242272904345374</v>
      </c>
      <c r="Q29" s="3076">
        <f>SUM(P29)</f>
        <v>14.242272904345374</v>
      </c>
      <c r="R29" s="3076">
        <f>SUM(Q29)</f>
        <v>14.242272904345374</v>
      </c>
      <c r="S29" s="3075">
        <f>SUM(N29)</f>
        <v>14.242272904345374</v>
      </c>
      <c r="T29" s="3075">
        <f>SUM(S29)</f>
        <v>14.242272904345374</v>
      </c>
      <c r="U29" s="3075">
        <f>SUM(S29)</f>
        <v>14.242272904345374</v>
      </c>
      <c r="V29" s="3076">
        <f>SUM(U29)</f>
        <v>14.242272904345374</v>
      </c>
      <c r="W29" s="3083">
        <f>SUM(W22/W15)</f>
        <v>14.242272904345374</v>
      </c>
    </row>
    <row r="30" spans="1:23" ht="18.75" customHeight="1">
      <c r="A30" s="3079" t="s">
        <v>265</v>
      </c>
      <c r="B30" s="3076">
        <f>SUM(B23/B16)</f>
        <v>30.647116377564412</v>
      </c>
      <c r="C30" s="3076">
        <f>SUM(C23/C16)</f>
        <v>30.647116377564412</v>
      </c>
      <c r="D30" s="3076">
        <v>0</v>
      </c>
      <c r="E30" s="3075">
        <f>SUM('Тариф стоки 2016-2018 ПЛАН'!Q37)</f>
        <v>26.635552933135834</v>
      </c>
      <c r="F30" s="3075">
        <f>SUM(E30)</f>
        <v>26.635552933135834</v>
      </c>
      <c r="G30" s="3075">
        <f>SUM(E30)</f>
        <v>26.635552933135834</v>
      </c>
      <c r="H30" s="3076">
        <f t="shared" si="29"/>
        <v>26.635552933135834</v>
      </c>
      <c r="I30" s="3075">
        <f>SUM(E30)</f>
        <v>26.635552933135834</v>
      </c>
      <c r="J30" s="3075">
        <f>SUM(E30)</f>
        <v>26.635552933135834</v>
      </c>
      <c r="K30" s="3075">
        <f>SUM(E30)</f>
        <v>26.635552933135834</v>
      </c>
      <c r="L30" s="3076">
        <f t="shared" si="30"/>
        <v>26.635552933135834</v>
      </c>
      <c r="M30" s="3076">
        <f t="shared" si="30"/>
        <v>26.635552933135834</v>
      </c>
      <c r="N30" s="3075">
        <f>SUM('Тариф стоки 2016-2018 ПЛАН'!Q38)</f>
        <v>34.65867982199299</v>
      </c>
      <c r="O30" s="3075">
        <f>SUM(N30)</f>
        <v>34.65867982199299</v>
      </c>
      <c r="P30" s="3075">
        <f>SUM(N30)</f>
        <v>34.65867982199299</v>
      </c>
      <c r="Q30" s="3076">
        <f t="shared" si="31"/>
        <v>34.65867982199299</v>
      </c>
      <c r="R30" s="3076">
        <f t="shared" si="31"/>
        <v>34.65867982199299</v>
      </c>
      <c r="S30" s="3075">
        <f>SUM(N30)</f>
        <v>34.65867982199299</v>
      </c>
      <c r="T30" s="3075">
        <f>SUM(N30)</f>
        <v>34.65867982199299</v>
      </c>
      <c r="U30" s="3075">
        <f>SUM(N30)</f>
        <v>34.65867982199299</v>
      </c>
      <c r="V30" s="3076">
        <f t="shared" si="32"/>
        <v>34.65867982199299</v>
      </c>
      <c r="W30" s="3083">
        <f>SUM(W23/W16)</f>
        <v>30.647116377564412</v>
      </c>
    </row>
    <row r="31" spans="1:23" ht="18.75" customHeight="1">
      <c r="A31" s="4999" t="s">
        <v>1722</v>
      </c>
      <c r="B31" s="5000"/>
      <c r="C31" s="5000"/>
      <c r="D31" s="5001"/>
      <c r="E31" s="5001"/>
      <c r="F31" s="5001"/>
      <c r="G31" s="5001"/>
      <c r="H31" s="5001"/>
      <c r="I31" s="5001"/>
      <c r="J31" s="5001"/>
      <c r="K31" s="5001"/>
      <c r="L31" s="5001"/>
      <c r="M31" s="5001"/>
      <c r="N31" s="5001"/>
      <c r="O31" s="5001"/>
      <c r="P31" s="5001"/>
      <c r="Q31" s="5001"/>
      <c r="R31" s="5001"/>
      <c r="S31" s="5001"/>
      <c r="T31" s="5001"/>
      <c r="U31" s="5001"/>
      <c r="V31" s="5001"/>
      <c r="W31" s="3107"/>
    </row>
    <row r="32" spans="1:23" ht="18.75" customHeight="1">
      <c r="A32" s="4981" t="s">
        <v>545</v>
      </c>
      <c r="B32" s="4982" t="s">
        <v>1960</v>
      </c>
      <c r="C32" s="4982" t="s">
        <v>1560</v>
      </c>
      <c r="D32" s="4995"/>
      <c r="E32" s="4981" t="s">
        <v>586</v>
      </c>
      <c r="F32" s="4981" t="s">
        <v>587</v>
      </c>
      <c r="G32" s="4981" t="s">
        <v>588</v>
      </c>
      <c r="H32" s="4984" t="s">
        <v>600</v>
      </c>
      <c r="I32" s="4981" t="s">
        <v>589</v>
      </c>
      <c r="J32" s="4981" t="s">
        <v>590</v>
      </c>
      <c r="K32" s="4981" t="s">
        <v>591</v>
      </c>
      <c r="L32" s="4984" t="s">
        <v>599</v>
      </c>
      <c r="M32" s="4984" t="s">
        <v>598</v>
      </c>
      <c r="N32" s="4981" t="s">
        <v>592</v>
      </c>
      <c r="O32" s="4981" t="s">
        <v>593</v>
      </c>
      <c r="P32" s="4981" t="s">
        <v>594</v>
      </c>
      <c r="Q32" s="4984" t="s">
        <v>225</v>
      </c>
      <c r="R32" s="4984" t="s">
        <v>229</v>
      </c>
      <c r="S32" s="4981" t="s">
        <v>595</v>
      </c>
      <c r="T32" s="4981" t="s">
        <v>596</v>
      </c>
      <c r="U32" s="4981" t="s">
        <v>597</v>
      </c>
      <c r="V32" s="4984" t="s">
        <v>135</v>
      </c>
      <c r="W32" s="4985" t="s">
        <v>601</v>
      </c>
    </row>
    <row r="33" spans="1:23" ht="40.5" customHeight="1">
      <c r="A33" s="4981"/>
      <c r="B33" s="4982"/>
      <c r="C33" s="3163" t="s">
        <v>351</v>
      </c>
      <c r="D33" s="3163" t="s">
        <v>1750</v>
      </c>
      <c r="E33" s="4981"/>
      <c r="F33" s="4981"/>
      <c r="G33" s="4981"/>
      <c r="H33" s="4984"/>
      <c r="I33" s="4981"/>
      <c r="J33" s="4981"/>
      <c r="K33" s="4981"/>
      <c r="L33" s="4984"/>
      <c r="M33" s="4984"/>
      <c r="N33" s="4981"/>
      <c r="O33" s="4981"/>
      <c r="P33" s="4981"/>
      <c r="Q33" s="4984"/>
      <c r="R33" s="4984"/>
      <c r="S33" s="4981"/>
      <c r="T33" s="4981"/>
      <c r="U33" s="4981"/>
      <c r="V33" s="4984"/>
      <c r="W33" s="4985"/>
    </row>
    <row r="34" spans="1:23" ht="18.75" customHeight="1">
      <c r="A34" s="3106" t="s">
        <v>0</v>
      </c>
      <c r="B34" s="3060">
        <f>SUM(стоки!CL8)</f>
        <v>13874.519325460529</v>
      </c>
      <c r="C34" s="3060">
        <f>SUM(стоки!CN8)</f>
        <v>13874.519325460529</v>
      </c>
      <c r="D34" s="3060">
        <f>SUM(стоки!CO8)</f>
        <v>0</v>
      </c>
      <c r="E34" s="3081">
        <f>SUM(E35+E36+E37+E38+E39+E40+E42)</f>
        <v>1135.7150913015887</v>
      </c>
      <c r="F34" s="3081">
        <f t="shared" ref="F34:G34" si="33">SUM(F35+F36+F37+F38+F39+F40+F42)</f>
        <v>1134.9214938675889</v>
      </c>
      <c r="G34" s="3081">
        <f t="shared" si="33"/>
        <v>1134.9214938675889</v>
      </c>
      <c r="H34" s="3070">
        <f t="shared" ref="H34:H89" si="34">SUM(E34+F34+G34)</f>
        <v>3405.5580790367667</v>
      </c>
      <c r="I34" s="3081">
        <f t="shared" ref="I34:K34" si="35">SUM(I35+I36+I37+I38+I39+I40+I42)</f>
        <v>1134.1864579507744</v>
      </c>
      <c r="J34" s="3081">
        <f t="shared" si="35"/>
        <v>1128.0135994959626</v>
      </c>
      <c r="K34" s="3081">
        <f t="shared" si="35"/>
        <v>1128.8594880775358</v>
      </c>
      <c r="L34" s="3070">
        <f>SUM(I34+J34+K34)</f>
        <v>3391.0595455242728</v>
      </c>
      <c r="M34" s="3070">
        <f t="shared" ref="M34:M40" si="36">SUM(H34+L34)</f>
        <v>6796.6176245610395</v>
      </c>
      <c r="N34" s="3081">
        <f t="shared" ref="N34:P34" si="37">SUM(N35+N36+N37+N38+N39+N40+N42)</f>
        <v>1175.2787263046775</v>
      </c>
      <c r="O34" s="3081">
        <f t="shared" si="37"/>
        <v>1175.0249597302054</v>
      </c>
      <c r="P34" s="3081">
        <f t="shared" si="37"/>
        <v>1181.8214144380522</v>
      </c>
      <c r="Q34" s="3070">
        <f t="shared" ref="Q34:Q40" si="38">SUM(N34+O34+P34)</f>
        <v>3532.1251004729352</v>
      </c>
      <c r="R34" s="3070">
        <f t="shared" ref="R34:R40" si="39">SUM(M34+Q34)</f>
        <v>10328.742725033975</v>
      </c>
      <c r="S34" s="3081">
        <f t="shared" ref="S34:U34" si="40">SUM(S35+S36+S37+S38+S39+S40+S42)</f>
        <v>1181.6424837240584</v>
      </c>
      <c r="T34" s="3081">
        <f t="shared" si="40"/>
        <v>1181.6424837240584</v>
      </c>
      <c r="U34" s="3081">
        <f t="shared" si="40"/>
        <v>1182.4916329784385</v>
      </c>
      <c r="V34" s="3070">
        <f t="shared" ref="V34:V89" si="41">SUM(S34+T34+U34)</f>
        <v>3545.776600426555</v>
      </c>
      <c r="W34" s="3061">
        <f t="shared" ref="W34:W88" si="42">SUM(E34+F34+G34+I34+J34+K34+N34+O34+P34+S34+T34+U34)</f>
        <v>13874.519325460533</v>
      </c>
    </row>
    <row r="35" spans="1:23" ht="18.75" customHeight="1">
      <c r="A35" s="3121" t="s">
        <v>1</v>
      </c>
      <c r="B35" s="3063">
        <f>SUM(стоки!CL9)</f>
        <v>1652.3743028725801</v>
      </c>
      <c r="C35" s="3063">
        <f>SUM(стоки!CN9)</f>
        <v>1652.3743028725801</v>
      </c>
      <c r="D35" s="3063">
        <f>SUM(стоки!CO9)</f>
        <v>0</v>
      </c>
      <c r="E35" s="3074">
        <f>SUM('электр (с разбивкой)'!C34)</f>
        <v>136.480331463</v>
      </c>
      <c r="F35" s="3074">
        <f>SUM('электр (с разбивкой)'!D34)</f>
        <v>135.68673402900001</v>
      </c>
      <c r="G35" s="3074">
        <f>SUM('электр (с разбивкой)'!E34)</f>
        <v>135.68673402900001</v>
      </c>
      <c r="H35" s="3072">
        <f t="shared" si="34"/>
        <v>407.85379952100004</v>
      </c>
      <c r="I35" s="3074">
        <f>SUM('электр (с разбивкой)'!G34)</f>
        <v>134.89313659499996</v>
      </c>
      <c r="J35" s="3074">
        <f>SUM('электр (с разбивкой)'!H34)</f>
        <v>127.75075968899998</v>
      </c>
      <c r="K35" s="3074">
        <f>SUM('электр (с разбивкой)'!I34)</f>
        <v>127.75075968899998</v>
      </c>
      <c r="L35" s="3072">
        <f t="shared" ref="L35" si="43">SUM(I35+J35+K35)</f>
        <v>390.39465597299989</v>
      </c>
      <c r="M35" s="3072">
        <f t="shared" ref="M35" si="44">SUM(H35+L35)</f>
        <v>798.24845549399993</v>
      </c>
      <c r="N35" s="3074">
        <f>SUM('электр (с разбивкой)'!L34)</f>
        <v>136.69331286722999</v>
      </c>
      <c r="O35" s="3074">
        <f>SUM('электр (с разбивкой)'!M34)</f>
        <v>136.69331286722999</v>
      </c>
      <c r="P35" s="3074">
        <f>SUM('электр (с разбивкой)'!N34)</f>
        <v>144.33565615664997</v>
      </c>
      <c r="Q35" s="3072">
        <f t="shared" ref="Q35" si="45">SUM(N35+O35+P35)</f>
        <v>417.72228189110996</v>
      </c>
      <c r="R35" s="3072">
        <f t="shared" ref="R35" si="46">SUM(M35+Q35)</f>
        <v>1215.9707373851099</v>
      </c>
      <c r="S35" s="3074">
        <f>SUM('электр (с разбивкой)'!Q34)</f>
        <v>145.18480541103</v>
      </c>
      <c r="T35" s="3074">
        <f>SUM('электр (с разбивкой)'!R34)</f>
        <v>145.18480541103</v>
      </c>
      <c r="U35" s="3074">
        <f>SUM('электр (с разбивкой)'!S34)</f>
        <v>146.03395466541002</v>
      </c>
      <c r="V35" s="3072">
        <f t="shared" si="41"/>
        <v>436.40356548747002</v>
      </c>
      <c r="W35" s="3065">
        <f t="shared" si="42"/>
        <v>1652.3743028725801</v>
      </c>
    </row>
    <row r="36" spans="1:23" ht="18.75" customHeight="1">
      <c r="A36" s="3121" t="s">
        <v>2</v>
      </c>
      <c r="B36" s="3063">
        <f>SUM(стоки!CL10)</f>
        <v>498.59</v>
      </c>
      <c r="C36" s="3063">
        <f>SUM(стоки!CN10)</f>
        <v>498.59</v>
      </c>
      <c r="D36" s="3063">
        <f>SUM(стоки!CO10)</f>
        <v>0</v>
      </c>
      <c r="E36" s="3074">
        <f>SUM(B36/12)</f>
        <v>41.549166666666665</v>
      </c>
      <c r="F36" s="3074">
        <f t="shared" ref="F36:G38" si="47">SUM(E36)</f>
        <v>41.549166666666665</v>
      </c>
      <c r="G36" s="3074">
        <f>SUM(E36)</f>
        <v>41.549166666666665</v>
      </c>
      <c r="H36" s="3072">
        <f t="shared" si="34"/>
        <v>124.64749999999999</v>
      </c>
      <c r="I36" s="3074">
        <f>SUM(E36)</f>
        <v>41.549166666666665</v>
      </c>
      <c r="J36" s="3074">
        <f>SUM(E36)</f>
        <v>41.549166666666665</v>
      </c>
      <c r="K36" s="3074">
        <f>SUM(E36)</f>
        <v>41.549166666666665</v>
      </c>
      <c r="L36" s="3072">
        <f t="shared" ref="L36:L40" si="48">SUM(I36+J36+K36)</f>
        <v>124.64749999999999</v>
      </c>
      <c r="M36" s="3072">
        <f t="shared" si="36"/>
        <v>249.29499999999999</v>
      </c>
      <c r="N36" s="3074">
        <f>SUM(E36)</f>
        <v>41.549166666666665</v>
      </c>
      <c r="O36" s="3074">
        <f>SUM(E36)</f>
        <v>41.549166666666665</v>
      </c>
      <c r="P36" s="3074">
        <f>E36</f>
        <v>41.549166666666665</v>
      </c>
      <c r="Q36" s="3072">
        <f t="shared" si="38"/>
        <v>124.64749999999999</v>
      </c>
      <c r="R36" s="3072">
        <f t="shared" si="39"/>
        <v>373.9425</v>
      </c>
      <c r="S36" s="3074">
        <f>E36</f>
        <v>41.549166666666665</v>
      </c>
      <c r="T36" s="3074">
        <f>E36</f>
        <v>41.549166666666665</v>
      </c>
      <c r="U36" s="3074">
        <f>E36</f>
        <v>41.549166666666665</v>
      </c>
      <c r="V36" s="3072">
        <f t="shared" si="41"/>
        <v>124.64749999999999</v>
      </c>
      <c r="W36" s="3087">
        <f t="shared" si="42"/>
        <v>498.59000000000009</v>
      </c>
    </row>
    <row r="37" spans="1:23" ht="18.75" customHeight="1">
      <c r="A37" s="3121" t="s">
        <v>219</v>
      </c>
      <c r="B37" s="3063">
        <f>SUM(стоки!BU11)</f>
        <v>0</v>
      </c>
      <c r="C37" s="3063">
        <f>SUM(стоки!BW11)</f>
        <v>0</v>
      </c>
      <c r="D37" s="3063">
        <f>SUM(стоки!BX11)</f>
        <v>0</v>
      </c>
      <c r="E37" s="3074">
        <f>SUM(B37/12)</f>
        <v>0</v>
      </c>
      <c r="F37" s="3074">
        <f t="shared" si="47"/>
        <v>0</v>
      </c>
      <c r="G37" s="3074">
        <f t="shared" si="47"/>
        <v>0</v>
      </c>
      <c r="H37" s="3072">
        <f t="shared" si="34"/>
        <v>0</v>
      </c>
      <c r="I37" s="3074">
        <f>SUM(E37)</f>
        <v>0</v>
      </c>
      <c r="J37" s="3074">
        <f>SUM(E37)</f>
        <v>0</v>
      </c>
      <c r="K37" s="3074">
        <f>SUM(E37)</f>
        <v>0</v>
      </c>
      <c r="L37" s="3072">
        <f t="shared" si="48"/>
        <v>0</v>
      </c>
      <c r="M37" s="3072">
        <f t="shared" si="36"/>
        <v>0</v>
      </c>
      <c r="N37" s="3074">
        <f>SUM(E37)</f>
        <v>0</v>
      </c>
      <c r="O37" s="3074">
        <f>SUM(E37)</f>
        <v>0</v>
      </c>
      <c r="P37" s="3074">
        <f>E37</f>
        <v>0</v>
      </c>
      <c r="Q37" s="3072">
        <f t="shared" si="38"/>
        <v>0</v>
      </c>
      <c r="R37" s="3072">
        <f t="shared" si="39"/>
        <v>0</v>
      </c>
      <c r="S37" s="3074">
        <f>E37</f>
        <v>0</v>
      </c>
      <c r="T37" s="3074">
        <f>E37</f>
        <v>0</v>
      </c>
      <c r="U37" s="3074">
        <f>E37</f>
        <v>0</v>
      </c>
      <c r="V37" s="3072">
        <f t="shared" si="41"/>
        <v>0</v>
      </c>
      <c r="W37" s="3087">
        <f t="shared" si="42"/>
        <v>0</v>
      </c>
    </row>
    <row r="38" spans="1:23" ht="18.75" customHeight="1">
      <c r="A38" s="3121" t="s">
        <v>3</v>
      </c>
      <c r="B38" s="3063">
        <f>SUM(стоки!CL12)</f>
        <v>0</v>
      </c>
      <c r="C38" s="3063">
        <f>SUM(стоки!CN12)</f>
        <v>0</v>
      </c>
      <c r="D38" s="3063">
        <f>SUM(стоки!CO12)</f>
        <v>0</v>
      </c>
      <c r="E38" s="3074">
        <f>SUM(B38/12)</f>
        <v>0</v>
      </c>
      <c r="F38" s="3074">
        <f t="shared" si="47"/>
        <v>0</v>
      </c>
      <c r="G38" s="3074">
        <f t="shared" si="47"/>
        <v>0</v>
      </c>
      <c r="H38" s="3072">
        <f t="shared" si="34"/>
        <v>0</v>
      </c>
      <c r="I38" s="3074">
        <f>SUM(E38)</f>
        <v>0</v>
      </c>
      <c r="J38" s="3074">
        <f>SUM(E38)</f>
        <v>0</v>
      </c>
      <c r="K38" s="3074">
        <f>SUM(E38)</f>
        <v>0</v>
      </c>
      <c r="L38" s="3072">
        <f t="shared" si="48"/>
        <v>0</v>
      </c>
      <c r="M38" s="3072">
        <f t="shared" si="36"/>
        <v>0</v>
      </c>
      <c r="N38" s="3074">
        <f>SUM(E38)</f>
        <v>0</v>
      </c>
      <c r="O38" s="3074">
        <f>SUM(E38)</f>
        <v>0</v>
      </c>
      <c r="P38" s="3074">
        <f>E38</f>
        <v>0</v>
      </c>
      <c r="Q38" s="3072">
        <f t="shared" si="38"/>
        <v>0</v>
      </c>
      <c r="R38" s="3072">
        <f t="shared" si="39"/>
        <v>0</v>
      </c>
      <c r="S38" s="3074">
        <f>E38</f>
        <v>0</v>
      </c>
      <c r="T38" s="3074">
        <f>E38</f>
        <v>0</v>
      </c>
      <c r="U38" s="3074">
        <f>E38</f>
        <v>0</v>
      </c>
      <c r="V38" s="3072">
        <f t="shared" si="41"/>
        <v>0</v>
      </c>
      <c r="W38" s="3087">
        <f t="shared" si="42"/>
        <v>0</v>
      </c>
    </row>
    <row r="39" spans="1:23" ht="18.75" customHeight="1">
      <c r="A39" s="3121" t="s">
        <v>4</v>
      </c>
      <c r="B39" s="3063">
        <f>SUM(стоки!CL13)</f>
        <v>8769.797546333939</v>
      </c>
      <c r="C39" s="3063">
        <f>SUM(стоки!CN13)</f>
        <v>8769.797546333939</v>
      </c>
      <c r="D39" s="3063">
        <f>SUM(стоки!CO13)</f>
        <v>0</v>
      </c>
      <c r="E39" s="3074">
        <f>SUM(ЗП!DI30/2)/(1+(104%*100-100)/2/100)/6</f>
        <v>716.48672764166167</v>
      </c>
      <c r="F39" s="3074">
        <f>SUM(E39)</f>
        <v>716.48672764166167</v>
      </c>
      <c r="G39" s="3074">
        <f>SUM(E39)</f>
        <v>716.48672764166167</v>
      </c>
      <c r="H39" s="3072">
        <f t="shared" si="34"/>
        <v>2149.460182924985</v>
      </c>
      <c r="I39" s="3074">
        <f>SUM(E39)</f>
        <v>716.48672764166167</v>
      </c>
      <c r="J39" s="3074">
        <f>SUM(E39)</f>
        <v>716.48672764166167</v>
      </c>
      <c r="K39" s="3074">
        <f>SUM(E39)</f>
        <v>716.48672764166167</v>
      </c>
      <c r="L39" s="3072">
        <f t="shared" si="48"/>
        <v>2149.460182924985</v>
      </c>
      <c r="M39" s="3072">
        <f t="shared" si="36"/>
        <v>4298.92036584997</v>
      </c>
      <c r="N39" s="3074">
        <f>SUM(ЗП!DI30-M39)/6</f>
        <v>745.14619674732819</v>
      </c>
      <c r="O39" s="3074">
        <f>SUM(N39)</f>
        <v>745.14619674732819</v>
      </c>
      <c r="P39" s="3074">
        <f>SUM(N39)</f>
        <v>745.14619674732819</v>
      </c>
      <c r="Q39" s="3072">
        <f t="shared" si="38"/>
        <v>2235.4385902419845</v>
      </c>
      <c r="R39" s="3072">
        <f t="shared" si="39"/>
        <v>6534.3589560919545</v>
      </c>
      <c r="S39" s="3074">
        <f>SUM(N39)</f>
        <v>745.14619674732819</v>
      </c>
      <c r="T39" s="3074">
        <f>SUM(N39)</f>
        <v>745.14619674732819</v>
      </c>
      <c r="U39" s="3074">
        <f>SUM(N39)</f>
        <v>745.14619674732819</v>
      </c>
      <c r="V39" s="3072">
        <f t="shared" si="41"/>
        <v>2235.4385902419845</v>
      </c>
      <c r="W39" s="3087">
        <f t="shared" si="42"/>
        <v>8769.7975463339371</v>
      </c>
    </row>
    <row r="40" spans="1:23" ht="18.75" customHeight="1">
      <c r="A40" s="3121" t="s">
        <v>121</v>
      </c>
      <c r="B40" s="3063">
        <f>SUM(стоки!CL14)</f>
        <v>2620.4155068445812</v>
      </c>
      <c r="C40" s="3063">
        <f>SUM(стоки!CN14)</f>
        <v>2620.4155068445812</v>
      </c>
      <c r="D40" s="3063">
        <f>SUM(стоки!CO14)</f>
        <v>0</v>
      </c>
      <c r="E40" s="3074">
        <f>SUM(E39*E41)</f>
        <v>214.0862342193285</v>
      </c>
      <c r="F40" s="3074">
        <f>SUM(F39*F41)</f>
        <v>214.0862342193285</v>
      </c>
      <c r="G40" s="3074">
        <f>SUM(G39*G41)</f>
        <v>214.0862342193285</v>
      </c>
      <c r="H40" s="3072">
        <f t="shared" si="34"/>
        <v>642.25870265798551</v>
      </c>
      <c r="I40" s="3074">
        <f>SUM(I39*I41)</f>
        <v>214.0862342193285</v>
      </c>
      <c r="J40" s="3074">
        <f>SUM(J39*J41)</f>
        <v>214.0862342193285</v>
      </c>
      <c r="K40" s="3074">
        <f>SUM(K39*K41)</f>
        <v>214.0862342193285</v>
      </c>
      <c r="L40" s="3072">
        <f t="shared" si="48"/>
        <v>642.25870265798551</v>
      </c>
      <c r="M40" s="3072">
        <f t="shared" si="36"/>
        <v>1284.517405315971</v>
      </c>
      <c r="N40" s="3074">
        <f>SUM(N39*N41)</f>
        <v>222.64968358810168</v>
      </c>
      <c r="O40" s="3074">
        <f>SUM(O39*O41)</f>
        <v>222.64968358810168</v>
      </c>
      <c r="P40" s="3074">
        <f>SUM(P39*P41)</f>
        <v>222.64968358810168</v>
      </c>
      <c r="Q40" s="3072">
        <f t="shared" si="38"/>
        <v>667.94905076430507</v>
      </c>
      <c r="R40" s="3072">
        <f t="shared" si="39"/>
        <v>1952.4664560802762</v>
      </c>
      <c r="S40" s="3074">
        <f>SUM(S39*S41)</f>
        <v>222.64968358810168</v>
      </c>
      <c r="T40" s="3074">
        <f>SUM(T39*T41)</f>
        <v>222.64968358810168</v>
      </c>
      <c r="U40" s="3074">
        <f>SUM(U39*U41)</f>
        <v>222.64968358810168</v>
      </c>
      <c r="V40" s="3072">
        <f t="shared" si="41"/>
        <v>667.94905076430507</v>
      </c>
      <c r="W40" s="3087">
        <f t="shared" si="42"/>
        <v>2620.4155068445812</v>
      </c>
    </row>
    <row r="41" spans="1:23" ht="18.75" customHeight="1">
      <c r="A41" s="3122" t="s">
        <v>321</v>
      </c>
      <c r="B41" s="3068">
        <f>SUM(B40/B39)</f>
        <v>0.29880000000000001</v>
      </c>
      <c r="C41" s="3068">
        <f t="shared" ref="C41" si="49">SUM(C40/C39)</f>
        <v>0.29880000000000001</v>
      </c>
      <c r="D41" s="3068">
        <v>0</v>
      </c>
      <c r="E41" s="3097">
        <f>SUM(B41)</f>
        <v>0.29880000000000001</v>
      </c>
      <c r="F41" s="3097">
        <f>SUM(E41)</f>
        <v>0.29880000000000001</v>
      </c>
      <c r="G41" s="3097">
        <f>SUM(E41)</f>
        <v>0.29880000000000001</v>
      </c>
      <c r="H41" s="3068">
        <f>SUM(H40/H39)</f>
        <v>0.29880000000000001</v>
      </c>
      <c r="I41" s="3097">
        <f>SUM(E41)</f>
        <v>0.29880000000000001</v>
      </c>
      <c r="J41" s="3097">
        <f>SUM(E41)</f>
        <v>0.29880000000000001</v>
      </c>
      <c r="K41" s="3097">
        <f>SUM(E41)</f>
        <v>0.29880000000000001</v>
      </c>
      <c r="L41" s="3068">
        <f>SUM(L40/L39)</f>
        <v>0.29880000000000001</v>
      </c>
      <c r="M41" s="3068">
        <f>SUM(M40/M39)</f>
        <v>0.29880000000000001</v>
      </c>
      <c r="N41" s="3097">
        <f>SUM(E41)</f>
        <v>0.29880000000000001</v>
      </c>
      <c r="O41" s="3097">
        <f>SUM(E41)</f>
        <v>0.29880000000000001</v>
      </c>
      <c r="P41" s="3097">
        <f>SUM(E41)</f>
        <v>0.29880000000000001</v>
      </c>
      <c r="Q41" s="3068">
        <f>SUM(Q40/Q39)</f>
        <v>0.29880000000000007</v>
      </c>
      <c r="R41" s="3068">
        <f>SUM(R40/R39)</f>
        <v>0.29880000000000001</v>
      </c>
      <c r="S41" s="3069">
        <f>SUM(E41)</f>
        <v>0.29880000000000001</v>
      </c>
      <c r="T41" s="3069">
        <f>SUM(E41)</f>
        <v>0.29880000000000001</v>
      </c>
      <c r="U41" s="3069">
        <f>SUM(E41)</f>
        <v>0.29880000000000001</v>
      </c>
      <c r="V41" s="3068">
        <f>SUM(V40/V39)</f>
        <v>0.29880000000000007</v>
      </c>
      <c r="W41" s="3089">
        <f>SUM(W40/W39)</f>
        <v>0.29880000000000007</v>
      </c>
    </row>
    <row r="42" spans="1:23" ht="18.75" customHeight="1">
      <c r="A42" s="3103" t="s">
        <v>1723</v>
      </c>
      <c r="B42" s="3060">
        <f>SUM('цех стоки (с разбивкой)'!B5)</f>
        <v>333.34196940942883</v>
      </c>
      <c r="C42" s="3060">
        <f>SUM('цех стоки (с разбивкой)'!C5)</f>
        <v>333.34196940942883</v>
      </c>
      <c r="D42" s="3060">
        <f>SUM('цех стоки (с разбивкой)'!D5)</f>
        <v>0</v>
      </c>
      <c r="E42" s="3092">
        <f>SUM('цех стоки (с разбивкой)'!E5)</f>
        <v>27.112631310931832</v>
      </c>
      <c r="F42" s="3092">
        <f>SUM('цех стоки (с разбивкой)'!F5)</f>
        <v>27.112631310931832</v>
      </c>
      <c r="G42" s="3092">
        <f>SUM('цех стоки (с разбивкой)'!G5)</f>
        <v>27.112631310931832</v>
      </c>
      <c r="H42" s="3063">
        <f>SUM('цех стоки (с разбивкой)'!H5)</f>
        <v>81.337893932795495</v>
      </c>
      <c r="I42" s="3092">
        <f>SUM('цех стоки (с разбивкой)'!I5)</f>
        <v>27.171192828117682</v>
      </c>
      <c r="J42" s="3092">
        <f>SUM('цех стоки (с разбивкой)'!J5)</f>
        <v>28.140711279305616</v>
      </c>
      <c r="K42" s="3092">
        <f>SUM('цех стоки (с разбивкой)'!K5)</f>
        <v>28.986599860878982</v>
      </c>
      <c r="L42" s="3063">
        <f>SUM('цех стоки (с разбивкой)'!L5)</f>
        <v>84.298503968302285</v>
      </c>
      <c r="M42" s="3063">
        <f>SUM('цех стоки (с разбивкой)'!M5)</f>
        <v>165.63639790109778</v>
      </c>
      <c r="N42" s="3092">
        <f>SUM('цех стоки (с разбивкой)'!N5)</f>
        <v>29.240366435350992</v>
      </c>
      <c r="O42" s="3092">
        <f>SUM('цех стоки (с разбивкой)'!O5)</f>
        <v>28.986599860878982</v>
      </c>
      <c r="P42" s="3092">
        <f>SUM('цех стоки (с разбивкой)'!P5)</f>
        <v>28.140711279305616</v>
      </c>
      <c r="Q42" s="3063">
        <f>SUM('цех стоки (с разбивкой)'!Q5)</f>
        <v>86.367677575535595</v>
      </c>
      <c r="R42" s="3063">
        <f>SUM('цех стоки (с разбивкой)'!R5)</f>
        <v>252.00407547663337</v>
      </c>
      <c r="S42" s="3092">
        <f>SUM('цех стоки (с разбивкой)'!S5)</f>
        <v>27.112631310931832</v>
      </c>
      <c r="T42" s="3092">
        <f>SUM('цех стоки (с разбивкой)'!T5)</f>
        <v>27.112631310931832</v>
      </c>
      <c r="U42" s="3092">
        <f>SUM('цех стоки (с разбивкой)'!U5)</f>
        <v>27.112631310931832</v>
      </c>
      <c r="V42" s="3063">
        <f>SUM('цех стоки (с разбивкой)'!V5)</f>
        <v>81.337893932795495</v>
      </c>
      <c r="W42" s="3087">
        <f t="shared" si="42"/>
        <v>333.34196940942883</v>
      </c>
    </row>
    <row r="43" spans="1:23" ht="18.75" customHeight="1">
      <c r="A43" s="3091" t="s">
        <v>72</v>
      </c>
      <c r="B43" s="3063">
        <f>SUM('цех стоки (с разбивкой)'!C6)</f>
        <v>0</v>
      </c>
      <c r="C43" s="3063">
        <f>SUM('цех стоки (с разбивкой)'!D6)</f>
        <v>0</v>
      </c>
      <c r="D43" s="3063">
        <f>SUM('цех стоки (с разбивкой)'!E6)</f>
        <v>0</v>
      </c>
      <c r="E43" s="3092">
        <f>SUM('цех стоки (с разбивкой)'!E6)</f>
        <v>0</v>
      </c>
      <c r="F43" s="3092">
        <f>SUM('цех стоки (с разбивкой)'!F6)</f>
        <v>0</v>
      </c>
      <c r="G43" s="3092">
        <f>SUM('цех стоки (с разбивкой)'!G6)</f>
        <v>0</v>
      </c>
      <c r="H43" s="3063">
        <f>SUM('цех стоки (с разбивкой)'!H6)</f>
        <v>0</v>
      </c>
      <c r="I43" s="3092">
        <f>SUM('цех стоки (с разбивкой)'!I6)</f>
        <v>0</v>
      </c>
      <c r="J43" s="3092">
        <f>SUM('цех стоки (с разбивкой)'!J6)</f>
        <v>0</v>
      </c>
      <c r="K43" s="3092">
        <f>SUM('цех стоки (с разбивкой)'!K6)</f>
        <v>0</v>
      </c>
      <c r="L43" s="3063">
        <f>SUM('цех стоки (с разбивкой)'!L6)</f>
        <v>0</v>
      </c>
      <c r="M43" s="3063">
        <f>SUM('цех стоки (с разбивкой)'!M6)</f>
        <v>0</v>
      </c>
      <c r="N43" s="3092">
        <f>SUM('цех стоки (с разбивкой)'!N6)</f>
        <v>0</v>
      </c>
      <c r="O43" s="3092">
        <f>SUM('цех стоки (с разбивкой)'!O6)</f>
        <v>0</v>
      </c>
      <c r="P43" s="3092">
        <f>SUM('цех стоки (с разбивкой)'!P6)</f>
        <v>0</v>
      </c>
      <c r="Q43" s="3063">
        <f>SUM('цех стоки (с разбивкой)'!Q6)</f>
        <v>0</v>
      </c>
      <c r="R43" s="3063">
        <f>SUM('цех стоки (с разбивкой)'!R6)</f>
        <v>0</v>
      </c>
      <c r="S43" s="3092">
        <f>SUM('цех стоки (с разбивкой)'!S6)</f>
        <v>0</v>
      </c>
      <c r="T43" s="3092">
        <f>SUM('цех стоки (с разбивкой)'!T6)</f>
        <v>0</v>
      </c>
      <c r="U43" s="3092">
        <f>SUM('цех стоки (с разбивкой)'!U6)</f>
        <v>0</v>
      </c>
      <c r="V43" s="3063">
        <f>SUM('цех стоки (с разбивкой)'!V6)</f>
        <v>0</v>
      </c>
      <c r="W43" s="3087">
        <f t="shared" si="42"/>
        <v>0</v>
      </c>
    </row>
    <row r="44" spans="1:23" ht="18.75" customHeight="1">
      <c r="A44" s="3091" t="s">
        <v>121</v>
      </c>
      <c r="B44" s="3063">
        <f>SUM('цех стоки (с разбивкой)'!C7)</f>
        <v>0</v>
      </c>
      <c r="C44" s="3063">
        <f>SUM('цех стоки (с разбивкой)'!D7)</f>
        <v>0</v>
      </c>
      <c r="D44" s="3063">
        <f>SUM('цех стоки (с разбивкой)'!E7)</f>
        <v>0</v>
      </c>
      <c r="E44" s="3092">
        <f>SUM('цех стоки (с разбивкой)'!E7)</f>
        <v>0</v>
      </c>
      <c r="F44" s="3092">
        <f>SUM('цех стоки (с разбивкой)'!F7)</f>
        <v>0</v>
      </c>
      <c r="G44" s="3092">
        <f>SUM('цех стоки (с разбивкой)'!G7)</f>
        <v>0</v>
      </c>
      <c r="H44" s="3063">
        <f>SUM('цех стоки (с разбивкой)'!H7)</f>
        <v>0</v>
      </c>
      <c r="I44" s="3092">
        <f>SUM('цех стоки (с разбивкой)'!I7)</f>
        <v>0</v>
      </c>
      <c r="J44" s="3092">
        <f>SUM('цех стоки (с разбивкой)'!J7)</f>
        <v>0</v>
      </c>
      <c r="K44" s="3092">
        <f>SUM('цех стоки (с разбивкой)'!K7)</f>
        <v>0</v>
      </c>
      <c r="L44" s="3063">
        <f>SUM('цех стоки (с разбивкой)'!L7)</f>
        <v>0</v>
      </c>
      <c r="M44" s="3063">
        <f>SUM('цех стоки (с разбивкой)'!M7)</f>
        <v>0</v>
      </c>
      <c r="N44" s="3092">
        <f>SUM('цех стоки (с разбивкой)'!N7)</f>
        <v>0</v>
      </c>
      <c r="O44" s="3092">
        <f>SUM('цех стоки (с разбивкой)'!O7)</f>
        <v>0</v>
      </c>
      <c r="P44" s="3092">
        <f>SUM('цех стоки (с разбивкой)'!P7)</f>
        <v>0</v>
      </c>
      <c r="Q44" s="3063">
        <f>SUM('цех стоки (с разбивкой)'!Q7)</f>
        <v>0</v>
      </c>
      <c r="R44" s="3063">
        <f>SUM('цех стоки (с разбивкой)'!R7)</f>
        <v>0</v>
      </c>
      <c r="S44" s="3092">
        <f>SUM('цех стоки (с разбивкой)'!S7)</f>
        <v>0</v>
      </c>
      <c r="T44" s="3092">
        <f>SUM('цех стоки (с разбивкой)'!T7)</f>
        <v>0</v>
      </c>
      <c r="U44" s="3092">
        <f>SUM('цех стоки (с разбивкой)'!U7)</f>
        <v>0</v>
      </c>
      <c r="V44" s="3063">
        <f>SUM('цех стоки (с разбивкой)'!V7)</f>
        <v>0</v>
      </c>
      <c r="W44" s="3087">
        <f t="shared" si="42"/>
        <v>0</v>
      </c>
    </row>
    <row r="45" spans="1:23" ht="18.75" customHeight="1">
      <c r="A45" s="3091" t="s">
        <v>52</v>
      </c>
      <c r="B45" s="3063">
        <f>SUM('цех стоки (с разбивкой)'!C8)</f>
        <v>16.033748728593526</v>
      </c>
      <c r="C45" s="3063">
        <f>SUM('цех стоки (с разбивкой)'!D8)</f>
        <v>0</v>
      </c>
      <c r="D45" s="3063">
        <f>SUM('цех стоки (с разбивкой)'!E8)</f>
        <v>1.3361457273827939</v>
      </c>
      <c r="E45" s="3092">
        <f>SUM('цех стоки (с разбивкой)'!E8)</f>
        <v>1.3361457273827939</v>
      </c>
      <c r="F45" s="3092">
        <f>SUM('цех стоки (с разбивкой)'!F8)</f>
        <v>1.3361457273827939</v>
      </c>
      <c r="G45" s="3092">
        <f>SUM('цех стоки (с разбивкой)'!G8)</f>
        <v>1.3361457273827939</v>
      </c>
      <c r="H45" s="3063">
        <f>SUM('цех стоки (с разбивкой)'!H8)</f>
        <v>4.0084371821483815</v>
      </c>
      <c r="I45" s="3092">
        <f>SUM('цех стоки (с разбивкой)'!I8)</f>
        <v>1.3361457273827939</v>
      </c>
      <c r="J45" s="3092">
        <f>SUM('цех стоки (с разбивкой)'!J8)</f>
        <v>1.3361457273827939</v>
      </c>
      <c r="K45" s="3092">
        <f>SUM('цех стоки (с разбивкой)'!K8)</f>
        <v>1.3361457273827939</v>
      </c>
      <c r="L45" s="3063">
        <f>SUM('цех стоки (с разбивкой)'!L8)</f>
        <v>4.0084371821483815</v>
      </c>
      <c r="M45" s="3063">
        <f>SUM('цех стоки (с разбивкой)'!M8)</f>
        <v>8.016874364296763</v>
      </c>
      <c r="N45" s="3092">
        <f>SUM('цех стоки (с разбивкой)'!N8)</f>
        <v>1.3361457273827939</v>
      </c>
      <c r="O45" s="3092">
        <f>SUM('цех стоки (с разбивкой)'!O8)</f>
        <v>1.3361457273827939</v>
      </c>
      <c r="P45" s="3092">
        <f>SUM('цех стоки (с разбивкой)'!P8)</f>
        <v>1.3361457273827939</v>
      </c>
      <c r="Q45" s="3063">
        <f>SUM('цех стоки (с разбивкой)'!Q8)</f>
        <v>4.0084371821483815</v>
      </c>
      <c r="R45" s="3063">
        <f>SUM('цех стоки (с разбивкой)'!R8)</f>
        <v>12.025311546445145</v>
      </c>
      <c r="S45" s="3092">
        <f>SUM('цех стоки (с разбивкой)'!S8)</f>
        <v>1.3361457273827939</v>
      </c>
      <c r="T45" s="3092">
        <f>SUM('цех стоки (с разбивкой)'!T8)</f>
        <v>1.3361457273827939</v>
      </c>
      <c r="U45" s="3092">
        <f>SUM('цех стоки (с разбивкой)'!U8)</f>
        <v>1.3361457273827939</v>
      </c>
      <c r="V45" s="3063">
        <f>SUM('цех стоки (с разбивкой)'!V8)</f>
        <v>4.0084371821483815</v>
      </c>
      <c r="W45" s="3087">
        <f t="shared" si="42"/>
        <v>16.033748728593526</v>
      </c>
    </row>
    <row r="46" spans="1:23" ht="18.75" customHeight="1">
      <c r="A46" s="3091" t="s">
        <v>605</v>
      </c>
      <c r="B46" s="3063">
        <f>SUM('цех стоки (с разбивкой)'!C9)</f>
        <v>62.968298021441107</v>
      </c>
      <c r="C46" s="3063">
        <f>SUM('цех стоки (с разбивкой)'!D9)</f>
        <v>0</v>
      </c>
      <c r="D46" s="3063">
        <f>SUM('цех стоки (с разбивкой)'!E9)</f>
        <v>5.2473581684534256</v>
      </c>
      <c r="E46" s="3092">
        <f>SUM('цех стоки (с разбивкой)'!E9)</f>
        <v>5.2473581684534256</v>
      </c>
      <c r="F46" s="3092">
        <f>SUM('цех стоки (с разбивкой)'!F9)</f>
        <v>5.2473581684534256</v>
      </c>
      <c r="G46" s="3092">
        <f>SUM('цех стоки (с разбивкой)'!G9)</f>
        <v>5.2473581684534256</v>
      </c>
      <c r="H46" s="3063">
        <f>SUM('цех стоки (с разбивкой)'!H9)</f>
        <v>15.742074505360277</v>
      </c>
      <c r="I46" s="3092">
        <f>SUM('цех стоки (с разбивкой)'!I9)</f>
        <v>5.2473581684534256</v>
      </c>
      <c r="J46" s="3092">
        <f>SUM('цех стоки (с разбивкой)'!J9)</f>
        <v>5.2473581684534256</v>
      </c>
      <c r="K46" s="3092">
        <f>SUM('цех стоки (с разбивкой)'!K9)</f>
        <v>5.2473581684534256</v>
      </c>
      <c r="L46" s="3063">
        <f>SUM('цех стоки (с разбивкой)'!L9)</f>
        <v>15.742074505360277</v>
      </c>
      <c r="M46" s="3063">
        <f>SUM('цех стоки (с разбивкой)'!M9)</f>
        <v>31.484149010720554</v>
      </c>
      <c r="N46" s="3092">
        <f>SUM('цех стоки (с разбивкой)'!N9)</f>
        <v>5.2473581684534256</v>
      </c>
      <c r="O46" s="3092">
        <f>SUM('цех стоки (с разбивкой)'!O9)</f>
        <v>5.2473581684534256</v>
      </c>
      <c r="P46" s="3092">
        <f>SUM('цех стоки (с разбивкой)'!P9)</f>
        <v>5.2473581684534256</v>
      </c>
      <c r="Q46" s="3063">
        <f>SUM('цех стоки (с разбивкой)'!Q9)</f>
        <v>15.742074505360277</v>
      </c>
      <c r="R46" s="3063">
        <f>SUM('цех стоки (с разбивкой)'!R9)</f>
        <v>47.226223516080829</v>
      </c>
      <c r="S46" s="3092">
        <f>SUM('цех стоки (с разбивкой)'!S9)</f>
        <v>5.2473581684534256</v>
      </c>
      <c r="T46" s="3092">
        <f>SUM('цех стоки (с разбивкой)'!T9)</f>
        <v>5.2473581684534256</v>
      </c>
      <c r="U46" s="3092">
        <f>SUM('цех стоки (с разбивкой)'!U9)</f>
        <v>5.2473581684534256</v>
      </c>
      <c r="V46" s="3063">
        <f>SUM('цех стоки (с разбивкой)'!V9)</f>
        <v>15.742074505360277</v>
      </c>
      <c r="W46" s="3087">
        <f t="shared" si="42"/>
        <v>62.968298021441093</v>
      </c>
    </row>
    <row r="47" spans="1:23" ht="18.75" customHeight="1">
      <c r="A47" s="3091" t="s">
        <v>1594</v>
      </c>
      <c r="B47" s="3063">
        <f>SUM('цех стоки (с разбивкой)'!C10)</f>
        <v>182.70473343330795</v>
      </c>
      <c r="C47" s="3063">
        <f>SUM('цех стоки (с разбивкой)'!D10)</f>
        <v>0</v>
      </c>
      <c r="D47" s="3063">
        <f>SUM('цех стоки (с разбивкой)'!E10)</f>
        <v>15.225394452775662</v>
      </c>
      <c r="E47" s="3092">
        <f>SUM('цех стоки (с разбивкой)'!E10)</f>
        <v>15.225394452775662</v>
      </c>
      <c r="F47" s="3092">
        <f>SUM('цех стоки (с разбивкой)'!F10)</f>
        <v>15.225394452775662</v>
      </c>
      <c r="G47" s="3092">
        <f>SUM('цех стоки (с разбивкой)'!G10)</f>
        <v>15.225394452775662</v>
      </c>
      <c r="H47" s="3063">
        <f>SUM('цех стоки (с разбивкой)'!H10)</f>
        <v>45.676183358326988</v>
      </c>
      <c r="I47" s="3092">
        <f>SUM('цех стоки (с разбивкой)'!I10)</f>
        <v>15.225394452775662</v>
      </c>
      <c r="J47" s="3092">
        <f>SUM('цех стоки (с разбивкой)'!J10)</f>
        <v>15.225394452775662</v>
      </c>
      <c r="K47" s="3092">
        <f>SUM('цех стоки (с разбивкой)'!K10)</f>
        <v>15.225394452775662</v>
      </c>
      <c r="L47" s="3063">
        <f>SUM('цех стоки (с разбивкой)'!L10)</f>
        <v>45.676183358326988</v>
      </c>
      <c r="M47" s="3063">
        <f>SUM('цех стоки (с разбивкой)'!M10)</f>
        <v>91.352366716653975</v>
      </c>
      <c r="N47" s="3092">
        <f>SUM('цех стоки (с разбивкой)'!N10)</f>
        <v>15.225394452775662</v>
      </c>
      <c r="O47" s="3092">
        <f>SUM('цех стоки (с разбивкой)'!O10)</f>
        <v>15.225394452775662</v>
      </c>
      <c r="P47" s="3092">
        <f>SUM('цех стоки (с разбивкой)'!P10)</f>
        <v>15.225394452775662</v>
      </c>
      <c r="Q47" s="3063">
        <f>SUM('цех стоки (с разбивкой)'!Q10)</f>
        <v>45.676183358326988</v>
      </c>
      <c r="R47" s="3063">
        <f>SUM('цех стоки (с разбивкой)'!R10)</f>
        <v>137.02855007498096</v>
      </c>
      <c r="S47" s="3092">
        <f>SUM('цех стоки (с разбивкой)'!S10)</f>
        <v>15.225394452775662</v>
      </c>
      <c r="T47" s="3092">
        <f>SUM('цех стоки (с разбивкой)'!T10)</f>
        <v>15.225394452775662</v>
      </c>
      <c r="U47" s="3092">
        <f>SUM('цех стоки (с разбивкой)'!U10)</f>
        <v>15.225394452775662</v>
      </c>
      <c r="V47" s="3063">
        <f>SUM('цех стоки (с разбивкой)'!V10)</f>
        <v>45.676183358326988</v>
      </c>
      <c r="W47" s="3087">
        <f t="shared" si="42"/>
        <v>182.70473343330798</v>
      </c>
    </row>
    <row r="48" spans="1:23" ht="18.75" customHeight="1">
      <c r="A48" s="3091" t="s">
        <v>606</v>
      </c>
      <c r="B48" s="3063">
        <f>SUM('цех стоки (с разбивкой)'!C11)</f>
        <v>6.566836797365748</v>
      </c>
      <c r="C48" s="3063">
        <f>SUM('цех стоки (с разбивкой)'!D11)</f>
        <v>0</v>
      </c>
      <c r="D48" s="3063">
        <f>SUM('цех стоки (с разбивкой)'!E11)</f>
        <v>0.547236399780479</v>
      </c>
      <c r="E48" s="3092">
        <f>SUM('цех стоки (с разбивкой)'!E11)</f>
        <v>0.547236399780479</v>
      </c>
      <c r="F48" s="3092">
        <f>SUM('цех стоки (с разбивкой)'!F11)</f>
        <v>0.547236399780479</v>
      </c>
      <c r="G48" s="3092">
        <f>SUM('цех стоки (с разбивкой)'!G11)</f>
        <v>0.547236399780479</v>
      </c>
      <c r="H48" s="3063">
        <f>SUM('цех стоки (с разбивкой)'!H11)</f>
        <v>1.641709199341437</v>
      </c>
      <c r="I48" s="3092">
        <f>SUM('цех стоки (с разбивкой)'!I11)</f>
        <v>0.547236399780479</v>
      </c>
      <c r="J48" s="3092">
        <f>SUM('цех стоки (с разбивкой)'!J11)</f>
        <v>0.547236399780479</v>
      </c>
      <c r="K48" s="3092">
        <f>SUM('цех стоки (с разбивкой)'!K11)</f>
        <v>0.547236399780479</v>
      </c>
      <c r="L48" s="3063">
        <f>SUM('цех стоки (с разбивкой)'!L11)</f>
        <v>1.641709199341437</v>
      </c>
      <c r="M48" s="3063">
        <f>SUM('цех стоки (с разбивкой)'!M11)</f>
        <v>3.283418398682874</v>
      </c>
      <c r="N48" s="3092">
        <f>SUM('цех стоки (с разбивкой)'!N11)</f>
        <v>0.547236399780479</v>
      </c>
      <c r="O48" s="3092">
        <f>SUM('цех стоки (с разбивкой)'!O11)</f>
        <v>0.547236399780479</v>
      </c>
      <c r="P48" s="3092">
        <f>SUM('цех стоки (с разбивкой)'!P11)</f>
        <v>0.547236399780479</v>
      </c>
      <c r="Q48" s="3063">
        <f>SUM('цех стоки (с разбивкой)'!Q11)</f>
        <v>1.641709199341437</v>
      </c>
      <c r="R48" s="3063">
        <f>SUM('цех стоки (с разбивкой)'!R11)</f>
        <v>4.9251275980243108</v>
      </c>
      <c r="S48" s="3092">
        <f>SUM('цех стоки (с разбивкой)'!S11)</f>
        <v>0.547236399780479</v>
      </c>
      <c r="T48" s="3092">
        <f>SUM('цех стоки (с разбивкой)'!T11)</f>
        <v>0.547236399780479</v>
      </c>
      <c r="U48" s="3092">
        <f>SUM('цех стоки (с разбивкой)'!U11)</f>
        <v>0.547236399780479</v>
      </c>
      <c r="V48" s="3063">
        <f>SUM('цех стоки (с разбивкой)'!V11)</f>
        <v>1.641709199341437</v>
      </c>
      <c r="W48" s="3087">
        <f t="shared" si="42"/>
        <v>6.5668367973657462</v>
      </c>
    </row>
    <row r="49" spans="1:23" ht="18.75" customHeight="1">
      <c r="A49" s="3093" t="s">
        <v>564</v>
      </c>
      <c r="B49" s="3067">
        <f>SUM('цех стоки (с разбивкой)'!C12)</f>
        <v>5.9334870554878334</v>
      </c>
      <c r="C49" s="3067">
        <f>SUM('цех стоки (с разбивкой)'!D12)</f>
        <v>0</v>
      </c>
      <c r="D49" s="3067">
        <f>SUM('цех стоки (с разбивкой)'!E12)</f>
        <v>0.4944572546239861</v>
      </c>
      <c r="E49" s="3094">
        <f>SUM('цех стоки (с разбивкой)'!E12)</f>
        <v>0.4944572546239861</v>
      </c>
      <c r="F49" s="3094">
        <f>SUM('цех стоки (с разбивкой)'!F12)</f>
        <v>0.4944572546239861</v>
      </c>
      <c r="G49" s="3094">
        <f>SUM('цех стоки (с разбивкой)'!G12)</f>
        <v>0.4944572546239861</v>
      </c>
      <c r="H49" s="3067">
        <f>SUM('цех стоки (с разбивкой)'!H12)</f>
        <v>1.4833717638719583</v>
      </c>
      <c r="I49" s="3094">
        <f>SUM('цех стоки (с разбивкой)'!I12)</f>
        <v>0.4944572546239861</v>
      </c>
      <c r="J49" s="3094">
        <f>SUM('цех стоки (с разбивкой)'!J12)</f>
        <v>0.4944572546239861</v>
      </c>
      <c r="K49" s="3094">
        <f>SUM('цех стоки (с разбивкой)'!K12)</f>
        <v>0.4944572546239861</v>
      </c>
      <c r="L49" s="3067">
        <f>SUM('цех стоки (с разбивкой)'!L12)</f>
        <v>1.4833717638719583</v>
      </c>
      <c r="M49" s="3067">
        <f>SUM('цех стоки (с разбивкой)'!M12)</f>
        <v>2.9667435277439167</v>
      </c>
      <c r="N49" s="3094">
        <f>SUM('цех стоки (с разбивкой)'!N12)</f>
        <v>0.4944572546239861</v>
      </c>
      <c r="O49" s="3094">
        <f>SUM('цех стоки (с разбивкой)'!O12)</f>
        <v>0.4944572546239861</v>
      </c>
      <c r="P49" s="3094">
        <f>SUM('цех стоки (с разбивкой)'!P12)</f>
        <v>0.4944572546239861</v>
      </c>
      <c r="Q49" s="3067">
        <f>SUM('цех стоки (с разбивкой)'!Q12)</f>
        <v>1.4833717638719583</v>
      </c>
      <c r="R49" s="3067">
        <f>SUM('цех стоки (с разбивкой)'!R12)</f>
        <v>4.4501152916158748</v>
      </c>
      <c r="S49" s="3094">
        <f>SUM('цех стоки (с разбивкой)'!S12)</f>
        <v>0.4944572546239861</v>
      </c>
      <c r="T49" s="3094">
        <f>SUM('цех стоки (с разбивкой)'!T12)</f>
        <v>0.4944572546239861</v>
      </c>
      <c r="U49" s="3094">
        <f>SUM('цех стоки (с разбивкой)'!U12)</f>
        <v>0.4944572546239861</v>
      </c>
      <c r="V49" s="3067">
        <f>SUM('цех стоки (с разбивкой)'!V12)</f>
        <v>1.4833717638719583</v>
      </c>
      <c r="W49" s="3087">
        <f t="shared" si="42"/>
        <v>5.9334870554878343</v>
      </c>
    </row>
    <row r="50" spans="1:23" ht="18.75" customHeight="1">
      <c r="A50" s="3093" t="s">
        <v>565</v>
      </c>
      <c r="B50" s="3067">
        <f>SUM('цех стоки (с разбивкой)'!C13)</f>
        <v>0.63334974187791482</v>
      </c>
      <c r="C50" s="3067">
        <f>SUM('цех стоки (с разбивкой)'!D13)</f>
        <v>0</v>
      </c>
      <c r="D50" s="3067">
        <f>SUM('цех стоки (с разбивкой)'!E13)</f>
        <v>5.2779145156492902E-2</v>
      </c>
      <c r="E50" s="3094">
        <f>SUM('цех стоки (с разбивкой)'!E13)</f>
        <v>5.2779145156492902E-2</v>
      </c>
      <c r="F50" s="3094">
        <f>SUM('цех стоки (с разбивкой)'!F13)</f>
        <v>5.2779145156492902E-2</v>
      </c>
      <c r="G50" s="3094">
        <f>SUM('цех стоки (с разбивкой)'!G13)</f>
        <v>5.2779145156492902E-2</v>
      </c>
      <c r="H50" s="3067">
        <f>SUM('цех стоки (с разбивкой)'!H13)</f>
        <v>0.1583374354694787</v>
      </c>
      <c r="I50" s="3094">
        <f>SUM('цех стоки (с разбивкой)'!I13)</f>
        <v>5.2779145156492902E-2</v>
      </c>
      <c r="J50" s="3094">
        <f>SUM('цех стоки (с разбивкой)'!J13)</f>
        <v>5.2779145156492902E-2</v>
      </c>
      <c r="K50" s="3094">
        <f>SUM('цех стоки (с разбивкой)'!K13)</f>
        <v>5.2779145156492902E-2</v>
      </c>
      <c r="L50" s="3067">
        <f>SUM('цех стоки (с разбивкой)'!L13)</f>
        <v>0.1583374354694787</v>
      </c>
      <c r="M50" s="3067">
        <f>SUM('цех стоки (с разбивкой)'!M13)</f>
        <v>0.31667487093895741</v>
      </c>
      <c r="N50" s="3094">
        <f>SUM('цех стоки (с разбивкой)'!N13)</f>
        <v>5.2779145156492902E-2</v>
      </c>
      <c r="O50" s="3094">
        <f>SUM('цех стоки (с разбивкой)'!O13)</f>
        <v>5.2779145156492902E-2</v>
      </c>
      <c r="P50" s="3094">
        <f>SUM('цех стоки (с разбивкой)'!P13)</f>
        <v>5.2779145156492902E-2</v>
      </c>
      <c r="Q50" s="3067">
        <f>SUM('цех стоки (с разбивкой)'!Q13)</f>
        <v>0.1583374354694787</v>
      </c>
      <c r="R50" s="3067">
        <f>SUM('цех стоки (с разбивкой)'!R13)</f>
        <v>0.47501230640843611</v>
      </c>
      <c r="S50" s="3094">
        <f>SUM('цех стоки (с разбивкой)'!S13)</f>
        <v>5.2779145156492902E-2</v>
      </c>
      <c r="T50" s="3094">
        <f>SUM('цех стоки (с разбивкой)'!T13)</f>
        <v>5.2779145156492902E-2</v>
      </c>
      <c r="U50" s="3094">
        <f>SUM('цех стоки (с разбивкой)'!U13)</f>
        <v>5.2779145156492902E-2</v>
      </c>
      <c r="V50" s="3067">
        <f>SUM('цех стоки (с разбивкой)'!V13)</f>
        <v>0.1583374354694787</v>
      </c>
      <c r="W50" s="3087">
        <f t="shared" si="42"/>
        <v>0.63334974187791482</v>
      </c>
    </row>
    <row r="51" spans="1:23" ht="18.75" customHeight="1">
      <c r="A51" s="3091" t="s">
        <v>609</v>
      </c>
      <c r="B51" s="3063">
        <f>SUM('цех стоки (с разбивкой)'!C14)</f>
        <v>65.068352428720502</v>
      </c>
      <c r="C51" s="3063">
        <f>SUM('цех стоки (с разбивкой)'!D14)</f>
        <v>0</v>
      </c>
      <c r="D51" s="3063">
        <f>SUM('цех стоки (с разбивкой)'!E14)</f>
        <v>4.7564965625394686</v>
      </c>
      <c r="E51" s="3092">
        <f>SUM('цех стоки (с разбивкой)'!E14)</f>
        <v>4.7564965625394686</v>
      </c>
      <c r="F51" s="3092">
        <f>SUM('цех стоки (с разбивкой)'!F14)</f>
        <v>4.7564965625394686</v>
      </c>
      <c r="G51" s="3092">
        <f>SUM('цех стоки (с разбивкой)'!G14)</f>
        <v>4.7564965625394686</v>
      </c>
      <c r="H51" s="3063">
        <f>SUM('цех стоки (с разбивкой)'!H14)</f>
        <v>14.269489687618407</v>
      </c>
      <c r="I51" s="3092">
        <f>SUM('цех стоки (с разбивкой)'!I14)</f>
        <v>4.8150580797253175</v>
      </c>
      <c r="J51" s="3092">
        <f>SUM('цех стоки (с разбивкой)'!J14)</f>
        <v>5.7845765309132533</v>
      </c>
      <c r="K51" s="3092">
        <f>SUM('цех стоки (с разбивкой)'!K14)</f>
        <v>6.6304651124866183</v>
      </c>
      <c r="L51" s="3063">
        <f>SUM('цех стоки (с разбивкой)'!L14)</f>
        <v>17.230099723125189</v>
      </c>
      <c r="M51" s="3063">
        <f>SUM('цех стоки (с разбивкой)'!M14)</f>
        <v>31.499589410743596</v>
      </c>
      <c r="N51" s="3092">
        <f>SUM('цех стоки (с разбивкой)'!N14)</f>
        <v>6.8842316869586293</v>
      </c>
      <c r="O51" s="3092">
        <f>SUM('цех стоки (с разбивкой)'!O14)</f>
        <v>6.6304651124866183</v>
      </c>
      <c r="P51" s="3092">
        <f>SUM('цех стоки (с разбивкой)'!P14)</f>
        <v>5.7845765309132533</v>
      </c>
      <c r="Q51" s="3063">
        <f>SUM('цех стоки (с разбивкой)'!Q14)</f>
        <v>19.299273330358499</v>
      </c>
      <c r="R51" s="3063">
        <f>SUM('цех стоки (с разбивкой)'!R14)</f>
        <v>50.798862741102099</v>
      </c>
      <c r="S51" s="3092">
        <f>SUM('цех стоки (с разбивкой)'!S14)</f>
        <v>4.7564965625394686</v>
      </c>
      <c r="T51" s="3092">
        <f>SUM('цех стоки (с разбивкой)'!T14)</f>
        <v>4.7564965625394686</v>
      </c>
      <c r="U51" s="3092">
        <f>SUM('цех стоки (с разбивкой)'!U14)</f>
        <v>4.7564965625394686</v>
      </c>
      <c r="V51" s="3063">
        <f>SUM('цех стоки (с разбивкой)'!V14)</f>
        <v>14.269489687618407</v>
      </c>
      <c r="W51" s="3087">
        <f t="shared" si="42"/>
        <v>65.068352428720502</v>
      </c>
    </row>
    <row r="52" spans="1:23" ht="18.75" customHeight="1">
      <c r="A52" s="3093" t="s">
        <v>551</v>
      </c>
      <c r="B52" s="3067">
        <f>SUM('цех стоки (с разбивкой)'!C15)</f>
        <v>65.068352428720502</v>
      </c>
      <c r="C52" s="3067">
        <f>SUM('цех стоки (с разбивкой)'!D15)</f>
        <v>0</v>
      </c>
      <c r="D52" s="3063">
        <f>SUM('цех стоки (с разбивкой)'!E15)</f>
        <v>4.7564965625394686</v>
      </c>
      <c r="E52" s="3094">
        <f>SUM('цех стоки (с разбивкой)'!E15)</f>
        <v>4.7564965625394686</v>
      </c>
      <c r="F52" s="3094">
        <f>SUM('цех стоки (с разбивкой)'!F15)</f>
        <v>4.7564965625394686</v>
      </c>
      <c r="G52" s="3094">
        <f>SUM('цех стоки (с разбивкой)'!G15)</f>
        <v>4.7564965625394686</v>
      </c>
      <c r="H52" s="3067">
        <f>SUM('цех стоки (с разбивкой)'!H15)</f>
        <v>14.269489687618407</v>
      </c>
      <c r="I52" s="3094">
        <f>SUM('цех стоки (с разбивкой)'!I15)</f>
        <v>4.8150580797253175</v>
      </c>
      <c r="J52" s="3094">
        <f>SUM('цех стоки (с разбивкой)'!J15)</f>
        <v>5.7845765309132533</v>
      </c>
      <c r="K52" s="3094">
        <f>SUM('цех стоки (с разбивкой)'!K15)</f>
        <v>6.6304651124866183</v>
      </c>
      <c r="L52" s="3067">
        <f>SUM('цех стоки (с разбивкой)'!L15)</f>
        <v>17.230099723125189</v>
      </c>
      <c r="M52" s="3067">
        <f>SUM('цех стоки (с разбивкой)'!M15)</f>
        <v>31.499589410743596</v>
      </c>
      <c r="N52" s="3094">
        <f>SUM('цех стоки (с разбивкой)'!N15)</f>
        <v>6.8842316869586293</v>
      </c>
      <c r="O52" s="3094">
        <f>SUM('цех стоки (с разбивкой)'!O15)</f>
        <v>6.6304651124866183</v>
      </c>
      <c r="P52" s="3094">
        <f>SUM('цех стоки (с разбивкой)'!P15)</f>
        <v>5.7845765309132533</v>
      </c>
      <c r="Q52" s="3067">
        <f>SUM('цех стоки (с разбивкой)'!Q15)</f>
        <v>19.299273330358499</v>
      </c>
      <c r="R52" s="3067">
        <f>SUM('цех стоки (с разбивкой)'!R15)</f>
        <v>50.798862741102099</v>
      </c>
      <c r="S52" s="3094">
        <f>SUM('цех стоки (с разбивкой)'!S15)</f>
        <v>4.7564965625394686</v>
      </c>
      <c r="T52" s="3094">
        <f>SUM('цех стоки (с разбивкой)'!T15)</f>
        <v>4.7564965625394686</v>
      </c>
      <c r="U52" s="3094">
        <f>SUM('цех стоки (с разбивкой)'!U15)</f>
        <v>4.7564965625394686</v>
      </c>
      <c r="V52" s="3067">
        <f>SUM('цех стоки (с разбивкой)'!V15)</f>
        <v>14.269489687618407</v>
      </c>
      <c r="W52" s="3087">
        <f t="shared" si="42"/>
        <v>65.068352428720502</v>
      </c>
    </row>
    <row r="53" spans="1:23" ht="18.75" customHeight="1">
      <c r="A53" s="3106" t="s">
        <v>7</v>
      </c>
      <c r="B53" s="3060">
        <f>SUM(стоки!CL17)</f>
        <v>40599.813115461722</v>
      </c>
      <c r="C53" s="3060">
        <f>SUM(стоки!CN17)</f>
        <v>40320.609489516813</v>
      </c>
      <c r="D53" s="3060">
        <f>SUM(стоки!CO17)</f>
        <v>279.20362594490922</v>
      </c>
      <c r="E53" s="3096">
        <f>SUM(E54+E55+E56+E57+E58+E59+E60+E62)</f>
        <v>3356.834317204085</v>
      </c>
      <c r="F53" s="3096">
        <f t="shared" ref="F53:G53" si="50">SUM(F54+F55+F56+F57+F58+F59+F60+F62)</f>
        <v>3345.0193350696227</v>
      </c>
      <c r="G53" s="3096">
        <f t="shared" si="50"/>
        <v>3341.2123178538436</v>
      </c>
      <c r="H53" s="3070">
        <f t="shared" si="34"/>
        <v>10043.065970127551</v>
      </c>
      <c r="I53" s="3096">
        <f t="shared" ref="I53:K53" si="51">SUM(I54+I55+I56+I57+I58+I59+I60+I62)</f>
        <v>3325.0389853921306</v>
      </c>
      <c r="J53" s="3096">
        <f t="shared" si="51"/>
        <v>3273.1299599216431</v>
      </c>
      <c r="K53" s="3096">
        <f t="shared" si="51"/>
        <v>3266.7656940784041</v>
      </c>
      <c r="L53" s="3070">
        <f t="shared" ref="L53:L60" si="52">SUM(I53+J53+K53)</f>
        <v>9864.9346393921769</v>
      </c>
      <c r="M53" s="3070">
        <f t="shared" ref="M53:M60" si="53">SUM(H53+L53)</f>
        <v>19908.000609519728</v>
      </c>
      <c r="N53" s="3096">
        <f t="shared" ref="N53:P53" si="54">SUM(N54+N55+N56+N57+N58+N59+N60+N62)</f>
        <v>3403.6176169749028</v>
      </c>
      <c r="O53" s="3096">
        <f t="shared" si="54"/>
        <v>3403.0447691121558</v>
      </c>
      <c r="P53" s="3096">
        <f t="shared" si="54"/>
        <v>3445.4212243156835</v>
      </c>
      <c r="Q53" s="3070">
        <f t="shared" ref="Q53:Q60" si="55">SUM(N53+O53+P53)</f>
        <v>10252.083610402742</v>
      </c>
      <c r="R53" s="3070">
        <f t="shared" ref="R53:R60" si="56">SUM(M53+Q53)</f>
        <v>30160.084219922472</v>
      </c>
      <c r="S53" s="3096">
        <f t="shared" ref="S53:U53" si="57">SUM(S54+S55+S56+S57+S58+S59+S60+S62)</f>
        <v>3468.4441858475434</v>
      </c>
      <c r="T53" s="3096">
        <f t="shared" si="57"/>
        <v>3478.0391614747559</v>
      </c>
      <c r="U53" s="3096">
        <f t="shared" si="57"/>
        <v>3493.2453094205962</v>
      </c>
      <c r="V53" s="3070">
        <f t="shared" si="41"/>
        <v>10439.728656742895</v>
      </c>
      <c r="W53" s="3085">
        <f t="shared" si="42"/>
        <v>40599.812876665368</v>
      </c>
    </row>
    <row r="54" spans="1:23" ht="18.75" customHeight="1">
      <c r="A54" s="3121" t="s">
        <v>1</v>
      </c>
      <c r="B54" s="3063">
        <f>SUM(стоки!CL18)</f>
        <v>6297.0450759759897</v>
      </c>
      <c r="C54" s="3063">
        <f>SUM(стоки!CN18)</f>
        <v>6260.3550759759901</v>
      </c>
      <c r="D54" s="3063">
        <f>SUM(стоки!CO18)</f>
        <v>36.69</v>
      </c>
      <c r="E54" s="3074">
        <f>SUM('электр (с разбивкой)'!C42)</f>
        <v>520.11385381724995</v>
      </c>
      <c r="F54" s="3074">
        <f>SUM('электр (с разбивкой)'!D42)</f>
        <v>517.08952778175001</v>
      </c>
      <c r="G54" s="3074">
        <f>SUM('электр (с разбивкой)'!E42)</f>
        <v>517.08952778175001</v>
      </c>
      <c r="H54" s="3072">
        <f t="shared" si="34"/>
        <v>1554.2929093807497</v>
      </c>
      <c r="I54" s="3074">
        <f>SUM('электр (с разбивкой)'!G42)</f>
        <v>514.06520174624984</v>
      </c>
      <c r="J54" s="3074">
        <f>SUM('электр (с разбивкой)'!H42)</f>
        <v>486.84626742674993</v>
      </c>
      <c r="K54" s="3074">
        <f>SUM('электр (с разбивкой)'!I42)</f>
        <v>486.84626742674993</v>
      </c>
      <c r="L54" s="3072">
        <f t="shared" ref="L54" si="58">SUM(I54+J54+K54)</f>
        <v>1487.7577365997497</v>
      </c>
      <c r="M54" s="3072">
        <f t="shared" ref="M54" si="59">SUM(H54+L54)</f>
        <v>3042.0506459804992</v>
      </c>
      <c r="N54" s="3074">
        <f>SUM('электр (с разбивкой)'!L42)</f>
        <v>520.92550614662252</v>
      </c>
      <c r="O54" s="3074">
        <f>SUM('электр (с разбивкой)'!M42)</f>
        <v>520.92550614662252</v>
      </c>
      <c r="P54" s="3074">
        <f>SUM('электр (с разбивкой)'!N42)</f>
        <v>550.04976586848738</v>
      </c>
      <c r="Q54" s="3072">
        <f t="shared" ref="Q54" si="60">SUM(N54+O54+P54)</f>
        <v>1591.9007781617324</v>
      </c>
      <c r="R54" s="3072">
        <f t="shared" ref="R54" si="61">SUM(M54+Q54)</f>
        <v>4633.9514241422312</v>
      </c>
      <c r="S54" s="3074">
        <f>SUM('электр (с разбивкой)'!Q42)</f>
        <v>553.28579472647255</v>
      </c>
      <c r="T54" s="3074">
        <f>SUM('электр (с разбивкой)'!R42)</f>
        <v>553.28579472647255</v>
      </c>
      <c r="U54" s="3074">
        <f>SUM('электр (с разбивкой)'!S42)</f>
        <v>556.52182358445759</v>
      </c>
      <c r="V54" s="3072">
        <f t="shared" si="41"/>
        <v>1663.0934130374026</v>
      </c>
      <c r="W54" s="642">
        <f t="shared" si="42"/>
        <v>6297.0448371796347</v>
      </c>
    </row>
    <row r="55" spans="1:23" ht="18.75" customHeight="1">
      <c r="A55" s="3121" t="s">
        <v>8</v>
      </c>
      <c r="B55" s="3063">
        <f>SUM(стоки!CL19)</f>
        <v>326.33343701052956</v>
      </c>
      <c r="C55" s="3063">
        <f>SUM(стоки!CN19)</f>
        <v>324.01662962275776</v>
      </c>
      <c r="D55" s="3063">
        <f>SUM(стоки!CO19)</f>
        <v>2.316807387771787</v>
      </c>
      <c r="E55" s="3071">
        <f>SUM(B55/12)</f>
        <v>27.194453084210796</v>
      </c>
      <c r="F55" s="3071">
        <f t="shared" ref="F55:F58" si="62">SUM(E55)</f>
        <v>27.194453084210796</v>
      </c>
      <c r="G55" s="3071">
        <f t="shared" ref="G55:G58" si="63">SUM(F55)</f>
        <v>27.194453084210796</v>
      </c>
      <c r="H55" s="3072">
        <f t="shared" si="34"/>
        <v>81.583359252632391</v>
      </c>
      <c r="I55" s="3071">
        <f>SUM(E55)</f>
        <v>27.194453084210796</v>
      </c>
      <c r="J55" s="3071">
        <f>SUM(E55)</f>
        <v>27.194453084210796</v>
      </c>
      <c r="K55" s="3071">
        <f>SUM(E55)</f>
        <v>27.194453084210796</v>
      </c>
      <c r="L55" s="3072">
        <f t="shared" si="52"/>
        <v>81.583359252632391</v>
      </c>
      <c r="M55" s="3072">
        <f t="shared" si="53"/>
        <v>163.16671850526478</v>
      </c>
      <c r="N55" s="3071">
        <f>SUM(E55)</f>
        <v>27.194453084210796</v>
      </c>
      <c r="O55" s="3071">
        <f>SUM(E55)</f>
        <v>27.194453084210796</v>
      </c>
      <c r="P55" s="3071">
        <f>E55</f>
        <v>27.194453084210796</v>
      </c>
      <c r="Q55" s="3072">
        <f t="shared" si="55"/>
        <v>81.583359252632391</v>
      </c>
      <c r="R55" s="3072">
        <f t="shared" si="56"/>
        <v>244.75007775789717</v>
      </c>
      <c r="S55" s="3071">
        <f>E55</f>
        <v>27.194453084210796</v>
      </c>
      <c r="T55" s="3071">
        <f>E55</f>
        <v>27.194453084210796</v>
      </c>
      <c r="U55" s="3071">
        <f>E55</f>
        <v>27.194453084210796</v>
      </c>
      <c r="V55" s="3072">
        <f t="shared" si="41"/>
        <v>81.583359252632391</v>
      </c>
      <c r="W55" s="3087">
        <f t="shared" si="42"/>
        <v>326.33343701052962</v>
      </c>
    </row>
    <row r="56" spans="1:23" ht="18.75" customHeight="1">
      <c r="A56" s="3121" t="s">
        <v>2</v>
      </c>
      <c r="B56" s="3063">
        <f>SUM(стоки!CL20)</f>
        <v>588.47</v>
      </c>
      <c r="C56" s="3063">
        <f>SUM(стоки!CN20)</f>
        <v>583.35</v>
      </c>
      <c r="D56" s="3063">
        <f>SUM(стоки!CO20)</f>
        <v>5.12</v>
      </c>
      <c r="E56" s="3071">
        <f>SUM(B56/12)</f>
        <v>49.039166666666667</v>
      </c>
      <c r="F56" s="3071">
        <f t="shared" si="62"/>
        <v>49.039166666666667</v>
      </c>
      <c r="G56" s="3071">
        <f t="shared" si="63"/>
        <v>49.039166666666667</v>
      </c>
      <c r="H56" s="3072">
        <f t="shared" si="34"/>
        <v>147.11750000000001</v>
      </c>
      <c r="I56" s="3071">
        <f>SUM(E56)</f>
        <v>49.039166666666667</v>
      </c>
      <c r="J56" s="3071">
        <f>SUM(E56)</f>
        <v>49.039166666666667</v>
      </c>
      <c r="K56" s="3071">
        <f>SUM(E56)</f>
        <v>49.039166666666667</v>
      </c>
      <c r="L56" s="3072">
        <f t="shared" si="52"/>
        <v>147.11750000000001</v>
      </c>
      <c r="M56" s="3072">
        <f t="shared" si="53"/>
        <v>294.23500000000001</v>
      </c>
      <c r="N56" s="3071">
        <f>SUM(E56)</f>
        <v>49.039166666666667</v>
      </c>
      <c r="O56" s="3071">
        <f>SUM(E56)</f>
        <v>49.039166666666667</v>
      </c>
      <c r="P56" s="3071">
        <f>E56</f>
        <v>49.039166666666667</v>
      </c>
      <c r="Q56" s="3072">
        <f t="shared" si="55"/>
        <v>147.11750000000001</v>
      </c>
      <c r="R56" s="3072">
        <f t="shared" si="56"/>
        <v>441.35250000000002</v>
      </c>
      <c r="S56" s="3071">
        <f>E56</f>
        <v>49.039166666666667</v>
      </c>
      <c r="T56" s="3071">
        <f>E56</f>
        <v>49.039166666666667</v>
      </c>
      <c r="U56" s="3071">
        <f>E56</f>
        <v>49.039166666666667</v>
      </c>
      <c r="V56" s="3072">
        <f t="shared" si="41"/>
        <v>147.11750000000001</v>
      </c>
      <c r="W56" s="3087">
        <f t="shared" si="42"/>
        <v>588.47000000000014</v>
      </c>
    </row>
    <row r="57" spans="1:23" ht="18.75" customHeight="1">
      <c r="A57" s="3121" t="s">
        <v>69</v>
      </c>
      <c r="B57" s="3063">
        <f>SUM(стоки!BU21)</f>
        <v>0</v>
      </c>
      <c r="C57" s="3063">
        <f>SUM(стоки!BW21)</f>
        <v>0</v>
      </c>
      <c r="D57" s="3063">
        <f>SUM(стоки!BX21)</f>
        <v>0</v>
      </c>
      <c r="E57" s="3071">
        <f>SUM(B57/12)</f>
        <v>0</v>
      </c>
      <c r="F57" s="3071">
        <f t="shared" si="62"/>
        <v>0</v>
      </c>
      <c r="G57" s="3071">
        <f t="shared" si="63"/>
        <v>0</v>
      </c>
      <c r="H57" s="3072">
        <f t="shared" si="34"/>
        <v>0</v>
      </c>
      <c r="I57" s="3071">
        <f>SUM(E57)</f>
        <v>0</v>
      </c>
      <c r="J57" s="3071">
        <f>SUM(E57)</f>
        <v>0</v>
      </c>
      <c r="K57" s="3071">
        <f>SUM(E57)</f>
        <v>0</v>
      </c>
      <c r="L57" s="3072">
        <f t="shared" si="52"/>
        <v>0</v>
      </c>
      <c r="M57" s="3072">
        <f t="shared" si="53"/>
        <v>0</v>
      </c>
      <c r="N57" s="3071">
        <f>SUM(E57)</f>
        <v>0</v>
      </c>
      <c r="O57" s="3071">
        <f>SUM(E57)</f>
        <v>0</v>
      </c>
      <c r="P57" s="3071">
        <f>E57</f>
        <v>0</v>
      </c>
      <c r="Q57" s="3072">
        <f t="shared" si="55"/>
        <v>0</v>
      </c>
      <c r="R57" s="3072">
        <f t="shared" si="56"/>
        <v>0</v>
      </c>
      <c r="S57" s="3071">
        <f>E57</f>
        <v>0</v>
      </c>
      <c r="T57" s="3071">
        <f>E57</f>
        <v>0</v>
      </c>
      <c r="U57" s="3071">
        <f>E57</f>
        <v>0</v>
      </c>
      <c r="V57" s="3072">
        <f t="shared" si="41"/>
        <v>0</v>
      </c>
      <c r="W57" s="3087">
        <f t="shared" si="42"/>
        <v>0</v>
      </c>
    </row>
    <row r="58" spans="1:23" ht="18.75" customHeight="1">
      <c r="A58" s="3121" t="s">
        <v>3</v>
      </c>
      <c r="B58" s="3063">
        <f>SUM(стоки!CL22)</f>
        <v>0</v>
      </c>
      <c r="C58" s="3063">
        <f>SUM(стоки!CN22)</f>
        <v>0</v>
      </c>
      <c r="D58" s="3063">
        <f>SUM(стоки!CO22)</f>
        <v>0</v>
      </c>
      <c r="E58" s="3071">
        <f>SUM(B58/12)</f>
        <v>0</v>
      </c>
      <c r="F58" s="3071">
        <f t="shared" si="62"/>
        <v>0</v>
      </c>
      <c r="G58" s="3071">
        <f t="shared" si="63"/>
        <v>0</v>
      </c>
      <c r="H58" s="3072">
        <f t="shared" si="34"/>
        <v>0</v>
      </c>
      <c r="I58" s="3071">
        <f>SUM(E58)</f>
        <v>0</v>
      </c>
      <c r="J58" s="3071">
        <f>SUM(E58)</f>
        <v>0</v>
      </c>
      <c r="K58" s="3071">
        <f>SUM(E58)</f>
        <v>0</v>
      </c>
      <c r="L58" s="3072">
        <f t="shared" si="52"/>
        <v>0</v>
      </c>
      <c r="M58" s="3072">
        <f t="shared" si="53"/>
        <v>0</v>
      </c>
      <c r="N58" s="3071">
        <f>SUM(E58)</f>
        <v>0</v>
      </c>
      <c r="O58" s="3071">
        <f>SUM(E58)</f>
        <v>0</v>
      </c>
      <c r="P58" s="3071">
        <f>E58</f>
        <v>0</v>
      </c>
      <c r="Q58" s="3072">
        <f t="shared" si="55"/>
        <v>0</v>
      </c>
      <c r="R58" s="3072">
        <f t="shared" si="56"/>
        <v>0</v>
      </c>
      <c r="S58" s="3071">
        <f>E58</f>
        <v>0</v>
      </c>
      <c r="T58" s="3071">
        <f>E58</f>
        <v>0</v>
      </c>
      <c r="U58" s="3071">
        <f>E58</f>
        <v>0</v>
      </c>
      <c r="V58" s="3072">
        <f t="shared" si="41"/>
        <v>0</v>
      </c>
      <c r="W58" s="3087">
        <f t="shared" si="42"/>
        <v>0</v>
      </c>
    </row>
    <row r="59" spans="1:23" ht="18.75" customHeight="1">
      <c r="A59" s="3121" t="s">
        <v>4</v>
      </c>
      <c r="B59" s="3063">
        <f>SUM(стоки!CL23)</f>
        <v>19590.356388767952</v>
      </c>
      <c r="C59" s="3063">
        <f>SUM(стоки!CN23)</f>
        <v>19451.274464383001</v>
      </c>
      <c r="D59" s="3063">
        <f>SUM(стоки!CO23)</f>
        <v>139.08192438495129</v>
      </c>
      <c r="E59" s="3071">
        <f>SUM(ЗП!DI31/2)/(1+(104%*100-100)/2/100)/6</f>
        <v>1600.5193128078392</v>
      </c>
      <c r="F59" s="3071">
        <f>SUM(E59)</f>
        <v>1600.5193128078392</v>
      </c>
      <c r="G59" s="3071">
        <f>SUM(E59)</f>
        <v>1600.5193128078392</v>
      </c>
      <c r="H59" s="3072">
        <f t="shared" si="34"/>
        <v>4801.557938423518</v>
      </c>
      <c r="I59" s="3071">
        <f>SUM(E59)</f>
        <v>1600.5193128078392</v>
      </c>
      <c r="J59" s="3071">
        <f>SUM(E59)</f>
        <v>1600.5193128078392</v>
      </c>
      <c r="K59" s="3071">
        <f>SUM(E59)</f>
        <v>1600.5193128078392</v>
      </c>
      <c r="L59" s="3072">
        <f t="shared" si="52"/>
        <v>4801.557938423518</v>
      </c>
      <c r="M59" s="3072">
        <f t="shared" si="53"/>
        <v>9603.1158768470359</v>
      </c>
      <c r="N59" s="3071">
        <f>SUM(ЗП!DI31-M59)/6</f>
        <v>1664.5400853201527</v>
      </c>
      <c r="O59" s="3071">
        <f>SUM(N59)</f>
        <v>1664.5400853201527</v>
      </c>
      <c r="P59" s="3071">
        <f>SUM(N59)</f>
        <v>1664.5400853201527</v>
      </c>
      <c r="Q59" s="3072">
        <f t="shared" si="55"/>
        <v>4993.6202559604581</v>
      </c>
      <c r="R59" s="3072">
        <f t="shared" si="56"/>
        <v>14596.736132807495</v>
      </c>
      <c r="S59" s="3071">
        <f>SUM(N59)</f>
        <v>1664.5400853201527</v>
      </c>
      <c r="T59" s="3071">
        <f>SUM(N59)</f>
        <v>1664.5400853201527</v>
      </c>
      <c r="U59" s="3071">
        <f>SUM(N59)</f>
        <v>1664.5400853201527</v>
      </c>
      <c r="V59" s="3072">
        <f t="shared" si="41"/>
        <v>4993.6202559604581</v>
      </c>
      <c r="W59" s="3087">
        <f t="shared" si="42"/>
        <v>19590.356388767956</v>
      </c>
    </row>
    <row r="60" spans="1:23" ht="18.75" customHeight="1">
      <c r="A60" s="3121" t="s">
        <v>121</v>
      </c>
      <c r="B60" s="3063">
        <f>SUM(стоки!CL24)</f>
        <v>5900.615344296908</v>
      </c>
      <c r="C60" s="3063">
        <f>SUM(стоки!CN24)</f>
        <v>5858.7238686721603</v>
      </c>
      <c r="D60" s="3063">
        <f>SUM(стоки!CO24)</f>
        <v>41.891475624747329</v>
      </c>
      <c r="E60" s="3071">
        <f>SUM(E59*E61)</f>
        <v>482.07641701772121</v>
      </c>
      <c r="F60" s="3071">
        <f>SUM(F59*F61)</f>
        <v>482.07641701772121</v>
      </c>
      <c r="G60" s="3071">
        <f>SUM(G59*G61)</f>
        <v>482.07641701772121</v>
      </c>
      <c r="H60" s="3072">
        <f t="shared" si="34"/>
        <v>1446.2292510531636</v>
      </c>
      <c r="I60" s="3071">
        <f>SUM(I59*I61)</f>
        <v>482.07641701772121</v>
      </c>
      <c r="J60" s="3071">
        <f>SUM(J59*J61)</f>
        <v>482.07641701772121</v>
      </c>
      <c r="K60" s="3071">
        <f>SUM(K59*K61)</f>
        <v>482.07641701772121</v>
      </c>
      <c r="L60" s="3072">
        <f t="shared" si="52"/>
        <v>1446.2292510531636</v>
      </c>
      <c r="M60" s="3072">
        <f t="shared" si="53"/>
        <v>2892.4585021063272</v>
      </c>
      <c r="N60" s="3071">
        <f>SUM(N59*N61)</f>
        <v>501.35947369843001</v>
      </c>
      <c r="O60" s="3071">
        <f>SUM(O59*O61)</f>
        <v>501.35947369843001</v>
      </c>
      <c r="P60" s="3071">
        <f>SUM(P59*P61)</f>
        <v>501.35947369843001</v>
      </c>
      <c r="Q60" s="3072">
        <f t="shared" si="55"/>
        <v>1504.07842109529</v>
      </c>
      <c r="R60" s="3072">
        <f t="shared" si="56"/>
        <v>4396.5369232016174</v>
      </c>
      <c r="S60" s="3071">
        <f>SUM(S59*S61)</f>
        <v>501.35947369843001</v>
      </c>
      <c r="T60" s="3071">
        <f>SUM(T59*T61)</f>
        <v>501.35947369843001</v>
      </c>
      <c r="U60" s="3071">
        <f>SUM(U59*U61)</f>
        <v>501.35947369843001</v>
      </c>
      <c r="V60" s="3072">
        <f t="shared" si="41"/>
        <v>1504.07842109529</v>
      </c>
      <c r="W60" s="3087">
        <f t="shared" si="42"/>
        <v>5900.6153442969062</v>
      </c>
    </row>
    <row r="61" spans="1:23" ht="18.75" customHeight="1">
      <c r="A61" s="3122" t="str">
        <f>A41</f>
        <v>то же в %</v>
      </c>
      <c r="B61" s="3068">
        <f>SUM(B60/B59)</f>
        <v>0.30120000000000002</v>
      </c>
      <c r="C61" s="3068">
        <f t="shared" ref="C61:D61" si="64">SUM(C60/C59)</f>
        <v>0.30120000000000002</v>
      </c>
      <c r="D61" s="3068">
        <f t="shared" si="64"/>
        <v>0.30120000000000002</v>
      </c>
      <c r="E61" s="3097">
        <f>SUM(B61)</f>
        <v>0.30120000000000002</v>
      </c>
      <c r="F61" s="3097">
        <f>SUM(E61)</f>
        <v>0.30120000000000002</v>
      </c>
      <c r="G61" s="3097">
        <f>SUM(E61)</f>
        <v>0.30120000000000002</v>
      </c>
      <c r="H61" s="3068">
        <f>SUM(H60/H59)</f>
        <v>0.30119999999999997</v>
      </c>
      <c r="I61" s="3097">
        <f>SUM(E61)</f>
        <v>0.30120000000000002</v>
      </c>
      <c r="J61" s="3097">
        <f>SUM(E61)</f>
        <v>0.30120000000000002</v>
      </c>
      <c r="K61" s="3097">
        <f>SUM(E61)</f>
        <v>0.30120000000000002</v>
      </c>
      <c r="L61" s="3068">
        <f>SUM(L60/L59)</f>
        <v>0.30119999999999997</v>
      </c>
      <c r="M61" s="3068">
        <f>SUM(M60/M59)</f>
        <v>0.30119999999999997</v>
      </c>
      <c r="N61" s="3097">
        <f>SUM(E61)</f>
        <v>0.30120000000000002</v>
      </c>
      <c r="O61" s="3097">
        <f>SUM(E61)</f>
        <v>0.30120000000000002</v>
      </c>
      <c r="P61" s="3097">
        <f>SUM(E61)</f>
        <v>0.30120000000000002</v>
      </c>
      <c r="Q61" s="3068">
        <f>SUM(Q60/Q59)</f>
        <v>0.30120000000000002</v>
      </c>
      <c r="R61" s="3068">
        <f>SUM(R60/R59)</f>
        <v>0.30119999999999997</v>
      </c>
      <c r="S61" s="3097">
        <f>SUM(E61)</f>
        <v>0.30120000000000002</v>
      </c>
      <c r="T61" s="3097">
        <f>SUM(E61)</f>
        <v>0.30120000000000002</v>
      </c>
      <c r="U61" s="3097">
        <f>SUM(E61)</f>
        <v>0.30120000000000002</v>
      </c>
      <c r="V61" s="3068">
        <f>SUM(V60/V59)</f>
        <v>0.30120000000000002</v>
      </c>
      <c r="W61" s="3089">
        <f>SUM(W60/W59)</f>
        <v>0.30119999999999991</v>
      </c>
    </row>
    <row r="62" spans="1:23" ht="18.75" customHeight="1">
      <c r="A62" s="3103" t="s">
        <v>1723</v>
      </c>
      <c r="B62" s="3060">
        <f>SUM('цех стоки (с разбивкой)'!B16)</f>
        <v>7896.9928694103428</v>
      </c>
      <c r="C62" s="3060">
        <f>SUM('цех стоки (с разбивкой)'!C16)</f>
        <v>7842.8894508629037</v>
      </c>
      <c r="D62" s="3060">
        <f>SUM('цех стоки (с разбивкой)'!D16)</f>
        <v>54.103418547438842</v>
      </c>
      <c r="E62" s="3073">
        <f>SUM('цех стоки (с разбивкой)'!E16)</f>
        <v>677.89111381039743</v>
      </c>
      <c r="F62" s="3073">
        <f>SUM('цех стоки (с разбивкой)'!F16)</f>
        <v>669.10045771143484</v>
      </c>
      <c r="G62" s="3073">
        <f>SUM('цех стоки (с разбивкой)'!G16)</f>
        <v>665.29344049565577</v>
      </c>
      <c r="H62" s="3060">
        <f>SUM('цех стоки (с разбивкой)'!H16)</f>
        <v>2012.285012017488</v>
      </c>
      <c r="I62" s="3073">
        <f>SUM('цех стоки (с разбивкой)'!I16)</f>
        <v>652.14443406944304</v>
      </c>
      <c r="J62" s="3073">
        <f>SUM('цех стоки (с разбивкой)'!J16)</f>
        <v>627.45434291845493</v>
      </c>
      <c r="K62" s="3073">
        <f>SUM('цех стоки (с разбивкой)'!K16)</f>
        <v>621.09007707521596</v>
      </c>
      <c r="L62" s="3060">
        <f>SUM('цех стоки (с разбивкой)'!L16)</f>
        <v>1900.6888540631139</v>
      </c>
      <c r="M62" s="3060">
        <f>SUM('цех стоки (с разбивкой)'!M16)</f>
        <v>3912.973866080602</v>
      </c>
      <c r="N62" s="3073">
        <f>SUM('цех стоки (с разбивкой)'!N16)</f>
        <v>640.55893205882001</v>
      </c>
      <c r="O62" s="3073">
        <f>SUM('цех стоки (с разбивкой)'!O16)</f>
        <v>639.98608419607297</v>
      </c>
      <c r="P62" s="3073">
        <f>SUM('цех стоки (с разбивкой)'!P16)</f>
        <v>653.23827967773616</v>
      </c>
      <c r="Q62" s="3060">
        <f>SUM('цех стоки (с разбивкой)'!Q16)</f>
        <v>1933.7832959326292</v>
      </c>
      <c r="R62" s="3060">
        <f>SUM('цех стоки (с разбивкой)'!R16)</f>
        <v>5846.7571620132312</v>
      </c>
      <c r="S62" s="3073">
        <f>SUM('цех стоки (с разбивкой)'!S16)</f>
        <v>673.02521235161055</v>
      </c>
      <c r="T62" s="3073">
        <f>SUM('цех стоки (с разбивкой)'!T16)</f>
        <v>682.62018797882331</v>
      </c>
      <c r="U62" s="3073">
        <f>SUM('цех стоки (с разбивкой)'!U16)</f>
        <v>694.59030706667806</v>
      </c>
      <c r="V62" s="3060">
        <f>SUM('цех стоки (с разбивкой)'!V16)</f>
        <v>2050.235707397112</v>
      </c>
      <c r="W62" s="3085">
        <f t="shared" si="42"/>
        <v>7896.9928694103428</v>
      </c>
    </row>
    <row r="63" spans="1:23" ht="18.75" customHeight="1">
      <c r="A63" s="3091" t="s">
        <v>72</v>
      </c>
      <c r="B63" s="3063">
        <f>SUM('цех стоки (с разбивкой)'!B17)</f>
        <v>4446.7966847649641</v>
      </c>
      <c r="C63" s="3063">
        <f>SUM('цех стоки (с разбивкой)'!C17)</f>
        <v>4416.3310497809016</v>
      </c>
      <c r="D63" s="3063">
        <f>SUM('цех стоки (с разбивкой)'!D17)</f>
        <v>30.46563498406249</v>
      </c>
      <c r="E63" s="3092">
        <f>SUM('цех стоки (с разбивкой)'!E17)</f>
        <v>363.30038274223563</v>
      </c>
      <c r="F63" s="3092">
        <f>SUM('цех стоки (с разбивкой)'!F17)</f>
        <v>363.30038274223563</v>
      </c>
      <c r="G63" s="3092">
        <f>SUM('цех стоки (с разбивкой)'!G17)</f>
        <v>363.30038274223563</v>
      </c>
      <c r="H63" s="3063">
        <f>SUM('цех стоки (с разбивкой)'!H17)</f>
        <v>1089.9011482267069</v>
      </c>
      <c r="I63" s="3092">
        <f>SUM('цех стоки (с разбивкой)'!I17)</f>
        <v>363.30038274223563</v>
      </c>
      <c r="J63" s="3092">
        <f>SUM('цех стоки (с разбивкой)'!J17)</f>
        <v>363.30038274223563</v>
      </c>
      <c r="K63" s="3092">
        <f>SUM('цех стоки (с разбивкой)'!K17)</f>
        <v>363.30038274223563</v>
      </c>
      <c r="L63" s="3063">
        <f>SUM('цех стоки (с разбивкой)'!L17)</f>
        <v>1089.9011482267069</v>
      </c>
      <c r="M63" s="3063">
        <f>SUM('цех стоки (с разбивкой)'!M17)</f>
        <v>2179.8022964534139</v>
      </c>
      <c r="N63" s="3092">
        <f>SUM('цех стоки (с разбивкой)'!N17)</f>
        <v>377.83239805192505</v>
      </c>
      <c r="O63" s="3092">
        <f>SUM('цех стоки (с разбивкой)'!O17)</f>
        <v>377.83239805192505</v>
      </c>
      <c r="P63" s="3092">
        <f>SUM('цех стоки (с разбивкой)'!P17)</f>
        <v>377.83239805192505</v>
      </c>
      <c r="Q63" s="3063">
        <f>SUM('цех стоки (с разбивкой)'!Q17)</f>
        <v>1133.4971941557751</v>
      </c>
      <c r="R63" s="3063">
        <f>SUM('цех стоки (с разбивкой)'!R17)</f>
        <v>3313.299490609189</v>
      </c>
      <c r="S63" s="3092">
        <f>SUM('цех стоки (с разбивкой)'!S17)</f>
        <v>377.83239805192505</v>
      </c>
      <c r="T63" s="3092">
        <f>SUM('цех стоки (с разбивкой)'!T17)</f>
        <v>377.83239805192505</v>
      </c>
      <c r="U63" s="3092">
        <f>SUM('цех стоки (с разбивкой)'!U17)</f>
        <v>377.83239805192505</v>
      </c>
      <c r="V63" s="3063">
        <f>SUM('цех стоки (с разбивкой)'!V17)</f>
        <v>1133.4971941557751</v>
      </c>
      <c r="W63" s="3087">
        <f t="shared" si="42"/>
        <v>4446.7966847649632</v>
      </c>
    </row>
    <row r="64" spans="1:23" ht="18.75" customHeight="1">
      <c r="A64" s="3091" t="s">
        <v>121</v>
      </c>
      <c r="B64" s="3063">
        <f>SUM('цех стоки (с разбивкой)'!B18)</f>
        <v>1335.3814942172889</v>
      </c>
      <c r="C64" s="3063">
        <f>SUM('цех стоки (с разбивкой)'!C18)</f>
        <v>1326.2326061409169</v>
      </c>
      <c r="D64" s="3063">
        <f>SUM('цех стоки (с разбивкой)'!D18)</f>
        <v>9.1488880763720317</v>
      </c>
      <c r="E64" s="3092">
        <f>SUM('цех стоки (с разбивкой)'!E18)</f>
        <v>109.09979527919027</v>
      </c>
      <c r="F64" s="3092">
        <f>SUM('цех стоки (с разбивкой)'!F18)</f>
        <v>109.09979527919027</v>
      </c>
      <c r="G64" s="3092">
        <f>SUM('цех стоки (с разбивкой)'!G18)</f>
        <v>109.09979527919027</v>
      </c>
      <c r="H64" s="3063">
        <f>SUM('цех стоки (с разбивкой)'!H18)</f>
        <v>327.29938583757081</v>
      </c>
      <c r="I64" s="3092">
        <f>SUM('цех стоки (с разбивкой)'!I18)</f>
        <v>109.09979527919027</v>
      </c>
      <c r="J64" s="3092">
        <f>SUM('цех стоки (с разбивкой)'!J18)</f>
        <v>109.09979527919027</v>
      </c>
      <c r="K64" s="3092">
        <f>SUM('цех стоки (с разбивкой)'!K18)</f>
        <v>109.09979527919027</v>
      </c>
      <c r="L64" s="3063">
        <f>SUM('цех стоки (с разбивкой)'!L18)</f>
        <v>327.29938583757081</v>
      </c>
      <c r="M64" s="3063">
        <f>SUM('цех стоки (с разбивкой)'!M18)</f>
        <v>654.59877167514162</v>
      </c>
      <c r="N64" s="3092">
        <f>SUM('цех стоки (с разбивкой)'!N18)</f>
        <v>113.46378709035788</v>
      </c>
      <c r="O64" s="3092">
        <f>SUM('цех стоки (с разбивкой)'!O18)</f>
        <v>113.46378709035788</v>
      </c>
      <c r="P64" s="3092">
        <f>SUM('цех стоки (с разбивкой)'!P18)</f>
        <v>113.46378709035788</v>
      </c>
      <c r="Q64" s="3063">
        <f>SUM('цех стоки (с разбивкой)'!Q18)</f>
        <v>340.39136127107366</v>
      </c>
      <c r="R64" s="3063">
        <f>SUM('цех стоки (с разбивкой)'!R18)</f>
        <v>994.99013294621523</v>
      </c>
      <c r="S64" s="3092">
        <f>SUM('цех стоки (с разбивкой)'!S18)</f>
        <v>113.46378709035788</v>
      </c>
      <c r="T64" s="3092">
        <f>SUM('цех стоки (с разбивкой)'!T18)</f>
        <v>113.46378709035788</v>
      </c>
      <c r="U64" s="3092">
        <f>SUM('цех стоки (с разбивкой)'!U18)</f>
        <v>113.46378709035788</v>
      </c>
      <c r="V64" s="3063">
        <f>SUM('цех стоки (с разбивкой)'!V18)</f>
        <v>340.39136127107366</v>
      </c>
      <c r="W64" s="3087">
        <f t="shared" si="42"/>
        <v>1335.3814942172892</v>
      </c>
    </row>
    <row r="65" spans="1:23" ht="18.75" customHeight="1">
      <c r="A65" s="3091" t="s">
        <v>52</v>
      </c>
      <c r="B65" s="3063">
        <f>SUM('цех стоки (с разбивкой)'!B19)</f>
        <v>21.321880747407928</v>
      </c>
      <c r="C65" s="3063">
        <f>SUM('цех стоки (с разбивкой)'!C19)</f>
        <v>21.175801517329841</v>
      </c>
      <c r="D65" s="3063">
        <f>SUM('цех стоки (с разбивкой)'!D19)</f>
        <v>0.14607923007808665</v>
      </c>
      <c r="E65" s="3092">
        <f>SUM('цех стоки (с разбивкой)'!E19)</f>
        <v>1.7768233956173274</v>
      </c>
      <c r="F65" s="3092">
        <f>SUM('цех стоки (с разбивкой)'!F19)</f>
        <v>1.7768233956173274</v>
      </c>
      <c r="G65" s="3092">
        <f>SUM('цех стоки (с разбивкой)'!G19)</f>
        <v>1.7768233956173274</v>
      </c>
      <c r="H65" s="3063">
        <f>SUM('цех стоки (с разбивкой)'!H19)</f>
        <v>5.3304701868519819</v>
      </c>
      <c r="I65" s="3092">
        <f>SUM('цех стоки (с разбивкой)'!I19)</f>
        <v>1.7768233956173274</v>
      </c>
      <c r="J65" s="3092">
        <f>SUM('цех стоки (с разбивкой)'!J19)</f>
        <v>1.7768233956173274</v>
      </c>
      <c r="K65" s="3092">
        <f>SUM('цех стоки (с разбивкой)'!K19)</f>
        <v>1.7768233956173274</v>
      </c>
      <c r="L65" s="3063">
        <f>SUM('цех стоки (с разбивкой)'!L19)</f>
        <v>5.3304701868519819</v>
      </c>
      <c r="M65" s="3063">
        <f>SUM('цех стоки (с разбивкой)'!M19)</f>
        <v>10.660940373703964</v>
      </c>
      <c r="N65" s="3092">
        <f>SUM('цех стоки (с разбивкой)'!N19)</f>
        <v>1.7768233956173274</v>
      </c>
      <c r="O65" s="3092">
        <f>SUM('цех стоки (с разбивкой)'!O19)</f>
        <v>1.7768233956173274</v>
      </c>
      <c r="P65" s="3092">
        <f>SUM('цех стоки (с разбивкой)'!P19)</f>
        <v>1.7768233956173274</v>
      </c>
      <c r="Q65" s="3063">
        <f>SUM('цех стоки (с разбивкой)'!Q19)</f>
        <v>5.3304701868519819</v>
      </c>
      <c r="R65" s="3063">
        <f>SUM('цех стоки (с разбивкой)'!R19)</f>
        <v>15.991410560555945</v>
      </c>
      <c r="S65" s="3092">
        <f>SUM('цех стоки (с разбивкой)'!S19)</f>
        <v>1.7768233956173274</v>
      </c>
      <c r="T65" s="3092">
        <f>SUM('цех стоки (с разбивкой)'!T19)</f>
        <v>1.7768233956173274</v>
      </c>
      <c r="U65" s="3092">
        <f>SUM('цех стоки (с разбивкой)'!U19)</f>
        <v>1.7768233956173274</v>
      </c>
      <c r="V65" s="3063">
        <f>SUM('цех стоки (с разбивкой)'!V19)</f>
        <v>5.3304701868519819</v>
      </c>
      <c r="W65" s="3087">
        <f t="shared" si="42"/>
        <v>21.321880747407928</v>
      </c>
    </row>
    <row r="66" spans="1:23" ht="18.75" customHeight="1">
      <c r="A66" s="3091" t="s">
        <v>637</v>
      </c>
      <c r="B66" s="3063">
        <f>SUM('цех стоки (с разбивкой)'!B20)</f>
        <v>33.167370051523434</v>
      </c>
      <c r="C66" s="3063">
        <f>SUM('цех стоки (с разбивкой)'!C20)</f>
        <v>32.940135693624192</v>
      </c>
      <c r="D66" s="3063">
        <f>SUM('цех стоки (с разбивкой)'!D20)</f>
        <v>0.22723435789924196</v>
      </c>
      <c r="E66" s="3092">
        <f>SUM('цех стоки (с разбивкой)'!E20)</f>
        <v>2.7639475042936197</v>
      </c>
      <c r="F66" s="3092">
        <f>SUM('цех стоки (с разбивкой)'!F20)</f>
        <v>2.7639475042936197</v>
      </c>
      <c r="G66" s="3092">
        <f>SUM('цех стоки (с разбивкой)'!G20)</f>
        <v>2.7639475042936197</v>
      </c>
      <c r="H66" s="3063">
        <f>SUM('цех стоки (с разбивкой)'!H20)</f>
        <v>8.2918425128808586</v>
      </c>
      <c r="I66" s="3092">
        <f>SUM('цех стоки (с разбивкой)'!I20)</f>
        <v>2.7639475042936197</v>
      </c>
      <c r="J66" s="3092">
        <f>SUM('цех стоки (с разбивкой)'!J20)</f>
        <v>2.7639475042936197</v>
      </c>
      <c r="K66" s="3092">
        <f>SUM('цех стоки (с разбивкой)'!K20)</f>
        <v>2.7639475042936197</v>
      </c>
      <c r="L66" s="3063">
        <f>SUM('цех стоки (с разбивкой)'!L20)</f>
        <v>8.2918425128808586</v>
      </c>
      <c r="M66" s="3063">
        <f>SUM('цех стоки (с разбивкой)'!M20)</f>
        <v>16.583685025761717</v>
      </c>
      <c r="N66" s="3092">
        <f>SUM('цех стоки (с разбивкой)'!N20)</f>
        <v>2.7639475042936197</v>
      </c>
      <c r="O66" s="3092">
        <f>SUM('цех стоки (с разбивкой)'!O20)</f>
        <v>2.7639475042936197</v>
      </c>
      <c r="P66" s="3092">
        <f>SUM('цех стоки (с разбивкой)'!P20)</f>
        <v>2.7639475042936197</v>
      </c>
      <c r="Q66" s="3063">
        <f>SUM('цех стоки (с разбивкой)'!Q20)</f>
        <v>8.2918425128808586</v>
      </c>
      <c r="R66" s="3063">
        <f>SUM('цех стоки (с разбивкой)'!R20)</f>
        <v>24.875527538642576</v>
      </c>
      <c r="S66" s="3092">
        <f>SUM('цех стоки (с разбивкой)'!S20)</f>
        <v>2.7639475042936197</v>
      </c>
      <c r="T66" s="3092">
        <f>SUM('цех стоки (с разбивкой)'!T20)</f>
        <v>2.7639475042936197</v>
      </c>
      <c r="U66" s="3092">
        <f>SUM('цех стоки (с разбивкой)'!U20)</f>
        <v>2.7639475042936197</v>
      </c>
      <c r="V66" s="3063">
        <f>SUM('цех стоки (с разбивкой)'!V20)</f>
        <v>8.2918425128808586</v>
      </c>
      <c r="W66" s="3087">
        <f t="shared" si="42"/>
        <v>33.167370051523427</v>
      </c>
    </row>
    <row r="67" spans="1:23" ht="18.75" customHeight="1">
      <c r="A67" s="3091" t="s">
        <v>639</v>
      </c>
      <c r="B67" s="3063">
        <f>SUM('цех стоки (с разбивкой)'!B21)</f>
        <v>39.484964347051715</v>
      </c>
      <c r="C67" s="3063">
        <f>SUM('цех стоки (с разбивкой)'!C21)</f>
        <v>39.214447254314521</v>
      </c>
      <c r="D67" s="3063">
        <f>SUM('цех стоки (с разбивкой)'!D21)</f>
        <v>0.27051709273719382</v>
      </c>
      <c r="E67" s="3092">
        <f>SUM('цех стоки (с разбивкой)'!E21)</f>
        <v>3.2904136955876431</v>
      </c>
      <c r="F67" s="3092">
        <f>SUM('цех стоки (с разбивкой)'!F21)</f>
        <v>3.2904136955876431</v>
      </c>
      <c r="G67" s="3092">
        <f>SUM('цех стоки (с разбивкой)'!G21)</f>
        <v>3.2904136955876431</v>
      </c>
      <c r="H67" s="3063">
        <f>SUM('цех стоки (с разбивкой)'!H21)</f>
        <v>9.8712410867629288</v>
      </c>
      <c r="I67" s="3092">
        <f>SUM('цех стоки (с разбивкой)'!I21)</f>
        <v>3.2904136955876431</v>
      </c>
      <c r="J67" s="3092">
        <f>SUM('цех стоки (с разбивкой)'!J21)</f>
        <v>3.2904136955876431</v>
      </c>
      <c r="K67" s="3092">
        <f>SUM('цех стоки (с разбивкой)'!K21)</f>
        <v>3.2904136955876431</v>
      </c>
      <c r="L67" s="3063">
        <f>SUM('цех стоки (с разбивкой)'!L21)</f>
        <v>9.8712410867629288</v>
      </c>
      <c r="M67" s="3063">
        <f>SUM('цех стоки (с разбивкой)'!M21)</f>
        <v>19.742482173525858</v>
      </c>
      <c r="N67" s="3092">
        <f>SUM('цех стоки (с разбивкой)'!N21)</f>
        <v>3.2904136955876431</v>
      </c>
      <c r="O67" s="3092">
        <f>SUM('цех стоки (с разбивкой)'!O21)</f>
        <v>3.2904136955876431</v>
      </c>
      <c r="P67" s="3092">
        <f>SUM('цех стоки (с разбивкой)'!P21)</f>
        <v>3.2904136955876431</v>
      </c>
      <c r="Q67" s="3063">
        <f>SUM('цех стоки (с разбивкой)'!Q21)</f>
        <v>9.8712410867629288</v>
      </c>
      <c r="R67" s="3063">
        <f>SUM('цех стоки (с разбивкой)'!R21)</f>
        <v>29.613723260288786</v>
      </c>
      <c r="S67" s="3092">
        <f>SUM('цех стоки (с разбивкой)'!S21)</f>
        <v>3.2904136955876431</v>
      </c>
      <c r="T67" s="3092">
        <f>SUM('цех стоки (с разбивкой)'!T21)</f>
        <v>3.2904136955876431</v>
      </c>
      <c r="U67" s="3092">
        <f>SUM('цех стоки (с разбивкой)'!U21)</f>
        <v>3.2904136955876431</v>
      </c>
      <c r="V67" s="3063">
        <f>SUM('цех стоки (с разбивкой)'!V21)</f>
        <v>9.8712410867629288</v>
      </c>
      <c r="W67" s="3087">
        <f t="shared" si="42"/>
        <v>39.484964347051715</v>
      </c>
    </row>
    <row r="68" spans="1:23" ht="18.75" customHeight="1">
      <c r="A68" s="3091" t="s">
        <v>605</v>
      </c>
      <c r="B68" s="3063">
        <f>SUM('цех стоки (с разбивкой)'!B22)</f>
        <v>544.10280870237261</v>
      </c>
      <c r="C68" s="3063">
        <f>SUM('цех стоки (с разбивкой)'!C22)</f>
        <v>540.37508316445405</v>
      </c>
      <c r="D68" s="3063">
        <f>SUM('цех стоки (с разбивкой)'!D22)</f>
        <v>3.727725537918559</v>
      </c>
      <c r="E68" s="3092">
        <f>SUM('цех стоки (с разбивкой)'!E22)</f>
        <v>45.341900725197718</v>
      </c>
      <c r="F68" s="3092">
        <f>SUM('цех стоки (с разбивкой)'!F22)</f>
        <v>45.341900725197718</v>
      </c>
      <c r="G68" s="3092">
        <f>SUM('цех стоки (с разбивкой)'!G22)</f>
        <v>45.341900725197718</v>
      </c>
      <c r="H68" s="3063">
        <f>SUM('цех стоки (с разбивкой)'!H22)</f>
        <v>136.02570217559315</v>
      </c>
      <c r="I68" s="3092">
        <f>SUM('цех стоки (с разбивкой)'!I22)</f>
        <v>45.341900725197718</v>
      </c>
      <c r="J68" s="3092">
        <f>SUM('цех стоки (с разбивкой)'!J22)</f>
        <v>45.341900725197718</v>
      </c>
      <c r="K68" s="3092">
        <f>SUM('цех стоки (с разбивкой)'!K22)</f>
        <v>45.341900725197718</v>
      </c>
      <c r="L68" s="3063">
        <f>SUM('цех стоки (с разбивкой)'!L22)</f>
        <v>136.02570217559315</v>
      </c>
      <c r="M68" s="3063">
        <f>SUM('цех стоки (с разбивкой)'!M22)</f>
        <v>272.05140435118631</v>
      </c>
      <c r="N68" s="3092">
        <f>SUM('цех стоки (с разбивкой)'!N22)</f>
        <v>45.341900725197718</v>
      </c>
      <c r="O68" s="3092">
        <f>SUM('цех стоки (с разбивкой)'!O22)</f>
        <v>45.341900725197718</v>
      </c>
      <c r="P68" s="3092">
        <f>SUM('цех стоки (с разбивкой)'!P22)</f>
        <v>45.341900725197718</v>
      </c>
      <c r="Q68" s="3063">
        <f>SUM('цех стоки (с разбивкой)'!Q22)</f>
        <v>136.02570217559315</v>
      </c>
      <c r="R68" s="3063">
        <f>SUM('цех стоки (с разбивкой)'!R22)</f>
        <v>408.07710652677946</v>
      </c>
      <c r="S68" s="3092">
        <f>SUM('цех стоки (с разбивкой)'!S22)</f>
        <v>45.341900725197718</v>
      </c>
      <c r="T68" s="3092">
        <f>SUM('цех стоки (с разбивкой)'!T22)</f>
        <v>45.341900725197718</v>
      </c>
      <c r="U68" s="3092">
        <f>SUM('цех стоки (с разбивкой)'!U22)</f>
        <v>45.341900725197718</v>
      </c>
      <c r="V68" s="3063">
        <f>SUM('цех стоки (с разбивкой)'!V22)</f>
        <v>136.02570217559315</v>
      </c>
      <c r="W68" s="3087">
        <f t="shared" si="42"/>
        <v>544.10280870237261</v>
      </c>
    </row>
    <row r="69" spans="1:23" ht="18.75" customHeight="1">
      <c r="A69" s="3091" t="s">
        <v>42</v>
      </c>
      <c r="B69" s="3063">
        <f>SUM('цех стоки (с разбивкой)'!B23)</f>
        <v>45.802558642579982</v>
      </c>
      <c r="C69" s="3063">
        <f>SUM('цех стоки (с разбивкой)'!C23)</f>
        <v>45.488758815004836</v>
      </c>
      <c r="D69" s="3063">
        <f>SUM('цех стоки (с разбивкой)'!D23)</f>
        <v>0.31379982757514568</v>
      </c>
      <c r="E69" s="3092">
        <f>SUM('цех стоки (с разбивкой)'!E23)</f>
        <v>3.8168798868816651</v>
      </c>
      <c r="F69" s="3092">
        <f>SUM('цех стоки (с разбивкой)'!F23)</f>
        <v>3.8168798868816651</v>
      </c>
      <c r="G69" s="3092">
        <f>SUM('цех стоки (с разбивкой)'!G23)</f>
        <v>3.8168798868816651</v>
      </c>
      <c r="H69" s="3063">
        <f>SUM('цех стоки (с разбивкой)'!H23)</f>
        <v>11.450639660644995</v>
      </c>
      <c r="I69" s="3092">
        <f>SUM('цех стоки (с разбивкой)'!I23)</f>
        <v>3.8168798868816651</v>
      </c>
      <c r="J69" s="3092">
        <f>SUM('цех стоки (с разбивкой)'!J23)</f>
        <v>3.8168798868816651</v>
      </c>
      <c r="K69" s="3092">
        <f>SUM('цех стоки (с разбивкой)'!K23)</f>
        <v>3.8168798868816651</v>
      </c>
      <c r="L69" s="3063">
        <f>SUM('цех стоки (с разбивкой)'!L23)</f>
        <v>11.450639660644995</v>
      </c>
      <c r="M69" s="3063">
        <f>SUM('цех стоки (с разбивкой)'!M23)</f>
        <v>22.901279321289991</v>
      </c>
      <c r="N69" s="3092">
        <f>SUM('цех стоки (с разбивкой)'!N23)</f>
        <v>3.8168798868816651</v>
      </c>
      <c r="O69" s="3092">
        <f>SUM('цех стоки (с разбивкой)'!O23)</f>
        <v>3.8168798868816651</v>
      </c>
      <c r="P69" s="3092">
        <f>SUM('цех стоки (с разбивкой)'!P23)</f>
        <v>3.8168798868816651</v>
      </c>
      <c r="Q69" s="3063">
        <f>SUM('цех стоки (с разбивкой)'!Q23)</f>
        <v>11.450639660644995</v>
      </c>
      <c r="R69" s="3063">
        <f>SUM('цех стоки (с разбивкой)'!R23)</f>
        <v>34.351918981934986</v>
      </c>
      <c r="S69" s="3092">
        <f>SUM('цех стоки (с разбивкой)'!S23)</f>
        <v>3.8168798868816651</v>
      </c>
      <c r="T69" s="3092">
        <f>SUM('цех стоки (с разбивкой)'!T23)</f>
        <v>3.8168798868816651</v>
      </c>
      <c r="U69" s="3092">
        <f>SUM('цех стоки (с разбивкой)'!U23)</f>
        <v>3.8168798868816651</v>
      </c>
      <c r="V69" s="3063">
        <f>SUM('цех стоки (с разбивкой)'!V23)</f>
        <v>11.450639660644995</v>
      </c>
      <c r="W69" s="3087">
        <f t="shared" si="42"/>
        <v>45.802558642579982</v>
      </c>
    </row>
    <row r="70" spans="1:23" ht="18.75" customHeight="1">
      <c r="A70" s="3091" t="s">
        <v>38</v>
      </c>
      <c r="B70" s="3063">
        <f>SUM('цех стоки (с разбивкой)'!B24)</f>
        <v>27.639475042936198</v>
      </c>
      <c r="C70" s="3063">
        <f>SUM('цех стоки (с разбивкой)'!C24)</f>
        <v>27.450113078020159</v>
      </c>
      <c r="D70" s="3063">
        <f>SUM('цех стоки (с разбивкой)'!D24)</f>
        <v>0.18936196491603852</v>
      </c>
      <c r="E70" s="3092">
        <f>SUM('цех стоки (с разбивкой)'!E24)</f>
        <v>2.3032895869113497</v>
      </c>
      <c r="F70" s="3092">
        <f>SUM('цех стоки (с разбивкой)'!F24)</f>
        <v>2.3032895869113497</v>
      </c>
      <c r="G70" s="3092">
        <f>SUM('цех стоки (с разбивкой)'!G24)</f>
        <v>2.3032895869113497</v>
      </c>
      <c r="H70" s="3063">
        <f>SUM('цех стоки (с разбивкой)'!H24)</f>
        <v>6.9098687607340494</v>
      </c>
      <c r="I70" s="3092">
        <f>SUM('цех стоки (с разбивкой)'!I24)</f>
        <v>2.3032895869113497</v>
      </c>
      <c r="J70" s="3092">
        <f>SUM('цех стоки (с разбивкой)'!J24)</f>
        <v>2.3032895869113497</v>
      </c>
      <c r="K70" s="3092">
        <f>SUM('цех стоки (с разбивкой)'!K24)</f>
        <v>2.3032895869113497</v>
      </c>
      <c r="L70" s="3063">
        <f>SUM('цех стоки (с разбивкой)'!L24)</f>
        <v>6.9098687607340494</v>
      </c>
      <c r="M70" s="3063">
        <f>SUM('цех стоки (с разбивкой)'!M24)</f>
        <v>13.819737521468099</v>
      </c>
      <c r="N70" s="3092">
        <f>SUM('цех стоки (с разбивкой)'!N24)</f>
        <v>2.3032895869113497</v>
      </c>
      <c r="O70" s="3092">
        <f>SUM('цех стоки (с разбивкой)'!O24)</f>
        <v>2.3032895869113497</v>
      </c>
      <c r="P70" s="3092">
        <f>SUM('цех стоки (с разбивкой)'!P24)</f>
        <v>2.3032895869113497</v>
      </c>
      <c r="Q70" s="3063">
        <f>SUM('цех стоки (с разбивкой)'!Q24)</f>
        <v>6.9098687607340494</v>
      </c>
      <c r="R70" s="3063">
        <f>SUM('цех стоки (с разбивкой)'!R24)</f>
        <v>20.729606282202148</v>
      </c>
      <c r="S70" s="3092">
        <f>SUM('цех стоки (с разбивкой)'!S24)</f>
        <v>2.3032895869113497</v>
      </c>
      <c r="T70" s="3092">
        <f>SUM('цех стоки (с разбивкой)'!T24)</f>
        <v>2.3032895869113497</v>
      </c>
      <c r="U70" s="3092">
        <f>SUM('цех стоки (с разбивкой)'!U24)</f>
        <v>2.3032895869113497</v>
      </c>
      <c r="V70" s="3063">
        <f>SUM('цех стоки (с разбивкой)'!V24)</f>
        <v>6.9098687607340494</v>
      </c>
      <c r="W70" s="3087">
        <f t="shared" si="42"/>
        <v>27.639475042936201</v>
      </c>
    </row>
    <row r="71" spans="1:23" ht="18.75" customHeight="1">
      <c r="A71" s="3091" t="s">
        <v>607</v>
      </c>
      <c r="B71" s="3063">
        <f>SUM('цех стоки (с разбивкой)'!B25)</f>
        <v>68.703837963869972</v>
      </c>
      <c r="C71" s="3063">
        <f>SUM('цех стоки (с разбивкой)'!C25)</f>
        <v>68.233138222507264</v>
      </c>
      <c r="D71" s="3063">
        <f>SUM('цех стоки (с разбивкой)'!D25)</f>
        <v>0.47069974136270787</v>
      </c>
      <c r="E71" s="3092">
        <f>SUM('цех стоки (с разбивкой)'!E25)</f>
        <v>5.7253198303224977</v>
      </c>
      <c r="F71" s="3092">
        <f>SUM('цех стоки (с разбивкой)'!F25)</f>
        <v>5.7253198303224977</v>
      </c>
      <c r="G71" s="3092">
        <f>SUM('цех стоки (с разбивкой)'!G25)</f>
        <v>5.7253198303224977</v>
      </c>
      <c r="H71" s="3063">
        <f>SUM('цех стоки (с разбивкой)'!H25)</f>
        <v>17.175959490967493</v>
      </c>
      <c r="I71" s="3092">
        <f>SUM('цех стоки (с разбивкой)'!I25)</f>
        <v>5.7253198303224977</v>
      </c>
      <c r="J71" s="3092">
        <f>SUM('цех стоки (с разбивкой)'!J25)</f>
        <v>5.7253198303224977</v>
      </c>
      <c r="K71" s="3092">
        <f>SUM('цех стоки (с разбивкой)'!K25)</f>
        <v>5.7253198303224977</v>
      </c>
      <c r="L71" s="3063">
        <f>SUM('цех стоки (с разбивкой)'!L25)</f>
        <v>17.175959490967493</v>
      </c>
      <c r="M71" s="3063">
        <f>SUM('цех стоки (с разбивкой)'!M25)</f>
        <v>34.351918981934986</v>
      </c>
      <c r="N71" s="3092">
        <f>SUM('цех стоки (с разбивкой)'!N25)</f>
        <v>5.7253198303224977</v>
      </c>
      <c r="O71" s="3092">
        <f>SUM('цех стоки (с разбивкой)'!O25)</f>
        <v>5.7253198303224977</v>
      </c>
      <c r="P71" s="3092">
        <f>SUM('цех стоки (с разбивкой)'!P25)</f>
        <v>5.7253198303224977</v>
      </c>
      <c r="Q71" s="3063">
        <f>SUM('цех стоки (с разбивкой)'!Q25)</f>
        <v>17.175959490967493</v>
      </c>
      <c r="R71" s="3063">
        <f>SUM('цех стоки (с разбивкой)'!R25)</f>
        <v>51.527878472902479</v>
      </c>
      <c r="S71" s="3092">
        <f>SUM('цех стоки (с разбивкой)'!S25)</f>
        <v>5.7253198303224977</v>
      </c>
      <c r="T71" s="3092">
        <f>SUM('цех стоки (с разбивкой)'!T25)</f>
        <v>5.7253198303224977</v>
      </c>
      <c r="U71" s="3092">
        <f>SUM('цех стоки (с разбивкой)'!U25)</f>
        <v>5.7253198303224977</v>
      </c>
      <c r="V71" s="3063">
        <f>SUM('цех стоки (с разбивкой)'!V25)</f>
        <v>17.175959490967493</v>
      </c>
      <c r="W71" s="3087">
        <f t="shared" si="42"/>
        <v>68.703837963869972</v>
      </c>
    </row>
    <row r="72" spans="1:23" ht="18.75" customHeight="1">
      <c r="A72" s="3091" t="s">
        <v>98</v>
      </c>
      <c r="B72" s="3063">
        <f>SUM('цех стоки (с разбивкой)'!B26)</f>
        <v>65.545040816105839</v>
      </c>
      <c r="C72" s="3063">
        <f>SUM('цех стоки (с разбивкой)'!C26)</f>
        <v>65.095982442162097</v>
      </c>
      <c r="D72" s="3063">
        <f>SUM('цех стоки (с разбивкой)'!D26)</f>
        <v>0.44905837394374259</v>
      </c>
      <c r="E72" s="3092">
        <f>SUM('цех стоки (с разбивкой)'!E26)</f>
        <v>5.4620867346754869</v>
      </c>
      <c r="F72" s="3092">
        <f>SUM('цех стоки (с разбивкой)'!F26)</f>
        <v>5.4620867346754869</v>
      </c>
      <c r="G72" s="3092">
        <f>SUM('цех стоки (с разбивкой)'!G26)</f>
        <v>5.4620867346754869</v>
      </c>
      <c r="H72" s="3063">
        <f>SUM('цех стоки (с разбивкой)'!H26)</f>
        <v>16.38626020402646</v>
      </c>
      <c r="I72" s="3092">
        <f>SUM('цех стоки (с разбивкой)'!I26)</f>
        <v>5.4620867346754869</v>
      </c>
      <c r="J72" s="3092">
        <f>SUM('цех стоки (с разбивкой)'!J26)</f>
        <v>5.4620867346754869</v>
      </c>
      <c r="K72" s="3092">
        <f>SUM('цех стоки (с разбивкой)'!K26)</f>
        <v>5.4620867346754869</v>
      </c>
      <c r="L72" s="3063">
        <f>SUM('цех стоки (с разбивкой)'!L26)</f>
        <v>16.38626020402646</v>
      </c>
      <c r="M72" s="3063">
        <f>SUM('цех стоки (с разбивкой)'!M26)</f>
        <v>32.77252040805292</v>
      </c>
      <c r="N72" s="3092">
        <f>SUM('цех стоки (с разбивкой)'!N26)</f>
        <v>5.4620867346754869</v>
      </c>
      <c r="O72" s="3092">
        <f>SUM('цех стоки (с разбивкой)'!O26)</f>
        <v>5.4620867346754869</v>
      </c>
      <c r="P72" s="3092">
        <f>SUM('цех стоки (с разбивкой)'!P26)</f>
        <v>5.4620867346754869</v>
      </c>
      <c r="Q72" s="3063">
        <f>SUM('цех стоки (с разбивкой)'!Q26)</f>
        <v>16.38626020402646</v>
      </c>
      <c r="R72" s="3063">
        <f>SUM('цех стоки (с разбивкой)'!R26)</f>
        <v>49.158780612079383</v>
      </c>
      <c r="S72" s="3092">
        <f>SUM('цех стоки (с разбивкой)'!S26)</f>
        <v>5.4620867346754869</v>
      </c>
      <c r="T72" s="3092">
        <f>SUM('цех стоки (с разбивкой)'!T26)</f>
        <v>5.4620867346754869</v>
      </c>
      <c r="U72" s="3092">
        <f>SUM('цех стоки (с разбивкой)'!U26)</f>
        <v>5.4620867346754869</v>
      </c>
      <c r="V72" s="3063">
        <f>SUM('цех стоки (с разбивкой)'!V26)</f>
        <v>16.38626020402646</v>
      </c>
      <c r="W72" s="3087">
        <f t="shared" si="42"/>
        <v>65.545040816105839</v>
      </c>
    </row>
    <row r="73" spans="1:23" ht="18.75" customHeight="1">
      <c r="A73" s="3091" t="s">
        <v>608</v>
      </c>
      <c r="B73" s="3063">
        <f>SUM('цех стоки (с разбивкой)'!B27)</f>
        <v>64.755341529164809</v>
      </c>
      <c r="C73" s="3063">
        <f>SUM('цех стоки (с разбивкой)'!C27)</f>
        <v>64.311693497075808</v>
      </c>
      <c r="D73" s="3063">
        <f>SUM('цех стоки (с разбивкой)'!D27)</f>
        <v>0.44364803208900128</v>
      </c>
      <c r="E73" s="3092">
        <f>SUM('цех стоки (с разбивкой)'!E27)</f>
        <v>5.3962784607637344</v>
      </c>
      <c r="F73" s="3092">
        <f>SUM('цех стоки (с разбивкой)'!F27)</f>
        <v>5.3962784607637344</v>
      </c>
      <c r="G73" s="3092">
        <f>SUM('цех стоки (с разбивкой)'!G27)</f>
        <v>5.3962784607637344</v>
      </c>
      <c r="H73" s="3063">
        <f>SUM('цех стоки (с разбивкой)'!H27)</f>
        <v>16.188835382291202</v>
      </c>
      <c r="I73" s="3092">
        <f>SUM('цех стоки (с разбивкой)'!I27)</f>
        <v>5.3962784607637344</v>
      </c>
      <c r="J73" s="3092">
        <f>SUM('цех стоки (с разбивкой)'!J27)</f>
        <v>5.3962784607637344</v>
      </c>
      <c r="K73" s="3092">
        <f>SUM('цех стоки (с разбивкой)'!K27)</f>
        <v>5.3962784607637344</v>
      </c>
      <c r="L73" s="3063">
        <f>SUM('цех стоки (с разбивкой)'!L27)</f>
        <v>16.188835382291202</v>
      </c>
      <c r="M73" s="3063">
        <f>SUM('цех стоки (с разбивкой)'!M27)</f>
        <v>32.377670764582405</v>
      </c>
      <c r="N73" s="3092">
        <f>SUM('цех стоки (с разбивкой)'!N27)</f>
        <v>5.3962784607637344</v>
      </c>
      <c r="O73" s="3092">
        <f>SUM('цех стоки (с разбивкой)'!O27)</f>
        <v>5.3962784607637344</v>
      </c>
      <c r="P73" s="3092">
        <f>SUM('цех стоки (с разбивкой)'!P27)</f>
        <v>5.3962784607637344</v>
      </c>
      <c r="Q73" s="3063">
        <f>SUM('цех стоки (с разбивкой)'!Q27)</f>
        <v>16.188835382291202</v>
      </c>
      <c r="R73" s="3063">
        <f>SUM('цех стоки (с разбивкой)'!R27)</f>
        <v>48.566506146873607</v>
      </c>
      <c r="S73" s="3092">
        <f>SUM('цех стоки (с разбивкой)'!S27)</f>
        <v>5.3962784607637344</v>
      </c>
      <c r="T73" s="3092">
        <f>SUM('цех стоки (с разбивкой)'!T27)</f>
        <v>5.3962784607637344</v>
      </c>
      <c r="U73" s="3092">
        <f>SUM('цех стоки (с разбивкой)'!U27)</f>
        <v>5.3962784607637344</v>
      </c>
      <c r="V73" s="3063">
        <f>SUM('цех стоки (с разбивкой)'!V27)</f>
        <v>16.188835382291202</v>
      </c>
      <c r="W73" s="3087">
        <f t="shared" si="42"/>
        <v>64.755341529164795</v>
      </c>
    </row>
    <row r="74" spans="1:23" ht="18.75" customHeight="1">
      <c r="A74" s="3091" t="s">
        <v>611</v>
      </c>
      <c r="B74" s="3063">
        <f>SUM('цех стоки (с разбивкой)'!B28)</f>
        <v>101.87120801539342</v>
      </c>
      <c r="C74" s="3063">
        <f>SUM('цех стоки (с разбивкой)'!C28)</f>
        <v>101.17327391613146</v>
      </c>
      <c r="D74" s="3063">
        <f>SUM('цех стоки (с разбивкой)'!D28)</f>
        <v>0.69793409926195693</v>
      </c>
      <c r="E74" s="3092">
        <f>SUM('цех стоки (с разбивкой)'!E28)</f>
        <v>8.4892673346161178</v>
      </c>
      <c r="F74" s="3092">
        <f>SUM('цех стоки (с разбивкой)'!F28)</f>
        <v>8.4892673346161178</v>
      </c>
      <c r="G74" s="3092">
        <f>SUM('цех стоки (с разбивкой)'!G28)</f>
        <v>8.4892673346161178</v>
      </c>
      <c r="H74" s="3063">
        <f>SUM('цех стоки (с разбивкой)'!H28)</f>
        <v>25.467802003848355</v>
      </c>
      <c r="I74" s="3092">
        <f>SUM('цех стоки (с разбивкой)'!I28)</f>
        <v>8.4892673346161178</v>
      </c>
      <c r="J74" s="3092">
        <f>SUM('цех стоки (с разбивкой)'!J28)</f>
        <v>8.4892673346161178</v>
      </c>
      <c r="K74" s="3092">
        <f>SUM('цех стоки (с разбивкой)'!K28)</f>
        <v>8.4892673346161178</v>
      </c>
      <c r="L74" s="3063">
        <f>SUM('цех стоки (с разбивкой)'!L28)</f>
        <v>25.467802003848355</v>
      </c>
      <c r="M74" s="3063">
        <f>SUM('цех стоки (с разбивкой)'!M28)</f>
        <v>50.93560400769671</v>
      </c>
      <c r="N74" s="3092">
        <f>SUM('цех стоки (с разбивкой)'!N28)</f>
        <v>8.4892673346161178</v>
      </c>
      <c r="O74" s="3092">
        <f>SUM('цех стоки (с разбивкой)'!O28)</f>
        <v>8.4892673346161178</v>
      </c>
      <c r="P74" s="3092">
        <f>SUM('цех стоки (с разбивкой)'!P28)</f>
        <v>8.4892673346161178</v>
      </c>
      <c r="Q74" s="3063">
        <f>SUM('цех стоки (с разбивкой)'!Q28)</f>
        <v>25.467802003848355</v>
      </c>
      <c r="R74" s="3063">
        <f>SUM('цех стоки (с разбивкой)'!R28)</f>
        <v>76.403406011545059</v>
      </c>
      <c r="S74" s="3092">
        <f>SUM('цех стоки (с разбивкой)'!S28)</f>
        <v>8.4892673346161178</v>
      </c>
      <c r="T74" s="3092">
        <f>SUM('цех стоки (с разбивкой)'!T28)</f>
        <v>8.4892673346161178</v>
      </c>
      <c r="U74" s="3092">
        <f>SUM('цех стоки (с разбивкой)'!U28)</f>
        <v>8.4892673346161178</v>
      </c>
      <c r="V74" s="3063">
        <f>SUM('цех стоки (с разбивкой)'!V28)</f>
        <v>25.467802003848355</v>
      </c>
      <c r="W74" s="3087">
        <f t="shared" si="42"/>
        <v>101.87120801539341</v>
      </c>
    </row>
    <row r="75" spans="1:23" ht="18.75" customHeight="1">
      <c r="A75" s="3091" t="s">
        <v>615</v>
      </c>
      <c r="B75" s="3063">
        <f>SUM('цех стоки (с разбивкой)'!B29)</f>
        <v>0</v>
      </c>
      <c r="C75" s="3063">
        <f>SUM('цех стоки (с разбивкой)'!C29)</f>
        <v>0</v>
      </c>
      <c r="D75" s="3063">
        <f>SUM('цех стоки (с разбивкой)'!D29)</f>
        <v>0</v>
      </c>
      <c r="E75" s="3092">
        <f>SUM('цех стоки (с разбивкой)'!E29)</f>
        <v>0</v>
      </c>
      <c r="F75" s="3092">
        <f>SUM('цех стоки (с разбивкой)'!F29)</f>
        <v>0</v>
      </c>
      <c r="G75" s="3092">
        <f>SUM('цех стоки (с разбивкой)'!G29)</f>
        <v>0</v>
      </c>
      <c r="H75" s="3063">
        <f>SUM('цех стоки (с разбивкой)'!H29)</f>
        <v>0</v>
      </c>
      <c r="I75" s="3092">
        <f>SUM('цех стоки (с разбивкой)'!I29)</f>
        <v>0</v>
      </c>
      <c r="J75" s="3092">
        <f>SUM('цех стоки (с разбивкой)'!J29)</f>
        <v>0</v>
      </c>
      <c r="K75" s="3092">
        <f>SUM('цех стоки (с разбивкой)'!K29)</f>
        <v>0</v>
      </c>
      <c r="L75" s="3063">
        <f>SUM('цех стоки (с разбивкой)'!L29)</f>
        <v>0</v>
      </c>
      <c r="M75" s="3063">
        <f>SUM('цех стоки (с разбивкой)'!M29)</f>
        <v>0</v>
      </c>
      <c r="N75" s="3092">
        <f>SUM('цех стоки (с разбивкой)'!N29)</f>
        <v>0</v>
      </c>
      <c r="O75" s="3092">
        <f>SUM('цех стоки (с разбивкой)'!O29)</f>
        <v>0</v>
      </c>
      <c r="P75" s="3092">
        <f>SUM('цех стоки (с разбивкой)'!P29)</f>
        <v>0</v>
      </c>
      <c r="Q75" s="3063">
        <f>SUM('цех стоки (с разбивкой)'!Q29)</f>
        <v>0</v>
      </c>
      <c r="R75" s="3063">
        <f>SUM('цех стоки (с разбивкой)'!R29)</f>
        <v>0</v>
      </c>
      <c r="S75" s="3092">
        <f>SUM('цех стоки (с разбивкой)'!S29)</f>
        <v>0</v>
      </c>
      <c r="T75" s="3092">
        <f>SUM('цех стоки (с разбивкой)'!T29)</f>
        <v>0</v>
      </c>
      <c r="U75" s="3092">
        <f>SUM('цех стоки (с разбивкой)'!U29)</f>
        <v>0</v>
      </c>
      <c r="V75" s="3063">
        <f>SUM('цех стоки (с разбивкой)'!V29)</f>
        <v>0</v>
      </c>
      <c r="W75" s="3087">
        <f t="shared" si="42"/>
        <v>0</v>
      </c>
    </row>
    <row r="76" spans="1:23" ht="18.75" customHeight="1">
      <c r="A76" s="3091" t="s">
        <v>612</v>
      </c>
      <c r="B76" s="3063">
        <f>SUM('цех стоки (с разбивкой)'!B30)</f>
        <v>0</v>
      </c>
      <c r="C76" s="3063">
        <f>SUM('цех стоки (с разбивкой)'!C30)</f>
        <v>0</v>
      </c>
      <c r="D76" s="3063">
        <f>SUM('цех стоки (с разбивкой)'!D30)</f>
        <v>0</v>
      </c>
      <c r="E76" s="3092">
        <f>SUM('цех стоки (с разбивкой)'!E30)</f>
        <v>0</v>
      </c>
      <c r="F76" s="3092">
        <f>SUM('цех стоки (с разбивкой)'!F30)</f>
        <v>0</v>
      </c>
      <c r="G76" s="3092">
        <f>SUM('цех стоки (с разбивкой)'!G30)</f>
        <v>0</v>
      </c>
      <c r="H76" s="3063">
        <f>SUM('цех стоки (с разбивкой)'!H30)</f>
        <v>0</v>
      </c>
      <c r="I76" s="3092">
        <f>SUM('цех стоки (с разбивкой)'!I30)</f>
        <v>0</v>
      </c>
      <c r="J76" s="3092">
        <f>SUM('цех стоки (с разбивкой)'!J30)</f>
        <v>0</v>
      </c>
      <c r="K76" s="3092">
        <f>SUM('цех стоки (с разбивкой)'!K30)</f>
        <v>0</v>
      </c>
      <c r="L76" s="3063">
        <f>SUM('цех стоки (с разбивкой)'!L30)</f>
        <v>0</v>
      </c>
      <c r="M76" s="3063">
        <f>SUM('цех стоки (с разбивкой)'!M30)</f>
        <v>0</v>
      </c>
      <c r="N76" s="3092">
        <f>SUM('цех стоки (с разбивкой)'!N30)</f>
        <v>0</v>
      </c>
      <c r="O76" s="3092">
        <f>SUM('цех стоки (с разбивкой)'!O30)</f>
        <v>0</v>
      </c>
      <c r="P76" s="3092">
        <f>SUM('цех стоки (с разбивкой)'!P30)</f>
        <v>0</v>
      </c>
      <c r="Q76" s="3063">
        <f>SUM('цех стоки (с разбивкой)'!Q30)</f>
        <v>0</v>
      </c>
      <c r="R76" s="3063">
        <f>SUM('цех стоки (с разбивкой)'!R30)</f>
        <v>0</v>
      </c>
      <c r="S76" s="3092">
        <f>SUM('цех стоки (с разбивкой)'!S30)</f>
        <v>0</v>
      </c>
      <c r="T76" s="3092">
        <f>SUM('цех стоки (с разбивкой)'!T30)</f>
        <v>0</v>
      </c>
      <c r="U76" s="3092">
        <f>SUM('цех стоки (с разбивкой)'!U30)</f>
        <v>0</v>
      </c>
      <c r="V76" s="3063">
        <f>SUM('цех стоки (с разбивкой)'!V30)</f>
        <v>0</v>
      </c>
      <c r="W76" s="3087">
        <f t="shared" si="42"/>
        <v>0</v>
      </c>
    </row>
    <row r="77" spans="1:23" ht="18.75" customHeight="1">
      <c r="A77" s="3091" t="s">
        <v>32</v>
      </c>
      <c r="B77" s="3063">
        <f>SUM('цех стоки (с разбивкой)'!B31)</f>
        <v>0</v>
      </c>
      <c r="C77" s="3063">
        <f>SUM('цех стоки (с разбивкой)'!C31)</f>
        <v>0</v>
      </c>
      <c r="D77" s="3063">
        <f>SUM('цех стоки (с разбивкой)'!D31)</f>
        <v>0</v>
      </c>
      <c r="E77" s="3092">
        <f>SUM('цех стоки (с разбивкой)'!E31)</f>
        <v>0</v>
      </c>
      <c r="F77" s="3092">
        <f>SUM('цех стоки (с разбивкой)'!F31)</f>
        <v>0</v>
      </c>
      <c r="G77" s="3092">
        <f>SUM('цех стоки (с разбивкой)'!G31)</f>
        <v>0</v>
      </c>
      <c r="H77" s="3063">
        <f>SUM('цех стоки (с разбивкой)'!H31)</f>
        <v>0</v>
      </c>
      <c r="I77" s="3092">
        <f>SUM('цех стоки (с разбивкой)'!I31)</f>
        <v>0</v>
      </c>
      <c r="J77" s="3092">
        <f>SUM('цех стоки (с разбивкой)'!J31)</f>
        <v>0</v>
      </c>
      <c r="K77" s="3092">
        <f>SUM('цех стоки (с разбивкой)'!K31)</f>
        <v>0</v>
      </c>
      <c r="L77" s="3063">
        <f>SUM('цех стоки (с разбивкой)'!L31)</f>
        <v>0</v>
      </c>
      <c r="M77" s="3063">
        <f>SUM('цех стоки (с разбивкой)'!M31)</f>
        <v>0</v>
      </c>
      <c r="N77" s="3092">
        <f>SUM('цех стоки (с разбивкой)'!N31)</f>
        <v>0</v>
      </c>
      <c r="O77" s="3092">
        <f>SUM('цех стоки (с разбивкой)'!O31)</f>
        <v>0</v>
      </c>
      <c r="P77" s="3092">
        <f>SUM('цех стоки (с разбивкой)'!P31)</f>
        <v>0</v>
      </c>
      <c r="Q77" s="3063">
        <f>SUM('цех стоки (с разбивкой)'!Q31)</f>
        <v>0</v>
      </c>
      <c r="R77" s="3063">
        <f>SUM('цех стоки (с разбивкой)'!R31)</f>
        <v>0</v>
      </c>
      <c r="S77" s="3092">
        <f>SUM('цех стоки (с разбивкой)'!S31)</f>
        <v>0</v>
      </c>
      <c r="T77" s="3092">
        <f>SUM('цех стоки (с разбивкой)'!T31)</f>
        <v>0</v>
      </c>
      <c r="U77" s="3092">
        <f>SUM('цех стоки (с разбивкой)'!U31)</f>
        <v>0</v>
      </c>
      <c r="V77" s="3063">
        <f>SUM('цех стоки (с разбивкой)'!V31)</f>
        <v>0</v>
      </c>
      <c r="W77" s="3087">
        <f t="shared" si="42"/>
        <v>0</v>
      </c>
    </row>
    <row r="78" spans="1:23" ht="18.75" customHeight="1">
      <c r="A78" s="3091" t="s">
        <v>606</v>
      </c>
      <c r="B78" s="3063">
        <f>SUM('цех стоки (с разбивкой)'!B32)</f>
        <v>458.02558642579993</v>
      </c>
      <c r="C78" s="3063">
        <f>SUM('цех стоки (с разбивкой)'!C32)</f>
        <v>454.88758815004843</v>
      </c>
      <c r="D78" s="3063">
        <f>SUM('цех стоки (с разбивкой)'!D32)</f>
        <v>3.1379982757514711</v>
      </c>
      <c r="E78" s="3092">
        <f>SUM('цех стоки (с разбивкой)'!E32)</f>
        <v>68.928290744877614</v>
      </c>
      <c r="F78" s="3092">
        <f>SUM('цех стоки (с разбивкой)'!F32)</f>
        <v>60.13763464591495</v>
      </c>
      <c r="G78" s="3092">
        <f>SUM('цех стоки (с разбивкой)'!G32)</f>
        <v>56.330617430135959</v>
      </c>
      <c r="H78" s="3063">
        <f>SUM('цех стоки (с разбивкой)'!H32)</f>
        <v>185.39654282092852</v>
      </c>
      <c r="I78" s="3092">
        <f>SUM('цех стоки (с разбивкой)'!I32)</f>
        <v>43.049415343289276</v>
      </c>
      <c r="J78" s="3092">
        <f>SUM('цех стоки (с разбивкой)'!J32)</f>
        <v>16.170751588472687</v>
      </c>
      <c r="K78" s="3092">
        <f>SUM('цех стоки (с разбивкой)'!K32)</f>
        <v>7.896992869410342</v>
      </c>
      <c r="L78" s="3063">
        <f>SUM('цех стоки (с разбивкой)'!L32)</f>
        <v>67.117159801172306</v>
      </c>
      <c r="M78" s="3063">
        <f>SUM('цех стоки (с разбивкой)'!M32)</f>
        <v>252.51370262210082</v>
      </c>
      <c r="N78" s="3092">
        <f>SUM('цех стоки (с разбивкой)'!N32)</f>
        <v>7.896992869410342</v>
      </c>
      <c r="O78" s="3092">
        <f>SUM('цех стоки (с разбивкой)'!O32)</f>
        <v>7.896992869410342</v>
      </c>
      <c r="P78" s="3092">
        <f>SUM('цех стоки (с разбивкой)'!P32)</f>
        <v>23.058681226897015</v>
      </c>
      <c r="Q78" s="3063">
        <f>SUM('цех стоки (с разбивкой)'!Q32)</f>
        <v>38.852666965717702</v>
      </c>
      <c r="R78" s="3063">
        <f>SUM('цех стоки (с разбивкой)'!R32)</f>
        <v>291.36636958781855</v>
      </c>
      <c r="S78" s="3092">
        <f>SUM('цех стоки (с разбивкой)'!S32)</f>
        <v>45.166382165233657</v>
      </c>
      <c r="T78" s="3092">
        <f>SUM('цех стоки (с разбивкой)'!T32)</f>
        <v>54.761357792446468</v>
      </c>
      <c r="U78" s="3092">
        <f>SUM('цех стоки (с разбивкой)'!U32)</f>
        <v>66.731476880301273</v>
      </c>
      <c r="V78" s="3063">
        <f>SUM('цех стоки (с разбивкой)'!V32)</f>
        <v>166.6592168379814</v>
      </c>
      <c r="W78" s="3087">
        <f t="shared" si="42"/>
        <v>458.02558642579987</v>
      </c>
    </row>
    <row r="79" spans="1:23" ht="18.75" customHeight="1">
      <c r="A79" s="3093" t="s">
        <v>651</v>
      </c>
      <c r="B79" s="3067">
        <f>SUM('цех стоки (с разбивкой)'!B33)</f>
        <v>363.26167199287579</v>
      </c>
      <c r="C79" s="3067">
        <f>SUM('цех стоки (с разбивкой)'!C33)</f>
        <v>360.77291473969359</v>
      </c>
      <c r="D79" s="3067">
        <f>SUM('цех стоки (с разбивкой)'!D33)</f>
        <v>2.4887572531822002</v>
      </c>
      <c r="E79" s="3094">
        <f>SUM('цех стоки (с разбивкой)'!E33)</f>
        <v>61.031297875467267</v>
      </c>
      <c r="F79" s="3094">
        <f>SUM('цех стоки (с разбивкой)'!F33)</f>
        <v>52.24064177650461</v>
      </c>
      <c r="G79" s="3094">
        <f>SUM('цех стоки (с разбивкой)'!G33)</f>
        <v>48.433624560725619</v>
      </c>
      <c r="H79" s="3067">
        <f>SUM('цех стоки (с разбивкой)'!H33)</f>
        <v>161.70556421269748</v>
      </c>
      <c r="I79" s="3094">
        <f>SUM('цех стоки (с разбивкой)'!I33)</f>
        <v>35.152422473878936</v>
      </c>
      <c r="J79" s="3094">
        <f>SUM('цех стоки (с разбивкой)'!J33)</f>
        <v>8.2737587190623429</v>
      </c>
      <c r="K79" s="3094">
        <f>SUM('цех стоки (с разбивкой)'!K33)</f>
        <v>0</v>
      </c>
      <c r="L79" s="3067">
        <f>SUM('цех стоки (с разбивкой)'!L33)</f>
        <v>43.426181192941279</v>
      </c>
      <c r="M79" s="3067">
        <f>SUM('цех стоки (с разбивкой)'!M33)</f>
        <v>205.13174540563875</v>
      </c>
      <c r="N79" s="3094">
        <f>SUM('цех стоки (с разбивкой)'!N33)</f>
        <v>0</v>
      </c>
      <c r="O79" s="3094">
        <f>SUM('цех стоки (с разбивкой)'!O33)</f>
        <v>0</v>
      </c>
      <c r="P79" s="3094">
        <f>SUM('цех стоки (с разбивкой)'!P33)</f>
        <v>15.161688357486671</v>
      </c>
      <c r="Q79" s="3067">
        <f>SUM('цех стоки (с разбивкой)'!Q33)</f>
        <v>15.161688357486671</v>
      </c>
      <c r="R79" s="3067">
        <f>SUM('цех стоки (с разбивкой)'!R33)</f>
        <v>220.29343376312542</v>
      </c>
      <c r="S79" s="3094">
        <f>SUM('цех стоки (с разбивкой)'!S33)</f>
        <v>37.269389295823316</v>
      </c>
      <c r="T79" s="3094">
        <f>SUM('цех стоки (с разбивкой)'!T33)</f>
        <v>46.864364923036128</v>
      </c>
      <c r="U79" s="3094">
        <f>SUM('цех стоки (с разбивкой)'!U33)</f>
        <v>58.834484010890925</v>
      </c>
      <c r="V79" s="3067">
        <f>SUM('цех стоки (с разбивкой)'!V33)</f>
        <v>142.96823822975037</v>
      </c>
      <c r="W79" s="3087">
        <f t="shared" si="42"/>
        <v>363.26167199287585</v>
      </c>
    </row>
    <row r="80" spans="1:23" ht="18.75" customHeight="1">
      <c r="A80" s="3093" t="s">
        <v>564</v>
      </c>
      <c r="B80" s="3067">
        <f>SUM('цех стоки (с разбивкой)'!B34)</f>
        <v>58.437747233636536</v>
      </c>
      <c r="C80" s="3067">
        <f>SUM('цех стоки (с разбивкой)'!C34)</f>
        <v>58.037381936385486</v>
      </c>
      <c r="D80" s="3067">
        <f>SUM('цех стоки (с разбивкой)'!D34)</f>
        <v>0.40036529725104941</v>
      </c>
      <c r="E80" s="3094">
        <f>SUM('цех стоки (с разбивкой)'!E34)</f>
        <v>4.869812269469711</v>
      </c>
      <c r="F80" s="3094">
        <f>SUM('цех стоки (с разбивкой)'!F34)</f>
        <v>4.869812269469711</v>
      </c>
      <c r="G80" s="3094">
        <f>SUM('цех стоки (с разбивкой)'!G34)</f>
        <v>4.869812269469711</v>
      </c>
      <c r="H80" s="3067">
        <f>SUM('цех стоки (с разбивкой)'!H34)</f>
        <v>14.609436808409132</v>
      </c>
      <c r="I80" s="3094">
        <f>SUM('цех стоки (с разбивкой)'!I34)</f>
        <v>4.869812269469711</v>
      </c>
      <c r="J80" s="3094">
        <f>SUM('цех стоки (с разбивкой)'!J34)</f>
        <v>4.869812269469711</v>
      </c>
      <c r="K80" s="3094">
        <f>SUM('цех стоки (с разбивкой)'!K34)</f>
        <v>4.869812269469711</v>
      </c>
      <c r="L80" s="3067">
        <f>SUM('цех стоки (с разбивкой)'!L34)</f>
        <v>14.609436808409132</v>
      </c>
      <c r="M80" s="3067">
        <f>SUM('цех стоки (с разбивкой)'!M34)</f>
        <v>29.218873616818264</v>
      </c>
      <c r="N80" s="3094">
        <f>SUM('цех стоки (с разбивкой)'!N34)</f>
        <v>4.869812269469711</v>
      </c>
      <c r="O80" s="3094">
        <f>SUM('цех стоки (с разбивкой)'!O34)</f>
        <v>4.869812269469711</v>
      </c>
      <c r="P80" s="3094">
        <f>SUM('цех стоки (с разбивкой)'!P34)</f>
        <v>4.869812269469711</v>
      </c>
      <c r="Q80" s="3067">
        <f>SUM('цех стоки (с разбивкой)'!Q34)</f>
        <v>14.609436808409132</v>
      </c>
      <c r="R80" s="3067">
        <f>SUM('цех стоки (с разбивкой)'!R34)</f>
        <v>43.8283104252274</v>
      </c>
      <c r="S80" s="3094">
        <f>SUM('цех стоки (с разбивкой)'!S34)</f>
        <v>4.869812269469711</v>
      </c>
      <c r="T80" s="3094">
        <f>SUM('цех стоки (с разбивкой)'!T34)</f>
        <v>4.869812269469711</v>
      </c>
      <c r="U80" s="3094">
        <f>SUM('цех стоки (с разбивкой)'!U34)</f>
        <v>4.869812269469711</v>
      </c>
      <c r="V80" s="3067">
        <f>SUM('цех стоки (с разбивкой)'!V34)</f>
        <v>14.609436808409132</v>
      </c>
      <c r="W80" s="3087">
        <f t="shared" si="42"/>
        <v>58.437747233636536</v>
      </c>
    </row>
    <row r="81" spans="1:23" ht="18.75" customHeight="1">
      <c r="A81" s="3093" t="s">
        <v>563</v>
      </c>
      <c r="B81" s="3067">
        <f>SUM('цех стоки (с разбивкой)'!B35)</f>
        <v>8.686692156351377</v>
      </c>
      <c r="C81" s="3067">
        <f>SUM('цех стоки (с разбивкой)'!C35)</f>
        <v>8.6271783959491941</v>
      </c>
      <c r="D81" s="3067">
        <f>SUM('цех стоки (с разбивкой)'!D35)</f>
        <v>5.9513760402182925E-2</v>
      </c>
      <c r="E81" s="3094">
        <f>SUM('цех стоки (с разбивкой)'!E35)</f>
        <v>0.72389101302928138</v>
      </c>
      <c r="F81" s="3094">
        <f>SUM('цех стоки (с разбивкой)'!F35)</f>
        <v>0.72389101302928138</v>
      </c>
      <c r="G81" s="3094">
        <f>SUM('цех стоки (с разбивкой)'!G35)</f>
        <v>0.72389101302928138</v>
      </c>
      <c r="H81" s="3067">
        <f>SUM('цех стоки (с разбивкой)'!H35)</f>
        <v>2.1716730390878443</v>
      </c>
      <c r="I81" s="3094">
        <f>SUM('цех стоки (с разбивкой)'!I35)</f>
        <v>0.72389101302928138</v>
      </c>
      <c r="J81" s="3094">
        <f>SUM('цех стоки (с разбивкой)'!J35)</f>
        <v>0.72389101302928138</v>
      </c>
      <c r="K81" s="3094">
        <f>SUM('цех стоки (с разбивкой)'!K35)</f>
        <v>0.72389101302928138</v>
      </c>
      <c r="L81" s="3067">
        <f>SUM('цех стоки (с разбивкой)'!L35)</f>
        <v>2.1716730390878443</v>
      </c>
      <c r="M81" s="3067">
        <f>SUM('цех стоки (с разбивкой)'!M35)</f>
        <v>4.3433460781756885</v>
      </c>
      <c r="N81" s="3094">
        <f>SUM('цех стоки (с разбивкой)'!N35)</f>
        <v>0.72389101302928138</v>
      </c>
      <c r="O81" s="3094">
        <f>SUM('цех стоки (с разбивкой)'!O35)</f>
        <v>0.72389101302928138</v>
      </c>
      <c r="P81" s="3094">
        <f>SUM('цех стоки (с разбивкой)'!P35)</f>
        <v>0.72389101302928138</v>
      </c>
      <c r="Q81" s="3067">
        <f>SUM('цех стоки (с разбивкой)'!Q35)</f>
        <v>2.1716730390878443</v>
      </c>
      <c r="R81" s="3067">
        <f>SUM('цех стоки (с разбивкой)'!R35)</f>
        <v>6.5150191172635328</v>
      </c>
      <c r="S81" s="3094">
        <f>SUM('цех стоки (с разбивкой)'!S35)</f>
        <v>0.72389101302928138</v>
      </c>
      <c r="T81" s="3094">
        <f>SUM('цех стоки (с разбивкой)'!T35)</f>
        <v>0.72389101302928138</v>
      </c>
      <c r="U81" s="3094">
        <f>SUM('цех стоки (с разбивкой)'!U35)</f>
        <v>0.72389101302928138</v>
      </c>
      <c r="V81" s="3067">
        <f>SUM('цех стоки (с разбивкой)'!V35)</f>
        <v>2.1716730390878443</v>
      </c>
      <c r="W81" s="3087">
        <f t="shared" si="42"/>
        <v>8.6866921563513788</v>
      </c>
    </row>
    <row r="82" spans="1:23" ht="18.75" customHeight="1">
      <c r="A82" s="3093" t="s">
        <v>565</v>
      </c>
      <c r="B82" s="3067">
        <f>SUM('цех стоки (с разбивкой)'!B36)</f>
        <v>27.639475042936198</v>
      </c>
      <c r="C82" s="3067">
        <f>SUM('цех стоки (с разбивкой)'!C36)</f>
        <v>27.450113078020159</v>
      </c>
      <c r="D82" s="3067">
        <f>SUM('цех стоки (с разбивкой)'!D36)</f>
        <v>0.18936196491603852</v>
      </c>
      <c r="E82" s="3094">
        <f>SUM('цех стоки (с разбивкой)'!E36)</f>
        <v>2.3032895869113497</v>
      </c>
      <c r="F82" s="3094">
        <f>SUM('цех стоки (с разбивкой)'!F36)</f>
        <v>2.3032895869113497</v>
      </c>
      <c r="G82" s="3094">
        <f>SUM('цех стоки (с разбивкой)'!G36)</f>
        <v>2.3032895869113497</v>
      </c>
      <c r="H82" s="3067">
        <f>SUM('цех стоки (с разбивкой)'!H36)</f>
        <v>6.9098687607340494</v>
      </c>
      <c r="I82" s="3094">
        <f>SUM('цех стоки (с разбивкой)'!I36)</f>
        <v>2.3032895869113497</v>
      </c>
      <c r="J82" s="3094">
        <f>SUM('цех стоки (с разбивкой)'!J36)</f>
        <v>2.3032895869113497</v>
      </c>
      <c r="K82" s="3094">
        <f>SUM('цех стоки (с разбивкой)'!K36)</f>
        <v>2.3032895869113497</v>
      </c>
      <c r="L82" s="3067">
        <f>SUM('цех стоки (с разбивкой)'!L36)</f>
        <v>6.9098687607340494</v>
      </c>
      <c r="M82" s="3067">
        <f>SUM('цех стоки (с разбивкой)'!M36)</f>
        <v>13.819737521468099</v>
      </c>
      <c r="N82" s="3094">
        <f>SUM('цех стоки (с разбивкой)'!N36)</f>
        <v>2.3032895869113497</v>
      </c>
      <c r="O82" s="3094">
        <f>SUM('цех стоки (с разбивкой)'!O36)</f>
        <v>2.3032895869113497</v>
      </c>
      <c r="P82" s="3094">
        <f>SUM('цех стоки (с разбивкой)'!P36)</f>
        <v>2.3032895869113497</v>
      </c>
      <c r="Q82" s="3067">
        <f>SUM('цех стоки (с разбивкой)'!Q36)</f>
        <v>6.9098687607340494</v>
      </c>
      <c r="R82" s="3067">
        <f>SUM('цех стоки (с разбивкой)'!R36)</f>
        <v>20.729606282202148</v>
      </c>
      <c r="S82" s="3094">
        <f>SUM('цех стоки (с разбивкой)'!S36)</f>
        <v>2.3032895869113497</v>
      </c>
      <c r="T82" s="3094">
        <f>SUM('цех стоки (с разбивкой)'!T36)</f>
        <v>2.3032895869113497</v>
      </c>
      <c r="U82" s="3094">
        <f>SUM('цех стоки (с разбивкой)'!U36)</f>
        <v>2.3032895869113497</v>
      </c>
      <c r="V82" s="3067">
        <f>SUM('цех стоки (с разбивкой)'!V36)</f>
        <v>6.9098687607340494</v>
      </c>
      <c r="W82" s="3087">
        <f t="shared" si="42"/>
        <v>27.639475042936201</v>
      </c>
    </row>
    <row r="83" spans="1:23" ht="18.75" customHeight="1">
      <c r="A83" s="3091" t="s">
        <v>609</v>
      </c>
      <c r="B83" s="3063">
        <f>SUM('цех стоки (с разбивкой)'!B37)</f>
        <v>644.39461814388403</v>
      </c>
      <c r="C83" s="3063">
        <f>SUM('цех стоки (с разбивкой)'!C37)</f>
        <v>639.97977919041296</v>
      </c>
      <c r="D83" s="3063">
        <f>SUM('цех стоки (с разбивкой)'!D37)</f>
        <v>4.414838953471012</v>
      </c>
      <c r="E83" s="3092">
        <f>SUM('цех стоки (с разбивкой)'!E37)</f>
        <v>52.196437889226772</v>
      </c>
      <c r="F83" s="3092">
        <f>SUM('цех стоки (с разбивкой)'!F37)</f>
        <v>52.196437889226772</v>
      </c>
      <c r="G83" s="3092">
        <f>SUM('цех стоки (с разбивкой)'!G37)</f>
        <v>52.196437889226772</v>
      </c>
      <c r="H83" s="3063">
        <f>SUM('цех стоки (с разбивкой)'!H37)</f>
        <v>156.5893136676803</v>
      </c>
      <c r="I83" s="3092">
        <f>SUM('цех стоки (с разбивкой)'!I37)</f>
        <v>52.328633549860704</v>
      </c>
      <c r="J83" s="3092">
        <f>SUM('цех стоки (с разбивкой)'!J37)</f>
        <v>54.517206153689088</v>
      </c>
      <c r="K83" s="3092">
        <f>SUM('цех стоки (с разбивкой)'!K37)</f>
        <v>56.426699029512505</v>
      </c>
      <c r="L83" s="3063">
        <f>SUM('цех стоки (с разбивкой)'!L37)</f>
        <v>163.27253873306228</v>
      </c>
      <c r="M83" s="3063">
        <f>SUM('цех стоки (с разбивкой)'!M37)</f>
        <v>319.86185240074258</v>
      </c>
      <c r="N83" s="3092">
        <f>SUM('цех стоки (с разбивкой)'!N37)</f>
        <v>56.999546892259531</v>
      </c>
      <c r="O83" s="3092">
        <f>SUM('цех стоки (с разбивкой)'!O37)</f>
        <v>56.426699029512505</v>
      </c>
      <c r="P83" s="3092">
        <f>SUM('цех стоки (с разбивкой)'!P37)</f>
        <v>54.517206153689088</v>
      </c>
      <c r="Q83" s="3063">
        <f>SUM('цех стоки (с разбивкой)'!Q37)</f>
        <v>167.94345207546112</v>
      </c>
      <c r="R83" s="3063">
        <f>SUM('цех стоки (с разбивкой)'!R37)</f>
        <v>487.80530447620367</v>
      </c>
      <c r="S83" s="3092">
        <f>SUM('цех стоки (с разбивкой)'!S37)</f>
        <v>52.196437889226772</v>
      </c>
      <c r="T83" s="3092">
        <f>SUM('цех стоки (с разбивкой)'!T37)</f>
        <v>52.196437889226772</v>
      </c>
      <c r="U83" s="3092">
        <f>SUM('цех стоки (с разбивкой)'!U37)</f>
        <v>52.196437889226772</v>
      </c>
      <c r="V83" s="3063">
        <f>SUM('цех стоки (с разбивкой)'!V37)</f>
        <v>156.5893136676803</v>
      </c>
      <c r="W83" s="3087">
        <f t="shared" si="42"/>
        <v>644.39461814388403</v>
      </c>
    </row>
    <row r="84" spans="1:23" ht="18.75" customHeight="1">
      <c r="A84" s="3093" t="s">
        <v>551</v>
      </c>
      <c r="B84" s="3067">
        <f>SUM('цех стоки (с разбивкой)'!B38)</f>
        <v>146.88406737103239</v>
      </c>
      <c r="C84" s="3067">
        <f>SUM('цех стоки (с разбивкой)'!C38)</f>
        <v>145.87774378605002</v>
      </c>
      <c r="D84" s="3067">
        <f>SUM('цех стоки (с разбивкой)'!D38)</f>
        <v>1.0063235849823684</v>
      </c>
      <c r="E84" s="3094">
        <f>SUM('цех стоки (с разбивкой)'!E38)</f>
        <v>10.737225324822468</v>
      </c>
      <c r="F84" s="3094">
        <f>SUM('цех стоки (с разбивкой)'!F38)</f>
        <v>10.737225324822468</v>
      </c>
      <c r="G84" s="3094">
        <f>SUM('цех стоки (с разбивкой)'!G38)</f>
        <v>10.737225324822468</v>
      </c>
      <c r="H84" s="3067">
        <f>SUM('цех стоки (с разбивкой)'!H38)</f>
        <v>32.211675974467404</v>
      </c>
      <c r="I84" s="3094">
        <f>SUM('цех стоки (с разбивкой)'!I38)</f>
        <v>10.869420985456399</v>
      </c>
      <c r="J84" s="3094">
        <f>SUM('цех стоки (с разбивкой)'!J38)</f>
        <v>13.057993589284781</v>
      </c>
      <c r="K84" s="3094">
        <f>SUM('цех стоки (с разбивкой)'!K38)</f>
        <v>14.967486465108198</v>
      </c>
      <c r="L84" s="3067">
        <f>SUM('цех стоки (с разбивкой)'!L38)</f>
        <v>38.894901039849373</v>
      </c>
      <c r="M84" s="3067">
        <f>SUM('цех стоки (с разбивкой)'!M38)</f>
        <v>71.10657701431677</v>
      </c>
      <c r="N84" s="3094">
        <f>SUM('цех стоки (с разбивкой)'!N38)</f>
        <v>15.540334327855227</v>
      </c>
      <c r="O84" s="3094">
        <f>SUM('цех стоки (с разбивкой)'!O38)</f>
        <v>14.967486465108198</v>
      </c>
      <c r="P84" s="3094">
        <f>SUM('цех стоки (с разбивкой)'!P38)</f>
        <v>13.057993589284781</v>
      </c>
      <c r="Q84" s="3067">
        <f>SUM('цех стоки (с разбивкой)'!Q38)</f>
        <v>43.565814382248206</v>
      </c>
      <c r="R84" s="3067">
        <f>SUM('цех стоки (с разбивкой)'!R38)</f>
        <v>114.67239139656498</v>
      </c>
      <c r="S84" s="3094">
        <f>SUM('цех стоки (с разбивкой)'!S38)</f>
        <v>10.737225324822468</v>
      </c>
      <c r="T84" s="3094">
        <f>SUM('цех стоки (с разбивкой)'!T38)</f>
        <v>10.737225324822468</v>
      </c>
      <c r="U84" s="3094">
        <f>SUM('цех стоки (с разбивкой)'!U38)</f>
        <v>10.737225324822468</v>
      </c>
      <c r="V84" s="3067">
        <f>SUM('цех стоки (с разбивкой)'!V38)</f>
        <v>32.211675974467404</v>
      </c>
      <c r="W84" s="3087">
        <f t="shared" si="42"/>
        <v>146.88406737103242</v>
      </c>
    </row>
    <row r="85" spans="1:23" ht="18.75" customHeight="1">
      <c r="A85" s="3093" t="s">
        <v>643</v>
      </c>
      <c r="B85" s="3067">
        <f>SUM('цех стоки (с разбивкой)'!B39)</f>
        <v>440.65220211309713</v>
      </c>
      <c r="C85" s="3067">
        <f>SUM('цех стоки (с разбивкой)'!C39)</f>
        <v>437.63323135815006</v>
      </c>
      <c r="D85" s="3067">
        <f>SUM('цех стоки (с разбивкой)'!D39)</f>
        <v>3.0189707549470768</v>
      </c>
      <c r="E85" s="3094">
        <f>SUM('цех стоки (с разбивкой)'!E39)</f>
        <v>36.721016842758097</v>
      </c>
      <c r="F85" s="3094">
        <f>SUM('цех стоки (с разбивкой)'!F39)</f>
        <v>36.721016842758097</v>
      </c>
      <c r="G85" s="3094">
        <f>SUM('цех стоки (с разбивкой)'!G39)</f>
        <v>36.721016842758097</v>
      </c>
      <c r="H85" s="3067">
        <f>SUM('цех стоки (с разбивкой)'!H39)</f>
        <v>110.16305052827428</v>
      </c>
      <c r="I85" s="3094">
        <f>SUM('цех стоки (с разбивкой)'!I39)</f>
        <v>36.721016842758097</v>
      </c>
      <c r="J85" s="3094">
        <f>SUM('цех стоки (с разбивкой)'!J39)</f>
        <v>36.721016842758097</v>
      </c>
      <c r="K85" s="3094">
        <f>SUM('цех стоки (с разбивкой)'!K39)</f>
        <v>36.721016842758097</v>
      </c>
      <c r="L85" s="3067">
        <f>SUM('цех стоки (с разбивкой)'!L39)</f>
        <v>110.16305052827428</v>
      </c>
      <c r="M85" s="3067">
        <f>SUM('цех стоки (с разбивкой)'!M39)</f>
        <v>220.32610105654857</v>
      </c>
      <c r="N85" s="3094">
        <f>SUM('цех стоки (с разбивкой)'!N39)</f>
        <v>36.721016842758097</v>
      </c>
      <c r="O85" s="3094">
        <f>SUM('цех стоки (с разбивкой)'!O39)</f>
        <v>36.721016842758097</v>
      </c>
      <c r="P85" s="3094">
        <f>SUM('цех стоки (с разбивкой)'!P39)</f>
        <v>36.721016842758097</v>
      </c>
      <c r="Q85" s="3067">
        <f>SUM('цех стоки (с разбивкой)'!Q39)</f>
        <v>110.16305052827428</v>
      </c>
      <c r="R85" s="3067">
        <f>SUM('цех стоки (с разбивкой)'!R39)</f>
        <v>330.48915158482282</v>
      </c>
      <c r="S85" s="3094">
        <f>SUM('цех стоки (с разбивкой)'!S39)</f>
        <v>36.721016842758097</v>
      </c>
      <c r="T85" s="3094">
        <f>SUM('цех стоки (с разбивкой)'!T39)</f>
        <v>36.721016842758097</v>
      </c>
      <c r="U85" s="3094">
        <f>SUM('цех стоки (с разбивкой)'!U39)</f>
        <v>36.721016842758097</v>
      </c>
      <c r="V85" s="3067">
        <f>SUM('цех стоки (с разбивкой)'!V39)</f>
        <v>110.16305052827428</v>
      </c>
      <c r="W85" s="3087">
        <f t="shared" si="42"/>
        <v>440.65220211309719</v>
      </c>
    </row>
    <row r="86" spans="1:23" ht="18.75" customHeight="1">
      <c r="A86" s="3093" t="s">
        <v>559</v>
      </c>
      <c r="B86" s="3067">
        <f>SUM('цех стоки (с разбивкой)'!B40)</f>
        <v>56.858348659754469</v>
      </c>
      <c r="C86" s="3067">
        <f>SUM('цех стоки (с разбивкой)'!C40)</f>
        <v>56.468804046212902</v>
      </c>
      <c r="D86" s="3067">
        <f>SUM('цех стоки (с разбивкой)'!D40)</f>
        <v>0.38954461354156678</v>
      </c>
      <c r="E86" s="3094">
        <f>SUM('цех стоки (с разбивкой)'!E40)</f>
        <v>4.7381957216462061</v>
      </c>
      <c r="F86" s="3094">
        <f>SUM('цех стоки (с разбивкой)'!F40)</f>
        <v>4.7381957216462061</v>
      </c>
      <c r="G86" s="3094">
        <f>SUM('цех стоки (с разбивкой)'!G40)</f>
        <v>4.7381957216462061</v>
      </c>
      <c r="H86" s="3067">
        <f>SUM('цех стоки (с разбивкой)'!H40)</f>
        <v>14.214587164938617</v>
      </c>
      <c r="I86" s="3094">
        <f>SUM('цех стоки (с разбивкой)'!I40)</f>
        <v>4.7381957216462061</v>
      </c>
      <c r="J86" s="3094">
        <f>SUM('цех стоки (с разбивкой)'!J40)</f>
        <v>4.7381957216462061</v>
      </c>
      <c r="K86" s="3094">
        <f>SUM('цех стоки (с разбивкой)'!K40)</f>
        <v>4.7381957216462061</v>
      </c>
      <c r="L86" s="3067">
        <f>SUM('цех стоки (с разбивкой)'!L40)</f>
        <v>14.214587164938617</v>
      </c>
      <c r="M86" s="3067">
        <f>SUM('цех стоки (с разбивкой)'!M40)</f>
        <v>28.429174329877235</v>
      </c>
      <c r="N86" s="3094">
        <f>SUM('цех стоки (с разбивкой)'!N40)</f>
        <v>4.7381957216462061</v>
      </c>
      <c r="O86" s="3094">
        <f>SUM('цех стоки (с разбивкой)'!O40)</f>
        <v>4.7381957216462061</v>
      </c>
      <c r="P86" s="3094">
        <f>SUM('цех стоки (с разбивкой)'!P40)</f>
        <v>4.7381957216462061</v>
      </c>
      <c r="Q86" s="3067">
        <f>SUM('цех стоки (с разбивкой)'!Q40)</f>
        <v>14.214587164938617</v>
      </c>
      <c r="R86" s="3067">
        <f>SUM('цех стоки (с разбивкой)'!R40)</f>
        <v>42.643761494815848</v>
      </c>
      <c r="S86" s="3094">
        <f>SUM('цех стоки (с разбивкой)'!S40)</f>
        <v>4.7381957216462061</v>
      </c>
      <c r="T86" s="3094">
        <f>SUM('цех стоки (с разбивкой)'!T40)</f>
        <v>4.7381957216462061</v>
      </c>
      <c r="U86" s="3094">
        <f>SUM('цех стоки (с разбивкой)'!U40)</f>
        <v>4.7381957216462061</v>
      </c>
      <c r="V86" s="3067">
        <f>SUM('цех стоки (с разбивкой)'!V40)</f>
        <v>14.214587164938617</v>
      </c>
      <c r="W86" s="3087">
        <f t="shared" si="42"/>
        <v>56.858348659754476</v>
      </c>
    </row>
    <row r="87" spans="1:23" ht="18.75" customHeight="1">
      <c r="A87" s="3093" t="s">
        <v>613</v>
      </c>
      <c r="B87" s="3067">
        <f>SUM('цех стоки (с разбивкой)'!B41)</f>
        <v>0</v>
      </c>
      <c r="C87" s="3067">
        <f>SUM('цех стоки (с разбивкой)'!C41)</f>
        <v>0</v>
      </c>
      <c r="D87" s="3067">
        <f>SUM('цех стоки (с разбивкой)'!D41)</f>
        <v>0</v>
      </c>
      <c r="E87" s="3094">
        <f>SUM('цех стоки (с разбивкой)'!E41)</f>
        <v>0</v>
      </c>
      <c r="F87" s="3094">
        <f>SUM('цех стоки (с разбивкой)'!F41)</f>
        <v>0</v>
      </c>
      <c r="G87" s="3094">
        <f>SUM('цех стоки (с разбивкой)'!G41)</f>
        <v>0</v>
      </c>
      <c r="H87" s="3067">
        <f>SUM('цех стоки (с разбивкой)'!H41)</f>
        <v>0</v>
      </c>
      <c r="I87" s="3094">
        <f>SUM('цех стоки (с разбивкой)'!I41)</f>
        <v>0</v>
      </c>
      <c r="J87" s="3094">
        <f>SUM('цех стоки (с разбивкой)'!J41)</f>
        <v>0</v>
      </c>
      <c r="K87" s="3094">
        <f>SUM('цех стоки (с разбивкой)'!K41)</f>
        <v>0</v>
      </c>
      <c r="L87" s="3067">
        <f>SUM('цех стоки (с разбивкой)'!L41)</f>
        <v>0</v>
      </c>
      <c r="M87" s="3067">
        <f>SUM('цех стоки (с разбивкой)'!M41)</f>
        <v>0</v>
      </c>
      <c r="N87" s="3094">
        <f>SUM('цех стоки (с разбивкой)'!N41)</f>
        <v>0</v>
      </c>
      <c r="O87" s="3094">
        <f>SUM('цех стоки (с разбивкой)'!O41)</f>
        <v>0</v>
      </c>
      <c r="P87" s="3094">
        <f>SUM('цех стоки (с разбивкой)'!P41)</f>
        <v>0</v>
      </c>
      <c r="Q87" s="3067">
        <f>SUM('цех стоки (с разбивкой)'!Q41)</f>
        <v>0</v>
      </c>
      <c r="R87" s="3067">
        <f>SUM('цех стоки (с разбивкой)'!R41)</f>
        <v>0</v>
      </c>
      <c r="S87" s="3094">
        <f>SUM('цех стоки (с разбивкой)'!S41)</f>
        <v>0</v>
      </c>
      <c r="T87" s="3094">
        <f>SUM('цех стоки (с разбивкой)'!T41)</f>
        <v>0</v>
      </c>
      <c r="U87" s="3094">
        <f>SUM('цех стоки (с разбивкой)'!U41)</f>
        <v>0</v>
      </c>
      <c r="V87" s="3067">
        <f>SUM('цех стоки (с разбивкой)'!V41)</f>
        <v>0</v>
      </c>
      <c r="W87" s="3087">
        <f t="shared" si="42"/>
        <v>0</v>
      </c>
    </row>
    <row r="88" spans="1:23" ht="18.75" customHeight="1">
      <c r="A88" s="3106" t="s">
        <v>549</v>
      </c>
      <c r="B88" s="3060">
        <f>SUM(стоки!CL27)</f>
        <v>3632.9375167850244</v>
      </c>
      <c r="C88" s="3060">
        <f>SUM(стоки!CN27)</f>
        <v>3632.9375167850244</v>
      </c>
      <c r="D88" s="3070">
        <f>SUM(стоки!CO27)</f>
        <v>0</v>
      </c>
      <c r="E88" s="3096">
        <f t="shared" ref="E88:G88" si="65">SUM(E89+E90+E91+E93+E94)</f>
        <v>298.83460840835363</v>
      </c>
      <c r="F88" s="3096">
        <f t="shared" si="65"/>
        <v>298.83460840835363</v>
      </c>
      <c r="G88" s="3096">
        <f t="shared" si="65"/>
        <v>298.83460840835363</v>
      </c>
      <c r="H88" s="3070">
        <f t="shared" si="34"/>
        <v>896.50382522506084</v>
      </c>
      <c r="I88" s="3096">
        <f>SUM(I89+I90+I91+I93+I94)</f>
        <v>298.83460840835363</v>
      </c>
      <c r="J88" s="3096">
        <f>SUM(J89+J90+J91+J93+J94)</f>
        <v>298.83460840835363</v>
      </c>
      <c r="K88" s="3096">
        <f>SUM(K89+K90+K91+K93+K94)</f>
        <v>298.83460840835363</v>
      </c>
      <c r="L88" s="3070">
        <f t="shared" ref="L88:L89" si="66">SUM(I88+J88+K88)</f>
        <v>896.50382522506084</v>
      </c>
      <c r="M88" s="3070">
        <f t="shared" ref="M88:M89" si="67">SUM(H88+L88)</f>
        <v>1793.0076504501217</v>
      </c>
      <c r="N88" s="3096">
        <f>SUM(N89+N90+N91+N93+N94)</f>
        <v>306.65497772248369</v>
      </c>
      <c r="O88" s="3096">
        <f>SUM(O89+O90+O91+O93+O94)</f>
        <v>306.65497772248369</v>
      </c>
      <c r="P88" s="3096">
        <f>SUM(P89+P90+P91+P93+P94)</f>
        <v>306.65497772248369</v>
      </c>
      <c r="Q88" s="3070">
        <f t="shared" ref="Q88:Q89" si="68">SUM(N88+O88+P88)</f>
        <v>919.96493316745114</v>
      </c>
      <c r="R88" s="3070">
        <f t="shared" ref="R88:R89" si="69">SUM(M88+Q88)</f>
        <v>2712.972583617573</v>
      </c>
      <c r="S88" s="3096">
        <f>SUM(S89+S90+S91+S93+S94)</f>
        <v>306.65497772248369</v>
      </c>
      <c r="T88" s="3096">
        <f>SUM(T89+T90+T91+T93+T94)</f>
        <v>306.65497772248369</v>
      </c>
      <c r="U88" s="3096">
        <f>SUM(U89+U90+U91+U93+U94)</f>
        <v>306.65497772248369</v>
      </c>
      <c r="V88" s="3070">
        <f t="shared" si="41"/>
        <v>919.96493316745114</v>
      </c>
      <c r="W88" s="3085">
        <f t="shared" si="42"/>
        <v>3632.9375167850239</v>
      </c>
    </row>
    <row r="89" spans="1:23" ht="18.75" customHeight="1">
      <c r="A89" s="3121" t="s">
        <v>3</v>
      </c>
      <c r="B89" s="3063">
        <f>SUM(стоки!CL28)</f>
        <v>147.84372541579819</v>
      </c>
      <c r="C89" s="3063">
        <f>SUM(стоки!CN28)</f>
        <v>147.84372541579819</v>
      </c>
      <c r="D89" s="3063">
        <f>SUM(стоки!CO28)</f>
        <v>0</v>
      </c>
      <c r="E89" s="3071">
        <f>SUM(B89/12)</f>
        <v>12.320310451316516</v>
      </c>
      <c r="F89" s="3071">
        <f t="shared" ref="F89" si="70">SUM(E89)</f>
        <v>12.320310451316516</v>
      </c>
      <c r="G89" s="3071">
        <f t="shared" ref="G89" si="71">SUM(F89)</f>
        <v>12.320310451316516</v>
      </c>
      <c r="H89" s="3072">
        <f t="shared" si="34"/>
        <v>36.960931353949547</v>
      </c>
      <c r="I89" s="3071">
        <f>SUM(E89)</f>
        <v>12.320310451316516</v>
      </c>
      <c r="J89" s="3071">
        <f>SUM(E89)</f>
        <v>12.320310451316516</v>
      </c>
      <c r="K89" s="3071">
        <f>SUM(E89)</f>
        <v>12.320310451316516</v>
      </c>
      <c r="L89" s="3072">
        <f t="shared" si="66"/>
        <v>36.960931353949547</v>
      </c>
      <c r="M89" s="3072">
        <f t="shared" si="67"/>
        <v>73.921862707899095</v>
      </c>
      <c r="N89" s="3071">
        <f>SUM(E89)</f>
        <v>12.320310451316516</v>
      </c>
      <c r="O89" s="3071">
        <f>SUM(E89)</f>
        <v>12.320310451316516</v>
      </c>
      <c r="P89" s="3071">
        <f>E89</f>
        <v>12.320310451316516</v>
      </c>
      <c r="Q89" s="3072">
        <f t="shared" si="68"/>
        <v>36.960931353949547</v>
      </c>
      <c r="R89" s="3072">
        <f t="shared" si="69"/>
        <v>110.88279406184864</v>
      </c>
      <c r="S89" s="3071">
        <f>E89</f>
        <v>12.320310451316516</v>
      </c>
      <c r="T89" s="3071">
        <f>E89</f>
        <v>12.320310451316516</v>
      </c>
      <c r="U89" s="3071">
        <f>E89</f>
        <v>12.320310451316516</v>
      </c>
      <c r="V89" s="3072">
        <f t="shared" si="41"/>
        <v>36.960931353949547</v>
      </c>
      <c r="W89" s="3087">
        <f>SUM(E89+F89+G89+I89+J89+K89+N89+O89+P89+S89+T89+U89)</f>
        <v>147.84372541579819</v>
      </c>
    </row>
    <row r="90" spans="1:23" ht="18.75" customHeight="1">
      <c r="A90" s="3121" t="s">
        <v>4</v>
      </c>
      <c r="B90" s="3063">
        <f>SUM(стоки!CL29)</f>
        <v>1839.5211085585229</v>
      </c>
      <c r="C90" s="3063">
        <f>SUM(стоки!CN29)</f>
        <v>1839.5211085585229</v>
      </c>
      <c r="D90" s="3063">
        <f>SUM(стоки!CO29)</f>
        <v>0</v>
      </c>
      <c r="E90" s="3071">
        <f>SUM(ЗП!DI32/2)/(1+(104%*100-100)/2/100)/6</f>
        <v>150.28767226785317</v>
      </c>
      <c r="F90" s="3071">
        <f>SUM(E90)</f>
        <v>150.28767226785317</v>
      </c>
      <c r="G90" s="3071">
        <f>SUM(E90)</f>
        <v>150.28767226785317</v>
      </c>
      <c r="H90" s="3072">
        <f t="shared" ref="H90:H91" si="72">SUM(E90+F90+G90)</f>
        <v>450.8630168035595</v>
      </c>
      <c r="I90" s="3071">
        <f>SUM(E90)</f>
        <v>150.28767226785317</v>
      </c>
      <c r="J90" s="3071">
        <f>SUM(E90)</f>
        <v>150.28767226785317</v>
      </c>
      <c r="K90" s="3071">
        <f>SUM(E90)</f>
        <v>150.28767226785317</v>
      </c>
      <c r="L90" s="3072">
        <f t="shared" ref="L90:L91" si="73">SUM(I90+J90+K90)</f>
        <v>450.8630168035595</v>
      </c>
      <c r="M90" s="3072">
        <f t="shared" ref="M90:M91" si="74">SUM(H90+L90)</f>
        <v>901.72603360711901</v>
      </c>
      <c r="N90" s="3071">
        <f>SUM(ЗП!DI32-M90)/6</f>
        <v>156.29917915856731</v>
      </c>
      <c r="O90" s="3071">
        <f>SUM(N90)</f>
        <v>156.29917915856731</v>
      </c>
      <c r="P90" s="3071">
        <f>SUM(N90)</f>
        <v>156.29917915856731</v>
      </c>
      <c r="Q90" s="3072">
        <f t="shared" ref="Q90:Q91" si="75">SUM(N90+O90+P90)</f>
        <v>468.89753747570194</v>
      </c>
      <c r="R90" s="3072">
        <f t="shared" ref="R90:R91" si="76">SUM(M90+Q90)</f>
        <v>1370.6235710828209</v>
      </c>
      <c r="S90" s="3071">
        <f>SUM(N90)</f>
        <v>156.29917915856731</v>
      </c>
      <c r="T90" s="3071">
        <f>SUM(N90)</f>
        <v>156.29917915856731</v>
      </c>
      <c r="U90" s="3071">
        <f>SUM(N90)</f>
        <v>156.29917915856731</v>
      </c>
      <c r="V90" s="3072">
        <f t="shared" ref="V90:V91" si="77">SUM(S90+T90+U90)</f>
        <v>468.89753747570194</v>
      </c>
      <c r="W90" s="3087">
        <f t="shared" ref="W90:W91" si="78">SUM(E90+F90+G90+I90+J90+K90+N90+O90+P90+S90+T90+U90)</f>
        <v>1839.5211085585229</v>
      </c>
    </row>
    <row r="91" spans="1:23" ht="18.75" customHeight="1">
      <c r="A91" s="3121" t="s">
        <v>121</v>
      </c>
      <c r="B91" s="3063">
        <f>SUM(стоки!CL30)</f>
        <v>553.51190156525956</v>
      </c>
      <c r="C91" s="3063">
        <f>SUM(стоки!CN30)</f>
        <v>553.51190156525956</v>
      </c>
      <c r="D91" s="3063">
        <f>SUM(стоки!CO30)</f>
        <v>0</v>
      </c>
      <c r="E91" s="3071">
        <f>SUM(E90*E92)</f>
        <v>45.221560585397022</v>
      </c>
      <c r="F91" s="3071">
        <f>SUM(F90*F92)</f>
        <v>45.221560585397022</v>
      </c>
      <c r="G91" s="3071">
        <f>SUM(G90*G92)</f>
        <v>45.221560585397022</v>
      </c>
      <c r="H91" s="3072">
        <f t="shared" si="72"/>
        <v>135.66468175619107</v>
      </c>
      <c r="I91" s="3071">
        <f>SUM(I90*I92)</f>
        <v>45.221560585397022</v>
      </c>
      <c r="J91" s="3071">
        <f>SUM(J90*J92)</f>
        <v>45.221560585397022</v>
      </c>
      <c r="K91" s="3071">
        <f>SUM(K90*K92)</f>
        <v>45.221560585397022</v>
      </c>
      <c r="L91" s="3072">
        <f t="shared" si="73"/>
        <v>135.66468175619107</v>
      </c>
      <c r="M91" s="3072">
        <f t="shared" si="74"/>
        <v>271.32936351238214</v>
      </c>
      <c r="N91" s="3071">
        <f>SUM(N90*N92)</f>
        <v>47.030423008812903</v>
      </c>
      <c r="O91" s="3071">
        <f>SUM(O90*O92)</f>
        <v>47.030423008812903</v>
      </c>
      <c r="P91" s="3071">
        <f>SUM(P90*P92)</f>
        <v>47.030423008812903</v>
      </c>
      <c r="Q91" s="3072">
        <f t="shared" si="75"/>
        <v>141.09126902643871</v>
      </c>
      <c r="R91" s="3072">
        <f t="shared" si="76"/>
        <v>412.42063253882088</v>
      </c>
      <c r="S91" s="3071">
        <f>SUM(S90*S92)</f>
        <v>47.030423008812903</v>
      </c>
      <c r="T91" s="3071">
        <f>SUM(T90*T92)</f>
        <v>47.030423008812903</v>
      </c>
      <c r="U91" s="3071">
        <f>SUM(U90*U92)</f>
        <v>47.030423008812903</v>
      </c>
      <c r="V91" s="3072">
        <f t="shared" si="77"/>
        <v>141.09126902643871</v>
      </c>
      <c r="W91" s="3087">
        <f t="shared" si="78"/>
        <v>553.51190156525968</v>
      </c>
    </row>
    <row r="92" spans="1:23" ht="18.75" customHeight="1">
      <c r="A92" s="3122" t="str">
        <f>A61</f>
        <v>то же в %</v>
      </c>
      <c r="B92" s="3068">
        <f>SUM(B91/B90)</f>
        <v>0.3009</v>
      </c>
      <c r="C92" s="3068">
        <f t="shared" ref="C92" si="79">SUM(C91/C90)</f>
        <v>0.3009</v>
      </c>
      <c r="D92" s="3068">
        <v>0</v>
      </c>
      <c r="E92" s="3097">
        <f>SUM(B92)</f>
        <v>0.3009</v>
      </c>
      <c r="F92" s="3097">
        <f>SUM(E92)</f>
        <v>0.3009</v>
      </c>
      <c r="G92" s="3097">
        <f>SUM(E92)</f>
        <v>0.3009</v>
      </c>
      <c r="H92" s="3068">
        <f>SUM(H91/H90)</f>
        <v>0.30090000000000006</v>
      </c>
      <c r="I92" s="3097">
        <f>SUM(E92)</f>
        <v>0.3009</v>
      </c>
      <c r="J92" s="3097">
        <f>SUM(E92)</f>
        <v>0.3009</v>
      </c>
      <c r="K92" s="3097">
        <f>SUM(E92)</f>
        <v>0.3009</v>
      </c>
      <c r="L92" s="3068">
        <f>SUM(L91/L90)</f>
        <v>0.30090000000000006</v>
      </c>
      <c r="M92" s="3068">
        <f>SUM(M91/M90)</f>
        <v>0.30090000000000006</v>
      </c>
      <c r="N92" s="3097">
        <f>SUM(E92)</f>
        <v>0.3009</v>
      </c>
      <c r="O92" s="3097">
        <f>SUM(E92)</f>
        <v>0.3009</v>
      </c>
      <c r="P92" s="3097">
        <f>SUM(E92)</f>
        <v>0.3009</v>
      </c>
      <c r="Q92" s="3068">
        <f>SUM(Q91/Q90)</f>
        <v>0.3009</v>
      </c>
      <c r="R92" s="3068">
        <f>SUM(R91/R90)</f>
        <v>0.30090000000000006</v>
      </c>
      <c r="S92" s="3097">
        <f>SUM(E92)</f>
        <v>0.3009</v>
      </c>
      <c r="T92" s="3097">
        <f>SUM(E92)</f>
        <v>0.3009</v>
      </c>
      <c r="U92" s="3097">
        <f>SUM(E92)</f>
        <v>0.3009</v>
      </c>
      <c r="V92" s="3068">
        <f>SUM(V91/V90)</f>
        <v>0.3009</v>
      </c>
      <c r="W92" s="3089">
        <f>SUM(W91/W90)</f>
        <v>0.30090000000000006</v>
      </c>
    </row>
    <row r="93" spans="1:23" ht="18.75" customHeight="1">
      <c r="A93" s="3121" t="s">
        <v>2</v>
      </c>
      <c r="B93" s="3063">
        <f>SUM(стоки!CL32)</f>
        <v>36.94</v>
      </c>
      <c r="C93" s="3063">
        <f>SUM(стоки!CN32)</f>
        <v>36.94</v>
      </c>
      <c r="D93" s="3063">
        <f>SUM(стоки!CO32)</f>
        <v>0</v>
      </c>
      <c r="E93" s="3071">
        <f>SUM(B93/12)</f>
        <v>3.0783333333333331</v>
      </c>
      <c r="F93" s="3071">
        <f t="shared" ref="F93" si="80">SUM(E93)</f>
        <v>3.0783333333333331</v>
      </c>
      <c r="G93" s="3071">
        <f t="shared" ref="G93" si="81">SUM(F93)</f>
        <v>3.0783333333333331</v>
      </c>
      <c r="H93" s="3072">
        <f t="shared" ref="H93:H128" si="82">SUM(E93+F93+G93)</f>
        <v>9.2349999999999994</v>
      </c>
      <c r="I93" s="3071">
        <f>SUM(E93)</f>
        <v>3.0783333333333331</v>
      </c>
      <c r="J93" s="3071">
        <f>SUM(E93)</f>
        <v>3.0783333333333331</v>
      </c>
      <c r="K93" s="3071">
        <f>SUM(E93)</f>
        <v>3.0783333333333331</v>
      </c>
      <c r="L93" s="3072">
        <f t="shared" ref="L93:L112" si="83">SUM(I93+J93+K93)</f>
        <v>9.2349999999999994</v>
      </c>
      <c r="M93" s="3072">
        <f t="shared" ref="M93:M112" si="84">SUM(H93+L93)</f>
        <v>18.47</v>
      </c>
      <c r="N93" s="3071">
        <f>SUM(E93)</f>
        <v>3.0783333333333331</v>
      </c>
      <c r="O93" s="3071">
        <f>SUM(E93)</f>
        <v>3.0783333333333331</v>
      </c>
      <c r="P93" s="3071">
        <f>E93</f>
        <v>3.0783333333333331</v>
      </c>
      <c r="Q93" s="3072">
        <f t="shared" ref="Q93:Q112" si="85">SUM(N93+O93+P93)</f>
        <v>9.2349999999999994</v>
      </c>
      <c r="R93" s="3072">
        <f t="shared" ref="R93:R112" si="86">SUM(M93+Q93)</f>
        <v>27.704999999999998</v>
      </c>
      <c r="S93" s="3071">
        <f>E93</f>
        <v>3.0783333333333331</v>
      </c>
      <c r="T93" s="3071">
        <f>E93</f>
        <v>3.0783333333333331</v>
      </c>
      <c r="U93" s="3071">
        <f>E93</f>
        <v>3.0783333333333331</v>
      </c>
      <c r="V93" s="3072">
        <f t="shared" ref="V93:V128" si="87">SUM(S93+T93+U93)</f>
        <v>9.2349999999999994</v>
      </c>
      <c r="W93" s="3087">
        <f t="shared" ref="W93:W143" si="88">SUM(E93+F93+G93+I93+J93+K93+N93+O93+P93+S93+T93+U93)</f>
        <v>36.94</v>
      </c>
    </row>
    <row r="94" spans="1:23" ht="18.75" customHeight="1">
      <c r="A94" s="3103" t="s">
        <v>1723</v>
      </c>
      <c r="B94" s="3060">
        <f>SUM('цех стоки (с разбивкой)'!B42)</f>
        <v>1055.1207812454436</v>
      </c>
      <c r="C94" s="3060">
        <f>SUM('цех стоки (с разбивкой)'!C42)</f>
        <v>1055.1207812454436</v>
      </c>
      <c r="D94" s="3060">
        <f>SUM('цех стоки (с разбивкой)'!D42)</f>
        <v>0</v>
      </c>
      <c r="E94" s="3073">
        <f>SUM('цех стоки (с разбивкой)'!E42)</f>
        <v>87.926731770453628</v>
      </c>
      <c r="F94" s="3073">
        <f>SUM('цех стоки (с разбивкой)'!F42)</f>
        <v>87.926731770453628</v>
      </c>
      <c r="G94" s="3073">
        <f>SUM('цех стоки (с разбивкой)'!G42)</f>
        <v>87.926731770453628</v>
      </c>
      <c r="H94" s="3060">
        <f>SUM('цех стоки (с разбивкой)'!H42)</f>
        <v>263.7801953113609</v>
      </c>
      <c r="I94" s="3073">
        <f>SUM('цех стоки (с разбивкой)'!I42)</f>
        <v>87.926731770453628</v>
      </c>
      <c r="J94" s="3073">
        <f>SUM('цех стоки (с разбивкой)'!J42)</f>
        <v>87.926731770453628</v>
      </c>
      <c r="K94" s="3073">
        <f>SUM('цех стоки (с разбивкой)'!K42)</f>
        <v>87.926731770453628</v>
      </c>
      <c r="L94" s="3060">
        <f>SUM('цех стоки (с разбивкой)'!L42)</f>
        <v>263.7801953113609</v>
      </c>
      <c r="M94" s="3060">
        <f>SUM('цех стоки (с разбивкой)'!M42)</f>
        <v>527.5603906227218</v>
      </c>
      <c r="N94" s="3073">
        <f>SUM('цех стоки (с разбивкой)'!N42)</f>
        <v>87.926731770453628</v>
      </c>
      <c r="O94" s="3073">
        <f>SUM('цех стоки (с разбивкой)'!O42)</f>
        <v>87.926731770453628</v>
      </c>
      <c r="P94" s="3073">
        <f>SUM('цех стоки (с разбивкой)'!P42)</f>
        <v>87.926731770453628</v>
      </c>
      <c r="Q94" s="3060">
        <f>SUM('цех стоки (с разбивкой)'!Q42)</f>
        <v>263.7801953113609</v>
      </c>
      <c r="R94" s="3060">
        <f>SUM('цех стоки (с разбивкой)'!R42)</f>
        <v>791.3405859340827</v>
      </c>
      <c r="S94" s="3073">
        <f>SUM('цех стоки (с разбивкой)'!S42)</f>
        <v>87.926731770453628</v>
      </c>
      <c r="T94" s="3073">
        <f>SUM('цех стоки (с разбивкой)'!T42)</f>
        <v>87.926731770453628</v>
      </c>
      <c r="U94" s="3073">
        <f>SUM('цех стоки (с разбивкой)'!U42)</f>
        <v>87.926731770453628</v>
      </c>
      <c r="V94" s="3060">
        <f>SUM('цех стоки (с разбивкой)'!V42)</f>
        <v>263.7801953113609</v>
      </c>
      <c r="W94" s="3087">
        <f t="shared" si="88"/>
        <v>1055.1207812454438</v>
      </c>
    </row>
    <row r="95" spans="1:23" ht="18.75" customHeight="1">
      <c r="A95" s="3091" t="s">
        <v>72</v>
      </c>
      <c r="B95" s="3063">
        <f>SUM('цех стоки (с разбивкой)'!B43)</f>
        <v>0</v>
      </c>
      <c r="C95" s="3063">
        <f>SUM('цех стоки (с разбивкой)'!C43)</f>
        <v>0</v>
      </c>
      <c r="D95" s="3063">
        <f>SUM('цех стоки (с разбивкой)'!D43)</f>
        <v>0</v>
      </c>
      <c r="E95" s="3092">
        <f>SUM('цех стоки (с разбивкой)'!E43)</f>
        <v>0</v>
      </c>
      <c r="F95" s="3092">
        <f>SUM('цех стоки (с разбивкой)'!F43)</f>
        <v>0</v>
      </c>
      <c r="G95" s="3092">
        <f>SUM('цех стоки (с разбивкой)'!G43)</f>
        <v>0</v>
      </c>
      <c r="H95" s="3063">
        <f>SUM('цех стоки (с разбивкой)'!H43)</f>
        <v>0</v>
      </c>
      <c r="I95" s="3092">
        <f>SUM('цех стоки (с разбивкой)'!I43)</f>
        <v>0</v>
      </c>
      <c r="J95" s="3092">
        <f>SUM('цех стоки (с разбивкой)'!J43)</f>
        <v>0</v>
      </c>
      <c r="K95" s="3092">
        <f>SUM('цех стоки (с разбивкой)'!K43)</f>
        <v>0</v>
      </c>
      <c r="L95" s="3063">
        <f>SUM('цех стоки (с разбивкой)'!L43)</f>
        <v>0</v>
      </c>
      <c r="M95" s="3063">
        <f>SUM('цех стоки (с разбивкой)'!M43)</f>
        <v>0</v>
      </c>
      <c r="N95" s="3092">
        <f>SUM('цех стоки (с разбивкой)'!N43)</f>
        <v>0</v>
      </c>
      <c r="O95" s="3092">
        <f>SUM('цех стоки (с разбивкой)'!O43)</f>
        <v>0</v>
      </c>
      <c r="P95" s="3092">
        <f>SUM('цех стоки (с разбивкой)'!P43)</f>
        <v>0</v>
      </c>
      <c r="Q95" s="3063">
        <f>SUM('цех стоки (с разбивкой)'!Q43)</f>
        <v>0</v>
      </c>
      <c r="R95" s="3063">
        <f>SUM('цех стоки (с разбивкой)'!R43)</f>
        <v>0</v>
      </c>
      <c r="S95" s="3092">
        <f>SUM('цех стоки (с разбивкой)'!S43)</f>
        <v>0</v>
      </c>
      <c r="T95" s="3092">
        <f>SUM('цех стоки (с разбивкой)'!T43)</f>
        <v>0</v>
      </c>
      <c r="U95" s="3092">
        <f>SUM('цех стоки (с разбивкой)'!U43)</f>
        <v>0</v>
      </c>
      <c r="V95" s="3063">
        <f>SUM('цех стоки (с разбивкой)'!V43)</f>
        <v>0</v>
      </c>
      <c r="W95" s="3087">
        <f t="shared" si="88"/>
        <v>0</v>
      </c>
    </row>
    <row r="96" spans="1:23" ht="18.75" customHeight="1">
      <c r="A96" s="3091" t="s">
        <v>121</v>
      </c>
      <c r="B96" s="3063">
        <f>SUM('цех стоки (с разбивкой)'!B44)</f>
        <v>0</v>
      </c>
      <c r="C96" s="3063">
        <f>SUM('цех стоки (с разбивкой)'!C44)</f>
        <v>0</v>
      </c>
      <c r="D96" s="3063">
        <f>SUM('цех стоки (с разбивкой)'!D44)</f>
        <v>0</v>
      </c>
      <c r="E96" s="3092">
        <f>SUM('цех стоки (с разбивкой)'!E44)</f>
        <v>0</v>
      </c>
      <c r="F96" s="3092">
        <f>SUM('цех стоки (с разбивкой)'!F44)</f>
        <v>0</v>
      </c>
      <c r="G96" s="3092">
        <f>SUM('цех стоки (с разбивкой)'!G44)</f>
        <v>0</v>
      </c>
      <c r="H96" s="3063">
        <f>SUM('цех стоки (с разбивкой)'!H44)</f>
        <v>0</v>
      </c>
      <c r="I96" s="3092">
        <f>SUM('цех стоки (с разбивкой)'!I44)</f>
        <v>0</v>
      </c>
      <c r="J96" s="3092">
        <f>SUM('цех стоки (с разбивкой)'!J44)</f>
        <v>0</v>
      </c>
      <c r="K96" s="3092">
        <f>SUM('цех стоки (с разбивкой)'!K44)</f>
        <v>0</v>
      </c>
      <c r="L96" s="3063">
        <f>SUM('цех стоки (с разбивкой)'!L44)</f>
        <v>0</v>
      </c>
      <c r="M96" s="3063">
        <f>SUM('цех стоки (с разбивкой)'!M44)</f>
        <v>0</v>
      </c>
      <c r="N96" s="3092">
        <f>SUM('цех стоки (с разбивкой)'!N44)</f>
        <v>0</v>
      </c>
      <c r="O96" s="3092">
        <f>SUM('цех стоки (с разбивкой)'!O44)</f>
        <v>0</v>
      </c>
      <c r="P96" s="3092">
        <f>SUM('цех стоки (с разбивкой)'!P44)</f>
        <v>0</v>
      </c>
      <c r="Q96" s="3063">
        <f>SUM('цех стоки (с разбивкой)'!Q44)</f>
        <v>0</v>
      </c>
      <c r="R96" s="3063">
        <f>SUM('цех стоки (с разбивкой)'!R44)</f>
        <v>0</v>
      </c>
      <c r="S96" s="3092">
        <f>SUM('цех стоки (с разбивкой)'!S44)</f>
        <v>0</v>
      </c>
      <c r="T96" s="3092">
        <f>SUM('цех стоки (с разбивкой)'!T44)</f>
        <v>0</v>
      </c>
      <c r="U96" s="3092">
        <f>SUM('цех стоки (с разбивкой)'!U44)</f>
        <v>0</v>
      </c>
      <c r="V96" s="3063">
        <f>SUM('цех стоки (с разбивкой)'!V44)</f>
        <v>0</v>
      </c>
      <c r="W96" s="3087">
        <f t="shared" si="88"/>
        <v>0</v>
      </c>
    </row>
    <row r="97" spans="1:23" ht="18.75" customHeight="1">
      <c r="A97" s="3091" t="s">
        <v>52</v>
      </c>
      <c r="B97" s="3063">
        <f>SUM('цех стоки (с разбивкой)'!B45)</f>
        <v>4.1149710468572307</v>
      </c>
      <c r="C97" s="3063">
        <f>SUM('цех стоки (с разбивкой)'!C45)</f>
        <v>4.1149710468572307</v>
      </c>
      <c r="D97" s="3063">
        <f>SUM('цех стоки (с разбивкой)'!D45)</f>
        <v>0</v>
      </c>
      <c r="E97" s="3092">
        <f>SUM('цех стоки (с разбивкой)'!E45)</f>
        <v>0.34291425390476921</v>
      </c>
      <c r="F97" s="3092">
        <f>SUM('цех стоки (с разбивкой)'!F45)</f>
        <v>0.34291425390476921</v>
      </c>
      <c r="G97" s="3092">
        <f>SUM('цех стоки (с разбивкой)'!G45)</f>
        <v>0.34291425390476921</v>
      </c>
      <c r="H97" s="3063">
        <f>SUM('цех стоки (с разбивкой)'!H45)</f>
        <v>1.0287427617143077</v>
      </c>
      <c r="I97" s="3092">
        <f>SUM('цех стоки (с разбивкой)'!I45)</f>
        <v>0.34291425390476921</v>
      </c>
      <c r="J97" s="3092">
        <f>SUM('цех стоки (с разбивкой)'!J45)</f>
        <v>0.34291425390476921</v>
      </c>
      <c r="K97" s="3092">
        <f>SUM('цех стоки (с разбивкой)'!K45)</f>
        <v>0.34291425390476921</v>
      </c>
      <c r="L97" s="3063">
        <f>SUM('цех стоки (с разбивкой)'!L45)</f>
        <v>1.0287427617143077</v>
      </c>
      <c r="M97" s="3063">
        <f>SUM('цех стоки (с разбивкой)'!M45)</f>
        <v>2.0574855234286153</v>
      </c>
      <c r="N97" s="3092">
        <f>SUM('цех стоки (с разбивкой)'!N45)</f>
        <v>0.34291425390476921</v>
      </c>
      <c r="O97" s="3092">
        <f>SUM('цех стоки (с разбивкой)'!O45)</f>
        <v>0.34291425390476921</v>
      </c>
      <c r="P97" s="3092">
        <f>SUM('цех стоки (с разбивкой)'!P45)</f>
        <v>0.34291425390476921</v>
      </c>
      <c r="Q97" s="3063">
        <f>SUM('цех стоки (с разбивкой)'!Q45)</f>
        <v>1.0287427617143077</v>
      </c>
      <c r="R97" s="3063">
        <f>SUM('цех стоки (с разбивкой)'!R45)</f>
        <v>3.0862282851429228</v>
      </c>
      <c r="S97" s="3092">
        <f>SUM('цех стоки (с разбивкой)'!S45)</f>
        <v>0.34291425390476921</v>
      </c>
      <c r="T97" s="3092">
        <f>SUM('цех стоки (с разбивкой)'!T45)</f>
        <v>0.34291425390476921</v>
      </c>
      <c r="U97" s="3092">
        <f>SUM('цех стоки (с разбивкой)'!U45)</f>
        <v>0.34291425390476921</v>
      </c>
      <c r="V97" s="3063">
        <f>SUM('цех стоки (с разбивкой)'!V45)</f>
        <v>1.0287427617143077</v>
      </c>
      <c r="W97" s="3087">
        <f t="shared" si="88"/>
        <v>4.1149710468572307</v>
      </c>
    </row>
    <row r="98" spans="1:23" ht="18.75" customHeight="1">
      <c r="A98" s="3091" t="s">
        <v>603</v>
      </c>
      <c r="B98" s="3063">
        <f>SUM('цех стоки (с разбивкой)'!B46)</f>
        <v>877.86048999620914</v>
      </c>
      <c r="C98" s="3063">
        <f>SUM('цех стоки (с разбивкой)'!C46)</f>
        <v>877.86048999620914</v>
      </c>
      <c r="D98" s="3063">
        <f>SUM('цех стоки (с разбивкой)'!D46)</f>
        <v>0</v>
      </c>
      <c r="E98" s="3092">
        <f>SUM('цех стоки (с разбивкой)'!E46)</f>
        <v>73.155040833017424</v>
      </c>
      <c r="F98" s="3092">
        <f>SUM('цех стоки (с разбивкой)'!F46)</f>
        <v>73.155040833017424</v>
      </c>
      <c r="G98" s="3092">
        <f>SUM('цех стоки (с разбивкой)'!G46)</f>
        <v>73.155040833017424</v>
      </c>
      <c r="H98" s="3063">
        <f>SUM('цех стоки (с разбивкой)'!H46)</f>
        <v>219.46512249905226</v>
      </c>
      <c r="I98" s="3092">
        <f>SUM('цех стоки (с разбивкой)'!I46)</f>
        <v>73.155040833017424</v>
      </c>
      <c r="J98" s="3092">
        <f>SUM('цех стоки (с разбивкой)'!J46)</f>
        <v>73.155040833017424</v>
      </c>
      <c r="K98" s="3092">
        <f>SUM('цех стоки (с разбивкой)'!K46)</f>
        <v>73.155040833017424</v>
      </c>
      <c r="L98" s="3063">
        <f>SUM('цех стоки (с разбивкой)'!L46)</f>
        <v>219.46512249905226</v>
      </c>
      <c r="M98" s="3063">
        <f>SUM('цех стоки (с разбивкой)'!M46)</f>
        <v>438.93024499810451</v>
      </c>
      <c r="N98" s="3092">
        <f>SUM('цех стоки (с разбивкой)'!N46)</f>
        <v>73.155040833017424</v>
      </c>
      <c r="O98" s="3092">
        <f>SUM('цех стоки (с разбивкой)'!O46)</f>
        <v>73.155040833017424</v>
      </c>
      <c r="P98" s="3092">
        <f>SUM('цех стоки (с разбивкой)'!P46)</f>
        <v>73.155040833017424</v>
      </c>
      <c r="Q98" s="3063">
        <f>SUM('цех стоки (с разбивкой)'!Q46)</f>
        <v>219.46512249905226</v>
      </c>
      <c r="R98" s="3063">
        <f>SUM('цех стоки (с разбивкой)'!R46)</f>
        <v>658.39536749715671</v>
      </c>
      <c r="S98" s="3092">
        <f>SUM('цех стоки (с разбивкой)'!S46)</f>
        <v>73.155040833017424</v>
      </c>
      <c r="T98" s="3092">
        <f>SUM('цех стоки (с разбивкой)'!T46)</f>
        <v>73.155040833017424</v>
      </c>
      <c r="U98" s="3092">
        <f>SUM('цех стоки (с разбивкой)'!U46)</f>
        <v>73.155040833017424</v>
      </c>
      <c r="V98" s="3063">
        <f>SUM('цех стоки (с разбивкой)'!V46)</f>
        <v>219.46512249905226</v>
      </c>
      <c r="W98" s="3087">
        <f t="shared" si="88"/>
        <v>877.86048999620914</v>
      </c>
    </row>
    <row r="99" spans="1:23" ht="18.75" customHeight="1">
      <c r="A99" s="3091" t="s">
        <v>605</v>
      </c>
      <c r="B99" s="3063">
        <f>SUM('цех стоки (с разбивкой)'!B47)</f>
        <v>68.688362859078367</v>
      </c>
      <c r="C99" s="3063">
        <f>SUM('цех стоки (с разбивкой)'!C47)</f>
        <v>68.688362859078367</v>
      </c>
      <c r="D99" s="3063">
        <f>SUM('цех стоки (с разбивкой)'!D47)</f>
        <v>0</v>
      </c>
      <c r="E99" s="3092">
        <f>SUM('цех стоки (с разбивкой)'!E47)</f>
        <v>5.7240302382565309</v>
      </c>
      <c r="F99" s="3092">
        <f>SUM('цех стоки (с разбивкой)'!F47)</f>
        <v>5.7240302382565309</v>
      </c>
      <c r="G99" s="3092">
        <f>SUM('цех стоки (с разбивкой)'!G47)</f>
        <v>5.7240302382565309</v>
      </c>
      <c r="H99" s="3063">
        <f>SUM('цех стоки (с разбивкой)'!H47)</f>
        <v>17.172090714769592</v>
      </c>
      <c r="I99" s="3092">
        <f>SUM('цех стоки (с разбивкой)'!I47)</f>
        <v>5.7240302382565309</v>
      </c>
      <c r="J99" s="3092">
        <f>SUM('цех стоки (с разбивкой)'!J47)</f>
        <v>5.7240302382565309</v>
      </c>
      <c r="K99" s="3092">
        <f>SUM('цех стоки (с разбивкой)'!K47)</f>
        <v>5.7240302382565309</v>
      </c>
      <c r="L99" s="3063">
        <f>SUM('цех стоки (с разбивкой)'!L47)</f>
        <v>17.172090714769592</v>
      </c>
      <c r="M99" s="3063">
        <f>SUM('цех стоки (с разбивкой)'!M47)</f>
        <v>34.344181429539184</v>
      </c>
      <c r="N99" s="3092">
        <f>SUM('цех стоки (с разбивкой)'!N47)</f>
        <v>5.7240302382565309</v>
      </c>
      <c r="O99" s="3092">
        <f>SUM('цех стоки (с разбивкой)'!O47)</f>
        <v>5.7240302382565309</v>
      </c>
      <c r="P99" s="3092">
        <f>SUM('цех стоки (с разбивкой)'!P47)</f>
        <v>5.7240302382565309</v>
      </c>
      <c r="Q99" s="3063">
        <f>SUM('цех стоки (с разбивкой)'!Q47)</f>
        <v>17.172090714769592</v>
      </c>
      <c r="R99" s="3063">
        <f>SUM('цех стоки (с разбивкой)'!R47)</f>
        <v>51.516272144308772</v>
      </c>
      <c r="S99" s="3092">
        <f>SUM('цех стоки (с разбивкой)'!S47)</f>
        <v>5.7240302382565309</v>
      </c>
      <c r="T99" s="3092">
        <f>SUM('цех стоки (с разбивкой)'!T47)</f>
        <v>5.7240302382565309</v>
      </c>
      <c r="U99" s="3092">
        <f>SUM('цех стоки (с разбивкой)'!U47)</f>
        <v>5.7240302382565309</v>
      </c>
      <c r="V99" s="3063">
        <f>SUM('цех стоки (с разбивкой)'!V47)</f>
        <v>17.172090714769592</v>
      </c>
      <c r="W99" s="3087">
        <f t="shared" si="88"/>
        <v>68.688362859078367</v>
      </c>
    </row>
    <row r="100" spans="1:23" ht="18.75" customHeight="1">
      <c r="A100" s="3091" t="s">
        <v>604</v>
      </c>
      <c r="B100" s="3063">
        <f>SUM('цех стоки (с разбивкой)'!B48)</f>
        <v>36.823715265465985</v>
      </c>
      <c r="C100" s="3063">
        <f>SUM('цех стоки (с разбивкой)'!C48)</f>
        <v>36.823715265465985</v>
      </c>
      <c r="D100" s="3063">
        <f>SUM('цех стоки (с разбивкой)'!D48)</f>
        <v>0</v>
      </c>
      <c r="E100" s="3092">
        <f>SUM('цех стоки (с разбивкой)'!E48)</f>
        <v>3.0686429387888321</v>
      </c>
      <c r="F100" s="3092">
        <f>SUM('цех стоки (с разбивкой)'!F48)</f>
        <v>3.0686429387888321</v>
      </c>
      <c r="G100" s="3092">
        <f>SUM('цех стоки (с разбивкой)'!G48)</f>
        <v>3.0686429387888321</v>
      </c>
      <c r="H100" s="3063">
        <f>SUM('цех стоки (с разбивкой)'!H48)</f>
        <v>9.2059288163664963</v>
      </c>
      <c r="I100" s="3092">
        <f>SUM('цех стоки (с разбивкой)'!I48)</f>
        <v>3.0686429387888321</v>
      </c>
      <c r="J100" s="3092">
        <f>SUM('цех стоки (с разбивкой)'!J48)</f>
        <v>3.0686429387888321</v>
      </c>
      <c r="K100" s="3092">
        <f>SUM('цех стоки (с разбивкой)'!K48)</f>
        <v>3.0686429387888321</v>
      </c>
      <c r="L100" s="3063">
        <f>SUM('цех стоки (с разбивкой)'!L48)</f>
        <v>9.2059288163664963</v>
      </c>
      <c r="M100" s="3063">
        <f>SUM('цех стоки (с разбивкой)'!M48)</f>
        <v>18.411857632732993</v>
      </c>
      <c r="N100" s="3092">
        <f>SUM('цех стоки (с разбивкой)'!N48)</f>
        <v>3.0686429387888321</v>
      </c>
      <c r="O100" s="3092">
        <f>SUM('цех стоки (с разбивкой)'!O48)</f>
        <v>3.0686429387888321</v>
      </c>
      <c r="P100" s="3092">
        <f>SUM('цех стоки (с разбивкой)'!P48)</f>
        <v>3.0686429387888321</v>
      </c>
      <c r="Q100" s="3063">
        <f>SUM('цех стоки (с разбивкой)'!Q48)</f>
        <v>9.2059288163664963</v>
      </c>
      <c r="R100" s="3063">
        <f>SUM('цех стоки (с разбивкой)'!R48)</f>
        <v>27.617786449099491</v>
      </c>
      <c r="S100" s="3092">
        <f>SUM('цех стоки (с разбивкой)'!S48)</f>
        <v>3.0686429387888321</v>
      </c>
      <c r="T100" s="3092">
        <f>SUM('цех стоки (с разбивкой)'!T48)</f>
        <v>3.0686429387888321</v>
      </c>
      <c r="U100" s="3092">
        <f>SUM('цех стоки (с разбивкой)'!U48)</f>
        <v>3.0686429387888321</v>
      </c>
      <c r="V100" s="3063">
        <f>SUM('цех стоки (с разбивкой)'!V48)</f>
        <v>9.2059288163664963</v>
      </c>
      <c r="W100" s="3087">
        <f t="shared" si="88"/>
        <v>36.823715265465992</v>
      </c>
    </row>
    <row r="101" spans="1:23" ht="18.75" customHeight="1">
      <c r="A101" s="3091" t="s">
        <v>614</v>
      </c>
      <c r="B101" s="3063">
        <f>SUM('цех стоки (с разбивкой)'!B49)</f>
        <v>5.6976522187253957</v>
      </c>
      <c r="C101" s="3063">
        <f>SUM('цех стоки (с разбивкой)'!C49)</f>
        <v>5.6976522187253957</v>
      </c>
      <c r="D101" s="3063">
        <f>SUM('цех стоки (с разбивкой)'!D49)</f>
        <v>0</v>
      </c>
      <c r="E101" s="3092">
        <f>SUM('цех стоки (с разбивкой)'!E49)</f>
        <v>0.47480435156044964</v>
      </c>
      <c r="F101" s="3092">
        <f>SUM('цех стоки (с разбивкой)'!F49)</f>
        <v>0.47480435156044964</v>
      </c>
      <c r="G101" s="3092">
        <f>SUM('цех стоки (с разбивкой)'!G49)</f>
        <v>0.47480435156044964</v>
      </c>
      <c r="H101" s="3063">
        <f>SUM('цех стоки (с разбивкой)'!H49)</f>
        <v>1.4244130546813489</v>
      </c>
      <c r="I101" s="3092">
        <f>SUM('цех стоки (с разбивкой)'!I49)</f>
        <v>0.47480435156044964</v>
      </c>
      <c r="J101" s="3092">
        <f>SUM('цех стоки (с разбивкой)'!J49)</f>
        <v>0.47480435156044964</v>
      </c>
      <c r="K101" s="3092">
        <f>SUM('цех стоки (с разбивкой)'!K49)</f>
        <v>0.47480435156044964</v>
      </c>
      <c r="L101" s="3063">
        <f>SUM('цех стоки (с разбивкой)'!L49)</f>
        <v>1.4244130546813489</v>
      </c>
      <c r="M101" s="3063">
        <f>SUM('цех стоки (с разбивкой)'!M49)</f>
        <v>2.8488261093626979</v>
      </c>
      <c r="N101" s="3092">
        <f>SUM('цех стоки (с разбивкой)'!N49)</f>
        <v>0.47480435156044964</v>
      </c>
      <c r="O101" s="3092">
        <f>SUM('цех стоки (с разбивкой)'!O49)</f>
        <v>0.47480435156044964</v>
      </c>
      <c r="P101" s="3092">
        <f>SUM('цех стоки (с разбивкой)'!P49)</f>
        <v>0.47480435156044964</v>
      </c>
      <c r="Q101" s="3063">
        <f>SUM('цех стоки (с разбивкой)'!Q49)</f>
        <v>1.4244130546813489</v>
      </c>
      <c r="R101" s="3063">
        <f>SUM('цех стоки (с разбивкой)'!R49)</f>
        <v>4.273239164044047</v>
      </c>
      <c r="S101" s="3092">
        <f>SUM('цех стоки (с разбивкой)'!S49)</f>
        <v>0.47480435156044964</v>
      </c>
      <c r="T101" s="3092">
        <f>SUM('цех стоки (с разбивкой)'!T49)</f>
        <v>0.47480435156044964</v>
      </c>
      <c r="U101" s="3092">
        <f>SUM('цех стоки (с разбивкой)'!U49)</f>
        <v>0.47480435156044964</v>
      </c>
      <c r="V101" s="3063">
        <f>SUM('цех стоки (с разбивкой)'!V49)</f>
        <v>1.4244130546813489</v>
      </c>
      <c r="W101" s="3087">
        <f t="shared" si="88"/>
        <v>5.6976522187253975</v>
      </c>
    </row>
    <row r="102" spans="1:23" ht="18.75" customHeight="1">
      <c r="A102" s="3091" t="s">
        <v>32</v>
      </c>
      <c r="B102" s="3063">
        <f>SUM('цех стоки (с разбивкой)'!B50)</f>
        <v>21.524463937407052</v>
      </c>
      <c r="C102" s="3063">
        <f>SUM('цех стоки (с разбивкой)'!C50)</f>
        <v>21.524463937407052</v>
      </c>
      <c r="D102" s="3063">
        <f>SUM('цех стоки (с разбивкой)'!D50)</f>
        <v>0</v>
      </c>
      <c r="E102" s="3092">
        <f>SUM('цех стоки (с разбивкой)'!E50)</f>
        <v>1.7937053281172544</v>
      </c>
      <c r="F102" s="3092">
        <f>SUM('цех стоки (с разбивкой)'!F50)</f>
        <v>1.7937053281172544</v>
      </c>
      <c r="G102" s="3092">
        <f>SUM('цех стоки (с разбивкой)'!G50)</f>
        <v>1.7937053281172544</v>
      </c>
      <c r="H102" s="3063">
        <f>SUM('цех стоки (с разбивкой)'!H50)</f>
        <v>5.3811159843517631</v>
      </c>
      <c r="I102" s="3092">
        <f>SUM('цех стоки (с разбивкой)'!I50)</f>
        <v>1.7937053281172544</v>
      </c>
      <c r="J102" s="3092">
        <f>SUM('цех стоки (с разбивкой)'!J50)</f>
        <v>1.7937053281172544</v>
      </c>
      <c r="K102" s="3092">
        <f>SUM('цех стоки (с разбивкой)'!K50)</f>
        <v>1.7937053281172544</v>
      </c>
      <c r="L102" s="3063">
        <f>SUM('цех стоки (с разбивкой)'!L50)</f>
        <v>5.3811159843517631</v>
      </c>
      <c r="M102" s="3063">
        <f>SUM('цех стоки (с разбивкой)'!M50)</f>
        <v>10.762231968703526</v>
      </c>
      <c r="N102" s="3092">
        <f>SUM('цех стоки (с разбивкой)'!N50)</f>
        <v>1.7937053281172544</v>
      </c>
      <c r="O102" s="3092">
        <f>SUM('цех стоки (с разбивкой)'!O50)</f>
        <v>1.7937053281172544</v>
      </c>
      <c r="P102" s="3092">
        <f>SUM('цех стоки (с разбивкой)'!P50)</f>
        <v>1.7937053281172544</v>
      </c>
      <c r="Q102" s="3063">
        <f>SUM('цех стоки (с разбивкой)'!Q50)</f>
        <v>5.3811159843517631</v>
      </c>
      <c r="R102" s="3063">
        <f>SUM('цех стоки (с разбивкой)'!R50)</f>
        <v>16.14334795305529</v>
      </c>
      <c r="S102" s="3092">
        <f>SUM('цех стоки (с разбивкой)'!S50)</f>
        <v>1.7937053281172544</v>
      </c>
      <c r="T102" s="3092">
        <f>SUM('цех стоки (с разбивкой)'!T50)</f>
        <v>1.7937053281172544</v>
      </c>
      <c r="U102" s="3092">
        <f>SUM('цех стоки (с разбивкой)'!U50)</f>
        <v>1.7937053281172544</v>
      </c>
      <c r="V102" s="3063">
        <f>SUM('цех стоки (с разбивкой)'!V50)</f>
        <v>5.3811159843517631</v>
      </c>
      <c r="W102" s="3087">
        <f t="shared" si="88"/>
        <v>21.524463937407059</v>
      </c>
    </row>
    <row r="103" spans="1:23" ht="18.75" customHeight="1">
      <c r="A103" s="3091" t="s">
        <v>606</v>
      </c>
      <c r="B103" s="3063">
        <f>SUM('цех стоки (с разбивкой)'!B51)</f>
        <v>40.411125921700489</v>
      </c>
      <c r="C103" s="3063">
        <f>SUM('цех стоки (с разбивкой)'!C51)</f>
        <v>40.411125921700489</v>
      </c>
      <c r="D103" s="3063">
        <f>SUM('цех стоки (с разбивкой)'!D51)</f>
        <v>0</v>
      </c>
      <c r="E103" s="3092">
        <f>SUM('цех стоки (с разбивкой)'!E51)</f>
        <v>3.367593826808374</v>
      </c>
      <c r="F103" s="3092">
        <f>SUM('цех стоки (с разбивкой)'!F51)</f>
        <v>3.367593826808374</v>
      </c>
      <c r="G103" s="3092">
        <f>SUM('цех стоки (с разбивкой)'!G51)</f>
        <v>3.367593826808374</v>
      </c>
      <c r="H103" s="3063">
        <f>SUM('цех стоки (с разбивкой)'!H51)</f>
        <v>10.102781480425122</v>
      </c>
      <c r="I103" s="3092">
        <f>SUM('цех стоки (с разбивкой)'!I51)</f>
        <v>3.367593826808374</v>
      </c>
      <c r="J103" s="3092">
        <f>SUM('цех стоки (с разбивкой)'!J51)</f>
        <v>3.367593826808374</v>
      </c>
      <c r="K103" s="3092">
        <f>SUM('цех стоки (с разбивкой)'!K51)</f>
        <v>3.367593826808374</v>
      </c>
      <c r="L103" s="3063">
        <f>SUM('цех стоки (с разбивкой)'!L51)</f>
        <v>10.102781480425122</v>
      </c>
      <c r="M103" s="3063">
        <f>SUM('цех стоки (с разбивкой)'!M51)</f>
        <v>20.205562960850244</v>
      </c>
      <c r="N103" s="3092">
        <f>SUM('цех стоки (с разбивкой)'!N51)</f>
        <v>3.367593826808374</v>
      </c>
      <c r="O103" s="3092">
        <f>SUM('цех стоки (с разбивкой)'!O51)</f>
        <v>3.367593826808374</v>
      </c>
      <c r="P103" s="3092">
        <f>SUM('цех стоки (с разбивкой)'!P51)</f>
        <v>3.367593826808374</v>
      </c>
      <c r="Q103" s="3063">
        <f>SUM('цех стоки (с разбивкой)'!Q51)</f>
        <v>10.102781480425122</v>
      </c>
      <c r="R103" s="3063">
        <f>SUM('цех стоки (с разбивкой)'!R51)</f>
        <v>30.308344441275366</v>
      </c>
      <c r="S103" s="3092">
        <f>SUM('цех стоки (с разбивкой)'!S51)</f>
        <v>3.367593826808374</v>
      </c>
      <c r="T103" s="3092">
        <f>SUM('цех стоки (с разбивкой)'!T51)</f>
        <v>3.367593826808374</v>
      </c>
      <c r="U103" s="3092">
        <f>SUM('цех стоки (с разбивкой)'!U51)</f>
        <v>3.367593826808374</v>
      </c>
      <c r="V103" s="3063">
        <f>SUM('цех стоки (с разбивкой)'!V51)</f>
        <v>10.102781480425122</v>
      </c>
      <c r="W103" s="3087">
        <f t="shared" si="88"/>
        <v>40.411125921700489</v>
      </c>
    </row>
    <row r="104" spans="1:23" ht="18.75" customHeight="1">
      <c r="A104" s="3093" t="s">
        <v>564</v>
      </c>
      <c r="B104" s="3067">
        <f>SUM('цех стоки (с разбивкой)'!B52)</f>
        <v>40.411125921700489</v>
      </c>
      <c r="C104" s="3067">
        <f>SUM('цех стоки (с разбивкой)'!C52)</f>
        <v>40.411125921700489</v>
      </c>
      <c r="D104" s="3067">
        <f>SUM('цех стоки (с разбивкой)'!D52)</f>
        <v>0</v>
      </c>
      <c r="E104" s="3094">
        <f>SUM('цех стоки (с разбивкой)'!E52)</f>
        <v>3.367593826808374</v>
      </c>
      <c r="F104" s="3094">
        <f>SUM('цех стоки (с разбивкой)'!F52)</f>
        <v>3.367593826808374</v>
      </c>
      <c r="G104" s="3094">
        <f>SUM('цех стоки (с разбивкой)'!G52)</f>
        <v>3.367593826808374</v>
      </c>
      <c r="H104" s="3067">
        <f>SUM('цех стоки (с разбивкой)'!H52)</f>
        <v>10.102781480425122</v>
      </c>
      <c r="I104" s="3094">
        <f>SUM('цех стоки (с разбивкой)'!I52)</f>
        <v>3.367593826808374</v>
      </c>
      <c r="J104" s="3094">
        <f>SUM('цех стоки (с разбивкой)'!J52)</f>
        <v>3.367593826808374</v>
      </c>
      <c r="K104" s="3094">
        <f>SUM('цех стоки (с разбивкой)'!K52)</f>
        <v>3.367593826808374</v>
      </c>
      <c r="L104" s="3067">
        <f>SUM('цех стоки (с разбивкой)'!L52)</f>
        <v>10.102781480425122</v>
      </c>
      <c r="M104" s="3067">
        <f>SUM('цех стоки (с разбивкой)'!M52)</f>
        <v>20.205562960850244</v>
      </c>
      <c r="N104" s="3094">
        <f>SUM('цех стоки (с разбивкой)'!N52)</f>
        <v>3.367593826808374</v>
      </c>
      <c r="O104" s="3094">
        <f>SUM('цех стоки (с разбивкой)'!O52)</f>
        <v>3.367593826808374</v>
      </c>
      <c r="P104" s="3094">
        <f>SUM('цех стоки (с разбивкой)'!P52)</f>
        <v>3.367593826808374</v>
      </c>
      <c r="Q104" s="3067">
        <f>SUM('цех стоки (с разбивкой)'!Q52)</f>
        <v>10.102781480425122</v>
      </c>
      <c r="R104" s="3067">
        <f>SUM('цех стоки (с разбивкой)'!R52)</f>
        <v>30.308344441275366</v>
      </c>
      <c r="S104" s="3094">
        <f>SUM('цех стоки (с разбивкой)'!S52)</f>
        <v>3.367593826808374</v>
      </c>
      <c r="T104" s="3094">
        <f>SUM('цех стоки (с разбивкой)'!T52)</f>
        <v>3.367593826808374</v>
      </c>
      <c r="U104" s="3094">
        <f>SUM('цех стоки (с разбивкой)'!U52)</f>
        <v>3.367593826808374</v>
      </c>
      <c r="V104" s="3067">
        <f>SUM('цех стоки (с разбивкой)'!V52)</f>
        <v>10.102781480425122</v>
      </c>
      <c r="W104" s="3087">
        <f t="shared" si="88"/>
        <v>40.411125921700489</v>
      </c>
    </row>
    <row r="105" spans="1:23" ht="18.75" customHeight="1">
      <c r="A105" s="3091" t="s">
        <v>609</v>
      </c>
      <c r="B105" s="3063">
        <f>SUM('цех стоки (с разбивкой)'!B53)</f>
        <v>0</v>
      </c>
      <c r="C105" s="3063">
        <f>SUM('цех стоки (с разбивкой)'!C53)</f>
        <v>0</v>
      </c>
      <c r="D105" s="3063">
        <f>SUM('цех стоки (с разбивкой)'!D53)</f>
        <v>0</v>
      </c>
      <c r="E105" s="3092">
        <f>SUM('цех стоки (с разбивкой)'!E53)</f>
        <v>0</v>
      </c>
      <c r="F105" s="3092">
        <f>SUM('цех стоки (с разбивкой)'!F53)</f>
        <v>0</v>
      </c>
      <c r="G105" s="3092">
        <f>SUM('цех стоки (с разбивкой)'!G53)</f>
        <v>0</v>
      </c>
      <c r="H105" s="3063">
        <f>SUM('цех стоки (с разбивкой)'!H53)</f>
        <v>0</v>
      </c>
      <c r="I105" s="3092">
        <f>SUM('цех стоки (с разбивкой)'!I53)</f>
        <v>0</v>
      </c>
      <c r="J105" s="3092">
        <f>SUM('цех стоки (с разбивкой)'!J53)</f>
        <v>0</v>
      </c>
      <c r="K105" s="3092">
        <f>SUM('цех стоки (с разбивкой)'!K53)</f>
        <v>0</v>
      </c>
      <c r="L105" s="3063">
        <f>SUM('цех стоки (с разбивкой)'!L53)</f>
        <v>0</v>
      </c>
      <c r="M105" s="3063">
        <f>SUM('цех стоки (с разбивкой)'!M53)</f>
        <v>0</v>
      </c>
      <c r="N105" s="3092">
        <f>SUM('цех стоки (с разбивкой)'!N53)</f>
        <v>0</v>
      </c>
      <c r="O105" s="3092">
        <f>SUM('цех стоки (с разбивкой)'!O53)</f>
        <v>0</v>
      </c>
      <c r="P105" s="3092">
        <f>SUM('цех стоки (с разбивкой)'!P53)</f>
        <v>0</v>
      </c>
      <c r="Q105" s="3063">
        <f>SUM('цех стоки (с разбивкой)'!Q53)</f>
        <v>0</v>
      </c>
      <c r="R105" s="3063">
        <f>SUM('цех стоки (с разбивкой)'!R53)</f>
        <v>0</v>
      </c>
      <c r="S105" s="3092">
        <f>SUM('цех стоки (с разбивкой)'!S53)</f>
        <v>0</v>
      </c>
      <c r="T105" s="3092">
        <f>SUM('цех стоки (с разбивкой)'!T53)</f>
        <v>0</v>
      </c>
      <c r="U105" s="3092">
        <f>SUM('цех стоки (с разбивкой)'!U53)</f>
        <v>0</v>
      </c>
      <c r="V105" s="3063">
        <f>SUM('цех стоки (с разбивкой)'!V53)</f>
        <v>0</v>
      </c>
      <c r="W105" s="3087">
        <f t="shared" si="88"/>
        <v>0</v>
      </c>
    </row>
    <row r="106" spans="1:23" ht="18.75" customHeight="1">
      <c r="A106" s="3093" t="s">
        <v>613</v>
      </c>
      <c r="B106" s="3067">
        <f>SUM('цех стоки (с разбивкой)'!B54)</f>
        <v>0</v>
      </c>
      <c r="C106" s="3067">
        <f>SUM('цех стоки (с разбивкой)'!C54)</f>
        <v>0</v>
      </c>
      <c r="D106" s="3067">
        <f>SUM('цех стоки (с разбивкой)'!D54)</f>
        <v>0</v>
      </c>
      <c r="E106" s="3094">
        <f>SUM('цех стоки (с разбивкой)'!E54)</f>
        <v>0</v>
      </c>
      <c r="F106" s="3094">
        <f>SUM('цех стоки (с разбивкой)'!F54)</f>
        <v>0</v>
      </c>
      <c r="G106" s="3094">
        <f>SUM('цех стоки (с разбивкой)'!G54)</f>
        <v>0</v>
      </c>
      <c r="H106" s="3067">
        <f>SUM('цех стоки (с разбивкой)'!H54)</f>
        <v>0</v>
      </c>
      <c r="I106" s="3094">
        <f>SUM('цех стоки (с разбивкой)'!I54)</f>
        <v>0</v>
      </c>
      <c r="J106" s="3094">
        <f>SUM('цех стоки (с разбивкой)'!J54)</f>
        <v>0</v>
      </c>
      <c r="K106" s="3094">
        <f>SUM('цех стоки (с разбивкой)'!K54)</f>
        <v>0</v>
      </c>
      <c r="L106" s="3067">
        <f>SUM('цех стоки (с разбивкой)'!L54)</f>
        <v>0</v>
      </c>
      <c r="M106" s="3067">
        <f>SUM('цех стоки (с разбивкой)'!M54)</f>
        <v>0</v>
      </c>
      <c r="N106" s="3094">
        <f>SUM('цех стоки (с разбивкой)'!N54)</f>
        <v>0</v>
      </c>
      <c r="O106" s="3094">
        <f>SUM('цех стоки (с разбивкой)'!O54)</f>
        <v>0</v>
      </c>
      <c r="P106" s="3094">
        <f>SUM('цех стоки (с разбивкой)'!P54)</f>
        <v>0</v>
      </c>
      <c r="Q106" s="3067">
        <f>SUM('цех стоки (с разбивкой)'!Q54)</f>
        <v>0</v>
      </c>
      <c r="R106" s="3067">
        <f>SUM('цех стоки (с разбивкой)'!R54)</f>
        <v>0</v>
      </c>
      <c r="S106" s="3094">
        <f>SUM('цех стоки (с разбивкой)'!S54)</f>
        <v>0</v>
      </c>
      <c r="T106" s="3094">
        <f>SUM('цех стоки (с разбивкой)'!T54)</f>
        <v>0</v>
      </c>
      <c r="U106" s="3094">
        <f>SUM('цех стоки (с разбивкой)'!U54)</f>
        <v>0</v>
      </c>
      <c r="V106" s="3067">
        <f>SUM('цех стоки (с разбивкой)'!V54)</f>
        <v>0</v>
      </c>
      <c r="W106" s="3087">
        <f t="shared" si="88"/>
        <v>0</v>
      </c>
    </row>
    <row r="107" spans="1:23" ht="18.75" customHeight="1">
      <c r="A107" s="3106" t="s">
        <v>541</v>
      </c>
      <c r="B107" s="3060">
        <f>SUM(стоки!CL34)</f>
        <v>14090.903042038302</v>
      </c>
      <c r="C107" s="3060">
        <f>SUM(стоки!CN34)</f>
        <v>14090.903042038302</v>
      </c>
      <c r="D107" s="3060">
        <f>SUM(стоки!CO34)</f>
        <v>0</v>
      </c>
      <c r="E107" s="3096">
        <f>SUM(E108+E109+E110+E111+E112+E114)</f>
        <v>1156.9047568586107</v>
      </c>
      <c r="F107" s="3096">
        <f t="shared" ref="F107:G107" si="89">SUM(F108+F109+F110+F111+F112+F114)</f>
        <v>1156.9047568586107</v>
      </c>
      <c r="G107" s="3096">
        <f t="shared" si="89"/>
        <v>1156.9047568586107</v>
      </c>
      <c r="H107" s="3070">
        <f t="shared" si="82"/>
        <v>3470.714270575832</v>
      </c>
      <c r="I107" s="3096">
        <f t="shared" ref="I107:K107" si="90">SUM(I108+I109+I110+I111+I112+I114)</f>
        <v>1156.9091461610608</v>
      </c>
      <c r="J107" s="3096">
        <f t="shared" si="90"/>
        <v>1156.9818135016214</v>
      </c>
      <c r="K107" s="3096">
        <f t="shared" si="90"/>
        <v>1157.0452145370102</v>
      </c>
      <c r="L107" s="3070">
        <f t="shared" si="83"/>
        <v>3470.9361741996927</v>
      </c>
      <c r="M107" s="3070">
        <f t="shared" si="84"/>
        <v>6941.6504447755251</v>
      </c>
      <c r="N107" s="3096">
        <f t="shared" ref="N107:P107" si="91">SUM(N108+N109+N110+N111+N112+N114)</f>
        <v>1191.6387454810742</v>
      </c>
      <c r="O107" s="3096">
        <f t="shared" si="91"/>
        <v>1191.6197251704577</v>
      </c>
      <c r="P107" s="3096">
        <f t="shared" si="91"/>
        <v>1191.556324135069</v>
      </c>
      <c r="Q107" s="3070">
        <f t="shared" si="85"/>
        <v>3574.8147947866009</v>
      </c>
      <c r="R107" s="3070">
        <f t="shared" si="86"/>
        <v>10516.465239562127</v>
      </c>
      <c r="S107" s="3096">
        <f t="shared" ref="S107:U107" si="92">SUM(S108+S109+S110+S111+S112+S114)</f>
        <v>1191.4792674920582</v>
      </c>
      <c r="T107" s="3096">
        <f t="shared" si="92"/>
        <v>1191.4792674920582</v>
      </c>
      <c r="U107" s="3096">
        <f t="shared" si="92"/>
        <v>1191.4792674920582</v>
      </c>
      <c r="V107" s="3070">
        <f t="shared" si="87"/>
        <v>3574.4378024761745</v>
      </c>
      <c r="W107" s="3085">
        <f t="shared" si="88"/>
        <v>14090.903042038299</v>
      </c>
    </row>
    <row r="108" spans="1:23" ht="18.75" customHeight="1">
      <c r="A108" s="3121" t="s">
        <v>2</v>
      </c>
      <c r="B108" s="3063">
        <f>SUM(стоки!CL35)</f>
        <v>3912.88</v>
      </c>
      <c r="C108" s="3063">
        <f>SUM(стоки!CN35)</f>
        <v>3912.88</v>
      </c>
      <c r="D108" s="3063">
        <f>SUM(стоки!CO35)</f>
        <v>0</v>
      </c>
      <c r="E108" s="3071">
        <f>SUM(B108/12)</f>
        <v>326.07333333333332</v>
      </c>
      <c r="F108" s="3071">
        <f t="shared" ref="F108:F110" si="93">SUM(E108)</f>
        <v>326.07333333333332</v>
      </c>
      <c r="G108" s="3071">
        <f t="shared" ref="G108:G110" si="94">SUM(F108)</f>
        <v>326.07333333333332</v>
      </c>
      <c r="H108" s="3072">
        <f t="shared" si="82"/>
        <v>978.22</v>
      </c>
      <c r="I108" s="3071">
        <f>SUM(E108)</f>
        <v>326.07333333333332</v>
      </c>
      <c r="J108" s="3071">
        <f>SUM(E108)</f>
        <v>326.07333333333332</v>
      </c>
      <c r="K108" s="3071">
        <f>SUM(E108)</f>
        <v>326.07333333333332</v>
      </c>
      <c r="L108" s="3072">
        <f t="shared" si="83"/>
        <v>978.22</v>
      </c>
      <c r="M108" s="3072">
        <f t="shared" si="84"/>
        <v>1956.44</v>
      </c>
      <c r="N108" s="3071">
        <f>SUM(E108)</f>
        <v>326.07333333333332</v>
      </c>
      <c r="O108" s="3071">
        <f>SUM(E108)</f>
        <v>326.07333333333332</v>
      </c>
      <c r="P108" s="3071">
        <f>E108</f>
        <v>326.07333333333332</v>
      </c>
      <c r="Q108" s="3072">
        <f t="shared" si="85"/>
        <v>978.22</v>
      </c>
      <c r="R108" s="3072">
        <f t="shared" si="86"/>
        <v>2934.66</v>
      </c>
      <c r="S108" s="3071">
        <f>E108</f>
        <v>326.07333333333332</v>
      </c>
      <c r="T108" s="3071">
        <f>E108</f>
        <v>326.07333333333332</v>
      </c>
      <c r="U108" s="3071">
        <f>E108</f>
        <v>326.07333333333332</v>
      </c>
      <c r="V108" s="3072">
        <f t="shared" si="87"/>
        <v>978.22</v>
      </c>
      <c r="W108" s="3087">
        <f t="shared" si="88"/>
        <v>3912.8799999999997</v>
      </c>
    </row>
    <row r="109" spans="1:23" ht="18.75" customHeight="1">
      <c r="A109" s="3121" t="s">
        <v>69</v>
      </c>
      <c r="B109" s="3063">
        <f>SUM(стоки!BU36)</f>
        <v>0</v>
      </c>
      <c r="C109" s="3063">
        <f>SUM(стоки!BW36)</f>
        <v>0</v>
      </c>
      <c r="D109" s="3063">
        <f>SUM(стоки!BX36)</f>
        <v>0</v>
      </c>
      <c r="E109" s="3071">
        <f t="shared" ref="E109:E110" si="95">SUM(B109/12)</f>
        <v>0</v>
      </c>
      <c r="F109" s="3071">
        <f t="shared" si="93"/>
        <v>0</v>
      </c>
      <c r="G109" s="3071">
        <f t="shared" si="94"/>
        <v>0</v>
      </c>
      <c r="H109" s="3072">
        <f t="shared" si="82"/>
        <v>0</v>
      </c>
      <c r="I109" s="3071">
        <f t="shared" ref="I109:I110" si="96">SUM(E109)</f>
        <v>0</v>
      </c>
      <c r="J109" s="3071">
        <f t="shared" ref="J109:J110" si="97">SUM(E109)</f>
        <v>0</v>
      </c>
      <c r="K109" s="3071">
        <f t="shared" ref="K109:K110" si="98">SUM(E109)</f>
        <v>0</v>
      </c>
      <c r="L109" s="3072">
        <f t="shared" si="83"/>
        <v>0</v>
      </c>
      <c r="M109" s="3072">
        <f t="shared" si="84"/>
        <v>0</v>
      </c>
      <c r="N109" s="3071">
        <f t="shared" ref="N109:N110" si="99">SUM(E109)</f>
        <v>0</v>
      </c>
      <c r="O109" s="3071">
        <f t="shared" ref="O109:O110" si="100">SUM(E109)</f>
        <v>0</v>
      </c>
      <c r="P109" s="3071">
        <f t="shared" ref="P109:P110" si="101">E109</f>
        <v>0</v>
      </c>
      <c r="Q109" s="3072">
        <f t="shared" si="85"/>
        <v>0</v>
      </c>
      <c r="R109" s="3072">
        <f t="shared" si="86"/>
        <v>0</v>
      </c>
      <c r="S109" s="3071">
        <f t="shared" ref="S109:S110" si="102">E109</f>
        <v>0</v>
      </c>
      <c r="T109" s="3071">
        <f t="shared" ref="T109:T110" si="103">E109</f>
        <v>0</v>
      </c>
      <c r="U109" s="3071">
        <f t="shared" ref="U109:U110" si="104">E109</f>
        <v>0</v>
      </c>
      <c r="V109" s="3072">
        <f t="shared" si="87"/>
        <v>0</v>
      </c>
      <c r="W109" s="3087">
        <f t="shared" si="88"/>
        <v>0</v>
      </c>
    </row>
    <row r="110" spans="1:23" ht="18.75" customHeight="1">
      <c r="A110" s="3121" t="s">
        <v>3</v>
      </c>
      <c r="B110" s="3063">
        <f>SUM(стоки!CL37)</f>
        <v>188.41649311402776</v>
      </c>
      <c r="C110" s="3063">
        <f>SUM(стоки!CN37)</f>
        <v>188.41649311402776</v>
      </c>
      <c r="D110" s="3063">
        <f>SUM(стоки!CO37)</f>
        <v>0</v>
      </c>
      <c r="E110" s="3071">
        <f t="shared" si="95"/>
        <v>15.70137442616898</v>
      </c>
      <c r="F110" s="3071">
        <f t="shared" si="93"/>
        <v>15.70137442616898</v>
      </c>
      <c r="G110" s="3071">
        <f t="shared" si="94"/>
        <v>15.70137442616898</v>
      </c>
      <c r="H110" s="3072">
        <f t="shared" si="82"/>
        <v>47.10412327850694</v>
      </c>
      <c r="I110" s="3071">
        <f t="shared" si="96"/>
        <v>15.70137442616898</v>
      </c>
      <c r="J110" s="3071">
        <f t="shared" si="97"/>
        <v>15.70137442616898</v>
      </c>
      <c r="K110" s="3071">
        <f t="shared" si="98"/>
        <v>15.70137442616898</v>
      </c>
      <c r="L110" s="3072">
        <f t="shared" si="83"/>
        <v>47.10412327850694</v>
      </c>
      <c r="M110" s="3072">
        <f t="shared" si="84"/>
        <v>94.208246557013879</v>
      </c>
      <c r="N110" s="3071">
        <f t="shared" si="99"/>
        <v>15.70137442616898</v>
      </c>
      <c r="O110" s="3071">
        <f t="shared" si="100"/>
        <v>15.70137442616898</v>
      </c>
      <c r="P110" s="3071">
        <f t="shared" si="101"/>
        <v>15.70137442616898</v>
      </c>
      <c r="Q110" s="3072">
        <f t="shared" si="85"/>
        <v>47.10412327850694</v>
      </c>
      <c r="R110" s="3072">
        <f t="shared" si="86"/>
        <v>141.31236983552083</v>
      </c>
      <c r="S110" s="3071">
        <f t="shared" si="102"/>
        <v>15.70137442616898</v>
      </c>
      <c r="T110" s="3071">
        <f t="shared" si="103"/>
        <v>15.70137442616898</v>
      </c>
      <c r="U110" s="3071">
        <f t="shared" si="104"/>
        <v>15.70137442616898</v>
      </c>
      <c r="V110" s="3072">
        <f t="shared" si="87"/>
        <v>47.10412327850694</v>
      </c>
      <c r="W110" s="3087">
        <f t="shared" si="88"/>
        <v>188.41649311402773</v>
      </c>
    </row>
    <row r="111" spans="1:23" ht="18.75" customHeight="1">
      <c r="A111" s="3121" t="s">
        <v>4</v>
      </c>
      <c r="B111" s="3063">
        <f>SUM(стоки!CL38)</f>
        <v>5815.7002370792452</v>
      </c>
      <c r="C111" s="3063">
        <f>SUM(стоки!CN38)</f>
        <v>5815.7002370792452</v>
      </c>
      <c r="D111" s="3063">
        <f>SUM(стоки!CO38)</f>
        <v>0</v>
      </c>
      <c r="E111" s="3071">
        <f>SUM(ЗП!DI33/2)/(1+(104%*100-100)/2/100)/6</f>
        <v>475.1389082581083</v>
      </c>
      <c r="F111" s="3071">
        <f>SUM(E111)</f>
        <v>475.1389082581083</v>
      </c>
      <c r="G111" s="3071">
        <f>SUM(E111)</f>
        <v>475.1389082581083</v>
      </c>
      <c r="H111" s="3072">
        <f t="shared" si="82"/>
        <v>1425.4167247743248</v>
      </c>
      <c r="I111" s="3071">
        <f>SUM(E111)</f>
        <v>475.1389082581083</v>
      </c>
      <c r="J111" s="3071">
        <f>SUM(E111)</f>
        <v>475.1389082581083</v>
      </c>
      <c r="K111" s="3071">
        <f>SUM(E111)</f>
        <v>475.1389082581083</v>
      </c>
      <c r="L111" s="3072">
        <f t="shared" si="83"/>
        <v>1425.4167247743248</v>
      </c>
      <c r="M111" s="3072">
        <f t="shared" si="84"/>
        <v>2850.8334495486497</v>
      </c>
      <c r="N111" s="3071">
        <f>SUM(ЗП!DI33-M111)/6</f>
        <v>494.14446458843258</v>
      </c>
      <c r="O111" s="3071">
        <f>SUM(N111)</f>
        <v>494.14446458843258</v>
      </c>
      <c r="P111" s="3071">
        <f>SUM(N111)</f>
        <v>494.14446458843258</v>
      </c>
      <c r="Q111" s="3072">
        <f t="shared" si="85"/>
        <v>1482.4333937652978</v>
      </c>
      <c r="R111" s="3072">
        <f t="shared" si="86"/>
        <v>4333.2668433139479</v>
      </c>
      <c r="S111" s="3071">
        <f>SUM(N111)</f>
        <v>494.14446458843258</v>
      </c>
      <c r="T111" s="3071">
        <f>SUM(N111)</f>
        <v>494.14446458843258</v>
      </c>
      <c r="U111" s="3071">
        <f>SUM(N111)</f>
        <v>494.14446458843258</v>
      </c>
      <c r="V111" s="3072">
        <f t="shared" si="87"/>
        <v>1482.4333937652978</v>
      </c>
      <c r="W111" s="3087">
        <f t="shared" si="88"/>
        <v>5815.700237079247</v>
      </c>
    </row>
    <row r="112" spans="1:23" ht="18.75" customHeight="1">
      <c r="A112" s="3121" t="s">
        <v>121</v>
      </c>
      <c r="B112" s="3063">
        <f>SUM(стоки!CL39)</f>
        <v>1735.4049507444468</v>
      </c>
      <c r="C112" s="3063">
        <f>SUM(стоки!CN39)</f>
        <v>1735.4049507444468</v>
      </c>
      <c r="D112" s="3063">
        <f>SUM(стоки!CO39)</f>
        <v>0</v>
      </c>
      <c r="E112" s="3071">
        <f>SUM(E111*E113)</f>
        <v>141.78145022421953</v>
      </c>
      <c r="F112" s="3071">
        <f>SUM(F111*F113)</f>
        <v>141.78145022421953</v>
      </c>
      <c r="G112" s="3071">
        <f>SUM(G111*G113)</f>
        <v>141.78145022421953</v>
      </c>
      <c r="H112" s="3072">
        <f t="shared" si="82"/>
        <v>425.34435067265861</v>
      </c>
      <c r="I112" s="3071">
        <f>SUM(I111*I113)</f>
        <v>141.78145022421953</v>
      </c>
      <c r="J112" s="3071">
        <f>SUM(J111*J113)</f>
        <v>141.78145022421953</v>
      </c>
      <c r="K112" s="3071">
        <f>SUM(K111*K113)</f>
        <v>141.78145022421953</v>
      </c>
      <c r="L112" s="3072">
        <f t="shared" si="83"/>
        <v>425.34435067265861</v>
      </c>
      <c r="M112" s="3072">
        <f t="shared" si="84"/>
        <v>850.68870134531721</v>
      </c>
      <c r="N112" s="3071">
        <f>SUM(N111*N113)</f>
        <v>147.45270823318828</v>
      </c>
      <c r="O112" s="3071">
        <f>SUM(O111*O113)</f>
        <v>147.45270823318828</v>
      </c>
      <c r="P112" s="3071">
        <f>SUM(P111*P113)</f>
        <v>147.45270823318828</v>
      </c>
      <c r="Q112" s="3072">
        <f t="shared" si="85"/>
        <v>442.35812469956483</v>
      </c>
      <c r="R112" s="3072">
        <f t="shared" si="86"/>
        <v>1293.046826044882</v>
      </c>
      <c r="S112" s="3071">
        <f>SUM(S111*S113)</f>
        <v>147.45270823318828</v>
      </c>
      <c r="T112" s="3071">
        <f>SUM(T111*T113)</f>
        <v>147.45270823318828</v>
      </c>
      <c r="U112" s="3071">
        <f>SUM(U111*U113)</f>
        <v>147.45270823318828</v>
      </c>
      <c r="V112" s="3072">
        <f t="shared" si="87"/>
        <v>442.35812469956483</v>
      </c>
      <c r="W112" s="3087">
        <f t="shared" si="88"/>
        <v>1735.404950744447</v>
      </c>
    </row>
    <row r="113" spans="1:23" ht="18.75" customHeight="1">
      <c r="A113" s="3122" t="str">
        <f>A92</f>
        <v>то же в %</v>
      </c>
      <c r="B113" s="3068">
        <f>SUM(B112/B111)</f>
        <v>0.2984</v>
      </c>
      <c r="C113" s="3068">
        <f t="shared" ref="C113" si="105">SUM(C112/C111)</f>
        <v>0.2984</v>
      </c>
      <c r="D113" s="3068">
        <v>0</v>
      </c>
      <c r="E113" s="3097">
        <f>SUM(B113)</f>
        <v>0.2984</v>
      </c>
      <c r="F113" s="3097">
        <f>SUM(E113)</f>
        <v>0.2984</v>
      </c>
      <c r="G113" s="3097">
        <f>SUM(E113)</f>
        <v>0.2984</v>
      </c>
      <c r="H113" s="3068">
        <f>SUM(H112/H111)</f>
        <v>0.29840000000000005</v>
      </c>
      <c r="I113" s="3097">
        <f>SUM(E113)</f>
        <v>0.2984</v>
      </c>
      <c r="J113" s="3097">
        <f>SUM(E113)</f>
        <v>0.2984</v>
      </c>
      <c r="K113" s="3097">
        <f>SUM(E113)</f>
        <v>0.2984</v>
      </c>
      <c r="L113" s="3068">
        <f>SUM(L112/L111)</f>
        <v>0.29840000000000005</v>
      </c>
      <c r="M113" s="3068">
        <f>SUM(M112/M111)</f>
        <v>0.29840000000000005</v>
      </c>
      <c r="N113" s="3097">
        <f>SUM(E113)</f>
        <v>0.2984</v>
      </c>
      <c r="O113" s="3097">
        <f>SUM(E113)</f>
        <v>0.2984</v>
      </c>
      <c r="P113" s="3097">
        <f>SUM(E113)</f>
        <v>0.2984</v>
      </c>
      <c r="Q113" s="3068">
        <f>SUM(Q112/Q111)</f>
        <v>0.2984</v>
      </c>
      <c r="R113" s="3068">
        <f>SUM(R112/R111)</f>
        <v>0.2984</v>
      </c>
      <c r="S113" s="3097">
        <f>SUM(E113)</f>
        <v>0.2984</v>
      </c>
      <c r="T113" s="3097">
        <f>SUM(E113)</f>
        <v>0.2984</v>
      </c>
      <c r="U113" s="3097">
        <f>SUM(E113)</f>
        <v>0.2984</v>
      </c>
      <c r="V113" s="3068">
        <f>SUM(V112/V111)</f>
        <v>0.2984</v>
      </c>
      <c r="W113" s="3089">
        <f>SUM(W112/W111)</f>
        <v>0.29839999999999994</v>
      </c>
    </row>
    <row r="114" spans="1:23" ht="18.75" customHeight="1">
      <c r="A114" s="3103" t="s">
        <v>1723</v>
      </c>
      <c r="B114" s="3060">
        <f>SUM('цех стоки (с разбивкой)'!B55)</f>
        <v>2438.5013611005807</v>
      </c>
      <c r="C114" s="3060">
        <f>SUM('цех стоки (с разбивкой)'!C55)</f>
        <v>2438.5013611005807</v>
      </c>
      <c r="D114" s="3060">
        <f>SUM('цех стоки (с разбивкой)'!D55)</f>
        <v>0</v>
      </c>
      <c r="E114" s="3073">
        <f>SUM('цех стоки (с разбивкой)'!E55)</f>
        <v>198.20969061678065</v>
      </c>
      <c r="F114" s="3073">
        <f>SUM('цех стоки (с разбивкой)'!F55)</f>
        <v>198.20969061678065</v>
      </c>
      <c r="G114" s="3073">
        <f>SUM('цех стоки (с разбивкой)'!G55)</f>
        <v>198.20969061678065</v>
      </c>
      <c r="H114" s="3060">
        <f>SUM('цех стоки (с разбивкой)'!H55)</f>
        <v>594.62907185034192</v>
      </c>
      <c r="I114" s="3073">
        <f>SUM('цех стоки (с разбивкой)'!I55)</f>
        <v>198.21407991923064</v>
      </c>
      <c r="J114" s="3073">
        <f>SUM('цех стоки (с разбивкой)'!J55)</f>
        <v>198.28674725979144</v>
      </c>
      <c r="K114" s="3073">
        <f>SUM('цех стоки (с разбивкой)'!K55)</f>
        <v>198.35014829518005</v>
      </c>
      <c r="L114" s="3060">
        <f>SUM('цех стоки (с разбивкой)'!L55)</f>
        <v>594.85097547420207</v>
      </c>
      <c r="M114" s="3060">
        <f>SUM('цех стоки (с разбивкой)'!M55)</f>
        <v>1189.4800473245441</v>
      </c>
      <c r="N114" s="3073">
        <f>SUM('цех стоки (с разбивкой)'!N55)</f>
        <v>208.26686489995109</v>
      </c>
      <c r="O114" s="3073">
        <f>SUM('цех стоки (с разбивкой)'!O55)</f>
        <v>208.24784458933451</v>
      </c>
      <c r="P114" s="3073">
        <f>SUM('цех стоки (с разбивкой)'!P55)</f>
        <v>208.1844435539459</v>
      </c>
      <c r="Q114" s="3060">
        <f>SUM('цех стоки (с разбивкой)'!Q55)</f>
        <v>624.69915304323149</v>
      </c>
      <c r="R114" s="3060">
        <f>SUM('цех стоки (с разбивкой)'!R55)</f>
        <v>1814.1792003677756</v>
      </c>
      <c r="S114" s="3073">
        <f>SUM('цех стоки (с разбивкой)'!S55)</f>
        <v>208.10738691093511</v>
      </c>
      <c r="T114" s="3073">
        <f>SUM('цех стоки (с разбивкой)'!T55)</f>
        <v>208.10738691093511</v>
      </c>
      <c r="U114" s="3073">
        <f>SUM('цех стоки (с разбивкой)'!U55)</f>
        <v>208.10738691093511</v>
      </c>
      <c r="V114" s="3060">
        <f>SUM('цех стоки (с разбивкой)'!V55)</f>
        <v>624.32216073280529</v>
      </c>
      <c r="W114" s="3087">
        <f t="shared" si="88"/>
        <v>2438.5013611005807</v>
      </c>
    </row>
    <row r="115" spans="1:23" ht="18.75" customHeight="1">
      <c r="A115" s="3091" t="s">
        <v>72</v>
      </c>
      <c r="B115" s="3063">
        <f>SUM('цех стоки (с разбивкой)'!B56)</f>
        <v>1558.446219879381</v>
      </c>
      <c r="C115" s="3063">
        <f>SUM('цех стоки (с разбивкой)'!C56)</f>
        <v>1558.446219879381</v>
      </c>
      <c r="D115" s="3063">
        <f>SUM('цех стоки (с разбивкой)'!D56)</f>
        <v>0</v>
      </c>
      <c r="E115" s="3092">
        <f>SUM('цех стоки (с разбивкой)'!E56)</f>
        <v>126.06952222810442</v>
      </c>
      <c r="F115" s="3092">
        <f>SUM('цех стоки (с разбивкой)'!F56)</f>
        <v>126.06952222810442</v>
      </c>
      <c r="G115" s="3092">
        <f>SUM('цех стоки (с разбивкой)'!G56)</f>
        <v>126.06952222810442</v>
      </c>
      <c r="H115" s="3063">
        <f>SUM('цех стоки (с разбивкой)'!H56)</f>
        <v>378.20856668431327</v>
      </c>
      <c r="I115" s="3092">
        <f>SUM('цех стоки (с разбивкой)'!I56)</f>
        <v>126.06952222810442</v>
      </c>
      <c r="J115" s="3092">
        <f>SUM('цех стоки (с разбивкой)'!J56)</f>
        <v>126.06952222810442</v>
      </c>
      <c r="K115" s="3092">
        <f>SUM('цех стоки (с разбивкой)'!K56)</f>
        <v>126.06952222810442</v>
      </c>
      <c r="L115" s="3063">
        <f>SUM('цех стоки (с разбивкой)'!L56)</f>
        <v>378.20856668431327</v>
      </c>
      <c r="M115" s="3063">
        <f>SUM('цех стоки (с разбивкой)'!M56)</f>
        <v>756.41713336862654</v>
      </c>
      <c r="N115" s="3092">
        <f>SUM('цех стоки (с разбивкой)'!N56)</f>
        <v>133.67151441845908</v>
      </c>
      <c r="O115" s="3092">
        <f>SUM('цех стоки (с разбивкой)'!O56)</f>
        <v>133.67151441845908</v>
      </c>
      <c r="P115" s="3092">
        <f>SUM('цех стоки (с разбивкой)'!P56)</f>
        <v>133.67151441845908</v>
      </c>
      <c r="Q115" s="3063">
        <f>SUM('цех стоки (с разбивкой)'!Q56)</f>
        <v>401.01454325537725</v>
      </c>
      <c r="R115" s="3063">
        <f>SUM('цех стоки (с разбивкой)'!R56)</f>
        <v>1157.4316766240038</v>
      </c>
      <c r="S115" s="3092">
        <f>SUM('цех стоки (с разбивкой)'!S56)</f>
        <v>133.67151441845908</v>
      </c>
      <c r="T115" s="3092">
        <f>SUM('цех стоки (с разбивкой)'!T56)</f>
        <v>133.67151441845908</v>
      </c>
      <c r="U115" s="3092">
        <f>SUM('цех стоки (с разбивкой)'!U56)</f>
        <v>133.67151441845908</v>
      </c>
      <c r="V115" s="3063">
        <f>SUM('цех стоки (с разбивкой)'!V56)</f>
        <v>401.01454325537725</v>
      </c>
      <c r="W115" s="3087">
        <f t="shared" si="88"/>
        <v>1558.446219879381</v>
      </c>
    </row>
    <row r="116" spans="1:23" ht="18.75" customHeight="1">
      <c r="A116" s="3091" t="s">
        <v>121</v>
      </c>
      <c r="B116" s="3063">
        <f>SUM('цех стоки (с разбивкой)'!B57)</f>
        <v>470.63076269241208</v>
      </c>
      <c r="C116" s="3063">
        <f>SUM('цех стоки (с разбивкой)'!C57)</f>
        <v>470.63076269241208</v>
      </c>
      <c r="D116" s="3063">
        <f>SUM('цех стоки (с разбивкой)'!D57)</f>
        <v>0</v>
      </c>
      <c r="E116" s="3092">
        <f>SUM('цех стоки (с разбивкой)'!E57)</f>
        <v>38.071378172467774</v>
      </c>
      <c r="F116" s="3092">
        <f>SUM('цех стоки (с разбивкой)'!F57)</f>
        <v>38.071378172467774</v>
      </c>
      <c r="G116" s="3092">
        <f>SUM('цех стоки (с разбивкой)'!G57)</f>
        <v>38.071378172467774</v>
      </c>
      <c r="H116" s="3063">
        <f>SUM('цех стоки (с разбивкой)'!H57)</f>
        <v>114.21413451740332</v>
      </c>
      <c r="I116" s="3092">
        <f>SUM('цех стоки (с разбивкой)'!I57)</f>
        <v>38.071378172467774</v>
      </c>
      <c r="J116" s="3092">
        <f>SUM('цех стоки (с разбивкой)'!J57)</f>
        <v>38.071378172467774</v>
      </c>
      <c r="K116" s="3092">
        <f>SUM('цех стоки (с разбивкой)'!K57)</f>
        <v>38.071378172467774</v>
      </c>
      <c r="L116" s="3063">
        <f>SUM('цех стоки (с разбивкой)'!L57)</f>
        <v>114.21413451740332</v>
      </c>
      <c r="M116" s="3063">
        <f>SUM('цех стоки (с разбивкой)'!M57)</f>
        <v>228.42826903480665</v>
      </c>
      <c r="N116" s="3092">
        <f>SUM('цех стоки (с разбивкой)'!N57)</f>
        <v>40.367082276267574</v>
      </c>
      <c r="O116" s="3092">
        <f>SUM('цех стоки (с разбивкой)'!O57)</f>
        <v>40.367082276267574</v>
      </c>
      <c r="P116" s="3092">
        <f>SUM('цех стоки (с разбивкой)'!P57)</f>
        <v>40.367082276267574</v>
      </c>
      <c r="Q116" s="3063">
        <f>SUM('цех стоки (с разбивкой)'!Q57)</f>
        <v>121.10124682880272</v>
      </c>
      <c r="R116" s="3063">
        <f>SUM('цех стоки (с разбивкой)'!R57)</f>
        <v>349.52951586360939</v>
      </c>
      <c r="S116" s="3092">
        <f>SUM('цех стоки (с разбивкой)'!S57)</f>
        <v>40.367082276267574</v>
      </c>
      <c r="T116" s="3092">
        <f>SUM('цех стоки (с разбивкой)'!T57)</f>
        <v>40.367082276267574</v>
      </c>
      <c r="U116" s="3092">
        <f>SUM('цех стоки (с разбивкой)'!U57)</f>
        <v>40.367082276267574</v>
      </c>
      <c r="V116" s="3063">
        <f>SUM('цех стоки (с разбивкой)'!V57)</f>
        <v>121.10124682880272</v>
      </c>
      <c r="W116" s="3087">
        <f t="shared" si="88"/>
        <v>470.63076269241213</v>
      </c>
    </row>
    <row r="117" spans="1:23" ht="18.75" customHeight="1">
      <c r="A117" s="3091" t="s">
        <v>52</v>
      </c>
      <c r="B117" s="3063">
        <f>SUM('цех стоки (с разбивкой)'!B58)</f>
        <v>3.1700517694307546</v>
      </c>
      <c r="C117" s="3063">
        <f>SUM('цех стоки (с разбивкой)'!C58)</f>
        <v>3.1700517694307546</v>
      </c>
      <c r="D117" s="3063">
        <f>SUM('цех стоки (с разбивкой)'!D58)</f>
        <v>0</v>
      </c>
      <c r="E117" s="3092">
        <f>SUM('цех стоки (с разбивкой)'!E58)</f>
        <v>0.26417098078589624</v>
      </c>
      <c r="F117" s="3092">
        <f>SUM('цех стоки (с разбивкой)'!F58)</f>
        <v>0.26417098078589624</v>
      </c>
      <c r="G117" s="3092">
        <f>SUM('цех стоки (с разбивкой)'!G58)</f>
        <v>0.26417098078589624</v>
      </c>
      <c r="H117" s="3063">
        <f>SUM('цех стоки (с разбивкой)'!H58)</f>
        <v>0.79251294235768865</v>
      </c>
      <c r="I117" s="3092">
        <f>SUM('цех стоки (с разбивкой)'!I58)</f>
        <v>0.26417098078589624</v>
      </c>
      <c r="J117" s="3092">
        <f>SUM('цех стоки (с разбивкой)'!J58)</f>
        <v>0.26417098078589624</v>
      </c>
      <c r="K117" s="3092">
        <f>SUM('цех стоки (с разбивкой)'!K58)</f>
        <v>0.26417098078589624</v>
      </c>
      <c r="L117" s="3063">
        <f>SUM('цех стоки (с разбивкой)'!L58)</f>
        <v>0.79251294235768865</v>
      </c>
      <c r="M117" s="3063">
        <f>SUM('цех стоки (с разбивкой)'!M58)</f>
        <v>1.5850258847153773</v>
      </c>
      <c r="N117" s="3092">
        <f>SUM('цех стоки (с разбивкой)'!N58)</f>
        <v>0.26417098078589624</v>
      </c>
      <c r="O117" s="3092">
        <f>SUM('цех стоки (с разбивкой)'!O58)</f>
        <v>0.26417098078589624</v>
      </c>
      <c r="P117" s="3092">
        <f>SUM('цех стоки (с разбивкой)'!P58)</f>
        <v>0.26417098078589624</v>
      </c>
      <c r="Q117" s="3063">
        <f>SUM('цех стоки (с разбивкой)'!Q58)</f>
        <v>0.79251294235768865</v>
      </c>
      <c r="R117" s="3063">
        <f>SUM('цех стоки (с разбивкой)'!R58)</f>
        <v>2.377538827073066</v>
      </c>
      <c r="S117" s="3092">
        <f>SUM('цех стоки (с разбивкой)'!S58)</f>
        <v>0.26417098078589624</v>
      </c>
      <c r="T117" s="3092">
        <f>SUM('цех стоки (с разбивкой)'!T58)</f>
        <v>0.26417098078589624</v>
      </c>
      <c r="U117" s="3092">
        <f>SUM('цех стоки (с разбивкой)'!U58)</f>
        <v>0.26417098078589624</v>
      </c>
      <c r="V117" s="3063">
        <f>SUM('цех стоки (с разбивкой)'!V58)</f>
        <v>0.79251294235768865</v>
      </c>
      <c r="W117" s="3087">
        <f t="shared" si="88"/>
        <v>3.1700517694307542</v>
      </c>
    </row>
    <row r="118" spans="1:23" ht="18.75" customHeight="1">
      <c r="A118" s="3091" t="s">
        <v>605</v>
      </c>
      <c r="B118" s="3063">
        <f>SUM('цех стоки (с разбивкой)'!B59)</f>
        <v>373.33455838449891</v>
      </c>
      <c r="C118" s="3063">
        <f>SUM('цех стоки (с разбивкой)'!C59)</f>
        <v>373.33455838449891</v>
      </c>
      <c r="D118" s="3063">
        <f>SUM('цех стоки (с разбивкой)'!D59)</f>
        <v>0</v>
      </c>
      <c r="E118" s="3092">
        <f>SUM('цех стоки (с разбивкой)'!E59)</f>
        <v>31.111213198708242</v>
      </c>
      <c r="F118" s="3092">
        <f>SUM('цех стоки (с разбивкой)'!F59)</f>
        <v>31.111213198708242</v>
      </c>
      <c r="G118" s="3092">
        <f>SUM('цех стоки (с разбивкой)'!G59)</f>
        <v>31.111213198708242</v>
      </c>
      <c r="H118" s="3063">
        <f>SUM('цех стоки (с разбивкой)'!H59)</f>
        <v>93.333639596124726</v>
      </c>
      <c r="I118" s="3092">
        <f>SUM('цех стоки (с разбивкой)'!I59)</f>
        <v>31.111213198708242</v>
      </c>
      <c r="J118" s="3092">
        <f>SUM('цех стоки (с разбивкой)'!J59)</f>
        <v>31.111213198708242</v>
      </c>
      <c r="K118" s="3092">
        <f>SUM('цех стоки (с разбивкой)'!K59)</f>
        <v>31.111213198708242</v>
      </c>
      <c r="L118" s="3063">
        <f>SUM('цех стоки (с разбивкой)'!L59)</f>
        <v>93.333639596124726</v>
      </c>
      <c r="M118" s="3063">
        <f>SUM('цех стоки (с разбивкой)'!M59)</f>
        <v>186.66727919224945</v>
      </c>
      <c r="N118" s="3092">
        <f>SUM('цех стоки (с разбивкой)'!N59)</f>
        <v>31.111213198708242</v>
      </c>
      <c r="O118" s="3092">
        <f>SUM('цех стоки (с разбивкой)'!O59)</f>
        <v>31.111213198708242</v>
      </c>
      <c r="P118" s="3092">
        <f>SUM('цех стоки (с разбивкой)'!P59)</f>
        <v>31.111213198708242</v>
      </c>
      <c r="Q118" s="3063">
        <f>SUM('цех стоки (с разбивкой)'!Q59)</f>
        <v>93.333639596124726</v>
      </c>
      <c r="R118" s="3063">
        <f>SUM('цех стоки (с разбивкой)'!R59)</f>
        <v>280.00091878837418</v>
      </c>
      <c r="S118" s="3092">
        <f>SUM('цех стоки (с разбивкой)'!S59)</f>
        <v>31.111213198708242</v>
      </c>
      <c r="T118" s="3092">
        <f>SUM('цех стоки (с разбивкой)'!T59)</f>
        <v>31.111213198708242</v>
      </c>
      <c r="U118" s="3092">
        <f>SUM('цех стоки (с разбивкой)'!U59)</f>
        <v>31.111213198708242</v>
      </c>
      <c r="V118" s="3063">
        <f>SUM('цех стоки (с разбивкой)'!V59)</f>
        <v>93.333639596124726</v>
      </c>
      <c r="W118" s="3087">
        <f t="shared" si="88"/>
        <v>373.33455838449891</v>
      </c>
    </row>
    <row r="119" spans="1:23" ht="18.75" customHeight="1">
      <c r="A119" s="3091" t="s">
        <v>606</v>
      </c>
      <c r="B119" s="3063">
        <f>SUM('цех стоки (с разбивкой)'!B60)</f>
        <v>28.042765652656676</v>
      </c>
      <c r="C119" s="3063">
        <f>SUM('цех стоки (с разбивкой)'!C60)</f>
        <v>28.042765652656676</v>
      </c>
      <c r="D119" s="3063">
        <f>SUM('цех стоки (с разбивкой)'!D60)</f>
        <v>0</v>
      </c>
      <c r="E119" s="3092">
        <f>SUM('цех стоки (с разбивкой)'!E60)</f>
        <v>2.3368971377213898</v>
      </c>
      <c r="F119" s="3092">
        <f>SUM('цех стоки (с разбивкой)'!F60)</f>
        <v>2.3368971377213898</v>
      </c>
      <c r="G119" s="3092">
        <f>SUM('цех стоки (с разбивкой)'!G60)</f>
        <v>2.3368971377213898</v>
      </c>
      <c r="H119" s="3063">
        <f>SUM('цех стоки (с разбивкой)'!H60)</f>
        <v>7.0106914131641691</v>
      </c>
      <c r="I119" s="3092">
        <f>SUM('цех стоки (с разбивкой)'!I60)</f>
        <v>2.3368971377213898</v>
      </c>
      <c r="J119" s="3092">
        <f>SUM('цех стоки (с разбивкой)'!J60)</f>
        <v>2.3368971377213898</v>
      </c>
      <c r="K119" s="3092">
        <f>SUM('цех стоки (с разбивкой)'!K60)</f>
        <v>2.3368971377213898</v>
      </c>
      <c r="L119" s="3063">
        <f>SUM('цех стоки (с разбивкой)'!L60)</f>
        <v>7.0106914131641691</v>
      </c>
      <c r="M119" s="3063">
        <f>SUM('цех стоки (с разбивкой)'!M60)</f>
        <v>14.021382826328338</v>
      </c>
      <c r="N119" s="3092">
        <f>SUM('цех стоки (с разбивкой)'!N60)</f>
        <v>2.3368971377213898</v>
      </c>
      <c r="O119" s="3092">
        <f>SUM('цех стоки (с разбивкой)'!O60)</f>
        <v>2.3368971377213898</v>
      </c>
      <c r="P119" s="3092">
        <f>SUM('цех стоки (с разбивкой)'!P60)</f>
        <v>2.3368971377213898</v>
      </c>
      <c r="Q119" s="3063">
        <f>SUM('цех стоки (с разбивкой)'!Q60)</f>
        <v>7.0106914131641691</v>
      </c>
      <c r="R119" s="3063">
        <f>SUM('цех стоки (с разбивкой)'!R60)</f>
        <v>21.032074239492509</v>
      </c>
      <c r="S119" s="3092">
        <f>SUM('цех стоки (с разбивкой)'!S60)</f>
        <v>2.3368971377213898</v>
      </c>
      <c r="T119" s="3092">
        <f>SUM('цех стоки (с разбивкой)'!T60)</f>
        <v>2.3368971377213898</v>
      </c>
      <c r="U119" s="3092">
        <f>SUM('цех стоки (с разбивкой)'!U60)</f>
        <v>2.3368971377213898</v>
      </c>
      <c r="V119" s="3063">
        <f>SUM('цех стоки (с разбивкой)'!V60)</f>
        <v>7.0106914131641691</v>
      </c>
      <c r="W119" s="3087">
        <f t="shared" si="88"/>
        <v>28.04276565265668</v>
      </c>
    </row>
    <row r="120" spans="1:23" ht="18.75" customHeight="1">
      <c r="A120" s="3093" t="s">
        <v>564</v>
      </c>
      <c r="B120" s="3067">
        <f>SUM('цех стоки (с разбивкой)'!B61)</f>
        <v>28.042765652656676</v>
      </c>
      <c r="C120" s="3067">
        <f>SUM('цех стоки (с разбивкой)'!C61)</f>
        <v>28.042765652656676</v>
      </c>
      <c r="D120" s="3067">
        <f>SUM('цех стоки (с разбивкой)'!D61)</f>
        <v>0</v>
      </c>
      <c r="E120" s="3094">
        <f>SUM('цех стоки (с разбивкой)'!E61)</f>
        <v>2.3368971377213898</v>
      </c>
      <c r="F120" s="3094">
        <f>SUM('цех стоки (с разбивкой)'!F61)</f>
        <v>2.3368971377213898</v>
      </c>
      <c r="G120" s="3094">
        <f>SUM('цех стоки (с разбивкой)'!G61)</f>
        <v>2.3368971377213898</v>
      </c>
      <c r="H120" s="3067">
        <f>SUM('цех стоки (с разбивкой)'!H61)</f>
        <v>7.0106914131641691</v>
      </c>
      <c r="I120" s="3094">
        <f>SUM('цех стоки (с разбивкой)'!I61)</f>
        <v>2.3368971377213898</v>
      </c>
      <c r="J120" s="3094">
        <f>SUM('цех стоки (с разбивкой)'!J61)</f>
        <v>2.3368971377213898</v>
      </c>
      <c r="K120" s="3094">
        <f>SUM('цех стоки (с разбивкой)'!K61)</f>
        <v>2.3368971377213898</v>
      </c>
      <c r="L120" s="3067">
        <f>SUM('цех стоки (с разбивкой)'!L61)</f>
        <v>7.0106914131641691</v>
      </c>
      <c r="M120" s="3067">
        <f>SUM('цех стоки (с разбивкой)'!M61)</f>
        <v>14.021382826328338</v>
      </c>
      <c r="N120" s="3094">
        <f>SUM('цех стоки (с разбивкой)'!N61)</f>
        <v>2.3368971377213898</v>
      </c>
      <c r="O120" s="3094">
        <f>SUM('цех стоки (с разбивкой)'!O61)</f>
        <v>2.3368971377213898</v>
      </c>
      <c r="P120" s="3094">
        <f>SUM('цех стоки (с разбивкой)'!P61)</f>
        <v>2.3368971377213898</v>
      </c>
      <c r="Q120" s="3067">
        <f>SUM('цех стоки (с разбивкой)'!Q61)</f>
        <v>7.0106914131641691</v>
      </c>
      <c r="R120" s="3067">
        <f>SUM('цех стоки (с разбивкой)'!R61)</f>
        <v>21.032074239492509</v>
      </c>
      <c r="S120" s="3094">
        <f>SUM('цех стоки (с разбивкой)'!S61)</f>
        <v>2.3368971377213898</v>
      </c>
      <c r="T120" s="3094">
        <f>SUM('цех стоки (с разбивкой)'!T61)</f>
        <v>2.3368971377213898</v>
      </c>
      <c r="U120" s="3094">
        <f>SUM('цех стоки (с разбивкой)'!U61)</f>
        <v>2.3368971377213898</v>
      </c>
      <c r="V120" s="3067">
        <f>SUM('цех стоки (с разбивкой)'!V61)</f>
        <v>7.0106914131641691</v>
      </c>
      <c r="W120" s="3087">
        <f t="shared" si="88"/>
        <v>28.04276565265668</v>
      </c>
    </row>
    <row r="121" spans="1:23" ht="18.75" customHeight="1">
      <c r="A121" s="3091" t="s">
        <v>609</v>
      </c>
      <c r="B121" s="3063">
        <f>SUM('цех стоки (с разбивкой)'!B62)</f>
        <v>4.8770027222011612</v>
      </c>
      <c r="C121" s="3063">
        <f>SUM('цех стоки (с разбивкой)'!C62)</f>
        <v>4.8770027222011612</v>
      </c>
      <c r="D121" s="3063">
        <f>SUM('цех стоки (с разбивкой)'!D62)</f>
        <v>0</v>
      </c>
      <c r="E121" s="3092">
        <f>SUM('цех стоки (с разбивкой)'!E62)</f>
        <v>0.35650889899290489</v>
      </c>
      <c r="F121" s="3092">
        <f>SUM('цех стоки (с разбивкой)'!F62)</f>
        <v>0.35650889899290489</v>
      </c>
      <c r="G121" s="3092">
        <f>SUM('цех стоки (с разбивкой)'!G62)</f>
        <v>0.35650889899290489</v>
      </c>
      <c r="H121" s="3063">
        <f>SUM('цех стоки (с разбивкой)'!H62)</f>
        <v>1.0695266969787147</v>
      </c>
      <c r="I121" s="3092">
        <f>SUM('цех стоки (с разбивкой)'!I62)</f>
        <v>0.36089820144288598</v>
      </c>
      <c r="J121" s="3092">
        <f>SUM('цех стоки (с разбивкой)'!J62)</f>
        <v>0.43356554200368325</v>
      </c>
      <c r="K121" s="3092">
        <f>SUM('цех стоки (с разбивкой)'!K62)</f>
        <v>0.49696657739229827</v>
      </c>
      <c r="L121" s="3063">
        <f>SUM('цех стоки (с разбивкой)'!L62)</f>
        <v>1.2914303208388676</v>
      </c>
      <c r="M121" s="3063">
        <f>SUM('цех стоки (с разбивкой)'!M62)</f>
        <v>2.360957017817582</v>
      </c>
      <c r="N121" s="3092">
        <f>SUM('цех стоки (с разбивкой)'!N62)</f>
        <v>0.51598688800888293</v>
      </c>
      <c r="O121" s="3092">
        <f>SUM('цех стоки (с разбивкой)'!O62)</f>
        <v>0.49696657739229827</v>
      </c>
      <c r="P121" s="3092">
        <f>SUM('цех стоки (с разбивкой)'!P62)</f>
        <v>0.43356554200368325</v>
      </c>
      <c r="Q121" s="3063">
        <f>SUM('цех стоки (с разбивкой)'!Q62)</f>
        <v>1.4465190074048644</v>
      </c>
      <c r="R121" s="3063">
        <f>SUM('цех стоки (с разбивкой)'!R62)</f>
        <v>3.8074760252224467</v>
      </c>
      <c r="S121" s="3092">
        <f>SUM('цех стоки (с разбивкой)'!S62)</f>
        <v>0.35650889899290489</v>
      </c>
      <c r="T121" s="3092">
        <f>SUM('цех стоки (с разбивкой)'!T62)</f>
        <v>0.35650889899290489</v>
      </c>
      <c r="U121" s="3092">
        <f>SUM('цех стоки (с разбивкой)'!U62)</f>
        <v>0.35650889899290489</v>
      </c>
      <c r="V121" s="3063">
        <f>SUM('цех стоки (с разбивкой)'!V62)</f>
        <v>1.0695266969787147</v>
      </c>
      <c r="W121" s="3087">
        <f t="shared" si="88"/>
        <v>4.8770027222011612</v>
      </c>
    </row>
    <row r="122" spans="1:23" ht="18.75" customHeight="1">
      <c r="A122" s="3093" t="s">
        <v>551</v>
      </c>
      <c r="B122" s="3067">
        <f>SUM('цех стоки (с разбивкой)'!B63)</f>
        <v>4.8770027222011612</v>
      </c>
      <c r="C122" s="3067">
        <f>SUM('цех стоки (с разбивкой)'!C63)</f>
        <v>4.8770027222011612</v>
      </c>
      <c r="D122" s="3067">
        <f>SUM('цех стоки (с разбивкой)'!D63)</f>
        <v>0</v>
      </c>
      <c r="E122" s="3094">
        <f>SUM('цех стоки (с разбивкой)'!E63)</f>
        <v>0.35650889899290489</v>
      </c>
      <c r="F122" s="3094">
        <f>SUM('цех стоки (с разбивкой)'!F63)</f>
        <v>0.35650889899290489</v>
      </c>
      <c r="G122" s="3094">
        <f>SUM('цех стоки (с разбивкой)'!G63)</f>
        <v>0.35650889899290489</v>
      </c>
      <c r="H122" s="3067">
        <f>SUM('цех стоки (с разбивкой)'!H63)</f>
        <v>1.0695266969787147</v>
      </c>
      <c r="I122" s="3094">
        <f>SUM('цех стоки (с разбивкой)'!I63)</f>
        <v>0.36089820144288598</v>
      </c>
      <c r="J122" s="3094">
        <f>SUM('цех стоки (с разбивкой)'!J63)</f>
        <v>0.43356554200368325</v>
      </c>
      <c r="K122" s="3094">
        <f>SUM('цех стоки (с разбивкой)'!K63)</f>
        <v>0.49696657739229827</v>
      </c>
      <c r="L122" s="3067">
        <f>SUM('цех стоки (с разбивкой)'!L63)</f>
        <v>1.2914303208388676</v>
      </c>
      <c r="M122" s="3067">
        <f>SUM('цех стоки (с разбивкой)'!M63)</f>
        <v>2.360957017817582</v>
      </c>
      <c r="N122" s="3094">
        <f>SUM('цех стоки (с разбивкой)'!N63)</f>
        <v>0.51598688800888293</v>
      </c>
      <c r="O122" s="3094">
        <f>SUM('цех стоки (с разбивкой)'!O63)</f>
        <v>0.49696657739229827</v>
      </c>
      <c r="P122" s="3094">
        <f>SUM('цех стоки (с разбивкой)'!P63)</f>
        <v>0.43356554200368325</v>
      </c>
      <c r="Q122" s="3067">
        <f>SUM('цех стоки (с разбивкой)'!Q63)</f>
        <v>1.4465190074048644</v>
      </c>
      <c r="R122" s="3067">
        <f>SUM('цех стоки (с разбивкой)'!R63)</f>
        <v>3.8074760252224467</v>
      </c>
      <c r="S122" s="3094">
        <f>SUM('цех стоки (с разбивкой)'!S63)</f>
        <v>0.35650889899290489</v>
      </c>
      <c r="T122" s="3094">
        <f>SUM('цех стоки (с разбивкой)'!T63)</f>
        <v>0.35650889899290489</v>
      </c>
      <c r="U122" s="3094">
        <f>SUM('цех стоки (с разбивкой)'!U63)</f>
        <v>0.35650889899290489</v>
      </c>
      <c r="V122" s="3067">
        <f>SUM('цех стоки (с разбивкой)'!V63)</f>
        <v>1.0695266969787147</v>
      </c>
      <c r="W122" s="3087">
        <f t="shared" si="88"/>
        <v>4.8770027222011612</v>
      </c>
    </row>
    <row r="123" spans="1:23" ht="18.75" customHeight="1">
      <c r="A123" s="3123" t="s">
        <v>613</v>
      </c>
      <c r="B123" s="3067">
        <f>SUM('цех стоки (с разбивкой)'!B64)</f>
        <v>0</v>
      </c>
      <c r="C123" s="3067">
        <f>SUM('цех стоки (с разбивкой)'!C64)</f>
        <v>0</v>
      </c>
      <c r="D123" s="3067">
        <f>SUM('цех стоки (с разбивкой)'!D64)</f>
        <v>0</v>
      </c>
      <c r="E123" s="3094">
        <f>SUM('цех стоки (с разбивкой)'!E64)</f>
        <v>0</v>
      </c>
      <c r="F123" s="3094">
        <f>SUM('цех стоки (с разбивкой)'!F64)</f>
        <v>0</v>
      </c>
      <c r="G123" s="3094">
        <f>SUM('цех стоки (с разбивкой)'!G64)</f>
        <v>0</v>
      </c>
      <c r="H123" s="3067">
        <f>SUM('цех стоки (с разбивкой)'!H64)</f>
        <v>0</v>
      </c>
      <c r="I123" s="3094">
        <f>SUM('цех стоки (с разбивкой)'!I64)</f>
        <v>0</v>
      </c>
      <c r="J123" s="3094">
        <f>SUM('цех стоки (с разбивкой)'!J64)</f>
        <v>0</v>
      </c>
      <c r="K123" s="3094">
        <f>SUM('цех стоки (с разбивкой)'!K64)</f>
        <v>0</v>
      </c>
      <c r="L123" s="3067">
        <f>SUM('цех стоки (с разбивкой)'!L64)</f>
        <v>0</v>
      </c>
      <c r="M123" s="3067">
        <f>SUM('цех стоки (с разбивкой)'!M64)</f>
        <v>0</v>
      </c>
      <c r="N123" s="3094">
        <f>SUM('цех стоки (с разбивкой)'!N64)</f>
        <v>0</v>
      </c>
      <c r="O123" s="3094">
        <f>SUM('цех стоки (с разбивкой)'!O64)</f>
        <v>0</v>
      </c>
      <c r="P123" s="3094">
        <f>SUM('цех стоки (с разбивкой)'!P64)</f>
        <v>0</v>
      </c>
      <c r="Q123" s="3067">
        <f>SUM('цех стоки (с разбивкой)'!Q64)</f>
        <v>0</v>
      </c>
      <c r="R123" s="3067">
        <f>SUM('цех стоки (с разбивкой)'!R64)</f>
        <v>0</v>
      </c>
      <c r="S123" s="3094">
        <f>SUM('цех стоки (с разбивкой)'!S64)</f>
        <v>0</v>
      </c>
      <c r="T123" s="3094">
        <f>SUM('цех стоки (с разбивкой)'!T64)</f>
        <v>0</v>
      </c>
      <c r="U123" s="3094">
        <f>SUM('цех стоки (с разбивкой)'!U64)</f>
        <v>0</v>
      </c>
      <c r="V123" s="3067">
        <f>SUM('цех стоки (с разбивкой)'!V64)</f>
        <v>0</v>
      </c>
      <c r="W123" s="3087">
        <f t="shared" si="88"/>
        <v>0</v>
      </c>
    </row>
    <row r="124" spans="1:23" ht="18.75" customHeight="1">
      <c r="A124" s="3103" t="s">
        <v>1724</v>
      </c>
      <c r="B124" s="3060">
        <f>SUM(стоки!CL42)</f>
        <v>1513.464332389854</v>
      </c>
      <c r="C124" s="3060">
        <f>SUM(стоки!CN42)</f>
        <v>1502.7644400919853</v>
      </c>
      <c r="D124" s="3060">
        <f>SUM(стоки!CO42)</f>
        <v>10.699892297868617</v>
      </c>
      <c r="E124" s="3098">
        <f>SUM(E125+E126+E127)</f>
        <v>0</v>
      </c>
      <c r="F124" s="3098">
        <f t="shared" ref="F124:G124" si="106">SUM(F125+F126+F127)</f>
        <v>0</v>
      </c>
      <c r="G124" s="3098">
        <f t="shared" si="106"/>
        <v>378.3660830974635</v>
      </c>
      <c r="H124" s="3070">
        <f t="shared" si="82"/>
        <v>378.3660830974635</v>
      </c>
      <c r="I124" s="3098">
        <f t="shared" ref="I124:K124" si="107">SUM(I125+I126+I127)</f>
        <v>0</v>
      </c>
      <c r="J124" s="3098">
        <f t="shared" si="107"/>
        <v>0</v>
      </c>
      <c r="K124" s="3098">
        <f t="shared" si="107"/>
        <v>378.3660830974635</v>
      </c>
      <c r="L124" s="3070">
        <f t="shared" ref="L124:L128" si="108">SUM(I124+J124+K124)</f>
        <v>378.3660830974635</v>
      </c>
      <c r="M124" s="3070">
        <f t="shared" ref="M124:M130" si="109">SUM(H124+L124)</f>
        <v>756.732166194927</v>
      </c>
      <c r="N124" s="3098">
        <f t="shared" ref="N124:P124" si="110">SUM(N125+N126+N127)</f>
        <v>0</v>
      </c>
      <c r="O124" s="3098">
        <f t="shared" si="110"/>
        <v>0</v>
      </c>
      <c r="P124" s="3098">
        <f t="shared" si="110"/>
        <v>378.3660830974635</v>
      </c>
      <c r="Q124" s="3070">
        <f t="shared" ref="Q124:Q128" si="111">SUM(N124+O124+P124)</f>
        <v>378.3660830974635</v>
      </c>
      <c r="R124" s="3070">
        <f t="shared" ref="R124:R130" si="112">SUM(M124+Q124)</f>
        <v>1135.0982492923904</v>
      </c>
      <c r="S124" s="3098">
        <f t="shared" ref="S124:U124" si="113">SUM(S125+S126+S127)</f>
        <v>0</v>
      </c>
      <c r="T124" s="3098">
        <f t="shared" si="113"/>
        <v>0</v>
      </c>
      <c r="U124" s="3098">
        <f t="shared" si="113"/>
        <v>378.3660830974635</v>
      </c>
      <c r="V124" s="3070">
        <f t="shared" si="87"/>
        <v>378.3660830974635</v>
      </c>
      <c r="W124" s="3085">
        <f t="shared" si="88"/>
        <v>1513.464332389854</v>
      </c>
    </row>
    <row r="125" spans="1:23" ht="43.5" customHeight="1">
      <c r="A125" s="3122" t="s">
        <v>1756</v>
      </c>
      <c r="B125" s="3124">
        <f>SUM(стоки!CL43)</f>
        <v>152.7343323898539</v>
      </c>
      <c r="C125" s="3124">
        <f>SUM(стоки!CN43)</f>
        <v>151.65444009198529</v>
      </c>
      <c r="D125" s="3124">
        <f>SUM(стоки!CO43)</f>
        <v>1.079892297868617</v>
      </c>
      <c r="E125" s="3093">
        <v>0</v>
      </c>
      <c r="F125" s="3093">
        <v>0</v>
      </c>
      <c r="G125" s="3172">
        <f>SUM(B125/12*3)</f>
        <v>38.183583097463476</v>
      </c>
      <c r="H125" s="3173">
        <f t="shared" si="82"/>
        <v>38.183583097463476</v>
      </c>
      <c r="I125" s="3093">
        <v>0</v>
      </c>
      <c r="J125" s="3093">
        <v>0</v>
      </c>
      <c r="K125" s="3172">
        <f>SUM(G125)</f>
        <v>38.183583097463476</v>
      </c>
      <c r="L125" s="3173">
        <f t="shared" si="108"/>
        <v>38.183583097463476</v>
      </c>
      <c r="M125" s="3173">
        <f t="shared" si="109"/>
        <v>76.367166194926952</v>
      </c>
      <c r="N125" s="3093">
        <v>0</v>
      </c>
      <c r="O125" s="3093">
        <v>0</v>
      </c>
      <c r="P125" s="3172">
        <f>SUM(G125)</f>
        <v>38.183583097463476</v>
      </c>
      <c r="Q125" s="3173">
        <f t="shared" si="111"/>
        <v>38.183583097463476</v>
      </c>
      <c r="R125" s="3173">
        <f t="shared" si="112"/>
        <v>114.55074929239044</v>
      </c>
      <c r="S125" s="3093">
        <v>0</v>
      </c>
      <c r="T125" s="3093">
        <v>0</v>
      </c>
      <c r="U125" s="3172">
        <f>SUM(G125)</f>
        <v>38.183583097463476</v>
      </c>
      <c r="V125" s="3173">
        <f t="shared" si="87"/>
        <v>38.183583097463476</v>
      </c>
      <c r="W125" s="3125">
        <f t="shared" si="88"/>
        <v>152.7343323898539</v>
      </c>
    </row>
    <row r="126" spans="1:23" ht="18.75" customHeight="1">
      <c r="A126" s="3122" t="s">
        <v>542</v>
      </c>
      <c r="B126" s="3124">
        <f>SUM(стоки!CL44)</f>
        <v>29.900000000000002</v>
      </c>
      <c r="C126" s="3124">
        <f>SUM(стоки!CN44)</f>
        <v>29.69</v>
      </c>
      <c r="D126" s="3124">
        <f>SUM(стоки!CO44)</f>
        <v>0.21</v>
      </c>
      <c r="E126" s="3093">
        <v>0</v>
      </c>
      <c r="F126" s="3093">
        <v>0</v>
      </c>
      <c r="G126" s="3172">
        <f t="shared" ref="G126:G127" si="114">SUM(B126/12*3)</f>
        <v>7.4749999999999996</v>
      </c>
      <c r="H126" s="3173">
        <f t="shared" si="82"/>
        <v>7.4749999999999996</v>
      </c>
      <c r="I126" s="3093">
        <v>0</v>
      </c>
      <c r="J126" s="3093">
        <v>0</v>
      </c>
      <c r="K126" s="3172">
        <f t="shared" ref="K126:K127" si="115">SUM(G126)</f>
        <v>7.4749999999999996</v>
      </c>
      <c r="L126" s="3173">
        <f t="shared" si="108"/>
        <v>7.4749999999999996</v>
      </c>
      <c r="M126" s="3173">
        <f t="shared" si="109"/>
        <v>14.95</v>
      </c>
      <c r="N126" s="3093">
        <v>0</v>
      </c>
      <c r="O126" s="3093">
        <v>0</v>
      </c>
      <c r="P126" s="3172">
        <f t="shared" ref="P126:P127" si="116">SUM(G126)</f>
        <v>7.4749999999999996</v>
      </c>
      <c r="Q126" s="3173">
        <f t="shared" si="111"/>
        <v>7.4749999999999996</v>
      </c>
      <c r="R126" s="3173">
        <f t="shared" si="112"/>
        <v>22.424999999999997</v>
      </c>
      <c r="S126" s="3093">
        <v>0</v>
      </c>
      <c r="T126" s="3093">
        <v>0</v>
      </c>
      <c r="U126" s="3172">
        <f t="shared" ref="U126:U127" si="117">SUM(G126)</f>
        <v>7.4749999999999996</v>
      </c>
      <c r="V126" s="3173">
        <f t="shared" si="87"/>
        <v>7.4749999999999996</v>
      </c>
      <c r="W126" s="3125">
        <f t="shared" si="88"/>
        <v>29.9</v>
      </c>
    </row>
    <row r="127" spans="1:23" ht="18.75" customHeight="1">
      <c r="A127" s="3122" t="s">
        <v>544</v>
      </c>
      <c r="B127" s="3124">
        <f>SUM(стоки!CL45)</f>
        <v>1330.8300000000002</v>
      </c>
      <c r="C127" s="3124">
        <f>SUM(стоки!CN45)</f>
        <v>1321.42</v>
      </c>
      <c r="D127" s="3124">
        <f>SUM(стоки!CO45)</f>
        <v>9.41</v>
      </c>
      <c r="E127" s="3093">
        <v>0</v>
      </c>
      <c r="F127" s="3093">
        <v>0</v>
      </c>
      <c r="G127" s="3172">
        <f t="shared" si="114"/>
        <v>332.70750000000004</v>
      </c>
      <c r="H127" s="3173">
        <f t="shared" si="82"/>
        <v>332.70750000000004</v>
      </c>
      <c r="I127" s="3093">
        <v>0</v>
      </c>
      <c r="J127" s="3093">
        <v>0</v>
      </c>
      <c r="K127" s="3172">
        <f t="shared" si="115"/>
        <v>332.70750000000004</v>
      </c>
      <c r="L127" s="3173">
        <f t="shared" si="108"/>
        <v>332.70750000000004</v>
      </c>
      <c r="M127" s="3173">
        <f t="shared" si="109"/>
        <v>665.41500000000008</v>
      </c>
      <c r="N127" s="3093">
        <v>0</v>
      </c>
      <c r="O127" s="3093">
        <v>0</v>
      </c>
      <c r="P127" s="3172">
        <f t="shared" si="116"/>
        <v>332.70750000000004</v>
      </c>
      <c r="Q127" s="3173">
        <f t="shared" si="111"/>
        <v>332.70750000000004</v>
      </c>
      <c r="R127" s="3173">
        <f t="shared" si="112"/>
        <v>998.12250000000017</v>
      </c>
      <c r="S127" s="3093">
        <v>0</v>
      </c>
      <c r="T127" s="3093">
        <v>0</v>
      </c>
      <c r="U127" s="3172">
        <f t="shared" si="117"/>
        <v>332.70750000000004</v>
      </c>
      <c r="V127" s="3173">
        <f t="shared" si="87"/>
        <v>332.70750000000004</v>
      </c>
      <c r="W127" s="3125">
        <f t="shared" si="88"/>
        <v>1330.8300000000002</v>
      </c>
    </row>
    <row r="128" spans="1:23" ht="18.75" customHeight="1">
      <c r="A128" s="3103" t="s">
        <v>1726</v>
      </c>
      <c r="B128" s="3060">
        <f>SUM(стоки!CL46)</f>
        <v>15214.176314017532</v>
      </c>
      <c r="C128" s="3060">
        <f>SUM(стоки!CN46)</f>
        <v>15206.883606181053</v>
      </c>
      <c r="D128" s="3060">
        <f>SUM(стоки!CO46)</f>
        <v>7.2927078364799991</v>
      </c>
      <c r="E128" s="3096">
        <f>SUM(E129+E130+E131)</f>
        <v>1245.2921557650441</v>
      </c>
      <c r="F128" s="3096">
        <f t="shared" ref="F128:G128" si="118">SUM(F129+F130+F131)</f>
        <v>1245.2921557650441</v>
      </c>
      <c r="G128" s="3096">
        <f t="shared" si="118"/>
        <v>1245.2921557650441</v>
      </c>
      <c r="H128" s="3101">
        <f t="shared" si="82"/>
        <v>3735.876467295132</v>
      </c>
      <c r="I128" s="3096">
        <f t="shared" ref="I128:K128" si="119">SUM(I129+I130+I131)</f>
        <v>1245.2921557650441</v>
      </c>
      <c r="J128" s="3096">
        <f t="shared" si="119"/>
        <v>1245.2921557650441</v>
      </c>
      <c r="K128" s="3096">
        <f t="shared" si="119"/>
        <v>1245.2921557650441</v>
      </c>
      <c r="L128" s="3101">
        <f t="shared" si="108"/>
        <v>3735.876467295132</v>
      </c>
      <c r="M128" s="3101">
        <f t="shared" si="109"/>
        <v>7471.752934590264</v>
      </c>
      <c r="N128" s="3096">
        <f t="shared" ref="N128:P128" si="120">SUM(N129+N130+N131)</f>
        <v>1290.4038965712111</v>
      </c>
      <c r="O128" s="3096">
        <f t="shared" si="120"/>
        <v>1290.4038965712111</v>
      </c>
      <c r="P128" s="3096">
        <f t="shared" si="120"/>
        <v>1290.4038965712111</v>
      </c>
      <c r="Q128" s="3101">
        <f t="shared" si="111"/>
        <v>3871.2116897136334</v>
      </c>
      <c r="R128" s="3101">
        <f t="shared" si="112"/>
        <v>11342.964624303897</v>
      </c>
      <c r="S128" s="3096">
        <f t="shared" ref="S128:U128" si="121">SUM(S129+S130+S131)</f>
        <v>1290.4038965712111</v>
      </c>
      <c r="T128" s="3096">
        <f t="shared" si="121"/>
        <v>1290.4038965712111</v>
      </c>
      <c r="U128" s="3096">
        <f t="shared" si="121"/>
        <v>1290.4038965712111</v>
      </c>
      <c r="V128" s="3101">
        <f t="shared" si="87"/>
        <v>3871.2116897136334</v>
      </c>
      <c r="W128" s="3102">
        <f t="shared" si="88"/>
        <v>15214.176314017534</v>
      </c>
    </row>
    <row r="129" spans="1:23" ht="18.75" customHeight="1">
      <c r="A129" s="3093" t="s">
        <v>1727</v>
      </c>
      <c r="B129" s="3067">
        <f>SUM('ОХР '!CI10*(B128/'ОХР '!CI49))</f>
        <v>10785.966063962662</v>
      </c>
      <c r="C129" s="3067">
        <f>SUM('ОХР '!CI10*(C128/'ОХР '!CI49))</f>
        <v>10780.795958291796</v>
      </c>
      <c r="D129" s="3067">
        <f>SUM('ОХР '!CI10*(D128/'ОХР '!CI49))</f>
        <v>5.1701056708666977</v>
      </c>
      <c r="E129" s="3158">
        <f>SUM(B129/2)/(1+(104%*100-100)/2/100)/6</f>
        <v>881.20637777472723</v>
      </c>
      <c r="F129" s="3158">
        <f>SUM(E129)</f>
        <v>881.20637777472723</v>
      </c>
      <c r="G129" s="3158">
        <f>SUM(E129)</f>
        <v>881.20637777472723</v>
      </c>
      <c r="H129" s="3076">
        <f t="shared" ref="H129:H130" si="122">SUM(E129+F129+G129)</f>
        <v>2643.6191333241818</v>
      </c>
      <c r="I129" s="3158">
        <f>SUM(E129)</f>
        <v>881.20637777472723</v>
      </c>
      <c r="J129" s="3158">
        <f>SUM(E129)</f>
        <v>881.20637777472723</v>
      </c>
      <c r="K129" s="3158">
        <f>SUM(E129)</f>
        <v>881.20637777472723</v>
      </c>
      <c r="L129" s="3076">
        <f t="shared" ref="L129:L130" si="123">SUM(I129+J129+K129)</f>
        <v>2643.6191333241818</v>
      </c>
      <c r="M129" s="3076">
        <f t="shared" si="109"/>
        <v>5287.2382666483636</v>
      </c>
      <c r="N129" s="3158">
        <f>SUM(B129-M129)/6</f>
        <v>916.45463288571636</v>
      </c>
      <c r="O129" s="3158">
        <f>SUM(N129)</f>
        <v>916.45463288571636</v>
      </c>
      <c r="P129" s="3158">
        <f>SUM(N129)</f>
        <v>916.45463288571636</v>
      </c>
      <c r="Q129" s="3076">
        <f t="shared" ref="Q129:Q130" si="124">SUM(N129+O129+P129)</f>
        <v>2749.3638986571491</v>
      </c>
      <c r="R129" s="3076">
        <f t="shared" si="112"/>
        <v>8036.6021653055122</v>
      </c>
      <c r="S129" s="3158">
        <f>SUM(N129)</f>
        <v>916.45463288571636</v>
      </c>
      <c r="T129" s="3158">
        <f>SUM(N129)</f>
        <v>916.45463288571636</v>
      </c>
      <c r="U129" s="3158">
        <f>SUM(N129)</f>
        <v>916.45463288571636</v>
      </c>
      <c r="V129" s="3076">
        <f t="shared" ref="V129:V130" si="125">SUM(S129+T129+U129)</f>
        <v>2749.3638986571491</v>
      </c>
      <c r="W129" s="3087">
        <f t="shared" si="88"/>
        <v>10785.96606396266</v>
      </c>
    </row>
    <row r="130" spans="1:23" ht="18.75" customHeight="1">
      <c r="A130" s="3093" t="s">
        <v>1728</v>
      </c>
      <c r="B130" s="3067">
        <f>SUM('ОХР '!CI11*(B128/'ОХР '!CI49))</f>
        <v>3018.2266227243972</v>
      </c>
      <c r="C130" s="3067">
        <f>SUM('ОХР '!CI11*(C128/'ОХР '!CI49))</f>
        <v>3016.779876972967</v>
      </c>
      <c r="D130" s="3067">
        <f>SUM('ОХР '!CI11*(D128/'ОХР '!CI49))</f>
        <v>1.4467457514301953</v>
      </c>
      <c r="E130" s="3158">
        <f>SUM(B130/2)/(1+(104%*100-100)/2/100)/6</f>
        <v>246.5871423794442</v>
      </c>
      <c r="F130" s="3158">
        <f>SUM(E130)</f>
        <v>246.5871423794442</v>
      </c>
      <c r="G130" s="3158">
        <f>SUM(E130)</f>
        <v>246.5871423794442</v>
      </c>
      <c r="H130" s="3076">
        <f t="shared" si="122"/>
        <v>739.76142713833258</v>
      </c>
      <c r="I130" s="3158">
        <f>SUM(E130)</f>
        <v>246.5871423794442</v>
      </c>
      <c r="J130" s="3158">
        <f>SUM(E130)</f>
        <v>246.5871423794442</v>
      </c>
      <c r="K130" s="3158">
        <f>SUM(E130)</f>
        <v>246.5871423794442</v>
      </c>
      <c r="L130" s="3076">
        <f t="shared" si="123"/>
        <v>739.76142713833258</v>
      </c>
      <c r="M130" s="3076">
        <f t="shared" si="109"/>
        <v>1479.5228542766652</v>
      </c>
      <c r="N130" s="3158">
        <f>SUM(B130-M130)/6</f>
        <v>256.45062807462199</v>
      </c>
      <c r="O130" s="3158">
        <f>SUM(N130)</f>
        <v>256.45062807462199</v>
      </c>
      <c r="P130" s="3158">
        <f>SUM(N130)</f>
        <v>256.45062807462199</v>
      </c>
      <c r="Q130" s="3076">
        <f t="shared" si="124"/>
        <v>769.35188422386591</v>
      </c>
      <c r="R130" s="3076">
        <f t="shared" si="112"/>
        <v>2248.8747385005308</v>
      </c>
      <c r="S130" s="3158">
        <f>SUM(N130)</f>
        <v>256.45062807462199</v>
      </c>
      <c r="T130" s="3158">
        <f>SUM(N130)</f>
        <v>256.45062807462199</v>
      </c>
      <c r="U130" s="3158">
        <f>SUM(N130)</f>
        <v>256.45062807462199</v>
      </c>
      <c r="V130" s="3076">
        <f t="shared" si="125"/>
        <v>769.35188422386591</v>
      </c>
      <c r="W130" s="3087">
        <f t="shared" si="88"/>
        <v>3018.2266227243967</v>
      </c>
    </row>
    <row r="131" spans="1:23" ht="18.75" customHeight="1">
      <c r="A131" s="3093" t="s">
        <v>1729</v>
      </c>
      <c r="B131" s="3067">
        <f>SUM(B128-B129-B130)</f>
        <v>1409.9836273304727</v>
      </c>
      <c r="C131" s="3067">
        <f>SUM(C128-C129-C130)</f>
        <v>1409.3077709162899</v>
      </c>
      <c r="D131" s="3067">
        <f>SUM(D128-D129-D130)</f>
        <v>0.67585641418310605</v>
      </c>
      <c r="E131" s="3158">
        <f>SUM(B131/12)</f>
        <v>117.49863561087273</v>
      </c>
      <c r="F131" s="3158">
        <f t="shared" ref="F131:F134" si="126">SUM(E131)</f>
        <v>117.49863561087273</v>
      </c>
      <c r="G131" s="3158">
        <f t="shared" ref="G131:G134" si="127">SUM(F131)</f>
        <v>117.49863561087273</v>
      </c>
      <c r="H131" s="3076">
        <f>SUM(E131+F131+G131)</f>
        <v>352.49590683261818</v>
      </c>
      <c r="I131" s="3158">
        <f>SUM(E131)</f>
        <v>117.49863561087273</v>
      </c>
      <c r="J131" s="3158">
        <f>SUM(E131)</f>
        <v>117.49863561087273</v>
      </c>
      <c r="K131" s="3158">
        <f>SUM(E131)</f>
        <v>117.49863561087273</v>
      </c>
      <c r="L131" s="3076">
        <f>SUM(I131+J131+K131)</f>
        <v>352.49590683261818</v>
      </c>
      <c r="M131" s="3076">
        <f>SUM(H131+L131)</f>
        <v>704.99181366523635</v>
      </c>
      <c r="N131" s="3075">
        <f>SUM(E131)</f>
        <v>117.49863561087273</v>
      </c>
      <c r="O131" s="3075">
        <f>SUM(E131)</f>
        <v>117.49863561087273</v>
      </c>
      <c r="P131" s="3075">
        <f>E131</f>
        <v>117.49863561087273</v>
      </c>
      <c r="Q131" s="3076">
        <f>SUM(N131+O131+P131)</f>
        <v>352.49590683261818</v>
      </c>
      <c r="R131" s="3076">
        <f>SUM(M131+Q131)</f>
        <v>1057.4877204978545</v>
      </c>
      <c r="S131" s="3158">
        <f>E131</f>
        <v>117.49863561087273</v>
      </c>
      <c r="T131" s="3158">
        <f>E131</f>
        <v>117.49863561087273</v>
      </c>
      <c r="U131" s="3158">
        <f>E131</f>
        <v>117.49863561087273</v>
      </c>
      <c r="V131" s="3076">
        <f>SUM(S131+T131+U131)</f>
        <v>352.49590683261818</v>
      </c>
      <c r="W131" s="3087">
        <f t="shared" si="88"/>
        <v>1409.9836273304727</v>
      </c>
    </row>
    <row r="132" spans="1:23" ht="18.75" customHeight="1">
      <c r="A132" s="3121" t="s">
        <v>1730</v>
      </c>
      <c r="B132" s="3113">
        <f>SUM(стоки!CL48)</f>
        <v>0</v>
      </c>
      <c r="C132" s="3113">
        <f>SUM(стоки!CN48)</f>
        <v>0</v>
      </c>
      <c r="D132" s="3113">
        <f>SUM(стоки!CO48)</f>
        <v>0</v>
      </c>
      <c r="E132" s="3175">
        <f>SUM(B132/12)</f>
        <v>0</v>
      </c>
      <c r="F132" s="3175">
        <f t="shared" si="126"/>
        <v>0</v>
      </c>
      <c r="G132" s="3175">
        <f t="shared" si="127"/>
        <v>0</v>
      </c>
      <c r="H132" s="3176">
        <f>SUM(E132+F132+G132)</f>
        <v>0</v>
      </c>
      <c r="I132" s="3175">
        <f>SUM(E132)</f>
        <v>0</v>
      </c>
      <c r="J132" s="3175">
        <f>SUM(E132)</f>
        <v>0</v>
      </c>
      <c r="K132" s="3175">
        <f>SUM(E132)</f>
        <v>0</v>
      </c>
      <c r="L132" s="3176">
        <f>SUM(I132+J132+K132)</f>
        <v>0</v>
      </c>
      <c r="M132" s="3176">
        <f>SUM(H132+L132)</f>
        <v>0</v>
      </c>
      <c r="N132" s="3177">
        <f>SUM(E132)</f>
        <v>0</v>
      </c>
      <c r="O132" s="3177">
        <f>SUM(E132)</f>
        <v>0</v>
      </c>
      <c r="P132" s="3177">
        <f>E132</f>
        <v>0</v>
      </c>
      <c r="Q132" s="3176">
        <f>SUM(N132+O132+P132)</f>
        <v>0</v>
      </c>
      <c r="R132" s="3176">
        <f>SUM(M132+Q132)</f>
        <v>0</v>
      </c>
      <c r="S132" s="3175">
        <f>E132</f>
        <v>0</v>
      </c>
      <c r="T132" s="3175">
        <f>E132</f>
        <v>0</v>
      </c>
      <c r="U132" s="3175">
        <f>E132</f>
        <v>0</v>
      </c>
      <c r="V132" s="3176">
        <f>SUM(S132+T132+U132)</f>
        <v>0</v>
      </c>
      <c r="W132" s="3102">
        <f t="shared" si="88"/>
        <v>0</v>
      </c>
    </row>
    <row r="133" spans="1:23" ht="18.75" hidden="1" customHeight="1">
      <c r="A133" s="3122" t="s">
        <v>286</v>
      </c>
      <c r="B133" s="3067">
        <v>0</v>
      </c>
      <c r="C133" s="3067">
        <f>SUM(B133)</f>
        <v>0</v>
      </c>
      <c r="D133" s="3067">
        <f>SUM(D132)</f>
        <v>0</v>
      </c>
      <c r="E133" s="3172">
        <f t="shared" ref="E133" si="128">SUM(B133/12)</f>
        <v>0</v>
      </c>
      <c r="F133" s="3172">
        <f t="shared" si="126"/>
        <v>0</v>
      </c>
      <c r="G133" s="3172">
        <f t="shared" si="127"/>
        <v>0</v>
      </c>
      <c r="H133" s="3173">
        <f t="shared" ref="H133:H135" si="129">SUM(E133+F133+G133)</f>
        <v>0</v>
      </c>
      <c r="I133" s="3172">
        <f t="shared" ref="I133:I134" si="130">SUM(E133)</f>
        <v>0</v>
      </c>
      <c r="J133" s="3172">
        <f t="shared" ref="J133:J134" si="131">SUM(E133)</f>
        <v>0</v>
      </c>
      <c r="K133" s="3172">
        <f t="shared" ref="K133:K134" si="132">SUM(E133)</f>
        <v>0</v>
      </c>
      <c r="L133" s="3173">
        <f t="shared" ref="L133:L134" si="133">SUM(I133+J133+K133)</f>
        <v>0</v>
      </c>
      <c r="M133" s="3173">
        <f t="shared" ref="M133:M135" si="134">SUM(H133+L133)</f>
        <v>0</v>
      </c>
      <c r="N133" s="3174">
        <f t="shared" ref="N133:N134" si="135">SUM(E133)</f>
        <v>0</v>
      </c>
      <c r="O133" s="3174">
        <f t="shared" ref="O133:O134" si="136">SUM(E133)</f>
        <v>0</v>
      </c>
      <c r="P133" s="3174">
        <f t="shared" ref="P133:P134" si="137">E133</f>
        <v>0</v>
      </c>
      <c r="Q133" s="3173">
        <f t="shared" ref="Q133:Q134" si="138">SUM(N133+O133+P133)</f>
        <v>0</v>
      </c>
      <c r="R133" s="3173">
        <f t="shared" ref="R133:R135" si="139">SUM(M133+Q133)</f>
        <v>0</v>
      </c>
      <c r="S133" s="3172">
        <f t="shared" ref="S133:S134" si="140">E133</f>
        <v>0</v>
      </c>
      <c r="T133" s="3172">
        <f t="shared" ref="T133:T134" si="141">E133</f>
        <v>0</v>
      </c>
      <c r="U133" s="3172">
        <f t="shared" ref="U133:U134" si="142">E133</f>
        <v>0</v>
      </c>
      <c r="V133" s="3173">
        <f t="shared" ref="V133:V135" si="143">SUM(S133+T133+U133)</f>
        <v>0</v>
      </c>
      <c r="W133" s="3125">
        <f t="shared" si="88"/>
        <v>0</v>
      </c>
    </row>
    <row r="134" spans="1:23" ht="18.75" customHeight="1">
      <c r="A134" s="3121" t="s">
        <v>1731</v>
      </c>
      <c r="B134" s="3063">
        <f>SUM(стоки!CL47)</f>
        <v>365.36847945936529</v>
      </c>
      <c r="C134" s="3063">
        <f>SUM(стоки!CN47)</f>
        <v>365.36847945936529</v>
      </c>
      <c r="D134" s="3063">
        <f>SUM(стоки!CO47)</f>
        <v>0</v>
      </c>
      <c r="E134" s="3175">
        <f t="shared" ref="E134" si="144">SUM(B134/12)</f>
        <v>30.447373288280442</v>
      </c>
      <c r="F134" s="3175">
        <f t="shared" si="126"/>
        <v>30.447373288280442</v>
      </c>
      <c r="G134" s="3175">
        <f t="shared" si="127"/>
        <v>30.447373288280442</v>
      </c>
      <c r="H134" s="3176">
        <f t="shared" si="129"/>
        <v>91.342119864841322</v>
      </c>
      <c r="I134" s="3175">
        <f t="shared" si="130"/>
        <v>30.447373288280442</v>
      </c>
      <c r="J134" s="3175">
        <f t="shared" si="131"/>
        <v>30.447373288280442</v>
      </c>
      <c r="K134" s="3175">
        <f t="shared" si="132"/>
        <v>30.447373288280442</v>
      </c>
      <c r="L134" s="3176">
        <f t="shared" si="133"/>
        <v>91.342119864841322</v>
      </c>
      <c r="M134" s="3176">
        <f t="shared" si="134"/>
        <v>182.68423972968264</v>
      </c>
      <c r="N134" s="3177">
        <f t="shared" si="135"/>
        <v>30.447373288280442</v>
      </c>
      <c r="O134" s="3177">
        <f t="shared" si="136"/>
        <v>30.447373288280442</v>
      </c>
      <c r="P134" s="3177">
        <f t="shared" si="137"/>
        <v>30.447373288280442</v>
      </c>
      <c r="Q134" s="3176">
        <f t="shared" si="138"/>
        <v>91.342119864841322</v>
      </c>
      <c r="R134" s="3176">
        <f t="shared" si="139"/>
        <v>274.02635959452397</v>
      </c>
      <c r="S134" s="3175">
        <f t="shared" si="140"/>
        <v>30.447373288280442</v>
      </c>
      <c r="T134" s="3175">
        <f t="shared" si="141"/>
        <v>30.447373288280442</v>
      </c>
      <c r="U134" s="3175">
        <f t="shared" si="142"/>
        <v>30.447373288280442</v>
      </c>
      <c r="V134" s="3176">
        <f t="shared" si="143"/>
        <v>91.342119864841322</v>
      </c>
      <c r="W134" s="3125">
        <f t="shared" si="88"/>
        <v>365.36847945936535</v>
      </c>
    </row>
    <row r="135" spans="1:23" ht="18.75" customHeight="1">
      <c r="A135" s="3106" t="s">
        <v>12</v>
      </c>
      <c r="B135" s="3060">
        <f>SUM(стоки!CL49)</f>
        <v>89291.182125612337</v>
      </c>
      <c r="C135" s="3060">
        <f>SUM(стоки!CN49)</f>
        <v>88993.985899533087</v>
      </c>
      <c r="D135" s="3060">
        <f>SUM(стоки!CO49)</f>
        <v>297.19622607925788</v>
      </c>
      <c r="E135" s="3096">
        <f>SUM(E34+E53+E88+E107+E124+E128+E132+E134)</f>
        <v>7224.0283028259628</v>
      </c>
      <c r="F135" s="3096">
        <f>SUM(F34+F53+F88+F107+F124+F128+F132+F134)</f>
        <v>7211.4197232574998</v>
      </c>
      <c r="G135" s="3096">
        <f>SUM(G34+G53+G88+G107+G124+G128+G132+G134)</f>
        <v>7585.9787891391843</v>
      </c>
      <c r="H135" s="3101">
        <f t="shared" si="129"/>
        <v>22021.426815222647</v>
      </c>
      <c r="I135" s="3096">
        <f>SUM(I34+I53+I88+I107+I124+I128+I132+I134)</f>
        <v>7190.708726965644</v>
      </c>
      <c r="J135" s="3096">
        <f>SUM(J34+J53+J88+J107+J124+J128+J132+J134)</f>
        <v>7132.6995103809049</v>
      </c>
      <c r="K135" s="3096">
        <f>SUM(K34+K53+K88+K107+K124+K128+K132+K134)</f>
        <v>7505.6106172520913</v>
      </c>
      <c r="L135" s="3101">
        <f t="shared" ref="L135" si="145">SUM(I135+J135+K135)</f>
        <v>21829.018854598642</v>
      </c>
      <c r="M135" s="3101">
        <f t="shared" si="134"/>
        <v>43850.445669821289</v>
      </c>
      <c r="N135" s="3081">
        <f>SUM(N34+N53+N88+N107+N124+N128+N132+N134)</f>
        <v>7398.0413363426314</v>
      </c>
      <c r="O135" s="3081">
        <f>SUM(O34+O53+O88+O107+O124+O128+O132+O134)</f>
        <v>7397.1957015947946</v>
      </c>
      <c r="P135" s="3081">
        <f>SUM(P34+P53+P88+P107+P124+P128+P132+P134)</f>
        <v>7824.6712935682435</v>
      </c>
      <c r="Q135" s="3101">
        <f t="shared" ref="Q135" si="146">SUM(N135+O135+P135)</f>
        <v>22619.908331505671</v>
      </c>
      <c r="R135" s="3101">
        <f t="shared" si="139"/>
        <v>66470.354001326952</v>
      </c>
      <c r="S135" s="3096">
        <f>SUM(S34+S53+S88+S107+S124+S128+S132+S134)</f>
        <v>7469.0721846456354</v>
      </c>
      <c r="T135" s="3096">
        <f>SUM(T34+T53+T88+T107+T124+T128+T132+T134)</f>
        <v>7478.6671602728484</v>
      </c>
      <c r="U135" s="3096">
        <f>SUM(U34+U53+U88+U107+U124+U128+U132+U134)</f>
        <v>7873.0885405705312</v>
      </c>
      <c r="V135" s="3101">
        <f t="shared" si="143"/>
        <v>22820.827885489016</v>
      </c>
      <c r="W135" s="3126">
        <f t="shared" si="88"/>
        <v>89291.181886815961</v>
      </c>
    </row>
    <row r="136" spans="1:23" ht="18.75" customHeight="1">
      <c r="A136" s="3106" t="s">
        <v>13</v>
      </c>
      <c r="B136" s="3060">
        <f t="shared" ref="B136:G136" si="147">SUM(B13)</f>
        <v>3248.93</v>
      </c>
      <c r="C136" s="3060">
        <f t="shared" si="147"/>
        <v>3230</v>
      </c>
      <c r="D136" s="3060">
        <f t="shared" si="147"/>
        <v>18.93</v>
      </c>
      <c r="E136" s="3104">
        <f t="shared" si="147"/>
        <v>277.74250000000001</v>
      </c>
      <c r="F136" s="3104">
        <f t="shared" si="147"/>
        <v>276.1275</v>
      </c>
      <c r="G136" s="3104">
        <f t="shared" si="147"/>
        <v>276.1275</v>
      </c>
      <c r="H136" s="3101">
        <f t="shared" ref="H136" si="148">SUM(E136+F136+G136)</f>
        <v>829.99749999999995</v>
      </c>
      <c r="I136" s="3104">
        <f>SUM(I13)</f>
        <v>274.51249999999993</v>
      </c>
      <c r="J136" s="3104">
        <f>SUM(J13)</f>
        <v>259.97749999999996</v>
      </c>
      <c r="K136" s="3104">
        <f>SUM(K13)</f>
        <v>259.97749999999996</v>
      </c>
      <c r="L136" s="3101">
        <f t="shared" ref="L136" si="149">SUM(I136+J136+K136)</f>
        <v>794.46749999999986</v>
      </c>
      <c r="M136" s="3101">
        <f t="shared" ref="M136" si="150">SUM(H136+L136)</f>
        <v>1624.4649999999997</v>
      </c>
      <c r="N136" s="3104">
        <f>SUM(N13)</f>
        <v>259.97749999999996</v>
      </c>
      <c r="O136" s="3104">
        <f>SUM(O13)</f>
        <v>259.97749999999996</v>
      </c>
      <c r="P136" s="3104">
        <f>SUM(P13)</f>
        <v>274.51249999999993</v>
      </c>
      <c r="Q136" s="3101">
        <f t="shared" ref="Q136" si="151">SUM(N136+O136+P136)</f>
        <v>794.46749999999986</v>
      </c>
      <c r="R136" s="3101">
        <f t="shared" ref="R136" si="152">SUM(M136+Q136)</f>
        <v>2418.9324999999994</v>
      </c>
      <c r="S136" s="3104">
        <f>SUM(S13)</f>
        <v>276.1275</v>
      </c>
      <c r="T136" s="3104">
        <f>SUM(T13)</f>
        <v>276.1275</v>
      </c>
      <c r="U136" s="3104">
        <f>SUM(U13)</f>
        <v>277.74250000000001</v>
      </c>
      <c r="V136" s="3101">
        <f t="shared" ref="V136" si="153">SUM(S136+T136+U136)</f>
        <v>829.99749999999995</v>
      </c>
      <c r="W136" s="3126">
        <f t="shared" ref="W136" si="154">SUM(E136+F136+G136+I136+J136+K136+N136+O136+P136+S136+T136+U136)</f>
        <v>3248.9299999999994</v>
      </c>
    </row>
    <row r="137" spans="1:23" ht="18.75" customHeight="1">
      <c r="A137" s="3106" t="s">
        <v>14</v>
      </c>
      <c r="B137" s="3060">
        <f>SUM(стоки!CL60)</f>
        <v>27.483258219048221</v>
      </c>
      <c r="C137" s="3060">
        <f>SUM(стоки!CN60)</f>
        <v>27.552317615954514</v>
      </c>
      <c r="D137" s="3060">
        <f>SUM(стоки!CO60)</f>
        <v>15.699747811899519</v>
      </c>
      <c r="E137" s="3096">
        <f>SUM(E135/E136)</f>
        <v>26.009805135425665</v>
      </c>
      <c r="F137" s="3096">
        <f t="shared" ref="F137:H137" si="155">SUM(F135/F136)</f>
        <v>26.116267750432318</v>
      </c>
      <c r="G137" s="3096">
        <f t="shared" si="155"/>
        <v>27.472739184395557</v>
      </c>
      <c r="H137" s="3070">
        <f t="shared" si="155"/>
        <v>26.531919451832866</v>
      </c>
      <c r="I137" s="3096">
        <f t="shared" ref="I137" si="156">SUM(I135/I136)</f>
        <v>26.194467381141646</v>
      </c>
      <c r="J137" s="3096">
        <f t="shared" ref="J137" si="157">SUM(J135/J136)</f>
        <v>27.435833910168789</v>
      </c>
      <c r="K137" s="3096">
        <f t="shared" ref="K137" si="158">SUM(K135/K136)</f>
        <v>28.870231528698032</v>
      </c>
      <c r="L137" s="3070">
        <f t="shared" ref="L137" si="159">SUM(L135/L136)</f>
        <v>27.476289281309363</v>
      </c>
      <c r="M137" s="3070">
        <f t="shared" ref="M137" si="160">SUM(M135/M136)</f>
        <v>26.99377682487545</v>
      </c>
      <c r="N137" s="3096">
        <f t="shared" ref="N137" si="161">SUM(N135/N136)</f>
        <v>28.456467718716553</v>
      </c>
      <c r="O137" s="3096">
        <f t="shared" ref="O137" si="162">SUM(O135/O136)</f>
        <v>28.453214995893088</v>
      </c>
      <c r="P137" s="3096">
        <f t="shared" ref="P137" si="163">SUM(P135/P136)</f>
        <v>28.503879763465218</v>
      </c>
      <c r="Q137" s="3070">
        <f t="shared" ref="Q137" si="164">SUM(Q135/Q136)</f>
        <v>28.471785606718555</v>
      </c>
      <c r="R137" s="3070">
        <f t="shared" ref="R137" si="165">SUM(R135/R136)</f>
        <v>27.479209941297231</v>
      </c>
      <c r="S137" s="3096">
        <f t="shared" ref="S137" si="166">SUM(S135/S136)</f>
        <v>27.049360113156549</v>
      </c>
      <c r="T137" s="3096">
        <f t="shared" ref="T137" si="167">SUM(T135/T136)</f>
        <v>27.084108465375049</v>
      </c>
      <c r="U137" s="3096">
        <f t="shared" ref="U137" si="168">SUM(U135/U136)</f>
        <v>28.34671877933889</v>
      </c>
      <c r="V137" s="3070">
        <f t="shared" ref="V137" si="169">SUM(V135/V136)</f>
        <v>27.495056172445118</v>
      </c>
      <c r="W137" s="3082">
        <f>SUM(W135/W136)</f>
        <v>27.48325814554822</v>
      </c>
    </row>
    <row r="138" spans="1:23" ht="18.75" customHeight="1">
      <c r="A138" s="4597" t="s">
        <v>1967</v>
      </c>
      <c r="B138" s="4599">
        <f>SUM(B139:B142)</f>
        <v>13870.72</v>
      </c>
      <c r="C138" s="4599">
        <f t="shared" ref="C138:D138" si="170">SUM(C139:C142)</f>
        <v>13898.31</v>
      </c>
      <c r="D138" s="4599">
        <f t="shared" si="170"/>
        <v>-27.59</v>
      </c>
      <c r="E138" s="4022">
        <f t="shared" ref="E138" si="171">SUM(E139:E142)</f>
        <v>1155.8933333333332</v>
      </c>
      <c r="F138" s="4022">
        <f t="shared" ref="F138" si="172">SUM(F139:F142)</f>
        <v>1155.8933333333332</v>
      </c>
      <c r="G138" s="4022">
        <f t="shared" ref="G138" si="173">SUM(G139:G142)</f>
        <v>1155.8933333333332</v>
      </c>
      <c r="H138" s="4599">
        <f t="shared" ref="H138" si="174">SUM(H139:H142)</f>
        <v>3467.6800000000003</v>
      </c>
      <c r="I138" s="4022">
        <f t="shared" ref="I138" si="175">SUM(I139:I142)</f>
        <v>1155.8933333333332</v>
      </c>
      <c r="J138" s="4022">
        <f t="shared" ref="J138" si="176">SUM(J139:J142)</f>
        <v>1155.8933333333332</v>
      </c>
      <c r="K138" s="4022">
        <f t="shared" ref="K138" si="177">SUM(K139:K142)</f>
        <v>1155.8933333333332</v>
      </c>
      <c r="L138" s="4599">
        <f t="shared" ref="L138" si="178">SUM(L139:L142)</f>
        <v>3467.6800000000003</v>
      </c>
      <c r="M138" s="4599">
        <f t="shared" ref="M138" si="179">SUM(M139:M142)</f>
        <v>6935.3600000000006</v>
      </c>
      <c r="N138" s="4022">
        <f t="shared" ref="N138" si="180">SUM(N139:N142)</f>
        <v>1155.8933333333332</v>
      </c>
      <c r="O138" s="4022">
        <f t="shared" ref="O138" si="181">SUM(O139:O142)</f>
        <v>1155.8933333333332</v>
      </c>
      <c r="P138" s="4022">
        <f t="shared" ref="P138" si="182">SUM(P139:P142)</f>
        <v>1155.8933333333332</v>
      </c>
      <c r="Q138" s="4599">
        <f t="shared" ref="Q138" si="183">SUM(Q139:Q142)</f>
        <v>3467.6800000000003</v>
      </c>
      <c r="R138" s="4599">
        <f t="shared" ref="R138" si="184">SUM(R139:R142)</f>
        <v>10403.039999999999</v>
      </c>
      <c r="S138" s="4022">
        <f t="shared" ref="S138" si="185">SUM(S139:S142)</f>
        <v>1155.8933333333332</v>
      </c>
      <c r="T138" s="4022">
        <f t="shared" ref="T138" si="186">SUM(T139:T142)</f>
        <v>1155.8933333333332</v>
      </c>
      <c r="U138" s="4022">
        <f t="shared" ref="U138" si="187">SUM(U139:U142)</f>
        <v>1155.8933333333332</v>
      </c>
      <c r="V138" s="4599">
        <f t="shared" ref="V138" si="188">SUM(V139:V142)</f>
        <v>3467.6800000000003</v>
      </c>
      <c r="W138" s="3125">
        <f t="shared" si="88"/>
        <v>13870.72</v>
      </c>
    </row>
    <row r="139" spans="1:23" ht="18.75" customHeight="1">
      <c r="A139" s="4612" t="s">
        <v>1700</v>
      </c>
      <c r="B139" s="4619">
        <f>SUM(стоки!CL50)</f>
        <v>5234.7</v>
      </c>
      <c r="C139" s="4619">
        <f>SUM(стоки!CN50)</f>
        <v>5234.7</v>
      </c>
      <c r="D139" s="4619">
        <f>SUM(стоки!CO50)</f>
        <v>0</v>
      </c>
      <c r="E139" s="3172">
        <f t="shared" ref="E139" si="189">SUM(B139/12)</f>
        <v>436.22499999999997</v>
      </c>
      <c r="F139" s="3172">
        <f t="shared" ref="F139" si="190">SUM(E139)</f>
        <v>436.22499999999997</v>
      </c>
      <c r="G139" s="3172">
        <f t="shared" ref="G139" si="191">SUM(F139)</f>
        <v>436.22499999999997</v>
      </c>
      <c r="H139" s="3173">
        <f t="shared" ref="H139:H143" si="192">SUM(E139+F139+G139)</f>
        <v>1308.675</v>
      </c>
      <c r="I139" s="3172">
        <f t="shared" ref="I139" si="193">SUM(E139)</f>
        <v>436.22499999999997</v>
      </c>
      <c r="J139" s="3172">
        <f t="shared" ref="J139" si="194">SUM(E139)</f>
        <v>436.22499999999997</v>
      </c>
      <c r="K139" s="3172">
        <f t="shared" ref="K139" si="195">SUM(E139)</f>
        <v>436.22499999999997</v>
      </c>
      <c r="L139" s="3173">
        <f t="shared" ref="L139" si="196">SUM(I139+J139+K139)</f>
        <v>1308.675</v>
      </c>
      <c r="M139" s="3173">
        <f t="shared" ref="M139:M141" si="197">SUM(H139+L139)</f>
        <v>2617.35</v>
      </c>
      <c r="N139" s="3172">
        <f t="shared" ref="N139" si="198">SUM(E139)</f>
        <v>436.22499999999997</v>
      </c>
      <c r="O139" s="3172">
        <f t="shared" ref="O139" si="199">SUM(E139)</f>
        <v>436.22499999999997</v>
      </c>
      <c r="P139" s="3172">
        <f t="shared" ref="P139" si="200">E139</f>
        <v>436.22499999999997</v>
      </c>
      <c r="Q139" s="3173">
        <f t="shared" ref="Q139" si="201">SUM(N139+O139+P139)</f>
        <v>1308.675</v>
      </c>
      <c r="R139" s="3173">
        <f t="shared" ref="R139" si="202">SUM(M139+Q139)</f>
        <v>3926.0249999999996</v>
      </c>
      <c r="S139" s="3172">
        <f t="shared" ref="S139" si="203">E139</f>
        <v>436.22499999999997</v>
      </c>
      <c r="T139" s="3172">
        <f t="shared" ref="T139" si="204">E139</f>
        <v>436.22499999999997</v>
      </c>
      <c r="U139" s="3172">
        <f t="shared" ref="U139" si="205">E139</f>
        <v>436.22499999999997</v>
      </c>
      <c r="V139" s="3173">
        <f t="shared" ref="V139:V143" si="206">SUM(S139+T139+U139)</f>
        <v>1308.675</v>
      </c>
      <c r="W139" s="3125">
        <f t="shared" si="88"/>
        <v>5234.7000000000007</v>
      </c>
    </row>
    <row r="140" spans="1:23" ht="83.25" customHeight="1">
      <c r="A140" s="4469" t="s">
        <v>1906</v>
      </c>
      <c r="B140" s="4600">
        <f>SUM(стоки!CL51)</f>
        <v>9553.14</v>
      </c>
      <c r="C140" s="4600">
        <f>SUM(стоки!CN51)</f>
        <v>9580.73</v>
      </c>
      <c r="D140" s="4600">
        <f>SUM(стоки!CO51)</f>
        <v>-27.59</v>
      </c>
      <c r="E140" s="3172">
        <f t="shared" ref="E140:E142" si="207">SUM(B140/12)</f>
        <v>796.09499999999991</v>
      </c>
      <c r="F140" s="3172">
        <f t="shared" ref="F140:F142" si="208">SUM(E140)</f>
        <v>796.09499999999991</v>
      </c>
      <c r="G140" s="3172">
        <f t="shared" ref="G140:G142" si="209">SUM(F140)</f>
        <v>796.09499999999991</v>
      </c>
      <c r="H140" s="3173">
        <f t="shared" si="192"/>
        <v>2388.2849999999999</v>
      </c>
      <c r="I140" s="3172">
        <f t="shared" ref="I140:I142" si="210">SUM(E140)</f>
        <v>796.09499999999991</v>
      </c>
      <c r="J140" s="3172">
        <f t="shared" ref="J140:J142" si="211">SUM(E140)</f>
        <v>796.09499999999991</v>
      </c>
      <c r="K140" s="3172">
        <f t="shared" ref="K140:K142" si="212">SUM(E140)</f>
        <v>796.09499999999991</v>
      </c>
      <c r="L140" s="4602">
        <f t="shared" ref="L140:L141" si="213">SUM(I140+J140+K140)</f>
        <v>2388.2849999999999</v>
      </c>
      <c r="M140" s="4602">
        <f t="shared" si="197"/>
        <v>4776.57</v>
      </c>
      <c r="N140" s="3172">
        <f t="shared" ref="N140:N142" si="214">SUM(E140)</f>
        <v>796.09499999999991</v>
      </c>
      <c r="O140" s="3172">
        <f t="shared" ref="O140:O142" si="215">SUM(E140)</f>
        <v>796.09499999999991</v>
      </c>
      <c r="P140" s="3172">
        <f t="shared" ref="P140:P142" si="216">E140</f>
        <v>796.09499999999991</v>
      </c>
      <c r="Q140" s="3173">
        <f t="shared" ref="Q140:Q142" si="217">SUM(N140+O140+P140)</f>
        <v>2388.2849999999999</v>
      </c>
      <c r="R140" s="3173">
        <f t="shared" ref="R140:R142" si="218">SUM(M140+Q140)</f>
        <v>7164.8549999999996</v>
      </c>
      <c r="S140" s="3172">
        <f t="shared" ref="S140:S142" si="219">E140</f>
        <v>796.09499999999991</v>
      </c>
      <c r="T140" s="3172">
        <f t="shared" ref="T140:T142" si="220">E140</f>
        <v>796.09499999999991</v>
      </c>
      <c r="U140" s="3172">
        <f t="shared" ref="U140:U142" si="221">E140</f>
        <v>796.09499999999991</v>
      </c>
      <c r="V140" s="3173">
        <f t="shared" si="206"/>
        <v>2388.2849999999999</v>
      </c>
      <c r="W140" s="3125">
        <f t="shared" si="88"/>
        <v>9553.14</v>
      </c>
    </row>
    <row r="141" spans="1:23" ht="80.25" customHeight="1">
      <c r="A141" s="4469" t="s">
        <v>1907</v>
      </c>
      <c r="B141" s="4600">
        <f>SUM(стоки!CL52)</f>
        <v>0</v>
      </c>
      <c r="C141" s="4600">
        <f>SUM(стоки!CN52)</f>
        <v>0</v>
      </c>
      <c r="D141" s="4600">
        <f>SUM(стоки!CO52)</f>
        <v>0</v>
      </c>
      <c r="E141" s="3172">
        <f t="shared" si="207"/>
        <v>0</v>
      </c>
      <c r="F141" s="3172">
        <f t="shared" si="208"/>
        <v>0</v>
      </c>
      <c r="G141" s="3172">
        <f t="shared" si="209"/>
        <v>0</v>
      </c>
      <c r="H141" s="3173">
        <f t="shared" si="192"/>
        <v>0</v>
      </c>
      <c r="I141" s="3172">
        <f t="shared" si="210"/>
        <v>0</v>
      </c>
      <c r="J141" s="3172">
        <f t="shared" si="211"/>
        <v>0</v>
      </c>
      <c r="K141" s="3172">
        <f t="shared" si="212"/>
        <v>0</v>
      </c>
      <c r="L141" s="4602">
        <f t="shared" si="213"/>
        <v>0</v>
      </c>
      <c r="M141" s="4602">
        <f t="shared" si="197"/>
        <v>0</v>
      </c>
      <c r="N141" s="3174">
        <f t="shared" si="214"/>
        <v>0</v>
      </c>
      <c r="O141" s="3174">
        <f t="shared" si="215"/>
        <v>0</v>
      </c>
      <c r="P141" s="3174">
        <f t="shared" si="216"/>
        <v>0</v>
      </c>
      <c r="Q141" s="3173">
        <f t="shared" si="217"/>
        <v>0</v>
      </c>
      <c r="R141" s="3173">
        <f t="shared" si="218"/>
        <v>0</v>
      </c>
      <c r="S141" s="3172">
        <f t="shared" si="219"/>
        <v>0</v>
      </c>
      <c r="T141" s="3172">
        <f t="shared" si="220"/>
        <v>0</v>
      </c>
      <c r="U141" s="3172">
        <f t="shared" si="221"/>
        <v>0</v>
      </c>
      <c r="V141" s="3173">
        <f t="shared" si="206"/>
        <v>0</v>
      </c>
      <c r="W141" s="3125">
        <f t="shared" si="88"/>
        <v>0</v>
      </c>
    </row>
    <row r="142" spans="1:23" ht="353.25" customHeight="1">
      <c r="A142" s="4620" t="s">
        <v>1908</v>
      </c>
      <c r="B142" s="4600">
        <f>SUM(стоки!CL53)</f>
        <v>-917.12</v>
      </c>
      <c r="C142" s="4600">
        <f>SUM(стоки!CN53)</f>
        <v>-917.12</v>
      </c>
      <c r="D142" s="4600">
        <f>SUM(стоки!CO53)</f>
        <v>0</v>
      </c>
      <c r="E142" s="3172">
        <f t="shared" si="207"/>
        <v>-76.426666666666662</v>
      </c>
      <c r="F142" s="3172">
        <f t="shared" si="208"/>
        <v>-76.426666666666662</v>
      </c>
      <c r="G142" s="3172">
        <f t="shared" si="209"/>
        <v>-76.426666666666662</v>
      </c>
      <c r="H142" s="3173">
        <f t="shared" si="192"/>
        <v>-229.27999999999997</v>
      </c>
      <c r="I142" s="3172">
        <f t="shared" si="210"/>
        <v>-76.426666666666662</v>
      </c>
      <c r="J142" s="3172">
        <f t="shared" si="211"/>
        <v>-76.426666666666662</v>
      </c>
      <c r="K142" s="3172">
        <f t="shared" si="212"/>
        <v>-76.426666666666662</v>
      </c>
      <c r="L142" s="4602">
        <f t="shared" ref="L142" si="222">SUM(I142+J142+K142)</f>
        <v>-229.27999999999997</v>
      </c>
      <c r="M142" s="4602">
        <f t="shared" ref="M142" si="223">SUM(H142+L142)</f>
        <v>-458.55999999999995</v>
      </c>
      <c r="N142" s="3174">
        <f t="shared" si="214"/>
        <v>-76.426666666666662</v>
      </c>
      <c r="O142" s="3174">
        <f t="shared" si="215"/>
        <v>-76.426666666666662</v>
      </c>
      <c r="P142" s="3174">
        <f t="shared" si="216"/>
        <v>-76.426666666666662</v>
      </c>
      <c r="Q142" s="3173">
        <f t="shared" si="217"/>
        <v>-229.27999999999997</v>
      </c>
      <c r="R142" s="3173">
        <f t="shared" si="218"/>
        <v>-687.83999999999992</v>
      </c>
      <c r="S142" s="3172">
        <f t="shared" si="219"/>
        <v>-76.426666666666662</v>
      </c>
      <c r="T142" s="3172">
        <f t="shared" si="220"/>
        <v>-76.426666666666662</v>
      </c>
      <c r="U142" s="3172">
        <f t="shared" si="221"/>
        <v>-76.426666666666662</v>
      </c>
      <c r="V142" s="3173">
        <f t="shared" si="206"/>
        <v>-229.27999999999997</v>
      </c>
      <c r="W142" s="3125">
        <f t="shared" si="88"/>
        <v>-917.11999999999978</v>
      </c>
    </row>
    <row r="143" spans="1:23" ht="18.75" customHeight="1">
      <c r="A143" s="4597" t="s">
        <v>1968</v>
      </c>
      <c r="B143" s="4599">
        <f>SUM(B135+B138)</f>
        <v>103161.90212561234</v>
      </c>
      <c r="C143" s="4599">
        <f t="shared" ref="C143:K143" si="224">SUM(C135+C138)</f>
        <v>102892.29589953308</v>
      </c>
      <c r="D143" s="4599">
        <f t="shared" si="224"/>
        <v>269.60622607925791</v>
      </c>
      <c r="E143" s="4022">
        <f t="shared" si="224"/>
        <v>8379.9216361592953</v>
      </c>
      <c r="F143" s="4022">
        <f t="shared" si="224"/>
        <v>8367.3130565908323</v>
      </c>
      <c r="G143" s="4022">
        <f t="shared" si="224"/>
        <v>8741.8721224725177</v>
      </c>
      <c r="H143" s="3101">
        <f t="shared" si="192"/>
        <v>25489.106815222643</v>
      </c>
      <c r="I143" s="4022">
        <f t="shared" si="224"/>
        <v>8346.6020602989774</v>
      </c>
      <c r="J143" s="4022">
        <f t="shared" si="224"/>
        <v>8288.5928437142375</v>
      </c>
      <c r="K143" s="4022">
        <f t="shared" si="224"/>
        <v>8661.5039505854238</v>
      </c>
      <c r="L143" s="3101">
        <f t="shared" ref="L143" si="225">SUM(I143+J143+K143)</f>
        <v>25296.698854598639</v>
      </c>
      <c r="M143" s="3101">
        <f t="shared" ref="M143" si="226">SUM(H143+L143)</f>
        <v>50785.805669821282</v>
      </c>
      <c r="N143" s="4022">
        <f t="shared" ref="N143:P143" si="227">SUM(N135+N138)</f>
        <v>8553.934669675964</v>
      </c>
      <c r="O143" s="4022">
        <f t="shared" si="227"/>
        <v>8553.0890349281271</v>
      </c>
      <c r="P143" s="4022">
        <f t="shared" si="227"/>
        <v>8980.564626901576</v>
      </c>
      <c r="Q143" s="3101">
        <f t="shared" ref="Q143" si="228">SUM(N143+O143+P143)</f>
        <v>26087.588331505671</v>
      </c>
      <c r="R143" s="3101">
        <f t="shared" ref="R143" si="229">SUM(M143+Q143)</f>
        <v>76873.39400132696</v>
      </c>
      <c r="S143" s="4022">
        <f t="shared" ref="S143:U143" si="230">SUM(S135+S138)</f>
        <v>8624.9655179789679</v>
      </c>
      <c r="T143" s="4022">
        <f t="shared" si="230"/>
        <v>8634.5604936061809</v>
      </c>
      <c r="U143" s="4022">
        <f t="shared" si="230"/>
        <v>9028.9818739038637</v>
      </c>
      <c r="V143" s="3101">
        <f t="shared" si="206"/>
        <v>26288.507885489013</v>
      </c>
      <c r="W143" s="3125">
        <f t="shared" si="88"/>
        <v>103161.90188681596</v>
      </c>
    </row>
    <row r="144" spans="1:23" ht="18.75" customHeight="1">
      <c r="A144" s="3106" t="s">
        <v>435</v>
      </c>
      <c r="B144" s="3060">
        <f>SUM(стоки!CL61)</f>
        <v>0</v>
      </c>
      <c r="C144" s="3060">
        <f>SUM(стоки!CN61)</f>
        <v>0</v>
      </c>
      <c r="D144" s="3060">
        <f>SUM(стоки!CO61)</f>
        <v>0</v>
      </c>
      <c r="E144" s="3096">
        <f>SUM(E135*(B144/B135))</f>
        <v>0</v>
      </c>
      <c r="F144" s="3096">
        <f>SUM(F135*(B144/B135))</f>
        <v>0</v>
      </c>
      <c r="G144" s="3096">
        <f>SUM(G135*(B144/B135))</f>
        <v>0</v>
      </c>
      <c r="H144" s="3070">
        <f>SUM(E144+F144+G144)</f>
        <v>0</v>
      </c>
      <c r="I144" s="3096">
        <f>SUM(I135*(B144/B135))</f>
        <v>0</v>
      </c>
      <c r="J144" s="3096">
        <f>SUM(J135*(B144/B135))</f>
        <v>0</v>
      </c>
      <c r="K144" s="3096">
        <f>SUM(K135*(B144/B135))</f>
        <v>0</v>
      </c>
      <c r="L144" s="3070">
        <f>SUM(I144+J144+K144)</f>
        <v>0</v>
      </c>
      <c r="M144" s="3070">
        <f>SUM(H144+L144)</f>
        <v>0</v>
      </c>
      <c r="N144" s="3081">
        <f>SUM(N135*(B144/B135))</f>
        <v>0</v>
      </c>
      <c r="O144" s="3081">
        <f>SUM(O135*(B144/B135))</f>
        <v>0</v>
      </c>
      <c r="P144" s="3081">
        <f>SUM(P135*(B144/B135))</f>
        <v>0</v>
      </c>
      <c r="Q144" s="3070">
        <f>SUM(N144+O144+P144)</f>
        <v>0</v>
      </c>
      <c r="R144" s="3070">
        <f>SUM(M144+Q144)</f>
        <v>0</v>
      </c>
      <c r="S144" s="3096">
        <f>SUM(S135*(B144/B135))</f>
        <v>0</v>
      </c>
      <c r="T144" s="3096">
        <f>SUM(T135*(B144/B135))</f>
        <v>0</v>
      </c>
      <c r="U144" s="3096">
        <f>SUM(U135*(B144/B135))</f>
        <v>0</v>
      </c>
      <c r="V144" s="3070">
        <f>SUM(S144+T144+U144)</f>
        <v>0</v>
      </c>
      <c r="W144" s="3115">
        <f t="shared" ref="W144:W145" si="231">SUM(E144+F144+G144+I144+J144+K144+N144+O144+P144+S144+T144+U144)</f>
        <v>0</v>
      </c>
    </row>
    <row r="145" spans="1:23" ht="18.75" customHeight="1">
      <c r="A145" s="3106" t="s">
        <v>547</v>
      </c>
      <c r="B145" s="3060">
        <f>SUM(стоки!CL62)</f>
        <v>103161.90212561234</v>
      </c>
      <c r="C145" s="3060">
        <f>SUM(стоки!CN62)</f>
        <v>102892.29589953308</v>
      </c>
      <c r="D145" s="3060">
        <f>SUM(стоки!CO62)</f>
        <v>269.60622607925791</v>
      </c>
      <c r="E145" s="3096">
        <f>SUM(E143+E144)</f>
        <v>8379.9216361592953</v>
      </c>
      <c r="F145" s="3096">
        <f t="shared" ref="F145:G145" si="232">SUM(F143+F144)</f>
        <v>8367.3130565908323</v>
      </c>
      <c r="G145" s="3096">
        <f t="shared" si="232"/>
        <v>8741.8721224725177</v>
      </c>
      <c r="H145" s="3070">
        <f>SUM(E145+F145+G145)</f>
        <v>25489.106815222643</v>
      </c>
      <c r="I145" s="3096">
        <f>SUM(I143+I144)</f>
        <v>8346.6020602989774</v>
      </c>
      <c r="J145" s="3096">
        <f t="shared" ref="J145" si="233">SUM(J143+J144)</f>
        <v>8288.5928437142375</v>
      </c>
      <c r="K145" s="3096">
        <f t="shared" ref="K145" si="234">SUM(K143+K144)</f>
        <v>8661.5039505854238</v>
      </c>
      <c r="L145" s="3070">
        <f>SUM(I145+J145+K145)</f>
        <v>25296.698854598639</v>
      </c>
      <c r="M145" s="3070">
        <f>SUM(H145+L145)</f>
        <v>50785.805669821282</v>
      </c>
      <c r="N145" s="3096">
        <f>SUM(N143+N144)</f>
        <v>8553.934669675964</v>
      </c>
      <c r="O145" s="3096">
        <f t="shared" ref="O145" si="235">SUM(O143+O144)</f>
        <v>8553.0890349281271</v>
      </c>
      <c r="P145" s="3096">
        <f t="shared" ref="P145" si="236">SUM(P143+P144)</f>
        <v>8980.564626901576</v>
      </c>
      <c r="Q145" s="3070">
        <f>SUM(N145+O145+P145)</f>
        <v>26087.588331505671</v>
      </c>
      <c r="R145" s="3070">
        <f>SUM(M145+Q145)</f>
        <v>76873.39400132696</v>
      </c>
      <c r="S145" s="3096">
        <f>SUM(S143+S144)</f>
        <v>8624.9655179789679</v>
      </c>
      <c r="T145" s="3096">
        <f t="shared" ref="T145" si="237">SUM(T143+T144)</f>
        <v>8634.5604936061809</v>
      </c>
      <c r="U145" s="3096">
        <f t="shared" ref="U145" si="238">SUM(U143+U144)</f>
        <v>9028.9818739038637</v>
      </c>
      <c r="V145" s="3070">
        <f>SUM(S145+T145+U145)</f>
        <v>26288.507885489013</v>
      </c>
      <c r="W145" s="3115">
        <f t="shared" si="231"/>
        <v>103161.90188681596</v>
      </c>
    </row>
    <row r="146" spans="1:23" ht="18.75" customHeight="1">
      <c r="A146" s="3106" t="s">
        <v>70</v>
      </c>
      <c r="B146" s="3060">
        <f>SUM(стоки!CL63)</f>
        <v>31.752577656524561</v>
      </c>
      <c r="C146" s="3060">
        <f>SUM(стоки!CN63)</f>
        <v>31.855199968895693</v>
      </c>
      <c r="D146" s="3060">
        <f>SUM(стоки!CO63)</f>
        <v>14.242272904345374</v>
      </c>
      <c r="E146" s="3096">
        <f>SUM(E145/E136)</f>
        <v>30.171549676982441</v>
      </c>
      <c r="F146" s="3096">
        <f t="shared" ref="F146:G146" si="239">SUM(F145/F136)</f>
        <v>30.302353284590751</v>
      </c>
      <c r="G146" s="3096">
        <f t="shared" si="239"/>
        <v>31.658824718553994</v>
      </c>
      <c r="H146" s="3070">
        <f t="shared" ref="H146" si="240">SUM(H145/H136)</f>
        <v>30.70985974683375</v>
      </c>
      <c r="I146" s="3096">
        <f t="shared" ref="I146" si="241">SUM(I145/I136)</f>
        <v>30.405180311639651</v>
      </c>
      <c r="J146" s="3096">
        <f t="shared" ref="J146" si="242">SUM(J145/J136)</f>
        <v>31.881962261019659</v>
      </c>
      <c r="K146" s="3096">
        <f t="shared" ref="K146" si="243">SUM(K145/K136)</f>
        <v>33.316359879548905</v>
      </c>
      <c r="L146" s="3070">
        <f t="shared" ref="L146" si="244">SUM(L145/L136)</f>
        <v>31.84107449908101</v>
      </c>
      <c r="M146" s="3070">
        <f t="shared" ref="M146" si="245">SUM(M145/M136)</f>
        <v>31.263096262351784</v>
      </c>
      <c r="N146" s="3096">
        <f t="shared" ref="N146" si="246">SUM(N145/N136)</f>
        <v>32.902596069567423</v>
      </c>
      <c r="O146" s="3096">
        <f t="shared" ref="O146" si="247">SUM(O145/O136)</f>
        <v>32.899343346743962</v>
      </c>
      <c r="P146" s="3096">
        <f t="shared" ref="P146" si="248">SUM(P145/P136)</f>
        <v>32.714592693963219</v>
      </c>
      <c r="Q146" s="3070">
        <f t="shared" ref="Q146" si="249">SUM(Q145/Q136)</f>
        <v>32.836570824490209</v>
      </c>
      <c r="R146" s="3070">
        <f t="shared" ref="R146" si="250">SUM(R145/R136)</f>
        <v>31.77988389561386</v>
      </c>
      <c r="S146" s="3096">
        <f t="shared" ref="S146" si="251">SUM(S145/S136)</f>
        <v>31.235445647314982</v>
      </c>
      <c r="T146" s="3096">
        <f t="shared" ref="T146" si="252">SUM(T145/T136)</f>
        <v>31.270193999533479</v>
      </c>
      <c r="U146" s="3096">
        <f t="shared" ref="U146" si="253">SUM(U145/U136)</f>
        <v>32.508463320895665</v>
      </c>
      <c r="V146" s="3070">
        <f t="shared" ref="V146:W146" si="254">SUM(V145/V136)</f>
        <v>31.672996467446005</v>
      </c>
      <c r="W146" s="3082">
        <f t="shared" si="254"/>
        <v>31.752577583024561</v>
      </c>
    </row>
    <row r="147" spans="1:23" ht="18.75" customHeight="1">
      <c r="A147" s="3106" t="s">
        <v>326</v>
      </c>
      <c r="B147" s="3060">
        <f>SUM(стоки!CL65)</f>
        <v>-3902.11</v>
      </c>
      <c r="C147" s="3070">
        <f>SUM(стоки!CN65)</f>
        <v>-3902.11</v>
      </c>
      <c r="D147" s="3060">
        <f>SUM(стоки!CO65)</f>
        <v>0</v>
      </c>
      <c r="E147" s="3172">
        <f t="shared" ref="E147" si="255">SUM(B147/12)</f>
        <v>-325.17583333333334</v>
      </c>
      <c r="F147" s="3172">
        <f t="shared" ref="F147" si="256">SUM(E147)</f>
        <v>-325.17583333333334</v>
      </c>
      <c r="G147" s="3172">
        <f t="shared" ref="G147" si="257">SUM(F147)</f>
        <v>-325.17583333333334</v>
      </c>
      <c r="H147" s="3173">
        <f t="shared" ref="H147" si="258">SUM(E147+F147+G147)</f>
        <v>-975.52750000000003</v>
      </c>
      <c r="I147" s="3172">
        <f t="shared" ref="I147" si="259">SUM(E147)</f>
        <v>-325.17583333333334</v>
      </c>
      <c r="J147" s="3172">
        <f t="shared" ref="J147" si="260">SUM(E147)</f>
        <v>-325.17583333333334</v>
      </c>
      <c r="K147" s="3172">
        <f t="shared" ref="K147" si="261">SUM(E147)</f>
        <v>-325.17583333333334</v>
      </c>
      <c r="L147" s="4602">
        <f t="shared" ref="L147" si="262">SUM(I147+J147+K147)</f>
        <v>-975.52750000000003</v>
      </c>
      <c r="M147" s="4602">
        <f t="shared" ref="M147" si="263">SUM(H147+L147)</f>
        <v>-1951.0550000000001</v>
      </c>
      <c r="N147" s="3174">
        <f t="shared" ref="N147" si="264">SUM(E147)</f>
        <v>-325.17583333333334</v>
      </c>
      <c r="O147" s="3174">
        <f t="shared" ref="O147" si="265">SUM(E147)</f>
        <v>-325.17583333333334</v>
      </c>
      <c r="P147" s="3174">
        <f t="shared" ref="P147" si="266">E147</f>
        <v>-325.17583333333334</v>
      </c>
      <c r="Q147" s="3173">
        <f t="shared" ref="Q147" si="267">SUM(N147+O147+P147)</f>
        <v>-975.52750000000003</v>
      </c>
      <c r="R147" s="3173">
        <f t="shared" ref="R147" si="268">SUM(M147+Q147)</f>
        <v>-2926.5825</v>
      </c>
      <c r="S147" s="3172">
        <f t="shared" ref="S147" si="269">E147</f>
        <v>-325.17583333333334</v>
      </c>
      <c r="T147" s="3172">
        <f t="shared" ref="T147" si="270">E147</f>
        <v>-325.17583333333334</v>
      </c>
      <c r="U147" s="3172">
        <f t="shared" ref="U147" si="271">E147</f>
        <v>-325.17583333333334</v>
      </c>
      <c r="V147" s="3173">
        <f t="shared" ref="V147" si="272">SUM(S147+T147+U147)</f>
        <v>-975.52750000000003</v>
      </c>
      <c r="W147" s="3125">
        <f t="shared" ref="W147" si="273">SUM(E147+F147+G147+I147+J147+K147+N147+O147+P147+S147+T147+U147)</f>
        <v>-3902.1099999999992</v>
      </c>
    </row>
    <row r="148" spans="1:23" ht="18.75" customHeight="1">
      <c r="A148" s="3169" t="s">
        <v>548</v>
      </c>
      <c r="B148" s="3178">
        <f>SUM(стоки!CL66)</f>
        <v>99259.792125612337</v>
      </c>
      <c r="C148" s="3060">
        <f>SUM(стоки!CN66)</f>
        <v>98990.185899533084</v>
      </c>
      <c r="D148" s="3060">
        <f>SUM(стоки!CO66)</f>
        <v>269.60622607925791</v>
      </c>
      <c r="E148" s="3096">
        <f>SUM(E145+E147)</f>
        <v>8054.7458028259616</v>
      </c>
      <c r="F148" s="3096">
        <f t="shared" ref="F148:G148" si="274">SUM(F145+F147)</f>
        <v>8042.1372232574986</v>
      </c>
      <c r="G148" s="3096">
        <f t="shared" si="274"/>
        <v>8416.696289139185</v>
      </c>
      <c r="H148" s="3070">
        <f>SUM(E148+F148+G148)</f>
        <v>24513.579315222647</v>
      </c>
      <c r="I148" s="3096">
        <f>SUM(I145+I147)</f>
        <v>8021.4262269656438</v>
      </c>
      <c r="J148" s="3096">
        <f t="shared" ref="J148" si="275">SUM(J145+J147)</f>
        <v>7963.4170103809038</v>
      </c>
      <c r="K148" s="3096">
        <f t="shared" ref="K148" si="276">SUM(K145+K147)</f>
        <v>8336.328117252091</v>
      </c>
      <c r="L148" s="3070">
        <f>SUM(I148+J148+K148)</f>
        <v>24321.171354598639</v>
      </c>
      <c r="M148" s="3070">
        <f>SUM(H148+L148)</f>
        <v>48834.750669821282</v>
      </c>
      <c r="N148" s="3096">
        <f>SUM(N145+N147)</f>
        <v>8228.7588363426312</v>
      </c>
      <c r="O148" s="3096">
        <f t="shared" ref="O148" si="277">SUM(O145+O147)</f>
        <v>8227.9132015947944</v>
      </c>
      <c r="P148" s="3096">
        <f t="shared" ref="P148" si="278">SUM(P145+P147)</f>
        <v>8655.3887935682433</v>
      </c>
      <c r="Q148" s="3070">
        <f>SUM(N148+O148+P148)</f>
        <v>25112.060831505667</v>
      </c>
      <c r="R148" s="3070">
        <f>SUM(M148+Q148)</f>
        <v>73946.811501326942</v>
      </c>
      <c r="S148" s="3096">
        <f>SUM(S145+S147)</f>
        <v>8299.7896846456351</v>
      </c>
      <c r="T148" s="3096">
        <f t="shared" ref="T148" si="279">SUM(T145+T147)</f>
        <v>8309.3846602728481</v>
      </c>
      <c r="U148" s="3096">
        <f t="shared" ref="U148" si="280">SUM(U145+U147)</f>
        <v>8703.806040570531</v>
      </c>
      <c r="V148" s="3070">
        <f>SUM(S148+T148+U148)</f>
        <v>25312.980385489012</v>
      </c>
      <c r="W148" s="3115">
        <f t="shared" ref="W148" si="281">SUM(E148+F148+G148+I148+J148+K148+N148+O148+P148+S148+T148+U148)</f>
        <v>99259.791886815976</v>
      </c>
    </row>
    <row r="149" spans="1:23" ht="18.75" customHeight="1">
      <c r="A149" s="3169" t="s">
        <v>327</v>
      </c>
      <c r="B149" s="3170">
        <f>SUM(стоки!CL67)</f>
        <v>30.551533004900797</v>
      </c>
      <c r="C149" s="3060">
        <f>SUM(стоки!CN67)</f>
        <v>30.647116377564423</v>
      </c>
      <c r="D149" s="3060">
        <f>SUM(стоки!CO67)</f>
        <v>14.242272904345374</v>
      </c>
      <c r="E149" s="3096">
        <f>SUM(E148/E136)</f>
        <v>29.000767987707899</v>
      </c>
      <c r="F149" s="3096">
        <f t="shared" ref="F149:G149" si="282">SUM(F148/F136)</f>
        <v>29.12472398894532</v>
      </c>
      <c r="G149" s="3096">
        <f t="shared" si="282"/>
        <v>30.481195422908566</v>
      </c>
      <c r="H149" s="3070">
        <f t="shared" ref="H149" si="283">SUM(H148/H136)</f>
        <v>29.534521869310026</v>
      </c>
      <c r="I149" s="3096">
        <f t="shared" ref="I149" si="284">SUM(I148/I136)</f>
        <v>29.220622838543402</v>
      </c>
      <c r="J149" s="3096">
        <f t="shared" ref="J149" si="285">SUM(J148/J136)</f>
        <v>30.631177738000037</v>
      </c>
      <c r="K149" s="3096">
        <f t="shared" ref="K149" si="286">SUM(K148/K136)</f>
        <v>32.065575356529287</v>
      </c>
      <c r="L149" s="3070">
        <f t="shared" ref="L149" si="287">SUM(L148/L136)</f>
        <v>30.613173420685733</v>
      </c>
      <c r="M149" s="3070">
        <f t="shared" ref="M149" si="288">SUM(M148/M136)</f>
        <v>30.06205161072802</v>
      </c>
      <c r="N149" s="3096">
        <f t="shared" ref="N149" si="289">SUM(N148/N136)</f>
        <v>31.651811546547805</v>
      </c>
      <c r="O149" s="3096">
        <f t="shared" ref="O149" si="290">SUM(O148/O136)</f>
        <v>31.648558823724343</v>
      </c>
      <c r="P149" s="3096">
        <f t="shared" ref="P149" si="291">SUM(P148/P136)</f>
        <v>31.530035220866974</v>
      </c>
      <c r="Q149" s="3070">
        <f t="shared" ref="Q149" si="292">SUM(Q148/Q136)</f>
        <v>31.608669746094925</v>
      </c>
      <c r="R149" s="3070">
        <f t="shared" ref="R149" si="293">SUM(R148/R136)</f>
        <v>30.57001859346094</v>
      </c>
      <c r="S149" s="3096">
        <f t="shared" ref="S149" si="294">SUM(S148/S136)</f>
        <v>30.057816351669555</v>
      </c>
      <c r="T149" s="3096">
        <f t="shared" ref="T149" si="295">SUM(T148/T136)</f>
        <v>30.092564703888051</v>
      </c>
      <c r="U149" s="3096">
        <f t="shared" ref="U149" si="296">SUM(U148/U136)</f>
        <v>31.337681631621127</v>
      </c>
      <c r="V149" s="3070">
        <f t="shared" ref="V149" si="297">SUM(V148/V136)</f>
        <v>30.497658589922274</v>
      </c>
      <c r="W149" s="3082">
        <f>SUM(W148/W136)</f>
        <v>30.551532931400796</v>
      </c>
    </row>
    <row r="150" spans="1:23" ht="18.75" customHeight="1">
      <c r="A150" s="5002" t="s">
        <v>1732</v>
      </c>
      <c r="B150" s="4992"/>
      <c r="C150" s="4992"/>
      <c r="D150" s="4992"/>
      <c r="E150" s="4992"/>
      <c r="F150" s="4992"/>
      <c r="G150" s="4992"/>
      <c r="H150" s="4992"/>
      <c r="I150" s="4992"/>
      <c r="J150" s="4992"/>
      <c r="K150" s="4992"/>
      <c r="L150" s="4992"/>
      <c r="M150" s="4992"/>
      <c r="N150" s="4992"/>
      <c r="O150" s="4992"/>
      <c r="P150" s="4992"/>
      <c r="Q150" s="4992"/>
      <c r="R150" s="4992"/>
      <c r="S150" s="4992"/>
      <c r="T150" s="4992"/>
      <c r="U150" s="4992"/>
      <c r="V150" s="4996"/>
      <c r="W150" s="3107"/>
    </row>
    <row r="151" spans="1:23" ht="18.75" customHeight="1">
      <c r="A151" s="4981" t="s">
        <v>545</v>
      </c>
      <c r="B151" s="4982" t="s">
        <v>1960</v>
      </c>
      <c r="C151" s="4982" t="s">
        <v>1560</v>
      </c>
      <c r="D151" s="4995"/>
      <c r="E151" s="4981" t="s">
        <v>586</v>
      </c>
      <c r="F151" s="4981" t="s">
        <v>587</v>
      </c>
      <c r="G151" s="4981" t="s">
        <v>588</v>
      </c>
      <c r="H151" s="4984" t="s">
        <v>600</v>
      </c>
      <c r="I151" s="4981" t="s">
        <v>589</v>
      </c>
      <c r="J151" s="4981" t="s">
        <v>590</v>
      </c>
      <c r="K151" s="4981" t="s">
        <v>591</v>
      </c>
      <c r="L151" s="4984" t="s">
        <v>599</v>
      </c>
      <c r="M151" s="4984" t="s">
        <v>598</v>
      </c>
      <c r="N151" s="4981" t="s">
        <v>592</v>
      </c>
      <c r="O151" s="4981" t="s">
        <v>593</v>
      </c>
      <c r="P151" s="4981" t="s">
        <v>594</v>
      </c>
      <c r="Q151" s="4984" t="s">
        <v>225</v>
      </c>
      <c r="R151" s="4984" t="s">
        <v>229</v>
      </c>
      <c r="S151" s="4981" t="s">
        <v>595</v>
      </c>
      <c r="T151" s="4981" t="s">
        <v>596</v>
      </c>
      <c r="U151" s="4981" t="s">
        <v>597</v>
      </c>
      <c r="V151" s="4984" t="s">
        <v>135</v>
      </c>
      <c r="W151" s="4985" t="s">
        <v>601</v>
      </c>
    </row>
    <row r="152" spans="1:23" ht="40.5" customHeight="1">
      <c r="A152" s="4981"/>
      <c r="B152" s="4982"/>
      <c r="C152" s="3163" t="s">
        <v>351</v>
      </c>
      <c r="D152" s="3163" t="s">
        <v>1750</v>
      </c>
      <c r="E152" s="4981"/>
      <c r="F152" s="4981"/>
      <c r="G152" s="4981"/>
      <c r="H152" s="4984"/>
      <c r="I152" s="4981"/>
      <c r="J152" s="4981"/>
      <c r="K152" s="4981"/>
      <c r="L152" s="4984"/>
      <c r="M152" s="4984"/>
      <c r="N152" s="4981"/>
      <c r="O152" s="4981"/>
      <c r="P152" s="4981"/>
      <c r="Q152" s="4984"/>
      <c r="R152" s="4984"/>
      <c r="S152" s="4981"/>
      <c r="T152" s="4981"/>
      <c r="U152" s="4981"/>
      <c r="V152" s="4984"/>
      <c r="W152" s="4985"/>
    </row>
    <row r="153" spans="1:23" ht="18.75" customHeight="1">
      <c r="A153" s="3095" t="s">
        <v>1733</v>
      </c>
      <c r="B153" s="3060">
        <f>SUM(B145)</f>
        <v>103161.90212561234</v>
      </c>
      <c r="C153" s="3060">
        <f>SUM(C145)</f>
        <v>102892.29589953308</v>
      </c>
      <c r="D153" s="3060">
        <f>SUM(D145)</f>
        <v>269.60622607925791</v>
      </c>
      <c r="E153" s="3081">
        <f>SUM(E145)</f>
        <v>8379.9216361592953</v>
      </c>
      <c r="F153" s="3081">
        <f t="shared" ref="F153:K153" si="298">SUM(F145)</f>
        <v>8367.3130565908323</v>
      </c>
      <c r="G153" s="3081">
        <f t="shared" si="298"/>
        <v>8741.8721224725177</v>
      </c>
      <c r="H153" s="3070">
        <f t="shared" ref="H153:H155" si="299">SUM(E153+F153+G153)</f>
        <v>25489.106815222643</v>
      </c>
      <c r="I153" s="3081">
        <f t="shared" si="298"/>
        <v>8346.6020602989774</v>
      </c>
      <c r="J153" s="3081">
        <f t="shared" si="298"/>
        <v>8288.5928437142375</v>
      </c>
      <c r="K153" s="3081">
        <f t="shared" si="298"/>
        <v>8661.5039505854238</v>
      </c>
      <c r="L153" s="3070">
        <f t="shared" ref="L153:L155" si="300">SUM(I153+J153+K153)</f>
        <v>25296.698854598639</v>
      </c>
      <c r="M153" s="3070">
        <f t="shared" ref="M153:M155" si="301">SUM(H153+L153)</f>
        <v>50785.805669821282</v>
      </c>
      <c r="N153" s="3081">
        <f t="shared" ref="N153:P153" si="302">SUM(N145)</f>
        <v>8553.934669675964</v>
      </c>
      <c r="O153" s="3081">
        <f t="shared" si="302"/>
        <v>8553.0890349281271</v>
      </c>
      <c r="P153" s="3081">
        <f t="shared" si="302"/>
        <v>8980.564626901576</v>
      </c>
      <c r="Q153" s="3070">
        <f t="shared" ref="Q153:Q155" si="303">SUM(N153+O153+P153)</f>
        <v>26087.588331505671</v>
      </c>
      <c r="R153" s="3070">
        <f t="shared" ref="R153:R155" si="304">SUM(M153+Q153)</f>
        <v>76873.39400132696</v>
      </c>
      <c r="S153" s="3081">
        <f t="shared" ref="S153:U153" si="305">SUM(S145)</f>
        <v>8624.9655179789679</v>
      </c>
      <c r="T153" s="3081">
        <f t="shared" si="305"/>
        <v>8634.5604936061809</v>
      </c>
      <c r="U153" s="3081">
        <f t="shared" si="305"/>
        <v>9028.9818739038637</v>
      </c>
      <c r="V153" s="3070">
        <f t="shared" ref="V153:V155" si="306">SUM(S153+T153+U153)</f>
        <v>26288.507885489013</v>
      </c>
      <c r="W153" s="3085">
        <f t="shared" ref="W153:W161" si="307">SUM(E153+F153+G153+I153+J153+K153+N153+O153+P153+S153+T153+U153)</f>
        <v>103161.90188681596</v>
      </c>
    </row>
    <row r="154" spans="1:23" ht="18.75" customHeight="1">
      <c r="A154" s="3059" t="s">
        <v>390</v>
      </c>
      <c r="B154" s="3063">
        <f>SUM(C154:D154)</f>
        <v>48316.19455</v>
      </c>
      <c r="C154" s="3063">
        <f>SUM(C157*C163)</f>
        <v>48175.45</v>
      </c>
      <c r="D154" s="3063">
        <f>SUM(D157*D163)</f>
        <v>140.74455</v>
      </c>
      <c r="E154" s="3074">
        <f>SUM(E157*E163)</f>
        <v>4130.4246828350797</v>
      </c>
      <c r="F154" s="3074">
        <f t="shared" ref="F154:K154" si="308">SUM(F157*F163)</f>
        <v>4106.4073435269847</v>
      </c>
      <c r="G154" s="3074">
        <f t="shared" si="308"/>
        <v>4106.4073435269847</v>
      </c>
      <c r="H154" s="3072">
        <f t="shared" si="299"/>
        <v>12343.239369889048</v>
      </c>
      <c r="I154" s="3074">
        <f t="shared" si="308"/>
        <v>4082.390004218888</v>
      </c>
      <c r="J154" s="3074">
        <f t="shared" si="308"/>
        <v>3866.233950446031</v>
      </c>
      <c r="K154" s="3074">
        <f t="shared" si="308"/>
        <v>3866.233950446031</v>
      </c>
      <c r="L154" s="3072">
        <f t="shared" si="300"/>
        <v>11814.85790511095</v>
      </c>
      <c r="M154" s="3072">
        <f t="shared" si="301"/>
        <v>24158.097275</v>
      </c>
      <c r="N154" s="3074">
        <f t="shared" ref="N154:P154" si="309">SUM(N157*N163)</f>
        <v>3866.233950446031</v>
      </c>
      <c r="O154" s="3074">
        <f t="shared" si="309"/>
        <v>3866.233950446031</v>
      </c>
      <c r="P154" s="3074">
        <f t="shared" si="309"/>
        <v>4082.390004218888</v>
      </c>
      <c r="Q154" s="3072">
        <f t="shared" si="303"/>
        <v>11814.85790511095</v>
      </c>
      <c r="R154" s="3072">
        <f t="shared" si="304"/>
        <v>35972.955180110948</v>
      </c>
      <c r="S154" s="3074">
        <f t="shared" ref="S154:U154" si="310">SUM(S157*S163)</f>
        <v>4106.4073435269847</v>
      </c>
      <c r="T154" s="3074">
        <f t="shared" si="310"/>
        <v>4106.4073435269847</v>
      </c>
      <c r="U154" s="3074">
        <f t="shared" si="310"/>
        <v>4130.4246828350797</v>
      </c>
      <c r="V154" s="3072">
        <f t="shared" si="306"/>
        <v>12343.239369889048</v>
      </c>
      <c r="W154" s="3087">
        <f t="shared" si="307"/>
        <v>48316.19455</v>
      </c>
    </row>
    <row r="155" spans="1:23" ht="18.75" customHeight="1">
      <c r="A155" s="3059" t="s">
        <v>1734</v>
      </c>
      <c r="B155" s="3063">
        <f>SUM(B153-B154)</f>
        <v>54845.707575612338</v>
      </c>
      <c r="C155" s="3063">
        <f>SUM(C153-C154)</f>
        <v>54716.845899533088</v>
      </c>
      <c r="D155" s="3063">
        <f>SUM(D153-D154)</f>
        <v>128.8616760792579</v>
      </c>
      <c r="E155" s="3074">
        <f>SUM(E153-E154)</f>
        <v>4249.4969533242156</v>
      </c>
      <c r="F155" s="3074">
        <f t="shared" ref="F155:G155" si="311">SUM(F153-F154)</f>
        <v>4260.9057130638475</v>
      </c>
      <c r="G155" s="3074">
        <f t="shared" si="311"/>
        <v>4635.464778945533</v>
      </c>
      <c r="H155" s="3072">
        <f t="shared" si="299"/>
        <v>13145.867445333595</v>
      </c>
      <c r="I155" s="3074">
        <f t="shared" ref="I155:K155" si="312">SUM(I153-I154)</f>
        <v>4264.2120560800895</v>
      </c>
      <c r="J155" s="3074">
        <f t="shared" si="312"/>
        <v>4422.3588932682069</v>
      </c>
      <c r="K155" s="3074">
        <f t="shared" si="312"/>
        <v>4795.2700001393932</v>
      </c>
      <c r="L155" s="3072">
        <f t="shared" si="300"/>
        <v>13481.840949487691</v>
      </c>
      <c r="M155" s="3072">
        <f t="shared" si="301"/>
        <v>26627.708394821286</v>
      </c>
      <c r="N155" s="3074">
        <f t="shared" ref="N155:P155" si="313">SUM(N153-N154)</f>
        <v>4687.7007192299334</v>
      </c>
      <c r="O155" s="3074">
        <f t="shared" si="313"/>
        <v>4686.8550844820966</v>
      </c>
      <c r="P155" s="3074">
        <f t="shared" si="313"/>
        <v>4898.1746226826881</v>
      </c>
      <c r="Q155" s="3072">
        <f t="shared" si="303"/>
        <v>14272.730426394719</v>
      </c>
      <c r="R155" s="3072">
        <f t="shared" si="304"/>
        <v>40900.438821216005</v>
      </c>
      <c r="S155" s="3074">
        <f t="shared" ref="S155:U155" si="314">SUM(S153-S154)</f>
        <v>4518.5581744519832</v>
      </c>
      <c r="T155" s="3074">
        <f t="shared" si="314"/>
        <v>4528.1531500791962</v>
      </c>
      <c r="U155" s="3074">
        <f t="shared" si="314"/>
        <v>4898.5571910687841</v>
      </c>
      <c r="V155" s="3072">
        <f t="shared" si="306"/>
        <v>13945.268515599964</v>
      </c>
      <c r="W155" s="3087">
        <f t="shared" si="307"/>
        <v>54845.707336815969</v>
      </c>
    </row>
    <row r="156" spans="1:23" ht="18.75" customHeight="1">
      <c r="A156" s="3095" t="s">
        <v>1735</v>
      </c>
      <c r="B156" s="3060">
        <f>SUM(B136)</f>
        <v>3248.93</v>
      </c>
      <c r="C156" s="3060">
        <f>SUM(C136)</f>
        <v>3230</v>
      </c>
      <c r="D156" s="3060">
        <f>SUM(D136)</f>
        <v>18.93</v>
      </c>
      <c r="E156" s="3077">
        <f>SUM(E136)</f>
        <v>277.74250000000001</v>
      </c>
      <c r="F156" s="3077">
        <f t="shared" ref="F156:G156" si="315">SUM(F136)</f>
        <v>276.1275</v>
      </c>
      <c r="G156" s="3077">
        <f t="shared" si="315"/>
        <v>276.1275</v>
      </c>
      <c r="H156" s="3070">
        <f>SUM(E156+F156+G156)</f>
        <v>829.99749999999995</v>
      </c>
      <c r="I156" s="3077">
        <f>SUM(I136)</f>
        <v>274.51249999999993</v>
      </c>
      <c r="J156" s="3077">
        <f t="shared" ref="J156:K156" si="316">SUM(J136)</f>
        <v>259.97749999999996</v>
      </c>
      <c r="K156" s="3077">
        <f t="shared" si="316"/>
        <v>259.97749999999996</v>
      </c>
      <c r="L156" s="3070">
        <f>SUM(I156+J156+K156)</f>
        <v>794.46749999999986</v>
      </c>
      <c r="M156" s="3070">
        <f>SUM(H156+L156)</f>
        <v>1624.4649999999997</v>
      </c>
      <c r="N156" s="3077">
        <f>SUM(N136)</f>
        <v>259.97749999999996</v>
      </c>
      <c r="O156" s="3077">
        <f t="shared" ref="O156:P156" si="317">SUM(O136)</f>
        <v>259.97749999999996</v>
      </c>
      <c r="P156" s="3077">
        <f t="shared" si="317"/>
        <v>274.51249999999993</v>
      </c>
      <c r="Q156" s="3070">
        <f>SUM(N156+O156+P156)</f>
        <v>794.46749999999986</v>
      </c>
      <c r="R156" s="3070">
        <f>SUM(M156+Q156)</f>
        <v>2418.9324999999994</v>
      </c>
      <c r="S156" s="3077">
        <f>SUM(S136)</f>
        <v>276.1275</v>
      </c>
      <c r="T156" s="3077">
        <f t="shared" ref="T156:U156" si="318">SUM(T136)</f>
        <v>276.1275</v>
      </c>
      <c r="U156" s="3077">
        <f t="shared" si="318"/>
        <v>277.74250000000001</v>
      </c>
      <c r="V156" s="3070">
        <f>SUM(S156+T156+U156)</f>
        <v>829.99749999999995</v>
      </c>
      <c r="W156" s="3085">
        <f t="shared" si="307"/>
        <v>3248.9299999999994</v>
      </c>
    </row>
    <row r="157" spans="1:23" ht="18.75" customHeight="1">
      <c r="A157" s="3059" t="s">
        <v>390</v>
      </c>
      <c r="B157" s="3063">
        <f>SUM(B156/2)</f>
        <v>1624.4649999999999</v>
      </c>
      <c r="C157" s="3063">
        <f>SUM(C156/2)</f>
        <v>1615</v>
      </c>
      <c r="D157" s="3063">
        <f>SUM(D156/2)</f>
        <v>9.4649999999999999</v>
      </c>
      <c r="E157" s="3074">
        <f>SUM(E156/2)</f>
        <v>138.87125</v>
      </c>
      <c r="F157" s="3074">
        <f t="shared" ref="F157:G157" si="319">SUM(F156/2)</f>
        <v>138.06375</v>
      </c>
      <c r="G157" s="3074">
        <f t="shared" si="319"/>
        <v>138.06375</v>
      </c>
      <c r="H157" s="3072">
        <f t="shared" ref="H157:H161" si="320">SUM(E157+F157+G157)</f>
        <v>414.99874999999997</v>
      </c>
      <c r="I157" s="3074">
        <f t="shared" ref="I157" si="321">SUM(I156/2)</f>
        <v>137.25624999999997</v>
      </c>
      <c r="J157" s="3074">
        <f t="shared" ref="J157:K157" si="322">SUM(J156/2)</f>
        <v>129.98874999999998</v>
      </c>
      <c r="K157" s="3074">
        <f t="shared" si="322"/>
        <v>129.98874999999998</v>
      </c>
      <c r="L157" s="3072">
        <f t="shared" ref="L157:L161" si="323">SUM(I157+J157+K157)</f>
        <v>397.23374999999993</v>
      </c>
      <c r="M157" s="3072">
        <f t="shared" ref="M157:M161" si="324">SUM(H157+L157)</f>
        <v>812.23249999999985</v>
      </c>
      <c r="N157" s="3074">
        <f t="shared" ref="N157" si="325">SUM(N156/2)</f>
        <v>129.98874999999998</v>
      </c>
      <c r="O157" s="3074">
        <f t="shared" ref="O157:P157" si="326">SUM(O156/2)</f>
        <v>129.98874999999998</v>
      </c>
      <c r="P157" s="3074">
        <f t="shared" si="326"/>
        <v>137.25624999999997</v>
      </c>
      <c r="Q157" s="3072">
        <f t="shared" ref="Q157:Q161" si="327">SUM(N157+O157+P157)</f>
        <v>397.23374999999993</v>
      </c>
      <c r="R157" s="3072">
        <f t="shared" ref="R157:R161" si="328">SUM(M157+Q157)</f>
        <v>1209.4662499999997</v>
      </c>
      <c r="S157" s="3074">
        <f t="shared" ref="S157" si="329">SUM(S156/2)</f>
        <v>138.06375</v>
      </c>
      <c r="T157" s="3074">
        <f t="shared" ref="T157:U157" si="330">SUM(T156/2)</f>
        <v>138.06375</v>
      </c>
      <c r="U157" s="3074">
        <f t="shared" si="330"/>
        <v>138.87125</v>
      </c>
      <c r="V157" s="3072">
        <f t="shared" ref="V157:V161" si="331">SUM(S157+T157+U157)</f>
        <v>414.99874999999997</v>
      </c>
      <c r="W157" s="642">
        <f t="shared" si="307"/>
        <v>1624.4649999999997</v>
      </c>
    </row>
    <row r="158" spans="1:23" ht="18.75" customHeight="1">
      <c r="A158" s="3059" t="s">
        <v>1734</v>
      </c>
      <c r="B158" s="3063">
        <f>SUM(B156-B157)</f>
        <v>1624.4649999999999</v>
      </c>
      <c r="C158" s="3063">
        <f>SUM(C156-C157)</f>
        <v>1615</v>
      </c>
      <c r="D158" s="3063">
        <f>SUM(D156-D157)</f>
        <v>9.4649999999999999</v>
      </c>
      <c r="E158" s="3074">
        <f>SUM(E156-E157)</f>
        <v>138.87125</v>
      </c>
      <c r="F158" s="3074">
        <f t="shared" ref="F158:G158" si="332">SUM(F156-F157)</f>
        <v>138.06375</v>
      </c>
      <c r="G158" s="3074">
        <f t="shared" si="332"/>
        <v>138.06375</v>
      </c>
      <c r="H158" s="3072">
        <f t="shared" si="320"/>
        <v>414.99874999999997</v>
      </c>
      <c r="I158" s="3074">
        <f t="shared" ref="I158:K158" si="333">SUM(I156-I157)</f>
        <v>137.25624999999997</v>
      </c>
      <c r="J158" s="3074">
        <f t="shared" si="333"/>
        <v>129.98874999999998</v>
      </c>
      <c r="K158" s="3074">
        <f t="shared" si="333"/>
        <v>129.98874999999998</v>
      </c>
      <c r="L158" s="3072">
        <f t="shared" si="323"/>
        <v>397.23374999999993</v>
      </c>
      <c r="M158" s="3072">
        <f t="shared" si="324"/>
        <v>812.23249999999985</v>
      </c>
      <c r="N158" s="3074">
        <f t="shared" ref="N158:P158" si="334">SUM(N156-N157)</f>
        <v>129.98874999999998</v>
      </c>
      <c r="O158" s="3074">
        <f t="shared" si="334"/>
        <v>129.98874999999998</v>
      </c>
      <c r="P158" s="3074">
        <f t="shared" si="334"/>
        <v>137.25624999999997</v>
      </c>
      <c r="Q158" s="3072">
        <f t="shared" si="327"/>
        <v>397.23374999999993</v>
      </c>
      <c r="R158" s="3072">
        <f t="shared" si="328"/>
        <v>1209.4662499999997</v>
      </c>
      <c r="S158" s="3074">
        <f t="shared" ref="S158:U158" si="335">SUM(S156-S157)</f>
        <v>138.06375</v>
      </c>
      <c r="T158" s="3074">
        <f t="shared" si="335"/>
        <v>138.06375</v>
      </c>
      <c r="U158" s="3074">
        <f t="shared" si="335"/>
        <v>138.87125</v>
      </c>
      <c r="V158" s="3072">
        <f t="shared" si="331"/>
        <v>414.99874999999997</v>
      </c>
      <c r="W158" s="642">
        <f t="shared" si="307"/>
        <v>1624.4649999999997</v>
      </c>
    </row>
    <row r="159" spans="1:23" ht="18.75" customHeight="1">
      <c r="A159" s="3095" t="s">
        <v>1736</v>
      </c>
      <c r="B159" s="3060">
        <f>SUM(B14)</f>
        <v>2280</v>
      </c>
      <c r="C159" s="3060">
        <f>SUM(C14)</f>
        <v>2280</v>
      </c>
      <c r="D159" s="3060">
        <f>SUM(D14)</f>
        <v>0</v>
      </c>
      <c r="E159" s="3104">
        <f>SUM(E14)</f>
        <v>194.94000000000003</v>
      </c>
      <c r="F159" s="3104">
        <f t="shared" ref="F159:K159" si="336">SUM(F14)</f>
        <v>193.8</v>
      </c>
      <c r="G159" s="3104">
        <f t="shared" si="336"/>
        <v>193.8</v>
      </c>
      <c r="H159" s="3070">
        <f t="shared" si="320"/>
        <v>582.54</v>
      </c>
      <c r="I159" s="3104">
        <f t="shared" si="336"/>
        <v>192.65999999999997</v>
      </c>
      <c r="J159" s="3104">
        <f t="shared" si="336"/>
        <v>182.4</v>
      </c>
      <c r="K159" s="3104">
        <f t="shared" si="336"/>
        <v>182.4</v>
      </c>
      <c r="L159" s="3070">
        <f t="shared" si="323"/>
        <v>557.45999999999992</v>
      </c>
      <c r="M159" s="3070">
        <f t="shared" si="324"/>
        <v>1140</v>
      </c>
      <c r="N159" s="3104">
        <f t="shared" ref="N159:P159" si="337">SUM(N14)</f>
        <v>182.4</v>
      </c>
      <c r="O159" s="3104">
        <f t="shared" si="337"/>
        <v>182.4</v>
      </c>
      <c r="P159" s="3104">
        <f t="shared" si="337"/>
        <v>192.65999999999997</v>
      </c>
      <c r="Q159" s="3070">
        <f t="shared" si="327"/>
        <v>557.46</v>
      </c>
      <c r="R159" s="3070">
        <f t="shared" si="328"/>
        <v>1697.46</v>
      </c>
      <c r="S159" s="3104">
        <f t="shared" ref="S159:U159" si="338">SUM(S14)</f>
        <v>193.8</v>
      </c>
      <c r="T159" s="3104">
        <f t="shared" si="338"/>
        <v>193.8</v>
      </c>
      <c r="U159" s="3104">
        <f t="shared" si="338"/>
        <v>194.94000000000003</v>
      </c>
      <c r="V159" s="3070">
        <f t="shared" si="331"/>
        <v>582.54000000000008</v>
      </c>
      <c r="W159" s="3085">
        <f t="shared" si="307"/>
        <v>2280</v>
      </c>
    </row>
    <row r="160" spans="1:23" ht="18.75" customHeight="1">
      <c r="A160" s="3059" t="s">
        <v>390</v>
      </c>
      <c r="B160" s="3063">
        <f>SUM(B159/2)</f>
        <v>1140</v>
      </c>
      <c r="C160" s="3063">
        <f>SUM(C159/2)</f>
        <v>1140</v>
      </c>
      <c r="D160" s="3063">
        <f>SUM(D159/2)</f>
        <v>0</v>
      </c>
      <c r="E160" s="3071">
        <f>SUM(E159/2)</f>
        <v>97.470000000000013</v>
      </c>
      <c r="F160" s="3071">
        <f t="shared" ref="F160:G160" si="339">SUM(F159/2)</f>
        <v>96.9</v>
      </c>
      <c r="G160" s="3071">
        <f t="shared" si="339"/>
        <v>96.9</v>
      </c>
      <c r="H160" s="3072">
        <f t="shared" si="320"/>
        <v>291.27</v>
      </c>
      <c r="I160" s="3071">
        <f t="shared" ref="I160:K160" si="340">SUM(I159/2)</f>
        <v>96.329999999999984</v>
      </c>
      <c r="J160" s="3071">
        <f t="shared" si="340"/>
        <v>91.2</v>
      </c>
      <c r="K160" s="3071">
        <f t="shared" si="340"/>
        <v>91.2</v>
      </c>
      <c r="L160" s="3072">
        <f t="shared" si="323"/>
        <v>278.72999999999996</v>
      </c>
      <c r="M160" s="3072">
        <f t="shared" si="324"/>
        <v>570</v>
      </c>
      <c r="N160" s="3071">
        <f t="shared" ref="N160:P160" si="341">SUM(N159/2)</f>
        <v>91.2</v>
      </c>
      <c r="O160" s="3071">
        <f t="shared" si="341"/>
        <v>91.2</v>
      </c>
      <c r="P160" s="3071">
        <f t="shared" si="341"/>
        <v>96.329999999999984</v>
      </c>
      <c r="Q160" s="3072">
        <f t="shared" si="327"/>
        <v>278.73</v>
      </c>
      <c r="R160" s="3072">
        <f t="shared" si="328"/>
        <v>848.73</v>
      </c>
      <c r="S160" s="3071">
        <f t="shared" ref="S160:U160" si="342">SUM(S159/2)</f>
        <v>96.9</v>
      </c>
      <c r="T160" s="3071">
        <f t="shared" si="342"/>
        <v>96.9</v>
      </c>
      <c r="U160" s="3071">
        <f t="shared" si="342"/>
        <v>97.470000000000013</v>
      </c>
      <c r="V160" s="3072">
        <f t="shared" si="331"/>
        <v>291.27000000000004</v>
      </c>
      <c r="W160" s="3087">
        <f t="shared" si="307"/>
        <v>1140</v>
      </c>
    </row>
    <row r="161" spans="1:23" ht="18.75" customHeight="1">
      <c r="A161" s="3059" t="s">
        <v>1734</v>
      </c>
      <c r="B161" s="3063">
        <f>SUM(B159-B160)</f>
        <v>1140</v>
      </c>
      <c r="C161" s="3063">
        <f>SUM(C159-C160)</f>
        <v>1140</v>
      </c>
      <c r="D161" s="3063">
        <f>SUM(D159-D160)</f>
        <v>0</v>
      </c>
      <c r="E161" s="3071">
        <f>SUM(E159-E160)</f>
        <v>97.470000000000013</v>
      </c>
      <c r="F161" s="3071">
        <f t="shared" ref="F161:G161" si="343">SUM(F159-F160)</f>
        <v>96.9</v>
      </c>
      <c r="G161" s="3071">
        <f t="shared" si="343"/>
        <v>96.9</v>
      </c>
      <c r="H161" s="3072">
        <f t="shared" si="320"/>
        <v>291.27</v>
      </c>
      <c r="I161" s="3071">
        <f t="shared" ref="I161:K161" si="344">SUM(I159-I160)</f>
        <v>96.329999999999984</v>
      </c>
      <c r="J161" s="3071">
        <f t="shared" si="344"/>
        <v>91.2</v>
      </c>
      <c r="K161" s="3071">
        <f t="shared" si="344"/>
        <v>91.2</v>
      </c>
      <c r="L161" s="3072">
        <f t="shared" si="323"/>
        <v>278.72999999999996</v>
      </c>
      <c r="M161" s="3072">
        <f t="shared" si="324"/>
        <v>570</v>
      </c>
      <c r="N161" s="3071">
        <f t="shared" ref="N161:P161" si="345">SUM(N159-N160)</f>
        <v>91.2</v>
      </c>
      <c r="O161" s="3071">
        <f t="shared" si="345"/>
        <v>91.2</v>
      </c>
      <c r="P161" s="3071">
        <f t="shared" si="345"/>
        <v>96.329999999999984</v>
      </c>
      <c r="Q161" s="3072">
        <f t="shared" si="327"/>
        <v>278.73</v>
      </c>
      <c r="R161" s="3072">
        <f t="shared" si="328"/>
        <v>848.73</v>
      </c>
      <c r="S161" s="3071">
        <f t="shared" ref="S161:U161" si="346">SUM(S159-S160)</f>
        <v>96.9</v>
      </c>
      <c r="T161" s="3071">
        <f t="shared" si="346"/>
        <v>96.9</v>
      </c>
      <c r="U161" s="3071">
        <f t="shared" si="346"/>
        <v>97.470000000000013</v>
      </c>
      <c r="V161" s="3072">
        <f t="shared" si="331"/>
        <v>291.27000000000004</v>
      </c>
      <c r="W161" s="3087">
        <f t="shared" si="307"/>
        <v>1140</v>
      </c>
    </row>
    <row r="162" spans="1:23" ht="18.75" customHeight="1">
      <c r="A162" s="3095" t="s">
        <v>1737</v>
      </c>
      <c r="B162" s="3060">
        <f>SUM(B146)</f>
        <v>31.752577656524561</v>
      </c>
      <c r="C162" s="3060">
        <f>SUM(C146)</f>
        <v>31.855199968895693</v>
      </c>
      <c r="D162" s="3060">
        <f>SUM(D146)</f>
        <v>14.242272904345374</v>
      </c>
      <c r="E162" s="3081">
        <f>SUM(E146)</f>
        <v>30.171549676982441</v>
      </c>
      <c r="F162" s="3081">
        <f t="shared" ref="F162:W162" si="347">SUM(F146)</f>
        <v>30.302353284590751</v>
      </c>
      <c r="G162" s="3081">
        <f t="shared" si="347"/>
        <v>31.658824718553994</v>
      </c>
      <c r="H162" s="3070">
        <f t="shared" si="347"/>
        <v>30.70985974683375</v>
      </c>
      <c r="I162" s="3081">
        <f t="shared" si="347"/>
        <v>30.405180311639651</v>
      </c>
      <c r="J162" s="3081">
        <f t="shared" si="347"/>
        <v>31.881962261019659</v>
      </c>
      <c r="K162" s="3081">
        <f t="shared" si="347"/>
        <v>33.316359879548905</v>
      </c>
      <c r="L162" s="3070">
        <f t="shared" si="347"/>
        <v>31.84107449908101</v>
      </c>
      <c r="M162" s="3070">
        <f t="shared" si="347"/>
        <v>31.263096262351784</v>
      </c>
      <c r="N162" s="3081">
        <f t="shared" si="347"/>
        <v>32.902596069567423</v>
      </c>
      <c r="O162" s="3081">
        <f t="shared" si="347"/>
        <v>32.899343346743962</v>
      </c>
      <c r="P162" s="3081">
        <f t="shared" si="347"/>
        <v>32.714592693963219</v>
      </c>
      <c r="Q162" s="3070">
        <f t="shared" si="347"/>
        <v>32.836570824490209</v>
      </c>
      <c r="R162" s="3070">
        <f t="shared" si="347"/>
        <v>31.77988389561386</v>
      </c>
      <c r="S162" s="3081">
        <f t="shared" si="347"/>
        <v>31.235445647314982</v>
      </c>
      <c r="T162" s="3081">
        <f t="shared" si="347"/>
        <v>31.270193999533479</v>
      </c>
      <c r="U162" s="3081">
        <f t="shared" si="347"/>
        <v>32.508463320895665</v>
      </c>
      <c r="V162" s="3070">
        <f t="shared" si="347"/>
        <v>31.672996467446005</v>
      </c>
      <c r="W162" s="3105">
        <f t="shared" si="347"/>
        <v>31.752577583024561</v>
      </c>
    </row>
    <row r="163" spans="1:23" ht="18.75" customHeight="1">
      <c r="A163" s="3059" t="s">
        <v>390</v>
      </c>
      <c r="B163" s="3063">
        <f>SUM(B154/B157)</f>
        <v>29.742835056464745</v>
      </c>
      <c r="C163" s="3063">
        <v>29.83</v>
      </c>
      <c r="D163" s="3063">
        <v>14.87</v>
      </c>
      <c r="E163" s="3064">
        <f>SUM(B163)</f>
        <v>29.742835056464745</v>
      </c>
      <c r="F163" s="3064">
        <f>SUM(E163)</f>
        <v>29.742835056464745</v>
      </c>
      <c r="G163" s="3064">
        <f>SUM(E163)</f>
        <v>29.742835056464745</v>
      </c>
      <c r="H163" s="3063">
        <f>SUM(E163)</f>
        <v>29.742835056464745</v>
      </c>
      <c r="I163" s="3064">
        <f>SUM(E163)</f>
        <v>29.742835056464745</v>
      </c>
      <c r="J163" s="3064">
        <f>SUM(E163)</f>
        <v>29.742835056464745</v>
      </c>
      <c r="K163" s="3064">
        <f>SUM(E163)</f>
        <v>29.742835056464745</v>
      </c>
      <c r="L163" s="3063">
        <f>SUM(E163)</f>
        <v>29.742835056464745</v>
      </c>
      <c r="M163" s="3063">
        <f>SUM(E163)</f>
        <v>29.742835056464745</v>
      </c>
      <c r="N163" s="3064">
        <f>SUM(E163)</f>
        <v>29.742835056464745</v>
      </c>
      <c r="O163" s="3064">
        <f>SUM(E163)</f>
        <v>29.742835056464745</v>
      </c>
      <c r="P163" s="3064">
        <f>SUM(E163)</f>
        <v>29.742835056464745</v>
      </c>
      <c r="Q163" s="3063">
        <f>SUM(E163)</f>
        <v>29.742835056464745</v>
      </c>
      <c r="R163" s="3063">
        <f>SUM(E163)</f>
        <v>29.742835056464745</v>
      </c>
      <c r="S163" s="3064">
        <f>SUM(E163)</f>
        <v>29.742835056464745</v>
      </c>
      <c r="T163" s="3064">
        <f>SUM(E163)</f>
        <v>29.742835056464745</v>
      </c>
      <c r="U163" s="3064">
        <f>SUM(E163)</f>
        <v>29.742835056464745</v>
      </c>
      <c r="V163" s="3063">
        <f>SUM(E163)</f>
        <v>29.742835056464745</v>
      </c>
      <c r="W163" s="3108">
        <f>SUM(W154/W157)</f>
        <v>29.742835056464749</v>
      </c>
    </row>
    <row r="164" spans="1:23" ht="18.75" customHeight="1">
      <c r="A164" s="3059" t="s">
        <v>1734</v>
      </c>
      <c r="B164" s="3063">
        <f>SUM(B155/B158)</f>
        <v>33.762320256584374</v>
      </c>
      <c r="C164" s="3063">
        <f>SUM(C155/C158)</f>
        <v>33.880399937791388</v>
      </c>
      <c r="D164" s="3063">
        <f>SUM(D155/D158)</f>
        <v>13.614545808690746</v>
      </c>
      <c r="E164" s="3074">
        <f>SUM(E155/E158)</f>
        <v>30.600264297500136</v>
      </c>
      <c r="F164" s="3074">
        <f t="shared" ref="F164:W164" si="348">SUM(F155/F158)</f>
        <v>30.861871512716753</v>
      </c>
      <c r="G164" s="3074">
        <f t="shared" si="348"/>
        <v>33.57481438064324</v>
      </c>
      <c r="H164" s="3072">
        <f t="shared" si="348"/>
        <v>31.676884437202752</v>
      </c>
      <c r="I164" s="3074">
        <f t="shared" si="348"/>
        <v>31.067525566814556</v>
      </c>
      <c r="J164" s="3074">
        <f t="shared" si="348"/>
        <v>34.021089465574576</v>
      </c>
      <c r="K164" s="3074">
        <f t="shared" si="348"/>
        <v>36.889884702633069</v>
      </c>
      <c r="L164" s="3072">
        <f t="shared" si="348"/>
        <v>33.939313941697286</v>
      </c>
      <c r="M164" s="3072">
        <f t="shared" si="348"/>
        <v>32.783357468238826</v>
      </c>
      <c r="N164" s="3074">
        <f t="shared" si="348"/>
        <v>36.062357082670111</v>
      </c>
      <c r="O164" s="3074">
        <f t="shared" si="348"/>
        <v>36.055851637023181</v>
      </c>
      <c r="P164" s="3074">
        <f t="shared" si="348"/>
        <v>35.686350331461696</v>
      </c>
      <c r="Q164" s="3072">
        <f t="shared" si="348"/>
        <v>35.93030659251567</v>
      </c>
      <c r="R164" s="3072">
        <f t="shared" si="348"/>
        <v>33.816932734762972</v>
      </c>
      <c r="S164" s="3074">
        <f t="shared" si="348"/>
        <v>32.728056238165216</v>
      </c>
      <c r="T164" s="3074">
        <f t="shared" si="348"/>
        <v>32.797552942602209</v>
      </c>
      <c r="U164" s="3074">
        <f t="shared" si="348"/>
        <v>35.27409158532658</v>
      </c>
      <c r="V164" s="3072">
        <f t="shared" si="348"/>
        <v>33.603157878427261</v>
      </c>
      <c r="W164" s="642">
        <f t="shared" si="348"/>
        <v>33.762320109584373</v>
      </c>
    </row>
    <row r="165" spans="1:23" ht="18.75" customHeight="1">
      <c r="A165" s="3099" t="s">
        <v>1738</v>
      </c>
      <c r="B165" s="3068">
        <f>SUM(B164/B163)</f>
        <v>1.1351412934405516</v>
      </c>
      <c r="C165" s="3068">
        <f t="shared" ref="C165:W165" si="349">SUM(C164/C163)</f>
        <v>1.1357827669390341</v>
      </c>
      <c r="D165" s="3068">
        <f t="shared" si="349"/>
        <v>0.91557133884941133</v>
      </c>
      <c r="E165" s="3097">
        <f t="shared" si="349"/>
        <v>1.028828093872276</v>
      </c>
      <c r="F165" s="3097">
        <f t="shared" si="349"/>
        <v>1.037623732039249</v>
      </c>
      <c r="G165" s="3097">
        <f t="shared" si="349"/>
        <v>1.128837056618972</v>
      </c>
      <c r="H165" s="3068">
        <f t="shared" si="349"/>
        <v>1.0650257239118714</v>
      </c>
      <c r="I165" s="3097">
        <f t="shared" si="349"/>
        <v>1.0445381386083397</v>
      </c>
      <c r="J165" s="3097">
        <f t="shared" si="349"/>
        <v>1.1438415134598923</v>
      </c>
      <c r="K165" s="3097">
        <f t="shared" si="349"/>
        <v>1.2402948351292047</v>
      </c>
      <c r="L165" s="3068">
        <f t="shared" si="349"/>
        <v>1.1410920941889302</v>
      </c>
      <c r="M165" s="3068">
        <f t="shared" si="349"/>
        <v>1.1022270542132873</v>
      </c>
      <c r="N165" s="3097">
        <f t="shared" si="349"/>
        <v>1.2124720798877506</v>
      </c>
      <c r="O165" s="3097">
        <f t="shared" si="349"/>
        <v>1.2122533567689027</v>
      </c>
      <c r="P165" s="3097">
        <f t="shared" si="349"/>
        <v>1.1998301528322231</v>
      </c>
      <c r="Q165" s="3068">
        <f t="shared" si="349"/>
        <v>1.20803233868945</v>
      </c>
      <c r="R165" s="3068">
        <f t="shared" si="349"/>
        <v>1.1369774492096612</v>
      </c>
      <c r="S165" s="3097">
        <f t="shared" si="349"/>
        <v>1.1003677415429038</v>
      </c>
      <c r="T165" s="3097">
        <f t="shared" si="349"/>
        <v>1.1027043279612818</v>
      </c>
      <c r="U165" s="3097">
        <f t="shared" si="349"/>
        <v>1.1859693777799298</v>
      </c>
      <c r="V165" s="3068">
        <f t="shared" si="349"/>
        <v>1.1297900087410617</v>
      </c>
      <c r="W165" s="3089">
        <f t="shared" si="349"/>
        <v>1.1351412884981846</v>
      </c>
    </row>
    <row r="166" spans="1:23" ht="18.75" customHeight="1">
      <c r="A166" s="3095" t="s">
        <v>1739</v>
      </c>
      <c r="B166" s="3070">
        <f>SUM((B167*B160)+(B168*B161))/B159</f>
        <v>24.17</v>
      </c>
      <c r="C166" s="3070">
        <f>SUM((C167*C160)+(C168*C161))/C159</f>
        <v>24.17</v>
      </c>
      <c r="D166" s="3070">
        <v>0</v>
      </c>
      <c r="E166" s="3081">
        <f>SUM((E167*E160)+(E168*E161))/E159</f>
        <v>24.169999999999998</v>
      </c>
      <c r="F166" s="3081">
        <f>SUM((F167*F160)+(F168*F161))/F159</f>
        <v>24.17</v>
      </c>
      <c r="G166" s="3081">
        <f>SUM((G167*G160)+(G168*G161))/G159</f>
        <v>24.17</v>
      </c>
      <c r="H166" s="3070">
        <f>SUM((H167*H160)+(H168*H161))/H159</f>
        <v>24.17</v>
      </c>
      <c r="I166" s="3081">
        <f t="shared" ref="I166:W166" si="350">SUM((I167*I160)+(I168*I161))/I159</f>
        <v>24.169999999999998</v>
      </c>
      <c r="J166" s="3081">
        <f t="shared" si="350"/>
        <v>24.17</v>
      </c>
      <c r="K166" s="3081">
        <f t="shared" si="350"/>
        <v>24.17</v>
      </c>
      <c r="L166" s="3070">
        <f t="shared" si="350"/>
        <v>24.17</v>
      </c>
      <c r="M166" s="3070">
        <f t="shared" si="350"/>
        <v>24.17</v>
      </c>
      <c r="N166" s="3081">
        <f t="shared" si="350"/>
        <v>24.17</v>
      </c>
      <c r="O166" s="3081">
        <f t="shared" si="350"/>
        <v>24.17</v>
      </c>
      <c r="P166" s="3081">
        <f t="shared" si="350"/>
        <v>24.169999999999998</v>
      </c>
      <c r="Q166" s="3070">
        <f t="shared" si="350"/>
        <v>24.169999999999998</v>
      </c>
      <c r="R166" s="3070">
        <f t="shared" si="350"/>
        <v>24.17</v>
      </c>
      <c r="S166" s="3081">
        <f t="shared" si="350"/>
        <v>24.17</v>
      </c>
      <c r="T166" s="3081">
        <f t="shared" si="350"/>
        <v>24.17</v>
      </c>
      <c r="U166" s="3081">
        <f t="shared" si="350"/>
        <v>24.169999999999998</v>
      </c>
      <c r="V166" s="3070">
        <f t="shared" si="350"/>
        <v>24.169999999999998</v>
      </c>
      <c r="W166" s="3105">
        <f t="shared" si="350"/>
        <v>24.17</v>
      </c>
    </row>
    <row r="167" spans="1:23" ht="18.75" customHeight="1">
      <c r="A167" s="3059" t="s">
        <v>390</v>
      </c>
      <c r="B167" s="3063">
        <f>SUM(C167)</f>
        <v>23.47</v>
      </c>
      <c r="C167" s="3063">
        <f>SUM('Тариф стоки 2016-2018 ПЛАН'!Q44)</f>
        <v>23.47</v>
      </c>
      <c r="D167" s="3063">
        <v>0</v>
      </c>
      <c r="E167" s="3064">
        <f>SUM(C167)</f>
        <v>23.47</v>
      </c>
      <c r="F167" s="3064">
        <f>SUM(E167)</f>
        <v>23.47</v>
      </c>
      <c r="G167" s="3064">
        <f>SUM(E167)</f>
        <v>23.47</v>
      </c>
      <c r="H167" s="3063">
        <f>SUM(E167)</f>
        <v>23.47</v>
      </c>
      <c r="I167" s="3064">
        <f>SUM(E167)</f>
        <v>23.47</v>
      </c>
      <c r="J167" s="3064">
        <f>SUM(E167)</f>
        <v>23.47</v>
      </c>
      <c r="K167" s="3064">
        <f>SUM(E167)</f>
        <v>23.47</v>
      </c>
      <c r="L167" s="3063">
        <f>SUM(E167)</f>
        <v>23.47</v>
      </c>
      <c r="M167" s="3063">
        <f>SUM(E167)</f>
        <v>23.47</v>
      </c>
      <c r="N167" s="3064">
        <f>SUM(E167)</f>
        <v>23.47</v>
      </c>
      <c r="O167" s="3064">
        <f>SUM(E167)</f>
        <v>23.47</v>
      </c>
      <c r="P167" s="3064">
        <f>SUM(E167)</f>
        <v>23.47</v>
      </c>
      <c r="Q167" s="3063">
        <f>SUM(E167)</f>
        <v>23.47</v>
      </c>
      <c r="R167" s="3063">
        <f>SUM(E167)</f>
        <v>23.47</v>
      </c>
      <c r="S167" s="3064">
        <f>SUM(E167)</f>
        <v>23.47</v>
      </c>
      <c r="T167" s="3064">
        <f>SUM(E167)</f>
        <v>23.47</v>
      </c>
      <c r="U167" s="3064">
        <f>SUM(E167)</f>
        <v>23.47</v>
      </c>
      <c r="V167" s="3063">
        <f>SUM(E167)</f>
        <v>23.47</v>
      </c>
      <c r="W167" s="3108">
        <f>SUM(E167)</f>
        <v>23.47</v>
      </c>
    </row>
    <row r="168" spans="1:23" ht="18.75" customHeight="1">
      <c r="A168" s="3059" t="s">
        <v>1734</v>
      </c>
      <c r="B168" s="3063">
        <f>SUM(C168)</f>
        <v>24.87</v>
      </c>
      <c r="C168" s="3063">
        <f>SUM('Тариф стоки 2016-2018 ПЛАН'!Q45)</f>
        <v>24.87</v>
      </c>
      <c r="D168" s="3063">
        <v>0</v>
      </c>
      <c r="E168" s="3064">
        <f>SUM(C168)</f>
        <v>24.87</v>
      </c>
      <c r="F168" s="3064">
        <f>SUM(E168)</f>
        <v>24.87</v>
      </c>
      <c r="G168" s="3064">
        <f>SUM(E168)</f>
        <v>24.87</v>
      </c>
      <c r="H168" s="3063">
        <f>SUM(E168)</f>
        <v>24.87</v>
      </c>
      <c r="I168" s="3064">
        <f>SUM(E168)</f>
        <v>24.87</v>
      </c>
      <c r="J168" s="3064">
        <f>SUM(E168)</f>
        <v>24.87</v>
      </c>
      <c r="K168" s="3064">
        <f>SUM(E168)</f>
        <v>24.87</v>
      </c>
      <c r="L168" s="3063">
        <f>SUM(E168)</f>
        <v>24.87</v>
      </c>
      <c r="M168" s="3063">
        <f>SUM(E168)</f>
        <v>24.87</v>
      </c>
      <c r="N168" s="3064">
        <f>SUM(E168)</f>
        <v>24.87</v>
      </c>
      <c r="O168" s="3064">
        <f>SUM(E168)</f>
        <v>24.87</v>
      </c>
      <c r="P168" s="3064">
        <f>SUM(E168)</f>
        <v>24.87</v>
      </c>
      <c r="Q168" s="3063">
        <f>SUM(E168)</f>
        <v>24.87</v>
      </c>
      <c r="R168" s="3063">
        <f>SUM(E168)</f>
        <v>24.87</v>
      </c>
      <c r="S168" s="3064">
        <f>SUM(E168)</f>
        <v>24.87</v>
      </c>
      <c r="T168" s="3064">
        <f>SUM(E168)</f>
        <v>24.87</v>
      </c>
      <c r="U168" s="3064">
        <f>SUM(E168)</f>
        <v>24.87</v>
      </c>
      <c r="V168" s="3063">
        <f>SUM(E168)</f>
        <v>24.87</v>
      </c>
      <c r="W168" s="3108">
        <f>SUM(E168)</f>
        <v>24.87</v>
      </c>
    </row>
    <row r="169" spans="1:23" ht="18.75" customHeight="1">
      <c r="A169" s="3099" t="s">
        <v>1740</v>
      </c>
      <c r="B169" s="3068">
        <f>SUM(B168/B167)</f>
        <v>1.0596506178099703</v>
      </c>
      <c r="C169" s="3068">
        <f t="shared" ref="C169:W169" si="351">SUM(C168/C167)</f>
        <v>1.0596506178099703</v>
      </c>
      <c r="D169" s="3068">
        <v>0</v>
      </c>
      <c r="E169" s="3097">
        <f t="shared" si="351"/>
        <v>1.0596506178099703</v>
      </c>
      <c r="F169" s="3097">
        <f t="shared" si="351"/>
        <v>1.0596506178099703</v>
      </c>
      <c r="G169" s="3097">
        <f t="shared" si="351"/>
        <v>1.0596506178099703</v>
      </c>
      <c r="H169" s="3068">
        <f t="shared" si="351"/>
        <v>1.0596506178099703</v>
      </c>
      <c r="I169" s="3097">
        <f t="shared" si="351"/>
        <v>1.0596506178099703</v>
      </c>
      <c r="J169" s="3097">
        <f t="shared" si="351"/>
        <v>1.0596506178099703</v>
      </c>
      <c r="K169" s="3097">
        <f t="shared" si="351"/>
        <v>1.0596506178099703</v>
      </c>
      <c r="L169" s="3068">
        <f t="shared" si="351"/>
        <v>1.0596506178099703</v>
      </c>
      <c r="M169" s="3068">
        <f t="shared" si="351"/>
        <v>1.0596506178099703</v>
      </c>
      <c r="N169" s="3097">
        <f t="shared" si="351"/>
        <v>1.0596506178099703</v>
      </c>
      <c r="O169" s="3097">
        <f t="shared" si="351"/>
        <v>1.0596506178099703</v>
      </c>
      <c r="P169" s="3097">
        <f t="shared" si="351"/>
        <v>1.0596506178099703</v>
      </c>
      <c r="Q169" s="3068">
        <f t="shared" si="351"/>
        <v>1.0596506178099703</v>
      </c>
      <c r="R169" s="3068">
        <f t="shared" si="351"/>
        <v>1.0596506178099703</v>
      </c>
      <c r="S169" s="3097">
        <f t="shared" si="351"/>
        <v>1.0596506178099703</v>
      </c>
      <c r="T169" s="3097">
        <f t="shared" si="351"/>
        <v>1.0596506178099703</v>
      </c>
      <c r="U169" s="3097">
        <f t="shared" si="351"/>
        <v>1.0596506178099703</v>
      </c>
      <c r="V169" s="3068">
        <f t="shared" si="351"/>
        <v>1.0596506178099703</v>
      </c>
      <c r="W169" s="3089">
        <f t="shared" si="351"/>
        <v>1.0596506178099703</v>
      </c>
    </row>
    <row r="170" spans="1:23" ht="18.75" customHeight="1">
      <c r="A170" s="3095" t="s">
        <v>1741</v>
      </c>
      <c r="B170" s="3060">
        <f>SUM(B171:B172)</f>
        <v>17522.255929082181</v>
      </c>
      <c r="C170" s="3060">
        <f>SUM(C171:C172)</f>
        <v>17522.255929082181</v>
      </c>
      <c r="D170" s="3060">
        <f>SUM(D171:D172)</f>
        <v>0</v>
      </c>
      <c r="E170" s="3096">
        <f>SUM(E171:E172)</f>
        <v>1498.1528819365267</v>
      </c>
      <c r="F170" s="3096">
        <f t="shared" ref="F170:G170" si="352">SUM(F171:F172)</f>
        <v>1489.3917539719855</v>
      </c>
      <c r="G170" s="3096">
        <f t="shared" si="352"/>
        <v>1489.3917539719855</v>
      </c>
      <c r="H170" s="3070">
        <f t="shared" ref="H170:H171" si="353">SUM(E170+F170+G170)</f>
        <v>4476.9363898804977</v>
      </c>
      <c r="I170" s="3096">
        <f t="shared" ref="I170:K170" si="354">SUM(I171:I172)</f>
        <v>1480.6306260074439</v>
      </c>
      <c r="J170" s="3096">
        <f t="shared" si="354"/>
        <v>1401.7804743265744</v>
      </c>
      <c r="K170" s="3096">
        <f t="shared" si="354"/>
        <v>1401.7804743265744</v>
      </c>
      <c r="L170" s="3070">
        <f t="shared" ref="L170:L171" si="355">SUM(I170+J170+K170)</f>
        <v>4284.1915746605928</v>
      </c>
      <c r="M170" s="3070">
        <f t="shared" ref="M170:M172" si="356">SUM(H170+L170)</f>
        <v>8761.1279645410905</v>
      </c>
      <c r="N170" s="3096">
        <f t="shared" ref="N170:P170" si="357">SUM(N171:N172)</f>
        <v>1401.7804743265744</v>
      </c>
      <c r="O170" s="3096">
        <f t="shared" si="357"/>
        <v>1401.7804743265744</v>
      </c>
      <c r="P170" s="3096">
        <f t="shared" si="357"/>
        <v>1480.6306260074439</v>
      </c>
      <c r="Q170" s="3070">
        <f t="shared" ref="Q170:Q171" si="358">SUM(N170+O170+P170)</f>
        <v>4284.1915746605928</v>
      </c>
      <c r="R170" s="3070">
        <f t="shared" ref="R170:R172" si="359">SUM(M170+Q170)</f>
        <v>13045.319539201682</v>
      </c>
      <c r="S170" s="3096">
        <f t="shared" ref="S170:U170" si="360">SUM(S171:S172)</f>
        <v>1489.3917539719855</v>
      </c>
      <c r="T170" s="3096">
        <f t="shared" si="360"/>
        <v>1489.3917539719855</v>
      </c>
      <c r="U170" s="3096">
        <f t="shared" si="360"/>
        <v>1498.1528819365267</v>
      </c>
      <c r="V170" s="3070">
        <f t="shared" ref="V170:V171" si="361">SUM(S170+T170+U170)</f>
        <v>4476.9363898804977</v>
      </c>
      <c r="W170" s="3085">
        <f t="shared" ref="W170:W172" si="362">SUM(E170+F170+G170+I170+J170+K170+N170+O170+P170+S170+T170+U170)</f>
        <v>17522.255929082181</v>
      </c>
    </row>
    <row r="171" spans="1:23" ht="18.75" customHeight="1">
      <c r="A171" s="3059" t="s">
        <v>390</v>
      </c>
      <c r="B171" s="3063">
        <f>SUM(C163-C167)*C160</f>
        <v>7250.4</v>
      </c>
      <c r="C171" s="3063">
        <f>SUM(C163-C167)*C160</f>
        <v>7250.4</v>
      </c>
      <c r="D171" s="3063">
        <f>SUM(D163-D167)*D160</f>
        <v>0</v>
      </c>
      <c r="E171" s="3071">
        <f>SUM(C163-E167)*E160</f>
        <v>619.90920000000006</v>
      </c>
      <c r="F171" s="3071">
        <f>SUM(C163-F167)*F160</f>
        <v>616.28399999999999</v>
      </c>
      <c r="G171" s="3071">
        <f>SUM(C163-G167)*G160</f>
        <v>616.28399999999999</v>
      </c>
      <c r="H171" s="3072">
        <f t="shared" si="353"/>
        <v>1852.4772000000003</v>
      </c>
      <c r="I171" s="3071">
        <f>SUM(C163-I167)*I160</f>
        <v>612.65879999999981</v>
      </c>
      <c r="J171" s="3071">
        <f>SUM(C163-J167)*J160</f>
        <v>580.03199999999993</v>
      </c>
      <c r="K171" s="3071">
        <f>SUM(C163-K167)*K160</f>
        <v>580.03199999999993</v>
      </c>
      <c r="L171" s="3072">
        <f t="shared" si="355"/>
        <v>1772.7227999999998</v>
      </c>
      <c r="M171" s="3072">
        <f t="shared" si="356"/>
        <v>3625.2</v>
      </c>
      <c r="N171" s="3071">
        <f>SUM(C163-N167)*N160</f>
        <v>580.03199999999993</v>
      </c>
      <c r="O171" s="3071">
        <f>SUM(C163-O167)*O160</f>
        <v>580.03199999999993</v>
      </c>
      <c r="P171" s="3071">
        <f>SUM(C163-P167)*P160</f>
        <v>612.65879999999981</v>
      </c>
      <c r="Q171" s="3072">
        <f t="shared" si="358"/>
        <v>1772.7227999999996</v>
      </c>
      <c r="R171" s="3072">
        <f t="shared" si="359"/>
        <v>5397.9227999999994</v>
      </c>
      <c r="S171" s="3071">
        <f>SUM(C163-S167)*S160</f>
        <v>616.28399999999999</v>
      </c>
      <c r="T171" s="3071">
        <f>SUM(C163-T167)*T160</f>
        <v>616.28399999999999</v>
      </c>
      <c r="U171" s="3071">
        <f>SUM(C163-U167)*U160</f>
        <v>619.90920000000006</v>
      </c>
      <c r="V171" s="3072">
        <f t="shared" si="361"/>
        <v>1852.4772</v>
      </c>
      <c r="W171" s="3087">
        <f t="shared" si="362"/>
        <v>7250.4</v>
      </c>
    </row>
    <row r="172" spans="1:23" ht="18.75" customHeight="1">
      <c r="A172" s="3059" t="s">
        <v>1734</v>
      </c>
      <c r="B172" s="3063">
        <f>SUM(C164-C168)*C161</f>
        <v>10271.855929082181</v>
      </c>
      <c r="C172" s="3063">
        <f>SUM(C164-C168)*C161</f>
        <v>10271.855929082181</v>
      </c>
      <c r="D172" s="3063">
        <f>SUM([22]стоки!AI113)</f>
        <v>0</v>
      </c>
      <c r="E172" s="3071">
        <f>SUM(C164-E168)*E161</f>
        <v>878.24368193652663</v>
      </c>
      <c r="F172" s="3071">
        <f>SUM(C164-F168)*F161</f>
        <v>873.10775397198552</v>
      </c>
      <c r="G172" s="3071">
        <f>SUM(C164-G168)*G161</f>
        <v>873.10775397198552</v>
      </c>
      <c r="H172" s="3072">
        <f t="shared" ref="H172" si="363">SUM(E172+F172+G172)</f>
        <v>2624.4591898804974</v>
      </c>
      <c r="I172" s="3071">
        <f>SUM(C164-I168)*I161</f>
        <v>867.97182600744418</v>
      </c>
      <c r="J172" s="3071">
        <f>SUM(C164-J168)*J161</f>
        <v>821.74847432657452</v>
      </c>
      <c r="K172" s="3071">
        <f>SUM(C164-K168)*K161</f>
        <v>821.74847432657452</v>
      </c>
      <c r="L172" s="3072">
        <f t="shared" ref="L172" si="364">SUM(I172+J172+K172)</f>
        <v>2511.4687746605932</v>
      </c>
      <c r="M172" s="3072">
        <f t="shared" si="356"/>
        <v>5135.9279645410907</v>
      </c>
      <c r="N172" s="3071">
        <f>SUM(C164-N168)*N161</f>
        <v>821.74847432657452</v>
      </c>
      <c r="O172" s="3071">
        <f>SUM(C164-O168)*O161</f>
        <v>821.74847432657452</v>
      </c>
      <c r="P172" s="3071">
        <f>SUM(C164-P168)*P161</f>
        <v>867.97182600744418</v>
      </c>
      <c r="Q172" s="3072">
        <f t="shared" ref="Q172" si="365">SUM(N172+O172+P172)</f>
        <v>2511.4687746605932</v>
      </c>
      <c r="R172" s="3072">
        <f t="shared" si="359"/>
        <v>7647.3967392016839</v>
      </c>
      <c r="S172" s="3071">
        <f>SUM(C164-S168)*S161</f>
        <v>873.10775397198552</v>
      </c>
      <c r="T172" s="3071">
        <f>SUM(C164-T168)*T161</f>
        <v>873.10775397198552</v>
      </c>
      <c r="U172" s="3071">
        <f>SUM(C164-U168)*U161</f>
        <v>878.24368193652663</v>
      </c>
      <c r="V172" s="3072">
        <f t="shared" ref="V172" si="366">SUM(S172+T172+U172)</f>
        <v>2624.4591898804974</v>
      </c>
      <c r="W172" s="3087">
        <f t="shared" si="362"/>
        <v>10271.855929082181</v>
      </c>
    </row>
    <row r="173" spans="1:23" ht="18.75" customHeight="1">
      <c r="A173" s="4986" t="s">
        <v>1766</v>
      </c>
      <c r="B173" s="4992"/>
      <c r="C173" s="4992"/>
      <c r="D173" s="4992"/>
      <c r="E173" s="4992"/>
      <c r="F173" s="4992"/>
      <c r="G173" s="4992"/>
      <c r="H173" s="4992"/>
      <c r="I173" s="4992"/>
      <c r="J173" s="4992"/>
      <c r="K173" s="4992"/>
      <c r="L173" s="4992"/>
      <c r="M173" s="4992"/>
      <c r="N173" s="4992"/>
      <c r="O173" s="4992"/>
      <c r="P173" s="4992"/>
      <c r="Q173" s="4992"/>
      <c r="R173" s="4992"/>
      <c r="S173" s="4992"/>
      <c r="T173" s="4992"/>
      <c r="U173" s="4992"/>
      <c r="V173" s="4996"/>
      <c r="W173" s="3107"/>
    </row>
    <row r="174" spans="1:23" ht="18.75" customHeight="1">
      <c r="A174" s="4981" t="s">
        <v>545</v>
      </c>
      <c r="B174" s="4982" t="s">
        <v>1960</v>
      </c>
      <c r="C174" s="4982" t="s">
        <v>1560</v>
      </c>
      <c r="D174" s="4995"/>
      <c r="E174" s="4981" t="s">
        <v>586</v>
      </c>
      <c r="F174" s="4981" t="s">
        <v>587</v>
      </c>
      <c r="G174" s="4981" t="s">
        <v>588</v>
      </c>
      <c r="H174" s="4984" t="s">
        <v>600</v>
      </c>
      <c r="I174" s="4981" t="s">
        <v>589</v>
      </c>
      <c r="J174" s="4981" t="s">
        <v>590</v>
      </c>
      <c r="K174" s="4981" t="s">
        <v>591</v>
      </c>
      <c r="L174" s="4984" t="s">
        <v>599</v>
      </c>
      <c r="M174" s="4984" t="s">
        <v>598</v>
      </c>
      <c r="N174" s="4981" t="s">
        <v>592</v>
      </c>
      <c r="O174" s="4981" t="s">
        <v>593</v>
      </c>
      <c r="P174" s="4981" t="s">
        <v>594</v>
      </c>
      <c r="Q174" s="4984" t="s">
        <v>225</v>
      </c>
      <c r="R174" s="4984" t="s">
        <v>229</v>
      </c>
      <c r="S174" s="4981" t="s">
        <v>595</v>
      </c>
      <c r="T174" s="4981" t="s">
        <v>596</v>
      </c>
      <c r="U174" s="4981" t="s">
        <v>597</v>
      </c>
      <c r="V174" s="4984" t="s">
        <v>135</v>
      </c>
      <c r="W174" s="4985" t="s">
        <v>601</v>
      </c>
    </row>
    <row r="175" spans="1:23" ht="40.5" customHeight="1">
      <c r="A175" s="4981"/>
      <c r="B175" s="4982"/>
      <c r="C175" s="3163" t="s">
        <v>351</v>
      </c>
      <c r="D175" s="3163" t="s">
        <v>1750</v>
      </c>
      <c r="E175" s="4981"/>
      <c r="F175" s="4981"/>
      <c r="G175" s="4981"/>
      <c r="H175" s="4984"/>
      <c r="I175" s="4981"/>
      <c r="J175" s="4981"/>
      <c r="K175" s="4981"/>
      <c r="L175" s="4984"/>
      <c r="M175" s="4984"/>
      <c r="N175" s="4981"/>
      <c r="O175" s="4981"/>
      <c r="P175" s="4981"/>
      <c r="Q175" s="4984"/>
      <c r="R175" s="4984"/>
      <c r="S175" s="4981"/>
      <c r="T175" s="4981"/>
      <c r="U175" s="4981"/>
      <c r="V175" s="4984"/>
      <c r="W175" s="4985"/>
    </row>
    <row r="176" spans="1:23" ht="18.75" customHeight="1">
      <c r="A176" s="3095" t="s">
        <v>1733</v>
      </c>
      <c r="B176" s="3060">
        <f>SUM(B148)</f>
        <v>99259.792125612337</v>
      </c>
      <c r="C176" s="3060">
        <f>SUM(C148)</f>
        <v>98990.185899533084</v>
      </c>
      <c r="D176" s="3060">
        <f>SUM(D148)</f>
        <v>269.60622607925791</v>
      </c>
      <c r="E176" s="3081">
        <f>SUM(E148)</f>
        <v>8054.7458028259616</v>
      </c>
      <c r="F176" s="3081">
        <f t="shared" ref="F176:K176" si="367">SUM(F148)</f>
        <v>8042.1372232574986</v>
      </c>
      <c r="G176" s="3081">
        <f t="shared" si="367"/>
        <v>8416.696289139185</v>
      </c>
      <c r="H176" s="3070">
        <f t="shared" ref="H176:H178" si="368">SUM(E176+F176+G176)</f>
        <v>24513.579315222647</v>
      </c>
      <c r="I176" s="3081">
        <f t="shared" si="367"/>
        <v>8021.4262269656438</v>
      </c>
      <c r="J176" s="3081">
        <f t="shared" si="367"/>
        <v>7963.4170103809038</v>
      </c>
      <c r="K176" s="3081">
        <f t="shared" si="367"/>
        <v>8336.328117252091</v>
      </c>
      <c r="L176" s="3070">
        <f t="shared" ref="L176:L178" si="369">SUM(I176+J176+K176)</f>
        <v>24321.171354598639</v>
      </c>
      <c r="M176" s="3070">
        <f t="shared" ref="M176:M178" si="370">SUM(H176+L176)</f>
        <v>48834.750669821282</v>
      </c>
      <c r="N176" s="3081">
        <f t="shared" ref="N176:P176" si="371">SUM(N148)</f>
        <v>8228.7588363426312</v>
      </c>
      <c r="O176" s="3081">
        <f t="shared" si="371"/>
        <v>8227.9132015947944</v>
      </c>
      <c r="P176" s="3081">
        <f t="shared" si="371"/>
        <v>8655.3887935682433</v>
      </c>
      <c r="Q176" s="3070">
        <f t="shared" ref="Q176:Q178" si="372">SUM(N176+O176+P176)</f>
        <v>25112.060831505667</v>
      </c>
      <c r="R176" s="3070">
        <f t="shared" ref="R176:R178" si="373">SUM(M176+Q176)</f>
        <v>73946.811501326942</v>
      </c>
      <c r="S176" s="3081">
        <f t="shared" ref="S176:U176" si="374">SUM(S148)</f>
        <v>8299.7896846456351</v>
      </c>
      <c r="T176" s="3081">
        <f t="shared" si="374"/>
        <v>8309.3846602728481</v>
      </c>
      <c r="U176" s="3081">
        <f t="shared" si="374"/>
        <v>8703.806040570531</v>
      </c>
      <c r="V176" s="3070">
        <f t="shared" ref="V176:V178" si="375">SUM(S176+T176+U176)</f>
        <v>25312.980385489012</v>
      </c>
      <c r="W176" s="3085">
        <f t="shared" ref="W176:W184" si="376">SUM(E176+F176+G176+I176+J176+K176+N176+O176+P176+S176+T176+U176)</f>
        <v>99259.791886815976</v>
      </c>
    </row>
    <row r="177" spans="1:23" ht="18.75" customHeight="1">
      <c r="A177" s="3059" t="s">
        <v>390</v>
      </c>
      <c r="B177" s="3063">
        <f>SUM(C177:D177)</f>
        <v>43151.221100053997</v>
      </c>
      <c r="C177" s="3063">
        <f>SUM(C180*C186)</f>
        <v>43016.417987014371</v>
      </c>
      <c r="D177" s="3063">
        <f>SUM(D180*D186)</f>
        <v>134.80311303962895</v>
      </c>
      <c r="E177" s="3074">
        <f>SUM(E180*E186)</f>
        <v>3688.884656296611</v>
      </c>
      <c r="F177" s="3074">
        <f t="shared" ref="F177:G177" si="377">SUM(F180*F186)</f>
        <v>3667.4347567676618</v>
      </c>
      <c r="G177" s="3074">
        <f t="shared" si="377"/>
        <v>3667.4347567676618</v>
      </c>
      <c r="H177" s="3072">
        <f t="shared" si="368"/>
        <v>11023.754169831935</v>
      </c>
      <c r="I177" s="3074">
        <f t="shared" ref="I177:K177" si="378">SUM(I180*I186)</f>
        <v>3645.9848572387123</v>
      </c>
      <c r="J177" s="3074">
        <f t="shared" si="378"/>
        <v>3452.9357614781748</v>
      </c>
      <c r="K177" s="3074">
        <f t="shared" si="378"/>
        <v>3452.9357614781748</v>
      </c>
      <c r="L177" s="3072">
        <f t="shared" si="369"/>
        <v>10551.856380195062</v>
      </c>
      <c r="M177" s="3072">
        <f t="shared" si="370"/>
        <v>21575.610550026999</v>
      </c>
      <c r="N177" s="3074">
        <f t="shared" ref="N177:P177" si="379">SUM(N180*N186)</f>
        <v>3452.9357614781748</v>
      </c>
      <c r="O177" s="3074">
        <f t="shared" si="379"/>
        <v>3452.9357614781748</v>
      </c>
      <c r="P177" s="3074">
        <f t="shared" si="379"/>
        <v>3645.9848572387123</v>
      </c>
      <c r="Q177" s="3072">
        <f t="shared" si="372"/>
        <v>10551.856380195062</v>
      </c>
      <c r="R177" s="3072">
        <f t="shared" si="373"/>
        <v>32127.466930222061</v>
      </c>
      <c r="S177" s="3074">
        <f t="shared" ref="S177:U177" si="380">SUM(S180*S186)</f>
        <v>3667.4347567676618</v>
      </c>
      <c r="T177" s="3074">
        <f t="shared" si="380"/>
        <v>3667.4347567676618</v>
      </c>
      <c r="U177" s="3074">
        <f t="shared" si="380"/>
        <v>3688.884656296611</v>
      </c>
      <c r="V177" s="3072">
        <f t="shared" si="375"/>
        <v>11023.754169831935</v>
      </c>
      <c r="W177" s="3087">
        <f t="shared" si="376"/>
        <v>43151.221100053997</v>
      </c>
    </row>
    <row r="178" spans="1:23" ht="18.75" customHeight="1">
      <c r="A178" s="3059" t="s">
        <v>1734</v>
      </c>
      <c r="B178" s="3063">
        <f>SUM(B176-B177)</f>
        <v>56108.57102555834</v>
      </c>
      <c r="C178" s="3063">
        <f t="shared" ref="C178:D178" si="381">SUM(C176-C177)</f>
        <v>55973.767912518713</v>
      </c>
      <c r="D178" s="3063">
        <f t="shared" si="381"/>
        <v>134.80311303962895</v>
      </c>
      <c r="E178" s="3074">
        <f>SUM(E176-E177)</f>
        <v>4365.8611465293507</v>
      </c>
      <c r="F178" s="3074">
        <f t="shared" ref="F178:G178" si="382">SUM(F176-F177)</f>
        <v>4374.7024664898363</v>
      </c>
      <c r="G178" s="3074">
        <f t="shared" si="382"/>
        <v>4749.2615323715236</v>
      </c>
      <c r="H178" s="3072">
        <f t="shared" si="368"/>
        <v>13489.825145390711</v>
      </c>
      <c r="I178" s="3074">
        <f t="shared" ref="I178:K178" si="383">SUM(I176-I177)</f>
        <v>4375.441369726932</v>
      </c>
      <c r="J178" s="3074">
        <f t="shared" si="383"/>
        <v>4510.481248902729</v>
      </c>
      <c r="K178" s="3074">
        <f t="shared" si="383"/>
        <v>4883.3923557739163</v>
      </c>
      <c r="L178" s="3072">
        <f t="shared" si="369"/>
        <v>13769.314974403578</v>
      </c>
      <c r="M178" s="3072">
        <f t="shared" si="370"/>
        <v>27259.140119794291</v>
      </c>
      <c r="N178" s="3074">
        <f t="shared" ref="N178:P178" si="384">SUM(N176-N177)</f>
        <v>4775.8230748644564</v>
      </c>
      <c r="O178" s="3074">
        <f t="shared" si="384"/>
        <v>4774.9774401166196</v>
      </c>
      <c r="P178" s="3074">
        <f t="shared" si="384"/>
        <v>5009.4039363295306</v>
      </c>
      <c r="Q178" s="3072">
        <f t="shared" si="372"/>
        <v>14560.204451310607</v>
      </c>
      <c r="R178" s="3072">
        <f t="shared" si="373"/>
        <v>41819.344571104899</v>
      </c>
      <c r="S178" s="3074">
        <f t="shared" ref="S178:U178" si="385">SUM(S176-S177)</f>
        <v>4632.3549278779738</v>
      </c>
      <c r="T178" s="3074">
        <f t="shared" si="385"/>
        <v>4641.9499035051867</v>
      </c>
      <c r="U178" s="3074">
        <f t="shared" si="385"/>
        <v>5014.92138427392</v>
      </c>
      <c r="V178" s="3072">
        <f t="shared" si="375"/>
        <v>14289.22621565708</v>
      </c>
      <c r="W178" s="3087">
        <f t="shared" si="376"/>
        <v>56108.570786761971</v>
      </c>
    </row>
    <row r="179" spans="1:23" ht="18.75" customHeight="1">
      <c r="A179" s="3095" t="s">
        <v>1735</v>
      </c>
      <c r="B179" s="3060">
        <f>SUM(B136)</f>
        <v>3248.93</v>
      </c>
      <c r="C179" s="3060">
        <f>SUM(C136)</f>
        <v>3230</v>
      </c>
      <c r="D179" s="3060">
        <f>SUM(D136)</f>
        <v>18.93</v>
      </c>
      <c r="E179" s="3073">
        <f>SUM(E136)</f>
        <v>277.74250000000001</v>
      </c>
      <c r="F179" s="3073">
        <f t="shared" ref="F179:G179" si="386">SUM(F136)</f>
        <v>276.1275</v>
      </c>
      <c r="G179" s="3073">
        <f t="shared" si="386"/>
        <v>276.1275</v>
      </c>
      <c r="H179" s="3070">
        <f>SUM(E179+F179+G179)</f>
        <v>829.99749999999995</v>
      </c>
      <c r="I179" s="3073">
        <f>SUM(I136)</f>
        <v>274.51249999999993</v>
      </c>
      <c r="J179" s="3073">
        <f t="shared" ref="J179:K179" si="387">SUM(J136)</f>
        <v>259.97749999999996</v>
      </c>
      <c r="K179" s="3073">
        <f t="shared" si="387"/>
        <v>259.97749999999996</v>
      </c>
      <c r="L179" s="3070">
        <f>SUM(I179+J179+K179)</f>
        <v>794.46749999999986</v>
      </c>
      <c r="M179" s="3070">
        <f>SUM(H179+L179)</f>
        <v>1624.4649999999997</v>
      </c>
      <c r="N179" s="3073">
        <f>SUM(N136)</f>
        <v>259.97749999999996</v>
      </c>
      <c r="O179" s="3073">
        <f t="shared" ref="O179:P179" si="388">SUM(O136)</f>
        <v>259.97749999999996</v>
      </c>
      <c r="P179" s="3073">
        <f t="shared" si="388"/>
        <v>274.51249999999993</v>
      </c>
      <c r="Q179" s="3070">
        <f>SUM(N179+O179+P179)</f>
        <v>794.46749999999986</v>
      </c>
      <c r="R179" s="3070">
        <f>SUM(M179+Q179)</f>
        <v>2418.9324999999994</v>
      </c>
      <c r="S179" s="3073">
        <f>SUM(S136)</f>
        <v>276.1275</v>
      </c>
      <c r="T179" s="3073">
        <f t="shared" ref="T179:U179" si="389">SUM(T136)</f>
        <v>276.1275</v>
      </c>
      <c r="U179" s="3073">
        <f t="shared" si="389"/>
        <v>277.74250000000001</v>
      </c>
      <c r="V179" s="3070">
        <f>SUM(S179+T179+U179)</f>
        <v>829.99749999999995</v>
      </c>
      <c r="W179" s="3085">
        <f t="shared" si="376"/>
        <v>3248.9299999999994</v>
      </c>
    </row>
    <row r="180" spans="1:23" ht="18.75" customHeight="1">
      <c r="A180" s="3059" t="s">
        <v>390</v>
      </c>
      <c r="B180" s="3063">
        <f>SUM(B179/2)</f>
        <v>1624.4649999999999</v>
      </c>
      <c r="C180" s="3063">
        <f>SUM(C179/2)</f>
        <v>1615</v>
      </c>
      <c r="D180" s="3063">
        <f>SUM(D179/2)</f>
        <v>9.4649999999999999</v>
      </c>
      <c r="E180" s="3074">
        <f>SUM(E179/2)</f>
        <v>138.87125</v>
      </c>
      <c r="F180" s="3074">
        <f t="shared" ref="F180:G180" si="390">SUM(F179/2)</f>
        <v>138.06375</v>
      </c>
      <c r="G180" s="3074">
        <f t="shared" si="390"/>
        <v>138.06375</v>
      </c>
      <c r="H180" s="3072">
        <f t="shared" ref="H180:H184" si="391">SUM(E180+F180+G180)</f>
        <v>414.99874999999997</v>
      </c>
      <c r="I180" s="3074">
        <f t="shared" ref="I180" si="392">SUM(I179/2)</f>
        <v>137.25624999999997</v>
      </c>
      <c r="J180" s="3074">
        <f t="shared" ref="J180:K180" si="393">SUM(J179/2)</f>
        <v>129.98874999999998</v>
      </c>
      <c r="K180" s="3074">
        <f t="shared" si="393"/>
        <v>129.98874999999998</v>
      </c>
      <c r="L180" s="3072">
        <f t="shared" ref="L180:L184" si="394">SUM(I180+J180+K180)</f>
        <v>397.23374999999993</v>
      </c>
      <c r="M180" s="3072">
        <f t="shared" ref="M180:M184" si="395">SUM(H180+L180)</f>
        <v>812.23249999999985</v>
      </c>
      <c r="N180" s="3074">
        <f t="shared" ref="N180" si="396">SUM(N179/2)</f>
        <v>129.98874999999998</v>
      </c>
      <c r="O180" s="3074">
        <f t="shared" ref="O180:P180" si="397">SUM(O179/2)</f>
        <v>129.98874999999998</v>
      </c>
      <c r="P180" s="3074">
        <f t="shared" si="397"/>
        <v>137.25624999999997</v>
      </c>
      <c r="Q180" s="3072">
        <f t="shared" ref="Q180:Q184" si="398">SUM(N180+O180+P180)</f>
        <v>397.23374999999993</v>
      </c>
      <c r="R180" s="3072">
        <f t="shared" ref="R180:R184" si="399">SUM(M180+Q180)</f>
        <v>1209.4662499999997</v>
      </c>
      <c r="S180" s="3074">
        <f t="shared" ref="S180" si="400">SUM(S179/2)</f>
        <v>138.06375</v>
      </c>
      <c r="T180" s="3074">
        <f t="shared" ref="T180:U180" si="401">SUM(T179/2)</f>
        <v>138.06375</v>
      </c>
      <c r="U180" s="3074">
        <f t="shared" si="401"/>
        <v>138.87125</v>
      </c>
      <c r="V180" s="3072">
        <f t="shared" ref="V180:V184" si="402">SUM(S180+T180+U180)</f>
        <v>414.99874999999997</v>
      </c>
      <c r="W180" s="3087">
        <f t="shared" si="376"/>
        <v>1624.4649999999997</v>
      </c>
    </row>
    <row r="181" spans="1:23" ht="18.75" customHeight="1">
      <c r="A181" s="3059" t="s">
        <v>1734</v>
      </c>
      <c r="B181" s="3063">
        <f>SUM(B179-B180)</f>
        <v>1624.4649999999999</v>
      </c>
      <c r="C181" s="3063">
        <f>SUM(C179-C180)</f>
        <v>1615</v>
      </c>
      <c r="D181" s="3063">
        <f>SUM(D179-D180)</f>
        <v>9.4649999999999999</v>
      </c>
      <c r="E181" s="3074">
        <f>SUM(E179-E180)</f>
        <v>138.87125</v>
      </c>
      <c r="F181" s="3074">
        <f t="shared" ref="F181:G181" si="403">SUM(F179-F180)</f>
        <v>138.06375</v>
      </c>
      <c r="G181" s="3074">
        <f t="shared" si="403"/>
        <v>138.06375</v>
      </c>
      <c r="H181" s="3072">
        <f t="shared" si="391"/>
        <v>414.99874999999997</v>
      </c>
      <c r="I181" s="3074">
        <f t="shared" ref="I181:K181" si="404">SUM(I179-I180)</f>
        <v>137.25624999999997</v>
      </c>
      <c r="J181" s="3074">
        <f t="shared" si="404"/>
        <v>129.98874999999998</v>
      </c>
      <c r="K181" s="3074">
        <f t="shared" si="404"/>
        <v>129.98874999999998</v>
      </c>
      <c r="L181" s="3072">
        <f t="shared" si="394"/>
        <v>397.23374999999993</v>
      </c>
      <c r="M181" s="3072">
        <f t="shared" si="395"/>
        <v>812.23249999999985</v>
      </c>
      <c r="N181" s="3074">
        <f t="shared" ref="N181:P181" si="405">SUM(N179-N180)</f>
        <v>129.98874999999998</v>
      </c>
      <c r="O181" s="3074">
        <f t="shared" si="405"/>
        <v>129.98874999999998</v>
      </c>
      <c r="P181" s="3074">
        <f t="shared" si="405"/>
        <v>137.25624999999997</v>
      </c>
      <c r="Q181" s="3072">
        <f t="shared" si="398"/>
        <v>397.23374999999993</v>
      </c>
      <c r="R181" s="3072">
        <f t="shared" si="399"/>
        <v>1209.4662499999997</v>
      </c>
      <c r="S181" s="3074">
        <f t="shared" ref="S181:U181" si="406">SUM(S179-S180)</f>
        <v>138.06375</v>
      </c>
      <c r="T181" s="3074">
        <f t="shared" si="406"/>
        <v>138.06375</v>
      </c>
      <c r="U181" s="3074">
        <f t="shared" si="406"/>
        <v>138.87125</v>
      </c>
      <c r="V181" s="3072">
        <f t="shared" si="402"/>
        <v>414.99874999999997</v>
      </c>
      <c r="W181" s="3087">
        <f t="shared" si="376"/>
        <v>1624.4649999999997</v>
      </c>
    </row>
    <row r="182" spans="1:23" ht="18.75" customHeight="1">
      <c r="A182" s="3095" t="s">
        <v>1736</v>
      </c>
      <c r="B182" s="3060">
        <f>SUM(B14)</f>
        <v>2280</v>
      </c>
      <c r="C182" s="3060">
        <f t="shared" ref="C182:D182" si="407">SUM(C14)</f>
        <v>2280</v>
      </c>
      <c r="D182" s="3060">
        <f t="shared" si="407"/>
        <v>0</v>
      </c>
      <c r="E182" s="3077">
        <f>SUM(E14)</f>
        <v>194.94000000000003</v>
      </c>
      <c r="F182" s="3077">
        <f t="shared" ref="F182:K182" si="408">SUM(F14)</f>
        <v>193.8</v>
      </c>
      <c r="G182" s="3077">
        <f t="shared" si="408"/>
        <v>193.8</v>
      </c>
      <c r="H182" s="3070">
        <f t="shared" si="391"/>
        <v>582.54</v>
      </c>
      <c r="I182" s="3077">
        <f t="shared" si="408"/>
        <v>192.65999999999997</v>
      </c>
      <c r="J182" s="3077">
        <f t="shared" si="408"/>
        <v>182.4</v>
      </c>
      <c r="K182" s="3077">
        <f t="shared" si="408"/>
        <v>182.4</v>
      </c>
      <c r="L182" s="3070">
        <f t="shared" si="394"/>
        <v>557.45999999999992</v>
      </c>
      <c r="M182" s="3070">
        <f t="shared" si="395"/>
        <v>1140</v>
      </c>
      <c r="N182" s="3077">
        <f t="shared" ref="N182:P182" si="409">SUM(N14)</f>
        <v>182.4</v>
      </c>
      <c r="O182" s="3077">
        <f t="shared" si="409"/>
        <v>182.4</v>
      </c>
      <c r="P182" s="3077">
        <f t="shared" si="409"/>
        <v>192.65999999999997</v>
      </c>
      <c r="Q182" s="3070">
        <f t="shared" si="398"/>
        <v>557.46</v>
      </c>
      <c r="R182" s="3070">
        <f t="shared" si="399"/>
        <v>1697.46</v>
      </c>
      <c r="S182" s="3077">
        <f t="shared" ref="S182:U182" si="410">SUM(S14)</f>
        <v>193.8</v>
      </c>
      <c r="T182" s="3077">
        <f t="shared" si="410"/>
        <v>193.8</v>
      </c>
      <c r="U182" s="3077">
        <f t="shared" si="410"/>
        <v>194.94000000000003</v>
      </c>
      <c r="V182" s="3070">
        <f t="shared" si="402"/>
        <v>582.54000000000008</v>
      </c>
      <c r="W182" s="3085">
        <f t="shared" si="376"/>
        <v>2280</v>
      </c>
    </row>
    <row r="183" spans="1:23" ht="18.75" customHeight="1">
      <c r="A183" s="3059" t="s">
        <v>390</v>
      </c>
      <c r="B183" s="3063">
        <f>SUM(B182/2)</f>
        <v>1140</v>
      </c>
      <c r="C183" s="3063">
        <f>SUM(C182/2)</f>
        <v>1140</v>
      </c>
      <c r="D183" s="3063">
        <f>SUM(D182/2)</f>
        <v>0</v>
      </c>
      <c r="E183" s="3074">
        <f>SUM(E182/2)</f>
        <v>97.470000000000013</v>
      </c>
      <c r="F183" s="3074">
        <f t="shared" ref="F183:G183" si="411">SUM(F182/2)</f>
        <v>96.9</v>
      </c>
      <c r="G183" s="3074">
        <f t="shared" si="411"/>
        <v>96.9</v>
      </c>
      <c r="H183" s="3072">
        <f t="shared" si="391"/>
        <v>291.27</v>
      </c>
      <c r="I183" s="3074">
        <f t="shared" ref="I183:K183" si="412">SUM(I182/2)</f>
        <v>96.329999999999984</v>
      </c>
      <c r="J183" s="3074">
        <f t="shared" si="412"/>
        <v>91.2</v>
      </c>
      <c r="K183" s="3074">
        <f t="shared" si="412"/>
        <v>91.2</v>
      </c>
      <c r="L183" s="3072">
        <f t="shared" si="394"/>
        <v>278.72999999999996</v>
      </c>
      <c r="M183" s="3072">
        <f t="shared" si="395"/>
        <v>570</v>
      </c>
      <c r="N183" s="3074">
        <f t="shared" ref="N183:P183" si="413">SUM(N182/2)</f>
        <v>91.2</v>
      </c>
      <c r="O183" s="3074">
        <f t="shared" si="413"/>
        <v>91.2</v>
      </c>
      <c r="P183" s="3074">
        <f t="shared" si="413"/>
        <v>96.329999999999984</v>
      </c>
      <c r="Q183" s="3072">
        <f t="shared" si="398"/>
        <v>278.73</v>
      </c>
      <c r="R183" s="3072">
        <f t="shared" si="399"/>
        <v>848.73</v>
      </c>
      <c r="S183" s="3074">
        <f t="shared" ref="S183:U183" si="414">SUM(S182/2)</f>
        <v>96.9</v>
      </c>
      <c r="T183" s="3074">
        <f t="shared" si="414"/>
        <v>96.9</v>
      </c>
      <c r="U183" s="3074">
        <f t="shared" si="414"/>
        <v>97.470000000000013</v>
      </c>
      <c r="V183" s="3072">
        <f t="shared" si="402"/>
        <v>291.27000000000004</v>
      </c>
      <c r="W183" s="3087">
        <f t="shared" si="376"/>
        <v>1140</v>
      </c>
    </row>
    <row r="184" spans="1:23" ht="18.75" customHeight="1">
      <c r="A184" s="3059" t="s">
        <v>1734</v>
      </c>
      <c r="B184" s="3063">
        <f>SUM(B182-B183)</f>
        <v>1140</v>
      </c>
      <c r="C184" s="3063">
        <f>SUM(C182-C183)</f>
        <v>1140</v>
      </c>
      <c r="D184" s="3063">
        <f>SUM(D182-D183)</f>
        <v>0</v>
      </c>
      <c r="E184" s="3074">
        <f>SUM(E182-E183)</f>
        <v>97.470000000000013</v>
      </c>
      <c r="F184" s="3074">
        <f t="shared" ref="F184:G184" si="415">SUM(F182-F183)</f>
        <v>96.9</v>
      </c>
      <c r="G184" s="3074">
        <f t="shared" si="415"/>
        <v>96.9</v>
      </c>
      <c r="H184" s="3072">
        <f t="shared" si="391"/>
        <v>291.27</v>
      </c>
      <c r="I184" s="3074">
        <f t="shared" ref="I184:K184" si="416">SUM(I182-I183)</f>
        <v>96.329999999999984</v>
      </c>
      <c r="J184" s="3074">
        <f t="shared" si="416"/>
        <v>91.2</v>
      </c>
      <c r="K184" s="3074">
        <f t="shared" si="416"/>
        <v>91.2</v>
      </c>
      <c r="L184" s="3072">
        <f t="shared" si="394"/>
        <v>278.72999999999996</v>
      </c>
      <c r="M184" s="3072">
        <f t="shared" si="395"/>
        <v>570</v>
      </c>
      <c r="N184" s="3074">
        <f t="shared" ref="N184:P184" si="417">SUM(N182-N183)</f>
        <v>91.2</v>
      </c>
      <c r="O184" s="3074">
        <f t="shared" si="417"/>
        <v>91.2</v>
      </c>
      <c r="P184" s="3074">
        <f t="shared" si="417"/>
        <v>96.329999999999984</v>
      </c>
      <c r="Q184" s="3072">
        <f t="shared" si="398"/>
        <v>278.73</v>
      </c>
      <c r="R184" s="3072">
        <f t="shared" si="399"/>
        <v>848.73</v>
      </c>
      <c r="S184" s="3074">
        <f t="shared" ref="S184:U184" si="418">SUM(S182-S183)</f>
        <v>96.9</v>
      </c>
      <c r="T184" s="3074">
        <f t="shared" si="418"/>
        <v>96.9</v>
      </c>
      <c r="U184" s="3074">
        <f t="shared" si="418"/>
        <v>97.470000000000013</v>
      </c>
      <c r="V184" s="3072">
        <f t="shared" si="402"/>
        <v>291.27000000000004</v>
      </c>
      <c r="W184" s="3087">
        <f t="shared" si="376"/>
        <v>1140</v>
      </c>
    </row>
    <row r="185" spans="1:23" ht="18.75" customHeight="1">
      <c r="A185" s="3095" t="s">
        <v>1737</v>
      </c>
      <c r="B185" s="3060">
        <f>SUM(B149)</f>
        <v>30.551533004900797</v>
      </c>
      <c r="C185" s="3060">
        <f t="shared" ref="C185:D185" si="419">SUM(C149)</f>
        <v>30.647116377564423</v>
      </c>
      <c r="D185" s="3060">
        <f t="shared" si="419"/>
        <v>14.242272904345374</v>
      </c>
      <c r="E185" s="3081">
        <f>SUM(E149)</f>
        <v>29.000767987707899</v>
      </c>
      <c r="F185" s="3081">
        <f t="shared" ref="F185:W185" si="420">SUM(F149)</f>
        <v>29.12472398894532</v>
      </c>
      <c r="G185" s="3081">
        <f t="shared" si="420"/>
        <v>30.481195422908566</v>
      </c>
      <c r="H185" s="3070">
        <f t="shared" si="420"/>
        <v>29.534521869310026</v>
      </c>
      <c r="I185" s="3081">
        <f t="shared" si="420"/>
        <v>29.220622838543402</v>
      </c>
      <c r="J185" s="3081">
        <f t="shared" si="420"/>
        <v>30.631177738000037</v>
      </c>
      <c r="K185" s="3081">
        <f t="shared" si="420"/>
        <v>32.065575356529287</v>
      </c>
      <c r="L185" s="3070">
        <f t="shared" si="420"/>
        <v>30.613173420685733</v>
      </c>
      <c r="M185" s="3070">
        <f t="shared" si="420"/>
        <v>30.06205161072802</v>
      </c>
      <c r="N185" s="3081">
        <f t="shared" si="420"/>
        <v>31.651811546547805</v>
      </c>
      <c r="O185" s="3081">
        <f t="shared" si="420"/>
        <v>31.648558823724343</v>
      </c>
      <c r="P185" s="3081">
        <f t="shared" si="420"/>
        <v>31.530035220866974</v>
      </c>
      <c r="Q185" s="3070">
        <f t="shared" si="420"/>
        <v>31.608669746094925</v>
      </c>
      <c r="R185" s="3070">
        <f t="shared" si="420"/>
        <v>30.57001859346094</v>
      </c>
      <c r="S185" s="3081">
        <f t="shared" si="420"/>
        <v>30.057816351669555</v>
      </c>
      <c r="T185" s="3081">
        <f t="shared" si="420"/>
        <v>30.092564703888051</v>
      </c>
      <c r="U185" s="3081">
        <f t="shared" si="420"/>
        <v>31.337681631621127</v>
      </c>
      <c r="V185" s="3070">
        <f t="shared" si="420"/>
        <v>30.497658589922274</v>
      </c>
      <c r="W185" s="3110">
        <f t="shared" si="420"/>
        <v>30.551532931400796</v>
      </c>
    </row>
    <row r="186" spans="1:23" ht="18.75" customHeight="1">
      <c r="A186" s="3059" t="s">
        <v>390</v>
      </c>
      <c r="B186" s="3063">
        <f>SUM(B177/B180)</f>
        <v>26.563343069905475</v>
      </c>
      <c r="C186" s="3063">
        <f>SUM('Тариф стоки 2016-2018 ПЛАН'!Q37)</f>
        <v>26.635552933135834</v>
      </c>
      <c r="D186" s="3063">
        <f>SUM('Тариф очистка 2016-2018 ПЛАН'!Q36)</f>
        <v>14.242272904345374</v>
      </c>
      <c r="E186" s="3064">
        <f>SUM(B186)</f>
        <v>26.563343069905475</v>
      </c>
      <c r="F186" s="3064">
        <f>SUM(E186)</f>
        <v>26.563343069905475</v>
      </c>
      <c r="G186" s="3064">
        <f>SUM(E186)</f>
        <v>26.563343069905475</v>
      </c>
      <c r="H186" s="3063">
        <f>SUM(E186)</f>
        <v>26.563343069905475</v>
      </c>
      <c r="I186" s="3064">
        <f>SUM(E186)</f>
        <v>26.563343069905475</v>
      </c>
      <c r="J186" s="3064">
        <f>SUM(E186)</f>
        <v>26.563343069905475</v>
      </c>
      <c r="K186" s="3064">
        <f>SUM(E186)</f>
        <v>26.563343069905475</v>
      </c>
      <c r="L186" s="3063">
        <f>SUM(E186)</f>
        <v>26.563343069905475</v>
      </c>
      <c r="M186" s="3063">
        <f>SUM(E186)</f>
        <v>26.563343069905475</v>
      </c>
      <c r="N186" s="3064">
        <f>SUM(E186)</f>
        <v>26.563343069905475</v>
      </c>
      <c r="O186" s="3064">
        <f>SUM(E186)</f>
        <v>26.563343069905475</v>
      </c>
      <c r="P186" s="3064">
        <f>SUM(E186)</f>
        <v>26.563343069905475</v>
      </c>
      <c r="Q186" s="3063">
        <f>SUM(E186)</f>
        <v>26.563343069905475</v>
      </c>
      <c r="R186" s="3063">
        <f>SUM(E186)</f>
        <v>26.563343069905475</v>
      </c>
      <c r="S186" s="3064">
        <f>SUM(E186)</f>
        <v>26.563343069905475</v>
      </c>
      <c r="T186" s="3064">
        <f>SUM(E186)</f>
        <v>26.563343069905475</v>
      </c>
      <c r="U186" s="3064">
        <f>SUM(E186)</f>
        <v>26.563343069905475</v>
      </c>
      <c r="V186" s="3063">
        <f>SUM(E186)</f>
        <v>26.563343069905475</v>
      </c>
      <c r="W186" s="3108">
        <f>SUM(E186)</f>
        <v>26.563343069905475</v>
      </c>
    </row>
    <row r="187" spans="1:23" ht="18.75" customHeight="1">
      <c r="A187" s="3059" t="s">
        <v>1734</v>
      </c>
      <c r="B187" s="3063">
        <f>SUM(B178/B181)</f>
        <v>34.539722939896116</v>
      </c>
      <c r="C187" s="3063">
        <f>SUM(C178/C181)</f>
        <v>34.658679821993012</v>
      </c>
      <c r="D187" s="3063">
        <f>SUM(D178/D181)</f>
        <v>14.242272904345374</v>
      </c>
      <c r="E187" s="3074">
        <f>SUM(E178/E181)</f>
        <v>31.438192905510324</v>
      </c>
      <c r="F187" s="3074">
        <f t="shared" ref="F187:W187" si="421">SUM(F178/F181)</f>
        <v>31.686104907985161</v>
      </c>
      <c r="G187" s="3074">
        <f t="shared" si="421"/>
        <v>34.399047775911662</v>
      </c>
      <c r="H187" s="3072">
        <f t="shared" si="421"/>
        <v>32.505700668714574</v>
      </c>
      <c r="I187" s="3074">
        <f t="shared" si="421"/>
        <v>31.877902607181333</v>
      </c>
      <c r="J187" s="3074">
        <f t="shared" si="421"/>
        <v>34.699012406094603</v>
      </c>
      <c r="K187" s="3074">
        <f t="shared" si="421"/>
        <v>37.567807643153095</v>
      </c>
      <c r="L187" s="3072">
        <f t="shared" si="421"/>
        <v>34.663003771465995</v>
      </c>
      <c r="M187" s="3072">
        <f t="shared" si="421"/>
        <v>33.560760151550568</v>
      </c>
      <c r="N187" s="3074">
        <f t="shared" si="421"/>
        <v>36.740280023190138</v>
      </c>
      <c r="O187" s="3074">
        <f t="shared" si="421"/>
        <v>36.733774577543215</v>
      </c>
      <c r="P187" s="3074">
        <f t="shared" si="421"/>
        <v>36.49672737182847</v>
      </c>
      <c r="Q187" s="3072">
        <f t="shared" si="421"/>
        <v>36.653996422284386</v>
      </c>
      <c r="R187" s="3072">
        <f t="shared" si="421"/>
        <v>34.576694117016416</v>
      </c>
      <c r="S187" s="3074">
        <f t="shared" si="421"/>
        <v>33.552289633433638</v>
      </c>
      <c r="T187" s="3074">
        <f t="shared" si="421"/>
        <v>33.621786337870631</v>
      </c>
      <c r="U187" s="3074">
        <f t="shared" si="421"/>
        <v>36.112020193336775</v>
      </c>
      <c r="V187" s="3072">
        <f t="shared" si="421"/>
        <v>34.431974109939077</v>
      </c>
      <c r="W187" s="642">
        <f t="shared" si="421"/>
        <v>34.539722792896114</v>
      </c>
    </row>
    <row r="188" spans="1:23" ht="18.75" customHeight="1">
      <c r="A188" s="3099" t="s">
        <v>1738</v>
      </c>
      <c r="B188" s="3068">
        <f>SUM(B187/B186)</f>
        <v>1.3002777116193389</v>
      </c>
      <c r="C188" s="3068">
        <f t="shared" ref="C188:D188" si="422">SUM(C187/C186)</f>
        <v>1.3012187097822943</v>
      </c>
      <c r="D188" s="3068">
        <f t="shared" si="422"/>
        <v>1</v>
      </c>
      <c r="E188" s="3069">
        <f>SUM(E187/E186)</f>
        <v>1.1835179338224087</v>
      </c>
      <c r="F188" s="3069">
        <f t="shared" ref="F188:W188" si="423">SUM(F187/F186)</f>
        <v>1.1928507953459908</v>
      </c>
      <c r="G188" s="3069">
        <f t="shared" si="423"/>
        <v>1.2949818735309535</v>
      </c>
      <c r="H188" s="3068">
        <f t="shared" si="423"/>
        <v>1.2237051858710284</v>
      </c>
      <c r="I188" s="3069">
        <f t="shared" si="423"/>
        <v>1.2000711854411468</v>
      </c>
      <c r="J188" s="3069">
        <f t="shared" si="423"/>
        <v>1.3062743011969118</v>
      </c>
      <c r="K188" s="3069">
        <f t="shared" si="423"/>
        <v>1.4142725764708042</v>
      </c>
      <c r="L188" s="3068">
        <f t="shared" si="423"/>
        <v>1.304918725035664</v>
      </c>
      <c r="M188" s="3068">
        <f t="shared" si="423"/>
        <v>1.2634238116501499</v>
      </c>
      <c r="N188" s="3069">
        <f t="shared" si="423"/>
        <v>1.383119584251971</v>
      </c>
      <c r="O188" s="3069">
        <f t="shared" si="423"/>
        <v>1.3828746811300334</v>
      </c>
      <c r="P188" s="3069">
        <f t="shared" si="423"/>
        <v>1.3739508342674258</v>
      </c>
      <c r="Q188" s="3068">
        <f t="shared" si="423"/>
        <v>1.3798713635487756</v>
      </c>
      <c r="R188" s="3068">
        <f t="shared" si="423"/>
        <v>1.3016695235243014</v>
      </c>
      <c r="S188" s="3069">
        <f t="shared" si="423"/>
        <v>1.2631049316773002</v>
      </c>
      <c r="T188" s="3069">
        <f t="shared" si="423"/>
        <v>1.2657211951594267</v>
      </c>
      <c r="U188" s="3069">
        <f t="shared" si="423"/>
        <v>1.3594682001547209</v>
      </c>
      <c r="V188" s="3068">
        <f t="shared" si="423"/>
        <v>1.2962214138230306</v>
      </c>
      <c r="W188" s="3089">
        <f t="shared" si="423"/>
        <v>1.3002777060853969</v>
      </c>
    </row>
    <row r="189" spans="1:23" ht="18.75" customHeight="1">
      <c r="A189" s="3095" t="s">
        <v>1739</v>
      </c>
      <c r="B189" s="3070">
        <f>SUM((B190*B183)+(B191*B184))/B182</f>
        <v>24.17</v>
      </c>
      <c r="C189" s="3070">
        <f>SUM((C190*C183)+(C191*C184))/C182</f>
        <v>24.17</v>
      </c>
      <c r="D189" s="3070">
        <v>0</v>
      </c>
      <c r="E189" s="3081">
        <f>SUM((E190*E183)+(E191*E184))/E182</f>
        <v>24.169999999999998</v>
      </c>
      <c r="F189" s="3081">
        <f>SUM((F190*F183)+(F191*F184))/F182</f>
        <v>24.17</v>
      </c>
      <c r="G189" s="3081">
        <f>SUM((G190*G183)+(G191*G184))/G182</f>
        <v>24.17</v>
      </c>
      <c r="H189" s="3070">
        <f>SUM((H190*H183)+(H191*H184))/H182</f>
        <v>24.17</v>
      </c>
      <c r="I189" s="3081">
        <f t="shared" ref="I189:W189" si="424">SUM((I190*I183)+(I191*I184))/I182</f>
        <v>24.169999999999998</v>
      </c>
      <c r="J189" s="3081">
        <f t="shared" si="424"/>
        <v>24.17</v>
      </c>
      <c r="K189" s="3081">
        <f t="shared" si="424"/>
        <v>24.17</v>
      </c>
      <c r="L189" s="3070">
        <f t="shared" si="424"/>
        <v>24.17</v>
      </c>
      <c r="M189" s="3070">
        <f t="shared" si="424"/>
        <v>24.17</v>
      </c>
      <c r="N189" s="3081">
        <f t="shared" si="424"/>
        <v>24.17</v>
      </c>
      <c r="O189" s="3081">
        <f t="shared" si="424"/>
        <v>24.17</v>
      </c>
      <c r="P189" s="3081">
        <f t="shared" si="424"/>
        <v>24.169999999999998</v>
      </c>
      <c r="Q189" s="3070">
        <f t="shared" si="424"/>
        <v>24.169999999999998</v>
      </c>
      <c r="R189" s="3070">
        <f t="shared" si="424"/>
        <v>24.17</v>
      </c>
      <c r="S189" s="3081">
        <f t="shared" si="424"/>
        <v>24.17</v>
      </c>
      <c r="T189" s="3081">
        <f t="shared" si="424"/>
        <v>24.17</v>
      </c>
      <c r="U189" s="3081">
        <f t="shared" si="424"/>
        <v>24.169999999999998</v>
      </c>
      <c r="V189" s="3070">
        <f t="shared" si="424"/>
        <v>24.169999999999998</v>
      </c>
      <c r="W189" s="3105">
        <f t="shared" si="424"/>
        <v>24.17</v>
      </c>
    </row>
    <row r="190" spans="1:23" ht="18.75" customHeight="1">
      <c r="A190" s="3059" t="s">
        <v>390</v>
      </c>
      <c r="B190" s="3063">
        <f>SUM(C190)</f>
        <v>23.47</v>
      </c>
      <c r="C190" s="3063">
        <f>SUM('Тариф стоки 2016-2018 ПЛАН'!Q44)</f>
        <v>23.47</v>
      </c>
      <c r="D190" s="3063">
        <v>0</v>
      </c>
      <c r="E190" s="3064">
        <f>SUM(C190)</f>
        <v>23.47</v>
      </c>
      <c r="F190" s="3064">
        <f>SUM(E190)</f>
        <v>23.47</v>
      </c>
      <c r="G190" s="3064">
        <f>SUM(E190)</f>
        <v>23.47</v>
      </c>
      <c r="H190" s="3063">
        <f>SUM(E190)</f>
        <v>23.47</v>
      </c>
      <c r="I190" s="3064">
        <f>SUM(E190)</f>
        <v>23.47</v>
      </c>
      <c r="J190" s="3064">
        <f>SUM(E190)</f>
        <v>23.47</v>
      </c>
      <c r="K190" s="3064">
        <f>SUM(E190)</f>
        <v>23.47</v>
      </c>
      <c r="L190" s="3063">
        <f>SUM(E190)</f>
        <v>23.47</v>
      </c>
      <c r="M190" s="3063">
        <f>SUM(E190)</f>
        <v>23.47</v>
      </c>
      <c r="N190" s="3064">
        <f>SUM(E190)</f>
        <v>23.47</v>
      </c>
      <c r="O190" s="3064">
        <f>SUM(E190)</f>
        <v>23.47</v>
      </c>
      <c r="P190" s="3064">
        <f>SUM(E190)</f>
        <v>23.47</v>
      </c>
      <c r="Q190" s="3063">
        <f>SUM(E190)</f>
        <v>23.47</v>
      </c>
      <c r="R190" s="3063">
        <f>SUM(E190)</f>
        <v>23.47</v>
      </c>
      <c r="S190" s="3064">
        <f>SUM(E190)</f>
        <v>23.47</v>
      </c>
      <c r="T190" s="3064">
        <f>SUM(E190)</f>
        <v>23.47</v>
      </c>
      <c r="U190" s="3064">
        <f>SUM(E190)</f>
        <v>23.47</v>
      </c>
      <c r="V190" s="3063">
        <f>SUM(E190)</f>
        <v>23.47</v>
      </c>
      <c r="W190" s="3108">
        <f>SUM(E190)</f>
        <v>23.47</v>
      </c>
    </row>
    <row r="191" spans="1:23" ht="18.75" customHeight="1">
      <c r="A191" s="3059" t="s">
        <v>1734</v>
      </c>
      <c r="B191" s="3063">
        <f>SUM(C191)</f>
        <v>24.87</v>
      </c>
      <c r="C191" s="3063">
        <f>SUM('Тариф стоки 2016-2018 ПЛАН'!Q45)</f>
        <v>24.87</v>
      </c>
      <c r="D191" s="3063">
        <v>0</v>
      </c>
      <c r="E191" s="3064">
        <f>SUM(C191)</f>
        <v>24.87</v>
      </c>
      <c r="F191" s="3064">
        <f>SUM(E191)</f>
        <v>24.87</v>
      </c>
      <c r="G191" s="3064">
        <f>SUM(E191)</f>
        <v>24.87</v>
      </c>
      <c r="H191" s="3063">
        <f>SUM(E191)</f>
        <v>24.87</v>
      </c>
      <c r="I191" s="3064">
        <f>SUM(E191)</f>
        <v>24.87</v>
      </c>
      <c r="J191" s="3064">
        <f>SUM(E191)</f>
        <v>24.87</v>
      </c>
      <c r="K191" s="3064">
        <f>SUM(E191)</f>
        <v>24.87</v>
      </c>
      <c r="L191" s="3063">
        <f>SUM(E191)</f>
        <v>24.87</v>
      </c>
      <c r="M191" s="3063">
        <f>SUM(E191)</f>
        <v>24.87</v>
      </c>
      <c r="N191" s="3064">
        <f>SUM(E191)</f>
        <v>24.87</v>
      </c>
      <c r="O191" s="3064">
        <f>SUM(E191)</f>
        <v>24.87</v>
      </c>
      <c r="P191" s="3064">
        <f>SUM(E191)</f>
        <v>24.87</v>
      </c>
      <c r="Q191" s="3063">
        <f>SUM(E191)</f>
        <v>24.87</v>
      </c>
      <c r="R191" s="3063">
        <f>SUM(E191)</f>
        <v>24.87</v>
      </c>
      <c r="S191" s="3064">
        <f>SUM(E191)</f>
        <v>24.87</v>
      </c>
      <c r="T191" s="3064">
        <f>SUM(E191)</f>
        <v>24.87</v>
      </c>
      <c r="U191" s="3064">
        <f>SUM(E191)</f>
        <v>24.87</v>
      </c>
      <c r="V191" s="3063">
        <f>SUM(E191)</f>
        <v>24.87</v>
      </c>
      <c r="W191" s="3108">
        <f>SUM(E191)</f>
        <v>24.87</v>
      </c>
    </row>
    <row r="192" spans="1:23" ht="18.75" customHeight="1">
      <c r="A192" s="3099" t="s">
        <v>1740</v>
      </c>
      <c r="B192" s="3068">
        <f>SUM(B191/B190)</f>
        <v>1.0596506178099703</v>
      </c>
      <c r="C192" s="3068">
        <f t="shared" ref="C192" si="425">SUM(C191/C190)</f>
        <v>1.0596506178099703</v>
      </c>
      <c r="D192" s="3068">
        <v>0</v>
      </c>
      <c r="E192" s="3069">
        <f>SUM(E191/E190)</f>
        <v>1.0596506178099703</v>
      </c>
      <c r="F192" s="3069">
        <f t="shared" ref="F192:W192" si="426">SUM(F191/F190)</f>
        <v>1.0596506178099703</v>
      </c>
      <c r="G192" s="3069">
        <f t="shared" si="426"/>
        <v>1.0596506178099703</v>
      </c>
      <c r="H192" s="3068">
        <f t="shared" si="426"/>
        <v>1.0596506178099703</v>
      </c>
      <c r="I192" s="3069">
        <f t="shared" si="426"/>
        <v>1.0596506178099703</v>
      </c>
      <c r="J192" s="3069">
        <f t="shared" si="426"/>
        <v>1.0596506178099703</v>
      </c>
      <c r="K192" s="3069">
        <f t="shared" si="426"/>
        <v>1.0596506178099703</v>
      </c>
      <c r="L192" s="3068">
        <f t="shared" si="426"/>
        <v>1.0596506178099703</v>
      </c>
      <c r="M192" s="3068">
        <f t="shared" si="426"/>
        <v>1.0596506178099703</v>
      </c>
      <c r="N192" s="3069">
        <f t="shared" si="426"/>
        <v>1.0596506178099703</v>
      </c>
      <c r="O192" s="3069">
        <f t="shared" si="426"/>
        <v>1.0596506178099703</v>
      </c>
      <c r="P192" s="3069">
        <f t="shared" si="426"/>
        <v>1.0596506178099703</v>
      </c>
      <c r="Q192" s="3068">
        <f t="shared" si="426"/>
        <v>1.0596506178099703</v>
      </c>
      <c r="R192" s="3068">
        <f t="shared" si="426"/>
        <v>1.0596506178099703</v>
      </c>
      <c r="S192" s="3069">
        <f t="shared" si="426"/>
        <v>1.0596506178099703</v>
      </c>
      <c r="T192" s="3069">
        <f t="shared" si="426"/>
        <v>1.0596506178099703</v>
      </c>
      <c r="U192" s="3069">
        <f t="shared" si="426"/>
        <v>1.0596506178099703</v>
      </c>
      <c r="V192" s="3068">
        <f t="shared" si="426"/>
        <v>1.0596506178099703</v>
      </c>
      <c r="W192" s="3089">
        <f t="shared" si="426"/>
        <v>1.0596506178099703</v>
      </c>
    </row>
    <row r="193" spans="1:23" ht="18.75" customHeight="1">
      <c r="A193" s="3095" t="s">
        <v>1741</v>
      </c>
      <c r="B193" s="3060">
        <f>SUM(B194:B195)</f>
        <v>14767.825340846885</v>
      </c>
      <c r="C193" s="3060">
        <f>SUM(C194:C195)</f>
        <v>14767.825340846885</v>
      </c>
      <c r="D193" s="3060">
        <f>SUM(D194:D195)</f>
        <v>0</v>
      </c>
      <c r="E193" s="3081">
        <f>SUM(E194:E195)</f>
        <v>1262.6490666424088</v>
      </c>
      <c r="F193" s="3081">
        <f t="shared" ref="F193:G193" si="427">SUM(F194:F195)</f>
        <v>1255.2651539719852</v>
      </c>
      <c r="G193" s="3081">
        <f t="shared" si="427"/>
        <v>1255.2651539719852</v>
      </c>
      <c r="H193" s="3070">
        <f t="shared" ref="H193:H195" si="428">SUM(E193+F193+G193)</f>
        <v>3773.1793745863797</v>
      </c>
      <c r="I193" s="3081">
        <f t="shared" ref="I193:K193" si="429">SUM(I194:I195)</f>
        <v>1247.8812413015617</v>
      </c>
      <c r="J193" s="3081">
        <f t="shared" si="429"/>
        <v>1181.4260272677509</v>
      </c>
      <c r="K193" s="3081">
        <f t="shared" si="429"/>
        <v>1181.4260272677509</v>
      </c>
      <c r="L193" s="3070">
        <f t="shared" ref="L193:L195" si="430">SUM(I193+J193+K193)</f>
        <v>3610.7332958370635</v>
      </c>
      <c r="M193" s="3070">
        <f t="shared" ref="M193:M195" si="431">SUM(H193+L193)</f>
        <v>7383.9126704234432</v>
      </c>
      <c r="N193" s="3081">
        <f t="shared" ref="N193:P193" si="432">SUM(N194:N195)</f>
        <v>1181.4260272677509</v>
      </c>
      <c r="O193" s="3081">
        <f t="shared" si="432"/>
        <v>1181.4260272677509</v>
      </c>
      <c r="P193" s="3081">
        <f t="shared" si="432"/>
        <v>1247.8812413015617</v>
      </c>
      <c r="Q193" s="3070">
        <f t="shared" ref="Q193:Q195" si="433">SUM(N193+O193+P193)</f>
        <v>3610.7332958370635</v>
      </c>
      <c r="R193" s="3070">
        <f t="shared" ref="R193:R195" si="434">SUM(M193+Q193)</f>
        <v>10994.645966260507</v>
      </c>
      <c r="S193" s="3081">
        <f t="shared" ref="S193:U193" si="435">SUM(S194:S195)</f>
        <v>1255.2651539719852</v>
      </c>
      <c r="T193" s="3081">
        <f t="shared" si="435"/>
        <v>1255.2651539719852</v>
      </c>
      <c r="U193" s="3081">
        <f t="shared" si="435"/>
        <v>1262.6490666424088</v>
      </c>
      <c r="V193" s="3070">
        <f t="shared" ref="V193:V195" si="436">SUM(S193+T193+U193)</f>
        <v>3773.1793745863793</v>
      </c>
      <c r="W193" s="3085">
        <f t="shared" ref="W193:W195" si="437">SUM(E193+F193+G193+I193+J193+K193+N193+O193+P193+S193+T193+U193)</f>
        <v>14767.825340846886</v>
      </c>
    </row>
    <row r="194" spans="1:23" ht="18.75" customHeight="1">
      <c r="A194" s="3059" t="s">
        <v>390</v>
      </c>
      <c r="B194" s="3063">
        <f>SUM(C186-C190)*C183</f>
        <v>3608.7303437748519</v>
      </c>
      <c r="C194" s="3063">
        <f>SUM(C186-C190)*C183</f>
        <v>3608.7303437748519</v>
      </c>
      <c r="D194" s="3063">
        <f>SUM(D186-D190)*D183</f>
        <v>0</v>
      </c>
      <c r="E194" s="3071">
        <f>SUM(C186-E190)*E183</f>
        <v>308.54644439274989</v>
      </c>
      <c r="F194" s="3071">
        <f>SUM(C186-F190)*F183</f>
        <v>306.74207922086242</v>
      </c>
      <c r="G194" s="3071">
        <f>SUM(C186-G190)*G183</f>
        <v>306.74207922086242</v>
      </c>
      <c r="H194" s="3072">
        <f t="shared" si="428"/>
        <v>922.03060283447485</v>
      </c>
      <c r="I194" s="3071">
        <f>SUM(C186-I190)*I183</f>
        <v>304.93771404897495</v>
      </c>
      <c r="J194" s="3071">
        <f>SUM(C186-J190)*J183</f>
        <v>288.69842750198819</v>
      </c>
      <c r="K194" s="3071">
        <f>SUM(C186-K190)*K183</f>
        <v>288.69842750198819</v>
      </c>
      <c r="L194" s="3072">
        <f t="shared" si="430"/>
        <v>882.33456905295134</v>
      </c>
      <c r="M194" s="3072">
        <f t="shared" si="431"/>
        <v>1804.3651718874262</v>
      </c>
      <c r="N194" s="3071">
        <f>SUM(C186-N190)*N183</f>
        <v>288.69842750198819</v>
      </c>
      <c r="O194" s="3071">
        <f>SUM(C186-O190)*O183</f>
        <v>288.69842750198819</v>
      </c>
      <c r="P194" s="3071">
        <f>SUM(C186-P190)*P183</f>
        <v>304.93771404897495</v>
      </c>
      <c r="Q194" s="3072">
        <f t="shared" si="433"/>
        <v>882.33456905295134</v>
      </c>
      <c r="R194" s="3072">
        <f t="shared" si="434"/>
        <v>2686.6997409403775</v>
      </c>
      <c r="S194" s="3071">
        <f>SUM(C186-S190)*S183</f>
        <v>306.74207922086242</v>
      </c>
      <c r="T194" s="3071">
        <f>SUM(C186-T190)*T183</f>
        <v>306.74207922086242</v>
      </c>
      <c r="U194" s="3071">
        <f>SUM(C186-U190)*U183</f>
        <v>308.54644439274989</v>
      </c>
      <c r="V194" s="3072">
        <f t="shared" si="436"/>
        <v>922.03060283447473</v>
      </c>
      <c r="W194" s="3087">
        <f t="shared" si="437"/>
        <v>3608.7303437748519</v>
      </c>
    </row>
    <row r="195" spans="1:23" ht="18.75" customHeight="1">
      <c r="A195" s="3059" t="s">
        <v>1734</v>
      </c>
      <c r="B195" s="3063">
        <f>SUM(C187-C191)*C184</f>
        <v>11159.094997072032</v>
      </c>
      <c r="C195" s="3063">
        <f>SUM(C187-C191)*C184</f>
        <v>11159.094997072032</v>
      </c>
      <c r="D195" s="3063">
        <f>SUM([22]стоки!AI136)</f>
        <v>0</v>
      </c>
      <c r="E195" s="3071">
        <f>SUM(C187-E191)*E184</f>
        <v>954.10262224965891</v>
      </c>
      <c r="F195" s="3071">
        <f>SUM(C187-F191)*F184</f>
        <v>948.52307475112275</v>
      </c>
      <c r="G195" s="3071">
        <f>SUM(C187-G191)*G184</f>
        <v>948.52307475112275</v>
      </c>
      <c r="H195" s="3072">
        <f t="shared" si="428"/>
        <v>2851.1487717519044</v>
      </c>
      <c r="I195" s="3071">
        <f>SUM(C187-I191)*I184</f>
        <v>942.94352725258659</v>
      </c>
      <c r="J195" s="3071">
        <f>SUM(C187-J191)*J184</f>
        <v>892.72759976576265</v>
      </c>
      <c r="K195" s="3071">
        <f>SUM(C187-K191)*K184</f>
        <v>892.72759976576265</v>
      </c>
      <c r="L195" s="3072">
        <f t="shared" si="430"/>
        <v>2728.3987267841117</v>
      </c>
      <c r="M195" s="3072">
        <f t="shared" si="431"/>
        <v>5579.5474985360161</v>
      </c>
      <c r="N195" s="3071">
        <f>SUM(C187-N191)*N184</f>
        <v>892.72759976576265</v>
      </c>
      <c r="O195" s="3071">
        <f>SUM(C187-O191)*O184</f>
        <v>892.72759976576265</v>
      </c>
      <c r="P195" s="3071">
        <f>SUM(C187-P191)*P184</f>
        <v>942.94352725258659</v>
      </c>
      <c r="Q195" s="3072">
        <f t="shared" si="433"/>
        <v>2728.3987267841121</v>
      </c>
      <c r="R195" s="3072">
        <f t="shared" si="434"/>
        <v>8307.9462253201273</v>
      </c>
      <c r="S195" s="3071">
        <f>SUM(C187-S191)*S184</f>
        <v>948.52307475112275</v>
      </c>
      <c r="T195" s="3071">
        <f>SUM(C187-T191)*T184</f>
        <v>948.52307475112275</v>
      </c>
      <c r="U195" s="3071">
        <f>SUM(C187-U191)*U184</f>
        <v>954.10262224965891</v>
      </c>
      <c r="V195" s="3072">
        <f t="shared" si="436"/>
        <v>2851.1487717519044</v>
      </c>
      <c r="W195" s="3087">
        <f t="shared" si="437"/>
        <v>11159.094997072032</v>
      </c>
    </row>
    <row r="196" spans="1:23" ht="18.75" customHeight="1"/>
    <row r="197" spans="1:23" ht="18.75" customHeight="1"/>
    <row r="198" spans="1:23" ht="18.75" customHeight="1">
      <c r="A198" s="430" t="s">
        <v>1743</v>
      </c>
      <c r="B198" s="430"/>
      <c r="C198" s="430" t="s">
        <v>1744</v>
      </c>
    </row>
    <row r="199" spans="1:23" ht="18.75" customHeight="1"/>
    <row r="200" spans="1:23" ht="18.75" customHeight="1"/>
    <row r="201" spans="1:23" ht="18.75" customHeight="1"/>
    <row r="202" spans="1:23" ht="18.75" customHeight="1"/>
    <row r="203" spans="1:23" ht="18.75" customHeight="1"/>
    <row r="204" spans="1:23" ht="18.75" customHeight="1">
      <c r="A204" s="4858" t="s">
        <v>2040</v>
      </c>
      <c r="B204" s="423"/>
      <c r="C204" s="423"/>
      <c r="D204" s="423"/>
      <c r="E204" s="423"/>
      <c r="F204" s="423"/>
      <c r="G204" s="423"/>
      <c r="H204" s="423"/>
      <c r="I204" s="423"/>
    </row>
    <row r="205" spans="1:23" ht="18.75" customHeight="1"/>
    <row r="206" spans="1:23" ht="18.75" customHeight="1"/>
    <row r="207" spans="1:23" ht="18.75" customHeight="1"/>
    <row r="208" spans="1:23" ht="18.75" customHeight="1"/>
    <row r="209" ht="18.75" customHeight="1"/>
    <row r="210" ht="18.75" customHeight="1"/>
    <row r="211" ht="18.75" customHeight="1"/>
    <row r="212" ht="18.75" customHeight="1"/>
    <row r="213" ht="18.75" customHeight="1"/>
    <row r="214" ht="18.75" customHeight="1"/>
    <row r="215" ht="18.75" customHeight="1"/>
    <row r="216" ht="18.75" customHeight="1"/>
    <row r="217" ht="18.75" customHeight="1"/>
    <row r="218" ht="18.75" customHeight="1"/>
    <row r="219" ht="18.75" customHeight="1"/>
    <row r="220" ht="18.75" customHeight="1"/>
    <row r="221" ht="18.75" customHeight="1"/>
    <row r="222" ht="18.75" customHeight="1"/>
    <row r="223" ht="18.75" customHeight="1"/>
    <row r="224" ht="18.75" customHeight="1"/>
    <row r="225" ht="18.75" customHeight="1"/>
    <row r="226" ht="18.75" customHeight="1"/>
    <row r="227" ht="18.75" customHeight="1"/>
    <row r="228" ht="18.75" customHeight="1"/>
    <row r="229" ht="18.75" customHeight="1"/>
    <row r="230" ht="18.75" customHeight="1"/>
    <row r="231" ht="18.75" customHeight="1"/>
    <row r="232" ht="18.75" customHeight="1"/>
    <row r="233" ht="18.75" customHeight="1"/>
    <row r="234" ht="18.75" customHeight="1"/>
    <row r="235" ht="18.75" customHeight="1"/>
    <row r="236" ht="18.75" customHeight="1"/>
    <row r="237" ht="18.75" customHeight="1"/>
    <row r="238" ht="18.75" customHeight="1"/>
    <row r="239" ht="18.75" customHeight="1"/>
    <row r="240" ht="18.75" customHeight="1"/>
    <row r="241" ht="18.75" customHeight="1"/>
    <row r="242" ht="18.75" customHeight="1"/>
    <row r="243" ht="18.75" customHeight="1"/>
    <row r="244" ht="18.75" customHeight="1"/>
    <row r="245" ht="18.75" customHeight="1"/>
    <row r="246" ht="18.75" customHeight="1"/>
    <row r="247" ht="18.75" customHeight="1"/>
    <row r="248" ht="18.75" customHeight="1"/>
    <row r="249" ht="18.75" customHeight="1"/>
    <row r="250" ht="18.75" customHeight="1"/>
    <row r="251" ht="18.75" customHeight="1"/>
    <row r="252" ht="18.75" customHeight="1"/>
    <row r="253" ht="18.75" customHeight="1"/>
    <row r="254" ht="18.75" customHeight="1"/>
    <row r="255" ht="18.75" customHeight="1"/>
    <row r="256" ht="18.75" customHeight="1"/>
    <row r="257" ht="18.75" customHeight="1"/>
    <row r="258" ht="18.75" customHeight="1"/>
    <row r="259" ht="18.75" customHeight="1"/>
    <row r="260" ht="18.75" customHeight="1"/>
    <row r="261" ht="18.75" customHeight="1"/>
    <row r="262" ht="18.75" customHeight="1"/>
    <row r="263" ht="18.75" customHeight="1"/>
    <row r="264" ht="18.75" customHeight="1"/>
    <row r="265" ht="18.75" customHeight="1"/>
    <row r="266" ht="18.75" customHeight="1"/>
    <row r="267" ht="18.75" customHeight="1"/>
    <row r="268" ht="18.75" customHeight="1"/>
    <row r="269" ht="18.75" customHeight="1"/>
    <row r="270" ht="18.75" customHeight="1"/>
    <row r="271" ht="18.75" customHeight="1"/>
    <row r="272" ht="18.75" customHeight="1"/>
    <row r="273" ht="18.75" customHeight="1"/>
    <row r="274" ht="18.75" customHeight="1"/>
    <row r="275" ht="18.75" customHeight="1"/>
    <row r="276" ht="18.75" customHeight="1"/>
    <row r="277" ht="18.75" customHeight="1"/>
    <row r="278" ht="18.75" customHeight="1"/>
    <row r="279" ht="18.75" customHeight="1"/>
    <row r="280" ht="18.75" customHeight="1"/>
    <row r="281" ht="18.75" customHeight="1"/>
    <row r="282" ht="18.75" customHeight="1"/>
    <row r="283" ht="18.75" customHeight="1"/>
    <row r="284" ht="18.75" customHeight="1"/>
    <row r="285" ht="18.75" customHeight="1"/>
    <row r="286" ht="18.75" customHeight="1"/>
    <row r="287" ht="18.75" customHeight="1"/>
    <row r="288" ht="18.75" customHeight="1"/>
    <row r="289" ht="18.75" customHeight="1"/>
    <row r="290" ht="18.75" customHeight="1"/>
    <row r="291" ht="18.75" customHeight="1"/>
    <row r="292" ht="18.75" customHeight="1"/>
    <row r="293" ht="18.75" customHeight="1"/>
    <row r="294" ht="18.75" customHeight="1"/>
    <row r="295" ht="18.75" customHeight="1"/>
    <row r="296" ht="18.75" customHeight="1"/>
    <row r="297" ht="18.75" customHeight="1"/>
    <row r="298" ht="18.75" customHeight="1"/>
    <row r="299" ht="18.75" customHeight="1"/>
    <row r="300" ht="18.75" customHeight="1"/>
    <row r="301" ht="18.75" customHeight="1"/>
    <row r="302" ht="18.75" customHeight="1"/>
    <row r="303" ht="18.75" customHeight="1"/>
    <row r="304" ht="18.75" customHeight="1"/>
    <row r="305" ht="18.75" customHeight="1"/>
    <row r="306" ht="18.75" customHeight="1"/>
    <row r="307" ht="18.75" customHeight="1"/>
    <row r="308" ht="18.75" customHeight="1"/>
    <row r="309" ht="18.75" customHeight="1"/>
    <row r="310" ht="18.75" customHeight="1"/>
    <row r="311" ht="18.75" customHeight="1"/>
    <row r="312" ht="18.75" customHeight="1"/>
    <row r="313" ht="18.75" customHeight="1"/>
    <row r="314" ht="18.75" customHeight="1"/>
    <row r="315" ht="18.75" customHeight="1"/>
    <row r="316" ht="18.75" customHeight="1"/>
    <row r="317" ht="18.75" customHeight="1"/>
    <row r="318" ht="18.75" customHeight="1"/>
    <row r="319" ht="18.75" customHeight="1"/>
    <row r="320" ht="18.75" customHeight="1"/>
    <row r="321" ht="18.75" customHeight="1"/>
    <row r="322" ht="18.75" customHeight="1"/>
    <row r="323" ht="18.75" customHeight="1"/>
    <row r="324" ht="18.75" customHeight="1"/>
    <row r="325" ht="18.75" customHeight="1"/>
    <row r="326" ht="18.75" customHeight="1"/>
    <row r="327" ht="18.75" customHeight="1"/>
    <row r="328" ht="18.75" customHeight="1"/>
    <row r="329" ht="18.75" customHeight="1"/>
    <row r="330" ht="18.75" customHeight="1"/>
    <row r="331" ht="18.75" customHeight="1"/>
    <row r="332" ht="18.75" customHeight="1"/>
    <row r="333" ht="18.75" customHeight="1"/>
    <row r="334" ht="18.75" customHeight="1"/>
    <row r="335" ht="18.75" customHeight="1"/>
    <row r="336" ht="18.75" customHeight="1"/>
    <row r="337" ht="18.75" customHeight="1"/>
    <row r="338" ht="18.75" customHeight="1"/>
    <row r="339" ht="18.75" customHeight="1"/>
    <row r="340" ht="18.75" customHeight="1"/>
    <row r="341" ht="18.75" customHeight="1"/>
    <row r="342" ht="18.75" customHeight="1"/>
    <row r="343" ht="18.75" customHeight="1"/>
    <row r="344" ht="18.75" customHeight="1"/>
    <row r="345" ht="18.75" customHeight="1"/>
    <row r="346" ht="18.75" customHeight="1"/>
    <row r="347" ht="18.75" customHeight="1"/>
    <row r="348" ht="18.75" customHeight="1"/>
    <row r="349" ht="18.75" customHeight="1"/>
    <row r="350" ht="18.75" customHeight="1"/>
    <row r="351" ht="18.75" customHeight="1"/>
    <row r="352" ht="18.75" customHeight="1"/>
    <row r="353" ht="18.75" customHeight="1"/>
    <row r="354" ht="18.75" customHeight="1"/>
    <row r="355" ht="18.75" customHeight="1"/>
    <row r="356" ht="18.75" customHeight="1"/>
    <row r="357" ht="18.75" customHeight="1"/>
    <row r="358" ht="18.75" customHeight="1"/>
    <row r="359" ht="18.75" customHeight="1"/>
    <row r="360" ht="18.75" customHeight="1"/>
    <row r="361" ht="18.75" customHeight="1"/>
    <row r="362" ht="18.75" customHeight="1"/>
    <row r="363" ht="18.75" customHeight="1"/>
    <row r="364" ht="18.75" customHeight="1"/>
    <row r="365" ht="18.75" customHeight="1"/>
    <row r="366" ht="18.75" customHeight="1"/>
    <row r="367" ht="18.75" customHeight="1"/>
    <row r="368" ht="18.75" customHeight="1"/>
    <row r="369" ht="18.75" customHeight="1"/>
    <row r="370" ht="18.75" customHeight="1"/>
    <row r="371" ht="18.75" customHeight="1"/>
    <row r="372" ht="18.75" customHeight="1"/>
    <row r="373" ht="18.75" customHeight="1"/>
    <row r="374" ht="18.75" customHeight="1"/>
    <row r="375" ht="18.75" customHeight="1"/>
    <row r="376" ht="18.75" customHeight="1"/>
    <row r="377" ht="18.75" customHeight="1"/>
    <row r="378" ht="18.75" customHeight="1"/>
    <row r="379" ht="18.75" customHeight="1"/>
    <row r="380" ht="18.75" customHeight="1"/>
    <row r="381" ht="18.75" customHeight="1"/>
    <row r="382" ht="18.75" customHeight="1"/>
    <row r="383" ht="18.75" customHeight="1"/>
    <row r="384" ht="18.75" customHeight="1"/>
    <row r="385" ht="18.75" customHeight="1"/>
    <row r="386" ht="18.75" customHeight="1"/>
    <row r="387" ht="18.75" customHeight="1"/>
    <row r="388" ht="18.75" customHeight="1"/>
    <row r="389" ht="18.75" customHeight="1"/>
    <row r="390" ht="18.75" customHeight="1"/>
    <row r="391" ht="18.75" customHeight="1"/>
    <row r="392" ht="18.75" customHeight="1"/>
    <row r="393" ht="18.75" customHeight="1"/>
    <row r="394" ht="18.75" customHeight="1"/>
    <row r="395" ht="18.75" customHeight="1"/>
    <row r="396" ht="18.75" customHeight="1"/>
    <row r="397" ht="18.75" customHeight="1"/>
    <row r="398" ht="18.75" customHeight="1"/>
    <row r="399" ht="18.75" customHeight="1"/>
    <row r="400" ht="18.75" customHeight="1"/>
    <row r="401" ht="18.75" customHeight="1"/>
    <row r="402" ht="18.75" customHeight="1"/>
    <row r="403" ht="18.75" customHeight="1"/>
    <row r="404" ht="18.75" customHeight="1"/>
    <row r="405" ht="18.75" customHeight="1"/>
    <row r="406" ht="18.75" customHeight="1"/>
    <row r="407" ht="18.75" customHeight="1"/>
    <row r="408" ht="18.75" customHeight="1"/>
    <row r="409" ht="18.75" customHeight="1"/>
    <row r="410" ht="18.75" customHeight="1"/>
    <row r="411" ht="18.75" customHeight="1"/>
    <row r="412" ht="18.75" customHeight="1"/>
    <row r="413" ht="18.75" customHeight="1"/>
    <row r="414" ht="18.75" customHeight="1"/>
    <row r="415" ht="18.75" customHeight="1"/>
    <row r="416" ht="18.75" customHeight="1"/>
    <row r="417" ht="18.75" customHeight="1"/>
    <row r="418" ht="18.75" customHeight="1"/>
    <row r="419" ht="18.75" customHeight="1"/>
    <row r="420" ht="18.75" customHeight="1"/>
    <row r="421" ht="18.75" customHeight="1"/>
    <row r="422" ht="18.75" customHeight="1"/>
    <row r="423" ht="18.75" customHeight="1"/>
    <row r="424" ht="18.75" customHeight="1"/>
    <row r="425" ht="18.75" customHeight="1"/>
    <row r="426" ht="18.75" customHeight="1"/>
    <row r="427" ht="18.75" customHeight="1"/>
    <row r="428" ht="18.75" customHeight="1"/>
    <row r="429" ht="18.75" customHeight="1"/>
    <row r="430" ht="18.75" customHeight="1"/>
    <row r="431" ht="18.75" customHeight="1"/>
    <row r="432" ht="18.75" customHeight="1"/>
    <row r="433" ht="18.75" customHeight="1"/>
    <row r="434" ht="18.75" customHeight="1"/>
    <row r="435" ht="18.75" customHeight="1"/>
    <row r="436" ht="18.75" customHeight="1"/>
    <row r="437" ht="18.75" customHeight="1"/>
    <row r="438" ht="18.75" customHeight="1"/>
    <row r="439" ht="18.75" customHeight="1"/>
    <row r="440" ht="18.75" customHeight="1"/>
    <row r="441" ht="18.75" customHeight="1"/>
    <row r="442" ht="18.75" customHeight="1"/>
    <row r="443" ht="18.75" customHeight="1"/>
    <row r="444" ht="18.75" customHeight="1"/>
    <row r="445" ht="18.75" customHeight="1"/>
    <row r="446" ht="18.75" customHeight="1"/>
    <row r="447" ht="18.75" customHeight="1"/>
    <row r="448" ht="18.75" customHeight="1"/>
    <row r="449" ht="18.75" customHeight="1"/>
    <row r="450" ht="18.75" customHeight="1"/>
    <row r="451" ht="18.75" customHeight="1"/>
    <row r="452" ht="18.75" customHeight="1"/>
    <row r="453" ht="18.75" customHeight="1"/>
    <row r="454" ht="18.75" customHeight="1"/>
    <row r="455" ht="18.75" customHeight="1"/>
    <row r="456" ht="18.75" customHeight="1"/>
    <row r="457" ht="18.75" customHeight="1"/>
    <row r="458" ht="18.75" customHeight="1"/>
    <row r="459" ht="18.75" customHeight="1"/>
    <row r="460" ht="18.75" customHeight="1"/>
    <row r="461" ht="18.75" customHeight="1"/>
    <row r="462" ht="18.75" customHeight="1"/>
    <row r="463" ht="18.75" customHeight="1"/>
    <row r="464" ht="18.75" customHeight="1"/>
    <row r="465" ht="18.75" customHeight="1"/>
    <row r="466" ht="18.75" customHeight="1"/>
    <row r="467" ht="18.75" customHeight="1"/>
    <row r="468" ht="18.75" customHeight="1"/>
    <row r="469" ht="18.75" customHeight="1"/>
    <row r="470" ht="18.75" customHeight="1"/>
    <row r="471" ht="18.75" customHeight="1"/>
    <row r="472" ht="18.75" customHeight="1"/>
    <row r="473" ht="18.75" customHeight="1"/>
    <row r="474" ht="18.75" customHeight="1"/>
    <row r="475" ht="18.75" customHeight="1"/>
    <row r="476" ht="18.75" customHeight="1"/>
    <row r="477" ht="18.75" customHeight="1"/>
    <row r="478" ht="18.75" customHeight="1"/>
    <row r="479" ht="18.75" customHeight="1"/>
    <row r="480" ht="18.75" customHeight="1"/>
    <row r="481" ht="18.75" customHeight="1"/>
    <row r="482" ht="18.75" customHeight="1"/>
    <row r="483" ht="18.75" customHeight="1"/>
    <row r="484" ht="18.75" customHeight="1"/>
    <row r="485" ht="18.75" customHeight="1"/>
    <row r="486" ht="18.75" customHeight="1"/>
    <row r="487" ht="18.75" customHeight="1"/>
    <row r="488" ht="18.75" customHeight="1"/>
    <row r="489" ht="18.75" customHeight="1"/>
    <row r="490" ht="18.75" customHeight="1"/>
    <row r="491" ht="18.75" customHeight="1"/>
    <row r="492" ht="18.75" customHeight="1"/>
    <row r="493" ht="18.75" customHeight="1"/>
    <row r="494" ht="18.75" customHeight="1"/>
    <row r="495" ht="18.75" customHeight="1"/>
    <row r="496" ht="18.75" customHeight="1"/>
    <row r="497" ht="18.75" customHeight="1"/>
    <row r="498" ht="18.75" customHeight="1"/>
    <row r="499" ht="18.75" customHeight="1"/>
    <row r="500" ht="18.75" customHeight="1"/>
    <row r="501" ht="18.75" customHeight="1"/>
    <row r="502" ht="18.75" customHeight="1"/>
    <row r="503" ht="18.75" customHeight="1"/>
    <row r="504" ht="18.75" customHeight="1"/>
    <row r="505" ht="18.75" customHeight="1"/>
    <row r="506" ht="18.75" customHeight="1"/>
    <row r="507" ht="18.75" customHeight="1"/>
    <row r="508" ht="18.75" customHeight="1"/>
    <row r="509" ht="18.75" customHeight="1"/>
    <row r="510" ht="18.75" customHeight="1"/>
    <row r="511" ht="18.75" customHeight="1"/>
    <row r="512" ht="18.75" customHeight="1"/>
    <row r="513" ht="18.75" customHeight="1"/>
    <row r="514" ht="18.75" customHeight="1"/>
    <row r="515" ht="18.75" customHeight="1"/>
    <row r="516" ht="18.75" customHeight="1"/>
    <row r="517" ht="18.75" customHeight="1"/>
    <row r="518" ht="18.75" customHeight="1"/>
    <row r="519" ht="18.75" customHeight="1"/>
    <row r="520" ht="18.75" customHeight="1"/>
    <row r="521" ht="18.75" customHeight="1"/>
    <row r="522" ht="18.75" customHeight="1"/>
    <row r="523" ht="18.75" customHeight="1"/>
    <row r="524" ht="18.75" customHeight="1"/>
    <row r="525" ht="18.75" customHeight="1"/>
    <row r="526" ht="18.75" customHeight="1"/>
    <row r="527" ht="18.75" customHeight="1"/>
    <row r="528" ht="18.75" customHeight="1"/>
    <row r="529" ht="18.75" customHeight="1"/>
    <row r="530" ht="18.75" customHeight="1"/>
    <row r="531" ht="18.75" customHeight="1"/>
    <row r="532" ht="18.75" customHeight="1"/>
    <row r="533" ht="18.75" customHeight="1"/>
    <row r="534" ht="18.75" customHeight="1"/>
    <row r="535" ht="18.75" customHeight="1"/>
    <row r="536" ht="18.75" customHeight="1"/>
    <row r="537" ht="18.75" customHeight="1"/>
    <row r="538" ht="18.75" customHeight="1"/>
    <row r="539" ht="18.75" customHeight="1"/>
    <row r="540" ht="18.75" customHeight="1"/>
    <row r="541" ht="18.75" customHeight="1"/>
    <row r="542" ht="18.75" customHeight="1"/>
    <row r="543" ht="18.75" customHeight="1"/>
    <row r="544" ht="18.75" customHeight="1"/>
    <row r="545" ht="18.75" customHeight="1"/>
    <row r="546" ht="18.75" customHeight="1"/>
    <row r="547" ht="18.75" customHeight="1"/>
    <row r="548" ht="18.75" customHeight="1"/>
    <row r="549" ht="18.75" customHeight="1"/>
    <row r="550" ht="18.75" customHeight="1"/>
    <row r="551" ht="18.75" customHeight="1"/>
    <row r="552" ht="18.75" customHeight="1"/>
    <row r="553" ht="18.75" customHeight="1"/>
    <row r="554" ht="18.75" customHeight="1"/>
    <row r="555" ht="18.75" customHeight="1"/>
    <row r="556" ht="18.75" customHeight="1"/>
    <row r="557" ht="18.75" customHeight="1"/>
    <row r="558" ht="18.75" customHeight="1"/>
    <row r="559" ht="18.75" customHeight="1"/>
    <row r="560" ht="18.75" customHeight="1"/>
    <row r="561" ht="18.75" customHeight="1"/>
    <row r="562" ht="18.75" customHeight="1"/>
    <row r="563" ht="18.75" customHeight="1"/>
    <row r="564" ht="18.75" customHeight="1"/>
    <row r="565" ht="18.75" customHeight="1"/>
    <row r="566" ht="18.75" customHeight="1"/>
    <row r="567" ht="18.75" customHeight="1"/>
    <row r="568" ht="18.75" customHeight="1"/>
    <row r="569" ht="18.75" customHeight="1"/>
    <row r="570" ht="18.75" customHeight="1"/>
    <row r="571" ht="18.75" customHeight="1"/>
    <row r="572" ht="18.75" customHeight="1"/>
    <row r="573" ht="18.75" customHeight="1"/>
    <row r="574" ht="18.75" customHeight="1"/>
    <row r="575" ht="18.75" customHeight="1"/>
    <row r="576" ht="18.75" customHeight="1"/>
    <row r="577" ht="18.75" customHeight="1"/>
    <row r="578" ht="18.75" customHeight="1"/>
    <row r="579" ht="18.75" customHeight="1"/>
    <row r="580" ht="18.75" customHeight="1"/>
    <row r="581" ht="18.75" customHeight="1"/>
    <row r="582" ht="18.75" customHeight="1"/>
    <row r="583" ht="18.75" customHeight="1"/>
    <row r="584" ht="18.75" customHeight="1"/>
    <row r="585" ht="18.75" customHeight="1"/>
    <row r="586" ht="18.75" customHeight="1"/>
    <row r="587" ht="18.75" customHeight="1"/>
    <row r="588" ht="18.75" customHeight="1"/>
    <row r="589" ht="18.75" customHeight="1"/>
    <row r="590" ht="18.75" customHeight="1"/>
    <row r="591" ht="18.75" customHeight="1"/>
    <row r="592" ht="18.75" customHeight="1"/>
    <row r="593" ht="18.75" customHeight="1"/>
    <row r="594" ht="18.75" customHeight="1"/>
    <row r="595" ht="18.75" customHeight="1"/>
    <row r="596" ht="18.75" customHeight="1"/>
    <row r="597" ht="18.75" customHeight="1"/>
    <row r="598" ht="18.75" customHeight="1"/>
    <row r="599" ht="18.75" customHeight="1"/>
    <row r="600" ht="18.75" customHeight="1"/>
    <row r="601" ht="18.75" customHeight="1"/>
  </sheetData>
  <mergeCells count="117">
    <mergeCell ref="R174:R175"/>
    <mergeCell ref="S174:S175"/>
    <mergeCell ref="T174:T175"/>
    <mergeCell ref="U174:U175"/>
    <mergeCell ref="V174:V175"/>
    <mergeCell ref="W174:W175"/>
    <mergeCell ref="L174:L175"/>
    <mergeCell ref="M174:M175"/>
    <mergeCell ref="N174:N175"/>
    <mergeCell ref="O174:O175"/>
    <mergeCell ref="P174:P175"/>
    <mergeCell ref="Q174:Q175"/>
    <mergeCell ref="A173:V173"/>
    <mergeCell ref="A174:A175"/>
    <mergeCell ref="B174:B175"/>
    <mergeCell ref="C174:D174"/>
    <mergeCell ref="E174:E175"/>
    <mergeCell ref="N151:N152"/>
    <mergeCell ref="O151:O152"/>
    <mergeCell ref="P151:P152"/>
    <mergeCell ref="Q151:Q152"/>
    <mergeCell ref="R151:R152"/>
    <mergeCell ref="S151:S152"/>
    <mergeCell ref="H151:H152"/>
    <mergeCell ref="I151:I152"/>
    <mergeCell ref="J151:J152"/>
    <mergeCell ref="K151:K152"/>
    <mergeCell ref="L151:L152"/>
    <mergeCell ref="M151:M152"/>
    <mergeCell ref="F174:F175"/>
    <mergeCell ref="G174:G175"/>
    <mergeCell ref="H174:H175"/>
    <mergeCell ref="I174:I175"/>
    <mergeCell ref="J174:J175"/>
    <mergeCell ref="K174:K175"/>
    <mergeCell ref="T151:T152"/>
    <mergeCell ref="W32:W33"/>
    <mergeCell ref="A150:V150"/>
    <mergeCell ref="A151:A152"/>
    <mergeCell ref="B151:B152"/>
    <mergeCell ref="C151:D151"/>
    <mergeCell ref="E151:E152"/>
    <mergeCell ref="F151:F152"/>
    <mergeCell ref="G151:G152"/>
    <mergeCell ref="P32:P33"/>
    <mergeCell ref="Q32:Q33"/>
    <mergeCell ref="R32:R33"/>
    <mergeCell ref="S32:S33"/>
    <mergeCell ref="T32:T33"/>
    <mergeCell ref="U32:U33"/>
    <mergeCell ref="J32:J33"/>
    <mergeCell ref="K32:K33"/>
    <mergeCell ref="L32:L33"/>
    <mergeCell ref="M32:M33"/>
    <mergeCell ref="N32:N33"/>
    <mergeCell ref="O32:O33"/>
    <mergeCell ref="W151:W152"/>
    <mergeCell ref="U151:U152"/>
    <mergeCell ref="V151:V152"/>
    <mergeCell ref="A31:V31"/>
    <mergeCell ref="A32:A33"/>
    <mergeCell ref="B32:B33"/>
    <mergeCell ref="C32:D32"/>
    <mergeCell ref="E32:E33"/>
    <mergeCell ref="F32:F33"/>
    <mergeCell ref="G32:G33"/>
    <mergeCell ref="H32:H33"/>
    <mergeCell ref="I32:I33"/>
    <mergeCell ref="V32:V33"/>
    <mergeCell ref="R18:R19"/>
    <mergeCell ref="S18:S19"/>
    <mergeCell ref="T18:T19"/>
    <mergeCell ref="U18:U19"/>
    <mergeCell ref="V18:V19"/>
    <mergeCell ref="W18:W19"/>
    <mergeCell ref="L18:L19"/>
    <mergeCell ref="M18:M19"/>
    <mergeCell ref="N18:N19"/>
    <mergeCell ref="O18:O19"/>
    <mergeCell ref="P18:P19"/>
    <mergeCell ref="Q18:Q19"/>
    <mergeCell ref="W10:W11"/>
    <mergeCell ref="A17:V17"/>
    <mergeCell ref="A18:A19"/>
    <mergeCell ref="B18:B19"/>
    <mergeCell ref="C18:D18"/>
    <mergeCell ref="E18:E19"/>
    <mergeCell ref="N10:N11"/>
    <mergeCell ref="O10:O11"/>
    <mergeCell ref="P10:P11"/>
    <mergeCell ref="Q10:Q11"/>
    <mergeCell ref="R10:R11"/>
    <mergeCell ref="S10:S11"/>
    <mergeCell ref="H10:H11"/>
    <mergeCell ref="I10:I11"/>
    <mergeCell ref="J10:J11"/>
    <mergeCell ref="K10:K11"/>
    <mergeCell ref="L10:L11"/>
    <mergeCell ref="M10:M11"/>
    <mergeCell ref="F18:F19"/>
    <mergeCell ref="G18:G19"/>
    <mergeCell ref="H18:H19"/>
    <mergeCell ref="I18:I19"/>
    <mergeCell ref="J18:J19"/>
    <mergeCell ref="K18:K19"/>
    <mergeCell ref="A7:V7"/>
    <mergeCell ref="A8:D8"/>
    <mergeCell ref="A9:V9"/>
    <mergeCell ref="A10:A11"/>
    <mergeCell ref="B10:B11"/>
    <mergeCell ref="C10:D10"/>
    <mergeCell ref="E10:E11"/>
    <mergeCell ref="F10:F11"/>
    <mergeCell ref="G10:G11"/>
    <mergeCell ref="T10:T11"/>
    <mergeCell ref="U10:U11"/>
    <mergeCell ref="V10:V11"/>
  </mergeCells>
  <printOptions horizontalCentered="1"/>
  <pageMargins left="0.35433070866141736" right="0.35433070866141736" top="0.78740157480314965" bottom="0.74803149606299213" header="0" footer="0"/>
  <pageSetup paperSize="9" scale="29" fitToHeight="4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1"/>
    <pageSetUpPr fitToPage="1"/>
  </sheetPr>
  <dimension ref="A1:AX235"/>
  <sheetViews>
    <sheetView zoomScale="60" zoomScaleNormal="60" zoomScalePageLayoutView="90" workbookViewId="0">
      <pane xSplit="1" ySplit="10" topLeftCell="B11" activePane="bottomRight" state="frozen"/>
      <selection pane="topRight" activeCell="K1" sqref="K1"/>
      <selection pane="bottomLeft" activeCell="A12" sqref="A12"/>
      <selection pane="bottomRight" activeCell="A17" sqref="A17"/>
    </sheetView>
  </sheetViews>
  <sheetFormatPr defaultRowHeight="12.75"/>
  <cols>
    <col min="1" max="1" width="52.140625" customWidth="1"/>
    <col min="2" max="4" width="14.7109375" customWidth="1"/>
    <col min="5" max="7" width="12.7109375" customWidth="1"/>
    <col min="8" max="8" width="13.7109375" customWidth="1"/>
    <col min="9" max="11" width="12.7109375" customWidth="1"/>
    <col min="12" max="13" width="13.7109375" customWidth="1"/>
    <col min="14" max="16" width="12.7109375" customWidth="1"/>
    <col min="17" max="18" width="13.7109375" customWidth="1"/>
    <col min="19" max="21" width="12.7109375" customWidth="1"/>
    <col min="22" max="22" width="13.7109375" customWidth="1"/>
    <col min="23" max="23" width="12.7109375" customWidth="1"/>
  </cols>
  <sheetData>
    <row r="1" spans="1:50" ht="23.25">
      <c r="J1" s="3050"/>
      <c r="Q1" s="3051"/>
      <c r="R1" s="3051" t="s">
        <v>1705</v>
      </c>
      <c r="S1" s="3051"/>
      <c r="T1" s="2209"/>
    </row>
    <row r="2" spans="1:50" ht="23.25">
      <c r="J2" s="3050"/>
      <c r="Q2" s="3051"/>
      <c r="R2" s="3051" t="s">
        <v>1759</v>
      </c>
      <c r="S2" s="3051"/>
      <c r="T2" s="2209"/>
    </row>
    <row r="3" spans="1:50" ht="31.5" customHeight="1">
      <c r="J3" s="3050"/>
      <c r="K3" s="3052"/>
      <c r="Q3" s="3051"/>
      <c r="R3" s="3051" t="s">
        <v>1760</v>
      </c>
      <c r="S3" s="3051"/>
      <c r="T3" s="2209"/>
    </row>
    <row r="4" spans="1:50" ht="31.5" customHeight="1">
      <c r="A4" s="657"/>
      <c r="B4" s="657"/>
      <c r="C4" s="657"/>
      <c r="D4" s="657"/>
      <c r="E4" s="657"/>
      <c r="F4" s="657"/>
      <c r="G4" s="657"/>
      <c r="H4" s="657"/>
      <c r="I4" s="657"/>
      <c r="J4" s="3050"/>
      <c r="K4" s="657"/>
      <c r="L4" s="657"/>
      <c r="M4" s="657"/>
      <c r="N4" s="657"/>
      <c r="O4" s="657"/>
      <c r="P4" s="657"/>
      <c r="Q4" s="3051"/>
      <c r="R4" s="3051" t="s">
        <v>1761</v>
      </c>
      <c r="S4" s="3051"/>
      <c r="T4" s="657"/>
      <c r="U4" s="657"/>
      <c r="V4" s="657"/>
    </row>
    <row r="5" spans="1:50">
      <c r="A5" s="657"/>
      <c r="B5" s="3053">
        <f>SUM(E5+F5+G5+I5+J5+K5+N5+O5+P5+S5+T5+U5)</f>
        <v>1</v>
      </c>
      <c r="C5" s="3054"/>
      <c r="D5" s="3054"/>
      <c r="E5" s="3053">
        <f>SUM(E17/B17)</f>
        <v>8.550000000000002E-2</v>
      </c>
      <c r="F5" s="3053">
        <f>SUM(F17/B17)</f>
        <v>8.5000000000000006E-2</v>
      </c>
      <c r="G5" s="3053">
        <f>SUM(G17/B17)</f>
        <v>8.5000000000000006E-2</v>
      </c>
      <c r="H5" s="3053">
        <f>SUM(H17/B17)</f>
        <v>0.25550000000000006</v>
      </c>
      <c r="I5" s="3053">
        <f>SUM(I17/B17)</f>
        <v>8.4500000000000006E-2</v>
      </c>
      <c r="J5" s="3053">
        <f>SUM(J17/B17)</f>
        <v>8.0000000000000016E-2</v>
      </c>
      <c r="K5" s="3053">
        <f>SUM(K17/B17)</f>
        <v>8.0000000000000016E-2</v>
      </c>
      <c r="L5" s="3053">
        <f>SUM(L17/B17)</f>
        <v>0.24450000000000002</v>
      </c>
      <c r="M5" s="3053">
        <f>SUM(M17/B17)</f>
        <v>0.50000000000000011</v>
      </c>
      <c r="N5" s="3053">
        <f>SUM(N17/B17)</f>
        <v>8.0000000000000016E-2</v>
      </c>
      <c r="O5" s="3053">
        <f>SUM(O17/B17)</f>
        <v>8.0000000000000016E-2</v>
      </c>
      <c r="P5" s="3053">
        <f>SUM(P17/B17)</f>
        <v>8.4500000000000006E-2</v>
      </c>
      <c r="Q5" s="3053">
        <f>SUM(Q17/B17)</f>
        <v>0.24450000000000002</v>
      </c>
      <c r="R5" s="3053">
        <f>SUM(R17/B17)</f>
        <v>0.74450000000000016</v>
      </c>
      <c r="S5" s="3053">
        <f>SUM(S17/B17)</f>
        <v>8.5000000000000006E-2</v>
      </c>
      <c r="T5" s="3053">
        <f>SUM(T17/B17)</f>
        <v>8.5000000000000006E-2</v>
      </c>
      <c r="U5" s="3053">
        <f>SUM(U17/B17)</f>
        <v>8.550000000000002E-2</v>
      </c>
      <c r="V5" s="3053">
        <f>SUM(V17/B17)</f>
        <v>0.25550000000000006</v>
      </c>
      <c r="W5" s="3055">
        <f>SUM(W17/B17)</f>
        <v>1.0000000000000002</v>
      </c>
      <c r="X5" s="2388"/>
      <c r="Y5" s="2388"/>
    </row>
    <row r="6" spans="1:50" ht="23.25">
      <c r="A6" s="5003" t="s">
        <v>1959</v>
      </c>
      <c r="B6" s="5003"/>
      <c r="C6" s="5003"/>
      <c r="D6" s="5003"/>
      <c r="E6" s="5003"/>
      <c r="F6" s="5003"/>
      <c r="G6" s="5004"/>
      <c r="H6" s="5004"/>
      <c r="I6" s="5004"/>
      <c r="J6" s="5004"/>
      <c r="K6" s="5004"/>
      <c r="L6" s="5004"/>
      <c r="M6" s="5004"/>
      <c r="N6" s="5004"/>
      <c r="O6" s="5004"/>
      <c r="P6" s="5004"/>
      <c r="Q6" s="5004"/>
      <c r="R6" s="5004"/>
      <c r="S6" s="5004"/>
      <c r="T6" s="5004"/>
      <c r="U6" s="5004"/>
      <c r="V6" s="5004"/>
    </row>
    <row r="7" spans="1:50" collapsed="1">
      <c r="A7" s="657"/>
      <c r="B7" s="657"/>
      <c r="C7" s="657"/>
      <c r="D7" s="657"/>
      <c r="E7" s="657"/>
      <c r="F7" s="657"/>
      <c r="G7" s="657"/>
      <c r="H7" s="657"/>
      <c r="I7" s="657"/>
      <c r="J7" s="657"/>
      <c r="K7" s="657"/>
      <c r="L7" s="657"/>
      <c r="M7" s="657"/>
      <c r="N7" s="657"/>
      <c r="O7" s="657"/>
      <c r="P7" s="657"/>
      <c r="Q7" s="657"/>
      <c r="R7" s="657"/>
      <c r="S7" s="657"/>
      <c r="T7" s="657"/>
      <c r="U7" s="657"/>
      <c r="V7" s="657"/>
    </row>
    <row r="8" spans="1:50" ht="18.75">
      <c r="A8" s="5005" t="s">
        <v>1706</v>
      </c>
      <c r="B8" s="5006"/>
      <c r="C8" s="5006"/>
      <c r="D8" s="5006"/>
      <c r="E8" s="5006"/>
      <c r="F8" s="5006"/>
      <c r="G8" s="5006"/>
      <c r="H8" s="5006"/>
      <c r="I8" s="5006"/>
      <c r="J8" s="5006"/>
      <c r="K8" s="5006"/>
      <c r="L8" s="5006"/>
      <c r="M8" s="5006"/>
      <c r="N8" s="5006"/>
      <c r="O8" s="5006"/>
      <c r="P8" s="5006"/>
      <c r="Q8" s="5006"/>
      <c r="R8" s="5006"/>
      <c r="S8" s="5006"/>
      <c r="T8" s="5006"/>
      <c r="U8" s="5006"/>
      <c r="V8" s="5006"/>
      <c r="W8" s="3056"/>
    </row>
    <row r="9" spans="1:50" ht="18.75">
      <c r="A9" s="4989" t="s">
        <v>545</v>
      </c>
      <c r="B9" s="4982" t="s">
        <v>1960</v>
      </c>
      <c r="C9" s="4982" t="s">
        <v>575</v>
      </c>
      <c r="D9" s="4982"/>
      <c r="E9" s="4981" t="s">
        <v>586</v>
      </c>
      <c r="F9" s="4981" t="s">
        <v>587</v>
      </c>
      <c r="G9" s="4981" t="s">
        <v>588</v>
      </c>
      <c r="H9" s="4984" t="s">
        <v>600</v>
      </c>
      <c r="I9" s="4981" t="s">
        <v>589</v>
      </c>
      <c r="J9" s="4981" t="s">
        <v>590</v>
      </c>
      <c r="K9" s="4981" t="s">
        <v>591</v>
      </c>
      <c r="L9" s="4984" t="s">
        <v>599</v>
      </c>
      <c r="M9" s="4984" t="s">
        <v>598</v>
      </c>
      <c r="N9" s="4981" t="s">
        <v>592</v>
      </c>
      <c r="O9" s="4981" t="s">
        <v>593</v>
      </c>
      <c r="P9" s="4981" t="s">
        <v>594</v>
      </c>
      <c r="Q9" s="4984" t="s">
        <v>225</v>
      </c>
      <c r="R9" s="4984" t="s">
        <v>229</v>
      </c>
      <c r="S9" s="4981" t="s">
        <v>595</v>
      </c>
      <c r="T9" s="4981" t="s">
        <v>596</v>
      </c>
      <c r="U9" s="4981" t="s">
        <v>597</v>
      </c>
      <c r="V9" s="4984" t="s">
        <v>135</v>
      </c>
      <c r="W9" s="4985" t="s">
        <v>601</v>
      </c>
      <c r="X9" s="430"/>
      <c r="Y9" s="430"/>
      <c r="Z9" s="430"/>
      <c r="AA9" s="430"/>
      <c r="AB9" s="430"/>
      <c r="AC9" s="430"/>
      <c r="AD9" s="430"/>
      <c r="AE9" s="430"/>
      <c r="AF9" s="430"/>
      <c r="AG9" s="430"/>
      <c r="AH9" s="430"/>
      <c r="AI9" s="430"/>
      <c r="AJ9" s="430"/>
      <c r="AK9" s="430"/>
      <c r="AL9" s="430"/>
      <c r="AM9" s="430"/>
      <c r="AN9" s="430"/>
      <c r="AO9" s="430"/>
      <c r="AP9" s="430"/>
      <c r="AQ9" s="430"/>
      <c r="AR9" s="430"/>
      <c r="AS9" s="430"/>
      <c r="AT9" s="430"/>
      <c r="AU9" s="430"/>
      <c r="AV9" s="430"/>
      <c r="AW9" s="430"/>
      <c r="AX9" s="430"/>
    </row>
    <row r="10" spans="1:50" ht="37.5">
      <c r="A10" s="4990"/>
      <c r="B10" s="4982"/>
      <c r="C10" s="3057" t="s">
        <v>1553</v>
      </c>
      <c r="D10" s="3057" t="s">
        <v>1554</v>
      </c>
      <c r="E10" s="4981"/>
      <c r="F10" s="4981"/>
      <c r="G10" s="4981"/>
      <c r="H10" s="4984"/>
      <c r="I10" s="4981"/>
      <c r="J10" s="4981"/>
      <c r="K10" s="4981"/>
      <c r="L10" s="4984"/>
      <c r="M10" s="4984"/>
      <c r="N10" s="4981"/>
      <c r="O10" s="4981"/>
      <c r="P10" s="4981"/>
      <c r="Q10" s="4984"/>
      <c r="R10" s="4984"/>
      <c r="S10" s="4981"/>
      <c r="T10" s="4981"/>
      <c r="U10" s="4981"/>
      <c r="V10" s="4984"/>
      <c r="W10" s="4985"/>
      <c r="X10" s="430"/>
      <c r="Y10" s="430"/>
      <c r="Z10" s="430"/>
      <c r="AA10" s="430"/>
      <c r="AB10" s="430"/>
      <c r="AC10" s="430"/>
      <c r="AD10" s="430"/>
      <c r="AE10" s="430"/>
      <c r="AF10" s="430"/>
      <c r="AG10" s="430"/>
      <c r="AH10" s="430"/>
      <c r="AI10" s="430"/>
      <c r="AJ10" s="430"/>
      <c r="AK10" s="430"/>
      <c r="AL10" s="430"/>
      <c r="AM10" s="430"/>
      <c r="AN10" s="430"/>
      <c r="AO10" s="430"/>
      <c r="AP10" s="430"/>
      <c r="AQ10" s="430"/>
      <c r="AR10" s="430"/>
      <c r="AS10" s="430"/>
      <c r="AT10" s="430"/>
      <c r="AU10" s="430"/>
      <c r="AV10" s="430"/>
      <c r="AW10" s="430"/>
      <c r="AX10" s="430"/>
    </row>
    <row r="11" spans="1:50" ht="18.75">
      <c r="A11" s="3058" t="s">
        <v>1707</v>
      </c>
      <c r="B11" s="3060">
        <f>SUM(C11:D11)</f>
        <v>5326.2809999999999</v>
      </c>
      <c r="C11" s="3060">
        <f>SUM(объемы!AJ40)</f>
        <v>5304.8609999999999</v>
      </c>
      <c r="D11" s="3060">
        <f>SUM(объемы!AJ41)</f>
        <v>21.42</v>
      </c>
      <c r="E11" s="4604">
        <f>SUM(B11*E5)</f>
        <v>455.3970255000001</v>
      </c>
      <c r="F11" s="4604">
        <f>SUM(B11*F5)</f>
        <v>452.73388500000004</v>
      </c>
      <c r="G11" s="4604">
        <f>SUM(B11*G5)</f>
        <v>452.73388500000004</v>
      </c>
      <c r="H11" s="3060">
        <f t="shared" ref="H11:H23" si="0">SUM(E11+F11+G11)</f>
        <v>1360.8647955000001</v>
      </c>
      <c r="I11" s="4604">
        <f>SUM(B11*I5)</f>
        <v>450.07074450000005</v>
      </c>
      <c r="J11" s="4604">
        <f>SUM(B11*J5)</f>
        <v>426.10248000000007</v>
      </c>
      <c r="K11" s="4604">
        <f>SUM(B11*K5)</f>
        <v>426.10248000000007</v>
      </c>
      <c r="L11" s="3060">
        <f t="shared" ref="L11:L12" si="1">SUM(I11+J11+K11)</f>
        <v>1302.2757045000001</v>
      </c>
      <c r="M11" s="3060">
        <f t="shared" ref="M11:M12" si="2">SUM(H11+L11)</f>
        <v>2663.1405000000004</v>
      </c>
      <c r="N11" s="4604">
        <f>SUM(B11*N5)</f>
        <v>426.10248000000007</v>
      </c>
      <c r="O11" s="4604">
        <f>SUM(B11*O5)</f>
        <v>426.10248000000007</v>
      </c>
      <c r="P11" s="4604">
        <f>SUM(B11*P5)</f>
        <v>450.07074450000005</v>
      </c>
      <c r="Q11" s="3060">
        <f t="shared" ref="Q11:Q12" si="3">SUM(N11+O11+P11)</f>
        <v>1302.2757045000003</v>
      </c>
      <c r="R11" s="3060">
        <f t="shared" ref="R11:R12" si="4">SUM(M11+Q11)</f>
        <v>3965.4162045000007</v>
      </c>
      <c r="S11" s="4604">
        <f>SUM(B11*S5)</f>
        <v>452.73388500000004</v>
      </c>
      <c r="T11" s="4604">
        <f>SUM(B11*T5)</f>
        <v>452.73388500000004</v>
      </c>
      <c r="U11" s="4604">
        <f>SUM(B11*U5)</f>
        <v>455.3970255000001</v>
      </c>
      <c r="V11" s="3060">
        <f t="shared" ref="V11:V23" si="5">SUM(S11+T11+U11)</f>
        <v>1360.8647955000001</v>
      </c>
      <c r="W11" s="3110">
        <f t="shared" ref="W11:W15" si="6">SUM(E11+F11+G11+I11+J11+K11+N11+O11+P11+S11+T11+U11)</f>
        <v>5326.2809999999999</v>
      </c>
      <c r="X11" s="430"/>
      <c r="Y11" s="430"/>
      <c r="Z11" s="430"/>
      <c r="AA11" s="430"/>
      <c r="AB11" s="430"/>
      <c r="AC11" s="430"/>
      <c r="AD11" s="430"/>
      <c r="AE11" s="430"/>
      <c r="AF11" s="430"/>
      <c r="AG11" s="430"/>
      <c r="AH11" s="430"/>
      <c r="AI11" s="430"/>
      <c r="AJ11" s="430"/>
      <c r="AK11" s="430"/>
      <c r="AL11" s="430"/>
      <c r="AM11" s="430"/>
      <c r="AN11" s="430"/>
      <c r="AO11" s="430"/>
      <c r="AP11" s="430"/>
      <c r="AQ11" s="430"/>
      <c r="AR11" s="430"/>
      <c r="AS11" s="430"/>
      <c r="AT11" s="430"/>
      <c r="AU11" s="430"/>
      <c r="AV11" s="430"/>
      <c r="AW11" s="430"/>
      <c r="AX11" s="430"/>
    </row>
    <row r="12" spans="1:50" ht="18.75">
      <c r="A12" s="3062" t="s">
        <v>20</v>
      </c>
      <c r="B12" s="3063">
        <f t="shared" ref="B12:B19" si="7">SUM(C12:D12)</f>
        <v>816.41800000000001</v>
      </c>
      <c r="C12" s="3063">
        <f>SUM(объемы!AJ42)</f>
        <v>816.41800000000001</v>
      </c>
      <c r="D12" s="3063">
        <v>0</v>
      </c>
      <c r="E12" s="3064">
        <f>SUM(B12/12)</f>
        <v>68.034833333333339</v>
      </c>
      <c r="F12" s="3064">
        <f>SUM(E12)</f>
        <v>68.034833333333339</v>
      </c>
      <c r="G12" s="3064">
        <f>SUM(F12)</f>
        <v>68.034833333333339</v>
      </c>
      <c r="H12" s="3063">
        <f t="shared" si="0"/>
        <v>204.10450000000003</v>
      </c>
      <c r="I12" s="3064">
        <f>SUM(E12)</f>
        <v>68.034833333333339</v>
      </c>
      <c r="J12" s="3064">
        <f>SUM(E12)</f>
        <v>68.034833333333339</v>
      </c>
      <c r="K12" s="3064">
        <f>SUM(E12)</f>
        <v>68.034833333333339</v>
      </c>
      <c r="L12" s="3063">
        <f t="shared" si="1"/>
        <v>204.10450000000003</v>
      </c>
      <c r="M12" s="3063">
        <f t="shared" si="2"/>
        <v>408.20900000000006</v>
      </c>
      <c r="N12" s="3064">
        <f>SUM(E12)</f>
        <v>68.034833333333339</v>
      </c>
      <c r="O12" s="3064">
        <f>SUM(E12)</f>
        <v>68.034833333333339</v>
      </c>
      <c r="P12" s="3064">
        <f>SUM(E12)</f>
        <v>68.034833333333339</v>
      </c>
      <c r="Q12" s="3063">
        <f t="shared" si="3"/>
        <v>204.10450000000003</v>
      </c>
      <c r="R12" s="3063">
        <f t="shared" si="4"/>
        <v>612.31350000000009</v>
      </c>
      <c r="S12" s="3064">
        <f>SUM(E12)</f>
        <v>68.034833333333339</v>
      </c>
      <c r="T12" s="3064">
        <f>SUM(E12)</f>
        <v>68.034833333333339</v>
      </c>
      <c r="U12" s="3064">
        <f>SUM(E12)</f>
        <v>68.034833333333339</v>
      </c>
      <c r="V12" s="3063">
        <f t="shared" si="5"/>
        <v>204.10450000000003</v>
      </c>
      <c r="W12" s="3132">
        <f t="shared" si="6"/>
        <v>816.41800000000023</v>
      </c>
      <c r="X12" s="430"/>
      <c r="Y12" s="430"/>
      <c r="Z12" s="430"/>
      <c r="AA12" s="430"/>
      <c r="AB12" s="430"/>
      <c r="AC12" s="430"/>
      <c r="AD12" s="430"/>
      <c r="AE12" s="430"/>
      <c r="AF12" s="430"/>
      <c r="AG12" s="430"/>
      <c r="AH12" s="430"/>
      <c r="AI12" s="430"/>
      <c r="AJ12" s="430"/>
      <c r="AK12" s="430"/>
      <c r="AL12" s="430"/>
      <c r="AM12" s="430"/>
      <c r="AN12" s="430"/>
      <c r="AO12" s="430"/>
      <c r="AP12" s="430"/>
      <c r="AQ12" s="430"/>
      <c r="AR12" s="430"/>
      <c r="AS12" s="430"/>
      <c r="AT12" s="430"/>
      <c r="AU12" s="430"/>
      <c r="AV12" s="430"/>
      <c r="AW12" s="430"/>
      <c r="AX12" s="430"/>
    </row>
    <row r="13" spans="1:50" ht="18.75">
      <c r="A13" s="3066" t="s">
        <v>388</v>
      </c>
      <c r="B13" s="3068">
        <f>SUM(B12/B11)</f>
        <v>0.1532810604622625</v>
      </c>
      <c r="C13" s="3068">
        <f>SUM(C12/C11)</f>
        <v>0.15389997966016453</v>
      </c>
      <c r="D13" s="3068">
        <f>SUM(D12/D11)</f>
        <v>0</v>
      </c>
      <c r="E13" s="3069">
        <f t="shared" ref="E13:W13" si="8">SUM(E12/E11)</f>
        <v>0.14939674508992445</v>
      </c>
      <c r="F13" s="3069">
        <f t="shared" si="8"/>
        <v>0.15027554947280639</v>
      </c>
      <c r="G13" s="3069">
        <f t="shared" si="8"/>
        <v>0.15027554947280639</v>
      </c>
      <c r="H13" s="3068">
        <f t="shared" si="8"/>
        <v>0.14998146816268348</v>
      </c>
      <c r="I13" s="3069">
        <f t="shared" si="8"/>
        <v>0.15116475390755671</v>
      </c>
      <c r="J13" s="3069">
        <f t="shared" si="8"/>
        <v>0.15966777131485677</v>
      </c>
      <c r="K13" s="3069">
        <f t="shared" si="8"/>
        <v>0.15966777131485677</v>
      </c>
      <c r="L13" s="3068">
        <f t="shared" si="8"/>
        <v>0.15672910067716003</v>
      </c>
      <c r="M13" s="3068">
        <f t="shared" si="8"/>
        <v>0.1532810604622625</v>
      </c>
      <c r="N13" s="3069">
        <f t="shared" si="8"/>
        <v>0.15966777131485677</v>
      </c>
      <c r="O13" s="3069">
        <f t="shared" si="8"/>
        <v>0.15966777131485677</v>
      </c>
      <c r="P13" s="3069">
        <f t="shared" si="8"/>
        <v>0.15116475390755671</v>
      </c>
      <c r="Q13" s="3068">
        <f t="shared" si="8"/>
        <v>0.15672910067716</v>
      </c>
      <c r="R13" s="3068">
        <f t="shared" si="8"/>
        <v>0.154413425583206</v>
      </c>
      <c r="S13" s="3069">
        <f t="shared" si="8"/>
        <v>0.15027554947280639</v>
      </c>
      <c r="T13" s="3069">
        <f t="shared" si="8"/>
        <v>0.15027554947280639</v>
      </c>
      <c r="U13" s="3069">
        <f t="shared" si="8"/>
        <v>0.14939674508992445</v>
      </c>
      <c r="V13" s="3068">
        <f t="shared" si="8"/>
        <v>0.14998146816268348</v>
      </c>
      <c r="W13" s="3132">
        <f t="shared" si="8"/>
        <v>0.15328106046226256</v>
      </c>
      <c r="X13" s="430"/>
      <c r="Y13" s="430"/>
      <c r="Z13" s="430"/>
      <c r="AA13" s="430"/>
      <c r="AB13" s="430"/>
      <c r="AC13" s="430"/>
      <c r="AD13" s="430"/>
      <c r="AE13" s="430"/>
      <c r="AF13" s="430"/>
      <c r="AG13" s="430"/>
      <c r="AH13" s="430"/>
      <c r="AI13" s="430"/>
      <c r="AJ13" s="430"/>
      <c r="AK13" s="430"/>
      <c r="AL13" s="430"/>
      <c r="AM13" s="430"/>
      <c r="AN13" s="430"/>
      <c r="AO13" s="430"/>
      <c r="AP13" s="430"/>
      <c r="AQ13" s="430"/>
      <c r="AR13" s="430"/>
      <c r="AS13" s="430"/>
      <c r="AT13" s="430"/>
      <c r="AU13" s="430"/>
      <c r="AV13" s="430"/>
      <c r="AW13" s="430"/>
      <c r="AX13" s="430"/>
    </row>
    <row r="14" spans="1:50" ht="18.75">
      <c r="A14" s="3058" t="s">
        <v>1708</v>
      </c>
      <c r="B14" s="3060">
        <f t="shared" si="7"/>
        <v>4509.8630000000003</v>
      </c>
      <c r="C14" s="3060">
        <f>SUM(C11-C12)</f>
        <v>4488.4430000000002</v>
      </c>
      <c r="D14" s="3060">
        <f>SUM(D11-D12)</f>
        <v>21.42</v>
      </c>
      <c r="E14" s="4604">
        <f t="shared" ref="E14:U14" si="9">SUM(E11-E12)</f>
        <v>387.36219216666677</v>
      </c>
      <c r="F14" s="4604">
        <f t="shared" si="9"/>
        <v>384.69905166666672</v>
      </c>
      <c r="G14" s="4604">
        <f t="shared" si="9"/>
        <v>384.69905166666672</v>
      </c>
      <c r="H14" s="3070">
        <f t="shared" si="0"/>
        <v>1156.7602955000002</v>
      </c>
      <c r="I14" s="4604">
        <f t="shared" si="9"/>
        <v>382.03591116666672</v>
      </c>
      <c r="J14" s="4604">
        <f t="shared" si="9"/>
        <v>358.06764666666675</v>
      </c>
      <c r="K14" s="4604">
        <f t="shared" si="9"/>
        <v>358.06764666666675</v>
      </c>
      <c r="L14" s="3070">
        <f t="shared" ref="L14:L15" si="10">SUM(I14+J14+K14)</f>
        <v>1098.1712045000004</v>
      </c>
      <c r="M14" s="3070">
        <f t="shared" ref="M14:M15" si="11">SUM(H14+L14)</f>
        <v>2254.9315000000006</v>
      </c>
      <c r="N14" s="4604">
        <f t="shared" si="9"/>
        <v>358.06764666666675</v>
      </c>
      <c r="O14" s="4604">
        <f t="shared" si="9"/>
        <v>358.06764666666675</v>
      </c>
      <c r="P14" s="4604">
        <f t="shared" si="9"/>
        <v>382.03591116666672</v>
      </c>
      <c r="Q14" s="3070">
        <f t="shared" ref="Q14:Q15" si="12">SUM(N14+O14+P14)</f>
        <v>1098.1712045000002</v>
      </c>
      <c r="R14" s="3070">
        <f t="shared" ref="R14:R15" si="13">SUM(M14+Q14)</f>
        <v>3353.102704500001</v>
      </c>
      <c r="S14" s="4604">
        <f t="shared" si="9"/>
        <v>384.69905166666672</v>
      </c>
      <c r="T14" s="4604">
        <f t="shared" si="9"/>
        <v>384.69905166666672</v>
      </c>
      <c r="U14" s="4604">
        <f t="shared" si="9"/>
        <v>387.36219216666677</v>
      </c>
      <c r="V14" s="3070">
        <f t="shared" si="5"/>
        <v>1156.7602955000002</v>
      </c>
      <c r="W14" s="3110">
        <f t="shared" si="6"/>
        <v>4509.8630000000012</v>
      </c>
      <c r="X14" s="430"/>
      <c r="Y14" s="430"/>
      <c r="Z14" s="430"/>
      <c r="AA14" s="430"/>
      <c r="AB14" s="430"/>
      <c r="AC14" s="430"/>
      <c r="AD14" s="430"/>
      <c r="AE14" s="430"/>
      <c r="AF14" s="430"/>
      <c r="AG14" s="430"/>
      <c r="AH14" s="430"/>
      <c r="AI14" s="430"/>
      <c r="AJ14" s="430"/>
      <c r="AK14" s="430"/>
      <c r="AL14" s="430"/>
      <c r="AM14" s="430"/>
      <c r="AN14" s="430"/>
      <c r="AO14" s="430"/>
      <c r="AP14" s="430"/>
      <c r="AQ14" s="430"/>
      <c r="AR14" s="430"/>
      <c r="AS14" s="430"/>
      <c r="AT14" s="430"/>
      <c r="AU14" s="430"/>
      <c r="AV14" s="430"/>
      <c r="AW14" s="430"/>
      <c r="AX14" s="430"/>
    </row>
    <row r="15" spans="1:50" ht="18.75">
      <c r="A15" s="3062" t="s">
        <v>51</v>
      </c>
      <c r="B15" s="3063">
        <f t="shared" si="7"/>
        <v>888.44300000000021</v>
      </c>
      <c r="C15" s="3063">
        <f>SUM(объемы!AJ47)</f>
        <v>888.44300000000021</v>
      </c>
      <c r="D15" s="4605">
        <v>0</v>
      </c>
      <c r="E15" s="3071">
        <f>SUM(E14-E17)</f>
        <v>77.7307821666667</v>
      </c>
      <c r="F15" s="3071">
        <f t="shared" ref="F15:G15" si="14">SUM(F14-F17)</f>
        <v>76.878351666666674</v>
      </c>
      <c r="G15" s="3071">
        <f t="shared" si="14"/>
        <v>76.878351666666674</v>
      </c>
      <c r="H15" s="3072">
        <f t="shared" si="0"/>
        <v>231.48748550000005</v>
      </c>
      <c r="I15" s="3071">
        <f t="shared" ref="I15:K15" si="15">SUM(I14-I17)</f>
        <v>76.025921166666706</v>
      </c>
      <c r="J15" s="3071">
        <f t="shared" si="15"/>
        <v>68.354046666666704</v>
      </c>
      <c r="K15" s="3071">
        <f t="shared" si="15"/>
        <v>68.354046666666704</v>
      </c>
      <c r="L15" s="3072">
        <f t="shared" si="10"/>
        <v>212.73401450000011</v>
      </c>
      <c r="M15" s="3072">
        <f t="shared" si="11"/>
        <v>444.22150000000016</v>
      </c>
      <c r="N15" s="3071">
        <f t="shared" ref="N15:P15" si="16">SUM(N14-N17)</f>
        <v>68.354046666666704</v>
      </c>
      <c r="O15" s="3071">
        <f t="shared" si="16"/>
        <v>68.354046666666704</v>
      </c>
      <c r="P15" s="3071">
        <f t="shared" si="16"/>
        <v>76.025921166666706</v>
      </c>
      <c r="Q15" s="3072">
        <f t="shared" si="12"/>
        <v>212.73401450000011</v>
      </c>
      <c r="R15" s="3072">
        <f t="shared" si="13"/>
        <v>656.95551450000028</v>
      </c>
      <c r="S15" s="3071">
        <f t="shared" ref="S15:U15" si="17">SUM(S14-S17)</f>
        <v>76.878351666666674</v>
      </c>
      <c r="T15" s="3071">
        <f t="shared" si="17"/>
        <v>76.878351666666674</v>
      </c>
      <c r="U15" s="3071">
        <f t="shared" si="17"/>
        <v>77.7307821666667</v>
      </c>
      <c r="V15" s="3072">
        <f t="shared" si="5"/>
        <v>231.48748550000005</v>
      </c>
      <c r="W15" s="3132">
        <f t="shared" si="6"/>
        <v>888.44300000000055</v>
      </c>
      <c r="X15" s="430"/>
      <c r="Y15" s="430"/>
      <c r="Z15" s="430"/>
      <c r="AA15" s="430"/>
      <c r="AB15" s="430"/>
      <c r="AC15" s="430"/>
      <c r="AD15" s="430"/>
      <c r="AE15" s="430"/>
      <c r="AF15" s="430"/>
      <c r="AG15" s="430"/>
      <c r="AH15" s="430"/>
      <c r="AI15" s="430"/>
      <c r="AJ15" s="430"/>
      <c r="AK15" s="430"/>
      <c r="AL15" s="430"/>
      <c r="AM15" s="430"/>
      <c r="AN15" s="430"/>
      <c r="AO15" s="430"/>
      <c r="AP15" s="430"/>
      <c r="AQ15" s="430"/>
      <c r="AR15" s="430"/>
      <c r="AS15" s="430"/>
      <c r="AT15" s="430"/>
      <c r="AU15" s="430"/>
      <c r="AV15" s="430"/>
      <c r="AW15" s="430"/>
      <c r="AX15" s="430"/>
    </row>
    <row r="16" spans="1:50" ht="18.75" customHeight="1">
      <c r="A16" s="3066" t="s">
        <v>117</v>
      </c>
      <c r="B16" s="3067">
        <f>SUM(B15/B14)</f>
        <v>0.19699999756090156</v>
      </c>
      <c r="C16" s="3068">
        <f>SUM(C15/C14)</f>
        <v>0.19794013202351018</v>
      </c>
      <c r="D16" s="3068">
        <f>SUM(D15/D14)</f>
        <v>0</v>
      </c>
      <c r="E16" s="3069">
        <f t="shared" ref="E16:W16" si="18">SUM(E15/E14)</f>
        <v>0.20066693068801664</v>
      </c>
      <c r="F16" s="3069">
        <f t="shared" si="18"/>
        <v>0.19984024221946894</v>
      </c>
      <c r="G16" s="3069">
        <f t="shared" si="18"/>
        <v>0.19984024221946894</v>
      </c>
      <c r="H16" s="3068">
        <f t="shared" si="18"/>
        <v>0.20011707386614741</v>
      </c>
      <c r="I16" s="3069">
        <f t="shared" si="18"/>
        <v>0.19900202819807611</v>
      </c>
      <c r="J16" s="3069">
        <f t="shared" si="18"/>
        <v>0.19089701988713609</v>
      </c>
      <c r="K16" s="3069">
        <f t="shared" si="18"/>
        <v>0.19089701988713609</v>
      </c>
      <c r="L16" s="3068">
        <f t="shared" si="18"/>
        <v>0.19371662053082001</v>
      </c>
      <c r="M16" s="3068">
        <f t="shared" si="18"/>
        <v>0.19699999756090153</v>
      </c>
      <c r="N16" s="3069">
        <f t="shared" si="18"/>
        <v>0.19089701988713609</v>
      </c>
      <c r="O16" s="3069">
        <f t="shared" si="18"/>
        <v>0.19089701988713609</v>
      </c>
      <c r="P16" s="3069">
        <f t="shared" si="18"/>
        <v>0.19900202819807611</v>
      </c>
      <c r="Q16" s="3068">
        <f t="shared" si="18"/>
        <v>0.19371662053082006</v>
      </c>
      <c r="R16" s="3068">
        <f t="shared" si="18"/>
        <v>0.19592466214003498</v>
      </c>
      <c r="S16" s="3069">
        <f t="shared" si="18"/>
        <v>0.19984024221946894</v>
      </c>
      <c r="T16" s="3069">
        <f t="shared" si="18"/>
        <v>0.19984024221946894</v>
      </c>
      <c r="U16" s="3069">
        <f t="shared" si="18"/>
        <v>0.20066693068801664</v>
      </c>
      <c r="V16" s="3068">
        <f t="shared" si="18"/>
        <v>0.20011707386614741</v>
      </c>
      <c r="W16" s="3132">
        <f t="shared" si="18"/>
        <v>0.19699999756090159</v>
      </c>
      <c r="X16" s="430"/>
      <c r="Y16" s="430"/>
      <c r="Z16" s="430"/>
      <c r="AA16" s="430"/>
      <c r="AB16" s="430"/>
      <c r="AC16" s="430"/>
      <c r="AD16" s="430"/>
      <c r="AE16" s="430"/>
      <c r="AF16" s="430"/>
      <c r="AG16" s="430"/>
      <c r="AH16" s="430"/>
      <c r="AI16" s="430"/>
      <c r="AJ16" s="430"/>
      <c r="AK16" s="430"/>
      <c r="AL16" s="430"/>
      <c r="AM16" s="430"/>
      <c r="AN16" s="430"/>
      <c r="AO16" s="430"/>
      <c r="AP16" s="430"/>
      <c r="AQ16" s="430"/>
      <c r="AR16" s="430"/>
      <c r="AS16" s="430"/>
      <c r="AT16" s="430"/>
      <c r="AU16" s="430"/>
      <c r="AV16" s="430"/>
      <c r="AW16" s="430"/>
      <c r="AX16" s="430"/>
    </row>
    <row r="17" spans="1:50" ht="18.75">
      <c r="A17" s="3058" t="s">
        <v>1709</v>
      </c>
      <c r="B17" s="3060">
        <f>SUM(B18+B19+B21)</f>
        <v>3621.42</v>
      </c>
      <c r="C17" s="3060">
        <f>SUM(C18+C19+C21)</f>
        <v>3600</v>
      </c>
      <c r="D17" s="3060">
        <f>SUM(D18+D19+D21)</f>
        <v>21.42</v>
      </c>
      <c r="E17" s="3073">
        <f t="shared" ref="E17:G17" si="19">SUM(E18+E19+E21)</f>
        <v>309.63141000000007</v>
      </c>
      <c r="F17" s="3073">
        <f t="shared" si="19"/>
        <v>307.82070000000004</v>
      </c>
      <c r="G17" s="3073">
        <f t="shared" si="19"/>
        <v>307.82070000000004</v>
      </c>
      <c r="H17" s="3070">
        <f t="shared" si="0"/>
        <v>925.27281000000016</v>
      </c>
      <c r="I17" s="3073">
        <f t="shared" ref="I17:K17" si="20">SUM(I18+I19+I21)</f>
        <v>306.00999000000002</v>
      </c>
      <c r="J17" s="3073">
        <f t="shared" si="20"/>
        <v>289.71360000000004</v>
      </c>
      <c r="K17" s="3073">
        <f t="shared" si="20"/>
        <v>289.71360000000004</v>
      </c>
      <c r="L17" s="3070">
        <f t="shared" ref="L17:L23" si="21">SUM(I17+J17+K17)</f>
        <v>885.4371900000001</v>
      </c>
      <c r="M17" s="3070">
        <f t="shared" ref="M17:M23" si="22">SUM(H17+L17)</f>
        <v>1810.7100000000003</v>
      </c>
      <c r="N17" s="3073">
        <f t="shared" ref="N17:P17" si="23">SUM(N18+N19+N21)</f>
        <v>289.71360000000004</v>
      </c>
      <c r="O17" s="3073">
        <f t="shared" si="23"/>
        <v>289.71360000000004</v>
      </c>
      <c r="P17" s="3073">
        <f t="shared" si="23"/>
        <v>306.00999000000002</v>
      </c>
      <c r="Q17" s="3070">
        <f t="shared" ref="Q17:Q23" si="24">SUM(N17+O17+P17)</f>
        <v>885.4371900000001</v>
      </c>
      <c r="R17" s="3070">
        <f t="shared" ref="R17:R23" si="25">SUM(M17+Q17)</f>
        <v>2696.1471900000006</v>
      </c>
      <c r="S17" s="3073">
        <f t="shared" ref="S17:U17" si="26">SUM(S18+S19+S21)</f>
        <v>307.82070000000004</v>
      </c>
      <c r="T17" s="3073">
        <f t="shared" si="26"/>
        <v>307.82070000000004</v>
      </c>
      <c r="U17" s="3073">
        <f t="shared" si="26"/>
        <v>309.63141000000007</v>
      </c>
      <c r="V17" s="3070">
        <f t="shared" si="5"/>
        <v>925.27281000000016</v>
      </c>
      <c r="W17" s="3110">
        <f t="shared" ref="W17:W23" si="27">SUM(E17+F17+G17+I17+J17+K17+N17+O17+P17+S17+T17+U17)</f>
        <v>3621.4200000000005</v>
      </c>
      <c r="X17" s="430"/>
      <c r="Y17" s="430"/>
      <c r="Z17" s="430"/>
      <c r="AA17" s="430"/>
      <c r="AB17" s="430"/>
      <c r="AC17" s="430"/>
      <c r="AD17" s="430"/>
      <c r="AE17" s="430"/>
      <c r="AF17" s="430"/>
      <c r="AG17" s="430"/>
      <c r="AH17" s="430"/>
      <c r="AI17" s="430"/>
      <c r="AJ17" s="430"/>
      <c r="AK17" s="430"/>
      <c r="AL17" s="430"/>
      <c r="AM17" s="430"/>
      <c r="AN17" s="430"/>
      <c r="AO17" s="430"/>
      <c r="AP17" s="430"/>
      <c r="AQ17" s="430"/>
      <c r="AR17" s="430"/>
      <c r="AS17" s="430"/>
      <c r="AT17" s="430"/>
      <c r="AU17" s="430"/>
      <c r="AV17" s="430"/>
      <c r="AW17" s="430"/>
      <c r="AX17" s="430"/>
    </row>
    <row r="18" spans="1:50" ht="18.75">
      <c r="A18" s="3062" t="s">
        <v>24</v>
      </c>
      <c r="B18" s="3063">
        <f t="shared" si="7"/>
        <v>2360</v>
      </c>
      <c r="C18" s="3063">
        <f>SUM(объемы!AJ50)</f>
        <v>2360</v>
      </c>
      <c r="D18" s="4605">
        <v>0</v>
      </c>
      <c r="E18" s="3074">
        <f>SUM(B18*8.55%)</f>
        <v>201.78000000000003</v>
      </c>
      <c r="F18" s="3074">
        <f>SUM(B18*8.5%)</f>
        <v>200.60000000000002</v>
      </c>
      <c r="G18" s="3074">
        <f>SUM(B18*8.5%)</f>
        <v>200.60000000000002</v>
      </c>
      <c r="H18" s="3072">
        <f t="shared" si="0"/>
        <v>602.98</v>
      </c>
      <c r="I18" s="3074">
        <f>SUM(B18*8.45%)</f>
        <v>199.42</v>
      </c>
      <c r="J18" s="3074">
        <f>SUM(B18*8%)</f>
        <v>188.8</v>
      </c>
      <c r="K18" s="3074">
        <f>SUM(B18*8%)</f>
        <v>188.8</v>
      </c>
      <c r="L18" s="3072">
        <f t="shared" si="21"/>
        <v>577.02</v>
      </c>
      <c r="M18" s="3072">
        <f t="shared" si="22"/>
        <v>1180</v>
      </c>
      <c r="N18" s="3074">
        <f>SUM(B18*8%)</f>
        <v>188.8</v>
      </c>
      <c r="O18" s="3074">
        <f>SUM(B18*8%)</f>
        <v>188.8</v>
      </c>
      <c r="P18" s="3074">
        <f>SUM(B18*8.45%)</f>
        <v>199.42</v>
      </c>
      <c r="Q18" s="3072">
        <f t="shared" si="24"/>
        <v>577.02</v>
      </c>
      <c r="R18" s="3072">
        <f t="shared" si="25"/>
        <v>1757.02</v>
      </c>
      <c r="S18" s="3074">
        <f>SUM(B18*8.5%)</f>
        <v>200.60000000000002</v>
      </c>
      <c r="T18" s="3074">
        <f>SUM(B18*8.5%)</f>
        <v>200.60000000000002</v>
      </c>
      <c r="U18" s="3074">
        <f>SUM(B18*8.55%)</f>
        <v>201.78000000000003</v>
      </c>
      <c r="V18" s="3072">
        <f t="shared" si="5"/>
        <v>602.98</v>
      </c>
      <c r="W18" s="3132">
        <f t="shared" si="27"/>
        <v>2360</v>
      </c>
      <c r="X18" s="430"/>
      <c r="Y18" s="430"/>
      <c r="Z18" s="430"/>
      <c r="AA18" s="430"/>
      <c r="AB18" s="430"/>
      <c r="AC18" s="430"/>
      <c r="AD18" s="430"/>
      <c r="AE18" s="430"/>
      <c r="AF18" s="430"/>
      <c r="AG18" s="430"/>
      <c r="AH18" s="430"/>
      <c r="AI18" s="430"/>
      <c r="AJ18" s="430"/>
      <c r="AK18" s="430"/>
      <c r="AL18" s="430"/>
      <c r="AM18" s="430"/>
      <c r="AN18" s="430"/>
      <c r="AO18" s="430"/>
      <c r="AP18" s="430"/>
      <c r="AQ18" s="430"/>
      <c r="AR18" s="430"/>
      <c r="AS18" s="430"/>
      <c r="AT18" s="430"/>
      <c r="AU18" s="430"/>
      <c r="AV18" s="430"/>
      <c r="AW18" s="430"/>
      <c r="AX18" s="430"/>
    </row>
    <row r="19" spans="1:50" ht="18.75">
      <c r="A19" s="3062" t="s">
        <v>1710</v>
      </c>
      <c r="B19" s="3063">
        <f t="shared" si="7"/>
        <v>941.42</v>
      </c>
      <c r="C19" s="3063">
        <f>SUM(объемы!AJ52)</f>
        <v>920</v>
      </c>
      <c r="D19" s="3063">
        <f>SUM(объемы!AJ51)</f>
        <v>21.42</v>
      </c>
      <c r="E19" s="3074">
        <f>SUM(B19*8.55%)</f>
        <v>80.491410000000002</v>
      </c>
      <c r="F19" s="3074">
        <f>SUM(B19*8.5%)</f>
        <v>80.020700000000005</v>
      </c>
      <c r="G19" s="3074">
        <f>SUM(B19*8.5%)</f>
        <v>80.020700000000005</v>
      </c>
      <c r="H19" s="3072">
        <f t="shared" si="0"/>
        <v>240.53281000000001</v>
      </c>
      <c r="I19" s="3074">
        <f>SUM(B19*8.45%)</f>
        <v>79.549989999999994</v>
      </c>
      <c r="J19" s="3074">
        <f>SUM(B19*8%)</f>
        <v>75.313599999999994</v>
      </c>
      <c r="K19" s="3074">
        <f>SUM(B19*8%)</f>
        <v>75.313599999999994</v>
      </c>
      <c r="L19" s="3072">
        <f t="shared" si="21"/>
        <v>230.17719</v>
      </c>
      <c r="M19" s="3072">
        <f t="shared" si="22"/>
        <v>470.71000000000004</v>
      </c>
      <c r="N19" s="3074">
        <f>SUM(B19*8%)</f>
        <v>75.313599999999994</v>
      </c>
      <c r="O19" s="3074">
        <f>SUM(B19*8%)</f>
        <v>75.313599999999994</v>
      </c>
      <c r="P19" s="3074">
        <f>SUM(B19*8.45%)</f>
        <v>79.549989999999994</v>
      </c>
      <c r="Q19" s="3072">
        <f t="shared" si="24"/>
        <v>230.17719</v>
      </c>
      <c r="R19" s="3072">
        <f t="shared" si="25"/>
        <v>700.88719000000003</v>
      </c>
      <c r="S19" s="3074">
        <f>SUM(B19*8.5%)</f>
        <v>80.020700000000005</v>
      </c>
      <c r="T19" s="3074">
        <f>SUM(B19*8.5%)</f>
        <v>80.020700000000005</v>
      </c>
      <c r="U19" s="3074">
        <f>SUM(B19*8.55%)</f>
        <v>80.491410000000002</v>
      </c>
      <c r="V19" s="3072">
        <f t="shared" si="5"/>
        <v>240.53281000000001</v>
      </c>
      <c r="W19" s="3132">
        <f t="shared" si="27"/>
        <v>941.42</v>
      </c>
      <c r="X19" s="430"/>
      <c r="Y19" s="430"/>
      <c r="Z19" s="430"/>
      <c r="AA19" s="430"/>
      <c r="AB19" s="430"/>
      <c r="AC19" s="430"/>
      <c r="AD19" s="430"/>
      <c r="AE19" s="430"/>
      <c r="AF19" s="430"/>
      <c r="AG19" s="430"/>
      <c r="AH19" s="430"/>
      <c r="AI19" s="430"/>
      <c r="AJ19" s="430"/>
      <c r="AK19" s="430"/>
      <c r="AL19" s="430"/>
      <c r="AM19" s="430"/>
      <c r="AN19" s="430"/>
      <c r="AO19" s="430"/>
      <c r="AP19" s="430"/>
      <c r="AQ19" s="430"/>
      <c r="AR19" s="430"/>
      <c r="AS19" s="430"/>
      <c r="AT19" s="430"/>
      <c r="AU19" s="430"/>
      <c r="AV19" s="430"/>
      <c r="AW19" s="430"/>
      <c r="AX19" s="430"/>
    </row>
    <row r="20" spans="1:50" ht="18.75">
      <c r="A20" s="3066" t="s">
        <v>25</v>
      </c>
      <c r="B20" s="3067">
        <f>SUM(D20)</f>
        <v>21.42</v>
      </c>
      <c r="C20" s="3067">
        <v>0</v>
      </c>
      <c r="D20" s="3067">
        <f>SUM(D19)</f>
        <v>21.42</v>
      </c>
      <c r="E20" s="3075">
        <f>SUM(B20/12)</f>
        <v>1.7850000000000001</v>
      </c>
      <c r="F20" s="3075">
        <f>SUM(E20)</f>
        <v>1.7850000000000001</v>
      </c>
      <c r="G20" s="3075">
        <f>SUM(F20)</f>
        <v>1.7850000000000001</v>
      </c>
      <c r="H20" s="3076">
        <f t="shared" si="0"/>
        <v>5.3550000000000004</v>
      </c>
      <c r="I20" s="3075">
        <f>SUM(E20)</f>
        <v>1.7850000000000001</v>
      </c>
      <c r="J20" s="3075">
        <f>SUM(E20)</f>
        <v>1.7850000000000001</v>
      </c>
      <c r="K20" s="3075">
        <f>SUM(E20)</f>
        <v>1.7850000000000001</v>
      </c>
      <c r="L20" s="3076">
        <f t="shared" si="21"/>
        <v>5.3550000000000004</v>
      </c>
      <c r="M20" s="3076">
        <f t="shared" si="22"/>
        <v>10.71</v>
      </c>
      <c r="N20" s="3075">
        <f>SUM(E20)</f>
        <v>1.7850000000000001</v>
      </c>
      <c r="O20" s="3075">
        <f>SUM(E20)</f>
        <v>1.7850000000000001</v>
      </c>
      <c r="P20" s="3075">
        <f>SUM(E20)</f>
        <v>1.7850000000000001</v>
      </c>
      <c r="Q20" s="3076">
        <f t="shared" si="24"/>
        <v>5.3550000000000004</v>
      </c>
      <c r="R20" s="3076">
        <f t="shared" si="25"/>
        <v>16.065000000000001</v>
      </c>
      <c r="S20" s="3075">
        <f>SUM(E20)</f>
        <v>1.7850000000000001</v>
      </c>
      <c r="T20" s="3075">
        <f>SUM(E20)</f>
        <v>1.7850000000000001</v>
      </c>
      <c r="U20" s="3075">
        <f>SUM(E20)</f>
        <v>1.7850000000000001</v>
      </c>
      <c r="V20" s="3076">
        <f t="shared" si="5"/>
        <v>5.3550000000000004</v>
      </c>
      <c r="W20" s="3132">
        <f t="shared" si="27"/>
        <v>21.42</v>
      </c>
      <c r="X20" s="430"/>
      <c r="Y20" s="430"/>
      <c r="Z20" s="430"/>
      <c r="AA20" s="430"/>
      <c r="AB20" s="430"/>
      <c r="AC20" s="430"/>
      <c r="AD20" s="430"/>
      <c r="AE20" s="430"/>
      <c r="AF20" s="430"/>
      <c r="AG20" s="430"/>
      <c r="AH20" s="430"/>
      <c r="AI20" s="430"/>
      <c r="AJ20" s="430"/>
      <c r="AK20" s="430"/>
      <c r="AL20" s="430"/>
      <c r="AM20" s="430"/>
      <c r="AN20" s="430"/>
      <c r="AO20" s="430"/>
      <c r="AP20" s="430"/>
      <c r="AQ20" s="430"/>
      <c r="AR20" s="430"/>
      <c r="AS20" s="430"/>
      <c r="AT20" s="430"/>
      <c r="AU20" s="430"/>
      <c r="AV20" s="430"/>
      <c r="AW20" s="430"/>
      <c r="AX20" s="430"/>
    </row>
    <row r="21" spans="1:50" ht="18.75">
      <c r="A21" s="3058" t="s">
        <v>1711</v>
      </c>
      <c r="B21" s="3060">
        <f>SUM(B22:B23)</f>
        <v>320</v>
      </c>
      <c r="C21" s="3060">
        <f>SUM(C22:C23)</f>
        <v>320</v>
      </c>
      <c r="D21" s="3060">
        <f>SUM(D22:D23)</f>
        <v>0</v>
      </c>
      <c r="E21" s="3077">
        <f>SUM(E22:E23)</f>
        <v>27.360000000000003</v>
      </c>
      <c r="F21" s="3077">
        <f t="shared" ref="F21:U21" si="28">SUM(F22:F23)</f>
        <v>27.200000000000003</v>
      </c>
      <c r="G21" s="3077">
        <f t="shared" si="28"/>
        <v>27.200000000000003</v>
      </c>
      <c r="H21" s="3070">
        <f t="shared" si="0"/>
        <v>81.760000000000005</v>
      </c>
      <c r="I21" s="3077">
        <f t="shared" si="28"/>
        <v>27.04</v>
      </c>
      <c r="J21" s="3077">
        <f t="shared" si="28"/>
        <v>25.6</v>
      </c>
      <c r="K21" s="3077">
        <f t="shared" si="28"/>
        <v>25.6</v>
      </c>
      <c r="L21" s="3070">
        <f t="shared" si="21"/>
        <v>78.240000000000009</v>
      </c>
      <c r="M21" s="3070">
        <f t="shared" si="22"/>
        <v>160</v>
      </c>
      <c r="N21" s="3077">
        <f t="shared" si="28"/>
        <v>25.6</v>
      </c>
      <c r="O21" s="3077">
        <f t="shared" si="28"/>
        <v>25.6</v>
      </c>
      <c r="P21" s="3077">
        <f t="shared" si="28"/>
        <v>27.04</v>
      </c>
      <c r="Q21" s="3070">
        <f t="shared" si="24"/>
        <v>78.240000000000009</v>
      </c>
      <c r="R21" s="3070">
        <f t="shared" si="25"/>
        <v>238.24</v>
      </c>
      <c r="S21" s="3077">
        <f t="shared" si="28"/>
        <v>27.200000000000003</v>
      </c>
      <c r="T21" s="3077">
        <f t="shared" si="28"/>
        <v>27.200000000000003</v>
      </c>
      <c r="U21" s="3077">
        <f t="shared" si="28"/>
        <v>27.360000000000003</v>
      </c>
      <c r="V21" s="3070">
        <f t="shared" si="5"/>
        <v>81.760000000000005</v>
      </c>
      <c r="W21" s="3110">
        <f t="shared" si="27"/>
        <v>320</v>
      </c>
      <c r="X21" s="430"/>
      <c r="Y21" s="430"/>
      <c r="Z21" s="430"/>
      <c r="AA21" s="430"/>
      <c r="AB21" s="430"/>
      <c r="AC21" s="430"/>
      <c r="AD21" s="430"/>
      <c r="AE21" s="430"/>
      <c r="AF21" s="430"/>
      <c r="AG21" s="430"/>
      <c r="AH21" s="430"/>
      <c r="AI21" s="430"/>
      <c r="AJ21" s="430"/>
      <c r="AK21" s="430"/>
      <c r="AL21" s="430"/>
      <c r="AM21" s="430"/>
      <c r="AN21" s="430"/>
      <c r="AO21" s="430"/>
      <c r="AP21" s="430"/>
      <c r="AQ21" s="430"/>
      <c r="AR21" s="430"/>
      <c r="AS21" s="430"/>
      <c r="AT21" s="430"/>
      <c r="AU21" s="430"/>
      <c r="AV21" s="430"/>
      <c r="AW21" s="430"/>
      <c r="AX21" s="430"/>
    </row>
    <row r="22" spans="1:50" ht="18.75">
      <c r="A22" s="3066" t="s">
        <v>654</v>
      </c>
      <c r="B22" s="3067">
        <f>SUM(C22:D22)</f>
        <v>320</v>
      </c>
      <c r="C22" s="3067">
        <f>SUM(объемы!AJ54)</f>
        <v>320</v>
      </c>
      <c r="D22" s="3067">
        <v>0</v>
      </c>
      <c r="E22" s="3075">
        <f>SUM(B22*8.55%)</f>
        <v>27.360000000000003</v>
      </c>
      <c r="F22" s="3075">
        <f>SUM(B22*8.5%)</f>
        <v>27.200000000000003</v>
      </c>
      <c r="G22" s="3075">
        <f>SUM(B22*8.5%)</f>
        <v>27.200000000000003</v>
      </c>
      <c r="H22" s="3076">
        <f t="shared" si="0"/>
        <v>81.760000000000005</v>
      </c>
      <c r="I22" s="3075">
        <f>SUM(B22*8.45%)</f>
        <v>27.04</v>
      </c>
      <c r="J22" s="3075">
        <f>SUM(B22*8%)</f>
        <v>25.6</v>
      </c>
      <c r="K22" s="3075">
        <f>SUM(B22*8%)</f>
        <v>25.6</v>
      </c>
      <c r="L22" s="3076">
        <f t="shared" si="21"/>
        <v>78.240000000000009</v>
      </c>
      <c r="M22" s="3076">
        <f t="shared" si="22"/>
        <v>160</v>
      </c>
      <c r="N22" s="3075">
        <f>SUM(B22*8%)</f>
        <v>25.6</v>
      </c>
      <c r="O22" s="3075">
        <f>SUM(B22*8%)</f>
        <v>25.6</v>
      </c>
      <c r="P22" s="3075">
        <f>SUM(B22*8.45%)</f>
        <v>27.04</v>
      </c>
      <c r="Q22" s="3076">
        <f t="shared" si="24"/>
        <v>78.240000000000009</v>
      </c>
      <c r="R22" s="3076">
        <f t="shared" si="25"/>
        <v>238.24</v>
      </c>
      <c r="S22" s="3075">
        <f>SUM(B22*8.5%)</f>
        <v>27.200000000000003</v>
      </c>
      <c r="T22" s="3075">
        <f>SUM(B22*8.5%)</f>
        <v>27.200000000000003</v>
      </c>
      <c r="U22" s="3075">
        <f>SUM(B22*8.55%)</f>
        <v>27.360000000000003</v>
      </c>
      <c r="V22" s="3076">
        <f t="shared" si="5"/>
        <v>81.760000000000005</v>
      </c>
      <c r="W22" s="3132">
        <f t="shared" si="27"/>
        <v>320</v>
      </c>
      <c r="X22" s="430"/>
      <c r="Y22" s="430"/>
      <c r="Z22" s="430"/>
      <c r="AA22" s="430"/>
      <c r="AB22" s="430"/>
      <c r="AC22" s="430"/>
      <c r="AD22" s="430"/>
      <c r="AE22" s="430"/>
      <c r="AF22" s="430"/>
      <c r="AG22" s="430"/>
      <c r="AH22" s="430"/>
      <c r="AI22" s="430"/>
      <c r="AJ22" s="430"/>
      <c r="AK22" s="430"/>
      <c r="AL22" s="430"/>
      <c r="AM22" s="430"/>
      <c r="AN22" s="430"/>
      <c r="AO22" s="430"/>
      <c r="AP22" s="430"/>
      <c r="AQ22" s="430"/>
      <c r="AR22" s="430"/>
      <c r="AS22" s="430"/>
      <c r="AT22" s="430"/>
      <c r="AU22" s="430"/>
      <c r="AV22" s="430"/>
      <c r="AW22" s="430"/>
      <c r="AX22" s="430"/>
    </row>
    <row r="23" spans="1:50" ht="18.75">
      <c r="A23" s="3066" t="s">
        <v>655</v>
      </c>
      <c r="B23" s="3067">
        <f>SUM(C23:D23)</f>
        <v>0</v>
      </c>
      <c r="C23" s="3067">
        <f>SUM(объемы!AJ55)</f>
        <v>0</v>
      </c>
      <c r="D23" s="3067">
        <v>0</v>
      </c>
      <c r="E23" s="3075">
        <f>SUM(B23*8.6%)</f>
        <v>0</v>
      </c>
      <c r="F23" s="3075">
        <f>SUM(B23*8.5%)</f>
        <v>0</v>
      </c>
      <c r="G23" s="3075">
        <f>SUM(B23*8.54%)</f>
        <v>0</v>
      </c>
      <c r="H23" s="3076">
        <f t="shared" si="0"/>
        <v>0</v>
      </c>
      <c r="I23" s="3075">
        <f>SUM(B23*8.43%)</f>
        <v>0</v>
      </c>
      <c r="J23" s="3075">
        <f>SUM(B23*8.2%)</f>
        <v>0</v>
      </c>
      <c r="K23" s="3075">
        <f>SUM(B23*7.89%)</f>
        <v>0</v>
      </c>
      <c r="L23" s="3076">
        <f t="shared" si="21"/>
        <v>0</v>
      </c>
      <c r="M23" s="3076">
        <f t="shared" si="22"/>
        <v>0</v>
      </c>
      <c r="N23" s="3075">
        <f>SUM(B23*7.79%)</f>
        <v>0</v>
      </c>
      <c r="O23" s="3075">
        <f>SUM(B23*8.11%)</f>
        <v>0</v>
      </c>
      <c r="P23" s="3075">
        <f>SUM(B23*8.32%)</f>
        <v>0</v>
      </c>
      <c r="Q23" s="3076">
        <f t="shared" si="24"/>
        <v>0</v>
      </c>
      <c r="R23" s="3076">
        <f t="shared" si="25"/>
        <v>0</v>
      </c>
      <c r="S23" s="3075">
        <f>SUM(B23*8.54%)</f>
        <v>0</v>
      </c>
      <c r="T23" s="3075">
        <f>SUM(B23*8.54%)</f>
        <v>0</v>
      </c>
      <c r="U23" s="3075">
        <f>SUM(B23*8.54%)</f>
        <v>0</v>
      </c>
      <c r="V23" s="3076">
        <f t="shared" si="5"/>
        <v>0</v>
      </c>
      <c r="W23" s="3132">
        <f t="shared" si="27"/>
        <v>0</v>
      </c>
      <c r="X23" s="430"/>
      <c r="Y23" s="430"/>
      <c r="Z23" s="430"/>
      <c r="AA23" s="430"/>
      <c r="AB23" s="430"/>
      <c r="AC23" s="430"/>
      <c r="AD23" s="430"/>
      <c r="AE23" s="430"/>
      <c r="AF23" s="430"/>
      <c r="AG23" s="430"/>
      <c r="AH23" s="430"/>
      <c r="AI23" s="430"/>
      <c r="AJ23" s="430"/>
      <c r="AK23" s="430"/>
      <c r="AL23" s="430"/>
      <c r="AM23" s="430"/>
      <c r="AN23" s="430"/>
      <c r="AO23" s="430"/>
      <c r="AP23" s="430"/>
      <c r="AQ23" s="430"/>
      <c r="AR23" s="430"/>
      <c r="AS23" s="430"/>
      <c r="AT23" s="430"/>
      <c r="AU23" s="430"/>
      <c r="AV23" s="430"/>
      <c r="AW23" s="430"/>
      <c r="AX23" s="430"/>
    </row>
    <row r="24" spans="1:50" ht="18.75">
      <c r="A24" s="4986" t="s">
        <v>1712</v>
      </c>
      <c r="B24" s="4987"/>
      <c r="C24" s="4987"/>
      <c r="D24" s="4987"/>
      <c r="E24" s="4987"/>
      <c r="F24" s="4987"/>
      <c r="G24" s="4987"/>
      <c r="H24" s="4987"/>
      <c r="I24" s="4987"/>
      <c r="J24" s="4987"/>
      <c r="K24" s="4987"/>
      <c r="L24" s="4987"/>
      <c r="M24" s="4987"/>
      <c r="N24" s="4987"/>
      <c r="O24" s="4987"/>
      <c r="P24" s="4987"/>
      <c r="Q24" s="4987"/>
      <c r="R24" s="4987"/>
      <c r="S24" s="4987"/>
      <c r="T24" s="4987"/>
      <c r="U24" s="4987"/>
      <c r="V24" s="4988"/>
      <c r="W24" s="3065"/>
      <c r="X24" s="430"/>
      <c r="Y24" s="430"/>
      <c r="Z24" s="430"/>
      <c r="AA24" s="430"/>
      <c r="AB24" s="430"/>
      <c r="AC24" s="430"/>
      <c r="AD24" s="430"/>
      <c r="AE24" s="430"/>
      <c r="AF24" s="430"/>
      <c r="AG24" s="430"/>
      <c r="AH24" s="430"/>
      <c r="AI24" s="430"/>
      <c r="AJ24" s="430"/>
      <c r="AK24" s="430"/>
      <c r="AL24" s="430"/>
      <c r="AM24" s="430"/>
      <c r="AN24" s="430"/>
      <c r="AO24" s="430"/>
      <c r="AP24" s="430"/>
      <c r="AQ24" s="430"/>
      <c r="AR24" s="430"/>
      <c r="AS24" s="430"/>
      <c r="AT24" s="430"/>
      <c r="AU24" s="430"/>
      <c r="AV24" s="430"/>
      <c r="AW24" s="430"/>
      <c r="AX24" s="430"/>
    </row>
    <row r="25" spans="1:50" ht="18.75" customHeight="1">
      <c r="A25" s="4989" t="s">
        <v>545</v>
      </c>
      <c r="B25" s="4982" t="s">
        <v>1960</v>
      </c>
      <c r="C25" s="4982" t="s">
        <v>575</v>
      </c>
      <c r="D25" s="4982"/>
      <c r="E25" s="4981" t="s">
        <v>586</v>
      </c>
      <c r="F25" s="4981" t="s">
        <v>587</v>
      </c>
      <c r="G25" s="4981" t="s">
        <v>588</v>
      </c>
      <c r="H25" s="4984" t="s">
        <v>600</v>
      </c>
      <c r="I25" s="4981" t="s">
        <v>589</v>
      </c>
      <c r="J25" s="4981" t="s">
        <v>590</v>
      </c>
      <c r="K25" s="4981" t="s">
        <v>591</v>
      </c>
      <c r="L25" s="4984" t="s">
        <v>599</v>
      </c>
      <c r="M25" s="4984" t="s">
        <v>598</v>
      </c>
      <c r="N25" s="4981" t="s">
        <v>592</v>
      </c>
      <c r="O25" s="4981" t="s">
        <v>593</v>
      </c>
      <c r="P25" s="4981" t="s">
        <v>594</v>
      </c>
      <c r="Q25" s="4984" t="s">
        <v>225</v>
      </c>
      <c r="R25" s="4984" t="s">
        <v>229</v>
      </c>
      <c r="S25" s="4981" t="s">
        <v>595</v>
      </c>
      <c r="T25" s="4981" t="s">
        <v>596</v>
      </c>
      <c r="U25" s="4981" t="s">
        <v>597</v>
      </c>
      <c r="V25" s="4984" t="s">
        <v>135</v>
      </c>
      <c r="W25" s="4985" t="s">
        <v>601</v>
      </c>
      <c r="X25" s="430"/>
      <c r="Y25" s="430"/>
      <c r="Z25" s="430"/>
      <c r="AA25" s="430"/>
      <c r="AB25" s="430"/>
      <c r="AC25" s="430"/>
      <c r="AD25" s="430"/>
      <c r="AE25" s="430"/>
      <c r="AF25" s="430"/>
      <c r="AG25" s="430"/>
      <c r="AH25" s="430"/>
      <c r="AI25" s="430"/>
      <c r="AJ25" s="430"/>
      <c r="AK25" s="430"/>
      <c r="AL25" s="430"/>
      <c r="AM25" s="430"/>
      <c r="AN25" s="430"/>
      <c r="AO25" s="430"/>
      <c r="AP25" s="430"/>
      <c r="AQ25" s="430"/>
      <c r="AR25" s="430"/>
      <c r="AS25" s="430"/>
      <c r="AT25" s="430"/>
      <c r="AU25" s="430"/>
      <c r="AV25" s="430"/>
      <c r="AW25" s="430"/>
      <c r="AX25" s="430"/>
    </row>
    <row r="26" spans="1:50" ht="37.5">
      <c r="A26" s="4990"/>
      <c r="B26" s="4982"/>
      <c r="C26" s="3057" t="s">
        <v>1553</v>
      </c>
      <c r="D26" s="3057" t="s">
        <v>1554</v>
      </c>
      <c r="E26" s="4981"/>
      <c r="F26" s="4981"/>
      <c r="G26" s="4981"/>
      <c r="H26" s="4984"/>
      <c r="I26" s="4981"/>
      <c r="J26" s="4981"/>
      <c r="K26" s="4981"/>
      <c r="L26" s="4984"/>
      <c r="M26" s="4984"/>
      <c r="N26" s="4981"/>
      <c r="O26" s="4981"/>
      <c r="P26" s="4981"/>
      <c r="Q26" s="4984"/>
      <c r="R26" s="4984"/>
      <c r="S26" s="4981"/>
      <c r="T26" s="4981"/>
      <c r="U26" s="4981"/>
      <c r="V26" s="4984"/>
      <c r="W26" s="4985"/>
      <c r="X26" s="430"/>
      <c r="Y26" s="430"/>
      <c r="Z26" s="430"/>
      <c r="AA26" s="430"/>
      <c r="AB26" s="430"/>
      <c r="AC26" s="430"/>
      <c r="AD26" s="430"/>
      <c r="AE26" s="430"/>
      <c r="AF26" s="430"/>
      <c r="AG26" s="430"/>
      <c r="AH26" s="430"/>
      <c r="AI26" s="430"/>
      <c r="AJ26" s="430"/>
      <c r="AK26" s="430"/>
      <c r="AL26" s="430"/>
      <c r="AM26" s="430"/>
      <c r="AN26" s="430"/>
      <c r="AO26" s="430"/>
      <c r="AP26" s="430"/>
      <c r="AQ26" s="430"/>
      <c r="AR26" s="430"/>
      <c r="AS26" s="430"/>
      <c r="AT26" s="430"/>
      <c r="AU26" s="430"/>
      <c r="AV26" s="430"/>
      <c r="AW26" s="430"/>
      <c r="AX26" s="430"/>
    </row>
    <row r="27" spans="1:50" ht="18.75">
      <c r="A27" s="3078" t="s">
        <v>1713</v>
      </c>
      <c r="B27" s="3072">
        <f>SUM(C27:D27)</f>
        <v>69931.638000000006</v>
      </c>
      <c r="C27" s="3072">
        <f>SUM(H27+L27+Q27+V27)</f>
        <v>69931.638000000006</v>
      </c>
      <c r="D27" s="3156">
        <v>0</v>
      </c>
      <c r="E27" s="3074">
        <f>SUM(E18*E37)</f>
        <v>5844.3760980000006</v>
      </c>
      <c r="F27" s="3074">
        <f t="shared" ref="F27:K27" si="29">SUM(F18*F37)</f>
        <v>5810.1984600000005</v>
      </c>
      <c r="G27" s="3074">
        <f t="shared" si="29"/>
        <v>5810.1984600000005</v>
      </c>
      <c r="H27" s="3072">
        <f>SUM(E27:G27)</f>
        <v>17464.773018</v>
      </c>
      <c r="I27" s="3074">
        <f t="shared" si="29"/>
        <v>5776.0208219999995</v>
      </c>
      <c r="J27" s="3074">
        <f t="shared" si="29"/>
        <v>5468.4220800000003</v>
      </c>
      <c r="K27" s="3074">
        <f t="shared" si="29"/>
        <v>5468.4220800000003</v>
      </c>
      <c r="L27" s="3072">
        <f>SUM(I27:K27)</f>
        <v>16712.864981999999</v>
      </c>
      <c r="M27" s="3072">
        <f>SUM(H27+L27)</f>
        <v>34177.637999999999</v>
      </c>
      <c r="N27" s="3074">
        <f t="shared" ref="N27:P27" si="30">SUM(N18*N37)</f>
        <v>5720.64</v>
      </c>
      <c r="O27" s="3074">
        <f t="shared" si="30"/>
        <v>5720.64</v>
      </c>
      <c r="P27" s="3074">
        <f t="shared" si="30"/>
        <v>6042.4259999999995</v>
      </c>
      <c r="Q27" s="3072">
        <f>SUM(N27:P27)</f>
        <v>17483.705999999998</v>
      </c>
      <c r="R27" s="3072">
        <f>SUM(M27+Q27)</f>
        <v>51661.343999999997</v>
      </c>
      <c r="S27" s="3074">
        <f t="shared" ref="S27:U27" si="31">SUM(S18*S37)</f>
        <v>6078.1800000000012</v>
      </c>
      <c r="T27" s="3074">
        <f t="shared" si="31"/>
        <v>6078.1800000000012</v>
      </c>
      <c r="U27" s="3074">
        <f t="shared" si="31"/>
        <v>6113.9340000000011</v>
      </c>
      <c r="V27" s="3072">
        <f>SUM(S27:U27)</f>
        <v>18270.294000000002</v>
      </c>
      <c r="W27" s="3065">
        <f t="shared" ref="W27:W35" si="32">SUM(E27+F27+G27+I27+J27+K27+N27+O27+P27+S27+T27+U27)</f>
        <v>69931.638000000006</v>
      </c>
      <c r="X27" s="430"/>
      <c r="Y27" s="430"/>
      <c r="Z27" s="430"/>
      <c r="AA27" s="430"/>
      <c r="AB27" s="430"/>
      <c r="AC27" s="430"/>
      <c r="AD27" s="430"/>
      <c r="AE27" s="430"/>
      <c r="AF27" s="430"/>
      <c r="AG27" s="430"/>
      <c r="AH27" s="430"/>
      <c r="AI27" s="430"/>
      <c r="AJ27" s="430"/>
      <c r="AK27" s="430"/>
      <c r="AL27" s="430"/>
      <c r="AM27" s="430"/>
      <c r="AN27" s="430"/>
      <c r="AO27" s="430"/>
      <c r="AP27" s="430"/>
      <c r="AQ27" s="430"/>
      <c r="AR27" s="430"/>
      <c r="AS27" s="430"/>
      <c r="AT27" s="430"/>
      <c r="AU27" s="430"/>
      <c r="AV27" s="430"/>
      <c r="AW27" s="430"/>
      <c r="AX27" s="430"/>
    </row>
    <row r="28" spans="1:50" ht="18.75">
      <c r="A28" s="3078" t="s">
        <v>1714</v>
      </c>
      <c r="B28" s="3072">
        <f t="shared" ref="B28:B35" si="33">SUM(C28:D28)</f>
        <v>16074.001945674201</v>
      </c>
      <c r="C28" s="3072">
        <f t="shared" ref="C28:C33" si="34">SUM(H28+L28+Q28+V28)</f>
        <v>16074.001945674201</v>
      </c>
      <c r="D28" s="3156">
        <v>0</v>
      </c>
      <c r="E28" s="3074">
        <f>SUM(E18*E38)</f>
        <v>1426.6629107875933</v>
      </c>
      <c r="F28" s="3074">
        <f t="shared" ref="F28:K28" si="35">SUM(F18*F38)</f>
        <v>1418.3198528297712</v>
      </c>
      <c r="G28" s="3074">
        <f t="shared" si="35"/>
        <v>1418.3198528297712</v>
      </c>
      <c r="H28" s="3072">
        <f>SUM(E28:G28)</f>
        <v>4263.3026164471357</v>
      </c>
      <c r="I28" s="3074">
        <f t="shared" si="35"/>
        <v>1409.9767948719486</v>
      </c>
      <c r="J28" s="3074">
        <f t="shared" si="35"/>
        <v>1334.8892732515492</v>
      </c>
      <c r="K28" s="3074">
        <f t="shared" si="35"/>
        <v>1334.8892732515492</v>
      </c>
      <c r="L28" s="3072">
        <f>SUM(I28:K28)</f>
        <v>4079.755341375047</v>
      </c>
      <c r="M28" s="3072">
        <f t="shared" ref="M28:M35" si="36">SUM(H28+L28)</f>
        <v>8343.0579578221823</v>
      </c>
      <c r="N28" s="3074">
        <f t="shared" ref="N28:P30" si="37">SUM(N18*N38)</f>
        <v>1236.9510380563229</v>
      </c>
      <c r="O28" s="3074">
        <f t="shared" si="37"/>
        <v>1236.9510380563229</v>
      </c>
      <c r="P28" s="3074">
        <f t="shared" si="37"/>
        <v>1306.5295339469908</v>
      </c>
      <c r="Q28" s="3072">
        <f>SUM(N28:P28)</f>
        <v>3780.4316100596366</v>
      </c>
      <c r="R28" s="3072">
        <f t="shared" ref="R28:R35" si="38">SUM(M28+Q28)</f>
        <v>12123.489567881819</v>
      </c>
      <c r="S28" s="3074">
        <f t="shared" ref="S28:U30" si="39">SUM(S18*S38)</f>
        <v>1314.2604779348433</v>
      </c>
      <c r="T28" s="3074">
        <f t="shared" si="39"/>
        <v>1314.2604779348433</v>
      </c>
      <c r="U28" s="3074">
        <f t="shared" si="39"/>
        <v>1321.9914219226953</v>
      </c>
      <c r="V28" s="3072">
        <f>SUM(S28:U28)</f>
        <v>3950.5123777923818</v>
      </c>
      <c r="W28" s="3065">
        <f t="shared" si="32"/>
        <v>16074.001945674201</v>
      </c>
      <c r="X28" s="430"/>
      <c r="Y28" s="430"/>
      <c r="Z28" s="430"/>
      <c r="AA28" s="430"/>
      <c r="AB28" s="430"/>
      <c r="AC28" s="430"/>
      <c r="AD28" s="430"/>
      <c r="AE28" s="430"/>
      <c r="AF28" s="430"/>
      <c r="AG28" s="430"/>
      <c r="AH28" s="430"/>
      <c r="AI28" s="430"/>
      <c r="AJ28" s="430"/>
      <c r="AK28" s="430"/>
      <c r="AL28" s="430"/>
      <c r="AM28" s="430"/>
      <c r="AN28" s="430"/>
      <c r="AO28" s="430"/>
      <c r="AP28" s="430"/>
      <c r="AQ28" s="430"/>
      <c r="AR28" s="430"/>
      <c r="AS28" s="430"/>
      <c r="AT28" s="430"/>
      <c r="AU28" s="430"/>
      <c r="AV28" s="430"/>
      <c r="AW28" s="430"/>
      <c r="AX28" s="430"/>
    </row>
    <row r="29" spans="1:50" ht="18.75">
      <c r="A29" s="3078" t="s">
        <v>1715</v>
      </c>
      <c r="B29" s="3072">
        <f t="shared" si="33"/>
        <v>33527.622351703496</v>
      </c>
      <c r="C29" s="3072">
        <f t="shared" si="34"/>
        <v>33527.622351703496</v>
      </c>
      <c r="D29" s="3156">
        <v>0</v>
      </c>
      <c r="E29" s="3074">
        <f>SUM(E19-E20)*E39</f>
        <v>2836.1451945268605</v>
      </c>
      <c r="F29" s="3074">
        <f t="shared" ref="F29:K29" si="40">SUM(F19-F20)*F39</f>
        <v>2819.1834006333806</v>
      </c>
      <c r="G29" s="3074">
        <f t="shared" si="40"/>
        <v>2819.1834006333806</v>
      </c>
      <c r="H29" s="3072">
        <f t="shared" ref="H29:H35" si="41">SUM(E29:G29)</f>
        <v>8474.5119957936222</v>
      </c>
      <c r="I29" s="3074">
        <f t="shared" si="40"/>
        <v>2802.2216067398999</v>
      </c>
      <c r="J29" s="3074">
        <f t="shared" si="40"/>
        <v>2649.5654616985794</v>
      </c>
      <c r="K29" s="3074">
        <f t="shared" si="40"/>
        <v>2649.5654616985794</v>
      </c>
      <c r="L29" s="3072">
        <f t="shared" ref="L29:L35" si="42">SUM(I29:K29)</f>
        <v>8101.3525301370591</v>
      </c>
      <c r="M29" s="3072">
        <f t="shared" si="36"/>
        <v>16575.86452593068</v>
      </c>
      <c r="N29" s="3074">
        <f t="shared" ref="N29:P29" si="43">SUM(N19-N20)*N39</f>
        <v>2709.6500444959115</v>
      </c>
      <c r="O29" s="3074">
        <f t="shared" si="43"/>
        <v>2709.6500444959115</v>
      </c>
      <c r="P29" s="3074">
        <f t="shared" si="43"/>
        <v>2865.7679952253156</v>
      </c>
      <c r="Q29" s="3072">
        <f t="shared" ref="Q29:Q35" si="44">SUM(N29:P29)</f>
        <v>8285.0680842171387</v>
      </c>
      <c r="R29" s="3072">
        <f t="shared" si="38"/>
        <v>24860.932610147818</v>
      </c>
      <c r="S29" s="3074">
        <f t="shared" ref="S29:U29" si="45">SUM(S19-S20)*S39</f>
        <v>2883.1144341952495</v>
      </c>
      <c r="T29" s="3074">
        <f t="shared" si="45"/>
        <v>2883.1144341952495</v>
      </c>
      <c r="U29" s="3074">
        <f t="shared" si="45"/>
        <v>2900.4608731651833</v>
      </c>
      <c r="V29" s="3072">
        <f t="shared" ref="V29:V35" si="46">SUM(S29:U29)</f>
        <v>8666.6897415556814</v>
      </c>
      <c r="W29" s="3065">
        <f t="shared" si="32"/>
        <v>33527.622351703503</v>
      </c>
      <c r="X29" s="430"/>
      <c r="Y29" s="430"/>
      <c r="Z29" s="430"/>
      <c r="AA29" s="430"/>
      <c r="AB29" s="430"/>
      <c r="AC29" s="430"/>
      <c r="AD29" s="430"/>
      <c r="AE29" s="430"/>
      <c r="AF29" s="430"/>
      <c r="AG29" s="430"/>
      <c r="AH29" s="430"/>
      <c r="AI29" s="430"/>
      <c r="AJ29" s="430"/>
      <c r="AK29" s="430"/>
      <c r="AL29" s="430"/>
      <c r="AM29" s="430"/>
      <c r="AN29" s="430"/>
      <c r="AO29" s="430"/>
      <c r="AP29" s="430"/>
      <c r="AQ29" s="430"/>
      <c r="AR29" s="430"/>
      <c r="AS29" s="430"/>
      <c r="AT29" s="430"/>
      <c r="AU29" s="430"/>
      <c r="AV29" s="430"/>
      <c r="AW29" s="430"/>
      <c r="AX29" s="430"/>
    </row>
    <row r="30" spans="1:50" ht="18.75">
      <c r="A30" s="3078" t="s">
        <v>1716</v>
      </c>
      <c r="B30" s="3072">
        <f t="shared" si="33"/>
        <v>617.81188212212237</v>
      </c>
      <c r="C30" s="3156">
        <v>0</v>
      </c>
      <c r="D30" s="3072">
        <f>SUM(H30+L30+Q30+V30)</f>
        <v>617.81188212212237</v>
      </c>
      <c r="E30" s="3074">
        <f>SUM(E20*E40)</f>
        <v>32.012400799739581</v>
      </c>
      <c r="F30" s="3074">
        <f t="shared" ref="F30:K30" si="47">SUM(F20*F40)</f>
        <v>32.012400799739581</v>
      </c>
      <c r="G30" s="3074">
        <f t="shared" si="47"/>
        <v>32.012400799739581</v>
      </c>
      <c r="H30" s="3072">
        <f t="shared" si="41"/>
        <v>96.037202399218742</v>
      </c>
      <c r="I30" s="3074">
        <f t="shared" si="47"/>
        <v>32.012400799739581</v>
      </c>
      <c r="J30" s="3074">
        <f t="shared" si="47"/>
        <v>32.012400799739581</v>
      </c>
      <c r="K30" s="3074">
        <f t="shared" si="47"/>
        <v>32.012400799739581</v>
      </c>
      <c r="L30" s="3072">
        <f t="shared" si="42"/>
        <v>96.037202399218742</v>
      </c>
      <c r="M30" s="3072">
        <f t="shared" si="36"/>
        <v>192.07440479843748</v>
      </c>
      <c r="N30" s="3074">
        <f t="shared" si="37"/>
        <v>70.956246220614148</v>
      </c>
      <c r="O30" s="3074">
        <f t="shared" si="37"/>
        <v>70.956246220614148</v>
      </c>
      <c r="P30" s="3074">
        <f t="shared" si="37"/>
        <v>70.956246220614148</v>
      </c>
      <c r="Q30" s="3072">
        <f t="shared" si="44"/>
        <v>212.86873866184243</v>
      </c>
      <c r="R30" s="3072">
        <f t="shared" si="38"/>
        <v>404.94314346027988</v>
      </c>
      <c r="S30" s="3074">
        <f t="shared" si="39"/>
        <v>70.956246220614148</v>
      </c>
      <c r="T30" s="3074">
        <f t="shared" si="39"/>
        <v>70.956246220614148</v>
      </c>
      <c r="U30" s="3074">
        <f t="shared" si="39"/>
        <v>70.956246220614148</v>
      </c>
      <c r="V30" s="3072">
        <f t="shared" si="46"/>
        <v>212.86873866184243</v>
      </c>
      <c r="W30" s="3065">
        <f t="shared" si="32"/>
        <v>617.81188212212237</v>
      </c>
      <c r="X30" s="430"/>
      <c r="Y30" s="430"/>
      <c r="Z30" s="430"/>
      <c r="AA30" s="430"/>
      <c r="AB30" s="430"/>
      <c r="AC30" s="430"/>
      <c r="AD30" s="430"/>
      <c r="AE30" s="430"/>
      <c r="AF30" s="430"/>
      <c r="AG30" s="430"/>
      <c r="AH30" s="430"/>
      <c r="AI30" s="430"/>
      <c r="AJ30" s="430"/>
      <c r="AK30" s="430"/>
      <c r="AL30" s="430"/>
      <c r="AM30" s="430"/>
      <c r="AN30" s="430"/>
      <c r="AO30" s="430"/>
      <c r="AP30" s="430"/>
      <c r="AQ30" s="430"/>
      <c r="AR30" s="430"/>
      <c r="AS30" s="430"/>
      <c r="AT30" s="430"/>
      <c r="AU30" s="430"/>
      <c r="AV30" s="430"/>
      <c r="AW30" s="430"/>
      <c r="AX30" s="430"/>
    </row>
    <row r="31" spans="1:50" ht="18.75">
      <c r="A31" s="3078" t="s">
        <v>1717</v>
      </c>
      <c r="B31" s="3072">
        <f t="shared" si="33"/>
        <v>11661.781687549046</v>
      </c>
      <c r="C31" s="3072">
        <f t="shared" si="34"/>
        <v>11661.781687549046</v>
      </c>
      <c r="D31" s="3156">
        <v>0</v>
      </c>
      <c r="E31" s="3074">
        <f>SUM(E32:E33)</f>
        <v>985.90359441187707</v>
      </c>
      <c r="F31" s="3074">
        <f t="shared" ref="F31:G31" si="48">SUM(F32:F33)</f>
        <v>980.13807631590123</v>
      </c>
      <c r="G31" s="3074">
        <f t="shared" si="48"/>
        <v>980.13807631590123</v>
      </c>
      <c r="H31" s="3072">
        <f t="shared" si="41"/>
        <v>2946.1797470436795</v>
      </c>
      <c r="I31" s="3074">
        <f>SUM(I32:I33)</f>
        <v>974.37255821992517</v>
      </c>
      <c r="J31" s="3074">
        <f t="shared" ref="J31:K31" si="49">SUM(J32:J33)</f>
        <v>922.48289535614231</v>
      </c>
      <c r="K31" s="3074">
        <f t="shared" si="49"/>
        <v>922.48289535614231</v>
      </c>
      <c r="L31" s="3072">
        <f t="shared" si="42"/>
        <v>2819.3383489322096</v>
      </c>
      <c r="M31" s="3072">
        <f t="shared" si="36"/>
        <v>5765.5180959758891</v>
      </c>
      <c r="N31" s="3074">
        <f>SUM(N32:N33)</f>
        <v>943.40217465170485</v>
      </c>
      <c r="O31" s="3074">
        <f t="shared" ref="O31:P31" si="50">SUM(O32:O33)</f>
        <v>943.40217465170485</v>
      </c>
      <c r="P31" s="3074">
        <f t="shared" si="50"/>
        <v>996.46854697586321</v>
      </c>
      <c r="Q31" s="3072">
        <f t="shared" si="44"/>
        <v>2883.272896279273</v>
      </c>
      <c r="R31" s="3072">
        <f t="shared" si="38"/>
        <v>8648.7909922551626</v>
      </c>
      <c r="S31" s="3074">
        <f>SUM(S32:S33)</f>
        <v>1002.3648105674365</v>
      </c>
      <c r="T31" s="3074">
        <f t="shared" ref="T31:U31" si="51">SUM(T32:T33)</f>
        <v>1002.3648105674365</v>
      </c>
      <c r="U31" s="3074">
        <f t="shared" si="51"/>
        <v>1008.2610741590096</v>
      </c>
      <c r="V31" s="3072">
        <f t="shared" si="46"/>
        <v>3012.9906952938827</v>
      </c>
      <c r="W31" s="3065">
        <f t="shared" si="32"/>
        <v>11661.781687549043</v>
      </c>
      <c r="X31" s="430"/>
      <c r="Y31" s="430"/>
      <c r="Z31" s="430"/>
      <c r="AA31" s="430"/>
      <c r="AB31" s="430"/>
      <c r="AC31" s="430"/>
      <c r="AD31" s="430"/>
      <c r="AE31" s="430"/>
      <c r="AF31" s="430"/>
      <c r="AG31" s="430"/>
      <c r="AH31" s="430"/>
      <c r="AI31" s="430"/>
      <c r="AJ31" s="430"/>
      <c r="AK31" s="430"/>
      <c r="AL31" s="430"/>
      <c r="AM31" s="430"/>
      <c r="AN31" s="430"/>
      <c r="AO31" s="430"/>
      <c r="AP31" s="430"/>
      <c r="AQ31" s="430"/>
      <c r="AR31" s="430"/>
      <c r="AS31" s="430"/>
      <c r="AT31" s="430"/>
      <c r="AU31" s="430"/>
      <c r="AV31" s="430"/>
      <c r="AW31" s="430"/>
      <c r="AX31" s="430"/>
    </row>
    <row r="32" spans="1:50" ht="18.75">
      <c r="A32" s="3079" t="s">
        <v>654</v>
      </c>
      <c r="B32" s="3076">
        <f t="shared" si="33"/>
        <v>11661.781687549046</v>
      </c>
      <c r="C32" s="3076">
        <f t="shared" si="34"/>
        <v>11661.781687549046</v>
      </c>
      <c r="D32" s="3157">
        <v>0</v>
      </c>
      <c r="E32" s="3075">
        <f>SUM(E22*E39)</f>
        <v>985.90359441187707</v>
      </c>
      <c r="F32" s="3075">
        <f t="shared" ref="F32:G32" si="52">SUM(F22*F39)</f>
        <v>980.13807631590123</v>
      </c>
      <c r="G32" s="3075">
        <f t="shared" si="52"/>
        <v>980.13807631590123</v>
      </c>
      <c r="H32" s="3072">
        <f t="shared" si="41"/>
        <v>2946.1797470436795</v>
      </c>
      <c r="I32" s="3075">
        <f>SUM(I22*I39)</f>
        <v>974.37255821992517</v>
      </c>
      <c r="J32" s="3075">
        <f t="shared" ref="J32:K32" si="53">SUM(J22*J39)</f>
        <v>922.48289535614231</v>
      </c>
      <c r="K32" s="3075">
        <f t="shared" si="53"/>
        <v>922.48289535614231</v>
      </c>
      <c r="L32" s="3072">
        <f t="shared" si="42"/>
        <v>2819.3383489322096</v>
      </c>
      <c r="M32" s="3072">
        <f t="shared" si="36"/>
        <v>5765.5180959758891</v>
      </c>
      <c r="N32" s="3075">
        <f>SUM(N22*N39)</f>
        <v>943.40217465170485</v>
      </c>
      <c r="O32" s="3075">
        <f t="shared" ref="O32:P32" si="54">SUM(O22*O39)</f>
        <v>943.40217465170485</v>
      </c>
      <c r="P32" s="3075">
        <f t="shared" si="54"/>
        <v>996.46854697586321</v>
      </c>
      <c r="Q32" s="3072">
        <f t="shared" si="44"/>
        <v>2883.272896279273</v>
      </c>
      <c r="R32" s="3072">
        <f t="shared" si="38"/>
        <v>8648.7909922551626</v>
      </c>
      <c r="S32" s="3075">
        <f>SUM(S22*S39)</f>
        <v>1002.3648105674365</v>
      </c>
      <c r="T32" s="3075">
        <f t="shared" ref="T32:U32" si="55">SUM(T22*T39)</f>
        <v>1002.3648105674365</v>
      </c>
      <c r="U32" s="3075">
        <f t="shared" si="55"/>
        <v>1008.2610741590096</v>
      </c>
      <c r="V32" s="3072">
        <f t="shared" si="46"/>
        <v>3012.9906952938827</v>
      </c>
      <c r="W32" s="3065">
        <f t="shared" si="32"/>
        <v>11661.781687549043</v>
      </c>
      <c r="X32" s="430"/>
      <c r="Y32" s="430"/>
      <c r="Z32" s="430"/>
      <c r="AA32" s="430"/>
      <c r="AB32" s="430"/>
      <c r="AC32" s="430"/>
      <c r="AD32" s="430"/>
      <c r="AE32" s="430"/>
      <c r="AF32" s="430"/>
      <c r="AG32" s="430"/>
      <c r="AH32" s="430"/>
      <c r="AI32" s="430"/>
      <c r="AJ32" s="430"/>
      <c r="AK32" s="430"/>
      <c r="AL32" s="430"/>
      <c r="AM32" s="430"/>
      <c r="AN32" s="430"/>
      <c r="AO32" s="430"/>
      <c r="AP32" s="430"/>
      <c r="AQ32" s="430"/>
      <c r="AR32" s="430"/>
      <c r="AS32" s="430"/>
      <c r="AT32" s="430"/>
      <c r="AU32" s="430"/>
      <c r="AV32" s="430"/>
      <c r="AW32" s="430"/>
      <c r="AX32" s="430"/>
    </row>
    <row r="33" spans="1:50" ht="18.75">
      <c r="A33" s="3079" t="s">
        <v>655</v>
      </c>
      <c r="B33" s="3076">
        <f t="shared" si="33"/>
        <v>0</v>
      </c>
      <c r="C33" s="3076">
        <f t="shared" si="34"/>
        <v>0</v>
      </c>
      <c r="D33" s="3157">
        <v>0</v>
      </c>
      <c r="E33" s="3075">
        <f>SUM(E23*E39)</f>
        <v>0</v>
      </c>
      <c r="F33" s="3075">
        <f t="shared" ref="F33:G33" si="56">SUM(F23*F39)</f>
        <v>0</v>
      </c>
      <c r="G33" s="3075">
        <f t="shared" si="56"/>
        <v>0</v>
      </c>
      <c r="H33" s="3072">
        <f t="shared" si="41"/>
        <v>0</v>
      </c>
      <c r="I33" s="3075">
        <f>SUM(I23*I39)</f>
        <v>0</v>
      </c>
      <c r="J33" s="3075">
        <f t="shared" ref="J33:K33" si="57">SUM(J23*J39)</f>
        <v>0</v>
      </c>
      <c r="K33" s="3075">
        <f t="shared" si="57"/>
        <v>0</v>
      </c>
      <c r="L33" s="3072">
        <f t="shared" si="42"/>
        <v>0</v>
      </c>
      <c r="M33" s="3072">
        <f t="shared" si="36"/>
        <v>0</v>
      </c>
      <c r="N33" s="3075">
        <f>SUM(N23*N39)</f>
        <v>0</v>
      </c>
      <c r="O33" s="3075">
        <f t="shared" ref="O33:P33" si="58">SUM(O23*O39)</f>
        <v>0</v>
      </c>
      <c r="P33" s="3075">
        <f t="shared" si="58"/>
        <v>0</v>
      </c>
      <c r="Q33" s="3072">
        <f t="shared" si="44"/>
        <v>0</v>
      </c>
      <c r="R33" s="3072">
        <f t="shared" si="38"/>
        <v>0</v>
      </c>
      <c r="S33" s="3075">
        <f>SUM(S23*S39)</f>
        <v>0</v>
      </c>
      <c r="T33" s="3075">
        <f t="shared" ref="T33:U33" si="59">SUM(T23*T39)</f>
        <v>0</v>
      </c>
      <c r="U33" s="3075">
        <f t="shared" si="59"/>
        <v>0</v>
      </c>
      <c r="V33" s="3072">
        <f t="shared" si="46"/>
        <v>0</v>
      </c>
      <c r="W33" s="3065">
        <f t="shared" si="32"/>
        <v>0</v>
      </c>
      <c r="X33" s="430"/>
      <c r="Y33" s="430"/>
      <c r="Z33" s="430"/>
      <c r="AA33" s="430"/>
      <c r="AB33" s="430"/>
      <c r="AC33" s="430"/>
      <c r="AD33" s="430"/>
      <c r="AE33" s="430"/>
      <c r="AF33" s="430"/>
      <c r="AG33" s="430"/>
      <c r="AH33" s="430"/>
      <c r="AI33" s="430"/>
      <c r="AJ33" s="430"/>
      <c r="AK33" s="430"/>
      <c r="AL33" s="430"/>
      <c r="AM33" s="430"/>
      <c r="AN33" s="430"/>
      <c r="AO33" s="430"/>
      <c r="AP33" s="430"/>
      <c r="AQ33" s="430"/>
      <c r="AR33" s="430"/>
      <c r="AS33" s="430"/>
      <c r="AT33" s="430"/>
      <c r="AU33" s="430"/>
      <c r="AV33" s="430"/>
      <c r="AW33" s="430"/>
      <c r="AX33" s="430"/>
    </row>
    <row r="34" spans="1:50" ht="18.75">
      <c r="A34" s="3080" t="s">
        <v>1718</v>
      </c>
      <c r="B34" s="3070">
        <f t="shared" si="33"/>
        <v>131812.85586704887</v>
      </c>
      <c r="C34" s="3070">
        <f>SUM(C27:C31)</f>
        <v>131195.04398492674</v>
      </c>
      <c r="D34" s="3070">
        <f>SUM(D27:D33)</f>
        <v>617.81188212212237</v>
      </c>
      <c r="E34" s="3081">
        <f>SUM(E27+E28+E29+E30+E31)</f>
        <v>11125.100198526072</v>
      </c>
      <c r="F34" s="3081">
        <f t="shared" ref="F34:G34" si="60">SUM(F27+F28+F29+F30+F31)</f>
        <v>11059.852190578795</v>
      </c>
      <c r="G34" s="3081">
        <f t="shared" si="60"/>
        <v>11059.852190578795</v>
      </c>
      <c r="H34" s="3070">
        <f t="shared" si="41"/>
        <v>33244.80457968366</v>
      </c>
      <c r="I34" s="3081">
        <f>SUM(I27+I28+I29+I30+I31)</f>
        <v>10994.604182631514</v>
      </c>
      <c r="J34" s="3081">
        <f t="shared" ref="J34:K34" si="61">SUM(J27+J28+J29+J30+J31)</f>
        <v>10407.372111106011</v>
      </c>
      <c r="K34" s="3081">
        <f t="shared" si="61"/>
        <v>10407.372111106011</v>
      </c>
      <c r="L34" s="3070">
        <f t="shared" si="42"/>
        <v>31809.348404843538</v>
      </c>
      <c r="M34" s="3070">
        <f t="shared" si="36"/>
        <v>65054.152984527202</v>
      </c>
      <c r="N34" s="3081">
        <f>SUM(N27+N28+N29+N30+N31)</f>
        <v>10681.599503424553</v>
      </c>
      <c r="O34" s="3081">
        <f t="shared" ref="O34:P34" si="62">SUM(O27+O28+O29+O30+O31)</f>
        <v>10681.599503424553</v>
      </c>
      <c r="P34" s="3081">
        <f t="shared" si="62"/>
        <v>11282.148322368781</v>
      </c>
      <c r="Q34" s="3070">
        <f t="shared" si="44"/>
        <v>32645.34732921789</v>
      </c>
      <c r="R34" s="3070">
        <f t="shared" si="38"/>
        <v>97699.500313745084</v>
      </c>
      <c r="S34" s="3081">
        <f>SUM(S27+S28+S29+S30+S31)</f>
        <v>11348.875968918144</v>
      </c>
      <c r="T34" s="3081">
        <f t="shared" ref="T34:U34" si="63">SUM(T27+T28+T29+T30+T31)</f>
        <v>11348.875968918144</v>
      </c>
      <c r="U34" s="3081">
        <f t="shared" si="63"/>
        <v>11415.603615467502</v>
      </c>
      <c r="V34" s="3070">
        <f t="shared" si="46"/>
        <v>34113.355553303787</v>
      </c>
      <c r="W34" s="3061">
        <f t="shared" si="32"/>
        <v>131812.8558670489</v>
      </c>
      <c r="X34" s="430"/>
      <c r="Y34" s="430"/>
      <c r="Z34" s="430"/>
      <c r="AA34" s="430"/>
      <c r="AB34" s="430"/>
      <c r="AC34" s="430"/>
      <c r="AD34" s="430"/>
      <c r="AE34" s="430"/>
      <c r="AF34" s="430"/>
      <c r="AG34" s="430"/>
      <c r="AH34" s="430"/>
      <c r="AI34" s="430"/>
      <c r="AJ34" s="430"/>
      <c r="AK34" s="430"/>
      <c r="AL34" s="430"/>
      <c r="AM34" s="430"/>
      <c r="AN34" s="430"/>
      <c r="AO34" s="430"/>
      <c r="AP34" s="430"/>
      <c r="AQ34" s="430"/>
      <c r="AR34" s="430"/>
      <c r="AS34" s="430"/>
      <c r="AT34" s="430"/>
      <c r="AU34" s="430"/>
      <c r="AV34" s="430"/>
      <c r="AW34" s="430"/>
      <c r="AX34" s="430"/>
    </row>
    <row r="35" spans="1:50" ht="18.75">
      <c r="A35" s="3079" t="s">
        <v>1719</v>
      </c>
      <c r="B35" s="3076">
        <f t="shared" si="33"/>
        <v>-6624.9</v>
      </c>
      <c r="C35" s="3076">
        <f>SUM(H35+L35+Q35+V35)</f>
        <v>-6624.9</v>
      </c>
      <c r="D35" s="3157">
        <v>0</v>
      </c>
      <c r="E35" s="3075">
        <f>SUM(E174)</f>
        <v>-552.07499999999993</v>
      </c>
      <c r="F35" s="3075">
        <f t="shared" ref="F35:G35" si="64">SUM(F174)</f>
        <v>-552.07499999999993</v>
      </c>
      <c r="G35" s="3075">
        <f t="shared" si="64"/>
        <v>-552.07499999999993</v>
      </c>
      <c r="H35" s="3076">
        <f t="shared" si="41"/>
        <v>-1656.2249999999999</v>
      </c>
      <c r="I35" s="3075">
        <f>SUM(I174)</f>
        <v>-552.07499999999993</v>
      </c>
      <c r="J35" s="3075">
        <f t="shared" ref="J35:K35" si="65">SUM(J174)</f>
        <v>-552.07499999999993</v>
      </c>
      <c r="K35" s="3075">
        <f t="shared" si="65"/>
        <v>-552.07499999999993</v>
      </c>
      <c r="L35" s="3076">
        <f t="shared" si="42"/>
        <v>-1656.2249999999999</v>
      </c>
      <c r="M35" s="3076">
        <f t="shared" si="36"/>
        <v>-3312.45</v>
      </c>
      <c r="N35" s="3075">
        <f>SUM(N174)</f>
        <v>-552.07499999999993</v>
      </c>
      <c r="O35" s="3075">
        <f t="shared" ref="O35:P35" si="66">SUM(O174)</f>
        <v>-552.07499999999993</v>
      </c>
      <c r="P35" s="3075">
        <f t="shared" si="66"/>
        <v>-552.07499999999993</v>
      </c>
      <c r="Q35" s="3076">
        <f t="shared" si="44"/>
        <v>-1656.2249999999999</v>
      </c>
      <c r="R35" s="3076">
        <f t="shared" si="38"/>
        <v>-4968.6749999999993</v>
      </c>
      <c r="S35" s="3075">
        <f>SUM(S174)</f>
        <v>-552.07499999999993</v>
      </c>
      <c r="T35" s="3075">
        <f t="shared" ref="T35:U35" si="67">SUM(T174)</f>
        <v>-552.07499999999993</v>
      </c>
      <c r="U35" s="3075">
        <f t="shared" si="67"/>
        <v>-552.07499999999993</v>
      </c>
      <c r="V35" s="3076">
        <f t="shared" si="46"/>
        <v>-1656.2249999999999</v>
      </c>
      <c r="W35" s="3065">
        <f t="shared" si="32"/>
        <v>-6624.8999999999987</v>
      </c>
      <c r="X35" s="430"/>
      <c r="Y35" s="430"/>
      <c r="Z35" s="430"/>
      <c r="AA35" s="430"/>
      <c r="AB35" s="430"/>
      <c r="AC35" s="430"/>
      <c r="AD35" s="430"/>
      <c r="AE35" s="430"/>
      <c r="AF35" s="430"/>
      <c r="AG35" s="430"/>
      <c r="AH35" s="430"/>
      <c r="AI35" s="430"/>
      <c r="AJ35" s="430"/>
      <c r="AK35" s="430"/>
      <c r="AL35" s="430"/>
      <c r="AM35" s="430"/>
      <c r="AN35" s="430"/>
      <c r="AO35" s="430"/>
      <c r="AP35" s="430"/>
      <c r="AQ35" s="430"/>
      <c r="AR35" s="430"/>
      <c r="AS35" s="430"/>
      <c r="AT35" s="430"/>
      <c r="AU35" s="430"/>
      <c r="AV35" s="430"/>
      <c r="AW35" s="430"/>
      <c r="AX35" s="430"/>
    </row>
    <row r="36" spans="1:50" ht="18.75">
      <c r="A36" s="3080" t="s">
        <v>1720</v>
      </c>
      <c r="B36" s="3070">
        <f>SUM(B34/B17)</f>
        <v>36.398113410498887</v>
      </c>
      <c r="C36" s="3070">
        <f>SUM(C34/C17)</f>
        <v>36.443067773590762</v>
      </c>
      <c r="D36" s="3070">
        <f>SUM(D34/D17)</f>
        <v>28.842758269006644</v>
      </c>
      <c r="E36" s="3081">
        <f>SUM(E34/E17)</f>
        <v>35.930140932814503</v>
      </c>
      <c r="F36" s="3081">
        <f t="shared" ref="F36:H36" si="68">SUM(F34/F17)</f>
        <v>35.929527125949598</v>
      </c>
      <c r="G36" s="3081">
        <f t="shared" si="68"/>
        <v>35.929527125949598</v>
      </c>
      <c r="H36" s="3070">
        <f t="shared" si="68"/>
        <v>35.929732529029629</v>
      </c>
      <c r="I36" s="3081">
        <f>SUM(I34/I17)</f>
        <v>35.928906055098118</v>
      </c>
      <c r="J36" s="3081">
        <f t="shared" ref="J36:M36" si="69">SUM(J34/J17)</f>
        <v>35.922967065080861</v>
      </c>
      <c r="K36" s="3081">
        <f t="shared" si="69"/>
        <v>35.922967065080861</v>
      </c>
      <c r="L36" s="3070">
        <f t="shared" si="69"/>
        <v>35.925019599463106</v>
      </c>
      <c r="M36" s="3070">
        <f t="shared" si="69"/>
        <v>35.9274279064716</v>
      </c>
      <c r="N36" s="3081">
        <f>SUM(N34/N17)</f>
        <v>36.86951355899258</v>
      </c>
      <c r="O36" s="3081">
        <f t="shared" ref="O36:R36" si="70">SUM(O34/O17)</f>
        <v>36.86951355899258</v>
      </c>
      <c r="P36" s="3081">
        <f t="shared" si="70"/>
        <v>36.86856210925918</v>
      </c>
      <c r="Q36" s="3070">
        <f t="shared" si="70"/>
        <v>36.869184734851586</v>
      </c>
      <c r="R36" s="3070">
        <f t="shared" si="70"/>
        <v>36.236708691614517</v>
      </c>
      <c r="S36" s="3081">
        <f>SUM(S34/S17)</f>
        <v>36.868462611247857</v>
      </c>
      <c r="T36" s="3081">
        <f t="shared" ref="T36:W36" si="71">SUM(T34/T17)</f>
        <v>36.868462611247857</v>
      </c>
      <c r="U36" s="3081">
        <f t="shared" si="71"/>
        <v>36.868364276955944</v>
      </c>
      <c r="V36" s="3070">
        <f t="shared" si="71"/>
        <v>36.868429704860539</v>
      </c>
      <c r="W36" s="3082">
        <f t="shared" si="71"/>
        <v>36.398113410498887</v>
      </c>
      <c r="X36" s="430"/>
      <c r="Y36" s="430"/>
      <c r="Z36" s="430"/>
      <c r="AA36" s="430"/>
      <c r="AB36" s="430"/>
      <c r="AC36" s="430"/>
      <c r="AD36" s="430"/>
      <c r="AE36" s="430"/>
      <c r="AF36" s="430"/>
      <c r="AG36" s="430"/>
      <c r="AH36" s="430"/>
      <c r="AI36" s="430"/>
      <c r="AJ36" s="430"/>
      <c r="AK36" s="430"/>
      <c r="AL36" s="430"/>
      <c r="AM36" s="430"/>
      <c r="AN36" s="430"/>
      <c r="AO36" s="430"/>
      <c r="AP36" s="430"/>
      <c r="AQ36" s="430"/>
      <c r="AR36" s="430"/>
      <c r="AS36" s="430"/>
      <c r="AT36" s="430"/>
      <c r="AU36" s="430"/>
      <c r="AV36" s="430"/>
      <c r="AW36" s="430"/>
      <c r="AX36" s="430"/>
    </row>
    <row r="37" spans="1:50" ht="18.75">
      <c r="A37" s="3079" t="s">
        <v>264</v>
      </c>
      <c r="B37" s="3076">
        <f>SUM(C27/C18)</f>
        <v>29.632050000000003</v>
      </c>
      <c r="C37" s="3076">
        <f>SUM(C27/C18)</f>
        <v>29.632050000000003</v>
      </c>
      <c r="D37" s="3157">
        <v>0</v>
      </c>
      <c r="E37" s="3158">
        <f>SUM('Тариф вода 2016-2018 ПЛАН'!Q43)</f>
        <v>28.964099999999998</v>
      </c>
      <c r="F37" s="3158">
        <f>SUM(E37)</f>
        <v>28.964099999999998</v>
      </c>
      <c r="G37" s="3158">
        <f>SUM(E37)</f>
        <v>28.964099999999998</v>
      </c>
      <c r="H37" s="3076">
        <f>SUM(G37)</f>
        <v>28.964099999999998</v>
      </c>
      <c r="I37" s="3158">
        <f>SUM(E37)</f>
        <v>28.964099999999998</v>
      </c>
      <c r="J37" s="3158">
        <f>SUM(E37)</f>
        <v>28.964099999999998</v>
      </c>
      <c r="K37" s="3158">
        <f>SUM(E37)</f>
        <v>28.964099999999998</v>
      </c>
      <c r="L37" s="3076">
        <f>SUM(K37)</f>
        <v>28.964099999999998</v>
      </c>
      <c r="M37" s="3076">
        <f>SUM(L37)</f>
        <v>28.964099999999998</v>
      </c>
      <c r="N37" s="3158">
        <f>SUM('Тариф вода 2016-2018 ПЛАН'!Q44)</f>
        <v>30.3</v>
      </c>
      <c r="O37" s="3158">
        <f>SUM(N37)</f>
        <v>30.3</v>
      </c>
      <c r="P37" s="3158">
        <f>SUM(N37)</f>
        <v>30.3</v>
      </c>
      <c r="Q37" s="3076">
        <f>SUM(P37)</f>
        <v>30.3</v>
      </c>
      <c r="R37" s="3076">
        <f>SUM(Q37)</f>
        <v>30.3</v>
      </c>
      <c r="S37" s="3158">
        <f>SUM(N37)</f>
        <v>30.3</v>
      </c>
      <c r="T37" s="3158">
        <f>SUM(S37)</f>
        <v>30.3</v>
      </c>
      <c r="U37" s="3158">
        <f>SUM(S37)</f>
        <v>30.3</v>
      </c>
      <c r="V37" s="3076">
        <f>SUM(U37)</f>
        <v>30.3</v>
      </c>
      <c r="W37" s="3083">
        <f>SUM(W27/W18)</f>
        <v>29.632050000000003</v>
      </c>
      <c r="X37" s="430"/>
      <c r="Y37" s="430"/>
      <c r="Z37" s="430"/>
      <c r="AA37" s="430"/>
      <c r="AB37" s="430"/>
      <c r="AC37" s="430"/>
      <c r="AD37" s="430"/>
      <c r="AE37" s="430"/>
      <c r="AF37" s="430"/>
      <c r="AG37" s="430"/>
      <c r="AH37" s="430"/>
      <c r="AI37" s="430"/>
      <c r="AJ37" s="430"/>
      <c r="AK37" s="430"/>
      <c r="AL37" s="430"/>
      <c r="AM37" s="430"/>
      <c r="AN37" s="430"/>
      <c r="AO37" s="430"/>
      <c r="AP37" s="430"/>
      <c r="AQ37" s="430"/>
      <c r="AR37" s="430"/>
      <c r="AS37" s="430"/>
      <c r="AT37" s="430"/>
      <c r="AU37" s="430"/>
      <c r="AV37" s="430"/>
      <c r="AW37" s="430"/>
      <c r="AX37" s="430"/>
    </row>
    <row r="38" spans="1:50" ht="18.75">
      <c r="A38" s="3079" t="s">
        <v>1721</v>
      </c>
      <c r="B38" s="3076">
        <f>SUM(C28/C18)</f>
        <v>6.8110177735907635</v>
      </c>
      <c r="C38" s="3076">
        <f>SUM(C28/C18)</f>
        <v>6.8110177735907635</v>
      </c>
      <c r="D38" s="3157">
        <v>0</v>
      </c>
      <c r="E38" s="3075">
        <f>SUM(E39-E37)</f>
        <v>7.0703880998493069</v>
      </c>
      <c r="F38" s="3075">
        <f t="shared" ref="F38:U38" si="72">SUM(F39-F37)</f>
        <v>7.0703880998493069</v>
      </c>
      <c r="G38" s="3075">
        <f t="shared" si="72"/>
        <v>7.0703880998493069</v>
      </c>
      <c r="H38" s="3076">
        <f t="shared" ref="H38:H40" si="73">SUM(G38)</f>
        <v>7.0703880998493069</v>
      </c>
      <c r="I38" s="3075">
        <f t="shared" si="72"/>
        <v>7.0703880998493069</v>
      </c>
      <c r="J38" s="3075">
        <f t="shared" si="72"/>
        <v>7.0703880998493069</v>
      </c>
      <c r="K38" s="3075">
        <f t="shared" si="72"/>
        <v>7.0703880998493069</v>
      </c>
      <c r="L38" s="3076">
        <f t="shared" ref="L38:M40" si="74">SUM(K38)</f>
        <v>7.0703880998493069</v>
      </c>
      <c r="M38" s="3076">
        <f t="shared" si="74"/>
        <v>7.0703880998493069</v>
      </c>
      <c r="N38" s="3075">
        <f t="shared" si="72"/>
        <v>6.5516474473322184</v>
      </c>
      <c r="O38" s="3075">
        <f t="shared" si="72"/>
        <v>6.5516474473322184</v>
      </c>
      <c r="P38" s="3075">
        <f t="shared" si="72"/>
        <v>6.5516474473322184</v>
      </c>
      <c r="Q38" s="3076">
        <f t="shared" ref="Q38:R40" si="75">SUM(P38)</f>
        <v>6.5516474473322184</v>
      </c>
      <c r="R38" s="3076">
        <f t="shared" si="75"/>
        <v>6.5516474473322184</v>
      </c>
      <c r="S38" s="3075">
        <f t="shared" si="72"/>
        <v>6.5516474473322184</v>
      </c>
      <c r="T38" s="3075">
        <f t="shared" si="72"/>
        <v>6.5516474473322184</v>
      </c>
      <c r="U38" s="3075">
        <f t="shared" si="72"/>
        <v>6.5516474473322184</v>
      </c>
      <c r="V38" s="3076">
        <f t="shared" ref="V38:V40" si="76">SUM(U38)</f>
        <v>6.5516474473322184</v>
      </c>
      <c r="W38" s="3083">
        <f>SUM(W28/W18)</f>
        <v>6.8110177735907635</v>
      </c>
      <c r="X38" s="430"/>
      <c r="Y38" s="430"/>
      <c r="Z38" s="430"/>
      <c r="AA38" s="430"/>
      <c r="AB38" s="430"/>
      <c r="AC38" s="430"/>
      <c r="AD38" s="430"/>
      <c r="AE38" s="430"/>
      <c r="AF38" s="430"/>
      <c r="AG38" s="430"/>
      <c r="AH38" s="430"/>
      <c r="AI38" s="430"/>
      <c r="AJ38" s="430"/>
      <c r="AK38" s="430"/>
      <c r="AL38" s="430"/>
      <c r="AM38" s="430"/>
      <c r="AN38" s="430"/>
      <c r="AO38" s="430"/>
      <c r="AP38" s="430"/>
      <c r="AQ38" s="430"/>
      <c r="AR38" s="430"/>
      <c r="AS38" s="430"/>
      <c r="AT38" s="430"/>
      <c r="AU38" s="430"/>
      <c r="AV38" s="430"/>
      <c r="AW38" s="430"/>
      <c r="AX38" s="430"/>
    </row>
    <row r="39" spans="1:50" ht="18.75">
      <c r="A39" s="3079" t="s">
        <v>265</v>
      </c>
      <c r="B39" s="3076">
        <f>SUM(B29+B31)/(B19-B20+B21)</f>
        <v>36.443067773590762</v>
      </c>
      <c r="C39" s="3076">
        <f>SUM(C29+C31)/(C19+C21)</f>
        <v>36.443067773590762</v>
      </c>
      <c r="D39" s="3076">
        <v>0</v>
      </c>
      <c r="E39" s="3075">
        <f>SUM('Тариф вода 2016-2018 ПЛАН'!Q36)</f>
        <v>36.034488099849305</v>
      </c>
      <c r="F39" s="3075">
        <f>SUM('Тариф вода 2016-2018 ПЛАН'!Q36)</f>
        <v>36.034488099849305</v>
      </c>
      <c r="G39" s="3075">
        <f>SUM(E39)</f>
        <v>36.034488099849305</v>
      </c>
      <c r="H39" s="3076">
        <f t="shared" si="73"/>
        <v>36.034488099849305</v>
      </c>
      <c r="I39" s="3075">
        <f>SUM(E39)</f>
        <v>36.034488099849305</v>
      </c>
      <c r="J39" s="3075">
        <f>SUM(E39)</f>
        <v>36.034488099849305</v>
      </c>
      <c r="K39" s="3075">
        <f>SUM(E39)</f>
        <v>36.034488099849305</v>
      </c>
      <c r="L39" s="3076">
        <f t="shared" si="74"/>
        <v>36.034488099849305</v>
      </c>
      <c r="M39" s="3076">
        <f t="shared" si="74"/>
        <v>36.034488099849305</v>
      </c>
      <c r="N39" s="3075">
        <f>SUM('Тариф вода 2016-2018 ПЛАН'!Q37)</f>
        <v>36.851647447332219</v>
      </c>
      <c r="O39" s="3075">
        <f>SUM(N39)</f>
        <v>36.851647447332219</v>
      </c>
      <c r="P39" s="3075">
        <f>SUM(N39)</f>
        <v>36.851647447332219</v>
      </c>
      <c r="Q39" s="3076">
        <f t="shared" si="75"/>
        <v>36.851647447332219</v>
      </c>
      <c r="R39" s="3076">
        <f t="shared" si="75"/>
        <v>36.851647447332219</v>
      </c>
      <c r="S39" s="3075">
        <f>SUM(N39)</f>
        <v>36.851647447332219</v>
      </c>
      <c r="T39" s="3075">
        <f>SUM(N39)</f>
        <v>36.851647447332219</v>
      </c>
      <c r="U39" s="3075">
        <f>SUM(N39)</f>
        <v>36.851647447332219</v>
      </c>
      <c r="V39" s="3076">
        <f t="shared" si="76"/>
        <v>36.851647447332219</v>
      </c>
      <c r="W39" s="3083">
        <f>SUM(W29/(W19-W20))</f>
        <v>36.443067773590762</v>
      </c>
      <c r="X39" s="430"/>
      <c r="Y39" s="430"/>
      <c r="Z39" s="430"/>
      <c r="AA39" s="430"/>
      <c r="AB39" s="430"/>
      <c r="AC39" s="430"/>
      <c r="AD39" s="430"/>
      <c r="AE39" s="430"/>
      <c r="AF39" s="430"/>
      <c r="AG39" s="430"/>
      <c r="AH39" s="430"/>
      <c r="AI39" s="430"/>
      <c r="AJ39" s="430"/>
      <c r="AK39" s="430"/>
      <c r="AL39" s="430"/>
      <c r="AM39" s="430"/>
      <c r="AN39" s="430"/>
      <c r="AO39" s="430"/>
      <c r="AP39" s="430"/>
      <c r="AQ39" s="430"/>
      <c r="AR39" s="430"/>
      <c r="AS39" s="430"/>
      <c r="AT39" s="430"/>
      <c r="AU39" s="430"/>
      <c r="AV39" s="430"/>
      <c r="AW39" s="430"/>
      <c r="AX39" s="430"/>
    </row>
    <row r="40" spans="1:50" ht="18.75">
      <c r="A40" s="3066" t="s">
        <v>25</v>
      </c>
      <c r="B40" s="3076">
        <f>SUM(B30/B20)</f>
        <v>28.842758269006644</v>
      </c>
      <c r="C40" s="3157">
        <v>0</v>
      </c>
      <c r="D40" s="3076">
        <f>SUM(D34/D17)</f>
        <v>28.842758269006644</v>
      </c>
      <c r="E40" s="3075">
        <f>SUM('Тариф тех.вода 2016-2018 ПЛАН'!Q36)</f>
        <v>17.934118095092199</v>
      </c>
      <c r="F40" s="3075">
        <f>SUM(E40)</f>
        <v>17.934118095092199</v>
      </c>
      <c r="G40" s="3075">
        <f>SUM(E40)</f>
        <v>17.934118095092199</v>
      </c>
      <c r="H40" s="3076">
        <f t="shared" si="73"/>
        <v>17.934118095092199</v>
      </c>
      <c r="I40" s="3075">
        <f>SUM(E40)</f>
        <v>17.934118095092199</v>
      </c>
      <c r="J40" s="3075">
        <f>SUM(E40)</f>
        <v>17.934118095092199</v>
      </c>
      <c r="K40" s="3075">
        <f>SUM(E40)</f>
        <v>17.934118095092199</v>
      </c>
      <c r="L40" s="3076">
        <f t="shared" si="74"/>
        <v>17.934118095092199</v>
      </c>
      <c r="M40" s="3076">
        <f t="shared" si="74"/>
        <v>17.934118095092199</v>
      </c>
      <c r="N40" s="3075">
        <f>SUM('Тариф тех.вода 2016-2018 ПЛАН'!Q37)</f>
        <v>39.751398442921086</v>
      </c>
      <c r="O40" s="3075">
        <f>SUM(N40)</f>
        <v>39.751398442921086</v>
      </c>
      <c r="P40" s="3075">
        <f>SUM(N40)</f>
        <v>39.751398442921086</v>
      </c>
      <c r="Q40" s="3076">
        <f t="shared" si="75"/>
        <v>39.751398442921086</v>
      </c>
      <c r="R40" s="3076">
        <f t="shared" si="75"/>
        <v>39.751398442921086</v>
      </c>
      <c r="S40" s="3075">
        <f>SUM(N40)</f>
        <v>39.751398442921086</v>
      </c>
      <c r="T40" s="3075">
        <f>SUM(N40)</f>
        <v>39.751398442921086</v>
      </c>
      <c r="U40" s="3075">
        <f>SUM(N40)</f>
        <v>39.751398442921086</v>
      </c>
      <c r="V40" s="3076">
        <f t="shared" si="76"/>
        <v>39.751398442921086</v>
      </c>
      <c r="W40" s="3083">
        <f>SUM(W30/W20)</f>
        <v>28.842758269006644</v>
      </c>
      <c r="X40" s="430"/>
      <c r="Y40" s="430"/>
      <c r="Z40" s="430"/>
      <c r="AA40" s="430"/>
      <c r="AB40" s="430"/>
      <c r="AC40" s="430"/>
      <c r="AD40" s="430"/>
      <c r="AE40" s="430"/>
      <c r="AF40" s="430"/>
      <c r="AG40" s="430"/>
      <c r="AH40" s="430"/>
      <c r="AI40" s="430"/>
      <c r="AJ40" s="430"/>
      <c r="AK40" s="430"/>
      <c r="AL40" s="430"/>
      <c r="AM40" s="430"/>
      <c r="AN40" s="430"/>
      <c r="AO40" s="430"/>
      <c r="AP40" s="430"/>
      <c r="AQ40" s="430"/>
      <c r="AR40" s="430"/>
      <c r="AS40" s="430"/>
      <c r="AT40" s="430"/>
      <c r="AU40" s="430"/>
      <c r="AV40" s="430"/>
      <c r="AW40" s="430"/>
      <c r="AX40" s="430"/>
    </row>
    <row r="41" spans="1:50" ht="18.75">
      <c r="A41" s="4999" t="s">
        <v>1722</v>
      </c>
      <c r="B41" s="5000"/>
      <c r="C41" s="5000"/>
      <c r="D41" s="5000"/>
      <c r="E41" s="5001"/>
      <c r="F41" s="5001"/>
      <c r="G41" s="5001"/>
      <c r="H41" s="5001"/>
      <c r="I41" s="5001"/>
      <c r="J41" s="5001"/>
      <c r="K41" s="5001"/>
      <c r="L41" s="5001"/>
      <c r="M41" s="5001"/>
      <c r="N41" s="5001"/>
      <c r="O41" s="5001"/>
      <c r="P41" s="5001"/>
      <c r="Q41" s="5001"/>
      <c r="R41" s="5001"/>
      <c r="S41" s="5001"/>
      <c r="T41" s="5001"/>
      <c r="U41" s="5001"/>
      <c r="V41" s="5001"/>
      <c r="W41" s="3056"/>
      <c r="X41" s="430"/>
      <c r="Y41" s="430"/>
      <c r="Z41" s="430"/>
      <c r="AA41" s="430"/>
      <c r="AB41" s="430"/>
      <c r="AC41" s="430"/>
      <c r="AD41" s="430"/>
      <c r="AE41" s="430"/>
      <c r="AF41" s="430"/>
      <c r="AG41" s="430"/>
      <c r="AH41" s="430"/>
      <c r="AI41" s="430"/>
      <c r="AJ41" s="430"/>
      <c r="AK41" s="430"/>
      <c r="AL41" s="430"/>
      <c r="AM41" s="430"/>
      <c r="AN41" s="430"/>
      <c r="AO41" s="430"/>
      <c r="AP41" s="430"/>
      <c r="AQ41" s="430"/>
      <c r="AR41" s="430"/>
      <c r="AS41" s="430"/>
      <c r="AT41" s="430"/>
      <c r="AU41" s="430"/>
      <c r="AV41" s="430"/>
      <c r="AW41" s="430"/>
      <c r="AX41" s="430"/>
    </row>
    <row r="42" spans="1:50" ht="18.75" customHeight="1">
      <c r="A42" s="4989" t="s">
        <v>545</v>
      </c>
      <c r="B42" s="4982" t="s">
        <v>1960</v>
      </c>
      <c r="C42" s="4982" t="s">
        <v>575</v>
      </c>
      <c r="D42" s="4982"/>
      <c r="E42" s="4981" t="s">
        <v>586</v>
      </c>
      <c r="F42" s="4981" t="s">
        <v>587</v>
      </c>
      <c r="G42" s="4981" t="s">
        <v>588</v>
      </c>
      <c r="H42" s="4984" t="s">
        <v>600</v>
      </c>
      <c r="I42" s="4981" t="s">
        <v>589</v>
      </c>
      <c r="J42" s="4981" t="s">
        <v>590</v>
      </c>
      <c r="K42" s="4981" t="s">
        <v>591</v>
      </c>
      <c r="L42" s="4984" t="s">
        <v>599</v>
      </c>
      <c r="M42" s="4984" t="s">
        <v>598</v>
      </c>
      <c r="N42" s="4981" t="s">
        <v>592</v>
      </c>
      <c r="O42" s="4981" t="s">
        <v>593</v>
      </c>
      <c r="P42" s="4981" t="s">
        <v>594</v>
      </c>
      <c r="Q42" s="4984" t="s">
        <v>225</v>
      </c>
      <c r="R42" s="4984" t="s">
        <v>229</v>
      </c>
      <c r="S42" s="4981" t="s">
        <v>595</v>
      </c>
      <c r="T42" s="4981" t="s">
        <v>596</v>
      </c>
      <c r="U42" s="4981" t="s">
        <v>597</v>
      </c>
      <c r="V42" s="4984" t="s">
        <v>135</v>
      </c>
      <c r="W42" s="4985" t="s">
        <v>601</v>
      </c>
      <c r="X42" s="430"/>
      <c r="Y42" s="430"/>
      <c r="Z42" s="430"/>
      <c r="AA42" s="430"/>
      <c r="AB42" s="430"/>
      <c r="AC42" s="430"/>
      <c r="AD42" s="430"/>
      <c r="AE42" s="430"/>
      <c r="AF42" s="430"/>
      <c r="AG42" s="430"/>
      <c r="AH42" s="430"/>
      <c r="AI42" s="430"/>
      <c r="AJ42" s="430"/>
      <c r="AK42" s="430"/>
      <c r="AL42" s="430"/>
      <c r="AM42" s="430"/>
      <c r="AN42" s="430"/>
      <c r="AO42" s="430"/>
      <c r="AP42" s="430"/>
      <c r="AQ42" s="430"/>
      <c r="AR42" s="430"/>
      <c r="AS42" s="430"/>
      <c r="AT42" s="430"/>
      <c r="AU42" s="430"/>
      <c r="AV42" s="430"/>
      <c r="AW42" s="430"/>
      <c r="AX42" s="430"/>
    </row>
    <row r="43" spans="1:50" ht="37.5">
      <c r="A43" s="4990"/>
      <c r="B43" s="4982"/>
      <c r="C43" s="3057" t="s">
        <v>1553</v>
      </c>
      <c r="D43" s="3057" t="s">
        <v>1554</v>
      </c>
      <c r="E43" s="4981"/>
      <c r="F43" s="4981"/>
      <c r="G43" s="4981"/>
      <c r="H43" s="4984"/>
      <c r="I43" s="4981"/>
      <c r="J43" s="4981"/>
      <c r="K43" s="4981"/>
      <c r="L43" s="4984"/>
      <c r="M43" s="4984"/>
      <c r="N43" s="4981"/>
      <c r="O43" s="4981"/>
      <c r="P43" s="4981"/>
      <c r="Q43" s="4984"/>
      <c r="R43" s="4984"/>
      <c r="S43" s="4981"/>
      <c r="T43" s="4981"/>
      <c r="U43" s="4981"/>
      <c r="V43" s="4984"/>
      <c r="W43" s="4985"/>
      <c r="X43" s="430"/>
      <c r="Y43" s="430"/>
      <c r="Z43" s="430"/>
      <c r="AA43" s="430"/>
      <c r="AB43" s="430"/>
      <c r="AC43" s="430"/>
      <c r="AD43" s="430"/>
      <c r="AE43" s="430"/>
      <c r="AF43" s="430"/>
      <c r="AG43" s="430"/>
      <c r="AH43" s="430"/>
      <c r="AI43" s="430"/>
      <c r="AJ43" s="430"/>
      <c r="AK43" s="430"/>
      <c r="AL43" s="430"/>
      <c r="AM43" s="430"/>
      <c r="AN43" s="430"/>
      <c r="AO43" s="430"/>
      <c r="AP43" s="430"/>
      <c r="AQ43" s="430"/>
      <c r="AR43" s="430"/>
      <c r="AS43" s="430"/>
      <c r="AT43" s="430"/>
      <c r="AU43" s="430"/>
      <c r="AV43" s="430"/>
      <c r="AW43" s="430"/>
      <c r="AX43" s="430"/>
    </row>
    <row r="44" spans="1:50" ht="18.75">
      <c r="A44" s="3084" t="s">
        <v>15</v>
      </c>
      <c r="B44" s="3060">
        <f>SUM(вода!CQ8)</f>
        <v>18922.285363050913</v>
      </c>
      <c r="C44" s="3060">
        <f>SUM(вода!CS8)</f>
        <v>18812.308141222544</v>
      </c>
      <c r="D44" s="3060">
        <f>SUM(вода!CT8)</f>
        <v>109.97722182837113</v>
      </c>
      <c r="E44" s="3081">
        <f>SUM(E45+E46+E47+E48+E49+E50+E52)</f>
        <v>1557.3051360254956</v>
      </c>
      <c r="F44" s="3081">
        <f t="shared" ref="F44:G44" si="77">SUM(F45+F46+F47+F48+F49+F50+F52)</f>
        <v>1555.3780662800311</v>
      </c>
      <c r="G44" s="3081">
        <f t="shared" si="77"/>
        <v>1555.3780662800311</v>
      </c>
      <c r="H44" s="3070">
        <f t="shared" ref="H44:H50" si="78">SUM(E44+F44+G44)</f>
        <v>4668.0612685855576</v>
      </c>
      <c r="I44" s="3081">
        <f t="shared" ref="I44:K44" si="79">SUM(I45+I46+I47+I48+I49+I50+I52)</f>
        <v>1553.4926419916624</v>
      </c>
      <c r="J44" s="3081">
        <f t="shared" si="79"/>
        <v>1536.8384779610619</v>
      </c>
      <c r="K44" s="3081">
        <f t="shared" si="79"/>
        <v>1537.4400234524396</v>
      </c>
      <c r="L44" s="3070">
        <f t="shared" ref="L44:L50" si="80">SUM(I44+J44+K44)</f>
        <v>4627.7711434051635</v>
      </c>
      <c r="M44" s="3070">
        <f t="shared" ref="M44:M50" si="81">SUM(H44+L44)</f>
        <v>9295.8324119907211</v>
      </c>
      <c r="N44" s="3081">
        <f t="shared" ref="N44:P44" si="82">SUM(N45+N46+N47+N48+N49+N50+N52)</f>
        <v>1591.579365687551</v>
      </c>
      <c r="O44" s="3081">
        <f t="shared" si="82"/>
        <v>1591.3989020401377</v>
      </c>
      <c r="P44" s="3081">
        <f t="shared" si="82"/>
        <v>1609.355038197582</v>
      </c>
      <c r="Q44" s="3070">
        <f t="shared" ref="Q44:Q50" si="83">SUM(N44+O44+P44)</f>
        <v>4792.3333059252709</v>
      </c>
      <c r="R44" s="3070">
        <f t="shared" ref="R44:R50" si="84">SUM(M44+Q44)</f>
        <v>14088.165717915992</v>
      </c>
      <c r="S44" s="3081">
        <f t="shared" ref="S44:U44" si="85">SUM(S45+S46+S47+S48+S49+S50+S52)</f>
        <v>1610.6858936895544</v>
      </c>
      <c r="T44" s="3081">
        <f t="shared" si="85"/>
        <v>1610.6858936895544</v>
      </c>
      <c r="U44" s="3081">
        <f t="shared" si="85"/>
        <v>1612.7478583172015</v>
      </c>
      <c r="V44" s="3070">
        <f t="shared" ref="V44:V50" si="86">SUM(S44+T44+U44)</f>
        <v>4834.1196456963098</v>
      </c>
      <c r="W44" s="3085">
        <f t="shared" ref="W44:W75" si="87">SUM(E44+F44+G44+I44+J44+K44+N44+O44+P44+S44+T44+U44)</f>
        <v>18922.285363612304</v>
      </c>
      <c r="X44" s="430"/>
      <c r="Y44" s="430"/>
      <c r="Z44" s="430"/>
      <c r="AA44" s="430"/>
      <c r="AB44" s="430"/>
      <c r="AC44" s="430"/>
      <c r="AD44" s="430"/>
      <c r="AE44" s="430"/>
      <c r="AF44" s="430"/>
      <c r="AG44" s="430"/>
      <c r="AH44" s="430"/>
      <c r="AI44" s="430"/>
      <c r="AJ44" s="430"/>
      <c r="AK44" s="430"/>
      <c r="AL44" s="430"/>
      <c r="AM44" s="430"/>
      <c r="AN44" s="430"/>
      <c r="AO44" s="430"/>
      <c r="AP44" s="430"/>
      <c r="AQ44" s="430"/>
      <c r="AR44" s="430"/>
      <c r="AS44" s="430"/>
      <c r="AT44" s="430"/>
      <c r="AU44" s="430"/>
      <c r="AV44" s="430"/>
      <c r="AW44" s="430"/>
      <c r="AX44" s="430"/>
    </row>
    <row r="45" spans="1:50" ht="18.75">
      <c r="A45" s="3086" t="s">
        <v>1</v>
      </c>
      <c r="B45" s="3063">
        <f>SUM(вода!CQ9)</f>
        <v>3989.0343725498706</v>
      </c>
      <c r="C45" s="3063">
        <f>SUM(вода!CS9)</f>
        <v>3965.4400045229586</v>
      </c>
      <c r="D45" s="3063">
        <f>SUM(вода!CT9)</f>
        <v>23.59436802691198</v>
      </c>
      <c r="E45" s="3074">
        <f>SUM('электр (с разбивкой)'!C13)</f>
        <v>329.52892647440854</v>
      </c>
      <c r="F45" s="3074">
        <f>SUM('электр (с разбивкой)'!D13)</f>
        <v>327.60185672894409</v>
      </c>
      <c r="G45" s="3074">
        <f>SUM('электр (с разбивкой)'!E13)</f>
        <v>327.60185672894409</v>
      </c>
      <c r="H45" s="3072">
        <f t="shared" si="78"/>
        <v>984.73263993229671</v>
      </c>
      <c r="I45" s="3074">
        <f>SUM('электр (с разбивкой)'!G13)</f>
        <v>325.67478698347969</v>
      </c>
      <c r="J45" s="3074">
        <f>SUM('электр (с разбивкой)'!H13)</f>
        <v>308.33115927430038</v>
      </c>
      <c r="K45" s="3074">
        <f>SUM('электр (с разбивкой)'!I13)</f>
        <v>308.33115927430038</v>
      </c>
      <c r="L45" s="3072">
        <f t="shared" ref="L45" si="88">SUM(I45+J45+K45)</f>
        <v>942.3371055320805</v>
      </c>
      <c r="M45" s="3072">
        <f t="shared" ref="M45" si="89">SUM(H45+L45)</f>
        <v>1927.0697454643773</v>
      </c>
      <c r="N45" s="3074">
        <f>SUM('электр (с разбивкой)'!L13)</f>
        <v>329.91434042350141</v>
      </c>
      <c r="O45" s="3074">
        <f>SUM('электр (с разбивкой)'!M13)</f>
        <v>329.91434042350141</v>
      </c>
      <c r="P45" s="3074">
        <f>SUM('электр (с разбивкой)'!N13)</f>
        <v>348.47202207232334</v>
      </c>
      <c r="Q45" s="3072">
        <f t="shared" ref="Q45" si="90">SUM(N45+O45+P45)</f>
        <v>1008.3007029193261</v>
      </c>
      <c r="R45" s="3072">
        <f t="shared" ref="R45" si="91">SUM(M45+Q45)</f>
        <v>2935.3704483837037</v>
      </c>
      <c r="S45" s="3074">
        <f>SUM('электр (с разбивкой)'!Q13)</f>
        <v>350.53398669997023</v>
      </c>
      <c r="T45" s="3074">
        <f>SUM('электр (с разбивкой)'!R13)</f>
        <v>350.53398669997023</v>
      </c>
      <c r="U45" s="3074">
        <f>SUM('электр (с разбивкой)'!S13)</f>
        <v>352.59595132761717</v>
      </c>
      <c r="V45" s="3072">
        <f t="shared" si="86"/>
        <v>1053.6639247275575</v>
      </c>
      <c r="W45" s="3087">
        <f t="shared" si="87"/>
        <v>3989.0343731112607</v>
      </c>
      <c r="X45" s="430"/>
      <c r="Y45" s="430"/>
      <c r="Z45" s="430"/>
      <c r="AA45" s="430"/>
      <c r="AB45" s="430"/>
      <c r="AC45" s="430"/>
      <c r="AD45" s="430"/>
      <c r="AE45" s="430"/>
      <c r="AF45" s="430"/>
      <c r="AG45" s="430"/>
      <c r="AH45" s="430"/>
      <c r="AI45" s="430"/>
      <c r="AJ45" s="430"/>
      <c r="AK45" s="430"/>
      <c r="AL45" s="430"/>
      <c r="AM45" s="430"/>
      <c r="AN45" s="430"/>
      <c r="AO45" s="430"/>
      <c r="AP45" s="430"/>
      <c r="AQ45" s="430"/>
      <c r="AR45" s="430"/>
      <c r="AS45" s="430"/>
      <c r="AT45" s="430"/>
      <c r="AU45" s="430"/>
      <c r="AV45" s="430"/>
      <c r="AW45" s="430"/>
      <c r="AX45" s="430"/>
    </row>
    <row r="46" spans="1:50" ht="18.75">
      <c r="A46" s="3086" t="s">
        <v>2</v>
      </c>
      <c r="B46" s="3063">
        <f>SUM(вода!CQ10)</f>
        <v>3566.58</v>
      </c>
      <c r="C46" s="3063">
        <f>SUM(вода!CS10)</f>
        <v>3545.4843680103386</v>
      </c>
      <c r="D46" s="3063">
        <f>SUM(вода!CT10)</f>
        <v>21.095631989661342</v>
      </c>
      <c r="E46" s="3074">
        <f>SUM(B46/12)</f>
        <v>297.21499999999997</v>
      </c>
      <c r="F46" s="3074">
        <f t="shared" ref="F46:G48" si="92">SUM(E46)</f>
        <v>297.21499999999997</v>
      </c>
      <c r="G46" s="3074">
        <f>SUM(E46)</f>
        <v>297.21499999999997</v>
      </c>
      <c r="H46" s="3072">
        <f t="shared" si="78"/>
        <v>891.64499999999998</v>
      </c>
      <c r="I46" s="3074">
        <f>SUM(E46)</f>
        <v>297.21499999999997</v>
      </c>
      <c r="J46" s="3074">
        <f>SUM(E46)</f>
        <v>297.21499999999997</v>
      </c>
      <c r="K46" s="3074">
        <f>SUM(E46)</f>
        <v>297.21499999999997</v>
      </c>
      <c r="L46" s="3072">
        <f t="shared" si="80"/>
        <v>891.64499999999998</v>
      </c>
      <c r="M46" s="3072">
        <f t="shared" si="81"/>
        <v>1783.29</v>
      </c>
      <c r="N46" s="3074">
        <f>SUM(E46)</f>
        <v>297.21499999999997</v>
      </c>
      <c r="O46" s="3074">
        <f>SUM(E46)</f>
        <v>297.21499999999997</v>
      </c>
      <c r="P46" s="3074">
        <f>E46</f>
        <v>297.21499999999997</v>
      </c>
      <c r="Q46" s="3072">
        <f t="shared" si="83"/>
        <v>891.64499999999998</v>
      </c>
      <c r="R46" s="3072">
        <f t="shared" si="84"/>
        <v>2674.9349999999999</v>
      </c>
      <c r="S46" s="3074">
        <f>E46</f>
        <v>297.21499999999997</v>
      </c>
      <c r="T46" s="3074">
        <f>E46</f>
        <v>297.21499999999997</v>
      </c>
      <c r="U46" s="3074">
        <f>E46</f>
        <v>297.21499999999997</v>
      </c>
      <c r="V46" s="3072">
        <f t="shared" si="86"/>
        <v>891.64499999999998</v>
      </c>
      <c r="W46" s="3087">
        <f t="shared" si="87"/>
        <v>3566.5800000000004</v>
      </c>
      <c r="X46" s="430"/>
      <c r="Y46" s="430"/>
      <c r="Z46" s="430"/>
      <c r="AA46" s="430"/>
      <c r="AB46" s="430"/>
      <c r="AC46" s="430"/>
      <c r="AD46" s="430"/>
      <c r="AE46" s="430"/>
      <c r="AF46" s="430"/>
      <c r="AG46" s="430"/>
      <c r="AH46" s="430"/>
      <c r="AI46" s="430"/>
      <c r="AJ46" s="430"/>
      <c r="AK46" s="430"/>
      <c r="AL46" s="430"/>
      <c r="AM46" s="430"/>
      <c r="AN46" s="430"/>
      <c r="AO46" s="430"/>
      <c r="AP46" s="430"/>
      <c r="AQ46" s="430"/>
      <c r="AR46" s="430"/>
      <c r="AS46" s="430"/>
      <c r="AT46" s="430"/>
      <c r="AU46" s="430"/>
      <c r="AV46" s="430"/>
      <c r="AW46" s="430"/>
      <c r="AX46" s="430"/>
    </row>
    <row r="47" spans="1:50" ht="18.75">
      <c r="A47" s="3086" t="s">
        <v>219</v>
      </c>
      <c r="B47" s="3063">
        <v>0</v>
      </c>
      <c r="C47" s="3063">
        <v>0</v>
      </c>
      <c r="D47" s="3063">
        <v>0</v>
      </c>
      <c r="E47" s="3074">
        <f>SUM(B47/12)</f>
        <v>0</v>
      </c>
      <c r="F47" s="3074">
        <f t="shared" si="92"/>
        <v>0</v>
      </c>
      <c r="G47" s="3074">
        <f t="shared" si="92"/>
        <v>0</v>
      </c>
      <c r="H47" s="3072">
        <f t="shared" si="78"/>
        <v>0</v>
      </c>
      <c r="I47" s="3074">
        <f>SUM(E47)</f>
        <v>0</v>
      </c>
      <c r="J47" s="3074">
        <f>SUM(E47)</f>
        <v>0</v>
      </c>
      <c r="K47" s="3074">
        <f>SUM(E47)</f>
        <v>0</v>
      </c>
      <c r="L47" s="3072">
        <f t="shared" si="80"/>
        <v>0</v>
      </c>
      <c r="M47" s="3072">
        <f t="shared" si="81"/>
        <v>0</v>
      </c>
      <c r="N47" s="3074">
        <f>SUM(E47)</f>
        <v>0</v>
      </c>
      <c r="O47" s="3074">
        <f>SUM(E47)</f>
        <v>0</v>
      </c>
      <c r="P47" s="3074">
        <f>E47</f>
        <v>0</v>
      </c>
      <c r="Q47" s="3072">
        <f t="shared" si="83"/>
        <v>0</v>
      </c>
      <c r="R47" s="3072">
        <f t="shared" si="84"/>
        <v>0</v>
      </c>
      <c r="S47" s="3074">
        <f>E47</f>
        <v>0</v>
      </c>
      <c r="T47" s="3074">
        <f>E47</f>
        <v>0</v>
      </c>
      <c r="U47" s="3074">
        <f>E47</f>
        <v>0</v>
      </c>
      <c r="V47" s="3072">
        <f t="shared" si="86"/>
        <v>0</v>
      </c>
      <c r="W47" s="3087">
        <f t="shared" si="87"/>
        <v>0</v>
      </c>
      <c r="X47" s="430"/>
      <c r="Y47" s="430"/>
      <c r="Z47" s="430"/>
      <c r="AA47" s="430"/>
      <c r="AB47" s="430"/>
      <c r="AC47" s="430"/>
      <c r="AD47" s="430"/>
      <c r="AE47" s="430"/>
      <c r="AF47" s="430"/>
      <c r="AG47" s="430"/>
      <c r="AH47" s="430"/>
      <c r="AI47" s="430"/>
      <c r="AJ47" s="430"/>
      <c r="AK47" s="430"/>
      <c r="AL47" s="430"/>
      <c r="AM47" s="430"/>
      <c r="AN47" s="430"/>
      <c r="AO47" s="430"/>
      <c r="AP47" s="430"/>
      <c r="AQ47" s="430"/>
      <c r="AR47" s="430"/>
      <c r="AS47" s="430"/>
      <c r="AT47" s="430"/>
      <c r="AU47" s="430"/>
      <c r="AV47" s="430"/>
      <c r="AW47" s="430"/>
      <c r="AX47" s="430"/>
    </row>
    <row r="48" spans="1:50" ht="18.75">
      <c r="A48" s="3086" t="s">
        <v>3</v>
      </c>
      <c r="B48" s="3063">
        <f>SUM(вода!CQ12)</f>
        <v>0</v>
      </c>
      <c r="C48" s="3063">
        <f>SUM(вода!CS12)</f>
        <v>0</v>
      </c>
      <c r="D48" s="3063">
        <f>SUM(вода!CT12)</f>
        <v>0</v>
      </c>
      <c r="E48" s="3074">
        <f>SUM(B48/12)</f>
        <v>0</v>
      </c>
      <c r="F48" s="3074">
        <f t="shared" si="92"/>
        <v>0</v>
      </c>
      <c r="G48" s="3074">
        <f t="shared" si="92"/>
        <v>0</v>
      </c>
      <c r="H48" s="3072">
        <f t="shared" si="78"/>
        <v>0</v>
      </c>
      <c r="I48" s="3074">
        <f>SUM(E48)</f>
        <v>0</v>
      </c>
      <c r="J48" s="3074">
        <f>SUM(E48)</f>
        <v>0</v>
      </c>
      <c r="K48" s="3074">
        <f>SUM(E48)</f>
        <v>0</v>
      </c>
      <c r="L48" s="3072">
        <f t="shared" si="80"/>
        <v>0</v>
      </c>
      <c r="M48" s="3072">
        <f t="shared" si="81"/>
        <v>0</v>
      </c>
      <c r="N48" s="3074">
        <f>SUM(E48)</f>
        <v>0</v>
      </c>
      <c r="O48" s="3074">
        <f>SUM(E48)</f>
        <v>0</v>
      </c>
      <c r="P48" s="3074">
        <f>E48</f>
        <v>0</v>
      </c>
      <c r="Q48" s="3072">
        <f t="shared" si="83"/>
        <v>0</v>
      </c>
      <c r="R48" s="3072">
        <f t="shared" si="84"/>
        <v>0</v>
      </c>
      <c r="S48" s="3074">
        <f>E48</f>
        <v>0</v>
      </c>
      <c r="T48" s="3074">
        <f>E48</f>
        <v>0</v>
      </c>
      <c r="U48" s="3074">
        <f>E48</f>
        <v>0</v>
      </c>
      <c r="V48" s="3072">
        <f t="shared" si="86"/>
        <v>0</v>
      </c>
      <c r="W48" s="3087">
        <f t="shared" si="87"/>
        <v>0</v>
      </c>
      <c r="X48" s="430"/>
      <c r="Y48" s="430"/>
      <c r="Z48" s="430"/>
      <c r="AA48" s="430"/>
      <c r="AB48" s="430"/>
      <c r="AC48" s="430"/>
      <c r="AD48" s="430"/>
      <c r="AE48" s="430"/>
      <c r="AF48" s="430"/>
      <c r="AG48" s="430"/>
      <c r="AH48" s="430"/>
      <c r="AI48" s="430"/>
      <c r="AJ48" s="430"/>
      <c r="AK48" s="430"/>
      <c r="AL48" s="430"/>
      <c r="AM48" s="430"/>
      <c r="AN48" s="430"/>
      <c r="AO48" s="430"/>
      <c r="AP48" s="430"/>
      <c r="AQ48" s="430"/>
      <c r="AR48" s="430"/>
      <c r="AS48" s="430"/>
      <c r="AT48" s="430"/>
      <c r="AU48" s="430"/>
      <c r="AV48" s="430"/>
      <c r="AW48" s="430"/>
      <c r="AX48" s="430"/>
    </row>
    <row r="49" spans="1:50" ht="18.75">
      <c r="A49" s="3086" t="s">
        <v>4</v>
      </c>
      <c r="B49" s="3063">
        <f>SUM(вода!CQ13)</f>
        <v>7614.8834866872739</v>
      </c>
      <c r="C49" s="3063">
        <f>SUM(вода!CS13)</f>
        <v>7572.7856352684585</v>
      </c>
      <c r="D49" s="3063">
        <f>SUM(вода!CT13)</f>
        <v>42.097851418815779</v>
      </c>
      <c r="E49" s="3074">
        <f>SUM((ЗП!DI25/2)/(1+(104%*100-100)/2/100)/6)</f>
        <v>622.1310038143198</v>
      </c>
      <c r="F49" s="3074">
        <f>SUM(E49)</f>
        <v>622.1310038143198</v>
      </c>
      <c r="G49" s="3074">
        <f>SUM(E49)</f>
        <v>622.1310038143198</v>
      </c>
      <c r="H49" s="3072">
        <f t="shared" si="78"/>
        <v>1866.3930114429595</v>
      </c>
      <c r="I49" s="3074">
        <f>SUM(E49)</f>
        <v>622.1310038143198</v>
      </c>
      <c r="J49" s="3074">
        <f>SUM(E49)</f>
        <v>622.1310038143198</v>
      </c>
      <c r="K49" s="3074">
        <f>SUM(E49)</f>
        <v>622.1310038143198</v>
      </c>
      <c r="L49" s="3072">
        <f t="shared" si="80"/>
        <v>1866.3930114429595</v>
      </c>
      <c r="M49" s="3072">
        <f t="shared" si="81"/>
        <v>3732.786022885919</v>
      </c>
      <c r="N49" s="3074">
        <f>SUM(ЗП!DI25-'Произв. прогр. Вода'!M49)/6</f>
        <v>647.01624396689249</v>
      </c>
      <c r="O49" s="3074">
        <f>SUM(N49)</f>
        <v>647.01624396689249</v>
      </c>
      <c r="P49" s="3074">
        <f>SUM(N49)</f>
        <v>647.01624396689249</v>
      </c>
      <c r="Q49" s="3072">
        <f t="shared" si="83"/>
        <v>1941.0487319006775</v>
      </c>
      <c r="R49" s="3072">
        <f t="shared" si="84"/>
        <v>5673.834754786596</v>
      </c>
      <c r="S49" s="3074">
        <f>SUM(N49)</f>
        <v>647.01624396689249</v>
      </c>
      <c r="T49" s="3074">
        <f>SUM(N49)</f>
        <v>647.01624396689249</v>
      </c>
      <c r="U49" s="3074">
        <f>SUM(N49)</f>
        <v>647.01624396689249</v>
      </c>
      <c r="V49" s="3072">
        <f t="shared" si="86"/>
        <v>1941.0487319006775</v>
      </c>
      <c r="W49" s="642">
        <f t="shared" si="87"/>
        <v>7614.8834866872749</v>
      </c>
      <c r="X49" s="430"/>
      <c r="Y49" s="430"/>
      <c r="Z49" s="430"/>
      <c r="AA49" s="430"/>
      <c r="AB49" s="430"/>
      <c r="AC49" s="430"/>
      <c r="AD49" s="430"/>
      <c r="AE49" s="430"/>
      <c r="AF49" s="430"/>
      <c r="AG49" s="430"/>
      <c r="AH49" s="430"/>
      <c r="AI49" s="430"/>
      <c r="AJ49" s="430"/>
      <c r="AK49" s="430"/>
      <c r="AL49" s="430"/>
      <c r="AM49" s="430"/>
      <c r="AN49" s="430"/>
      <c r="AO49" s="430"/>
      <c r="AP49" s="430"/>
      <c r="AQ49" s="430"/>
      <c r="AR49" s="430"/>
      <c r="AS49" s="430"/>
      <c r="AT49" s="430"/>
      <c r="AU49" s="430"/>
      <c r="AV49" s="430"/>
      <c r="AW49" s="430"/>
      <c r="AX49" s="430"/>
    </row>
    <row r="50" spans="1:50" ht="18.75">
      <c r="A50" s="3086" t="s">
        <v>5</v>
      </c>
      <c r="B50" s="3063">
        <f>SUM(вода!CQ14)</f>
        <v>2292.0799294928693</v>
      </c>
      <c r="C50" s="3063">
        <f>SUM(вода!CS14)</f>
        <v>2279.4084762158059</v>
      </c>
      <c r="D50" s="3063">
        <f>SUM(вода!CT14)</f>
        <v>12.67145327706355</v>
      </c>
      <c r="E50" s="3074">
        <f>SUM(E49*E51)</f>
        <v>187.26143214811026</v>
      </c>
      <c r="F50" s="3074">
        <f>SUM(F49*F51)</f>
        <v>187.26143214811026</v>
      </c>
      <c r="G50" s="3074">
        <f>SUM(G49*G51)</f>
        <v>187.26143214811026</v>
      </c>
      <c r="H50" s="3072">
        <f t="shared" si="78"/>
        <v>561.78429644433072</v>
      </c>
      <c r="I50" s="3074">
        <f>SUM(I49*I51)</f>
        <v>187.26143214811026</v>
      </c>
      <c r="J50" s="3074">
        <f>SUM(J49*J51)</f>
        <v>187.26143214811026</v>
      </c>
      <c r="K50" s="3074">
        <f>SUM(K49*K51)</f>
        <v>187.26143214811026</v>
      </c>
      <c r="L50" s="3072">
        <f t="shared" si="80"/>
        <v>561.78429644433072</v>
      </c>
      <c r="M50" s="3072">
        <f t="shared" si="81"/>
        <v>1123.5685928886614</v>
      </c>
      <c r="N50" s="3074">
        <f>SUM(N49*N51)</f>
        <v>194.75188943403464</v>
      </c>
      <c r="O50" s="3074">
        <f>SUM(O49*O51)</f>
        <v>194.75188943403464</v>
      </c>
      <c r="P50" s="3074">
        <f>SUM(P49*P51)</f>
        <v>194.75188943403464</v>
      </c>
      <c r="Q50" s="3072">
        <f t="shared" si="83"/>
        <v>584.25566830210391</v>
      </c>
      <c r="R50" s="3072">
        <f t="shared" si="84"/>
        <v>1707.8242611907654</v>
      </c>
      <c r="S50" s="3074">
        <f>SUM(S49*S51)</f>
        <v>194.75188943403464</v>
      </c>
      <c r="T50" s="3074">
        <f>SUM(T49*T51)</f>
        <v>194.75188943403464</v>
      </c>
      <c r="U50" s="3074">
        <f>SUM(U49*U51)</f>
        <v>194.75188943403464</v>
      </c>
      <c r="V50" s="3072">
        <f t="shared" si="86"/>
        <v>584.25566830210391</v>
      </c>
      <c r="W50" s="3087">
        <f t="shared" si="87"/>
        <v>2292.0799294928693</v>
      </c>
      <c r="X50" s="430"/>
      <c r="Y50" s="430"/>
      <c r="Z50" s="430"/>
      <c r="AA50" s="430"/>
      <c r="AB50" s="430"/>
      <c r="AC50" s="430"/>
      <c r="AD50" s="430"/>
      <c r="AE50" s="430"/>
      <c r="AF50" s="430"/>
      <c r="AG50" s="430"/>
      <c r="AH50" s="430"/>
      <c r="AI50" s="430"/>
      <c r="AJ50" s="430"/>
      <c r="AK50" s="430"/>
      <c r="AL50" s="430"/>
      <c r="AM50" s="430"/>
      <c r="AN50" s="430"/>
      <c r="AO50" s="430"/>
      <c r="AP50" s="430"/>
      <c r="AQ50" s="430"/>
      <c r="AR50" s="430"/>
      <c r="AS50" s="430"/>
      <c r="AT50" s="430"/>
      <c r="AU50" s="430"/>
      <c r="AV50" s="430"/>
      <c r="AW50" s="430"/>
      <c r="AX50" s="430"/>
    </row>
    <row r="51" spans="1:50" ht="18.75">
      <c r="A51" s="3088" t="s">
        <v>321</v>
      </c>
      <c r="B51" s="3068">
        <f>SUM(B50/B49)</f>
        <v>0.30099999999999999</v>
      </c>
      <c r="C51" s="3068">
        <f>SUM(C50/C49)</f>
        <v>0.30099999999999999</v>
      </c>
      <c r="D51" s="3068">
        <f>SUM(D50/D49)</f>
        <v>0.30100000000000005</v>
      </c>
      <c r="E51" s="3069">
        <f>SUM(B51)</f>
        <v>0.30099999999999999</v>
      </c>
      <c r="F51" s="3069">
        <f>SUM(E51)</f>
        <v>0.30099999999999999</v>
      </c>
      <c r="G51" s="3069">
        <f>SUM(E51)</f>
        <v>0.30099999999999999</v>
      </c>
      <c r="H51" s="3068">
        <f>SUM(H50/H49)</f>
        <v>0.30099999999999993</v>
      </c>
      <c r="I51" s="3069">
        <f>SUM(E51)</f>
        <v>0.30099999999999999</v>
      </c>
      <c r="J51" s="3069">
        <f>SUM(E51)</f>
        <v>0.30099999999999999</v>
      </c>
      <c r="K51" s="3069">
        <f>SUM(E51)</f>
        <v>0.30099999999999999</v>
      </c>
      <c r="L51" s="3068">
        <f>SUM(L50/L49)</f>
        <v>0.30099999999999993</v>
      </c>
      <c r="M51" s="3068">
        <f>SUM(M50/M49)</f>
        <v>0.30099999999999993</v>
      </c>
      <c r="N51" s="3069">
        <f>SUM(E51)</f>
        <v>0.30099999999999999</v>
      </c>
      <c r="O51" s="3069">
        <f>SUM(E51)</f>
        <v>0.30099999999999999</v>
      </c>
      <c r="P51" s="3069">
        <f>SUM(E51)</f>
        <v>0.30099999999999999</v>
      </c>
      <c r="Q51" s="3068">
        <f>SUM(Q50/Q49)</f>
        <v>0.30099999999999999</v>
      </c>
      <c r="R51" s="3068">
        <f>SUM(R50/R49)</f>
        <v>0.30099999999999999</v>
      </c>
      <c r="S51" s="3069">
        <f>SUM(E51)</f>
        <v>0.30099999999999999</v>
      </c>
      <c r="T51" s="3069">
        <f>SUM(E51)</f>
        <v>0.30099999999999999</v>
      </c>
      <c r="U51" s="3069">
        <f>SUM(E51)</f>
        <v>0.30099999999999999</v>
      </c>
      <c r="V51" s="3068">
        <f>SUM(V50/V49)</f>
        <v>0.30099999999999999</v>
      </c>
      <c r="W51" s="3089">
        <f>SUM(W50/W49)</f>
        <v>0.30099999999999993</v>
      </c>
      <c r="X51" s="430"/>
      <c r="Y51" s="430"/>
      <c r="Z51" s="430"/>
      <c r="AA51" s="430"/>
      <c r="AB51" s="430"/>
      <c r="AC51" s="430"/>
      <c r="AD51" s="430"/>
      <c r="AE51" s="430"/>
      <c r="AF51" s="430"/>
      <c r="AG51" s="430"/>
      <c r="AH51" s="430"/>
      <c r="AI51" s="430"/>
      <c r="AJ51" s="430"/>
      <c r="AK51" s="430"/>
      <c r="AL51" s="430"/>
      <c r="AM51" s="430"/>
      <c r="AN51" s="430"/>
      <c r="AO51" s="430"/>
      <c r="AP51" s="430"/>
      <c r="AQ51" s="430"/>
      <c r="AR51" s="430"/>
      <c r="AS51" s="430"/>
      <c r="AT51" s="430"/>
      <c r="AU51" s="430"/>
      <c r="AV51" s="430"/>
      <c r="AW51" s="430"/>
      <c r="AX51" s="430"/>
    </row>
    <row r="52" spans="1:50" ht="18.75">
      <c r="A52" s="3090" t="s">
        <v>1723</v>
      </c>
      <c r="B52" s="3060">
        <f>SUM('цех вода (с разбивкой)'!B5)</f>
        <v>1459.7075743208986</v>
      </c>
      <c r="C52" s="3060">
        <f>SUM('цех вода (с разбивкой)'!C5)</f>
        <v>1449.1896572049802</v>
      </c>
      <c r="D52" s="3060">
        <f>SUM('цех вода (с разбивкой)'!D5)</f>
        <v>10.517917115918408</v>
      </c>
      <c r="E52" s="3073">
        <f>SUM('цех вода (с разбивкой)'!E5)</f>
        <v>121.1687735886571</v>
      </c>
      <c r="F52" s="3073">
        <f>SUM('цех вода (с разбивкой)'!F5)</f>
        <v>121.1687735886571</v>
      </c>
      <c r="G52" s="3073">
        <f>SUM('цех вода (с разбивкой)'!G5)</f>
        <v>121.1687735886571</v>
      </c>
      <c r="H52" s="3060">
        <f>SUM('цех вода (с разбивкой)'!H5)</f>
        <v>363.50632076597128</v>
      </c>
      <c r="I52" s="3073">
        <f>SUM('цех вода (с разбивкой)'!I5)</f>
        <v>121.21041904575249</v>
      </c>
      <c r="J52" s="3073">
        <f>SUM('цех вода (с разбивкой)'!J5)</f>
        <v>121.89988272433148</v>
      </c>
      <c r="K52" s="3073">
        <f>SUM('цех вода (с разбивкой)'!K5)</f>
        <v>122.50142821570913</v>
      </c>
      <c r="L52" s="3060">
        <f>SUM('цех вода (с разбивкой)'!L5)</f>
        <v>365.61172998579309</v>
      </c>
      <c r="M52" s="3060">
        <f>SUM('цех вода (с разбивкой)'!M5)</f>
        <v>729.11805075176437</v>
      </c>
      <c r="N52" s="3073">
        <f>SUM('цех вода (с разбивкой)'!N5)</f>
        <v>122.68189186312242</v>
      </c>
      <c r="O52" s="3073">
        <f>SUM('цех вода (с разбивкой)'!O5)</f>
        <v>122.50142821570913</v>
      </c>
      <c r="P52" s="3073">
        <f>SUM('цех вода (с разбивкой)'!P5)</f>
        <v>121.89988272433148</v>
      </c>
      <c r="Q52" s="3060">
        <f>SUM('цех вода (с разбивкой)'!Q5)</f>
        <v>367.08320280316303</v>
      </c>
      <c r="R52" s="3060">
        <f>SUM('цех вода (с разбивкой)'!R5)</f>
        <v>1096.2012535549275</v>
      </c>
      <c r="S52" s="3073">
        <f>SUM('цех вода (с разбивкой)'!S5)</f>
        <v>121.1687735886571</v>
      </c>
      <c r="T52" s="3073">
        <f>SUM('цех вода (с разбивкой)'!T5)</f>
        <v>121.1687735886571</v>
      </c>
      <c r="U52" s="3073">
        <f>SUM('цех вода (с разбивкой)'!U5)</f>
        <v>121.1687735886571</v>
      </c>
      <c r="V52" s="3060">
        <f>SUM('цех вода (с разбивкой)'!V5)</f>
        <v>363.50632076597128</v>
      </c>
      <c r="W52" s="3087">
        <f t="shared" si="87"/>
        <v>1459.7075743208986</v>
      </c>
      <c r="X52" s="430"/>
      <c r="Y52" s="430"/>
      <c r="Z52" s="430"/>
      <c r="AA52" s="430"/>
      <c r="AB52" s="430"/>
      <c r="AC52" s="430"/>
      <c r="AD52" s="430"/>
      <c r="AE52" s="430"/>
      <c r="AF52" s="430"/>
      <c r="AG52" s="430"/>
      <c r="AH52" s="430"/>
      <c r="AI52" s="430"/>
      <c r="AJ52" s="430"/>
      <c r="AK52" s="430"/>
      <c r="AL52" s="430"/>
      <c r="AM52" s="430"/>
      <c r="AN52" s="430"/>
      <c r="AO52" s="430"/>
      <c r="AP52" s="430"/>
      <c r="AQ52" s="430"/>
      <c r="AR52" s="430"/>
      <c r="AS52" s="430"/>
      <c r="AT52" s="430"/>
      <c r="AU52" s="430"/>
      <c r="AV52" s="430"/>
      <c r="AW52" s="430"/>
      <c r="AX52" s="430"/>
    </row>
    <row r="53" spans="1:50" ht="18.75">
      <c r="A53" s="3091" t="s">
        <v>72</v>
      </c>
      <c r="B53" s="3063">
        <f>SUM('цех вода (с разбивкой)'!B6)</f>
        <v>0</v>
      </c>
      <c r="C53" s="3063">
        <f>SUM('цех вода (с разбивкой)'!C6)</f>
        <v>0</v>
      </c>
      <c r="D53" s="3063">
        <f>SUM('цех вода (с разбивкой)'!D6)</f>
        <v>0</v>
      </c>
      <c r="E53" s="3092">
        <f>SUM('цех вода (с разбивкой)'!E6)</f>
        <v>0</v>
      </c>
      <c r="F53" s="3092">
        <f>SUM('цех вода (с разбивкой)'!F6)</f>
        <v>0</v>
      </c>
      <c r="G53" s="3092">
        <f>SUM('цех вода (с разбивкой)'!G6)</f>
        <v>0</v>
      </c>
      <c r="H53" s="3063">
        <f>SUM('цех вода (с разбивкой)'!H6)</f>
        <v>0</v>
      </c>
      <c r="I53" s="3092">
        <f>SUM('цех вода (с разбивкой)'!I6)</f>
        <v>0</v>
      </c>
      <c r="J53" s="3092">
        <f>SUM('цех вода (с разбивкой)'!J6)</f>
        <v>0</v>
      </c>
      <c r="K53" s="3092">
        <f>SUM('цех вода (с разбивкой)'!K6)</f>
        <v>0</v>
      </c>
      <c r="L53" s="3063">
        <f>SUM('цех вода (с разбивкой)'!L6)</f>
        <v>0</v>
      </c>
      <c r="M53" s="3063">
        <f>SUM('цех вода (с разбивкой)'!M6)</f>
        <v>0</v>
      </c>
      <c r="N53" s="3092">
        <f>SUM('цех вода (с разбивкой)'!N6)</f>
        <v>0</v>
      </c>
      <c r="O53" s="3092">
        <f>SUM('цех вода (с разбивкой)'!O6)</f>
        <v>0</v>
      </c>
      <c r="P53" s="3092">
        <f>SUM('цех вода (с разбивкой)'!P6)</f>
        <v>0</v>
      </c>
      <c r="Q53" s="3063">
        <f>SUM('цех вода (с разбивкой)'!Q6)</f>
        <v>0</v>
      </c>
      <c r="R53" s="3063">
        <f>SUM('цех вода (с разбивкой)'!R6)</f>
        <v>0</v>
      </c>
      <c r="S53" s="3092">
        <f>SUM('цех вода (с разбивкой)'!S6)</f>
        <v>0</v>
      </c>
      <c r="T53" s="3092">
        <f>SUM('цех вода (с разбивкой)'!T6)</f>
        <v>0</v>
      </c>
      <c r="U53" s="3092">
        <f>SUM('цех вода (с разбивкой)'!U6)</f>
        <v>0</v>
      </c>
      <c r="V53" s="3063">
        <f>SUM('цех вода (с разбивкой)'!V6)</f>
        <v>0</v>
      </c>
      <c r="W53" s="3087">
        <f t="shared" si="87"/>
        <v>0</v>
      </c>
      <c r="X53" s="430"/>
      <c r="Y53" s="430"/>
      <c r="Z53" s="430"/>
      <c r="AA53" s="430"/>
      <c r="AB53" s="430"/>
      <c r="AC53" s="430"/>
      <c r="AD53" s="430"/>
      <c r="AE53" s="430"/>
      <c r="AF53" s="430"/>
      <c r="AG53" s="430"/>
      <c r="AH53" s="430"/>
      <c r="AI53" s="430"/>
      <c r="AJ53" s="430"/>
      <c r="AK53" s="430"/>
      <c r="AL53" s="430"/>
      <c r="AM53" s="430"/>
      <c r="AN53" s="430"/>
      <c r="AO53" s="430"/>
      <c r="AP53" s="430"/>
      <c r="AQ53" s="430"/>
      <c r="AR53" s="430"/>
      <c r="AS53" s="430"/>
      <c r="AT53" s="430"/>
      <c r="AU53" s="430"/>
      <c r="AV53" s="430"/>
      <c r="AW53" s="430"/>
      <c r="AX53" s="430"/>
    </row>
    <row r="54" spans="1:50" ht="18.75">
      <c r="A54" s="3091" t="s">
        <v>121</v>
      </c>
      <c r="B54" s="3063">
        <f>SUM('цех вода (с разбивкой)'!B7)</f>
        <v>0</v>
      </c>
      <c r="C54" s="3063">
        <f>SUM('цех вода (с разбивкой)'!C7)</f>
        <v>0</v>
      </c>
      <c r="D54" s="3063">
        <f>SUM('цех вода (с разбивкой)'!D7)</f>
        <v>0</v>
      </c>
      <c r="E54" s="3092">
        <f>SUM('цех вода (с разбивкой)'!E7)</f>
        <v>0</v>
      </c>
      <c r="F54" s="3092">
        <f>SUM('цех вода (с разбивкой)'!F7)</f>
        <v>0</v>
      </c>
      <c r="G54" s="3092">
        <f>SUM('цех вода (с разбивкой)'!G7)</f>
        <v>0</v>
      </c>
      <c r="H54" s="3063">
        <f>SUM('цех вода (с разбивкой)'!H7)</f>
        <v>0</v>
      </c>
      <c r="I54" s="3092">
        <f>SUM('цех вода (с разбивкой)'!I7)</f>
        <v>0</v>
      </c>
      <c r="J54" s="3092">
        <f>SUM('цех вода (с разбивкой)'!J7)</f>
        <v>0</v>
      </c>
      <c r="K54" s="3092">
        <f>SUM('цех вода (с разбивкой)'!K7)</f>
        <v>0</v>
      </c>
      <c r="L54" s="3063">
        <f>SUM('цех вода (с разбивкой)'!L7)</f>
        <v>0</v>
      </c>
      <c r="M54" s="3063">
        <f>SUM('цех вода (с разбивкой)'!M7)</f>
        <v>0</v>
      </c>
      <c r="N54" s="3092">
        <f>SUM('цех вода (с разбивкой)'!N7)</f>
        <v>0</v>
      </c>
      <c r="O54" s="3092">
        <f>SUM('цех вода (с разбивкой)'!O7)</f>
        <v>0</v>
      </c>
      <c r="P54" s="3092">
        <f>SUM('цех вода (с разбивкой)'!P7)</f>
        <v>0</v>
      </c>
      <c r="Q54" s="3063">
        <f>SUM('цех вода (с разбивкой)'!Q7)</f>
        <v>0</v>
      </c>
      <c r="R54" s="3063">
        <f>SUM('цех вода (с разбивкой)'!R7)</f>
        <v>0</v>
      </c>
      <c r="S54" s="3092">
        <f>SUM('цех вода (с разбивкой)'!S7)</f>
        <v>0</v>
      </c>
      <c r="T54" s="3092">
        <f>SUM('цех вода (с разбивкой)'!T7)</f>
        <v>0</v>
      </c>
      <c r="U54" s="3092">
        <f>SUM('цех вода (с разбивкой)'!U7)</f>
        <v>0</v>
      </c>
      <c r="V54" s="3063">
        <f>SUM('цех вода (с разбивкой)'!V7)</f>
        <v>0</v>
      </c>
      <c r="W54" s="3087">
        <f t="shared" si="87"/>
        <v>0</v>
      </c>
      <c r="X54" s="430"/>
      <c r="Y54" s="430"/>
      <c r="Z54" s="430"/>
      <c r="AA54" s="430"/>
      <c r="AB54" s="430"/>
      <c r="AC54" s="430"/>
      <c r="AD54" s="430"/>
      <c r="AE54" s="430"/>
      <c r="AF54" s="430"/>
      <c r="AG54" s="430"/>
      <c r="AH54" s="430"/>
      <c r="AI54" s="430"/>
      <c r="AJ54" s="430"/>
      <c r="AK54" s="430"/>
      <c r="AL54" s="430"/>
      <c r="AM54" s="430"/>
      <c r="AN54" s="430"/>
      <c r="AO54" s="430"/>
      <c r="AP54" s="430"/>
      <c r="AQ54" s="430"/>
      <c r="AR54" s="430"/>
      <c r="AS54" s="430"/>
      <c r="AT54" s="430"/>
      <c r="AU54" s="430"/>
      <c r="AV54" s="430"/>
      <c r="AW54" s="430"/>
      <c r="AX54" s="430"/>
    </row>
    <row r="55" spans="1:50" ht="18.75">
      <c r="A55" s="3091" t="s">
        <v>1555</v>
      </c>
      <c r="B55" s="3063">
        <f>SUM('цех вода (с разбивкой)'!B8)</f>
        <v>1096.9702421021555</v>
      </c>
      <c r="C55" s="3063">
        <f>SUM('цех вода (с разбивкой)'!C8)</f>
        <v>1089.0660273895428</v>
      </c>
      <c r="D55" s="3063">
        <f>SUM('цех вода (с разбивкой)'!D8)</f>
        <v>7.9042147126126565</v>
      </c>
      <c r="E55" s="3092">
        <f>SUM('цех вода (с разбивкой)'!E8)</f>
        <v>91.414186841846288</v>
      </c>
      <c r="F55" s="3092">
        <f>SUM('цех вода (с разбивкой)'!F8)</f>
        <v>91.414186841846288</v>
      </c>
      <c r="G55" s="3092">
        <f>SUM('цех вода (с разбивкой)'!G8)</f>
        <v>91.414186841846288</v>
      </c>
      <c r="H55" s="3063">
        <f>SUM('цех вода (с разбивкой)'!H8)</f>
        <v>274.24256052553886</v>
      </c>
      <c r="I55" s="3092">
        <f>SUM('цех вода (с разбивкой)'!I8)</f>
        <v>91.414186841846288</v>
      </c>
      <c r="J55" s="3092">
        <f>SUM('цех вода (с разбивкой)'!J8)</f>
        <v>91.414186841846288</v>
      </c>
      <c r="K55" s="3092">
        <f>SUM('цех вода (с разбивкой)'!K8)</f>
        <v>91.414186841846288</v>
      </c>
      <c r="L55" s="3063">
        <f>SUM('цех вода (с разбивкой)'!L8)</f>
        <v>274.24256052553886</v>
      </c>
      <c r="M55" s="3063">
        <f>SUM('цех вода (с разбивкой)'!M8)</f>
        <v>548.48512105107773</v>
      </c>
      <c r="N55" s="3092">
        <f>SUM('цех вода (с разбивкой)'!N8)</f>
        <v>91.414186841846288</v>
      </c>
      <c r="O55" s="3092">
        <f>SUM('цех вода (с разбивкой)'!O8)</f>
        <v>91.414186841846288</v>
      </c>
      <c r="P55" s="3092">
        <f>SUM('цех вода (с разбивкой)'!P8)</f>
        <v>91.414186841846288</v>
      </c>
      <c r="Q55" s="3063">
        <f>SUM('цех вода (с разбивкой)'!Q8)</f>
        <v>274.24256052553886</v>
      </c>
      <c r="R55" s="3063">
        <f>SUM('цех вода (с разбивкой)'!R8)</f>
        <v>822.72768157661653</v>
      </c>
      <c r="S55" s="3092">
        <f>SUM('цех вода (с разбивкой)'!S8)</f>
        <v>91.414186841846288</v>
      </c>
      <c r="T55" s="3092">
        <f>SUM('цех вода (с разбивкой)'!T8)</f>
        <v>91.414186841846288</v>
      </c>
      <c r="U55" s="3092">
        <f>SUM('цех вода (с разбивкой)'!U8)</f>
        <v>91.414186841846288</v>
      </c>
      <c r="V55" s="3063">
        <f>SUM('цех вода (с разбивкой)'!V8)</f>
        <v>274.24256052553886</v>
      </c>
      <c r="W55" s="3087">
        <f t="shared" si="87"/>
        <v>1096.9702421021552</v>
      </c>
      <c r="X55" s="430"/>
      <c r="Y55" s="430"/>
      <c r="Z55" s="430"/>
      <c r="AA55" s="430"/>
      <c r="AB55" s="430"/>
      <c r="AC55" s="430"/>
      <c r="AD55" s="430"/>
      <c r="AE55" s="430"/>
      <c r="AF55" s="430"/>
      <c r="AG55" s="430"/>
      <c r="AH55" s="430"/>
      <c r="AI55" s="430"/>
      <c r="AJ55" s="430"/>
      <c r="AK55" s="430"/>
      <c r="AL55" s="430"/>
      <c r="AM55" s="430"/>
      <c r="AN55" s="430"/>
      <c r="AO55" s="430"/>
      <c r="AP55" s="430"/>
      <c r="AQ55" s="430"/>
      <c r="AR55" s="430"/>
      <c r="AS55" s="430"/>
      <c r="AT55" s="430"/>
      <c r="AU55" s="430"/>
      <c r="AV55" s="430"/>
      <c r="AW55" s="430"/>
      <c r="AX55" s="430"/>
    </row>
    <row r="56" spans="1:50" ht="18.75">
      <c r="A56" s="3091" t="s">
        <v>52</v>
      </c>
      <c r="B56" s="3063">
        <f>SUM('цех вода (с разбивкой)'!B9)</f>
        <v>18.392315436443322</v>
      </c>
      <c r="C56" s="3063">
        <f>SUM('цех вода (с разбивкой)'!C9)</f>
        <v>18.259789680782752</v>
      </c>
      <c r="D56" s="3063">
        <f>SUM('цех вода (с разбивкой)'!D9)</f>
        <v>0.1325257556605699</v>
      </c>
      <c r="E56" s="3092">
        <f>SUM('цех вода (с разбивкой)'!E9)</f>
        <v>1.5326929530369435</v>
      </c>
      <c r="F56" s="3092">
        <f>SUM('цех вода (с разбивкой)'!F9)</f>
        <v>1.5326929530369435</v>
      </c>
      <c r="G56" s="3092">
        <f>SUM('цех вода (с разбивкой)'!G9)</f>
        <v>1.5326929530369435</v>
      </c>
      <c r="H56" s="3063">
        <f>SUM('цех вода (с разбивкой)'!H9)</f>
        <v>4.5980788591108306</v>
      </c>
      <c r="I56" s="3092">
        <f>SUM('цех вода (с разбивкой)'!I9)</f>
        <v>1.5326929530369435</v>
      </c>
      <c r="J56" s="3092">
        <f>SUM('цех вода (с разбивкой)'!J9)</f>
        <v>1.5326929530369435</v>
      </c>
      <c r="K56" s="3092">
        <f>SUM('цех вода (с разбивкой)'!K9)</f>
        <v>1.5326929530369435</v>
      </c>
      <c r="L56" s="3063">
        <f>SUM('цех вода (с разбивкой)'!L9)</f>
        <v>4.5980788591108306</v>
      </c>
      <c r="M56" s="3063">
        <f>SUM('цех вода (с разбивкой)'!M9)</f>
        <v>9.1961577182216612</v>
      </c>
      <c r="N56" s="3092">
        <f>SUM('цех вода (с разбивкой)'!N9)</f>
        <v>1.5326929530369435</v>
      </c>
      <c r="O56" s="3092">
        <f>SUM('цех вода (с разбивкой)'!O9)</f>
        <v>1.5326929530369435</v>
      </c>
      <c r="P56" s="3092">
        <f>SUM('цех вода (с разбивкой)'!P9)</f>
        <v>1.5326929530369435</v>
      </c>
      <c r="Q56" s="3063">
        <f>SUM('цех вода (с разбивкой)'!Q9)</f>
        <v>4.5980788591108306</v>
      </c>
      <c r="R56" s="3063">
        <f>SUM('цех вода (с разбивкой)'!R9)</f>
        <v>13.794236577332491</v>
      </c>
      <c r="S56" s="3092">
        <f>SUM('цех вода (с разбивкой)'!S9)</f>
        <v>1.5326929530369435</v>
      </c>
      <c r="T56" s="3092">
        <f>SUM('цех вода (с разбивкой)'!T9)</f>
        <v>1.5326929530369435</v>
      </c>
      <c r="U56" s="3092">
        <f>SUM('цех вода (с разбивкой)'!U9)</f>
        <v>1.5326929530369435</v>
      </c>
      <c r="V56" s="3063">
        <f>SUM('цех вода (с разбивкой)'!V9)</f>
        <v>4.5980788591108306</v>
      </c>
      <c r="W56" s="3087">
        <f t="shared" si="87"/>
        <v>18.392315436443319</v>
      </c>
      <c r="X56" s="430"/>
      <c r="Y56" s="430"/>
      <c r="Z56" s="430"/>
      <c r="AA56" s="430"/>
      <c r="AB56" s="430"/>
      <c r="AC56" s="430"/>
      <c r="AD56" s="430"/>
      <c r="AE56" s="430"/>
      <c r="AF56" s="430"/>
      <c r="AG56" s="430"/>
      <c r="AH56" s="430"/>
      <c r="AI56" s="430"/>
      <c r="AJ56" s="430"/>
      <c r="AK56" s="430"/>
      <c r="AL56" s="430"/>
      <c r="AM56" s="430"/>
      <c r="AN56" s="430"/>
      <c r="AO56" s="430"/>
      <c r="AP56" s="430"/>
      <c r="AQ56" s="430"/>
      <c r="AR56" s="430"/>
      <c r="AS56" s="430"/>
      <c r="AT56" s="430"/>
      <c r="AU56" s="430"/>
      <c r="AV56" s="430"/>
      <c r="AW56" s="430"/>
      <c r="AX56" s="430"/>
    </row>
    <row r="57" spans="1:50" ht="18.75">
      <c r="A57" s="3091" t="s">
        <v>1556</v>
      </c>
      <c r="B57" s="3063">
        <f>SUM('цех вода (с разбивкой)'!B10)</f>
        <v>22.187555129677659</v>
      </c>
      <c r="C57" s="3063">
        <f>SUM('цех вода (с разбивкой)'!C10)</f>
        <v>22.027682789515698</v>
      </c>
      <c r="D57" s="3063">
        <f>SUM('цех вода (с разбивкой)'!D10)</f>
        <v>0.15987234016196084</v>
      </c>
      <c r="E57" s="3092">
        <f>SUM('цех вода (с разбивкой)'!E10)</f>
        <v>1.8489629274731383</v>
      </c>
      <c r="F57" s="3092">
        <f>SUM('цех вода (с разбивкой)'!F10)</f>
        <v>1.8489629274731383</v>
      </c>
      <c r="G57" s="3092">
        <f>SUM('цех вода (с разбивкой)'!G10)</f>
        <v>1.8489629274731383</v>
      </c>
      <c r="H57" s="3063">
        <f>SUM('цех вода (с разбивкой)'!H10)</f>
        <v>5.5468887824194146</v>
      </c>
      <c r="I57" s="3092">
        <f>SUM('цех вода (с разбивкой)'!I10)</f>
        <v>1.8489629274731383</v>
      </c>
      <c r="J57" s="3092">
        <f>SUM('цех вода (с разбивкой)'!J10)</f>
        <v>1.8489629274731383</v>
      </c>
      <c r="K57" s="3092">
        <f>SUM('цех вода (с разбивкой)'!K10)</f>
        <v>1.8489629274731383</v>
      </c>
      <c r="L57" s="3063">
        <f>SUM('цех вода (с разбивкой)'!L10)</f>
        <v>5.5468887824194146</v>
      </c>
      <c r="M57" s="3063">
        <f>SUM('цех вода (с разбивкой)'!M10)</f>
        <v>11.093777564838829</v>
      </c>
      <c r="N57" s="3092">
        <f>SUM('цех вода (с разбивкой)'!N10)</f>
        <v>1.8489629274731383</v>
      </c>
      <c r="O57" s="3092">
        <f>SUM('цех вода (с разбивкой)'!O10)</f>
        <v>1.8489629274731383</v>
      </c>
      <c r="P57" s="3092">
        <f>SUM('цех вода (с разбивкой)'!P10)</f>
        <v>1.8489629274731383</v>
      </c>
      <c r="Q57" s="3063">
        <f>SUM('цех вода (с разбивкой)'!Q10)</f>
        <v>5.5468887824194146</v>
      </c>
      <c r="R57" s="3063">
        <f>SUM('цех вода (с разбивкой)'!R10)</f>
        <v>16.640666347258243</v>
      </c>
      <c r="S57" s="3092">
        <f>SUM('цех вода (с разбивкой)'!S10)</f>
        <v>1.8489629274731383</v>
      </c>
      <c r="T57" s="3092">
        <f>SUM('цех вода (с разбивкой)'!T10)</f>
        <v>1.8489629274731383</v>
      </c>
      <c r="U57" s="3092">
        <f>SUM('цех вода (с разбивкой)'!U10)</f>
        <v>1.8489629274731383</v>
      </c>
      <c r="V57" s="3063">
        <f>SUM('цех вода (с разбивкой)'!V10)</f>
        <v>5.5468887824194146</v>
      </c>
      <c r="W57" s="3087">
        <f t="shared" si="87"/>
        <v>22.187555129677659</v>
      </c>
      <c r="X57" s="430"/>
      <c r="Y57" s="430"/>
      <c r="Z57" s="430"/>
      <c r="AA57" s="430"/>
      <c r="AB57" s="430"/>
      <c r="AC57" s="430"/>
      <c r="AD57" s="430"/>
      <c r="AE57" s="430"/>
      <c r="AF57" s="430"/>
      <c r="AG57" s="430"/>
      <c r="AH57" s="430"/>
      <c r="AI57" s="430"/>
      <c r="AJ57" s="430"/>
      <c r="AK57" s="430"/>
      <c r="AL57" s="430"/>
      <c r="AM57" s="430"/>
      <c r="AN57" s="430"/>
      <c r="AO57" s="430"/>
      <c r="AP57" s="430"/>
      <c r="AQ57" s="430"/>
      <c r="AR57" s="430"/>
      <c r="AS57" s="430"/>
      <c r="AT57" s="430"/>
      <c r="AU57" s="430"/>
      <c r="AV57" s="430"/>
      <c r="AW57" s="430"/>
      <c r="AX57" s="430"/>
    </row>
    <row r="58" spans="1:50" ht="18.75">
      <c r="A58" s="3091" t="s">
        <v>605</v>
      </c>
      <c r="B58" s="3063">
        <f>SUM('цех вода (с разбивкой)'!B11)</f>
        <v>127.87038351051072</v>
      </c>
      <c r="C58" s="3063">
        <f>SUM('цех вода (с разбивкой)'!C11)</f>
        <v>126.94901397115626</v>
      </c>
      <c r="D58" s="3063">
        <f>SUM('цех вода (с разбивкой)'!D11)</f>
        <v>0.92136953935445831</v>
      </c>
      <c r="E58" s="3092">
        <f>SUM('цех вода (с разбивкой)'!E11)</f>
        <v>10.655865292542559</v>
      </c>
      <c r="F58" s="3092">
        <f>SUM('цех вода (с разбивкой)'!F11)</f>
        <v>10.655865292542559</v>
      </c>
      <c r="G58" s="3092">
        <f>SUM('цех вода (с разбивкой)'!G11)</f>
        <v>10.655865292542559</v>
      </c>
      <c r="H58" s="3063">
        <f>SUM('цех вода (с разбивкой)'!H11)</f>
        <v>31.96759587762768</v>
      </c>
      <c r="I58" s="3092">
        <f>SUM('цех вода (с разбивкой)'!I11)</f>
        <v>10.655865292542559</v>
      </c>
      <c r="J58" s="3092">
        <f>SUM('цех вода (с разбивкой)'!J11)</f>
        <v>10.655865292542559</v>
      </c>
      <c r="K58" s="3092">
        <f>SUM('цех вода (с разбивкой)'!K11)</f>
        <v>10.655865292542559</v>
      </c>
      <c r="L58" s="3063">
        <f>SUM('цех вода (с разбивкой)'!L11)</f>
        <v>31.96759587762768</v>
      </c>
      <c r="M58" s="3063">
        <f>SUM('цех вода (с разбивкой)'!M11)</f>
        <v>63.93519175525536</v>
      </c>
      <c r="N58" s="3092">
        <f>SUM('цех вода (с разбивкой)'!N11)</f>
        <v>10.655865292542559</v>
      </c>
      <c r="O58" s="3092">
        <f>SUM('цех вода (с разбивкой)'!O11)</f>
        <v>10.655865292542559</v>
      </c>
      <c r="P58" s="3092">
        <f>SUM('цех вода (с разбивкой)'!P11)</f>
        <v>10.655865292542559</v>
      </c>
      <c r="Q58" s="3063">
        <f>SUM('цех вода (с разбивкой)'!Q11)</f>
        <v>31.96759587762768</v>
      </c>
      <c r="R58" s="3063">
        <f>SUM('цех вода (с разбивкой)'!R11)</f>
        <v>95.902787632883047</v>
      </c>
      <c r="S58" s="3092">
        <f>SUM('цех вода (с разбивкой)'!S11)</f>
        <v>10.655865292542559</v>
      </c>
      <c r="T58" s="3092">
        <f>SUM('цех вода (с разбивкой)'!T11)</f>
        <v>10.655865292542559</v>
      </c>
      <c r="U58" s="3092">
        <f>SUM('цех вода (с разбивкой)'!U11)</f>
        <v>10.655865292542559</v>
      </c>
      <c r="V58" s="3063">
        <f>SUM('цех вода (с разбивкой)'!V11)</f>
        <v>31.96759587762768</v>
      </c>
      <c r="W58" s="3087">
        <f t="shared" si="87"/>
        <v>127.87038351051071</v>
      </c>
      <c r="X58" s="430"/>
      <c r="Y58" s="430"/>
      <c r="Z58" s="430"/>
      <c r="AA58" s="430"/>
      <c r="AB58" s="430"/>
      <c r="AC58" s="430"/>
      <c r="AD58" s="430"/>
      <c r="AE58" s="430"/>
      <c r="AF58" s="430"/>
      <c r="AG58" s="430"/>
      <c r="AH58" s="430"/>
      <c r="AI58" s="430"/>
      <c r="AJ58" s="430"/>
      <c r="AK58" s="430"/>
      <c r="AL58" s="430"/>
      <c r="AM58" s="430"/>
      <c r="AN58" s="430"/>
      <c r="AO58" s="430"/>
      <c r="AP58" s="430"/>
      <c r="AQ58" s="430"/>
      <c r="AR58" s="430"/>
      <c r="AS58" s="430"/>
      <c r="AT58" s="430"/>
      <c r="AU58" s="430"/>
      <c r="AV58" s="430"/>
      <c r="AW58" s="430"/>
      <c r="AX58" s="430"/>
    </row>
    <row r="59" spans="1:50" ht="18.75">
      <c r="A59" s="3091" t="s">
        <v>98</v>
      </c>
      <c r="B59" s="3063">
        <f>SUM('цех вода (с разбивкой)'!B12)</f>
        <v>28.17235618439334</v>
      </c>
      <c r="C59" s="3063">
        <f>SUM('цех вода (с разбивкой)'!C12)</f>
        <v>27.969360384056117</v>
      </c>
      <c r="D59" s="3063">
        <f>SUM('цех вода (с разбивкой)'!D12)</f>
        <v>0.20299580033722364</v>
      </c>
      <c r="E59" s="3092">
        <f>SUM('цех вода (с разбивкой)'!E12)</f>
        <v>2.3476963486994449</v>
      </c>
      <c r="F59" s="3092">
        <f>SUM('цех вода (с разбивкой)'!F12)</f>
        <v>2.3476963486994449</v>
      </c>
      <c r="G59" s="3092">
        <f>SUM('цех вода (с разбивкой)'!G12)</f>
        <v>2.3476963486994449</v>
      </c>
      <c r="H59" s="3063">
        <f>SUM('цех вода (с разбивкой)'!H12)</f>
        <v>7.0430890460983342</v>
      </c>
      <c r="I59" s="3092">
        <f>SUM('цех вода (с разбивкой)'!I12)</f>
        <v>2.3476963486994449</v>
      </c>
      <c r="J59" s="3092">
        <f>SUM('цех вода (с разбивкой)'!J12)</f>
        <v>2.3476963486994449</v>
      </c>
      <c r="K59" s="3092">
        <f>SUM('цех вода (с разбивкой)'!K12)</f>
        <v>2.3476963486994449</v>
      </c>
      <c r="L59" s="3063">
        <f>SUM('цех вода (с разбивкой)'!L12)</f>
        <v>7.0430890460983342</v>
      </c>
      <c r="M59" s="3063">
        <f>SUM('цех вода (с разбивкой)'!M12)</f>
        <v>14.086178092196668</v>
      </c>
      <c r="N59" s="3092">
        <f>SUM('цех вода (с разбивкой)'!N12)</f>
        <v>2.3476963486994449</v>
      </c>
      <c r="O59" s="3092">
        <f>SUM('цех вода (с разбивкой)'!O12)</f>
        <v>2.3476963486994449</v>
      </c>
      <c r="P59" s="3092">
        <f>SUM('цех вода (с разбивкой)'!P12)</f>
        <v>2.3476963486994449</v>
      </c>
      <c r="Q59" s="3063">
        <f>SUM('цех вода (с разбивкой)'!Q12)</f>
        <v>7.0430890460983342</v>
      </c>
      <c r="R59" s="3063">
        <f>SUM('цех вода (с разбивкой)'!R12)</f>
        <v>21.129267138295003</v>
      </c>
      <c r="S59" s="3092">
        <f>SUM('цех вода (с разбивкой)'!S12)</f>
        <v>2.3476963486994449</v>
      </c>
      <c r="T59" s="3092">
        <f>SUM('цех вода (с разбивкой)'!T12)</f>
        <v>2.3476963486994449</v>
      </c>
      <c r="U59" s="3092">
        <f>SUM('цех вода (с разбивкой)'!U12)</f>
        <v>2.3476963486994449</v>
      </c>
      <c r="V59" s="3063">
        <f>SUM('цех вода (с разбивкой)'!V12)</f>
        <v>7.0430890460983342</v>
      </c>
      <c r="W59" s="3087">
        <f t="shared" si="87"/>
        <v>28.172356184393333</v>
      </c>
      <c r="X59" s="430"/>
      <c r="Y59" s="430"/>
      <c r="Z59" s="430"/>
      <c r="AA59" s="430"/>
      <c r="AB59" s="430"/>
      <c r="AC59" s="430"/>
      <c r="AD59" s="430"/>
      <c r="AE59" s="430"/>
      <c r="AF59" s="430"/>
      <c r="AG59" s="430"/>
      <c r="AH59" s="430"/>
      <c r="AI59" s="430"/>
      <c r="AJ59" s="430"/>
      <c r="AK59" s="430"/>
      <c r="AL59" s="430"/>
      <c r="AM59" s="430"/>
      <c r="AN59" s="430"/>
      <c r="AO59" s="430"/>
      <c r="AP59" s="430"/>
      <c r="AQ59" s="430"/>
      <c r="AR59" s="430"/>
      <c r="AS59" s="430"/>
      <c r="AT59" s="430"/>
      <c r="AU59" s="430"/>
      <c r="AV59" s="430"/>
      <c r="AW59" s="430"/>
      <c r="AX59" s="430"/>
    </row>
    <row r="60" spans="1:50" ht="18.75">
      <c r="A60" s="3091" t="s">
        <v>38</v>
      </c>
      <c r="B60" s="3063">
        <f>SUM('цех вода (с разбивкой)'!B13)</f>
        <v>13.429309683752267</v>
      </c>
      <c r="C60" s="3063">
        <f>SUM('цех вода (с разбивкой)'!C13)</f>
        <v>13.332544846285817</v>
      </c>
      <c r="D60" s="3063">
        <f>SUM('цех вода (с разбивкой)'!D13)</f>
        <v>9.676483746645026E-2</v>
      </c>
      <c r="E60" s="3092">
        <f>SUM('цех вода (с разбивкой)'!E13)</f>
        <v>1.1191091403126889</v>
      </c>
      <c r="F60" s="3092">
        <f>SUM('цех вода (с разбивкой)'!F13)</f>
        <v>1.1191091403126889</v>
      </c>
      <c r="G60" s="3092">
        <f>SUM('цех вода (с разбивкой)'!G13)</f>
        <v>1.1191091403126889</v>
      </c>
      <c r="H60" s="3063">
        <f>SUM('цех вода (с разбивкой)'!H13)</f>
        <v>3.3573274209380668</v>
      </c>
      <c r="I60" s="3092">
        <f>SUM('цех вода (с разбивкой)'!I13)</f>
        <v>1.1191091403126889</v>
      </c>
      <c r="J60" s="3092">
        <f>SUM('цех вода (с разбивкой)'!J13)</f>
        <v>1.1191091403126889</v>
      </c>
      <c r="K60" s="3092">
        <f>SUM('цех вода (с разбивкой)'!K13)</f>
        <v>1.1191091403126889</v>
      </c>
      <c r="L60" s="3063">
        <f>SUM('цех вода (с разбивкой)'!L13)</f>
        <v>3.3573274209380668</v>
      </c>
      <c r="M60" s="3063">
        <f>SUM('цех вода (с разбивкой)'!M13)</f>
        <v>6.7146548418761336</v>
      </c>
      <c r="N60" s="3092">
        <f>SUM('цех вода (с разбивкой)'!N13)</f>
        <v>1.1191091403126889</v>
      </c>
      <c r="O60" s="3092">
        <f>SUM('цех вода (с разбивкой)'!O13)</f>
        <v>1.1191091403126889</v>
      </c>
      <c r="P60" s="3092">
        <f>SUM('цех вода (с разбивкой)'!P13)</f>
        <v>1.1191091403126889</v>
      </c>
      <c r="Q60" s="3063">
        <f>SUM('цех вода (с разбивкой)'!Q13)</f>
        <v>3.3573274209380668</v>
      </c>
      <c r="R60" s="3063">
        <f>SUM('цех вода (с разбивкой)'!R13)</f>
        <v>10.071982262814201</v>
      </c>
      <c r="S60" s="3092">
        <f>SUM('цех вода (с разбивкой)'!S13)</f>
        <v>1.1191091403126889</v>
      </c>
      <c r="T60" s="3092">
        <f>SUM('цех вода (с разбивкой)'!T13)</f>
        <v>1.1191091403126889</v>
      </c>
      <c r="U60" s="3092">
        <f>SUM('цех вода (с разбивкой)'!U13)</f>
        <v>1.1191091403126889</v>
      </c>
      <c r="V60" s="3063">
        <f>SUM('цех вода (с разбивкой)'!V13)</f>
        <v>3.3573274209380668</v>
      </c>
      <c r="W60" s="3087">
        <f t="shared" si="87"/>
        <v>13.429309683752271</v>
      </c>
      <c r="X60" s="430"/>
      <c r="Y60" s="430"/>
      <c r="Z60" s="430"/>
      <c r="AA60" s="430"/>
      <c r="AB60" s="430"/>
      <c r="AC60" s="430"/>
      <c r="AD60" s="430"/>
      <c r="AE60" s="430"/>
      <c r="AF60" s="430"/>
      <c r="AG60" s="430"/>
      <c r="AH60" s="430"/>
      <c r="AI60" s="430"/>
      <c r="AJ60" s="430"/>
      <c r="AK60" s="430"/>
      <c r="AL60" s="430"/>
      <c r="AM60" s="430"/>
      <c r="AN60" s="430"/>
      <c r="AO60" s="430"/>
      <c r="AP60" s="430"/>
      <c r="AQ60" s="430"/>
      <c r="AR60" s="430"/>
      <c r="AS60" s="430"/>
      <c r="AT60" s="430"/>
      <c r="AU60" s="430"/>
      <c r="AV60" s="430"/>
      <c r="AW60" s="430"/>
      <c r="AX60" s="430"/>
    </row>
    <row r="61" spans="1:50" ht="18.75">
      <c r="A61" s="3091" t="s">
        <v>606</v>
      </c>
      <c r="B61" s="3063">
        <f>SUM('цех вода (с разбивкой)'!B14)</f>
        <v>38.682250719503813</v>
      </c>
      <c r="C61" s="3063">
        <f>SUM('цех вода (с разбивкой)'!C14)</f>
        <v>38.403525915931979</v>
      </c>
      <c r="D61" s="3063">
        <f>SUM('цех вода (с разбивкой)'!D14)</f>
        <v>0.27872480357183704</v>
      </c>
      <c r="E61" s="3092">
        <f>SUM('цех вода (с разбивкой)'!E14)</f>
        <v>3.2235208932919845</v>
      </c>
      <c r="F61" s="3092">
        <f>SUM('цех вода (с разбивкой)'!F14)</f>
        <v>3.2235208932919845</v>
      </c>
      <c r="G61" s="3092">
        <f>SUM('цех вода (с разбивкой)'!G14)</f>
        <v>3.2235208932919845</v>
      </c>
      <c r="H61" s="3063">
        <f>SUM('цех вода (с разбивкой)'!H14)</f>
        <v>9.6705626798759532</v>
      </c>
      <c r="I61" s="3092">
        <f>SUM('цех вода (с разбивкой)'!I14)</f>
        <v>3.2235208932919845</v>
      </c>
      <c r="J61" s="3092">
        <f>SUM('цех вода (с разбивкой)'!J14)</f>
        <v>3.2235208932919845</v>
      </c>
      <c r="K61" s="3092">
        <f>SUM('цех вода (с разбивкой)'!K14)</f>
        <v>3.2235208932919845</v>
      </c>
      <c r="L61" s="3063">
        <f>SUM('цех вода (с разбивкой)'!L14)</f>
        <v>9.6705626798759532</v>
      </c>
      <c r="M61" s="3063">
        <f>SUM('цех вода (с разбивкой)'!M14)</f>
        <v>19.341125359751906</v>
      </c>
      <c r="N61" s="3092">
        <f>SUM('цех вода (с разбивкой)'!N14)</f>
        <v>3.2235208932919845</v>
      </c>
      <c r="O61" s="3092">
        <f>SUM('цех вода (с разбивкой)'!O14)</f>
        <v>3.2235208932919845</v>
      </c>
      <c r="P61" s="3092">
        <f>SUM('цех вода (с разбивкой)'!P14)</f>
        <v>3.2235208932919845</v>
      </c>
      <c r="Q61" s="3063">
        <f>SUM('цех вода (с разбивкой)'!Q14)</f>
        <v>9.6705626798759532</v>
      </c>
      <c r="R61" s="3063">
        <f>SUM('цех вода (с разбивкой)'!R14)</f>
        <v>29.01168803962786</v>
      </c>
      <c r="S61" s="3092">
        <f>SUM('цех вода (с разбивкой)'!S14)</f>
        <v>3.2235208932919845</v>
      </c>
      <c r="T61" s="3092">
        <f>SUM('цех вода (с разбивкой)'!T14)</f>
        <v>3.2235208932919845</v>
      </c>
      <c r="U61" s="3092">
        <f>SUM('цех вода (с разбивкой)'!U14)</f>
        <v>3.2235208932919845</v>
      </c>
      <c r="V61" s="3063">
        <f>SUM('цех вода (с разбивкой)'!V14)</f>
        <v>9.6705626798759532</v>
      </c>
      <c r="W61" s="3087">
        <f t="shared" si="87"/>
        <v>38.682250719503806</v>
      </c>
      <c r="X61" s="430"/>
      <c r="Y61" s="430"/>
      <c r="Z61" s="430"/>
      <c r="AA61" s="430"/>
      <c r="AB61" s="430"/>
      <c r="AC61" s="430"/>
      <c r="AD61" s="430"/>
      <c r="AE61" s="430"/>
      <c r="AF61" s="430"/>
      <c r="AG61" s="430"/>
      <c r="AH61" s="430"/>
      <c r="AI61" s="430"/>
      <c r="AJ61" s="430"/>
      <c r="AK61" s="430"/>
      <c r="AL61" s="430"/>
      <c r="AM61" s="430"/>
      <c r="AN61" s="430"/>
      <c r="AO61" s="430"/>
      <c r="AP61" s="430"/>
      <c r="AQ61" s="430"/>
      <c r="AR61" s="430"/>
      <c r="AS61" s="430"/>
      <c r="AT61" s="430"/>
      <c r="AU61" s="430"/>
      <c r="AV61" s="430"/>
      <c r="AW61" s="430"/>
      <c r="AX61" s="430"/>
    </row>
    <row r="62" spans="1:50" ht="18.75">
      <c r="A62" s="3093" t="s">
        <v>564</v>
      </c>
      <c r="B62" s="3067">
        <f>SUM('цех вода (с разбивкой)'!B15)</f>
        <v>37.368513902615007</v>
      </c>
      <c r="C62" s="3067">
        <f>SUM('цех вода (с разбивкой)'!C15)</f>
        <v>37.099255224447496</v>
      </c>
      <c r="D62" s="3067">
        <f>SUM('цех вода (с разбивкой)'!D15)</f>
        <v>0.26925867816751037</v>
      </c>
      <c r="E62" s="3094">
        <f>SUM('цех вода (с разбивкой)'!E15)</f>
        <v>3.1140428252179171</v>
      </c>
      <c r="F62" s="3094">
        <f>SUM('цех вода (с разбивкой)'!F15)</f>
        <v>3.1140428252179171</v>
      </c>
      <c r="G62" s="3094">
        <f>SUM('цех вода (с разбивкой)'!G15)</f>
        <v>3.1140428252179171</v>
      </c>
      <c r="H62" s="3067">
        <f>SUM('цех вода (с разбивкой)'!H15)</f>
        <v>9.3421284756537517</v>
      </c>
      <c r="I62" s="3094">
        <f>SUM('цех вода (с разбивкой)'!I15)</f>
        <v>3.1140428252179171</v>
      </c>
      <c r="J62" s="3094">
        <f>SUM('цех вода (с разбивкой)'!J15)</f>
        <v>3.1140428252179171</v>
      </c>
      <c r="K62" s="3094">
        <f>SUM('цех вода (с разбивкой)'!K15)</f>
        <v>3.1140428252179171</v>
      </c>
      <c r="L62" s="3067">
        <f>SUM('цех вода (с разбивкой)'!L15)</f>
        <v>9.3421284756537517</v>
      </c>
      <c r="M62" s="3067">
        <f>SUM('цех вода (с разбивкой)'!M15)</f>
        <v>18.684256951307503</v>
      </c>
      <c r="N62" s="3094">
        <f>SUM('цех вода (с разбивкой)'!N15)</f>
        <v>3.1140428252179171</v>
      </c>
      <c r="O62" s="3094">
        <f>SUM('цех вода (с разбивкой)'!O15)</f>
        <v>3.1140428252179171</v>
      </c>
      <c r="P62" s="3094">
        <f>SUM('цех вода (с разбивкой)'!P15)</f>
        <v>3.1140428252179171</v>
      </c>
      <c r="Q62" s="3067">
        <f>SUM('цех вода (с разбивкой)'!Q15)</f>
        <v>9.3421284756537517</v>
      </c>
      <c r="R62" s="3067">
        <f>SUM('цех вода (с разбивкой)'!R15)</f>
        <v>28.026385426961255</v>
      </c>
      <c r="S62" s="3094">
        <f>SUM('цех вода (с разбивкой)'!S15)</f>
        <v>3.1140428252179171</v>
      </c>
      <c r="T62" s="3094">
        <f>SUM('цех вода (с разбивкой)'!T15)</f>
        <v>3.1140428252179171</v>
      </c>
      <c r="U62" s="3094">
        <f>SUM('цех вода (с разбивкой)'!U15)</f>
        <v>3.1140428252179171</v>
      </c>
      <c r="V62" s="3067">
        <f>SUM('цех вода (с разбивкой)'!V15)</f>
        <v>9.3421284756537517</v>
      </c>
      <c r="W62" s="3087">
        <f t="shared" si="87"/>
        <v>37.368513902615007</v>
      </c>
      <c r="X62" s="430"/>
      <c r="Y62" s="430"/>
      <c r="Z62" s="430"/>
      <c r="AA62" s="430"/>
      <c r="AB62" s="430"/>
      <c r="AC62" s="430"/>
      <c r="AD62" s="430"/>
      <c r="AE62" s="430"/>
      <c r="AF62" s="430"/>
      <c r="AG62" s="430"/>
      <c r="AH62" s="430"/>
      <c r="AI62" s="430"/>
      <c r="AJ62" s="430"/>
      <c r="AK62" s="430"/>
      <c r="AL62" s="430"/>
      <c r="AM62" s="430"/>
      <c r="AN62" s="430"/>
      <c r="AO62" s="430"/>
      <c r="AP62" s="430"/>
      <c r="AQ62" s="430"/>
      <c r="AR62" s="430"/>
      <c r="AS62" s="430"/>
      <c r="AT62" s="430"/>
      <c r="AU62" s="430"/>
      <c r="AV62" s="430"/>
      <c r="AW62" s="430"/>
      <c r="AX62" s="430"/>
    </row>
    <row r="63" spans="1:50" ht="18.75">
      <c r="A63" s="3093" t="s">
        <v>563</v>
      </c>
      <c r="B63" s="3067">
        <f>SUM('цех вода (с разбивкой)'!B16)</f>
        <v>0</v>
      </c>
      <c r="C63" s="3067">
        <f>SUM('цех вода (с разбивкой)'!C16)</f>
        <v>0</v>
      </c>
      <c r="D63" s="3067">
        <f>SUM('цех вода (с разбивкой)'!D16)</f>
        <v>0</v>
      </c>
      <c r="E63" s="3094">
        <f>SUM('цех вода (с разбивкой)'!E16)</f>
        <v>0</v>
      </c>
      <c r="F63" s="3094">
        <f>SUM('цех вода (с разбивкой)'!F16)</f>
        <v>0</v>
      </c>
      <c r="G63" s="3094">
        <f>SUM('цех вода (с разбивкой)'!G16)</f>
        <v>0</v>
      </c>
      <c r="H63" s="3067">
        <f>SUM('цех вода (с разбивкой)'!H16)</f>
        <v>0</v>
      </c>
      <c r="I63" s="3094">
        <f>SUM('цех вода (с разбивкой)'!I16)</f>
        <v>0</v>
      </c>
      <c r="J63" s="3094">
        <f>SUM('цех вода (с разбивкой)'!J16)</f>
        <v>0</v>
      </c>
      <c r="K63" s="3094">
        <f>SUM('цех вода (с разбивкой)'!K16)</f>
        <v>0</v>
      </c>
      <c r="L63" s="3067">
        <f>SUM('цех вода (с разбивкой)'!L16)</f>
        <v>0</v>
      </c>
      <c r="M63" s="3067">
        <f>SUM('цех вода (с разбивкой)'!M16)</f>
        <v>0</v>
      </c>
      <c r="N63" s="3094">
        <f>SUM('цех вода (с разбивкой)'!N16)</f>
        <v>0</v>
      </c>
      <c r="O63" s="3094">
        <f>SUM('цех вода (с разбивкой)'!O16)</f>
        <v>0</v>
      </c>
      <c r="P63" s="3094">
        <f>SUM('цех вода (с разбивкой)'!P16)</f>
        <v>0</v>
      </c>
      <c r="Q63" s="3067">
        <f>SUM('цех вода (с разбивкой)'!Q16)</f>
        <v>0</v>
      </c>
      <c r="R63" s="3067">
        <f>SUM('цех вода (с разбивкой)'!R16)</f>
        <v>0</v>
      </c>
      <c r="S63" s="3094">
        <f>SUM('цех вода (с разбивкой)'!S16)</f>
        <v>0</v>
      </c>
      <c r="T63" s="3094">
        <f>SUM('цех вода (с разбивкой)'!T16)</f>
        <v>0</v>
      </c>
      <c r="U63" s="3094">
        <f>SUM('цех вода (с разбивкой)'!U16)</f>
        <v>0</v>
      </c>
      <c r="V63" s="3067">
        <f>SUM('цех вода (с разбивкой)'!V16)</f>
        <v>0</v>
      </c>
      <c r="W63" s="3087">
        <f t="shared" si="87"/>
        <v>0</v>
      </c>
      <c r="X63" s="430"/>
      <c r="Y63" s="430"/>
      <c r="Z63" s="430"/>
      <c r="AA63" s="430"/>
      <c r="AB63" s="430"/>
      <c r="AC63" s="430"/>
      <c r="AD63" s="430"/>
      <c r="AE63" s="430"/>
      <c r="AF63" s="430"/>
      <c r="AG63" s="430"/>
      <c r="AH63" s="430"/>
      <c r="AI63" s="430"/>
      <c r="AJ63" s="430"/>
      <c r="AK63" s="430"/>
      <c r="AL63" s="430"/>
      <c r="AM63" s="430"/>
      <c r="AN63" s="430"/>
      <c r="AO63" s="430"/>
      <c r="AP63" s="430"/>
      <c r="AQ63" s="430"/>
      <c r="AR63" s="430"/>
      <c r="AS63" s="430"/>
      <c r="AT63" s="430"/>
      <c r="AU63" s="430"/>
      <c r="AV63" s="430"/>
      <c r="AW63" s="430"/>
      <c r="AX63" s="430"/>
    </row>
    <row r="64" spans="1:50" ht="18.75">
      <c r="A64" s="3093" t="s">
        <v>565</v>
      </c>
      <c r="B64" s="3067">
        <f>SUM('цех вода (с разбивкой)'!B17)</f>
        <v>1.3137368168888088</v>
      </c>
      <c r="C64" s="3067">
        <f>SUM('цех вода (с разбивкой)'!C17)</f>
        <v>1.3042706914844822</v>
      </c>
      <c r="D64" s="3067">
        <f>SUM('цех вода (с разбивкой)'!D17)</f>
        <v>9.4661254043266752E-3</v>
      </c>
      <c r="E64" s="3094">
        <f>SUM('цех вода (с разбивкой)'!E17)</f>
        <v>0.1094780680740674</v>
      </c>
      <c r="F64" s="3094">
        <f>SUM('цех вода (с разбивкой)'!F17)</f>
        <v>0.1094780680740674</v>
      </c>
      <c r="G64" s="3094">
        <f>SUM('цех вода (с разбивкой)'!G17)</f>
        <v>0.1094780680740674</v>
      </c>
      <c r="H64" s="3067">
        <f>SUM('цех вода (с разбивкой)'!H17)</f>
        <v>0.32843420422220221</v>
      </c>
      <c r="I64" s="3094">
        <f>SUM('цех вода (с разбивкой)'!I17)</f>
        <v>0.1094780680740674</v>
      </c>
      <c r="J64" s="3094">
        <f>SUM('цех вода (с разбивкой)'!J17)</f>
        <v>0.1094780680740674</v>
      </c>
      <c r="K64" s="3094">
        <f>SUM('цех вода (с разбивкой)'!K17)</f>
        <v>0.1094780680740674</v>
      </c>
      <c r="L64" s="3067">
        <f>SUM('цех вода (с разбивкой)'!L17)</f>
        <v>0.32843420422220221</v>
      </c>
      <c r="M64" s="3067">
        <f>SUM('цех вода (с разбивкой)'!M17)</f>
        <v>0.65686840844440442</v>
      </c>
      <c r="N64" s="3094">
        <f>SUM('цех вода (с разбивкой)'!N17)</f>
        <v>0.1094780680740674</v>
      </c>
      <c r="O64" s="3094">
        <f>SUM('цех вода (с разбивкой)'!O17)</f>
        <v>0.1094780680740674</v>
      </c>
      <c r="P64" s="3094">
        <f>SUM('цех вода (с разбивкой)'!P17)</f>
        <v>0.1094780680740674</v>
      </c>
      <c r="Q64" s="3067">
        <f>SUM('цех вода (с разбивкой)'!Q17)</f>
        <v>0.32843420422220221</v>
      </c>
      <c r="R64" s="3067">
        <f>SUM('цех вода (с разбивкой)'!R17)</f>
        <v>0.98530261266660668</v>
      </c>
      <c r="S64" s="3094">
        <f>SUM('цех вода (с разбивкой)'!S17)</f>
        <v>0.1094780680740674</v>
      </c>
      <c r="T64" s="3094">
        <f>SUM('цех вода (с разбивкой)'!T17)</f>
        <v>0.1094780680740674</v>
      </c>
      <c r="U64" s="3094">
        <f>SUM('цех вода (с разбивкой)'!U17)</f>
        <v>0.1094780680740674</v>
      </c>
      <c r="V64" s="3067">
        <f>SUM('цех вода (с разбивкой)'!V17)</f>
        <v>0.32843420422220221</v>
      </c>
      <c r="W64" s="3087">
        <f t="shared" si="87"/>
        <v>1.3137368168888093</v>
      </c>
      <c r="X64" s="430"/>
      <c r="Y64" s="430"/>
      <c r="Z64" s="430"/>
      <c r="AA64" s="430"/>
      <c r="AB64" s="430"/>
      <c r="AC64" s="430"/>
      <c r="AD64" s="430"/>
      <c r="AE64" s="430"/>
      <c r="AF64" s="430"/>
      <c r="AG64" s="430"/>
      <c r="AH64" s="430"/>
      <c r="AI64" s="430"/>
      <c r="AJ64" s="430"/>
      <c r="AK64" s="430"/>
      <c r="AL64" s="430"/>
      <c r="AM64" s="430"/>
      <c r="AN64" s="430"/>
      <c r="AO64" s="430"/>
      <c r="AP64" s="430"/>
      <c r="AQ64" s="430"/>
      <c r="AR64" s="430"/>
      <c r="AS64" s="430"/>
      <c r="AT64" s="430"/>
      <c r="AU64" s="430"/>
      <c r="AV64" s="430"/>
      <c r="AW64" s="430"/>
      <c r="AX64" s="430"/>
    </row>
    <row r="65" spans="1:50" ht="18.75">
      <c r="A65" s="3091" t="s">
        <v>609</v>
      </c>
      <c r="B65" s="3063">
        <f>SUM('цех вода (с разбивкой)'!B18)</f>
        <v>114.00316155446218</v>
      </c>
      <c r="C65" s="3063">
        <f>SUM('цех вода (с разбивкой)'!C18)</f>
        <v>113.18171222770894</v>
      </c>
      <c r="D65" s="3063">
        <f>SUM('цех вода (с разбивкой)'!D18)</f>
        <v>0.8214493267532319</v>
      </c>
      <c r="E65" s="3092">
        <f>SUM('цех вода (с разбивкой)'!E18)</f>
        <v>9.0267391914540624</v>
      </c>
      <c r="F65" s="3092">
        <f>SUM('цех вода (с разбивкой)'!F18)</f>
        <v>9.0267391914540624</v>
      </c>
      <c r="G65" s="3092">
        <f>SUM('цех вода (с разбивкой)'!G18)</f>
        <v>9.0267391914540624</v>
      </c>
      <c r="H65" s="3063">
        <f>SUM('цех вода (с разбивкой)'!H18)</f>
        <v>27.080217574362187</v>
      </c>
      <c r="I65" s="3092">
        <f>SUM('цех вода (с разбивкой)'!I18)</f>
        <v>9.0683846485494399</v>
      </c>
      <c r="J65" s="3092">
        <f>SUM('цех вода (с разбивкой)'!J18)</f>
        <v>9.7578483271284284</v>
      </c>
      <c r="K65" s="3092">
        <f>SUM('цех вода (с разбивкой)'!K18)</f>
        <v>10.359393818506071</v>
      </c>
      <c r="L65" s="3063">
        <f>SUM('цех вода (с разбивкой)'!L18)</f>
        <v>29.185626794183939</v>
      </c>
      <c r="M65" s="3063">
        <f>SUM('цех вода (с разбивкой)'!M18)</f>
        <v>56.265844368546126</v>
      </c>
      <c r="N65" s="3092">
        <f>SUM('цех вода (с разбивкой)'!N18)</f>
        <v>10.539857465919365</v>
      </c>
      <c r="O65" s="3092">
        <f>SUM('цех вода (с разбивкой)'!O18)</f>
        <v>10.359393818506071</v>
      </c>
      <c r="P65" s="3092">
        <f>SUM('цех вода (с разбивкой)'!P18)</f>
        <v>9.7578483271284284</v>
      </c>
      <c r="Q65" s="3063">
        <f>SUM('цех вода (с разбивкой)'!Q18)</f>
        <v>30.657099611553864</v>
      </c>
      <c r="R65" s="3063">
        <f>SUM('цех вода (с разбивкой)'!R18)</f>
        <v>86.922943980099987</v>
      </c>
      <c r="S65" s="3092">
        <f>SUM('цех вода (с разбивкой)'!S18)</f>
        <v>9.0267391914540624</v>
      </c>
      <c r="T65" s="3092">
        <f>SUM('цех вода (с разбивкой)'!T18)</f>
        <v>9.0267391914540624</v>
      </c>
      <c r="U65" s="3092">
        <f>SUM('цех вода (с разбивкой)'!U18)</f>
        <v>9.0267391914540624</v>
      </c>
      <c r="V65" s="3063">
        <f>SUM('цех вода (с разбивкой)'!V18)</f>
        <v>27.080217574362187</v>
      </c>
      <c r="W65" s="3087">
        <f t="shared" si="87"/>
        <v>114.00316155446217</v>
      </c>
      <c r="X65" s="430"/>
      <c r="Y65" s="430"/>
      <c r="Z65" s="430"/>
      <c r="AA65" s="430"/>
      <c r="AB65" s="430"/>
      <c r="AC65" s="430"/>
      <c r="AD65" s="430"/>
      <c r="AE65" s="430"/>
      <c r="AF65" s="430"/>
      <c r="AG65" s="430"/>
      <c r="AH65" s="430"/>
      <c r="AI65" s="430"/>
      <c r="AJ65" s="430"/>
      <c r="AK65" s="430"/>
      <c r="AL65" s="430"/>
      <c r="AM65" s="430"/>
      <c r="AN65" s="430"/>
      <c r="AO65" s="430"/>
      <c r="AP65" s="430"/>
      <c r="AQ65" s="430"/>
      <c r="AR65" s="430"/>
      <c r="AS65" s="430"/>
      <c r="AT65" s="430"/>
      <c r="AU65" s="430"/>
      <c r="AV65" s="430"/>
      <c r="AW65" s="430"/>
      <c r="AX65" s="430"/>
    </row>
    <row r="66" spans="1:50" ht="18.75">
      <c r="A66" s="3093" t="s">
        <v>551</v>
      </c>
      <c r="B66" s="3067">
        <f>SUM('цех вода (с разбивкой)'!B19)</f>
        <v>46.272730105972485</v>
      </c>
      <c r="C66" s="3067">
        <f>SUM('цех вода (с разбивкой)'!C19)</f>
        <v>45.93931213339787</v>
      </c>
      <c r="D66" s="3067">
        <f>SUM('цех вода (с разбивкой)'!D19)</f>
        <v>0.33341797257461536</v>
      </c>
      <c r="E66" s="3094">
        <f>SUM('цех вода (с разбивкой)'!E19)</f>
        <v>3.3825365707465886</v>
      </c>
      <c r="F66" s="3094">
        <f>SUM('цех вода (с разбивкой)'!F19)</f>
        <v>3.3825365707465886</v>
      </c>
      <c r="G66" s="3094">
        <f>SUM('цех вода (с разбивкой)'!G19)</f>
        <v>3.3825365707465886</v>
      </c>
      <c r="H66" s="3067">
        <f>SUM('цех вода (с разбивкой)'!H19)</f>
        <v>10.147609712239767</v>
      </c>
      <c r="I66" s="3094">
        <f>SUM('цех вода (с разбивкой)'!I19)</f>
        <v>3.4241820278419643</v>
      </c>
      <c r="J66" s="3094">
        <f>SUM('цех вода (с разбивкой)'!J19)</f>
        <v>4.1136457064209546</v>
      </c>
      <c r="K66" s="3094">
        <f>SUM('цех вода (с разбивкой)'!K19)</f>
        <v>4.7151911977985961</v>
      </c>
      <c r="L66" s="3067">
        <f>SUM('цех вода (с разбивкой)'!L19)</f>
        <v>12.253018932061515</v>
      </c>
      <c r="M66" s="3067">
        <f>SUM('цех вода (с разбивкой)'!M19)</f>
        <v>22.400628644301282</v>
      </c>
      <c r="N66" s="3094">
        <f>SUM('цех вода (с разбивкой)'!N19)</f>
        <v>4.8956548452118893</v>
      </c>
      <c r="O66" s="3094">
        <f>SUM('цех вода (с разбивкой)'!O19)</f>
        <v>4.7151911977985961</v>
      </c>
      <c r="P66" s="3094">
        <f>SUM('цех вода (с разбивкой)'!P19)</f>
        <v>4.1136457064209546</v>
      </c>
      <c r="Q66" s="3067">
        <f>SUM('цех вода (с разбивкой)'!Q19)</f>
        <v>13.72449174943144</v>
      </c>
      <c r="R66" s="3067">
        <f>SUM('цех вода (с разбивкой)'!R19)</f>
        <v>36.125120393732722</v>
      </c>
      <c r="S66" s="3094">
        <f>SUM('цех вода (с разбивкой)'!S19)</f>
        <v>3.3825365707465886</v>
      </c>
      <c r="T66" s="3094">
        <f>SUM('цех вода (с разбивкой)'!T19)</f>
        <v>3.3825365707465886</v>
      </c>
      <c r="U66" s="3094">
        <f>SUM('цех вода (с разбивкой)'!U19)</f>
        <v>3.3825365707465886</v>
      </c>
      <c r="V66" s="3067">
        <f>SUM('цех вода (с разбивкой)'!V19)</f>
        <v>10.147609712239767</v>
      </c>
      <c r="W66" s="3087">
        <f t="shared" si="87"/>
        <v>46.272730105972485</v>
      </c>
      <c r="X66" s="430"/>
      <c r="Y66" s="430"/>
      <c r="Z66" s="430"/>
      <c r="AA66" s="430"/>
      <c r="AB66" s="430"/>
      <c r="AC66" s="430"/>
      <c r="AD66" s="430"/>
      <c r="AE66" s="430"/>
      <c r="AF66" s="430"/>
      <c r="AG66" s="430"/>
      <c r="AH66" s="430"/>
      <c r="AI66" s="430"/>
      <c r="AJ66" s="430"/>
      <c r="AK66" s="430"/>
      <c r="AL66" s="430"/>
      <c r="AM66" s="430"/>
      <c r="AN66" s="430"/>
      <c r="AO66" s="430"/>
      <c r="AP66" s="430"/>
      <c r="AQ66" s="430"/>
      <c r="AR66" s="430"/>
      <c r="AS66" s="430"/>
      <c r="AT66" s="430"/>
      <c r="AU66" s="430"/>
      <c r="AV66" s="430"/>
      <c r="AW66" s="430"/>
      <c r="AX66" s="430"/>
    </row>
    <row r="67" spans="1:50" ht="18.75">
      <c r="A67" s="3093" t="s">
        <v>643</v>
      </c>
      <c r="B67" s="3067">
        <f>SUM('цех вода (с разбивкой)'!B20)</f>
        <v>67.730431448489696</v>
      </c>
      <c r="C67" s="3067">
        <f>SUM('цех вода (с разбивкой)'!C20)</f>
        <v>67.24240009431108</v>
      </c>
      <c r="D67" s="3067">
        <f>SUM('цех вода (с разбивкой)'!D20)</f>
        <v>0.48803135417861654</v>
      </c>
      <c r="E67" s="3094">
        <f>SUM('цех вода (с разбивкой)'!E20)</f>
        <v>5.6442026207074747</v>
      </c>
      <c r="F67" s="3094">
        <f>SUM('цех вода (с разбивкой)'!F20)</f>
        <v>5.6442026207074747</v>
      </c>
      <c r="G67" s="3094">
        <f>SUM('цех вода (с разбивкой)'!G20)</f>
        <v>5.6442026207074747</v>
      </c>
      <c r="H67" s="3067">
        <f>SUM('цех вода (с разбивкой)'!H20)</f>
        <v>16.932607862122424</v>
      </c>
      <c r="I67" s="3094">
        <f>SUM('цех вода (с разбивкой)'!I20)</f>
        <v>5.6442026207074747</v>
      </c>
      <c r="J67" s="3094">
        <f>SUM('цех вода (с разбивкой)'!J20)</f>
        <v>5.6442026207074747</v>
      </c>
      <c r="K67" s="3094">
        <f>SUM('цех вода (с разбивкой)'!K20)</f>
        <v>5.6442026207074747</v>
      </c>
      <c r="L67" s="3067">
        <f>SUM('цех вода (с разбивкой)'!L20)</f>
        <v>16.932607862122424</v>
      </c>
      <c r="M67" s="3067">
        <f>SUM('цех вода (с разбивкой)'!M20)</f>
        <v>33.865215724244848</v>
      </c>
      <c r="N67" s="3094">
        <f>SUM('цех вода (с разбивкой)'!N20)</f>
        <v>5.6442026207074747</v>
      </c>
      <c r="O67" s="3094">
        <f>SUM('цех вода (с разбивкой)'!O20)</f>
        <v>5.6442026207074747</v>
      </c>
      <c r="P67" s="3094">
        <f>SUM('цех вода (с разбивкой)'!P20)</f>
        <v>5.6442026207074747</v>
      </c>
      <c r="Q67" s="3067">
        <f>SUM('цех вода (с разбивкой)'!Q20)</f>
        <v>16.932607862122424</v>
      </c>
      <c r="R67" s="3067">
        <f>SUM('цех вода (с разбивкой)'!R20)</f>
        <v>50.797823586367272</v>
      </c>
      <c r="S67" s="3094">
        <f>SUM('цех вода (с разбивкой)'!S20)</f>
        <v>5.6442026207074747</v>
      </c>
      <c r="T67" s="3094">
        <f>SUM('цех вода (с разбивкой)'!T20)</f>
        <v>5.6442026207074747</v>
      </c>
      <c r="U67" s="3094">
        <f>SUM('цех вода (с разбивкой)'!U20)</f>
        <v>5.6442026207074747</v>
      </c>
      <c r="V67" s="3067">
        <f>SUM('цех вода (с разбивкой)'!V20)</f>
        <v>16.932607862122424</v>
      </c>
      <c r="W67" s="3087">
        <f t="shared" si="87"/>
        <v>67.730431448489696</v>
      </c>
      <c r="X67" s="430"/>
      <c r="Y67" s="430"/>
      <c r="Z67" s="430"/>
      <c r="AA67" s="430"/>
      <c r="AB67" s="430"/>
      <c r="AC67" s="430"/>
      <c r="AD67" s="430"/>
      <c r="AE67" s="430"/>
      <c r="AF67" s="430"/>
      <c r="AG67" s="430"/>
      <c r="AH67" s="430"/>
      <c r="AI67" s="430"/>
      <c r="AJ67" s="430"/>
      <c r="AK67" s="430"/>
      <c r="AL67" s="430"/>
      <c r="AM67" s="430"/>
      <c r="AN67" s="430"/>
      <c r="AO67" s="430"/>
      <c r="AP67" s="430"/>
      <c r="AQ67" s="430"/>
      <c r="AR67" s="430"/>
      <c r="AS67" s="430"/>
      <c r="AT67" s="430"/>
      <c r="AU67" s="430"/>
      <c r="AV67" s="430"/>
      <c r="AW67" s="430"/>
      <c r="AX67" s="430"/>
    </row>
    <row r="68" spans="1:50" ht="18.75">
      <c r="A68" s="3090" t="s">
        <v>7</v>
      </c>
      <c r="B68" s="3060">
        <f>SUM(вода!CQ17)</f>
        <v>59040.706804894122</v>
      </c>
      <c r="C68" s="3060">
        <f>SUM(вода!CS17)</f>
        <v>59040.706804894122</v>
      </c>
      <c r="D68" s="3060">
        <f>SUM(вода!CT17)</f>
        <v>0</v>
      </c>
      <c r="E68" s="3081">
        <f>SUM(E69+E70+E71+E72+E73+E74+E75+E77)</f>
        <v>5266.9187633075053</v>
      </c>
      <c r="F68" s="3081">
        <f t="shared" ref="F68:G68" si="93">SUM(F69+F70+F71+F72+F73+F74+F75+F77)</f>
        <v>5146.0952492958659</v>
      </c>
      <c r="G68" s="3081">
        <f t="shared" si="93"/>
        <v>5095.0137128222113</v>
      </c>
      <c r="H68" s="3070">
        <f>SUM(E68+F68+G68)</f>
        <v>15508.027725425582</v>
      </c>
      <c r="I68" s="3081">
        <f t="shared" ref="I68:K68" si="94">SUM(I69+I70+I71+I72+I73+I74+I75+I77)</f>
        <v>4914.1635233124962</v>
      </c>
      <c r="J68" s="3081">
        <f t="shared" si="94"/>
        <v>4531.4031685349819</v>
      </c>
      <c r="K68" s="3081">
        <f t="shared" si="94"/>
        <v>4423.6563903079777</v>
      </c>
      <c r="L68" s="3070">
        <f>SUM(I68+J68+K68)</f>
        <v>13869.223082155455</v>
      </c>
      <c r="M68" s="3070">
        <f>SUM(H68+L68)</f>
        <v>29377.250807581036</v>
      </c>
      <c r="N68" s="3081">
        <f t="shared" ref="N68:P68" si="95">SUM(N69+N70+N71+N72+N73+N74+N75+N77)</f>
        <v>4574.774256992243</v>
      </c>
      <c r="O68" s="3081">
        <f t="shared" si="95"/>
        <v>4573.7937674839086</v>
      </c>
      <c r="P68" s="3081">
        <f t="shared" si="95"/>
        <v>4801.626455239174</v>
      </c>
      <c r="Q68" s="3070">
        <f>SUM(N68+O68+P68)</f>
        <v>13950.194479715326</v>
      </c>
      <c r="R68" s="3070">
        <f>SUM(M68+Q68)</f>
        <v>43327.445287296359</v>
      </c>
      <c r="S68" s="3081">
        <f t="shared" ref="S68:U68" si="96">SUM(S69+S70+S71+S72+S73+S74+S75+S77)</f>
        <v>5097.3633668126704</v>
      </c>
      <c r="T68" s="3081">
        <f t="shared" si="96"/>
        <v>5226.1061777024834</v>
      </c>
      <c r="U68" s="3081">
        <f t="shared" si="96"/>
        <v>5389.7919730826106</v>
      </c>
      <c r="V68" s="3070">
        <f>SUM(S68+T68+U68)</f>
        <v>15713.261517597764</v>
      </c>
      <c r="W68" s="3085">
        <f t="shared" si="87"/>
        <v>59040.706804894129</v>
      </c>
      <c r="X68" s="430"/>
      <c r="Y68" s="430"/>
      <c r="Z68" s="430"/>
      <c r="AA68" s="430"/>
      <c r="AB68" s="430"/>
      <c r="AC68" s="430"/>
      <c r="AD68" s="430"/>
      <c r="AE68" s="430"/>
      <c r="AF68" s="430"/>
      <c r="AG68" s="430"/>
      <c r="AH68" s="430"/>
      <c r="AI68" s="430"/>
      <c r="AJ68" s="430"/>
      <c r="AK68" s="430"/>
      <c r="AL68" s="430"/>
      <c r="AM68" s="430"/>
      <c r="AN68" s="430"/>
      <c r="AO68" s="430"/>
      <c r="AP68" s="430"/>
      <c r="AQ68" s="430"/>
      <c r="AR68" s="430"/>
      <c r="AS68" s="430"/>
      <c r="AT68" s="430"/>
      <c r="AU68" s="430"/>
      <c r="AV68" s="430"/>
      <c r="AW68" s="430"/>
      <c r="AX68" s="430"/>
    </row>
    <row r="69" spans="1:50" ht="18.75">
      <c r="A69" s="3086" t="s">
        <v>1</v>
      </c>
      <c r="B69" s="3063">
        <f>SUM(вода!CQ18)</f>
        <v>5035.2624066028493</v>
      </c>
      <c r="C69" s="3063">
        <f>SUM(вода!CS18)</f>
        <v>5035.2624066028493</v>
      </c>
      <c r="D69" s="3063">
        <f>SUM(вода!CT17)</f>
        <v>0</v>
      </c>
      <c r="E69" s="3074">
        <f>SUM('электр (с разбивкой)'!C21)</f>
        <v>417.86465612112653</v>
      </c>
      <c r="F69" s="3074">
        <f>SUM('электр (с разбивкой)'!D21)</f>
        <v>414.99180917906887</v>
      </c>
      <c r="G69" s="3074">
        <f>SUM('электр (с разбивкой)'!E21)</f>
        <v>414.99180917906887</v>
      </c>
      <c r="H69" s="3072">
        <f t="shared" ref="H69:H70" si="97">SUM(E69+F69+G69)</f>
        <v>1247.8482744792643</v>
      </c>
      <c r="I69" s="3074">
        <f>SUM('электр (с разбивкой)'!G21)</f>
        <v>412.11896223701126</v>
      </c>
      <c r="J69" s="3074">
        <f>SUM('электр (с разбивкой)'!H21)</f>
        <v>386.26333975849269</v>
      </c>
      <c r="K69" s="3074">
        <f>SUM('электр (с разбивкой)'!I21)</f>
        <v>386.26333975849269</v>
      </c>
      <c r="L69" s="3072">
        <f t="shared" ref="L69:L70" si="98">SUM(I69+J69+K69)</f>
        <v>1184.6456417539966</v>
      </c>
      <c r="M69" s="3072">
        <f t="shared" ref="M69:M70" si="99">SUM(H69+L69)</f>
        <v>2432.4939162332612</v>
      </c>
      <c r="N69" s="3074">
        <f>SUM('электр (с разбивкой)'!L21)</f>
        <v>413.30177354158724</v>
      </c>
      <c r="O69" s="3074">
        <f>SUM('электр (с разбивкой)'!M21)</f>
        <v>413.30177354158724</v>
      </c>
      <c r="P69" s="3074">
        <f>SUM('электр (с разбивкой)'!N21)</f>
        <v>440.96728959360206</v>
      </c>
      <c r="Q69" s="3072">
        <f t="shared" ref="Q69" si="100">SUM(N69+O69+P69)</f>
        <v>1267.5708366767765</v>
      </c>
      <c r="R69" s="3072">
        <f t="shared" ref="R69" si="101">SUM(M69+Q69)</f>
        <v>3700.0647529100379</v>
      </c>
      <c r="S69" s="3074">
        <f>SUM('электр (с разбивкой)'!Q21)</f>
        <v>444.04123582160378</v>
      </c>
      <c r="T69" s="3074">
        <f>SUM('электр (с разбивкой)'!R21)</f>
        <v>444.04123582160378</v>
      </c>
      <c r="U69" s="3074">
        <f>SUM('электр (с разбивкой)'!S21)</f>
        <v>447.11518204960544</v>
      </c>
      <c r="V69" s="3072">
        <f t="shared" ref="V69:V70" si="102">SUM(S69+T69+U69)</f>
        <v>1335.197653692813</v>
      </c>
      <c r="W69" s="3087">
        <f t="shared" si="87"/>
        <v>5035.2624066028502</v>
      </c>
      <c r="X69" s="430"/>
      <c r="Y69" s="430"/>
      <c r="Z69" s="430"/>
      <c r="AA69" s="430"/>
      <c r="AB69" s="430"/>
      <c r="AC69" s="430"/>
      <c r="AD69" s="430"/>
      <c r="AE69" s="430"/>
      <c r="AF69" s="430"/>
      <c r="AG69" s="430"/>
      <c r="AH69" s="430"/>
      <c r="AI69" s="430"/>
      <c r="AJ69" s="430"/>
      <c r="AK69" s="430"/>
      <c r="AL69" s="430"/>
      <c r="AM69" s="430"/>
      <c r="AN69" s="430"/>
      <c r="AO69" s="430"/>
      <c r="AP69" s="430"/>
      <c r="AQ69" s="430"/>
      <c r="AR69" s="430"/>
      <c r="AS69" s="430"/>
      <c r="AT69" s="430"/>
      <c r="AU69" s="430"/>
      <c r="AV69" s="430"/>
      <c r="AW69" s="430"/>
      <c r="AX69" s="430"/>
    </row>
    <row r="70" spans="1:50" ht="18.75">
      <c r="A70" s="3086" t="s">
        <v>8</v>
      </c>
      <c r="B70" s="3063">
        <f>SUM(вода!CQ19)</f>
        <v>7625.8146402723114</v>
      </c>
      <c r="C70" s="3063">
        <f>SUM(вода!CS19)</f>
        <v>7625.8146402723114</v>
      </c>
      <c r="D70" s="3063">
        <f>SUM(вода!CT19)</f>
        <v>0</v>
      </c>
      <c r="E70" s="3074">
        <f>SUM(B70/12)</f>
        <v>635.48455335602591</v>
      </c>
      <c r="F70" s="3074">
        <f t="shared" ref="F70:G73" si="103">SUM(E70)</f>
        <v>635.48455335602591</v>
      </c>
      <c r="G70" s="3074">
        <f>SUM(E70)</f>
        <v>635.48455335602591</v>
      </c>
      <c r="H70" s="3072">
        <f t="shared" si="97"/>
        <v>1906.4536600680776</v>
      </c>
      <c r="I70" s="3074">
        <f>SUM(E70)</f>
        <v>635.48455335602591</v>
      </c>
      <c r="J70" s="3074">
        <f>SUM(E70)</f>
        <v>635.48455335602591</v>
      </c>
      <c r="K70" s="3074">
        <f>SUM(E70)</f>
        <v>635.48455335602591</v>
      </c>
      <c r="L70" s="3072">
        <f t="shared" si="98"/>
        <v>1906.4536600680776</v>
      </c>
      <c r="M70" s="3072">
        <f t="shared" si="99"/>
        <v>3812.9073201361552</v>
      </c>
      <c r="N70" s="3074">
        <f>SUM(E70)</f>
        <v>635.48455335602591</v>
      </c>
      <c r="O70" s="3074">
        <f>SUM(E70)</f>
        <v>635.48455335602591</v>
      </c>
      <c r="P70" s="3074">
        <f>E70</f>
        <v>635.48455335602591</v>
      </c>
      <c r="Q70" s="3072">
        <f t="shared" ref="Q70" si="104">SUM(N70+O70+P70)</f>
        <v>1906.4536600680776</v>
      </c>
      <c r="R70" s="3072">
        <f t="shared" ref="R70" si="105">SUM(M70+Q70)</f>
        <v>5719.3609802042329</v>
      </c>
      <c r="S70" s="3074">
        <f>E70</f>
        <v>635.48455335602591</v>
      </c>
      <c r="T70" s="3074">
        <f>E70</f>
        <v>635.48455335602591</v>
      </c>
      <c r="U70" s="3074">
        <f>E70</f>
        <v>635.48455335602591</v>
      </c>
      <c r="V70" s="3072">
        <f t="shared" si="102"/>
        <v>1906.4536600680776</v>
      </c>
      <c r="W70" s="3087">
        <f t="shared" si="87"/>
        <v>7625.8146402723096</v>
      </c>
      <c r="X70" s="430"/>
      <c r="Y70" s="430"/>
      <c r="Z70" s="430"/>
      <c r="AA70" s="430"/>
      <c r="AB70" s="430"/>
      <c r="AC70" s="430"/>
      <c r="AD70" s="430"/>
      <c r="AE70" s="430"/>
      <c r="AF70" s="430"/>
      <c r="AG70" s="430"/>
      <c r="AH70" s="430"/>
      <c r="AI70" s="430"/>
      <c r="AJ70" s="430"/>
      <c r="AK70" s="430"/>
      <c r="AL70" s="430"/>
      <c r="AM70" s="430"/>
      <c r="AN70" s="430"/>
      <c r="AO70" s="430"/>
      <c r="AP70" s="430"/>
      <c r="AQ70" s="430"/>
      <c r="AR70" s="430"/>
      <c r="AS70" s="430"/>
      <c r="AT70" s="430"/>
      <c r="AU70" s="430"/>
      <c r="AV70" s="430"/>
      <c r="AW70" s="430"/>
      <c r="AX70" s="430"/>
    </row>
    <row r="71" spans="1:50" ht="18.75">
      <c r="A71" s="3086" t="s">
        <v>2</v>
      </c>
      <c r="B71" s="3063">
        <f>SUM(вода!CQ20)</f>
        <v>1344.19</v>
      </c>
      <c r="C71" s="3063">
        <f>SUM(вода!CS20)</f>
        <v>1344.19</v>
      </c>
      <c r="D71" s="3063">
        <f>SUM(вода!CT20)</f>
        <v>0</v>
      </c>
      <c r="E71" s="3074">
        <f>SUM(B71/12)</f>
        <v>112.01583333333333</v>
      </c>
      <c r="F71" s="3074">
        <f t="shared" si="103"/>
        <v>112.01583333333333</v>
      </c>
      <c r="G71" s="3074">
        <f>SUM(E71)</f>
        <v>112.01583333333333</v>
      </c>
      <c r="H71" s="3072">
        <f>SUM(E71+F71+G71)</f>
        <v>336.04750000000001</v>
      </c>
      <c r="I71" s="3074">
        <f>SUM(E71)</f>
        <v>112.01583333333333</v>
      </c>
      <c r="J71" s="3074">
        <f>SUM(E71)</f>
        <v>112.01583333333333</v>
      </c>
      <c r="K71" s="3074">
        <f>SUM(E71)</f>
        <v>112.01583333333333</v>
      </c>
      <c r="L71" s="3072">
        <f>SUM(I71+J71+K71)</f>
        <v>336.04750000000001</v>
      </c>
      <c r="M71" s="3072">
        <f>SUM(H71+L71)</f>
        <v>672.09500000000003</v>
      </c>
      <c r="N71" s="3074">
        <f>SUM(E71)</f>
        <v>112.01583333333333</v>
      </c>
      <c r="O71" s="3074">
        <f>SUM(E71)</f>
        <v>112.01583333333333</v>
      </c>
      <c r="P71" s="3074">
        <f>E71</f>
        <v>112.01583333333333</v>
      </c>
      <c r="Q71" s="3072">
        <f>SUM(N71+O71+P71)</f>
        <v>336.04750000000001</v>
      </c>
      <c r="R71" s="3072">
        <f>SUM(M71+Q71)</f>
        <v>1008.1425</v>
      </c>
      <c r="S71" s="3074">
        <f>E71</f>
        <v>112.01583333333333</v>
      </c>
      <c r="T71" s="3074">
        <f>E71</f>
        <v>112.01583333333333</v>
      </c>
      <c r="U71" s="3074">
        <f>E71</f>
        <v>112.01583333333333</v>
      </c>
      <c r="V71" s="3072">
        <f>SUM(S71+T71+U71)</f>
        <v>336.04750000000001</v>
      </c>
      <c r="W71" s="3087">
        <f t="shared" si="87"/>
        <v>1344.1900000000003</v>
      </c>
      <c r="X71" s="430"/>
      <c r="Y71" s="430"/>
      <c r="Z71" s="430"/>
      <c r="AA71" s="430"/>
      <c r="AB71" s="430"/>
      <c r="AC71" s="430"/>
      <c r="AD71" s="430"/>
      <c r="AE71" s="430"/>
      <c r="AF71" s="430"/>
      <c r="AG71" s="430"/>
      <c r="AH71" s="430"/>
      <c r="AI71" s="430"/>
      <c r="AJ71" s="430"/>
      <c r="AK71" s="430"/>
      <c r="AL71" s="430"/>
      <c r="AM71" s="430"/>
      <c r="AN71" s="430"/>
      <c r="AO71" s="430"/>
      <c r="AP71" s="430"/>
      <c r="AQ71" s="430"/>
      <c r="AR71" s="430"/>
      <c r="AS71" s="430"/>
      <c r="AT71" s="430"/>
      <c r="AU71" s="430"/>
      <c r="AV71" s="430"/>
      <c r="AW71" s="430"/>
      <c r="AX71" s="430"/>
    </row>
    <row r="72" spans="1:50" ht="18.75">
      <c r="A72" s="3086" t="s">
        <v>219</v>
      </c>
      <c r="B72" s="3063">
        <v>0</v>
      </c>
      <c r="C72" s="3063">
        <v>0</v>
      </c>
      <c r="D72" s="3063">
        <v>0</v>
      </c>
      <c r="E72" s="3074">
        <f>SUM(B72/12)</f>
        <v>0</v>
      </c>
      <c r="F72" s="3074">
        <f t="shared" si="103"/>
        <v>0</v>
      </c>
      <c r="G72" s="3074">
        <f t="shared" si="103"/>
        <v>0</v>
      </c>
      <c r="H72" s="3072">
        <f>SUM(E72+F72+G72)</f>
        <v>0</v>
      </c>
      <c r="I72" s="3074">
        <f>SUM(E72)</f>
        <v>0</v>
      </c>
      <c r="J72" s="3074">
        <f>SUM(E72)</f>
        <v>0</v>
      </c>
      <c r="K72" s="3074">
        <f>SUM(E72)</f>
        <v>0</v>
      </c>
      <c r="L72" s="3072">
        <f>SUM(I72+J72+K72)</f>
        <v>0</v>
      </c>
      <c r="M72" s="3072">
        <f>SUM(H72+L72)</f>
        <v>0</v>
      </c>
      <c r="N72" s="3074">
        <f>SUM(E72)</f>
        <v>0</v>
      </c>
      <c r="O72" s="3074">
        <f>SUM(E72)</f>
        <v>0</v>
      </c>
      <c r="P72" s="3074">
        <f>E72</f>
        <v>0</v>
      </c>
      <c r="Q72" s="3072">
        <f>SUM(N72+O72+P72)</f>
        <v>0</v>
      </c>
      <c r="R72" s="3072">
        <f>SUM(M72+Q72)</f>
        <v>0</v>
      </c>
      <c r="S72" s="3074">
        <f>E72</f>
        <v>0</v>
      </c>
      <c r="T72" s="3074">
        <f>E72</f>
        <v>0</v>
      </c>
      <c r="U72" s="3074">
        <f>E72</f>
        <v>0</v>
      </c>
      <c r="V72" s="3072">
        <f>SUM(S72+T72+U72)</f>
        <v>0</v>
      </c>
      <c r="W72" s="3087">
        <f t="shared" si="87"/>
        <v>0</v>
      </c>
      <c r="X72" s="430"/>
      <c r="Y72" s="430"/>
      <c r="Z72" s="430"/>
      <c r="AA72" s="430"/>
      <c r="AB72" s="430"/>
      <c r="AC72" s="430"/>
      <c r="AD72" s="430"/>
      <c r="AE72" s="430"/>
      <c r="AF72" s="430"/>
      <c r="AG72" s="430"/>
      <c r="AH72" s="430"/>
      <c r="AI72" s="430"/>
      <c r="AJ72" s="430"/>
      <c r="AK72" s="430"/>
      <c r="AL72" s="430"/>
      <c r="AM72" s="430"/>
      <c r="AN72" s="430"/>
      <c r="AO72" s="430"/>
      <c r="AP72" s="430"/>
      <c r="AQ72" s="430"/>
      <c r="AR72" s="430"/>
      <c r="AS72" s="430"/>
      <c r="AT72" s="430"/>
      <c r="AU72" s="430"/>
      <c r="AV72" s="430"/>
      <c r="AW72" s="430"/>
      <c r="AX72" s="430"/>
    </row>
    <row r="73" spans="1:50" ht="18.75">
      <c r="A73" s="3086" t="s">
        <v>3</v>
      </c>
      <c r="B73" s="3063">
        <f>SUM(вода!CQ22)</f>
        <v>0</v>
      </c>
      <c r="C73" s="3063">
        <f>SUM(вода!CS22)</f>
        <v>0</v>
      </c>
      <c r="D73" s="3063">
        <f>SUM(вода!CT22)</f>
        <v>0</v>
      </c>
      <c r="E73" s="3074">
        <f>SUM(B73/12)</f>
        <v>0</v>
      </c>
      <c r="F73" s="3074">
        <f t="shared" si="103"/>
        <v>0</v>
      </c>
      <c r="G73" s="3074">
        <f t="shared" si="103"/>
        <v>0</v>
      </c>
      <c r="H73" s="3072">
        <f>SUM(E73+F73+G73)</f>
        <v>0</v>
      </c>
      <c r="I73" s="3074">
        <f>SUM(E73)</f>
        <v>0</v>
      </c>
      <c r="J73" s="3074">
        <f>SUM(E73)</f>
        <v>0</v>
      </c>
      <c r="K73" s="3074">
        <f>SUM(E73)</f>
        <v>0</v>
      </c>
      <c r="L73" s="3072">
        <f>SUM(I73+J73+K73)</f>
        <v>0</v>
      </c>
      <c r="M73" s="3072">
        <f>SUM(H73+L73)</f>
        <v>0</v>
      </c>
      <c r="N73" s="3074">
        <f>SUM(E73)</f>
        <v>0</v>
      </c>
      <c r="O73" s="3074">
        <f>SUM(E73)</f>
        <v>0</v>
      </c>
      <c r="P73" s="3074">
        <f>E73</f>
        <v>0</v>
      </c>
      <c r="Q73" s="3072">
        <f>SUM(N73+O73+P73)</f>
        <v>0</v>
      </c>
      <c r="R73" s="3072">
        <f>SUM(M73+Q73)</f>
        <v>0</v>
      </c>
      <c r="S73" s="3074">
        <f>E73</f>
        <v>0</v>
      </c>
      <c r="T73" s="3074">
        <f>E73</f>
        <v>0</v>
      </c>
      <c r="U73" s="3074">
        <f>E73</f>
        <v>0</v>
      </c>
      <c r="V73" s="3072">
        <f>SUM(S73+T73+U73)</f>
        <v>0</v>
      </c>
      <c r="W73" s="3087">
        <f t="shared" si="87"/>
        <v>0</v>
      </c>
      <c r="X73" s="430"/>
      <c r="Y73" s="430"/>
      <c r="Z73" s="430"/>
      <c r="AA73" s="430"/>
      <c r="AB73" s="430"/>
      <c r="AC73" s="430"/>
      <c r="AD73" s="430"/>
      <c r="AE73" s="430"/>
      <c r="AF73" s="430"/>
      <c r="AG73" s="430"/>
      <c r="AH73" s="430"/>
      <c r="AI73" s="430"/>
      <c r="AJ73" s="430"/>
      <c r="AK73" s="430"/>
      <c r="AL73" s="430"/>
      <c r="AM73" s="430"/>
      <c r="AN73" s="430"/>
      <c r="AO73" s="430"/>
      <c r="AP73" s="430"/>
      <c r="AQ73" s="430"/>
      <c r="AR73" s="430"/>
      <c r="AS73" s="430"/>
      <c r="AT73" s="430"/>
      <c r="AU73" s="430"/>
      <c r="AV73" s="430"/>
      <c r="AW73" s="430"/>
      <c r="AX73" s="430"/>
    </row>
    <row r="74" spans="1:50" ht="18.75">
      <c r="A74" s="3086" t="s">
        <v>4</v>
      </c>
      <c r="B74" s="3063">
        <f>SUM(вода!CQ23)</f>
        <v>24551.486639107985</v>
      </c>
      <c r="C74" s="3063">
        <f>SUM(вода!CS23)</f>
        <v>24551.486639107985</v>
      </c>
      <c r="D74" s="3063">
        <f>SUM(вода!CT23)</f>
        <v>0</v>
      </c>
      <c r="E74" s="3074">
        <f>SUM((ЗП!DI26/2)/(1+(104%*100-100)/2/100)/6)</f>
        <v>2005.8404116918289</v>
      </c>
      <c r="F74" s="3074">
        <f>SUM(E74)</f>
        <v>2005.8404116918289</v>
      </c>
      <c r="G74" s="3074">
        <f>SUM(E74)</f>
        <v>2005.8404116918289</v>
      </c>
      <c r="H74" s="3072">
        <f>SUM(E74+F74+G74)</f>
        <v>6017.5212350754864</v>
      </c>
      <c r="I74" s="3074">
        <f>SUM(E74)</f>
        <v>2005.8404116918289</v>
      </c>
      <c r="J74" s="3074">
        <f>SUM(E74)</f>
        <v>2005.8404116918289</v>
      </c>
      <c r="K74" s="3074">
        <f>SUM(E74)</f>
        <v>2005.8404116918289</v>
      </c>
      <c r="L74" s="3072">
        <f>SUM(I74+J74+K74)</f>
        <v>6017.5212350754864</v>
      </c>
      <c r="M74" s="3072">
        <f>SUM(H74+L74)</f>
        <v>12035.042470150973</v>
      </c>
      <c r="N74" s="3074">
        <f>SUM(ЗП!DI26-'Произв. прогр. Вода'!M74)/6</f>
        <v>2086.0740281595022</v>
      </c>
      <c r="O74" s="3074">
        <f>SUM(N74)</f>
        <v>2086.0740281595022</v>
      </c>
      <c r="P74" s="3074">
        <f>SUM(N74)</f>
        <v>2086.0740281595022</v>
      </c>
      <c r="Q74" s="3072">
        <f>SUM(N74+O74+P74)</f>
        <v>6258.2220844785061</v>
      </c>
      <c r="R74" s="3072">
        <f>SUM(M74+Q74)</f>
        <v>18293.264554629481</v>
      </c>
      <c r="S74" s="3074">
        <f>SUM(N74)</f>
        <v>2086.0740281595022</v>
      </c>
      <c r="T74" s="3074">
        <f>SUM(N74)</f>
        <v>2086.0740281595022</v>
      </c>
      <c r="U74" s="3074">
        <f>SUM(N74)</f>
        <v>2086.0740281595022</v>
      </c>
      <c r="V74" s="3072">
        <f>SUM(S74+T74+U74)</f>
        <v>6258.2220844785061</v>
      </c>
      <c r="W74" s="3087">
        <f t="shared" si="87"/>
        <v>24551.486639107989</v>
      </c>
      <c r="X74" s="430"/>
      <c r="Y74" s="430"/>
      <c r="Z74" s="430"/>
      <c r="AA74" s="430"/>
      <c r="AB74" s="430"/>
      <c r="AC74" s="430"/>
      <c r="AD74" s="430"/>
      <c r="AE74" s="430"/>
      <c r="AF74" s="430"/>
      <c r="AG74" s="430"/>
      <c r="AH74" s="430"/>
      <c r="AI74" s="430"/>
      <c r="AJ74" s="430"/>
      <c r="AK74" s="430"/>
      <c r="AL74" s="430"/>
      <c r="AM74" s="430"/>
      <c r="AN74" s="430"/>
      <c r="AO74" s="430"/>
      <c r="AP74" s="430"/>
      <c r="AQ74" s="430"/>
      <c r="AR74" s="430"/>
      <c r="AS74" s="430"/>
      <c r="AT74" s="430"/>
      <c r="AU74" s="430"/>
      <c r="AV74" s="430"/>
      <c r="AW74" s="430"/>
      <c r="AX74" s="430"/>
    </row>
    <row r="75" spans="1:50" ht="18.75">
      <c r="A75" s="3086" t="s">
        <v>5</v>
      </c>
      <c r="B75" s="3063">
        <f>SUM(вода!CQ24)</f>
        <v>7321.2533157820017</v>
      </c>
      <c r="C75" s="3063">
        <f>SUM(вода!CS24)</f>
        <v>7321.2533157820017</v>
      </c>
      <c r="D75" s="3063">
        <f>SUM(вода!CT24)</f>
        <v>0</v>
      </c>
      <c r="E75" s="3074">
        <f>SUM(E74*E76)</f>
        <v>598.14161076650339</v>
      </c>
      <c r="F75" s="3074">
        <f>SUM(F74*F76)</f>
        <v>598.14161076650339</v>
      </c>
      <c r="G75" s="3074">
        <f>SUM(G74*G76)</f>
        <v>598.14161076650339</v>
      </c>
      <c r="H75" s="3072">
        <f t="shared" ref="H75" si="106">SUM(E75+F75+G75)</f>
        <v>1794.4248322995102</v>
      </c>
      <c r="I75" s="3074">
        <f>SUM(I74*I76)</f>
        <v>598.14161076650339</v>
      </c>
      <c r="J75" s="3074">
        <f>SUM(J74*J76)</f>
        <v>598.14161076650339</v>
      </c>
      <c r="K75" s="3074">
        <f>SUM(K74*K76)</f>
        <v>598.14161076650339</v>
      </c>
      <c r="L75" s="3072">
        <f t="shared" ref="L75" si="107">SUM(I75+J75+K75)</f>
        <v>1794.4248322995102</v>
      </c>
      <c r="M75" s="3072">
        <f t="shared" ref="M75" si="108">SUM(H75+L75)</f>
        <v>3588.8496645990203</v>
      </c>
      <c r="N75" s="3074">
        <f>SUM(N74*N76)</f>
        <v>622.06727519716355</v>
      </c>
      <c r="O75" s="3074">
        <f>SUM(O74*O76)</f>
        <v>622.06727519716355</v>
      </c>
      <c r="P75" s="3074">
        <f>SUM(P74*P76)</f>
        <v>622.06727519716355</v>
      </c>
      <c r="Q75" s="3072">
        <f t="shared" ref="Q75" si="109">SUM(N75+O75+P75)</f>
        <v>1866.2018255914907</v>
      </c>
      <c r="R75" s="3072">
        <f t="shared" ref="R75" si="110">SUM(M75+Q75)</f>
        <v>5455.0514901905108</v>
      </c>
      <c r="S75" s="3074">
        <f>SUM(S74*S76)</f>
        <v>622.06727519716355</v>
      </c>
      <c r="T75" s="3074">
        <f>SUM(T74*T76)</f>
        <v>622.06727519716355</v>
      </c>
      <c r="U75" s="3074">
        <f>SUM(U74*U76)</f>
        <v>622.06727519716355</v>
      </c>
      <c r="V75" s="3072">
        <f t="shared" ref="V75" si="111">SUM(S75+T75+U75)</f>
        <v>1866.2018255914907</v>
      </c>
      <c r="W75" s="3087">
        <f t="shared" si="87"/>
        <v>7321.2533157820008</v>
      </c>
      <c r="X75" s="430"/>
      <c r="Y75" s="430"/>
      <c r="Z75" s="430"/>
      <c r="AA75" s="430"/>
      <c r="AB75" s="430"/>
      <c r="AC75" s="430"/>
      <c r="AD75" s="430"/>
      <c r="AE75" s="430"/>
      <c r="AF75" s="430"/>
      <c r="AG75" s="430"/>
      <c r="AH75" s="430"/>
      <c r="AI75" s="430"/>
      <c r="AJ75" s="430"/>
      <c r="AK75" s="430"/>
      <c r="AL75" s="430"/>
      <c r="AM75" s="430"/>
      <c r="AN75" s="430"/>
      <c r="AO75" s="430"/>
      <c r="AP75" s="430"/>
      <c r="AQ75" s="430"/>
      <c r="AR75" s="430"/>
      <c r="AS75" s="430"/>
      <c r="AT75" s="430"/>
      <c r="AU75" s="430"/>
      <c r="AV75" s="430"/>
      <c r="AW75" s="430"/>
      <c r="AX75" s="430"/>
    </row>
    <row r="76" spans="1:50" ht="18.75">
      <c r="A76" s="3088" t="str">
        <f>A51</f>
        <v>то же в %</v>
      </c>
      <c r="B76" s="3068">
        <f>SUM(B75/B74)</f>
        <v>0.29820000000000002</v>
      </c>
      <c r="C76" s="3068">
        <f>SUM(C75/C74)</f>
        <v>0.29820000000000002</v>
      </c>
      <c r="D76" s="3068">
        <v>0</v>
      </c>
      <c r="E76" s="3069">
        <f>SUM(B76)</f>
        <v>0.29820000000000002</v>
      </c>
      <c r="F76" s="3069">
        <f>SUM(E76)</f>
        <v>0.29820000000000002</v>
      </c>
      <c r="G76" s="3069">
        <f>SUM(E76)</f>
        <v>0.29820000000000002</v>
      </c>
      <c r="H76" s="3068">
        <f>SUM(H75/H74)</f>
        <v>0.29820000000000002</v>
      </c>
      <c r="I76" s="3069">
        <f>SUM(E76)</f>
        <v>0.29820000000000002</v>
      </c>
      <c r="J76" s="3069">
        <f>SUM(E76)</f>
        <v>0.29820000000000002</v>
      </c>
      <c r="K76" s="3069">
        <f>SUM(E76)</f>
        <v>0.29820000000000002</v>
      </c>
      <c r="L76" s="3068">
        <f>SUM(L75/L74)</f>
        <v>0.29820000000000002</v>
      </c>
      <c r="M76" s="3068">
        <f>SUM(M75/M74)</f>
        <v>0.29820000000000002</v>
      </c>
      <c r="N76" s="3069">
        <f>SUM(E76)</f>
        <v>0.29820000000000002</v>
      </c>
      <c r="O76" s="3069">
        <f>SUM(E76)</f>
        <v>0.29820000000000002</v>
      </c>
      <c r="P76" s="3069">
        <f>SUM(E76)</f>
        <v>0.29820000000000002</v>
      </c>
      <c r="Q76" s="3068">
        <f>SUM(Q75/Q74)</f>
        <v>0.29820000000000002</v>
      </c>
      <c r="R76" s="3068">
        <f>SUM(R75/R74)</f>
        <v>0.29819999999999997</v>
      </c>
      <c r="S76" s="3069">
        <f>SUM(E76)</f>
        <v>0.29820000000000002</v>
      </c>
      <c r="T76" s="3069">
        <f>SUM(E76)</f>
        <v>0.29820000000000002</v>
      </c>
      <c r="U76" s="3069">
        <f>SUM(E76)</f>
        <v>0.29820000000000002</v>
      </c>
      <c r="V76" s="3068">
        <f>SUM(V75/V74)</f>
        <v>0.29820000000000002</v>
      </c>
      <c r="W76" s="3089">
        <f>SUM(W75/W74)</f>
        <v>0.29819999999999997</v>
      </c>
      <c r="X76" s="430"/>
      <c r="Y76" s="430"/>
      <c r="Z76" s="430"/>
      <c r="AA76" s="430"/>
      <c r="AB76" s="430"/>
      <c r="AC76" s="430"/>
      <c r="AD76" s="430"/>
      <c r="AE76" s="430"/>
      <c r="AF76" s="430"/>
      <c r="AG76" s="430"/>
      <c r="AH76" s="430"/>
      <c r="AI76" s="430"/>
      <c r="AJ76" s="430"/>
      <c r="AK76" s="430"/>
      <c r="AL76" s="430"/>
      <c r="AM76" s="430"/>
      <c r="AN76" s="430"/>
      <c r="AO76" s="430"/>
      <c r="AP76" s="430"/>
      <c r="AQ76" s="430"/>
      <c r="AR76" s="430"/>
      <c r="AS76" s="430"/>
      <c r="AT76" s="430"/>
      <c r="AU76" s="430"/>
      <c r="AV76" s="430"/>
      <c r="AW76" s="430"/>
      <c r="AX76" s="430"/>
    </row>
    <row r="77" spans="1:50" ht="18.75">
      <c r="A77" s="3090" t="s">
        <v>1723</v>
      </c>
      <c r="B77" s="3060">
        <f>SUM('цех вода (с разбивкой)'!B21)</f>
        <v>13162.699803128975</v>
      </c>
      <c r="C77" s="3060">
        <f>SUM('цех вода (с разбивкой)'!C21)</f>
        <v>13162.699803128975</v>
      </c>
      <c r="D77" s="3060">
        <f>SUM('цех вода (с разбивкой)'!D21)</f>
        <v>0</v>
      </c>
      <c r="E77" s="3073">
        <f>SUM('цех вода (с разбивкой)'!E21)</f>
        <v>1497.5716980386871</v>
      </c>
      <c r="F77" s="3073">
        <f>SUM('цех вода (с разбивкой)'!F21)</f>
        <v>1379.621030969105</v>
      </c>
      <c r="G77" s="3073">
        <f>SUM('цех вода (с разбивкой)'!G21)</f>
        <v>1328.5394944954505</v>
      </c>
      <c r="H77" s="3060">
        <f>SUM('цех вода (с разбивкой)'!H21)</f>
        <v>4205.7322235032425</v>
      </c>
      <c r="I77" s="3073">
        <f>SUM('цех вода (с разбивкой)'!I21)</f>
        <v>1150.5621519277927</v>
      </c>
      <c r="J77" s="3073">
        <f>SUM('цех вода (с разбивкой)'!J21)</f>
        <v>793.6574196287977</v>
      </c>
      <c r="K77" s="3073">
        <f>SUM('цех вода (с разбивкой)'!K21)</f>
        <v>685.91064140179344</v>
      </c>
      <c r="L77" s="3060">
        <f>SUM('цех вода (с разбивкой)'!L21)</f>
        <v>2630.1302129583837</v>
      </c>
      <c r="M77" s="3060">
        <f>SUM('цех вода (с разбивкой)'!M21)</f>
        <v>6835.8624364616262</v>
      </c>
      <c r="N77" s="3073">
        <f>SUM('цех вода (с разбивкой)'!N21)</f>
        <v>705.83079340463087</v>
      </c>
      <c r="O77" s="3073">
        <f>SUM('цех вода (с разбивкой)'!O21)</f>
        <v>704.85030389629583</v>
      </c>
      <c r="P77" s="3073">
        <f>SUM('цех вода (с разбивкой)'!P21)</f>
        <v>905.0174755995464</v>
      </c>
      <c r="Q77" s="3060">
        <f>SUM('цех вода (с разбивкой)'!Q21)</f>
        <v>2315.6985729004732</v>
      </c>
      <c r="R77" s="3060">
        <f>SUM('цех вода (с разбивкой)'!R21)</f>
        <v>9151.5610093620999</v>
      </c>
      <c r="S77" s="3073">
        <f>SUM('цех вода (с разбивкой)'!S21)</f>
        <v>1197.6804409450415</v>
      </c>
      <c r="T77" s="3073">
        <f>SUM('цех вода (с разбивкой)'!T21)</f>
        <v>1326.4232518348545</v>
      </c>
      <c r="U77" s="3073">
        <f>SUM('цех вода (с разбивкой)'!U21)</f>
        <v>1487.0351009869801</v>
      </c>
      <c r="V77" s="3060">
        <f>SUM('цех вода (с разбивкой)'!V21)</f>
        <v>4011.138793766876</v>
      </c>
      <c r="W77" s="3087">
        <f>SUM(E77+F77+G77+I77+J77+K77+N77+O77+P77+S77+T77+U77)</f>
        <v>13162.699803128977</v>
      </c>
      <c r="X77" s="430"/>
      <c r="Y77" s="430"/>
      <c r="Z77" s="430"/>
      <c r="AA77" s="430"/>
      <c r="AB77" s="430"/>
      <c r="AC77" s="430"/>
      <c r="AD77" s="430"/>
      <c r="AE77" s="430"/>
      <c r="AF77" s="430"/>
      <c r="AG77" s="430"/>
      <c r="AH77" s="430"/>
      <c r="AI77" s="430"/>
      <c r="AJ77" s="430"/>
      <c r="AK77" s="430"/>
      <c r="AL77" s="430"/>
      <c r="AM77" s="430"/>
      <c r="AN77" s="430"/>
      <c r="AO77" s="430"/>
      <c r="AP77" s="430"/>
      <c r="AQ77" s="430"/>
      <c r="AR77" s="430"/>
      <c r="AS77" s="430"/>
      <c r="AT77" s="430"/>
      <c r="AU77" s="430"/>
      <c r="AV77" s="430"/>
      <c r="AW77" s="430"/>
      <c r="AX77" s="430"/>
    </row>
    <row r="78" spans="1:50" ht="18.75">
      <c r="A78" s="3091" t="s">
        <v>72</v>
      </c>
      <c r="B78" s="3063">
        <f>SUM('цех вода (с разбивкой)'!B22)</f>
        <v>4451.6250734182195</v>
      </c>
      <c r="C78" s="3063">
        <f>SUM('цех вода (с разбивкой)'!C22)</f>
        <v>4451.6250734182195</v>
      </c>
      <c r="D78" s="3063">
        <f>SUM('цех вода (с разбивкой)'!D22)</f>
        <v>0</v>
      </c>
      <c r="E78" s="3092">
        <f>SUM('цех вода (с разбивкой)'!E22)</f>
        <v>363.69485893939697</v>
      </c>
      <c r="F78" s="3092">
        <f>SUM('цех вода (с разбивкой)'!F22)</f>
        <v>363.69485893939697</v>
      </c>
      <c r="G78" s="3092">
        <f>SUM('цех вода (с разбивкой)'!G22)</f>
        <v>363.69485893939697</v>
      </c>
      <c r="H78" s="3063">
        <f>SUM('цех вода (с разбивкой)'!H22)</f>
        <v>1091.084576818191</v>
      </c>
      <c r="I78" s="3092">
        <f>SUM('цех вода (с разбивкой)'!I22)</f>
        <v>363.69485893939697</v>
      </c>
      <c r="J78" s="3092">
        <f>SUM('цех вода (с разбивкой)'!J22)</f>
        <v>363.69485893939697</v>
      </c>
      <c r="K78" s="3092">
        <f>SUM('цех вода (с разбивкой)'!K22)</f>
        <v>363.69485893939697</v>
      </c>
      <c r="L78" s="3063">
        <f>SUM('цех вода (с разбивкой)'!L22)</f>
        <v>1091.084576818191</v>
      </c>
      <c r="M78" s="3063">
        <f>SUM('цех вода (с разбивкой)'!M22)</f>
        <v>2182.1691536363819</v>
      </c>
      <c r="N78" s="3092">
        <f>SUM('цех вода (с разбивкой)'!N22)</f>
        <v>378.24265329697295</v>
      </c>
      <c r="O78" s="3092">
        <f>SUM('цех вода (с разбивкой)'!O22)</f>
        <v>378.24265329697295</v>
      </c>
      <c r="P78" s="3092">
        <f>SUM('цех вода (с разбивкой)'!P22)</f>
        <v>378.24265329697295</v>
      </c>
      <c r="Q78" s="3063">
        <f>SUM('цех вода (с разбивкой)'!Q22)</f>
        <v>1134.7279598909188</v>
      </c>
      <c r="R78" s="3063">
        <f>SUM('цех вода (с разбивкой)'!R22)</f>
        <v>3316.8971135273005</v>
      </c>
      <c r="S78" s="3092">
        <f>SUM('цех вода (с разбивкой)'!S22)</f>
        <v>378.24265329697295</v>
      </c>
      <c r="T78" s="3092">
        <f>SUM('цех вода (с разбивкой)'!T22)</f>
        <v>378.24265329697295</v>
      </c>
      <c r="U78" s="3092">
        <f>SUM('цех вода (с разбивкой)'!U22)</f>
        <v>378.24265329697295</v>
      </c>
      <c r="V78" s="3063">
        <f>SUM('цех вода (с разбивкой)'!V22)</f>
        <v>1134.7279598909188</v>
      </c>
      <c r="W78" s="3087">
        <f t="shared" ref="W78:W105" si="112">SUM(E78+F78+G78+I78+J78+K78+N78+O78+P78+S78+T78+U78)</f>
        <v>4451.6250734182195</v>
      </c>
      <c r="X78" s="430"/>
      <c r="Y78" s="430"/>
      <c r="Z78" s="430"/>
      <c r="AA78" s="430"/>
      <c r="AB78" s="430"/>
      <c r="AC78" s="430"/>
      <c r="AD78" s="430"/>
      <c r="AE78" s="430"/>
      <c r="AF78" s="430"/>
      <c r="AG78" s="430"/>
      <c r="AH78" s="430"/>
      <c r="AI78" s="430"/>
      <c r="AJ78" s="430"/>
      <c r="AK78" s="430"/>
      <c r="AL78" s="430"/>
      <c r="AM78" s="430"/>
      <c r="AN78" s="430"/>
      <c r="AO78" s="430"/>
      <c r="AP78" s="430"/>
      <c r="AQ78" s="430"/>
      <c r="AR78" s="430"/>
      <c r="AS78" s="430"/>
      <c r="AT78" s="430"/>
      <c r="AU78" s="430"/>
      <c r="AV78" s="430"/>
      <c r="AW78" s="430"/>
      <c r="AX78" s="430"/>
    </row>
    <row r="79" spans="1:50" ht="18.75">
      <c r="A79" s="3091" t="s">
        <v>121</v>
      </c>
      <c r="B79" s="3063">
        <f>SUM('цех вода (с разбивкой)'!B23)</f>
        <v>1343.9116498994686</v>
      </c>
      <c r="C79" s="3063">
        <f>SUM('цех вода (с разбивкой)'!C23)</f>
        <v>1343.9116498994686</v>
      </c>
      <c r="D79" s="3063">
        <f>SUM('цех вода (с разбивкой)'!D23)</f>
        <v>0</v>
      </c>
      <c r="E79" s="3092">
        <f>SUM('цех вода (с разбивкой)'!E23)</f>
        <v>109.79670342315917</v>
      </c>
      <c r="F79" s="3092">
        <f>SUM('цех вода (с разбивкой)'!F23)</f>
        <v>109.79670342315917</v>
      </c>
      <c r="G79" s="3092">
        <f>SUM('цех вода (с разбивкой)'!G23)</f>
        <v>109.79670342315917</v>
      </c>
      <c r="H79" s="3063">
        <f>SUM('цех вода (с разбивкой)'!H23)</f>
        <v>329.39011026947753</v>
      </c>
      <c r="I79" s="3092">
        <f>SUM('цех вода (с разбивкой)'!I23)</f>
        <v>109.79670342315917</v>
      </c>
      <c r="J79" s="3092">
        <f>SUM('цех вода (с разбивкой)'!J23)</f>
        <v>109.79670342315917</v>
      </c>
      <c r="K79" s="3092">
        <f>SUM('цех вода (с разбивкой)'!K23)</f>
        <v>109.79670342315917</v>
      </c>
      <c r="L79" s="3063">
        <f>SUM('цех вода (с разбивкой)'!L23)</f>
        <v>329.39011026947753</v>
      </c>
      <c r="M79" s="3063">
        <f>SUM('цех вода (с разбивкой)'!M23)</f>
        <v>658.78022053895506</v>
      </c>
      <c r="N79" s="3092">
        <f>SUM('цех вода (с разбивкой)'!N23)</f>
        <v>114.18857156008558</v>
      </c>
      <c r="O79" s="3092">
        <f>SUM('цех вода (с разбивкой)'!O23)</f>
        <v>114.18857156008558</v>
      </c>
      <c r="P79" s="3092">
        <f>SUM('цех вода (с разбивкой)'!P23)</f>
        <v>114.18857156008558</v>
      </c>
      <c r="Q79" s="3063">
        <f>SUM('цех вода (с разбивкой)'!Q23)</f>
        <v>342.56571468025675</v>
      </c>
      <c r="R79" s="3063">
        <f>SUM('цех вода (с разбивкой)'!R23)</f>
        <v>1001.3459352192118</v>
      </c>
      <c r="S79" s="3092">
        <f>SUM('цех вода (с разбивкой)'!S23)</f>
        <v>114.18857156008558</v>
      </c>
      <c r="T79" s="3092">
        <f>SUM('цех вода (с разбивкой)'!T23)</f>
        <v>114.18857156008558</v>
      </c>
      <c r="U79" s="3092">
        <f>SUM('цех вода (с разбивкой)'!U23)</f>
        <v>114.18857156008558</v>
      </c>
      <c r="V79" s="3063">
        <f>SUM('цех вода (с разбивкой)'!V23)</f>
        <v>342.56571468025675</v>
      </c>
      <c r="W79" s="3087">
        <f t="shared" si="112"/>
        <v>1343.9116498994688</v>
      </c>
      <c r="X79" s="430"/>
      <c r="Y79" s="430"/>
      <c r="Z79" s="430"/>
      <c r="AA79" s="430"/>
      <c r="AB79" s="430"/>
      <c r="AC79" s="430"/>
      <c r="AD79" s="430"/>
      <c r="AE79" s="430"/>
      <c r="AF79" s="430"/>
      <c r="AG79" s="430"/>
      <c r="AH79" s="430"/>
      <c r="AI79" s="430"/>
      <c r="AJ79" s="430"/>
      <c r="AK79" s="430"/>
      <c r="AL79" s="430"/>
      <c r="AM79" s="430"/>
      <c r="AN79" s="430"/>
      <c r="AO79" s="430"/>
      <c r="AP79" s="430"/>
      <c r="AQ79" s="430"/>
      <c r="AR79" s="430"/>
      <c r="AS79" s="430"/>
      <c r="AT79" s="430"/>
      <c r="AU79" s="430"/>
      <c r="AV79" s="430"/>
      <c r="AW79" s="430"/>
      <c r="AX79" s="430"/>
    </row>
    <row r="80" spans="1:50" ht="18.75">
      <c r="A80" s="3091" t="s">
        <v>52</v>
      </c>
      <c r="B80" s="3063">
        <f>SUM('цех вода (с разбивкой)'!B24)</f>
        <v>103.98532844471892</v>
      </c>
      <c r="C80" s="3063">
        <f>SUM('цех вода (с разбивкой)'!C24)</f>
        <v>103.98532844471892</v>
      </c>
      <c r="D80" s="3063">
        <f>SUM('цех вода (с разбивкой)'!D24)</f>
        <v>0</v>
      </c>
      <c r="E80" s="3092">
        <f>SUM('цех вода (с разбивкой)'!E24)</f>
        <v>8.6654440370599097</v>
      </c>
      <c r="F80" s="3092">
        <f>SUM('цех вода (с разбивкой)'!F24)</f>
        <v>8.6654440370599097</v>
      </c>
      <c r="G80" s="3092">
        <f>SUM('цех вода (с разбивкой)'!G24)</f>
        <v>8.6654440370599097</v>
      </c>
      <c r="H80" s="3063">
        <f>SUM('цех вода (с разбивкой)'!H24)</f>
        <v>25.996332111179729</v>
      </c>
      <c r="I80" s="3092">
        <f>SUM('цех вода (с разбивкой)'!I24)</f>
        <v>8.6654440370599097</v>
      </c>
      <c r="J80" s="3092">
        <f>SUM('цех вода (с разбивкой)'!J24)</f>
        <v>8.6654440370599097</v>
      </c>
      <c r="K80" s="3092">
        <f>SUM('цех вода (с разбивкой)'!K24)</f>
        <v>8.6654440370599097</v>
      </c>
      <c r="L80" s="3063">
        <f>SUM('цех вода (с разбивкой)'!L24)</f>
        <v>25.996332111179729</v>
      </c>
      <c r="M80" s="3063">
        <f>SUM('цех вода (с разбивкой)'!M24)</f>
        <v>51.992664222359458</v>
      </c>
      <c r="N80" s="3092">
        <f>SUM('цех вода (с разбивкой)'!N24)</f>
        <v>8.6654440370599097</v>
      </c>
      <c r="O80" s="3092">
        <f>SUM('цех вода (с разбивкой)'!O24)</f>
        <v>8.6654440370599097</v>
      </c>
      <c r="P80" s="3092">
        <f>SUM('цех вода (с разбивкой)'!P24)</f>
        <v>8.6654440370599097</v>
      </c>
      <c r="Q80" s="3063">
        <f>SUM('цех вода (с разбивкой)'!Q24)</f>
        <v>25.996332111179729</v>
      </c>
      <c r="R80" s="3063">
        <f>SUM('цех вода (с разбивкой)'!R24)</f>
        <v>77.988996333539191</v>
      </c>
      <c r="S80" s="3092">
        <f>SUM('цех вода (с разбивкой)'!S24)</f>
        <v>8.6654440370599097</v>
      </c>
      <c r="T80" s="3092">
        <f>SUM('цех вода (с разбивкой)'!T24)</f>
        <v>8.6654440370599097</v>
      </c>
      <c r="U80" s="3092">
        <f>SUM('цех вода (с разбивкой)'!U24)</f>
        <v>8.6654440370599097</v>
      </c>
      <c r="V80" s="3063">
        <f>SUM('цех вода (с разбивкой)'!V24)</f>
        <v>25.996332111179729</v>
      </c>
      <c r="W80" s="3087">
        <f t="shared" si="112"/>
        <v>103.98532844471895</v>
      </c>
      <c r="X80" s="430"/>
      <c r="Y80" s="430"/>
      <c r="Z80" s="430"/>
      <c r="AA80" s="430"/>
      <c r="AB80" s="430"/>
      <c r="AC80" s="430"/>
      <c r="AD80" s="430"/>
      <c r="AE80" s="430"/>
      <c r="AF80" s="430"/>
      <c r="AG80" s="430"/>
      <c r="AH80" s="430"/>
      <c r="AI80" s="430"/>
      <c r="AJ80" s="430"/>
      <c r="AK80" s="430"/>
      <c r="AL80" s="430"/>
      <c r="AM80" s="430"/>
      <c r="AN80" s="430"/>
      <c r="AO80" s="430"/>
      <c r="AP80" s="430"/>
      <c r="AQ80" s="430"/>
      <c r="AR80" s="430"/>
      <c r="AS80" s="430"/>
      <c r="AT80" s="430"/>
      <c r="AU80" s="430"/>
      <c r="AV80" s="430"/>
      <c r="AW80" s="430"/>
      <c r="AX80" s="430"/>
    </row>
    <row r="81" spans="1:50" ht="18.75">
      <c r="A81" s="3091" t="s">
        <v>1556</v>
      </c>
      <c r="B81" s="3063">
        <f>SUM('цех вода (с разбивкой)'!B25)</f>
        <v>22.376589665319258</v>
      </c>
      <c r="C81" s="3063">
        <f>SUM('цех вода (с разбивкой)'!C25)</f>
        <v>22.376589665319258</v>
      </c>
      <c r="D81" s="3063">
        <f>SUM('цех вода (с разбивкой)'!D25)</f>
        <v>0</v>
      </c>
      <c r="E81" s="3092">
        <f>SUM('цех вода (с разбивкой)'!E25)</f>
        <v>1.8647158054432715</v>
      </c>
      <c r="F81" s="3092">
        <f>SUM('цех вода (с разбивкой)'!F25)</f>
        <v>1.8647158054432715</v>
      </c>
      <c r="G81" s="3092">
        <f>SUM('цех вода (с разбивкой)'!G25)</f>
        <v>1.8647158054432715</v>
      </c>
      <c r="H81" s="3063">
        <f>SUM('цех вода (с разбивкой)'!H25)</f>
        <v>5.5941474163298146</v>
      </c>
      <c r="I81" s="3092">
        <f>SUM('цех вода (с разбивкой)'!I25)</f>
        <v>1.8647158054432715</v>
      </c>
      <c r="J81" s="3092">
        <f>SUM('цех вода (с разбивкой)'!J25)</f>
        <v>1.8647158054432715</v>
      </c>
      <c r="K81" s="3092">
        <f>SUM('цех вода (с разбивкой)'!K25)</f>
        <v>1.8647158054432715</v>
      </c>
      <c r="L81" s="3063">
        <f>SUM('цех вода (с разбивкой)'!L25)</f>
        <v>5.5941474163298146</v>
      </c>
      <c r="M81" s="3063">
        <f>SUM('цех вода (с разбивкой)'!M25)</f>
        <v>11.188294832659629</v>
      </c>
      <c r="N81" s="3092">
        <f>SUM('цех вода (с разбивкой)'!N25)</f>
        <v>1.8647158054432715</v>
      </c>
      <c r="O81" s="3092">
        <f>SUM('цех вода (с разбивкой)'!O25)</f>
        <v>1.8647158054432715</v>
      </c>
      <c r="P81" s="3092">
        <f>SUM('цех вода (с разбивкой)'!P25)</f>
        <v>1.8647158054432715</v>
      </c>
      <c r="Q81" s="3063">
        <f>SUM('цех вода (с разбивкой)'!Q25)</f>
        <v>5.5941474163298146</v>
      </c>
      <c r="R81" s="3063">
        <f>SUM('цех вода (с разбивкой)'!R25)</f>
        <v>16.782442248989444</v>
      </c>
      <c r="S81" s="3092">
        <f>SUM('цех вода (с разбивкой)'!S25)</f>
        <v>1.8647158054432715</v>
      </c>
      <c r="T81" s="3092">
        <f>SUM('цех вода (с разбивкой)'!T25)</f>
        <v>1.8647158054432715</v>
      </c>
      <c r="U81" s="3092">
        <f>SUM('цех вода (с разбивкой)'!U25)</f>
        <v>1.8647158054432715</v>
      </c>
      <c r="V81" s="3063">
        <f>SUM('цех вода (с разбивкой)'!V25)</f>
        <v>5.5941474163298146</v>
      </c>
      <c r="W81" s="3087">
        <f t="shared" si="112"/>
        <v>22.376589665319258</v>
      </c>
      <c r="X81" s="430"/>
      <c r="Y81" s="430"/>
      <c r="Z81" s="430"/>
      <c r="AA81" s="430"/>
      <c r="AB81" s="430"/>
      <c r="AC81" s="430"/>
      <c r="AD81" s="430"/>
      <c r="AE81" s="430"/>
      <c r="AF81" s="430"/>
      <c r="AG81" s="430"/>
      <c r="AH81" s="430"/>
      <c r="AI81" s="430"/>
      <c r="AJ81" s="430"/>
      <c r="AK81" s="430"/>
      <c r="AL81" s="430"/>
      <c r="AM81" s="430"/>
      <c r="AN81" s="430"/>
      <c r="AO81" s="430"/>
      <c r="AP81" s="430"/>
      <c r="AQ81" s="430"/>
      <c r="AR81" s="430"/>
      <c r="AS81" s="430"/>
      <c r="AT81" s="430"/>
      <c r="AU81" s="430"/>
      <c r="AV81" s="430"/>
      <c r="AW81" s="430"/>
      <c r="AX81" s="430"/>
    </row>
    <row r="82" spans="1:50" ht="18.75">
      <c r="A82" s="3091" t="s">
        <v>605</v>
      </c>
      <c r="B82" s="3063">
        <f>SUM('цех вода (с разбивкой)'!B26)</f>
        <v>562.04728159360718</v>
      </c>
      <c r="C82" s="3063">
        <f>SUM('цех вода (с разбивкой)'!C26)</f>
        <v>562.04728159360718</v>
      </c>
      <c r="D82" s="3063">
        <f>SUM('цех вода (с разбивкой)'!D26)</f>
        <v>0</v>
      </c>
      <c r="E82" s="3092">
        <f>SUM('цех вода (с разбивкой)'!E26)</f>
        <v>46.837273466133929</v>
      </c>
      <c r="F82" s="3092">
        <f>SUM('цех вода (с разбивкой)'!F26)</f>
        <v>46.837273466133929</v>
      </c>
      <c r="G82" s="3092">
        <f>SUM('цех вода (с разбивкой)'!G26)</f>
        <v>46.837273466133929</v>
      </c>
      <c r="H82" s="3063">
        <f>SUM('цех вода (с разбивкой)'!H26)</f>
        <v>140.5118203984018</v>
      </c>
      <c r="I82" s="3092">
        <f>SUM('цех вода (с разбивкой)'!I26)</f>
        <v>46.837273466133929</v>
      </c>
      <c r="J82" s="3092">
        <f>SUM('цех вода (с разбивкой)'!J26)</f>
        <v>46.837273466133929</v>
      </c>
      <c r="K82" s="3092">
        <f>SUM('цех вода (с разбивкой)'!K26)</f>
        <v>46.837273466133929</v>
      </c>
      <c r="L82" s="3063">
        <f>SUM('цех вода (с разбивкой)'!L26)</f>
        <v>140.5118203984018</v>
      </c>
      <c r="M82" s="3063">
        <f>SUM('цех вода (с разбивкой)'!M26)</f>
        <v>281.02364079680359</v>
      </c>
      <c r="N82" s="3092">
        <f>SUM('цех вода (с разбивкой)'!N26)</f>
        <v>46.837273466133929</v>
      </c>
      <c r="O82" s="3092">
        <f>SUM('цех вода (с разбивкой)'!O26)</f>
        <v>46.837273466133929</v>
      </c>
      <c r="P82" s="3092">
        <f>SUM('цех вода (с разбивкой)'!P26)</f>
        <v>46.837273466133929</v>
      </c>
      <c r="Q82" s="3063">
        <f>SUM('цех вода (с разбивкой)'!Q26)</f>
        <v>140.5118203984018</v>
      </c>
      <c r="R82" s="3063">
        <f>SUM('цех вода (с разбивкой)'!R26)</f>
        <v>421.53546119520536</v>
      </c>
      <c r="S82" s="3092">
        <f>SUM('цех вода (с разбивкой)'!S26)</f>
        <v>46.837273466133929</v>
      </c>
      <c r="T82" s="3092">
        <f>SUM('цех вода (с разбивкой)'!T26)</f>
        <v>46.837273466133929</v>
      </c>
      <c r="U82" s="3092">
        <f>SUM('цех вода (с разбивкой)'!U26)</f>
        <v>46.837273466133929</v>
      </c>
      <c r="V82" s="3063">
        <f>SUM('цех вода (с разбивкой)'!V26)</f>
        <v>140.5118203984018</v>
      </c>
      <c r="W82" s="3087">
        <f t="shared" si="112"/>
        <v>562.04728159360718</v>
      </c>
      <c r="X82" s="430"/>
      <c r="Y82" s="430"/>
      <c r="Z82" s="430"/>
      <c r="AA82" s="430"/>
      <c r="AB82" s="430"/>
      <c r="AC82" s="430"/>
      <c r="AD82" s="430"/>
      <c r="AE82" s="430"/>
      <c r="AF82" s="430"/>
      <c r="AG82" s="430"/>
      <c r="AH82" s="430"/>
      <c r="AI82" s="430"/>
      <c r="AJ82" s="430"/>
      <c r="AK82" s="430"/>
      <c r="AL82" s="430"/>
      <c r="AM82" s="430"/>
      <c r="AN82" s="430"/>
      <c r="AO82" s="430"/>
      <c r="AP82" s="430"/>
      <c r="AQ82" s="430"/>
      <c r="AR82" s="430"/>
      <c r="AS82" s="430"/>
      <c r="AT82" s="430"/>
      <c r="AU82" s="430"/>
      <c r="AV82" s="430"/>
      <c r="AW82" s="430"/>
      <c r="AX82" s="430"/>
    </row>
    <row r="83" spans="1:50" ht="18.75">
      <c r="A83" s="3091" t="s">
        <v>1557</v>
      </c>
      <c r="B83" s="3063">
        <f>SUM('цех вода (с разбивкой)'!B27)</f>
        <v>463.32703307013992</v>
      </c>
      <c r="C83" s="3063">
        <f>SUM('цех вода (с разбивкой)'!C27)</f>
        <v>463.32703307013992</v>
      </c>
      <c r="D83" s="3063">
        <f>SUM('цех вода (с разбивкой)'!D27)</f>
        <v>0</v>
      </c>
      <c r="E83" s="3092">
        <f>SUM('цех вода (с разбивкой)'!E27)</f>
        <v>38.610586089178327</v>
      </c>
      <c r="F83" s="3092">
        <f>SUM('цех вода (с разбивкой)'!F27)</f>
        <v>38.610586089178327</v>
      </c>
      <c r="G83" s="3092">
        <f>SUM('цех вода (с разбивкой)'!G27)</f>
        <v>38.610586089178327</v>
      </c>
      <c r="H83" s="3063">
        <f>SUM('цех вода (с разбивкой)'!H27)</f>
        <v>115.83175826753498</v>
      </c>
      <c r="I83" s="3092">
        <f>SUM('цех вода (с разбивкой)'!I27)</f>
        <v>38.610586089178327</v>
      </c>
      <c r="J83" s="3092">
        <f>SUM('цех вода (с разбивкой)'!J27)</f>
        <v>38.610586089178327</v>
      </c>
      <c r="K83" s="3092">
        <f>SUM('цех вода (с разбивкой)'!K27)</f>
        <v>38.610586089178327</v>
      </c>
      <c r="L83" s="3063">
        <f>SUM('цех вода (с разбивкой)'!L27)</f>
        <v>115.83175826753498</v>
      </c>
      <c r="M83" s="3063">
        <f>SUM('цех вода (с разбивкой)'!M27)</f>
        <v>231.66351653506996</v>
      </c>
      <c r="N83" s="3092">
        <f>SUM('цех вода (с разбивкой)'!N27)</f>
        <v>38.610586089178327</v>
      </c>
      <c r="O83" s="3092">
        <f>SUM('цех вода (с разбивкой)'!O27)</f>
        <v>38.610586089178327</v>
      </c>
      <c r="P83" s="3092">
        <f>SUM('цех вода (с разбивкой)'!P27)</f>
        <v>38.610586089178327</v>
      </c>
      <c r="Q83" s="3063">
        <f>SUM('цех вода (с разбивкой)'!Q27)</f>
        <v>115.83175826753498</v>
      </c>
      <c r="R83" s="3063">
        <f>SUM('цех вода (с разбивкой)'!R27)</f>
        <v>347.49527480260497</v>
      </c>
      <c r="S83" s="3092">
        <f>SUM('цех вода (с разбивкой)'!S27)</f>
        <v>38.610586089178327</v>
      </c>
      <c r="T83" s="3092">
        <f>SUM('цех вода (с разбивкой)'!T27)</f>
        <v>38.610586089178327</v>
      </c>
      <c r="U83" s="3092">
        <f>SUM('цех вода (с разбивкой)'!U27)</f>
        <v>38.610586089178327</v>
      </c>
      <c r="V83" s="3063">
        <f>SUM('цех вода (с разбивкой)'!V27)</f>
        <v>115.83175826753498</v>
      </c>
      <c r="W83" s="3087">
        <f t="shared" si="112"/>
        <v>463.32703307014003</v>
      </c>
      <c r="X83" s="430"/>
      <c r="Y83" s="430"/>
      <c r="Z83" s="430"/>
      <c r="AA83" s="430"/>
      <c r="AB83" s="430"/>
      <c r="AC83" s="430"/>
      <c r="AD83" s="430"/>
      <c r="AE83" s="430"/>
      <c r="AF83" s="430"/>
      <c r="AG83" s="430"/>
      <c r="AH83" s="430"/>
      <c r="AI83" s="430"/>
      <c r="AJ83" s="430"/>
      <c r="AK83" s="430"/>
      <c r="AL83" s="430"/>
      <c r="AM83" s="430"/>
      <c r="AN83" s="430"/>
      <c r="AO83" s="430"/>
      <c r="AP83" s="430"/>
      <c r="AQ83" s="430"/>
      <c r="AR83" s="430"/>
      <c r="AS83" s="430"/>
      <c r="AT83" s="430"/>
      <c r="AU83" s="430"/>
      <c r="AV83" s="430"/>
      <c r="AW83" s="430"/>
      <c r="AX83" s="430"/>
    </row>
    <row r="84" spans="1:50" ht="18.75">
      <c r="A84" s="3091" t="s">
        <v>607</v>
      </c>
      <c r="B84" s="3063">
        <f>SUM('цех вода (с разбивкой)'!B28)</f>
        <v>88.190088680964138</v>
      </c>
      <c r="C84" s="3063">
        <f>SUM('цех вода (с разбивкой)'!C28)</f>
        <v>88.190088680964138</v>
      </c>
      <c r="D84" s="3063">
        <f>SUM('цех вода (с разбивкой)'!D28)</f>
        <v>0</v>
      </c>
      <c r="E84" s="3092">
        <f>SUM('цех вода (с разбивкой)'!E28)</f>
        <v>7.3491740567470112</v>
      </c>
      <c r="F84" s="3092">
        <f>SUM('цех вода (с разбивкой)'!F28)</f>
        <v>7.3491740567470112</v>
      </c>
      <c r="G84" s="3092">
        <f>SUM('цех вода (с разбивкой)'!G28)</f>
        <v>7.3491740567470112</v>
      </c>
      <c r="H84" s="3063">
        <f>SUM('цех вода (с разбивкой)'!H28)</f>
        <v>22.047522170241034</v>
      </c>
      <c r="I84" s="3092">
        <f>SUM('цех вода (с разбивкой)'!I28)</f>
        <v>7.3491740567470112</v>
      </c>
      <c r="J84" s="3092">
        <f>SUM('цех вода (с разбивкой)'!J28)</f>
        <v>7.3491740567470112</v>
      </c>
      <c r="K84" s="3092">
        <f>SUM('цех вода (с разбивкой)'!K28)</f>
        <v>7.3491740567470112</v>
      </c>
      <c r="L84" s="3063">
        <f>SUM('цех вода (с разбивкой)'!L28)</f>
        <v>22.047522170241034</v>
      </c>
      <c r="M84" s="3063">
        <f>SUM('цех вода (с разбивкой)'!M28)</f>
        <v>44.095044340482069</v>
      </c>
      <c r="N84" s="3092">
        <f>SUM('цех вода (с разбивкой)'!N28)</f>
        <v>7.3491740567470112</v>
      </c>
      <c r="O84" s="3092">
        <f>SUM('цех вода (с разбивкой)'!O28)</f>
        <v>7.3491740567470112</v>
      </c>
      <c r="P84" s="3092">
        <f>SUM('цех вода (с разбивкой)'!P28)</f>
        <v>7.3491740567470112</v>
      </c>
      <c r="Q84" s="3063">
        <f>SUM('цех вода (с разбивкой)'!Q28)</f>
        <v>22.047522170241034</v>
      </c>
      <c r="R84" s="3063">
        <f>SUM('цех вода (с разбивкой)'!R28)</f>
        <v>66.1425665107231</v>
      </c>
      <c r="S84" s="3092">
        <f>SUM('цех вода (с разбивкой)'!S28)</f>
        <v>7.3491740567470112</v>
      </c>
      <c r="T84" s="3092">
        <f>SUM('цех вода (с разбивкой)'!T28)</f>
        <v>7.3491740567470112</v>
      </c>
      <c r="U84" s="3092">
        <f>SUM('цех вода (с разбивкой)'!U28)</f>
        <v>7.3491740567470112</v>
      </c>
      <c r="V84" s="3063">
        <f>SUM('цех вода (с разбивкой)'!V28)</f>
        <v>22.047522170241034</v>
      </c>
      <c r="W84" s="3087">
        <f t="shared" si="112"/>
        <v>88.190088680964152</v>
      </c>
      <c r="X84" s="430"/>
      <c r="Y84" s="430"/>
      <c r="Z84" s="430"/>
      <c r="AA84" s="430"/>
      <c r="AB84" s="430"/>
      <c r="AC84" s="430"/>
      <c r="AD84" s="430"/>
      <c r="AE84" s="430"/>
      <c r="AF84" s="430"/>
      <c r="AG84" s="430"/>
      <c r="AH84" s="430"/>
      <c r="AI84" s="430"/>
      <c r="AJ84" s="430"/>
      <c r="AK84" s="430"/>
      <c r="AL84" s="430"/>
      <c r="AM84" s="430"/>
      <c r="AN84" s="430"/>
      <c r="AO84" s="430"/>
      <c r="AP84" s="430"/>
      <c r="AQ84" s="430"/>
      <c r="AR84" s="430"/>
      <c r="AS84" s="430"/>
      <c r="AT84" s="430"/>
      <c r="AU84" s="430"/>
      <c r="AV84" s="430"/>
      <c r="AW84" s="430"/>
      <c r="AX84" s="430"/>
    </row>
    <row r="85" spans="1:50" ht="18.75">
      <c r="A85" s="3091" t="s">
        <v>98</v>
      </c>
      <c r="B85" s="3063">
        <f>SUM('цех вода (с разбивкой)'!B29)</f>
        <v>53.967069192828788</v>
      </c>
      <c r="C85" s="3063">
        <f>SUM('цех вода (с разбивкой)'!C29)</f>
        <v>53.967069192828788</v>
      </c>
      <c r="D85" s="3063">
        <f>SUM('цех вода (с разбивкой)'!D29)</f>
        <v>0</v>
      </c>
      <c r="E85" s="3092">
        <f>SUM('цех вода (с разбивкой)'!E29)</f>
        <v>4.497255766069066</v>
      </c>
      <c r="F85" s="3092">
        <f>SUM('цех вода (с разбивкой)'!F29)</f>
        <v>4.497255766069066</v>
      </c>
      <c r="G85" s="3092">
        <f>SUM('цех вода (с разбивкой)'!G29)</f>
        <v>4.497255766069066</v>
      </c>
      <c r="H85" s="3063">
        <f>SUM('цех вода (с разбивкой)'!H29)</f>
        <v>13.491767298207197</v>
      </c>
      <c r="I85" s="3092">
        <f>SUM('цех вода (с разбивкой)'!I29)</f>
        <v>4.497255766069066</v>
      </c>
      <c r="J85" s="3092">
        <f>SUM('цех вода (с разбивкой)'!J29)</f>
        <v>4.497255766069066</v>
      </c>
      <c r="K85" s="3092">
        <f>SUM('цех вода (с разбивкой)'!K29)</f>
        <v>4.497255766069066</v>
      </c>
      <c r="L85" s="3063">
        <f>SUM('цех вода (с разбивкой)'!L29)</f>
        <v>13.491767298207197</v>
      </c>
      <c r="M85" s="3063">
        <f>SUM('цех вода (с разбивкой)'!M29)</f>
        <v>26.983534596414394</v>
      </c>
      <c r="N85" s="3092">
        <f>SUM('цех вода (с разбивкой)'!N29)</f>
        <v>4.497255766069066</v>
      </c>
      <c r="O85" s="3092">
        <f>SUM('цех вода (с разбивкой)'!O29)</f>
        <v>4.497255766069066</v>
      </c>
      <c r="P85" s="3092">
        <f>SUM('цех вода (с разбивкой)'!P29)</f>
        <v>4.497255766069066</v>
      </c>
      <c r="Q85" s="3063">
        <f>SUM('цех вода (с разбивкой)'!Q29)</f>
        <v>13.491767298207197</v>
      </c>
      <c r="R85" s="3063">
        <f>SUM('цех вода (с разбивкой)'!R29)</f>
        <v>40.475301894621595</v>
      </c>
      <c r="S85" s="3092">
        <f>SUM('цех вода (с разбивкой)'!S29)</f>
        <v>4.497255766069066</v>
      </c>
      <c r="T85" s="3092">
        <f>SUM('цех вода (с разбивкой)'!T29)</f>
        <v>4.497255766069066</v>
      </c>
      <c r="U85" s="3092">
        <f>SUM('цех вода (с разбивкой)'!U29)</f>
        <v>4.497255766069066</v>
      </c>
      <c r="V85" s="3063">
        <f>SUM('цех вода (с разбивкой)'!V29)</f>
        <v>13.491767298207197</v>
      </c>
      <c r="W85" s="3087">
        <f t="shared" si="112"/>
        <v>53.967069192828795</v>
      </c>
      <c r="X85" s="430"/>
      <c r="Y85" s="430"/>
      <c r="Z85" s="430"/>
      <c r="AA85" s="430"/>
      <c r="AB85" s="430"/>
      <c r="AC85" s="430"/>
      <c r="AD85" s="430"/>
      <c r="AE85" s="430"/>
      <c r="AF85" s="430"/>
      <c r="AG85" s="430"/>
      <c r="AH85" s="430"/>
      <c r="AI85" s="430"/>
      <c r="AJ85" s="430"/>
      <c r="AK85" s="430"/>
      <c r="AL85" s="430"/>
      <c r="AM85" s="430"/>
      <c r="AN85" s="430"/>
      <c r="AO85" s="430"/>
      <c r="AP85" s="430"/>
      <c r="AQ85" s="430"/>
      <c r="AR85" s="430"/>
      <c r="AS85" s="430"/>
      <c r="AT85" s="430"/>
      <c r="AU85" s="430"/>
      <c r="AV85" s="430"/>
      <c r="AW85" s="430"/>
      <c r="AX85" s="430"/>
    </row>
    <row r="86" spans="1:50" ht="18.75">
      <c r="A86" s="4790" t="s">
        <v>42</v>
      </c>
      <c r="B86" s="3063">
        <f>SUM('цех вода (с разбивкой)'!B30)</f>
        <v>0</v>
      </c>
      <c r="C86" s="3063">
        <f>SUM('цех вода (с разбивкой)'!C30)</f>
        <v>0</v>
      </c>
      <c r="D86" s="3063">
        <f>SUM('цех вода (с разбивкой)'!D30)</f>
        <v>0</v>
      </c>
      <c r="E86" s="3092">
        <f>SUM('цех вода (с разбивкой)'!E30)</f>
        <v>0</v>
      </c>
      <c r="F86" s="3092">
        <f>SUM('цех вода (с разбивкой)'!F30)</f>
        <v>0</v>
      </c>
      <c r="G86" s="3092">
        <f>SUM('цех вода (с разбивкой)'!G30)</f>
        <v>0</v>
      </c>
      <c r="H86" s="3063">
        <f>SUM('цех вода (с разбивкой)'!H30)</f>
        <v>0</v>
      </c>
      <c r="I86" s="3092">
        <f>SUM('цех вода (с разбивкой)'!I30)</f>
        <v>0</v>
      </c>
      <c r="J86" s="3092">
        <f>SUM('цех вода (с разбивкой)'!J30)</f>
        <v>0</v>
      </c>
      <c r="K86" s="3092">
        <f>SUM('цех вода (с разбивкой)'!K30)</f>
        <v>0</v>
      </c>
      <c r="L86" s="3063">
        <f>SUM('цех вода (с разбивкой)'!L30)</f>
        <v>0</v>
      </c>
      <c r="M86" s="3063">
        <f>SUM('цех вода (с разбивкой)'!M30)</f>
        <v>0</v>
      </c>
      <c r="N86" s="3092">
        <f>SUM('цех вода (с разбивкой)'!N30)</f>
        <v>0</v>
      </c>
      <c r="O86" s="3092">
        <f>SUM('цех вода (с разбивкой)'!O30)</f>
        <v>0</v>
      </c>
      <c r="P86" s="3092">
        <f>SUM('цех вода (с разбивкой)'!P30)</f>
        <v>0</v>
      </c>
      <c r="Q86" s="3063">
        <f>SUM('цех вода (с разбивкой)'!Q30)</f>
        <v>0</v>
      </c>
      <c r="R86" s="3063">
        <f>SUM('цех вода (с разбивкой)'!R30)</f>
        <v>0</v>
      </c>
      <c r="S86" s="3092">
        <f>SUM('цех вода (с разбивкой)'!S30)</f>
        <v>0</v>
      </c>
      <c r="T86" s="3092">
        <f>SUM('цех вода (с разбивкой)'!T30)</f>
        <v>0</v>
      </c>
      <c r="U86" s="3092">
        <f>SUM('цех вода (с разбивкой)'!U30)</f>
        <v>0</v>
      </c>
      <c r="V86" s="3063">
        <f>SUM('цех вода (с разбивкой)'!V30)</f>
        <v>0</v>
      </c>
      <c r="W86" s="3087">
        <f t="shared" ref="W86" si="113">SUM(E86+F86+G86+I86+J86+K86+N86+O86+P86+S86+T86+U86)</f>
        <v>0</v>
      </c>
      <c r="X86" s="430"/>
      <c r="Y86" s="430"/>
      <c r="Z86" s="430"/>
      <c r="AA86" s="430"/>
      <c r="AB86" s="430"/>
      <c r="AC86" s="430"/>
      <c r="AD86" s="430"/>
      <c r="AE86" s="430"/>
      <c r="AF86" s="430"/>
      <c r="AG86" s="430"/>
      <c r="AH86" s="430"/>
      <c r="AI86" s="430"/>
      <c r="AJ86" s="430"/>
      <c r="AK86" s="430"/>
      <c r="AL86" s="430"/>
      <c r="AM86" s="430"/>
      <c r="AN86" s="430"/>
      <c r="AO86" s="430"/>
      <c r="AP86" s="430"/>
      <c r="AQ86" s="430"/>
      <c r="AR86" s="430"/>
      <c r="AS86" s="430"/>
      <c r="AT86" s="430"/>
      <c r="AU86" s="430"/>
      <c r="AV86" s="430"/>
      <c r="AW86" s="430"/>
      <c r="AX86" s="430"/>
    </row>
    <row r="87" spans="1:50" ht="18.75">
      <c r="A87" s="3091" t="s">
        <v>608</v>
      </c>
      <c r="B87" s="3063">
        <f>SUM('цех вода (с разбивкой)'!B31)</f>
        <v>84.24127874002545</v>
      </c>
      <c r="C87" s="3063">
        <f>SUM('цех вода (с разбивкой)'!C31)</f>
        <v>84.24127874002545</v>
      </c>
      <c r="D87" s="3063">
        <f>SUM('цех вода (с разбивкой)'!D31)</f>
        <v>0</v>
      </c>
      <c r="E87" s="3092">
        <f>SUM('цех вода (с разбивкой)'!E31)</f>
        <v>7.0201065616687872</v>
      </c>
      <c r="F87" s="3092">
        <f>SUM('цех вода (с разбивкой)'!F31)</f>
        <v>7.0201065616687872</v>
      </c>
      <c r="G87" s="3092">
        <f>SUM('цех вода (с разбивкой)'!G31)</f>
        <v>7.0201065616687872</v>
      </c>
      <c r="H87" s="3063">
        <f>SUM('цех вода (с разбивкой)'!H31)</f>
        <v>21.060319685006363</v>
      </c>
      <c r="I87" s="3092">
        <f>SUM('цех вода (с разбивкой)'!I31)</f>
        <v>7.0201065616687872</v>
      </c>
      <c r="J87" s="3092">
        <f>SUM('цех вода (с разбивкой)'!J31)</f>
        <v>7.0201065616687872</v>
      </c>
      <c r="K87" s="3092">
        <f>SUM('цех вода (с разбивкой)'!K31)</f>
        <v>7.0201065616687872</v>
      </c>
      <c r="L87" s="3063">
        <f>SUM('цех вода (с разбивкой)'!L31)</f>
        <v>21.060319685006363</v>
      </c>
      <c r="M87" s="3063">
        <f>SUM('цех вода (с разбивкой)'!M31)</f>
        <v>42.120639370012725</v>
      </c>
      <c r="N87" s="3092">
        <f>SUM('цех вода (с разбивкой)'!N31)</f>
        <v>7.0201065616687872</v>
      </c>
      <c r="O87" s="3092">
        <f>SUM('цех вода (с разбивкой)'!O31)</f>
        <v>7.0201065616687872</v>
      </c>
      <c r="P87" s="3092">
        <f>SUM('цех вода (с разбивкой)'!P31)</f>
        <v>7.0201065616687872</v>
      </c>
      <c r="Q87" s="3063">
        <f>SUM('цех вода (с разбивкой)'!Q31)</f>
        <v>21.060319685006363</v>
      </c>
      <c r="R87" s="3063">
        <f>SUM('цех вода (с разбивкой)'!R31)</f>
        <v>63.180959055019088</v>
      </c>
      <c r="S87" s="3092">
        <f>SUM('цех вода (с разбивкой)'!S31)</f>
        <v>7.0201065616687872</v>
      </c>
      <c r="T87" s="3092">
        <f>SUM('цех вода (с разбивкой)'!T31)</f>
        <v>7.0201065616687872</v>
      </c>
      <c r="U87" s="3092">
        <f>SUM('цех вода (с разбивкой)'!U31)</f>
        <v>7.0201065616687872</v>
      </c>
      <c r="V87" s="3063">
        <f>SUM('цех вода (с разбивкой)'!V31)</f>
        <v>21.060319685006363</v>
      </c>
      <c r="W87" s="3087">
        <f t="shared" si="112"/>
        <v>84.24127874002545</v>
      </c>
      <c r="X87" s="430"/>
      <c r="Y87" s="430"/>
      <c r="Z87" s="430"/>
      <c r="AA87" s="430"/>
      <c r="AB87" s="430"/>
      <c r="AC87" s="430"/>
      <c r="AD87" s="430"/>
      <c r="AE87" s="430"/>
      <c r="AF87" s="430"/>
      <c r="AG87" s="430"/>
      <c r="AH87" s="430"/>
      <c r="AI87" s="430"/>
      <c r="AJ87" s="430"/>
      <c r="AK87" s="430"/>
      <c r="AL87" s="430"/>
      <c r="AM87" s="430"/>
      <c r="AN87" s="430"/>
      <c r="AO87" s="430"/>
      <c r="AP87" s="430"/>
      <c r="AQ87" s="430"/>
      <c r="AR87" s="430"/>
      <c r="AS87" s="430"/>
      <c r="AT87" s="430"/>
      <c r="AU87" s="430"/>
      <c r="AV87" s="430"/>
      <c r="AW87" s="430"/>
      <c r="AX87" s="430"/>
    </row>
    <row r="88" spans="1:50" ht="18.75">
      <c r="A88" s="3091" t="s">
        <v>1558</v>
      </c>
      <c r="B88" s="3063">
        <f>SUM('цех вода (с разбивкой)'!B32)</f>
        <v>42.120639370012725</v>
      </c>
      <c r="C88" s="3063">
        <f>SUM('цех вода (с разбивкой)'!C32)</f>
        <v>42.120639370012725</v>
      </c>
      <c r="D88" s="3063">
        <f>SUM('цех вода (с разбивкой)'!D32)</f>
        <v>0</v>
      </c>
      <c r="E88" s="3092">
        <f>SUM('цех вода (с разбивкой)'!E32)</f>
        <v>3.5100532808343936</v>
      </c>
      <c r="F88" s="3092">
        <f>SUM('цех вода (с разбивкой)'!F32)</f>
        <v>3.5100532808343936</v>
      </c>
      <c r="G88" s="3092">
        <f>SUM('цех вода (с разбивкой)'!G32)</f>
        <v>3.5100532808343936</v>
      </c>
      <c r="H88" s="3063">
        <f>SUM('цех вода (с разбивкой)'!H32)</f>
        <v>10.530159842503181</v>
      </c>
      <c r="I88" s="3092">
        <f>SUM('цех вода (с разбивкой)'!I32)</f>
        <v>3.5100532808343936</v>
      </c>
      <c r="J88" s="3092">
        <f>SUM('цех вода (с разбивкой)'!J32)</f>
        <v>3.5100532808343936</v>
      </c>
      <c r="K88" s="3092">
        <f>SUM('цех вода (с разбивкой)'!K32)</f>
        <v>3.5100532808343936</v>
      </c>
      <c r="L88" s="3063">
        <f>SUM('цех вода (с разбивкой)'!L32)</f>
        <v>10.530159842503181</v>
      </c>
      <c r="M88" s="3063">
        <f>SUM('цех вода (с разбивкой)'!M32)</f>
        <v>21.060319685006363</v>
      </c>
      <c r="N88" s="3092">
        <f>SUM('цех вода (с разбивкой)'!N32)</f>
        <v>3.5100532808343936</v>
      </c>
      <c r="O88" s="3092">
        <f>SUM('цех вода (с разбивкой)'!O32)</f>
        <v>3.5100532808343936</v>
      </c>
      <c r="P88" s="3092">
        <f>SUM('цех вода (с разбивкой)'!P32)</f>
        <v>3.5100532808343936</v>
      </c>
      <c r="Q88" s="3063">
        <f>SUM('цех вода (с разбивкой)'!Q32)</f>
        <v>10.530159842503181</v>
      </c>
      <c r="R88" s="3063">
        <f>SUM('цех вода (с разбивкой)'!R32)</f>
        <v>31.590479527509544</v>
      </c>
      <c r="S88" s="3092">
        <f>SUM('цех вода (с разбивкой)'!S32)</f>
        <v>3.5100532808343936</v>
      </c>
      <c r="T88" s="3092">
        <f>SUM('цех вода (с разбивкой)'!T32)</f>
        <v>3.5100532808343936</v>
      </c>
      <c r="U88" s="3092">
        <f>SUM('цех вода (с разбивкой)'!U32)</f>
        <v>3.5100532808343936</v>
      </c>
      <c r="V88" s="3063">
        <f>SUM('цех вода (с разбивкой)'!V32)</f>
        <v>10.530159842503181</v>
      </c>
      <c r="W88" s="3087">
        <f t="shared" si="112"/>
        <v>42.120639370012725</v>
      </c>
      <c r="X88" s="430"/>
      <c r="Y88" s="430"/>
      <c r="Z88" s="430"/>
      <c r="AA88" s="430"/>
      <c r="AB88" s="430"/>
      <c r="AC88" s="430"/>
      <c r="AD88" s="430"/>
      <c r="AE88" s="430"/>
      <c r="AF88" s="430"/>
      <c r="AG88" s="430"/>
      <c r="AH88" s="430"/>
      <c r="AI88" s="430"/>
      <c r="AJ88" s="430"/>
      <c r="AK88" s="430"/>
      <c r="AL88" s="430"/>
      <c r="AM88" s="430"/>
      <c r="AN88" s="430"/>
      <c r="AO88" s="430"/>
      <c r="AP88" s="430"/>
      <c r="AQ88" s="430"/>
      <c r="AR88" s="430"/>
      <c r="AS88" s="430"/>
      <c r="AT88" s="430"/>
      <c r="AU88" s="430"/>
      <c r="AV88" s="430"/>
      <c r="AW88" s="430"/>
      <c r="AX88" s="430"/>
    </row>
    <row r="89" spans="1:50" ht="18.75">
      <c r="A89" s="3091" t="s">
        <v>611</v>
      </c>
      <c r="B89" s="3063">
        <f>SUM('цех вода (с разбивкой)'!B33)</f>
        <v>42.120639370012725</v>
      </c>
      <c r="C89" s="3063">
        <f>SUM('цех вода (с разбивкой)'!C33)</f>
        <v>42.120639370012725</v>
      </c>
      <c r="D89" s="3063">
        <f>SUM('цех вода (с разбивкой)'!D33)</f>
        <v>0</v>
      </c>
      <c r="E89" s="3092">
        <f>SUM('цех вода (с разбивкой)'!E33)</f>
        <v>3.5100532808343936</v>
      </c>
      <c r="F89" s="3092">
        <f>SUM('цех вода (с разбивкой)'!F33)</f>
        <v>3.5100532808343936</v>
      </c>
      <c r="G89" s="3092">
        <f>SUM('цех вода (с разбивкой)'!G33)</f>
        <v>3.5100532808343936</v>
      </c>
      <c r="H89" s="3063">
        <f>SUM('цех вода (с разбивкой)'!H33)</f>
        <v>10.530159842503181</v>
      </c>
      <c r="I89" s="3092">
        <f>SUM('цех вода (с разбивкой)'!I33)</f>
        <v>3.5100532808343936</v>
      </c>
      <c r="J89" s="3092">
        <f>SUM('цех вода (с разбивкой)'!J33)</f>
        <v>3.5100532808343936</v>
      </c>
      <c r="K89" s="3092">
        <f>SUM('цех вода (с разбивкой)'!K33)</f>
        <v>3.5100532808343936</v>
      </c>
      <c r="L89" s="3063">
        <f>SUM('цех вода (с разбивкой)'!L33)</f>
        <v>10.530159842503181</v>
      </c>
      <c r="M89" s="3063">
        <f>SUM('цех вода (с разбивкой)'!M33)</f>
        <v>21.060319685006363</v>
      </c>
      <c r="N89" s="3092">
        <f>SUM('цех вода (с разбивкой)'!N33)</f>
        <v>3.5100532808343936</v>
      </c>
      <c r="O89" s="3092">
        <f>SUM('цех вода (с разбивкой)'!O33)</f>
        <v>3.5100532808343936</v>
      </c>
      <c r="P89" s="3092">
        <f>SUM('цех вода (с разбивкой)'!P33)</f>
        <v>3.5100532808343936</v>
      </c>
      <c r="Q89" s="3063">
        <f>SUM('цех вода (с разбивкой)'!Q33)</f>
        <v>10.530159842503181</v>
      </c>
      <c r="R89" s="3063">
        <f>SUM('цех вода (с разбивкой)'!R33)</f>
        <v>31.590479527509544</v>
      </c>
      <c r="S89" s="3092">
        <f>SUM('цех вода (с разбивкой)'!S33)</f>
        <v>3.5100532808343936</v>
      </c>
      <c r="T89" s="3092">
        <f>SUM('цех вода (с разбивкой)'!T33)</f>
        <v>3.5100532808343936</v>
      </c>
      <c r="U89" s="3092">
        <f>SUM('цех вода (с разбивкой)'!U33)</f>
        <v>3.5100532808343936</v>
      </c>
      <c r="V89" s="3063">
        <f>SUM('цех вода (с разбивкой)'!V33)</f>
        <v>10.530159842503181</v>
      </c>
      <c r="W89" s="3087">
        <f t="shared" si="112"/>
        <v>42.120639370012725</v>
      </c>
      <c r="X89" s="430"/>
      <c r="Y89" s="430"/>
      <c r="Z89" s="430"/>
      <c r="AA89" s="430"/>
      <c r="AB89" s="430"/>
      <c r="AC89" s="430"/>
      <c r="AD89" s="430"/>
      <c r="AE89" s="430"/>
      <c r="AF89" s="430"/>
      <c r="AG89" s="430"/>
      <c r="AH89" s="430"/>
      <c r="AI89" s="430"/>
      <c r="AJ89" s="430"/>
      <c r="AK89" s="430"/>
      <c r="AL89" s="430"/>
      <c r="AM89" s="430"/>
      <c r="AN89" s="430"/>
      <c r="AO89" s="430"/>
      <c r="AP89" s="430"/>
      <c r="AQ89" s="430"/>
      <c r="AR89" s="430"/>
      <c r="AS89" s="430"/>
      <c r="AT89" s="430"/>
      <c r="AU89" s="430"/>
      <c r="AV89" s="430"/>
      <c r="AW89" s="430"/>
      <c r="AX89" s="430"/>
    </row>
    <row r="90" spans="1:50" ht="18.75">
      <c r="A90" s="3091" t="s">
        <v>615</v>
      </c>
      <c r="B90" s="3063">
        <f>SUM('цех вода (с разбивкой)'!B34)</f>
        <v>0</v>
      </c>
      <c r="C90" s="3063">
        <f>SUM('цех вода (с разбивкой)'!C34)</f>
        <v>0</v>
      </c>
      <c r="D90" s="3063">
        <f>SUM('цех вода (с разбивкой)'!D34)</f>
        <v>0</v>
      </c>
      <c r="E90" s="3092">
        <f>SUM('цех вода (с разбивкой)'!E34)</f>
        <v>0</v>
      </c>
      <c r="F90" s="3092">
        <f>SUM('цех вода (с разбивкой)'!F34)</f>
        <v>0</v>
      </c>
      <c r="G90" s="3092">
        <f>SUM('цех вода (с разбивкой)'!G34)</f>
        <v>0</v>
      </c>
      <c r="H90" s="3063">
        <f>SUM('цех вода (с разбивкой)'!H34)</f>
        <v>0</v>
      </c>
      <c r="I90" s="3092">
        <f>SUM('цех вода (с разбивкой)'!I34)</f>
        <v>0</v>
      </c>
      <c r="J90" s="3092">
        <f>SUM('цех вода (с разбивкой)'!J34)</f>
        <v>0</v>
      </c>
      <c r="K90" s="3092">
        <f>SUM('цех вода (с разбивкой)'!K34)</f>
        <v>0</v>
      </c>
      <c r="L90" s="3063">
        <f>SUM('цех вода (с разбивкой)'!L34)</f>
        <v>0</v>
      </c>
      <c r="M90" s="3063">
        <f>SUM('цех вода (с разбивкой)'!M34)</f>
        <v>0</v>
      </c>
      <c r="N90" s="3092">
        <f>SUM('цех вода (с разбивкой)'!N34)</f>
        <v>0</v>
      </c>
      <c r="O90" s="3092">
        <f>SUM('цех вода (с разбивкой)'!O34)</f>
        <v>0</v>
      </c>
      <c r="P90" s="3092">
        <f>SUM('цех вода (с разбивкой)'!P34)</f>
        <v>0</v>
      </c>
      <c r="Q90" s="3063">
        <f>SUM('цех вода (с разбивкой)'!Q34)</f>
        <v>0</v>
      </c>
      <c r="R90" s="3063">
        <f>SUM('цех вода (с разбивкой)'!R34)</f>
        <v>0</v>
      </c>
      <c r="S90" s="3092">
        <f>SUM('цех вода (с разбивкой)'!S34)</f>
        <v>0</v>
      </c>
      <c r="T90" s="3092">
        <f>SUM('цех вода (с разбивкой)'!T34)</f>
        <v>0</v>
      </c>
      <c r="U90" s="3092">
        <f>SUM('цех вода (с разбивкой)'!U34)</f>
        <v>0</v>
      </c>
      <c r="V90" s="3063">
        <f>SUM('цех вода (с разбивкой)'!V34)</f>
        <v>0</v>
      </c>
      <c r="W90" s="3087">
        <f t="shared" si="112"/>
        <v>0</v>
      </c>
      <c r="X90" s="430"/>
      <c r="Y90" s="430"/>
      <c r="Z90" s="430"/>
      <c r="AA90" s="430"/>
      <c r="AB90" s="430"/>
      <c r="AC90" s="430"/>
      <c r="AD90" s="430"/>
      <c r="AE90" s="430"/>
      <c r="AF90" s="430"/>
      <c r="AG90" s="430"/>
      <c r="AH90" s="430"/>
      <c r="AI90" s="430"/>
      <c r="AJ90" s="430"/>
      <c r="AK90" s="430"/>
      <c r="AL90" s="430"/>
      <c r="AM90" s="430"/>
      <c r="AN90" s="430"/>
      <c r="AO90" s="430"/>
      <c r="AP90" s="430"/>
      <c r="AQ90" s="430"/>
      <c r="AR90" s="430"/>
      <c r="AS90" s="430"/>
      <c r="AT90" s="430"/>
      <c r="AU90" s="430"/>
      <c r="AV90" s="430"/>
      <c r="AW90" s="430"/>
      <c r="AX90" s="430"/>
    </row>
    <row r="91" spans="1:50" ht="18.75">
      <c r="A91" s="3091" t="s">
        <v>612</v>
      </c>
      <c r="B91" s="3063">
        <f>SUM('цех вода (с разбивкой)'!B35)</f>
        <v>0</v>
      </c>
      <c r="C91" s="3063">
        <f>SUM('цех вода (с разбивкой)'!C35)</f>
        <v>0</v>
      </c>
      <c r="D91" s="3063">
        <f>SUM('цех вода (с разбивкой)'!D35)</f>
        <v>0</v>
      </c>
      <c r="E91" s="3092">
        <f>SUM('цех вода (с разбивкой)'!E35)</f>
        <v>0</v>
      </c>
      <c r="F91" s="3092">
        <f>SUM('цех вода (с разбивкой)'!F35)</f>
        <v>0</v>
      </c>
      <c r="G91" s="3092">
        <f>SUM('цех вода (с разбивкой)'!G35)</f>
        <v>0</v>
      </c>
      <c r="H91" s="3063">
        <f>SUM('цех вода (с разбивкой)'!H35)</f>
        <v>0</v>
      </c>
      <c r="I91" s="3092">
        <f>SUM('цех вода (с разбивкой)'!I35)</f>
        <v>0</v>
      </c>
      <c r="J91" s="3092">
        <f>SUM('цех вода (с разбивкой)'!J35)</f>
        <v>0</v>
      </c>
      <c r="K91" s="3092">
        <f>SUM('цех вода (с разбивкой)'!K35)</f>
        <v>0</v>
      </c>
      <c r="L91" s="3063">
        <f>SUM('цех вода (с разбивкой)'!L35)</f>
        <v>0</v>
      </c>
      <c r="M91" s="3063">
        <f>SUM('цех вода (с разбивкой)'!M35)</f>
        <v>0</v>
      </c>
      <c r="N91" s="3092">
        <f>SUM('цех вода (с разбивкой)'!N35)</f>
        <v>0</v>
      </c>
      <c r="O91" s="3092">
        <f>SUM('цех вода (с разбивкой)'!O35)</f>
        <v>0</v>
      </c>
      <c r="P91" s="3092">
        <f>SUM('цех вода (с разбивкой)'!P35)</f>
        <v>0</v>
      </c>
      <c r="Q91" s="3063">
        <f>SUM('цех вода (с разбивкой)'!Q35)</f>
        <v>0</v>
      </c>
      <c r="R91" s="3063">
        <f>SUM('цех вода (с разбивкой)'!R35)</f>
        <v>0</v>
      </c>
      <c r="S91" s="3092">
        <f>SUM('цех вода (с разбивкой)'!S35)</f>
        <v>0</v>
      </c>
      <c r="T91" s="3092">
        <f>SUM('цех вода (с разбивкой)'!T35)</f>
        <v>0</v>
      </c>
      <c r="U91" s="3092">
        <f>SUM('цех вода (с разбивкой)'!U35)</f>
        <v>0</v>
      </c>
      <c r="V91" s="3063">
        <f>SUM('цех вода (с разбивкой)'!V35)</f>
        <v>0</v>
      </c>
      <c r="W91" s="3087">
        <f t="shared" si="112"/>
        <v>0</v>
      </c>
      <c r="X91" s="430"/>
      <c r="Y91" s="430"/>
      <c r="Z91" s="430"/>
      <c r="AA91" s="430"/>
      <c r="AB91" s="430"/>
      <c r="AC91" s="430"/>
      <c r="AD91" s="430"/>
      <c r="AE91" s="430"/>
      <c r="AF91" s="430"/>
      <c r="AG91" s="430"/>
      <c r="AH91" s="430"/>
      <c r="AI91" s="430"/>
      <c r="AJ91" s="430"/>
      <c r="AK91" s="430"/>
      <c r="AL91" s="430"/>
      <c r="AM91" s="430"/>
      <c r="AN91" s="430"/>
      <c r="AO91" s="430"/>
      <c r="AP91" s="430"/>
      <c r="AQ91" s="430"/>
      <c r="AR91" s="430"/>
      <c r="AS91" s="430"/>
      <c r="AT91" s="430"/>
      <c r="AU91" s="430"/>
      <c r="AV91" s="430"/>
      <c r="AW91" s="430"/>
      <c r="AX91" s="430"/>
    </row>
    <row r="92" spans="1:50" ht="18.75">
      <c r="A92" s="3091" t="s">
        <v>1559</v>
      </c>
      <c r="B92" s="3063">
        <f>SUM('цех вода (с разбивкой)'!B36)</f>
        <v>0</v>
      </c>
      <c r="C92" s="3063">
        <f>SUM('цех вода (с разбивкой)'!C36)</f>
        <v>0</v>
      </c>
      <c r="D92" s="3063">
        <f>SUM('цех вода (с разбивкой)'!D36)</f>
        <v>0</v>
      </c>
      <c r="E92" s="3092">
        <f>SUM('цех вода (с разбивкой)'!E36)</f>
        <v>0</v>
      </c>
      <c r="F92" s="3092">
        <f>SUM('цех вода (с разбивкой)'!F36)</f>
        <v>0</v>
      </c>
      <c r="G92" s="3092">
        <f>SUM('цех вода (с разбивкой)'!G36)</f>
        <v>0</v>
      </c>
      <c r="H92" s="3063">
        <f>SUM('цех вода (с разбивкой)'!H36)</f>
        <v>0</v>
      </c>
      <c r="I92" s="3092">
        <f>SUM('цех вода (с разбивкой)'!I36)</f>
        <v>0</v>
      </c>
      <c r="J92" s="3092">
        <f>SUM('цех вода (с разбивкой)'!J36)</f>
        <v>0</v>
      </c>
      <c r="K92" s="3092">
        <f>SUM('цех вода (с разбивкой)'!K36)</f>
        <v>0</v>
      </c>
      <c r="L92" s="3063">
        <f>SUM('цех вода (с разбивкой)'!L36)</f>
        <v>0</v>
      </c>
      <c r="M92" s="3063">
        <f>SUM('цех вода (с разбивкой)'!M36)</f>
        <v>0</v>
      </c>
      <c r="N92" s="3092">
        <f>SUM('цех вода (с разбивкой)'!N36)</f>
        <v>0</v>
      </c>
      <c r="O92" s="3092">
        <f>SUM('цех вода (с разбивкой)'!O36)</f>
        <v>0</v>
      </c>
      <c r="P92" s="3092">
        <f>SUM('цех вода (с разбивкой)'!P36)</f>
        <v>0</v>
      </c>
      <c r="Q92" s="3063">
        <f>SUM('цех вода (с разбивкой)'!Q36)</f>
        <v>0</v>
      </c>
      <c r="R92" s="3063">
        <f>SUM('цех вода (с разбивкой)'!R36)</f>
        <v>0</v>
      </c>
      <c r="S92" s="3092">
        <f>SUM('цех вода (с разбивкой)'!S36)</f>
        <v>0</v>
      </c>
      <c r="T92" s="3092">
        <f>SUM('цех вода (с разбивкой)'!T36)</f>
        <v>0</v>
      </c>
      <c r="U92" s="3092">
        <f>SUM('цех вода (с разбивкой)'!U36)</f>
        <v>0</v>
      </c>
      <c r="V92" s="3063">
        <f>SUM('цех вода (с разбивкой)'!V36)</f>
        <v>0</v>
      </c>
      <c r="W92" s="3087">
        <f t="shared" si="112"/>
        <v>0</v>
      </c>
      <c r="X92" s="430"/>
      <c r="Y92" s="430"/>
      <c r="Z92" s="430"/>
      <c r="AA92" s="430"/>
      <c r="AB92" s="430"/>
      <c r="AC92" s="430"/>
      <c r="AD92" s="430"/>
      <c r="AE92" s="430"/>
      <c r="AF92" s="430"/>
      <c r="AG92" s="430"/>
      <c r="AH92" s="430"/>
      <c r="AI92" s="430"/>
      <c r="AJ92" s="430"/>
      <c r="AK92" s="430"/>
      <c r="AL92" s="430"/>
      <c r="AM92" s="430"/>
      <c r="AN92" s="430"/>
      <c r="AO92" s="430"/>
      <c r="AP92" s="430"/>
      <c r="AQ92" s="430"/>
      <c r="AR92" s="430"/>
      <c r="AS92" s="430"/>
      <c r="AT92" s="430"/>
      <c r="AU92" s="430"/>
      <c r="AV92" s="430"/>
      <c r="AW92" s="430"/>
      <c r="AX92" s="430"/>
    </row>
    <row r="93" spans="1:50" ht="18.75">
      <c r="A93" s="3091" t="s">
        <v>38</v>
      </c>
      <c r="B93" s="3063">
        <f>SUM('цех вода (с разбивкой)'!B37)</f>
        <v>46.069449310951406</v>
      </c>
      <c r="C93" s="3063">
        <f>SUM('цех вода (с разбивкой)'!C37)</f>
        <v>46.069449310951406</v>
      </c>
      <c r="D93" s="3063">
        <f>SUM('цех вода (с разбивкой)'!D37)</f>
        <v>0</v>
      </c>
      <c r="E93" s="3092">
        <f>SUM('цех вода (с разбивкой)'!E37)</f>
        <v>3.8391207759126171</v>
      </c>
      <c r="F93" s="3092">
        <f>SUM('цех вода (с разбивкой)'!F37)</f>
        <v>3.8391207759126171</v>
      </c>
      <c r="G93" s="3092">
        <f>SUM('цех вода (с разбивкой)'!G37)</f>
        <v>3.8391207759126171</v>
      </c>
      <c r="H93" s="3063">
        <f>SUM('цех вода (с разбивкой)'!H37)</f>
        <v>11.517362327737851</v>
      </c>
      <c r="I93" s="3092">
        <f>SUM('цех вода (с разбивкой)'!I37)</f>
        <v>3.8391207759126171</v>
      </c>
      <c r="J93" s="3092">
        <f>SUM('цех вода (с разбивкой)'!J37)</f>
        <v>3.8391207759126171</v>
      </c>
      <c r="K93" s="3092">
        <f>SUM('цех вода (с разбивкой)'!K37)</f>
        <v>3.8391207759126171</v>
      </c>
      <c r="L93" s="3063">
        <f>SUM('цех вода (с разбивкой)'!L37)</f>
        <v>11.517362327737851</v>
      </c>
      <c r="M93" s="3063">
        <f>SUM('цех вода (с разбивкой)'!M37)</f>
        <v>23.034724655475703</v>
      </c>
      <c r="N93" s="3092">
        <f>SUM('цех вода (с разбивкой)'!N37)</f>
        <v>3.8391207759126171</v>
      </c>
      <c r="O93" s="3092">
        <f>SUM('цех вода (с разбивкой)'!O37)</f>
        <v>3.8391207759126171</v>
      </c>
      <c r="P93" s="3092">
        <f>SUM('цех вода (с разбивкой)'!P37)</f>
        <v>3.8391207759126171</v>
      </c>
      <c r="Q93" s="3063">
        <f>SUM('цех вода (с разбивкой)'!Q37)</f>
        <v>11.517362327737851</v>
      </c>
      <c r="R93" s="3063">
        <f>SUM('цех вода (с разбивкой)'!R37)</f>
        <v>34.552086983213556</v>
      </c>
      <c r="S93" s="3092">
        <f>SUM('цех вода (с разбивкой)'!S37)</f>
        <v>3.8391207759126171</v>
      </c>
      <c r="T93" s="3092">
        <f>SUM('цех вода (с разбивкой)'!T37)</f>
        <v>3.8391207759126171</v>
      </c>
      <c r="U93" s="3092">
        <f>SUM('цех вода (с разбивкой)'!U37)</f>
        <v>3.8391207759126171</v>
      </c>
      <c r="V93" s="3063">
        <f>SUM('цех вода (с разбивкой)'!V37)</f>
        <v>11.517362327737851</v>
      </c>
      <c r="W93" s="3087">
        <f t="shared" si="112"/>
        <v>46.06944931095142</v>
      </c>
      <c r="X93" s="430"/>
      <c r="Y93" s="430"/>
      <c r="Z93" s="430"/>
      <c r="AA93" s="430"/>
      <c r="AB93" s="430"/>
      <c r="AC93" s="430"/>
      <c r="AD93" s="430"/>
      <c r="AE93" s="430"/>
      <c r="AF93" s="430"/>
      <c r="AG93" s="430"/>
      <c r="AH93" s="430"/>
      <c r="AI93" s="430"/>
      <c r="AJ93" s="430"/>
      <c r="AK93" s="430"/>
      <c r="AL93" s="430"/>
      <c r="AM93" s="430"/>
      <c r="AN93" s="430"/>
      <c r="AO93" s="430"/>
      <c r="AP93" s="430"/>
      <c r="AQ93" s="430"/>
      <c r="AR93" s="430"/>
      <c r="AS93" s="430"/>
      <c r="AT93" s="430"/>
      <c r="AU93" s="430"/>
      <c r="AV93" s="430"/>
      <c r="AW93" s="430"/>
      <c r="AX93" s="430"/>
    </row>
    <row r="94" spans="1:50" ht="18.75">
      <c r="A94" s="3091" t="s">
        <v>32</v>
      </c>
      <c r="B94" s="3063">
        <f>SUM('цех вода (с разбивкой)'!B38)</f>
        <v>48.701989271577212</v>
      </c>
      <c r="C94" s="3063">
        <f>SUM('цех вода (с разбивкой)'!C38)</f>
        <v>48.701989271577212</v>
      </c>
      <c r="D94" s="3063">
        <f>SUM('цех вода (с разбивкой)'!D38)</f>
        <v>0</v>
      </c>
      <c r="E94" s="3092">
        <f>SUM('цех вода (с разбивкой)'!E38)</f>
        <v>4.0584991059647679</v>
      </c>
      <c r="F94" s="3092">
        <f>SUM('цех вода (с разбивкой)'!F38)</f>
        <v>4.0584991059647679</v>
      </c>
      <c r="G94" s="3092">
        <f>SUM('цех вода (с разбивкой)'!G38)</f>
        <v>4.0584991059647679</v>
      </c>
      <c r="H94" s="3063">
        <f>SUM('цех вода (с разбивкой)'!H38)</f>
        <v>12.175497317894305</v>
      </c>
      <c r="I94" s="3092">
        <f>SUM('цех вода (с разбивкой)'!I38)</f>
        <v>4.0584991059647679</v>
      </c>
      <c r="J94" s="3092">
        <f>SUM('цех вода (с разбивкой)'!J38)</f>
        <v>4.0584991059647679</v>
      </c>
      <c r="K94" s="3092">
        <f>SUM('цех вода (с разбивкой)'!K38)</f>
        <v>4.0584991059647679</v>
      </c>
      <c r="L94" s="3063">
        <f>SUM('цех вода (с разбивкой)'!L38)</f>
        <v>12.175497317894305</v>
      </c>
      <c r="M94" s="3063">
        <f>SUM('цех вода (с разбивкой)'!M38)</f>
        <v>24.350994635788609</v>
      </c>
      <c r="N94" s="3092">
        <f>SUM('цех вода (с разбивкой)'!N38)</f>
        <v>4.0584991059647679</v>
      </c>
      <c r="O94" s="3092">
        <f>SUM('цех вода (с разбивкой)'!O38)</f>
        <v>4.0584991059647679</v>
      </c>
      <c r="P94" s="3092">
        <f>SUM('цех вода (с разбивкой)'!P38)</f>
        <v>4.0584991059647679</v>
      </c>
      <c r="Q94" s="3063">
        <f>SUM('цех вода (с разбивкой)'!Q38)</f>
        <v>12.175497317894305</v>
      </c>
      <c r="R94" s="3063">
        <f>SUM('цех вода (с разбивкой)'!R38)</f>
        <v>36.526491953682914</v>
      </c>
      <c r="S94" s="3092">
        <f>SUM('цех вода (с разбивкой)'!S38)</f>
        <v>4.0584991059647679</v>
      </c>
      <c r="T94" s="3092">
        <f>SUM('цех вода (с разбивкой)'!T38)</f>
        <v>4.0584991059647679</v>
      </c>
      <c r="U94" s="3092">
        <f>SUM('цех вода (с разбивкой)'!U38)</f>
        <v>4.0584991059647679</v>
      </c>
      <c r="V94" s="3063">
        <f>SUM('цех вода (с разбивкой)'!V38)</f>
        <v>12.175497317894305</v>
      </c>
      <c r="W94" s="3087">
        <f t="shared" si="112"/>
        <v>48.701989271577226</v>
      </c>
      <c r="X94" s="430"/>
      <c r="Y94" s="430"/>
      <c r="Z94" s="430"/>
      <c r="AA94" s="430"/>
      <c r="AB94" s="430"/>
      <c r="AC94" s="430"/>
      <c r="AD94" s="430"/>
      <c r="AE94" s="430"/>
      <c r="AF94" s="430"/>
      <c r="AG94" s="430"/>
      <c r="AH94" s="430"/>
      <c r="AI94" s="430"/>
      <c r="AJ94" s="430"/>
      <c r="AK94" s="430"/>
      <c r="AL94" s="430"/>
      <c r="AM94" s="430"/>
      <c r="AN94" s="430"/>
      <c r="AO94" s="430"/>
      <c r="AP94" s="430"/>
      <c r="AQ94" s="430"/>
      <c r="AR94" s="430"/>
      <c r="AS94" s="430"/>
      <c r="AT94" s="430"/>
      <c r="AU94" s="430"/>
      <c r="AV94" s="430"/>
      <c r="AW94" s="430"/>
      <c r="AX94" s="430"/>
    </row>
    <row r="95" spans="1:50" ht="18.75">
      <c r="A95" s="3091" t="s">
        <v>606</v>
      </c>
      <c r="B95" s="3063">
        <f>SUM('цех вода (с разбивкой)'!B39)</f>
        <v>5483.5807379835305</v>
      </c>
      <c r="C95" s="3063">
        <f>SUM('цех вода (с разбивкой)'!C39)</f>
        <v>5483.5807379835305</v>
      </c>
      <c r="D95" s="3063">
        <f>SUM('цех вода (с разбивкой)'!D39)</f>
        <v>0</v>
      </c>
      <c r="E95" s="3092">
        <f>SUM('цех вода (с разбивкой)'!E39)</f>
        <v>869.6876779516715</v>
      </c>
      <c r="F95" s="3092">
        <f>SUM('цех вода (с разбивкой)'!F39)</f>
        <v>751.73701088208952</v>
      </c>
      <c r="G95" s="3092">
        <f>SUM('цех вода (с разбивкой)'!G39)</f>
        <v>700.655474408435</v>
      </c>
      <c r="H95" s="3063">
        <f>SUM('цех вода (с разбивкой)'!H39)</f>
        <v>2322.0801632421962</v>
      </c>
      <c r="I95" s="3092">
        <f>SUM('цех вода (с разбивкой)'!I39)</f>
        <v>522.45186503116122</v>
      </c>
      <c r="J95" s="3092">
        <f>SUM('цех вода (с разбивкой)'!J39)</f>
        <v>161.8011599951937</v>
      </c>
      <c r="K95" s="3092">
        <f>SUM('цех вода (с разбивкой)'!K39)</f>
        <v>50.786083407072617</v>
      </c>
      <c r="L95" s="3063">
        <f>SUM('цех вода (с разбивкой)'!L39)</f>
        <v>735.03910843342749</v>
      </c>
      <c r="M95" s="3063">
        <f>SUM('цех вода (с разбивкой)'!M39)</f>
        <v>3057.1192716756236</v>
      </c>
      <c r="N95" s="3092">
        <f>SUM('цех вода (с разбивкой)'!N39)</f>
        <v>50.786083407072617</v>
      </c>
      <c r="O95" s="3092">
        <f>SUM('цех вода (с разбивкой)'!O39)</f>
        <v>50.786083407072617</v>
      </c>
      <c r="P95" s="3092">
        <f>SUM('цех вода (с разбивкой)'!P39)</f>
        <v>254.2215534714401</v>
      </c>
      <c r="Q95" s="3063">
        <f>SUM('цех вода (с разбивкой)'!Q39)</f>
        <v>355.79372028558532</v>
      </c>
      <c r="R95" s="3063">
        <f>SUM('цех вода (с разбивкой)'!R39)</f>
        <v>3412.9129919612087</v>
      </c>
      <c r="S95" s="3092">
        <f>SUM('цех вода (с разбивкой)'!S39)</f>
        <v>550.85675836352334</v>
      </c>
      <c r="T95" s="3092">
        <f>SUM('цех вода (с разбивкой)'!T39)</f>
        <v>679.59956925333654</v>
      </c>
      <c r="U95" s="3092">
        <f>SUM('цех вода (с разбивкой)'!U39)</f>
        <v>840.21141840546215</v>
      </c>
      <c r="V95" s="3063">
        <f>SUM('цех вода (с разбивкой)'!V39)</f>
        <v>2070.6677460223218</v>
      </c>
      <c r="W95" s="3087">
        <f t="shared" si="112"/>
        <v>5483.5807379835314</v>
      </c>
      <c r="X95" s="430"/>
      <c r="Y95" s="430"/>
      <c r="Z95" s="430"/>
      <c r="AA95" s="430"/>
      <c r="AB95" s="430"/>
      <c r="AC95" s="430"/>
      <c r="AD95" s="430"/>
      <c r="AE95" s="430"/>
      <c r="AF95" s="430"/>
      <c r="AG95" s="430"/>
      <c r="AH95" s="430"/>
      <c r="AI95" s="430"/>
      <c r="AJ95" s="430"/>
      <c r="AK95" s="430"/>
      <c r="AL95" s="430"/>
      <c r="AM95" s="430"/>
      <c r="AN95" s="430"/>
      <c r="AO95" s="430"/>
      <c r="AP95" s="430"/>
      <c r="AQ95" s="430"/>
      <c r="AR95" s="430"/>
      <c r="AS95" s="430"/>
      <c r="AT95" s="430"/>
      <c r="AU95" s="430"/>
      <c r="AV95" s="430"/>
      <c r="AW95" s="430"/>
      <c r="AX95" s="430"/>
    </row>
    <row r="96" spans="1:50" ht="18.75">
      <c r="A96" s="3093" t="s">
        <v>562</v>
      </c>
      <c r="B96" s="3067">
        <f>SUM('цех вода (с разбивкой)'!B40)</f>
        <v>4874.1477370986595</v>
      </c>
      <c r="C96" s="3067">
        <f>SUM('цех вода (с разбивкой)'!C40)</f>
        <v>4874.1477370986595</v>
      </c>
      <c r="D96" s="3067">
        <f>SUM('цех вода (с разбивкой)'!D40)</f>
        <v>0</v>
      </c>
      <c r="E96" s="3094">
        <f>SUM('цех вода (с разбивкой)'!E40)</f>
        <v>818.90159454459888</v>
      </c>
      <c r="F96" s="3094">
        <f>SUM('цех вода (с разбивкой)'!F40)</f>
        <v>700.9509274750169</v>
      </c>
      <c r="G96" s="3094">
        <f>SUM('цех вода (с разбивкой)'!G40)</f>
        <v>649.86939100136237</v>
      </c>
      <c r="H96" s="3067">
        <f>SUM('цех вода (с разбивкой)'!H40)</f>
        <v>2169.7219130209778</v>
      </c>
      <c r="I96" s="3094">
        <f>SUM('цех вода (с разбивкой)'!I40)</f>
        <v>471.66578162408865</v>
      </c>
      <c r="J96" s="3094">
        <f>SUM('цех вода (с разбивкой)'!J40)</f>
        <v>111.01507658812108</v>
      </c>
      <c r="K96" s="3094">
        <f>SUM('цех вода (с разбивкой)'!K40)</f>
        <v>0</v>
      </c>
      <c r="L96" s="3067">
        <f>SUM('цех вода (с разбивкой)'!L40)</f>
        <v>582.68085821220973</v>
      </c>
      <c r="M96" s="3067">
        <f>SUM('цех вода (с разбивкой)'!M40)</f>
        <v>2752.4027712331877</v>
      </c>
      <c r="N96" s="3094">
        <f>SUM('цех вода (с разбивкой)'!N40)</f>
        <v>0</v>
      </c>
      <c r="O96" s="3094">
        <f>SUM('цех вода (с разбивкой)'!O40)</f>
        <v>0</v>
      </c>
      <c r="P96" s="3094">
        <f>SUM('цех вода (с разбивкой)'!P40)</f>
        <v>203.43547006436748</v>
      </c>
      <c r="Q96" s="3067">
        <f>SUM('цех вода (с разбивкой)'!Q40)</f>
        <v>203.43547006436748</v>
      </c>
      <c r="R96" s="3067">
        <f>SUM('цех вода (с разбивкой)'!R40)</f>
        <v>2955.8382412975552</v>
      </c>
      <c r="S96" s="3094">
        <f>SUM('цех вода (с разбивкой)'!S40)</f>
        <v>500.07067495645077</v>
      </c>
      <c r="T96" s="3094">
        <f>SUM('цех вода (с разбивкой)'!T40)</f>
        <v>628.81348584626392</v>
      </c>
      <c r="U96" s="3094">
        <f>SUM('цех вода (с разбивкой)'!U40)</f>
        <v>789.42533499838953</v>
      </c>
      <c r="V96" s="3067">
        <f>SUM('цех вода (с разбивкой)'!V40)</f>
        <v>1918.3094958011043</v>
      </c>
      <c r="W96" s="3087">
        <f t="shared" si="112"/>
        <v>4874.1477370986595</v>
      </c>
      <c r="X96" s="430"/>
      <c r="Y96" s="430"/>
      <c r="Z96" s="430"/>
      <c r="AA96" s="430"/>
      <c r="AB96" s="430"/>
      <c r="AC96" s="430"/>
      <c r="AD96" s="430"/>
      <c r="AE96" s="430"/>
      <c r="AF96" s="430"/>
      <c r="AG96" s="430"/>
      <c r="AH96" s="430"/>
      <c r="AI96" s="430"/>
      <c r="AJ96" s="430"/>
      <c r="AK96" s="430"/>
      <c r="AL96" s="430"/>
      <c r="AM96" s="430"/>
      <c r="AN96" s="430"/>
      <c r="AO96" s="430"/>
      <c r="AP96" s="430"/>
      <c r="AQ96" s="430"/>
      <c r="AR96" s="430"/>
      <c r="AS96" s="430"/>
      <c r="AT96" s="430"/>
      <c r="AU96" s="430"/>
      <c r="AV96" s="430"/>
      <c r="AW96" s="430"/>
      <c r="AX96" s="430"/>
    </row>
    <row r="97" spans="1:50" ht="18.75">
      <c r="A97" s="3093" t="s">
        <v>564</v>
      </c>
      <c r="B97" s="3067">
        <f>SUM('цех вода (с разбивкой)'!B41)</f>
        <v>577.84252135736187</v>
      </c>
      <c r="C97" s="3067">
        <f>SUM('цех вода (с разбивкой)'!C41)</f>
        <v>577.84252135736187</v>
      </c>
      <c r="D97" s="3067">
        <f>SUM('цех вода (с разбивкой)'!D41)</f>
        <v>0</v>
      </c>
      <c r="E97" s="3094">
        <f>SUM('цех вода (с разбивкой)'!E41)</f>
        <v>48.153543446446825</v>
      </c>
      <c r="F97" s="3094">
        <f>SUM('цех вода (с разбивкой)'!F41)</f>
        <v>48.153543446446825</v>
      </c>
      <c r="G97" s="3094">
        <f>SUM('цех вода (с разбивкой)'!G41)</f>
        <v>48.153543446446825</v>
      </c>
      <c r="H97" s="3067">
        <f>SUM('цех вода (с разбивкой)'!H41)</f>
        <v>144.46063033934047</v>
      </c>
      <c r="I97" s="3094">
        <f>SUM('цех вода (с разбивкой)'!I41)</f>
        <v>48.153543446446825</v>
      </c>
      <c r="J97" s="3094">
        <f>SUM('цех вода (с разбивкой)'!J41)</f>
        <v>48.153543446446825</v>
      </c>
      <c r="K97" s="3094">
        <f>SUM('цех вода (с разбивкой)'!K41)</f>
        <v>48.153543446446825</v>
      </c>
      <c r="L97" s="3067">
        <f>SUM('цех вода (с разбивкой)'!L41)</f>
        <v>144.46063033934047</v>
      </c>
      <c r="M97" s="3067">
        <f>SUM('цех вода (с разбивкой)'!M41)</f>
        <v>288.92126067868094</v>
      </c>
      <c r="N97" s="3094">
        <f>SUM('цех вода (с разбивкой)'!N41)</f>
        <v>48.153543446446825</v>
      </c>
      <c r="O97" s="3094">
        <f>SUM('цех вода (с разбивкой)'!O41)</f>
        <v>48.153543446446825</v>
      </c>
      <c r="P97" s="3094">
        <f>SUM('цех вода (с разбивкой)'!P41)</f>
        <v>48.153543446446825</v>
      </c>
      <c r="Q97" s="3067">
        <f>SUM('цех вода (с разбивкой)'!Q41)</f>
        <v>144.46063033934047</v>
      </c>
      <c r="R97" s="3067">
        <f>SUM('цех вода (с разбивкой)'!R41)</f>
        <v>433.38189101802141</v>
      </c>
      <c r="S97" s="3094">
        <f>SUM('цех вода (с разбивкой)'!S41)</f>
        <v>48.153543446446825</v>
      </c>
      <c r="T97" s="3094">
        <f>SUM('цех вода (с разбивкой)'!T41)</f>
        <v>48.153543446446825</v>
      </c>
      <c r="U97" s="3094">
        <f>SUM('цех вода (с разбивкой)'!U41)</f>
        <v>48.153543446446825</v>
      </c>
      <c r="V97" s="3067">
        <f>SUM('цех вода (с разбивкой)'!V41)</f>
        <v>144.46063033934047</v>
      </c>
      <c r="W97" s="3087">
        <f t="shared" si="112"/>
        <v>577.84252135736187</v>
      </c>
      <c r="X97" s="430"/>
      <c r="Y97" s="430"/>
      <c r="Z97" s="430"/>
      <c r="AA97" s="430"/>
      <c r="AB97" s="430"/>
      <c r="AC97" s="430"/>
      <c r="AD97" s="430"/>
      <c r="AE97" s="430"/>
      <c r="AF97" s="430"/>
      <c r="AG97" s="430"/>
      <c r="AH97" s="430"/>
      <c r="AI97" s="430"/>
      <c r="AJ97" s="430"/>
      <c r="AK97" s="430"/>
      <c r="AL97" s="430"/>
      <c r="AM97" s="430"/>
      <c r="AN97" s="430"/>
      <c r="AO97" s="430"/>
      <c r="AP97" s="430"/>
      <c r="AQ97" s="430"/>
      <c r="AR97" s="430"/>
      <c r="AS97" s="430"/>
      <c r="AT97" s="430"/>
      <c r="AU97" s="430"/>
      <c r="AV97" s="430"/>
      <c r="AW97" s="430"/>
      <c r="AX97" s="430"/>
    </row>
    <row r="98" spans="1:50" ht="18.75">
      <c r="A98" s="3093" t="s">
        <v>563</v>
      </c>
      <c r="B98" s="3067">
        <f>SUM('цех вода (с разбивкой)'!B42)</f>
        <v>0</v>
      </c>
      <c r="C98" s="3067">
        <f>SUM('цех вода (с разбивкой)'!C42)</f>
        <v>0</v>
      </c>
      <c r="D98" s="3067">
        <f>SUM('цех вода (с разбивкой)'!D42)</f>
        <v>0</v>
      </c>
      <c r="E98" s="3094">
        <f>SUM('цех вода (с разбивкой)'!E42)</f>
        <v>0</v>
      </c>
      <c r="F98" s="3094">
        <f>SUM('цех вода (с разбивкой)'!F42)</f>
        <v>0</v>
      </c>
      <c r="G98" s="3094">
        <f>SUM('цех вода (с разбивкой)'!G42)</f>
        <v>0</v>
      </c>
      <c r="H98" s="3067">
        <f>SUM('цех вода (с разбивкой)'!H42)</f>
        <v>0</v>
      </c>
      <c r="I98" s="3094">
        <f>SUM('цех вода (с разбивкой)'!I42)</f>
        <v>0</v>
      </c>
      <c r="J98" s="3094">
        <f>SUM('цех вода (с разбивкой)'!J42)</f>
        <v>0</v>
      </c>
      <c r="K98" s="3094">
        <f>SUM('цех вода (с разбивкой)'!K42)</f>
        <v>0</v>
      </c>
      <c r="L98" s="3067">
        <f>SUM('цех вода (с разбивкой)'!L42)</f>
        <v>0</v>
      </c>
      <c r="M98" s="3067">
        <f>SUM('цех вода (с разбивкой)'!M42)</f>
        <v>0</v>
      </c>
      <c r="N98" s="3094">
        <f>SUM('цех вода (с разбивкой)'!N42)</f>
        <v>0</v>
      </c>
      <c r="O98" s="3094">
        <f>SUM('цех вода (с разбивкой)'!O42)</f>
        <v>0</v>
      </c>
      <c r="P98" s="3094">
        <f>SUM('цех вода (с разбивкой)'!P42)</f>
        <v>0</v>
      </c>
      <c r="Q98" s="3067">
        <f>SUM('цех вода (с разбивкой)'!Q42)</f>
        <v>0</v>
      </c>
      <c r="R98" s="3067">
        <f>SUM('цех вода (с разбивкой)'!R42)</f>
        <v>0</v>
      </c>
      <c r="S98" s="3094">
        <f>SUM('цех вода (с разбивкой)'!S42)</f>
        <v>0</v>
      </c>
      <c r="T98" s="3094">
        <f>SUM('цех вода (с разбивкой)'!T42)</f>
        <v>0</v>
      </c>
      <c r="U98" s="3094">
        <f>SUM('цех вода (с разбивкой)'!U42)</f>
        <v>0</v>
      </c>
      <c r="V98" s="3067">
        <f>SUM('цех вода (с разбивкой)'!V42)</f>
        <v>0</v>
      </c>
      <c r="W98" s="3087">
        <f t="shared" si="112"/>
        <v>0</v>
      </c>
      <c r="X98" s="430"/>
      <c r="Y98" s="430"/>
      <c r="Z98" s="430"/>
      <c r="AA98" s="430"/>
      <c r="AB98" s="430"/>
      <c r="AC98" s="430"/>
      <c r="AD98" s="430"/>
      <c r="AE98" s="430"/>
      <c r="AF98" s="430"/>
      <c r="AG98" s="430"/>
      <c r="AH98" s="430"/>
      <c r="AI98" s="430"/>
      <c r="AJ98" s="430"/>
      <c r="AK98" s="430"/>
      <c r="AL98" s="430"/>
      <c r="AM98" s="430"/>
      <c r="AN98" s="430"/>
      <c r="AO98" s="430"/>
      <c r="AP98" s="430"/>
      <c r="AQ98" s="430"/>
      <c r="AR98" s="430"/>
      <c r="AS98" s="430"/>
      <c r="AT98" s="430"/>
      <c r="AU98" s="430"/>
      <c r="AV98" s="430"/>
      <c r="AW98" s="430"/>
      <c r="AX98" s="430"/>
    </row>
    <row r="99" spans="1:50" ht="18.75">
      <c r="A99" s="3093" t="s">
        <v>565</v>
      </c>
      <c r="B99" s="3067">
        <f>SUM('цех вода (с разбивкой)'!B43)</f>
        <v>31.590479527509537</v>
      </c>
      <c r="C99" s="3067">
        <f>SUM('цех вода (с разбивкой)'!C43)</f>
        <v>31.590479527509537</v>
      </c>
      <c r="D99" s="3067">
        <f>SUM('цех вода (с разбивкой)'!D43)</f>
        <v>0</v>
      </c>
      <c r="E99" s="3094">
        <f>SUM('цех вода (с разбивкой)'!E43)</f>
        <v>2.6325399606257949</v>
      </c>
      <c r="F99" s="3094">
        <f>SUM('цех вода (с разбивкой)'!F43)</f>
        <v>2.6325399606257949</v>
      </c>
      <c r="G99" s="3094">
        <f>SUM('цех вода (с разбивкой)'!G43)</f>
        <v>2.6325399606257949</v>
      </c>
      <c r="H99" s="3067">
        <f>SUM('цех вода (с разбивкой)'!H43)</f>
        <v>7.8976198818773842</v>
      </c>
      <c r="I99" s="3094">
        <f>SUM('цех вода (с разбивкой)'!I43)</f>
        <v>2.6325399606257949</v>
      </c>
      <c r="J99" s="3094">
        <f>SUM('цех вода (с разбивкой)'!J43)</f>
        <v>2.6325399606257949</v>
      </c>
      <c r="K99" s="3094">
        <f>SUM('цех вода (с разбивкой)'!K43)</f>
        <v>2.6325399606257949</v>
      </c>
      <c r="L99" s="3067">
        <f>SUM('цех вода (с разбивкой)'!L43)</f>
        <v>7.8976198818773842</v>
      </c>
      <c r="M99" s="3067">
        <f>SUM('цех вода (с разбивкой)'!M43)</f>
        <v>15.795239763754768</v>
      </c>
      <c r="N99" s="3094">
        <f>SUM('цех вода (с разбивкой)'!N43)</f>
        <v>2.6325399606257949</v>
      </c>
      <c r="O99" s="3094">
        <f>SUM('цех вода (с разбивкой)'!O43)</f>
        <v>2.6325399606257949</v>
      </c>
      <c r="P99" s="3094">
        <f>SUM('цех вода (с разбивкой)'!P43)</f>
        <v>2.6325399606257949</v>
      </c>
      <c r="Q99" s="3067">
        <f>SUM('цех вода (с разбивкой)'!Q43)</f>
        <v>7.8976198818773842</v>
      </c>
      <c r="R99" s="3067">
        <f>SUM('цех вода (с разбивкой)'!R43)</f>
        <v>23.692859645632154</v>
      </c>
      <c r="S99" s="3094">
        <f>SUM('цех вода (с разбивкой)'!S43)</f>
        <v>2.6325399606257949</v>
      </c>
      <c r="T99" s="3094">
        <f>SUM('цех вода (с разбивкой)'!T43)</f>
        <v>2.6325399606257949</v>
      </c>
      <c r="U99" s="3094">
        <f>SUM('цех вода (с разбивкой)'!U43)</f>
        <v>2.6325399606257949</v>
      </c>
      <c r="V99" s="3067">
        <f>SUM('цех вода (с разбивкой)'!V43)</f>
        <v>7.8976198818773842</v>
      </c>
      <c r="W99" s="3087">
        <f t="shared" si="112"/>
        <v>31.59047952750954</v>
      </c>
      <c r="X99" s="430"/>
      <c r="Y99" s="430"/>
      <c r="Z99" s="430"/>
      <c r="AA99" s="430"/>
      <c r="AB99" s="430"/>
      <c r="AC99" s="430"/>
      <c r="AD99" s="430"/>
      <c r="AE99" s="430"/>
      <c r="AF99" s="430"/>
      <c r="AG99" s="430"/>
      <c r="AH99" s="430"/>
      <c r="AI99" s="430"/>
      <c r="AJ99" s="430"/>
      <c r="AK99" s="430"/>
      <c r="AL99" s="430"/>
      <c r="AM99" s="430"/>
      <c r="AN99" s="430"/>
      <c r="AO99" s="430"/>
      <c r="AP99" s="430"/>
      <c r="AQ99" s="430"/>
      <c r="AR99" s="430"/>
      <c r="AS99" s="430"/>
      <c r="AT99" s="430"/>
      <c r="AU99" s="430"/>
      <c r="AV99" s="430"/>
      <c r="AW99" s="430"/>
      <c r="AX99" s="430"/>
    </row>
    <row r="100" spans="1:50" ht="18.75">
      <c r="A100" s="3091" t="s">
        <v>609</v>
      </c>
      <c r="B100" s="3063">
        <f>SUM('цех вода (с разбивкой)'!B44)</f>
        <v>326.43495511759858</v>
      </c>
      <c r="C100" s="3063">
        <f>SUM('цех вода (с разбивкой)'!C44)</f>
        <v>326.43495511759858</v>
      </c>
      <c r="D100" s="3063">
        <f>SUM('цех вода (с разбивкой)'!D44)</f>
        <v>0</v>
      </c>
      <c r="E100" s="3092">
        <f>SUM('цех вода (с разбивкой)'!E44)</f>
        <v>24.630175498612967</v>
      </c>
      <c r="F100" s="3092">
        <f>SUM('цех вода (с разбивкой)'!F44)</f>
        <v>24.630175498612967</v>
      </c>
      <c r="G100" s="3092">
        <f>SUM('цех вода (с разбивкой)'!G44)</f>
        <v>24.630175498612967</v>
      </c>
      <c r="H100" s="3063">
        <f>SUM('цех вода (с разбивкой)'!H44)</f>
        <v>73.890526495838898</v>
      </c>
      <c r="I100" s="3092">
        <f>SUM('цех вода (с разбивкой)'!I44)</f>
        <v>24.856442308228758</v>
      </c>
      <c r="J100" s="3092">
        <f>SUM('цех вода (с разбивкой)'!J44)</f>
        <v>28.60241504520123</v>
      </c>
      <c r="K100" s="3092">
        <f>SUM('цех вода (с разбивкой)'!K44)</f>
        <v>31.870713406318153</v>
      </c>
      <c r="L100" s="3063">
        <f>SUM('цех вода (с разбивкой)'!L44)</f>
        <v>85.329570759748151</v>
      </c>
      <c r="M100" s="3063">
        <f>SUM('цех вода (с разбивкой)'!M44)</f>
        <v>159.22009725558706</v>
      </c>
      <c r="N100" s="3092">
        <f>SUM('цех вода (с разбивкой)'!N44)</f>
        <v>32.851202914653229</v>
      </c>
      <c r="O100" s="3092">
        <f>SUM('цех вода (с разбивкой)'!O44)</f>
        <v>31.870713406318153</v>
      </c>
      <c r="P100" s="3092">
        <f>SUM('цех вода (с разбивкой)'!P44)</f>
        <v>28.60241504520123</v>
      </c>
      <c r="Q100" s="3063">
        <f>SUM('цех вода (с разбивкой)'!Q44)</f>
        <v>93.324331366172615</v>
      </c>
      <c r="R100" s="3063">
        <f>SUM('цех вода (с разбивкой)'!R44)</f>
        <v>252.54442862175966</v>
      </c>
      <c r="S100" s="3092">
        <f>SUM('цех вода (с разбивкой)'!S44)</f>
        <v>24.630175498612967</v>
      </c>
      <c r="T100" s="3092">
        <f>SUM('цех вода (с разбивкой)'!T44)</f>
        <v>24.630175498612967</v>
      </c>
      <c r="U100" s="3092">
        <f>SUM('цех вода (с разбивкой)'!U44)</f>
        <v>24.630175498612967</v>
      </c>
      <c r="V100" s="3063">
        <f>SUM('цех вода (с разбивкой)'!V44)</f>
        <v>73.890526495838898</v>
      </c>
      <c r="W100" s="3087">
        <f t="shared" si="112"/>
        <v>326.43495511759852</v>
      </c>
      <c r="X100" s="430"/>
      <c r="Y100" s="430"/>
      <c r="Z100" s="430"/>
      <c r="AA100" s="430"/>
      <c r="AB100" s="430"/>
      <c r="AC100" s="430"/>
      <c r="AD100" s="430"/>
      <c r="AE100" s="430"/>
      <c r="AF100" s="430"/>
      <c r="AG100" s="430"/>
      <c r="AH100" s="430"/>
      <c r="AI100" s="430"/>
      <c r="AJ100" s="430"/>
      <c r="AK100" s="430"/>
      <c r="AL100" s="430"/>
      <c r="AM100" s="430"/>
      <c r="AN100" s="430"/>
      <c r="AO100" s="430"/>
      <c r="AP100" s="430"/>
      <c r="AQ100" s="430"/>
      <c r="AR100" s="430"/>
      <c r="AS100" s="430"/>
      <c r="AT100" s="430"/>
      <c r="AU100" s="430"/>
      <c r="AV100" s="430"/>
      <c r="AW100" s="430"/>
      <c r="AX100" s="430"/>
    </row>
    <row r="101" spans="1:50" ht="18.75">
      <c r="A101" s="3093" t="s">
        <v>551</v>
      </c>
      <c r="B101" s="3067">
        <f>SUM('цех вода (с разбивкой)'!B45)</f>
        <v>251.40756623976341</v>
      </c>
      <c r="C101" s="3067">
        <f>SUM('цех вода (с разбивкой)'!C45)</f>
        <v>251.40756623976341</v>
      </c>
      <c r="D101" s="3067">
        <f>SUM('цех вода (с разбивкой)'!D45)</f>
        <v>0</v>
      </c>
      <c r="E101" s="3094">
        <f>SUM('цех вода (с разбивкой)'!E45)</f>
        <v>18.377893092126705</v>
      </c>
      <c r="F101" s="3094">
        <f>SUM('цех вода (с разбивкой)'!F45)</f>
        <v>18.377893092126705</v>
      </c>
      <c r="G101" s="3094">
        <f>SUM('цех вода (с разбивкой)'!G45)</f>
        <v>18.377893092126705</v>
      </c>
      <c r="H101" s="3067">
        <f>SUM('цех вода (с разбивкой)'!H45)</f>
        <v>55.133679276380114</v>
      </c>
      <c r="I101" s="3094">
        <f>SUM('цех вода (с разбивкой)'!I45)</f>
        <v>18.604159901742495</v>
      </c>
      <c r="J101" s="3094">
        <f>SUM('цех вода (с разбивкой)'!J45)</f>
        <v>22.350132638714967</v>
      </c>
      <c r="K101" s="3094">
        <f>SUM('цех вода (с разбивкой)'!K45)</f>
        <v>25.61843099983189</v>
      </c>
      <c r="L101" s="3067">
        <f>SUM('цех вода (с разбивкой)'!L45)</f>
        <v>66.572723540289346</v>
      </c>
      <c r="M101" s="3067">
        <f>SUM('цех вода (с разбивкой)'!M45)</f>
        <v>121.70640281666945</v>
      </c>
      <c r="N101" s="3094">
        <f>SUM('цех вода (с разбивкой)'!N45)</f>
        <v>26.59892050816697</v>
      </c>
      <c r="O101" s="3094">
        <f>SUM('цех вода (с разбивкой)'!O45)</f>
        <v>25.61843099983189</v>
      </c>
      <c r="P101" s="3094">
        <f>SUM('цех вода (с разбивкой)'!P45)</f>
        <v>22.350132638714967</v>
      </c>
      <c r="Q101" s="3067">
        <f>SUM('цех вода (с разбивкой)'!Q45)</f>
        <v>74.567484146713824</v>
      </c>
      <c r="R101" s="3067">
        <f>SUM('цех вода (с разбивкой)'!R45)</f>
        <v>196.27388696338329</v>
      </c>
      <c r="S101" s="3094">
        <f>SUM('цех вода (с разбивкой)'!S45)</f>
        <v>18.377893092126705</v>
      </c>
      <c r="T101" s="3094">
        <f>SUM('цех вода (с разбивкой)'!T45)</f>
        <v>18.377893092126705</v>
      </c>
      <c r="U101" s="3094">
        <f>SUM('цех вода (с разбивкой)'!U45)</f>
        <v>18.377893092126705</v>
      </c>
      <c r="V101" s="3067">
        <f>SUM('цех вода (с разбивкой)'!V45)</f>
        <v>55.133679276380114</v>
      </c>
      <c r="W101" s="3087">
        <f t="shared" si="112"/>
        <v>251.40756623976338</v>
      </c>
      <c r="X101" s="430"/>
      <c r="Y101" s="430"/>
      <c r="Z101" s="430"/>
      <c r="AA101" s="430"/>
      <c r="AB101" s="430"/>
      <c r="AC101" s="430"/>
      <c r="AD101" s="430"/>
      <c r="AE101" s="430"/>
      <c r="AF101" s="430"/>
      <c r="AG101" s="430"/>
      <c r="AH101" s="430"/>
      <c r="AI101" s="430"/>
      <c r="AJ101" s="430"/>
      <c r="AK101" s="430"/>
      <c r="AL101" s="430"/>
      <c r="AM101" s="430"/>
      <c r="AN101" s="430"/>
      <c r="AO101" s="430"/>
      <c r="AP101" s="430"/>
      <c r="AQ101" s="430"/>
      <c r="AR101" s="430"/>
      <c r="AS101" s="430"/>
      <c r="AT101" s="430"/>
      <c r="AU101" s="430"/>
      <c r="AV101" s="430"/>
      <c r="AW101" s="430"/>
      <c r="AX101" s="430"/>
    </row>
    <row r="102" spans="1:50" ht="18.75">
      <c r="A102" s="3093" t="s">
        <v>643</v>
      </c>
      <c r="B102" s="3067">
        <f>SUM('цех вода (с разбивкой)'!B46)</f>
        <v>11.846429822816077</v>
      </c>
      <c r="C102" s="3067">
        <f>SUM('цех вода (с разбивкой)'!C46)</f>
        <v>11.846429822816077</v>
      </c>
      <c r="D102" s="3067">
        <f>SUM('цех вода (с разбивкой)'!D46)</f>
        <v>0</v>
      </c>
      <c r="E102" s="3094">
        <f>SUM('цех вода (с разбивкой)'!E46)</f>
        <v>0.98720248523467313</v>
      </c>
      <c r="F102" s="3094">
        <f>SUM('цех вода (с разбивкой)'!F46)</f>
        <v>0.98720248523467313</v>
      </c>
      <c r="G102" s="3094">
        <f>SUM('цех вода (с разбивкой)'!G46)</f>
        <v>0.98720248523467313</v>
      </c>
      <c r="H102" s="3067">
        <f>SUM('цех вода (с разбивкой)'!H46)</f>
        <v>2.9616074557040193</v>
      </c>
      <c r="I102" s="3094">
        <f>SUM('цех вода (с разбивкой)'!I46)</f>
        <v>0.98720248523467313</v>
      </c>
      <c r="J102" s="3094">
        <f>SUM('цех вода (с разбивкой)'!J46)</f>
        <v>0.98720248523467313</v>
      </c>
      <c r="K102" s="3094">
        <f>SUM('цех вода (с разбивкой)'!K46)</f>
        <v>0.98720248523467313</v>
      </c>
      <c r="L102" s="3067">
        <f>SUM('цех вода (с разбивкой)'!L46)</f>
        <v>2.9616074557040193</v>
      </c>
      <c r="M102" s="3067">
        <f>SUM('цех вода (с разбивкой)'!M46)</f>
        <v>5.9232149114080386</v>
      </c>
      <c r="N102" s="3094">
        <f>SUM('цех вода (с разбивкой)'!N46)</f>
        <v>0.98720248523467313</v>
      </c>
      <c r="O102" s="3094">
        <f>SUM('цех вода (с разбивкой)'!O46)</f>
        <v>0.98720248523467313</v>
      </c>
      <c r="P102" s="3094">
        <f>SUM('цех вода (с разбивкой)'!P46)</f>
        <v>0.98720248523467313</v>
      </c>
      <c r="Q102" s="3067">
        <f>SUM('цех вода (с разбивкой)'!Q46)</f>
        <v>2.9616074557040193</v>
      </c>
      <c r="R102" s="3067">
        <f>SUM('цех вода (с разбивкой)'!R46)</f>
        <v>8.8848223671120579</v>
      </c>
      <c r="S102" s="3094">
        <f>SUM('цех вода (с разбивкой)'!S46)</f>
        <v>0.98720248523467313</v>
      </c>
      <c r="T102" s="3094">
        <f>SUM('цех вода (с разбивкой)'!T46)</f>
        <v>0.98720248523467313</v>
      </c>
      <c r="U102" s="3094">
        <f>SUM('цех вода (с разбивкой)'!U46)</f>
        <v>0.98720248523467313</v>
      </c>
      <c r="V102" s="3067">
        <f>SUM('цех вода (с разбивкой)'!V46)</f>
        <v>2.9616074557040193</v>
      </c>
      <c r="W102" s="3087">
        <f t="shared" si="112"/>
        <v>11.846429822816079</v>
      </c>
      <c r="X102" s="430"/>
      <c r="Y102" s="430"/>
      <c r="Z102" s="430"/>
      <c r="AA102" s="430"/>
      <c r="AB102" s="430"/>
      <c r="AC102" s="430"/>
      <c r="AD102" s="430"/>
      <c r="AE102" s="430"/>
      <c r="AF102" s="430"/>
      <c r="AG102" s="430"/>
      <c r="AH102" s="430"/>
      <c r="AI102" s="430"/>
      <c r="AJ102" s="430"/>
      <c r="AK102" s="430"/>
      <c r="AL102" s="430"/>
      <c r="AM102" s="430"/>
      <c r="AN102" s="430"/>
      <c r="AO102" s="430"/>
      <c r="AP102" s="430"/>
      <c r="AQ102" s="430"/>
      <c r="AR102" s="430"/>
      <c r="AS102" s="430"/>
      <c r="AT102" s="430"/>
      <c r="AU102" s="430"/>
      <c r="AV102" s="430"/>
      <c r="AW102" s="430"/>
      <c r="AX102" s="430"/>
    </row>
    <row r="103" spans="1:50" ht="18.75">
      <c r="A103" s="3093" t="s">
        <v>559</v>
      </c>
      <c r="B103" s="3067">
        <f>SUM('цех вода (с разбивкой)'!B47)</f>
        <v>61.86468907470617</v>
      </c>
      <c r="C103" s="3067">
        <f>SUM('цех вода (с разбивкой)'!C47)</f>
        <v>61.86468907470617</v>
      </c>
      <c r="D103" s="3067">
        <f>SUM('цех вода (с разбивкой)'!D47)</f>
        <v>0</v>
      </c>
      <c r="E103" s="3094">
        <f>SUM('цех вода (с разбивкой)'!E47)</f>
        <v>5.1553907562255139</v>
      </c>
      <c r="F103" s="3094">
        <f>SUM('цех вода (с разбивкой)'!F47)</f>
        <v>5.1553907562255139</v>
      </c>
      <c r="G103" s="3094">
        <f>SUM('цех вода (с разбивкой)'!G47)</f>
        <v>5.1553907562255139</v>
      </c>
      <c r="H103" s="3067">
        <f>SUM('цех вода (с разбивкой)'!H47)</f>
        <v>15.466172268676541</v>
      </c>
      <c r="I103" s="3094">
        <f>SUM('цех вода (с разбивкой)'!I47)</f>
        <v>5.1553907562255139</v>
      </c>
      <c r="J103" s="3094">
        <f>SUM('цех вода (с разбивкой)'!J47)</f>
        <v>5.1553907562255139</v>
      </c>
      <c r="K103" s="3094">
        <f>SUM('цех вода (с разбивкой)'!K47)</f>
        <v>5.1553907562255139</v>
      </c>
      <c r="L103" s="3067">
        <f>SUM('цех вода (с разбивкой)'!L47)</f>
        <v>15.466172268676541</v>
      </c>
      <c r="M103" s="3067">
        <f>SUM('цех вода (с разбивкой)'!M47)</f>
        <v>30.932344537353082</v>
      </c>
      <c r="N103" s="3094">
        <f>SUM('цех вода (с разбивкой)'!N47)</f>
        <v>5.1553907562255139</v>
      </c>
      <c r="O103" s="3094">
        <f>SUM('цех вода (с разбивкой)'!O47)</f>
        <v>5.1553907562255139</v>
      </c>
      <c r="P103" s="3094">
        <f>SUM('цех вода (с разбивкой)'!P47)</f>
        <v>5.1553907562255139</v>
      </c>
      <c r="Q103" s="3067">
        <f>SUM('цех вода (с разбивкой)'!Q47)</f>
        <v>15.466172268676541</v>
      </c>
      <c r="R103" s="3067">
        <f>SUM('цех вода (с разбивкой)'!R47)</f>
        <v>46.398516806029619</v>
      </c>
      <c r="S103" s="3094">
        <f>SUM('цех вода (с разбивкой)'!S47)</f>
        <v>5.1553907562255139</v>
      </c>
      <c r="T103" s="3094">
        <f>SUM('цех вода (с разбивкой)'!T47)</f>
        <v>5.1553907562255139</v>
      </c>
      <c r="U103" s="3094">
        <f>SUM('цех вода (с разбивкой)'!U47)</f>
        <v>5.1553907562255139</v>
      </c>
      <c r="V103" s="3067">
        <f>SUM('цех вода (с разбивкой)'!V47)</f>
        <v>15.466172268676541</v>
      </c>
      <c r="W103" s="3087">
        <f t="shared" si="112"/>
        <v>61.86468907470617</v>
      </c>
      <c r="X103" s="430"/>
      <c r="Y103" s="430"/>
      <c r="Z103" s="430"/>
      <c r="AA103" s="430"/>
      <c r="AB103" s="430"/>
      <c r="AC103" s="430"/>
      <c r="AD103" s="430"/>
      <c r="AE103" s="430"/>
      <c r="AF103" s="430"/>
      <c r="AG103" s="430"/>
      <c r="AH103" s="430"/>
      <c r="AI103" s="430"/>
      <c r="AJ103" s="430"/>
      <c r="AK103" s="430"/>
      <c r="AL103" s="430"/>
      <c r="AM103" s="430"/>
      <c r="AN103" s="430"/>
      <c r="AO103" s="430"/>
      <c r="AP103" s="430"/>
      <c r="AQ103" s="430"/>
      <c r="AR103" s="430"/>
      <c r="AS103" s="430"/>
      <c r="AT103" s="430"/>
      <c r="AU103" s="430"/>
      <c r="AV103" s="430"/>
      <c r="AW103" s="430"/>
      <c r="AX103" s="430"/>
    </row>
    <row r="104" spans="1:50" ht="18.75">
      <c r="A104" s="3093" t="s">
        <v>613</v>
      </c>
      <c r="B104" s="3067">
        <f>SUM('цех вода (с разбивкой)'!B48)</f>
        <v>1.3162699803128977</v>
      </c>
      <c r="C104" s="3067">
        <f>SUM('цех вода (с разбивкой)'!C48)</f>
        <v>1.3162699803128977</v>
      </c>
      <c r="D104" s="3067">
        <f>SUM('цех вода (с разбивкой)'!D48)</f>
        <v>0</v>
      </c>
      <c r="E104" s="3094">
        <f>SUM('цех вода (с разбивкой)'!E48)</f>
        <v>0.1096891650260748</v>
      </c>
      <c r="F104" s="3094">
        <f>SUM('цех вода (с разбивкой)'!F48)</f>
        <v>0.1096891650260748</v>
      </c>
      <c r="G104" s="3094">
        <f>SUM('цех вода (с разбивкой)'!G48)</f>
        <v>0.1096891650260748</v>
      </c>
      <c r="H104" s="3067">
        <f>SUM('цех вода (с разбивкой)'!H48)</f>
        <v>0.32906749507822441</v>
      </c>
      <c r="I104" s="3094">
        <f>SUM('цех вода (с разбивкой)'!I48)</f>
        <v>0.1096891650260748</v>
      </c>
      <c r="J104" s="3094">
        <f>SUM('цех вода (с разбивкой)'!J48)</f>
        <v>0.1096891650260748</v>
      </c>
      <c r="K104" s="3094">
        <f>SUM('цех вода (с разбивкой)'!K48)</f>
        <v>0.1096891650260748</v>
      </c>
      <c r="L104" s="3067">
        <f>SUM('цех вода (с разбивкой)'!L48)</f>
        <v>0.32906749507822441</v>
      </c>
      <c r="M104" s="3067">
        <f>SUM('цех вода (с разбивкой)'!M48)</f>
        <v>0.65813499015644883</v>
      </c>
      <c r="N104" s="3094">
        <f>SUM('цех вода (с разбивкой)'!N48)</f>
        <v>0.1096891650260748</v>
      </c>
      <c r="O104" s="3094">
        <f>SUM('цех вода (с разбивкой)'!O48)</f>
        <v>0.1096891650260748</v>
      </c>
      <c r="P104" s="3094">
        <f>SUM('цех вода (с разбивкой)'!P48)</f>
        <v>0.1096891650260748</v>
      </c>
      <c r="Q104" s="3067">
        <f>SUM('цех вода (с разбивкой)'!Q48)</f>
        <v>0.32906749507822441</v>
      </c>
      <c r="R104" s="3067">
        <f>SUM('цех вода (с разбивкой)'!R48)</f>
        <v>0.98720248523467324</v>
      </c>
      <c r="S104" s="3094">
        <f>SUM('цех вода (с разбивкой)'!S48)</f>
        <v>0.1096891650260748</v>
      </c>
      <c r="T104" s="3094">
        <f>SUM('цех вода (с разбивкой)'!T48)</f>
        <v>0.1096891650260748</v>
      </c>
      <c r="U104" s="3094">
        <f>SUM('цех вода (с разбивкой)'!U48)</f>
        <v>0.1096891650260748</v>
      </c>
      <c r="V104" s="3067">
        <f>SUM('цех вода (с разбивкой)'!V48)</f>
        <v>0.32906749507822441</v>
      </c>
      <c r="W104" s="3087">
        <f t="shared" si="112"/>
        <v>1.3162699803128977</v>
      </c>
      <c r="X104" s="430"/>
      <c r="Y104" s="430"/>
      <c r="Z104" s="430"/>
      <c r="AA104" s="430"/>
      <c r="AB104" s="430"/>
      <c r="AC104" s="430"/>
      <c r="AD104" s="430"/>
      <c r="AE104" s="430"/>
      <c r="AF104" s="430"/>
      <c r="AG104" s="430"/>
      <c r="AH104" s="430"/>
      <c r="AI104" s="430"/>
      <c r="AJ104" s="430"/>
      <c r="AK104" s="430"/>
      <c r="AL104" s="430"/>
      <c r="AM104" s="430"/>
      <c r="AN104" s="430"/>
      <c r="AO104" s="430"/>
      <c r="AP104" s="430"/>
      <c r="AQ104" s="430"/>
      <c r="AR104" s="430"/>
      <c r="AS104" s="430"/>
      <c r="AT104" s="430"/>
      <c r="AU104" s="430"/>
      <c r="AV104" s="430"/>
      <c r="AW104" s="430"/>
      <c r="AX104" s="430"/>
    </row>
    <row r="105" spans="1:50" ht="18.75">
      <c r="A105" s="3090" t="s">
        <v>16</v>
      </c>
      <c r="B105" s="3060">
        <f>SUM(вода!CQ27)</f>
        <v>18691.259066916737</v>
      </c>
      <c r="C105" s="3060">
        <f>SUM(вода!CS27)</f>
        <v>18582.628269257038</v>
      </c>
      <c r="D105" s="3060">
        <f>SUM(вода!CT27)</f>
        <v>108.63079765970073</v>
      </c>
      <c r="E105" s="3081">
        <f>SUM(E106+E107+E108+E109+E110+E112)</f>
        <v>1531.8163630204856</v>
      </c>
      <c r="F105" s="3081">
        <f t="shared" ref="F105:V105" si="114">SUM(F106+F107+F108+F109+F110+F112)</f>
        <v>1531.8163630204856</v>
      </c>
      <c r="G105" s="3081">
        <f t="shared" si="114"/>
        <v>1531.8163630204856</v>
      </c>
      <c r="H105" s="3070">
        <f t="shared" si="114"/>
        <v>4595.449089061457</v>
      </c>
      <c r="I105" s="3096">
        <f t="shared" si="114"/>
        <v>1531.9161077556068</v>
      </c>
      <c r="J105" s="3096">
        <f t="shared" si="114"/>
        <v>1533.5674372592794</v>
      </c>
      <c r="K105" s="3096">
        <f t="shared" si="114"/>
        <v>1535.0081945443631</v>
      </c>
      <c r="L105" s="3070">
        <f t="shared" si="114"/>
        <v>4600.4917395592493</v>
      </c>
      <c r="M105" s="3070">
        <f t="shared" si="114"/>
        <v>9195.9408286207072</v>
      </c>
      <c r="N105" s="3081">
        <f t="shared" si="114"/>
        <v>1584.7492710133949</v>
      </c>
      <c r="O105" s="3081">
        <f t="shared" si="114"/>
        <v>1584.3170438278698</v>
      </c>
      <c r="P105" s="3081">
        <f t="shared" si="114"/>
        <v>1582.8762865427864</v>
      </c>
      <c r="Q105" s="3070">
        <f t="shared" si="114"/>
        <v>4751.9426013840521</v>
      </c>
      <c r="R105" s="3070">
        <f t="shared" si="114"/>
        <v>13947.883430004758</v>
      </c>
      <c r="S105" s="3096">
        <f t="shared" si="114"/>
        <v>1581.1252123039926</v>
      </c>
      <c r="T105" s="3096">
        <f t="shared" si="114"/>
        <v>1581.1252123039926</v>
      </c>
      <c r="U105" s="3096">
        <f t="shared" si="114"/>
        <v>1581.1252123039926</v>
      </c>
      <c r="V105" s="3070">
        <f t="shared" si="114"/>
        <v>4743.3756369119783</v>
      </c>
      <c r="W105" s="3085">
        <f t="shared" si="112"/>
        <v>18691.259066916737</v>
      </c>
      <c r="X105" s="430"/>
      <c r="Y105" s="430"/>
      <c r="Z105" s="430"/>
      <c r="AA105" s="430"/>
      <c r="AB105" s="430"/>
      <c r="AC105" s="430"/>
      <c r="AD105" s="430"/>
      <c r="AE105" s="430"/>
      <c r="AF105" s="430"/>
      <c r="AG105" s="430"/>
      <c r="AH105" s="430"/>
      <c r="AI105" s="430"/>
      <c r="AJ105" s="430"/>
      <c r="AK105" s="430"/>
      <c r="AL105" s="430"/>
      <c r="AM105" s="430"/>
      <c r="AN105" s="430"/>
      <c r="AO105" s="430"/>
      <c r="AP105" s="430"/>
      <c r="AQ105" s="430"/>
      <c r="AR105" s="430"/>
      <c r="AS105" s="430"/>
      <c r="AT105" s="430"/>
      <c r="AU105" s="430"/>
      <c r="AV105" s="430"/>
      <c r="AW105" s="430"/>
      <c r="AX105" s="430"/>
    </row>
    <row r="106" spans="1:50" ht="18.75">
      <c r="A106" s="3086" t="s">
        <v>3</v>
      </c>
      <c r="B106" s="3063">
        <f>SUM(вода!CQ28)</f>
        <v>279.61388622367195</v>
      </c>
      <c r="C106" s="3063">
        <f>SUM(вода!CS28)</f>
        <v>279.61388622367195</v>
      </c>
      <c r="D106" s="3063">
        <f>SUM(вода!CT28)</f>
        <v>0</v>
      </c>
      <c r="E106" s="3074">
        <f>SUM(B106/12)</f>
        <v>23.301157185305996</v>
      </c>
      <c r="F106" s="3074">
        <f t="shared" ref="F106" si="115">SUM(E106)</f>
        <v>23.301157185305996</v>
      </c>
      <c r="G106" s="3074">
        <f>SUM(E106)</f>
        <v>23.301157185305996</v>
      </c>
      <c r="H106" s="3072">
        <f t="shared" ref="H106" si="116">SUM(E106+F106+G106)</f>
        <v>69.903471555917989</v>
      </c>
      <c r="I106" s="3071">
        <f>SUM(E106)</f>
        <v>23.301157185305996</v>
      </c>
      <c r="J106" s="3071">
        <f>SUM(E106)</f>
        <v>23.301157185305996</v>
      </c>
      <c r="K106" s="3071">
        <f>SUM(E106)</f>
        <v>23.301157185305996</v>
      </c>
      <c r="L106" s="3072">
        <f t="shared" ref="L106" si="117">SUM(I106+J106+K106)</f>
        <v>69.903471555917989</v>
      </c>
      <c r="M106" s="3072">
        <f t="shared" ref="M106" si="118">SUM(H106+L106)</f>
        <v>139.80694311183598</v>
      </c>
      <c r="N106" s="3074">
        <f>SUM(E106)</f>
        <v>23.301157185305996</v>
      </c>
      <c r="O106" s="3074">
        <f>SUM(E106)</f>
        <v>23.301157185305996</v>
      </c>
      <c r="P106" s="3074">
        <f>E106</f>
        <v>23.301157185305996</v>
      </c>
      <c r="Q106" s="3072">
        <f t="shared" ref="Q106" si="119">SUM(N106+O106+P106)</f>
        <v>69.903471555917989</v>
      </c>
      <c r="R106" s="3072">
        <f t="shared" ref="R106" si="120">SUM(M106+Q106)</f>
        <v>209.71041466775398</v>
      </c>
      <c r="S106" s="3074">
        <f>E106</f>
        <v>23.301157185305996</v>
      </c>
      <c r="T106" s="3074">
        <f>E106</f>
        <v>23.301157185305996</v>
      </c>
      <c r="U106" s="3074">
        <f>E106</f>
        <v>23.301157185305996</v>
      </c>
      <c r="V106" s="3072">
        <f t="shared" ref="V106" si="121">SUM(S106+T106+U106)</f>
        <v>69.903471555917989</v>
      </c>
      <c r="W106" s="3087">
        <f>SUM(E106+F106+G106+I106+J106+K106+N106+O106+P106+S106+T106+U106)</f>
        <v>279.61388622367201</v>
      </c>
      <c r="X106" s="430"/>
      <c r="Y106" s="430"/>
      <c r="Z106" s="430"/>
      <c r="AA106" s="430"/>
      <c r="AB106" s="430"/>
      <c r="AC106" s="430"/>
      <c r="AD106" s="430"/>
      <c r="AE106" s="430"/>
      <c r="AF106" s="430"/>
      <c r="AG106" s="430"/>
      <c r="AH106" s="430"/>
      <c r="AI106" s="430"/>
      <c r="AJ106" s="430"/>
      <c r="AK106" s="430"/>
      <c r="AL106" s="430"/>
      <c r="AM106" s="430"/>
      <c r="AN106" s="430"/>
      <c r="AO106" s="430"/>
      <c r="AP106" s="430"/>
      <c r="AQ106" s="430"/>
      <c r="AR106" s="430"/>
      <c r="AS106" s="430"/>
      <c r="AT106" s="430"/>
      <c r="AU106" s="430"/>
      <c r="AV106" s="430"/>
      <c r="AW106" s="430"/>
      <c r="AX106" s="430"/>
    </row>
    <row r="107" spans="1:50" ht="18.75">
      <c r="A107" s="3086" t="s">
        <v>2</v>
      </c>
      <c r="B107" s="3063">
        <f>SUM(вода!CQ29)</f>
        <v>53.89</v>
      </c>
      <c r="C107" s="3063">
        <f>SUM(вода!CS29)</f>
        <v>53.89</v>
      </c>
      <c r="D107" s="3063">
        <f>SUM(вода!CT29)</f>
        <v>0</v>
      </c>
      <c r="E107" s="3074">
        <f>SUM(B107/12)</f>
        <v>4.4908333333333337</v>
      </c>
      <c r="F107" s="3074">
        <f>SUM(E107)</f>
        <v>4.4908333333333337</v>
      </c>
      <c r="G107" s="3074">
        <f>SUM(F107)</f>
        <v>4.4908333333333337</v>
      </c>
      <c r="H107" s="3072">
        <f>SUM(E107+F107+G107)</f>
        <v>13.4725</v>
      </c>
      <c r="I107" s="3071">
        <f>SUM(E107)</f>
        <v>4.4908333333333337</v>
      </c>
      <c r="J107" s="3071">
        <f>SUM(E107)</f>
        <v>4.4908333333333337</v>
      </c>
      <c r="K107" s="3071">
        <f>SUM(E107)</f>
        <v>4.4908333333333337</v>
      </c>
      <c r="L107" s="3072">
        <f>SUM(I107+J107+K107)</f>
        <v>13.4725</v>
      </c>
      <c r="M107" s="3072">
        <f>SUM(H107+L107)</f>
        <v>26.945</v>
      </c>
      <c r="N107" s="3074">
        <f>SUM(E107)</f>
        <v>4.4908333333333337</v>
      </c>
      <c r="O107" s="3074">
        <f>SUM(E107)</f>
        <v>4.4908333333333337</v>
      </c>
      <c r="P107" s="3074">
        <f>E107</f>
        <v>4.4908333333333337</v>
      </c>
      <c r="Q107" s="3072">
        <f>SUM(N107+O107+P107)</f>
        <v>13.4725</v>
      </c>
      <c r="R107" s="3072">
        <f>SUM(M107+Q107)</f>
        <v>40.417500000000004</v>
      </c>
      <c r="S107" s="3071">
        <f>E107</f>
        <v>4.4908333333333337</v>
      </c>
      <c r="T107" s="3071">
        <f>E107</f>
        <v>4.4908333333333337</v>
      </c>
      <c r="U107" s="3071">
        <f>E107</f>
        <v>4.4908333333333337</v>
      </c>
      <c r="V107" s="3072">
        <f>SUM(S107+T107+U107)</f>
        <v>13.4725</v>
      </c>
      <c r="W107" s="3087">
        <f>SUM(E107+F107+G107+I107+J107+K107+N107+O107+P107+S107+T107+U107)</f>
        <v>53.890000000000008</v>
      </c>
      <c r="X107" s="430"/>
      <c r="Y107" s="430"/>
      <c r="Z107" s="430"/>
      <c r="AA107" s="430"/>
      <c r="AB107" s="430"/>
      <c r="AC107" s="430"/>
      <c r="AD107" s="430"/>
      <c r="AE107" s="430"/>
      <c r="AF107" s="430"/>
      <c r="AG107" s="430"/>
      <c r="AH107" s="430"/>
      <c r="AI107" s="430"/>
      <c r="AJ107" s="430"/>
      <c r="AK107" s="430"/>
      <c r="AL107" s="430"/>
      <c r="AM107" s="430"/>
      <c r="AN107" s="430"/>
      <c r="AO107" s="430"/>
      <c r="AP107" s="430"/>
      <c r="AQ107" s="430"/>
      <c r="AR107" s="430"/>
      <c r="AS107" s="430"/>
      <c r="AT107" s="430"/>
      <c r="AU107" s="430"/>
      <c r="AV107" s="430"/>
      <c r="AW107" s="430"/>
      <c r="AX107" s="430"/>
    </row>
    <row r="108" spans="1:50" ht="18.75">
      <c r="A108" s="3086" t="s">
        <v>219</v>
      </c>
      <c r="B108" s="3063">
        <v>0</v>
      </c>
      <c r="C108" s="3063">
        <v>0</v>
      </c>
      <c r="D108" s="3063">
        <v>0</v>
      </c>
      <c r="E108" s="3074">
        <f>SUM(B108/12)</f>
        <v>0</v>
      </c>
      <c r="F108" s="3074">
        <f>SUM(E108)</f>
        <v>0</v>
      </c>
      <c r="G108" s="3074">
        <f>SUM(F108)</f>
        <v>0</v>
      </c>
      <c r="H108" s="3072">
        <f>SUM(E108+F108+G108)</f>
        <v>0</v>
      </c>
      <c r="I108" s="3071">
        <f>SUM(E108)</f>
        <v>0</v>
      </c>
      <c r="J108" s="3071">
        <f>SUM(E108)</f>
        <v>0</v>
      </c>
      <c r="K108" s="3071">
        <f>SUM(E108)</f>
        <v>0</v>
      </c>
      <c r="L108" s="3072">
        <f>SUM(I108+J108+K108)</f>
        <v>0</v>
      </c>
      <c r="M108" s="3072">
        <f>SUM(H108+L108)</f>
        <v>0</v>
      </c>
      <c r="N108" s="3074">
        <f>SUM(E108)</f>
        <v>0</v>
      </c>
      <c r="O108" s="3074">
        <f>SUM(E108)</f>
        <v>0</v>
      </c>
      <c r="P108" s="3074">
        <f>E108</f>
        <v>0</v>
      </c>
      <c r="Q108" s="3072">
        <f>SUM(N108+O108+P108)</f>
        <v>0</v>
      </c>
      <c r="R108" s="3072">
        <f>SUM(M108+Q108)</f>
        <v>0</v>
      </c>
      <c r="S108" s="3071">
        <f>E108</f>
        <v>0</v>
      </c>
      <c r="T108" s="3071">
        <f>E108</f>
        <v>0</v>
      </c>
      <c r="U108" s="3071">
        <f>E108</f>
        <v>0</v>
      </c>
      <c r="V108" s="3072">
        <f>SUM(S108+T108+U108)</f>
        <v>0</v>
      </c>
      <c r="W108" s="3087">
        <f>SUM(E108+F108+G108+I108+J108+K108+N108+O108+P108+S108+T108+U108)</f>
        <v>0</v>
      </c>
      <c r="X108" s="430"/>
      <c r="Y108" s="430"/>
      <c r="Z108" s="430"/>
      <c r="AA108" s="430"/>
      <c r="AB108" s="430"/>
      <c r="AC108" s="430"/>
      <c r="AD108" s="430"/>
      <c r="AE108" s="430"/>
      <c r="AF108" s="430"/>
      <c r="AG108" s="430"/>
      <c r="AH108" s="430"/>
      <c r="AI108" s="430"/>
      <c r="AJ108" s="430"/>
      <c r="AK108" s="430"/>
      <c r="AL108" s="430"/>
      <c r="AM108" s="430"/>
      <c r="AN108" s="430"/>
      <c r="AO108" s="430"/>
      <c r="AP108" s="430"/>
      <c r="AQ108" s="430"/>
      <c r="AR108" s="430"/>
      <c r="AS108" s="430"/>
      <c r="AT108" s="430"/>
      <c r="AU108" s="430"/>
      <c r="AV108" s="430"/>
      <c r="AW108" s="430"/>
      <c r="AX108" s="430"/>
    </row>
    <row r="109" spans="1:50" ht="18.75">
      <c r="A109" s="3086" t="s">
        <v>4</v>
      </c>
      <c r="B109" s="3063">
        <f>SUM(вода!CQ31)</f>
        <v>11603.867059113092</v>
      </c>
      <c r="C109" s="3063">
        <f>SUM(вода!CS31)</f>
        <v>11539.716652584582</v>
      </c>
      <c r="D109" s="3063">
        <f>SUM(вода!CT31)</f>
        <v>64.150406528510061</v>
      </c>
      <c r="E109" s="3074">
        <f>SUM((ЗП!DI27/2)/(1+(104%*100-100)/2/100)/6)</f>
        <v>948.02835450270356</v>
      </c>
      <c r="F109" s="3074">
        <f>SUM(E109)</f>
        <v>948.02835450270356</v>
      </c>
      <c r="G109" s="3074">
        <f>SUM(E109)</f>
        <v>948.02835450270356</v>
      </c>
      <c r="H109" s="3072">
        <f>SUM(E109+F109+G109)</f>
        <v>2844.0850635081106</v>
      </c>
      <c r="I109" s="3071">
        <f>SUM(E109)</f>
        <v>948.02835450270356</v>
      </c>
      <c r="J109" s="3071">
        <f>SUM(E109)</f>
        <v>948.02835450270356</v>
      </c>
      <c r="K109" s="3071">
        <f>SUM(E109)</f>
        <v>948.02835450270356</v>
      </c>
      <c r="L109" s="3072">
        <f>SUM(I109+J109+K109)</f>
        <v>2844.0850635081106</v>
      </c>
      <c r="M109" s="3072">
        <f>SUM(H109+L109)</f>
        <v>5688.1701270162212</v>
      </c>
      <c r="N109" s="3074">
        <f>SUM(ЗП!DI27-'Произв. прогр. Вода'!M109)/6</f>
        <v>985.94948868281188</v>
      </c>
      <c r="O109" s="3074">
        <f>SUM(N109)</f>
        <v>985.94948868281188</v>
      </c>
      <c r="P109" s="3074">
        <f>SUM(N109)</f>
        <v>985.94948868281188</v>
      </c>
      <c r="Q109" s="3072">
        <f>SUM(N109+O109+P109)</f>
        <v>2957.8484660484355</v>
      </c>
      <c r="R109" s="3072">
        <f>SUM(M109+Q109)</f>
        <v>8646.0185930646567</v>
      </c>
      <c r="S109" s="3071">
        <f>SUM(N109)</f>
        <v>985.94948868281188</v>
      </c>
      <c r="T109" s="3071">
        <f>SUM(N109)</f>
        <v>985.94948868281188</v>
      </c>
      <c r="U109" s="3071">
        <f>SUM(N109)</f>
        <v>985.94948868281188</v>
      </c>
      <c r="V109" s="3072">
        <f>SUM(S109+T109+U109)</f>
        <v>2957.8484660484355</v>
      </c>
      <c r="W109" s="3087">
        <f>SUM(E109+F109+G109+I109+J109+K109+N109+O109+P109+S109+T109+U109)</f>
        <v>11603.867059113094</v>
      </c>
      <c r="X109" s="430"/>
      <c r="Y109" s="430"/>
      <c r="Z109" s="430"/>
      <c r="AA109" s="430"/>
      <c r="AB109" s="430"/>
      <c r="AC109" s="430"/>
      <c r="AD109" s="430"/>
      <c r="AE109" s="430"/>
      <c r="AF109" s="430"/>
      <c r="AG109" s="430"/>
      <c r="AH109" s="430"/>
      <c r="AI109" s="430"/>
      <c r="AJ109" s="430"/>
      <c r="AK109" s="430"/>
      <c r="AL109" s="430"/>
      <c r="AM109" s="430"/>
      <c r="AN109" s="430"/>
      <c r="AO109" s="430"/>
      <c r="AP109" s="430"/>
      <c r="AQ109" s="430"/>
      <c r="AR109" s="430"/>
      <c r="AS109" s="430"/>
      <c r="AT109" s="430"/>
      <c r="AU109" s="430"/>
      <c r="AV109" s="430"/>
      <c r="AW109" s="430"/>
      <c r="AX109" s="430"/>
    </row>
    <row r="110" spans="1:50" ht="18.75">
      <c r="A110" s="3086" t="s">
        <v>5</v>
      </c>
      <c r="B110" s="3063">
        <f>SUM(вода!CQ32)</f>
        <v>3484.64082164003</v>
      </c>
      <c r="C110" s="3063">
        <f>SUM(вода!CS32)</f>
        <v>3465.3769107711501</v>
      </c>
      <c r="D110" s="3063">
        <f>SUM(вода!CT32)</f>
        <v>19.263910868879929</v>
      </c>
      <c r="E110" s="3074">
        <f>SUM(E109*E111)</f>
        <v>284.69287758496978</v>
      </c>
      <c r="F110" s="3074">
        <f>SUM(F109*F111)</f>
        <v>284.69287758496978</v>
      </c>
      <c r="G110" s="3074">
        <f>SUM(G109*G111)</f>
        <v>284.69287758496978</v>
      </c>
      <c r="H110" s="3072">
        <f>SUM(E110+F110+G110)</f>
        <v>854.07863275490934</v>
      </c>
      <c r="I110" s="3071">
        <f>SUM(I109*I111)</f>
        <v>284.69287758496978</v>
      </c>
      <c r="J110" s="3071">
        <f>SUM(J109*J111)</f>
        <v>284.69287758496978</v>
      </c>
      <c r="K110" s="3071">
        <f>SUM(K109*K111)</f>
        <v>284.69287758496978</v>
      </c>
      <c r="L110" s="3072">
        <f>SUM(I110+J110+K110)</f>
        <v>854.07863275490934</v>
      </c>
      <c r="M110" s="3072">
        <f>SUM(H110+L110)</f>
        <v>1708.1572655098187</v>
      </c>
      <c r="N110" s="3074">
        <f>SUM(N109*N111)</f>
        <v>296.0805926883686</v>
      </c>
      <c r="O110" s="3074">
        <f>SUM(O109*O111)</f>
        <v>296.0805926883686</v>
      </c>
      <c r="P110" s="3074">
        <f>SUM(P109*P111)</f>
        <v>296.0805926883686</v>
      </c>
      <c r="Q110" s="3072">
        <f>SUM(N110+O110+P110)</f>
        <v>888.24177806510579</v>
      </c>
      <c r="R110" s="3072">
        <f>SUM(M110+Q110)</f>
        <v>2596.3990435749247</v>
      </c>
      <c r="S110" s="3071">
        <f>SUM(S109*S111)</f>
        <v>296.0805926883686</v>
      </c>
      <c r="T110" s="3071">
        <f>SUM(T109*T111)</f>
        <v>296.0805926883686</v>
      </c>
      <c r="U110" s="3071">
        <f>SUM(U109*U111)</f>
        <v>296.0805926883686</v>
      </c>
      <c r="V110" s="3072">
        <f>SUM(S110+T110+U110)</f>
        <v>888.24177806510579</v>
      </c>
      <c r="W110" s="3087">
        <f>SUM(E110+F110+G110+I110+J110+K110+N110+O110+P110+S110+T110+U110)</f>
        <v>3484.64082164003</v>
      </c>
      <c r="X110" s="430"/>
      <c r="Y110" s="430"/>
      <c r="Z110" s="430"/>
      <c r="AA110" s="430"/>
      <c r="AB110" s="430"/>
      <c r="AC110" s="430"/>
      <c r="AD110" s="430"/>
      <c r="AE110" s="430"/>
      <c r="AF110" s="430"/>
      <c r="AG110" s="430"/>
      <c r="AH110" s="430"/>
      <c r="AI110" s="430"/>
      <c r="AJ110" s="430"/>
      <c r="AK110" s="430"/>
      <c r="AL110" s="430"/>
      <c r="AM110" s="430"/>
      <c r="AN110" s="430"/>
      <c r="AO110" s="430"/>
      <c r="AP110" s="430"/>
      <c r="AQ110" s="430"/>
      <c r="AR110" s="430"/>
      <c r="AS110" s="430"/>
      <c r="AT110" s="430"/>
      <c r="AU110" s="430"/>
      <c r="AV110" s="430"/>
      <c r="AW110" s="430"/>
      <c r="AX110" s="430"/>
    </row>
    <row r="111" spans="1:50" ht="18.75">
      <c r="A111" s="3088" t="str">
        <f>A76</f>
        <v>то же в %</v>
      </c>
      <c r="B111" s="3068">
        <f>SUM(B110/B109)</f>
        <v>0.30029996068451759</v>
      </c>
      <c r="C111" s="3068">
        <f t="shared" ref="C111:D111" si="122">SUM(C110/C109)</f>
        <v>0.30030000000000001</v>
      </c>
      <c r="D111" s="3068">
        <f t="shared" si="122"/>
        <v>0.30029288840622642</v>
      </c>
      <c r="E111" s="3069">
        <f>SUM(B111)</f>
        <v>0.30029996068451759</v>
      </c>
      <c r="F111" s="3069">
        <f>SUM(E111)</f>
        <v>0.30029996068451759</v>
      </c>
      <c r="G111" s="3069">
        <f>SUM(E111)</f>
        <v>0.30029996068451759</v>
      </c>
      <c r="H111" s="3068">
        <f>SUM(H110/H109)</f>
        <v>0.30029996068451759</v>
      </c>
      <c r="I111" s="3097">
        <f>SUM(E111)</f>
        <v>0.30029996068451759</v>
      </c>
      <c r="J111" s="3097">
        <f>SUM(E111)</f>
        <v>0.30029996068451759</v>
      </c>
      <c r="K111" s="3097">
        <f>SUM(E111)</f>
        <v>0.30029996068451759</v>
      </c>
      <c r="L111" s="3068">
        <f>SUM(L110/L109)</f>
        <v>0.30029996068451759</v>
      </c>
      <c r="M111" s="3068">
        <f>SUM(M110/M109)</f>
        <v>0.30029996068451759</v>
      </c>
      <c r="N111" s="3069">
        <f>SUM(E111)</f>
        <v>0.30029996068451759</v>
      </c>
      <c r="O111" s="3069">
        <f>SUM(E111)</f>
        <v>0.30029996068451759</v>
      </c>
      <c r="P111" s="3069">
        <f>SUM(E111)</f>
        <v>0.30029996068451759</v>
      </c>
      <c r="Q111" s="3068">
        <f>SUM(Q110/Q109)</f>
        <v>0.30029996068451759</v>
      </c>
      <c r="R111" s="3068">
        <f>SUM(R110/R109)</f>
        <v>0.30029996068451759</v>
      </c>
      <c r="S111" s="3097">
        <f>SUM(E111)</f>
        <v>0.30029996068451759</v>
      </c>
      <c r="T111" s="3097">
        <f>SUM(E111)</f>
        <v>0.30029996068451759</v>
      </c>
      <c r="U111" s="3097">
        <f>SUM(E111)</f>
        <v>0.30029996068451759</v>
      </c>
      <c r="V111" s="3068">
        <f>SUM(V110/V109)</f>
        <v>0.30029996068451759</v>
      </c>
      <c r="W111" s="3089">
        <f>SUM(W110/W109)</f>
        <v>0.30029996068451753</v>
      </c>
      <c r="X111" s="430"/>
      <c r="Y111" s="430"/>
      <c r="Z111" s="430"/>
      <c r="AA111" s="430"/>
      <c r="AB111" s="430"/>
      <c r="AC111" s="430"/>
      <c r="AD111" s="430"/>
      <c r="AE111" s="430"/>
      <c r="AF111" s="430"/>
      <c r="AG111" s="430"/>
      <c r="AH111" s="430"/>
      <c r="AI111" s="430"/>
      <c r="AJ111" s="430"/>
      <c r="AK111" s="430"/>
      <c r="AL111" s="430"/>
      <c r="AM111" s="430"/>
      <c r="AN111" s="430"/>
      <c r="AO111" s="430"/>
      <c r="AP111" s="430"/>
      <c r="AQ111" s="430"/>
      <c r="AR111" s="430"/>
      <c r="AS111" s="430"/>
      <c r="AT111" s="430"/>
      <c r="AU111" s="430"/>
      <c r="AV111" s="430"/>
      <c r="AW111" s="430"/>
      <c r="AX111" s="430"/>
    </row>
    <row r="112" spans="1:50" ht="18.75">
      <c r="A112" s="3090" t="s">
        <v>1723</v>
      </c>
      <c r="B112" s="3060">
        <f>SUM('цех вода (с разбивкой)'!B49)</f>
        <v>3269.2472999399411</v>
      </c>
      <c r="C112" s="3060">
        <f>SUM('цех вода (с разбивкой)'!C49)</f>
        <v>3244.0308196776305</v>
      </c>
      <c r="D112" s="3060">
        <f>SUM('цех вода (с разбивкой)'!D49)</f>
        <v>25.216480262310743</v>
      </c>
      <c r="E112" s="3073">
        <f>SUM('цех вода (с разбивкой)'!E49)</f>
        <v>271.3031404141729</v>
      </c>
      <c r="F112" s="3073">
        <f>SUM('цех вода (с разбивкой)'!F49)</f>
        <v>271.3031404141729</v>
      </c>
      <c r="G112" s="3073">
        <f>SUM('цех вода (с разбивкой)'!G49)</f>
        <v>271.3031404141729</v>
      </c>
      <c r="H112" s="3060">
        <f>SUM('цех вода (с разбивкой)'!H49)</f>
        <v>813.90942124251865</v>
      </c>
      <c r="I112" s="3073">
        <f>SUM('цех вода (с разбивкой)'!I49)</f>
        <v>271.40288514929409</v>
      </c>
      <c r="J112" s="3073">
        <f>SUM('цех вода (с разбивкой)'!J49)</f>
        <v>273.05421465296678</v>
      </c>
      <c r="K112" s="3073">
        <f>SUM('цех вода (с разбивкой)'!K49)</f>
        <v>274.4949719380503</v>
      </c>
      <c r="L112" s="3060">
        <f>SUM('цех вода (с разбивкой)'!L49)</f>
        <v>818.95207174031123</v>
      </c>
      <c r="M112" s="3060">
        <f>SUM('цех вода (с разбивкой)'!M49)</f>
        <v>1632.86149298283</v>
      </c>
      <c r="N112" s="3073">
        <f>SUM('цех вода (с разбивкой)'!N49)</f>
        <v>274.92719912357535</v>
      </c>
      <c r="O112" s="3073">
        <f>SUM('цех вода (с разбивкой)'!O49)</f>
        <v>274.4949719380503</v>
      </c>
      <c r="P112" s="3073">
        <f>SUM('цех вода (с разбивкой)'!P49)</f>
        <v>273.05421465296678</v>
      </c>
      <c r="Q112" s="3060">
        <f>SUM('цех вода (с разбивкой)'!Q49)</f>
        <v>822.47638571459242</v>
      </c>
      <c r="R112" s="3060">
        <f>SUM('цех вода (с разбивкой)'!R49)</f>
        <v>2455.3378786974226</v>
      </c>
      <c r="S112" s="3073">
        <f>SUM('цех вода (с разбивкой)'!S49)</f>
        <v>271.3031404141729</v>
      </c>
      <c r="T112" s="3073">
        <f>SUM('цех вода (с разбивкой)'!T49)</f>
        <v>271.3031404141729</v>
      </c>
      <c r="U112" s="3073">
        <f>SUM('цех вода (с разбивкой)'!U49)</f>
        <v>271.3031404141729</v>
      </c>
      <c r="V112" s="3060">
        <f>SUM('цех вода (с разбивкой)'!V49)</f>
        <v>813.90942124251865</v>
      </c>
      <c r="W112" s="3087">
        <f t="shared" ref="W112:W129" si="123">SUM(E112+F112+G112+I112+J112+K112+N112+O112+P112+S112+T112+U112)</f>
        <v>3269.2472999399415</v>
      </c>
      <c r="X112" s="430"/>
      <c r="Y112" s="430"/>
      <c r="Z112" s="430"/>
      <c r="AA112" s="430"/>
      <c r="AB112" s="430"/>
      <c r="AC112" s="430"/>
      <c r="AD112" s="430"/>
      <c r="AE112" s="430"/>
      <c r="AF112" s="430"/>
      <c r="AG112" s="430"/>
      <c r="AH112" s="430"/>
      <c r="AI112" s="430"/>
      <c r="AJ112" s="430"/>
      <c r="AK112" s="430"/>
      <c r="AL112" s="430"/>
      <c r="AM112" s="430"/>
      <c r="AN112" s="430"/>
      <c r="AO112" s="430"/>
      <c r="AP112" s="430"/>
      <c r="AQ112" s="430"/>
      <c r="AR112" s="430"/>
      <c r="AS112" s="430"/>
      <c r="AT112" s="430"/>
      <c r="AU112" s="430"/>
      <c r="AV112" s="430"/>
      <c r="AW112" s="430"/>
      <c r="AX112" s="430"/>
    </row>
    <row r="113" spans="1:50" ht="18.75">
      <c r="A113" s="3091" t="s">
        <v>72</v>
      </c>
      <c r="B113" s="3063">
        <f>SUM('цех вода (с разбивкой)'!B50)</f>
        <v>0</v>
      </c>
      <c r="C113" s="3063">
        <f>SUM('цех вода (с разбивкой)'!C50)</f>
        <v>0</v>
      </c>
      <c r="D113" s="3063">
        <f>SUM('цех вода (с разбивкой)'!D50)</f>
        <v>0</v>
      </c>
      <c r="E113" s="3092">
        <f>SUM('цех вода (с разбивкой)'!E50)</f>
        <v>0</v>
      </c>
      <c r="F113" s="3092">
        <f>SUM('цех вода (с разбивкой)'!F50)</f>
        <v>0</v>
      </c>
      <c r="G113" s="3092">
        <f>SUM('цех вода (с разбивкой)'!G50)</f>
        <v>0</v>
      </c>
      <c r="H113" s="3063">
        <f>SUM('цех вода (с разбивкой)'!H50)</f>
        <v>0</v>
      </c>
      <c r="I113" s="3092">
        <f>SUM('цех вода (с разбивкой)'!I50)</f>
        <v>0</v>
      </c>
      <c r="J113" s="3092">
        <f>SUM('цех вода (с разбивкой)'!J50)</f>
        <v>0</v>
      </c>
      <c r="K113" s="3092">
        <f>SUM('цех вода (с разбивкой)'!K50)</f>
        <v>0</v>
      </c>
      <c r="L113" s="3063">
        <f>SUM('цех вода (с разбивкой)'!L50)</f>
        <v>0</v>
      </c>
      <c r="M113" s="3063">
        <f>SUM('цех вода (с разбивкой)'!M50)</f>
        <v>0</v>
      </c>
      <c r="N113" s="3092">
        <f>SUM('цех вода (с разбивкой)'!N50)</f>
        <v>0</v>
      </c>
      <c r="O113" s="3092">
        <f>SUM('цех вода (с разбивкой)'!O50)</f>
        <v>0</v>
      </c>
      <c r="P113" s="3092">
        <f>SUM('цех вода (с разбивкой)'!P50)</f>
        <v>0</v>
      </c>
      <c r="Q113" s="3063">
        <f>SUM('цех вода (с разбивкой)'!Q50)</f>
        <v>0</v>
      </c>
      <c r="R113" s="3063">
        <f>SUM('цех вода (с разбивкой)'!R50)</f>
        <v>0</v>
      </c>
      <c r="S113" s="3092">
        <f>SUM('цех вода (с разбивкой)'!S50)</f>
        <v>0</v>
      </c>
      <c r="T113" s="3092">
        <f>SUM('цех вода (с разбивкой)'!T50)</f>
        <v>0</v>
      </c>
      <c r="U113" s="3092">
        <f>SUM('цех вода (с разбивкой)'!U50)</f>
        <v>0</v>
      </c>
      <c r="V113" s="3063">
        <f>SUM('цех вода (с разбивкой)'!V50)</f>
        <v>0</v>
      </c>
      <c r="W113" s="3087">
        <f t="shared" si="123"/>
        <v>0</v>
      </c>
      <c r="X113" s="430"/>
      <c r="Y113" s="430"/>
      <c r="Z113" s="430"/>
      <c r="AA113" s="430"/>
      <c r="AB113" s="430"/>
      <c r="AC113" s="430"/>
      <c r="AD113" s="430"/>
      <c r="AE113" s="430"/>
      <c r="AF113" s="430"/>
      <c r="AG113" s="430"/>
      <c r="AH113" s="430"/>
      <c r="AI113" s="430"/>
      <c r="AJ113" s="430"/>
      <c r="AK113" s="430"/>
      <c r="AL113" s="430"/>
      <c r="AM113" s="430"/>
      <c r="AN113" s="430"/>
      <c r="AO113" s="430"/>
      <c r="AP113" s="430"/>
      <c r="AQ113" s="430"/>
      <c r="AR113" s="430"/>
      <c r="AS113" s="430"/>
      <c r="AT113" s="430"/>
      <c r="AU113" s="430"/>
      <c r="AV113" s="430"/>
      <c r="AW113" s="430"/>
      <c r="AX113" s="430"/>
    </row>
    <row r="114" spans="1:50" ht="18.75">
      <c r="A114" s="3091" t="s">
        <v>121</v>
      </c>
      <c r="B114" s="3063">
        <f>SUM('цех вода (с разбивкой)'!B51)</f>
        <v>0</v>
      </c>
      <c r="C114" s="3063">
        <f>SUM('цех вода (с разбивкой)'!C51)</f>
        <v>0</v>
      </c>
      <c r="D114" s="3063">
        <f>SUM('цех вода (с разбивкой)'!D51)</f>
        <v>0</v>
      </c>
      <c r="E114" s="3092">
        <f>SUM('цех вода (с разбивкой)'!E51)</f>
        <v>0</v>
      </c>
      <c r="F114" s="3092">
        <f>SUM('цех вода (с разбивкой)'!F51)</f>
        <v>0</v>
      </c>
      <c r="G114" s="3092">
        <f>SUM('цех вода (с разбивкой)'!G51)</f>
        <v>0</v>
      </c>
      <c r="H114" s="3063">
        <f>SUM('цех вода (с разбивкой)'!H51)</f>
        <v>0</v>
      </c>
      <c r="I114" s="3092">
        <f>SUM('цех вода (с разбивкой)'!I51)</f>
        <v>0</v>
      </c>
      <c r="J114" s="3092">
        <f>SUM('цех вода (с разбивкой)'!J51)</f>
        <v>0</v>
      </c>
      <c r="K114" s="3092">
        <f>SUM('цех вода (с разбивкой)'!K51)</f>
        <v>0</v>
      </c>
      <c r="L114" s="3063">
        <f>SUM('цех вода (с разбивкой)'!L51)</f>
        <v>0</v>
      </c>
      <c r="M114" s="3063">
        <f>SUM('цех вода (с разбивкой)'!M51)</f>
        <v>0</v>
      </c>
      <c r="N114" s="3092">
        <f>SUM('цех вода (с разбивкой)'!N51)</f>
        <v>0</v>
      </c>
      <c r="O114" s="3092">
        <f>SUM('цех вода (с разбивкой)'!O51)</f>
        <v>0</v>
      </c>
      <c r="P114" s="3092">
        <f>SUM('цех вода (с разбивкой)'!P51)</f>
        <v>0</v>
      </c>
      <c r="Q114" s="3063">
        <f>SUM('цех вода (с разбивкой)'!Q51)</f>
        <v>0</v>
      </c>
      <c r="R114" s="3063">
        <f>SUM('цех вода (с разбивкой)'!R51)</f>
        <v>0</v>
      </c>
      <c r="S114" s="3092">
        <f>SUM('цех вода (с разбивкой)'!S51)</f>
        <v>0</v>
      </c>
      <c r="T114" s="3092">
        <f>SUM('цех вода (с разбивкой)'!T51)</f>
        <v>0</v>
      </c>
      <c r="U114" s="3092">
        <f>SUM('цех вода (с разбивкой)'!U51)</f>
        <v>0</v>
      </c>
      <c r="V114" s="3063">
        <f>SUM('цех вода (с разбивкой)'!V51)</f>
        <v>0</v>
      </c>
      <c r="W114" s="3087">
        <f t="shared" si="123"/>
        <v>0</v>
      </c>
      <c r="X114" s="430"/>
      <c r="Y114" s="430"/>
      <c r="Z114" s="430"/>
      <c r="AA114" s="430"/>
      <c r="AB114" s="430"/>
      <c r="AC114" s="430"/>
      <c r="AD114" s="430"/>
      <c r="AE114" s="430"/>
      <c r="AF114" s="430"/>
      <c r="AG114" s="430"/>
      <c r="AH114" s="430"/>
      <c r="AI114" s="430"/>
      <c r="AJ114" s="430"/>
      <c r="AK114" s="430"/>
      <c r="AL114" s="430"/>
      <c r="AM114" s="430"/>
      <c r="AN114" s="430"/>
      <c r="AO114" s="430"/>
      <c r="AP114" s="430"/>
      <c r="AQ114" s="430"/>
      <c r="AR114" s="430"/>
      <c r="AS114" s="430"/>
      <c r="AT114" s="430"/>
      <c r="AU114" s="430"/>
      <c r="AV114" s="430"/>
      <c r="AW114" s="430"/>
      <c r="AX114" s="430"/>
    </row>
    <row r="115" spans="1:50" ht="18.75">
      <c r="A115" s="3091" t="s">
        <v>52</v>
      </c>
      <c r="B115" s="3063">
        <f>SUM('цех вода (с разбивкой)'!B52)</f>
        <v>7.5192687898618642</v>
      </c>
      <c r="C115" s="3063">
        <f>SUM('цех вода (с разбивкой)'!C52)</f>
        <v>7.4612708852585499</v>
      </c>
      <c r="D115" s="3063">
        <f>SUM('цех вода (с разбивкой)'!D52)</f>
        <v>5.7997904603314332E-2</v>
      </c>
      <c r="E115" s="3092">
        <f>SUM('цех вода (с разбивкой)'!E52)</f>
        <v>0.62660573248848872</v>
      </c>
      <c r="F115" s="3092">
        <f>SUM('цех вода (с разбивкой)'!F52)</f>
        <v>0.62660573248848872</v>
      </c>
      <c r="G115" s="3092">
        <f>SUM('цех вода (с разбивкой)'!G52)</f>
        <v>0.62660573248848872</v>
      </c>
      <c r="H115" s="3063">
        <f>SUM('цех вода (с разбивкой)'!H52)</f>
        <v>1.8798171974654663</v>
      </c>
      <c r="I115" s="3092">
        <f>SUM('цех вода (с разбивкой)'!I52)</f>
        <v>0.62660573248848872</v>
      </c>
      <c r="J115" s="3092">
        <f>SUM('цех вода (с разбивкой)'!J52)</f>
        <v>0.62660573248848872</v>
      </c>
      <c r="K115" s="3092">
        <f>SUM('цех вода (с разбивкой)'!K52)</f>
        <v>0.62660573248848872</v>
      </c>
      <c r="L115" s="3063">
        <f>SUM('цех вода (с разбивкой)'!L52)</f>
        <v>1.8798171974654663</v>
      </c>
      <c r="M115" s="3063">
        <f>SUM('цех вода (с разбивкой)'!M52)</f>
        <v>3.7596343949309325</v>
      </c>
      <c r="N115" s="3092">
        <f>SUM('цех вода (с разбивкой)'!N52)</f>
        <v>0.62660573248848872</v>
      </c>
      <c r="O115" s="3092">
        <f>SUM('цех вода (с разбивкой)'!O52)</f>
        <v>0.62660573248848872</v>
      </c>
      <c r="P115" s="3092">
        <f>SUM('цех вода (с разбивкой)'!P52)</f>
        <v>0.62660573248848872</v>
      </c>
      <c r="Q115" s="3063">
        <f>SUM('цех вода (с разбивкой)'!Q52)</f>
        <v>1.8798171974654663</v>
      </c>
      <c r="R115" s="3063">
        <f>SUM('цех вода (с разбивкой)'!R52)</f>
        <v>5.6394515923963988</v>
      </c>
      <c r="S115" s="3092">
        <f>SUM('цех вода (с разбивкой)'!S52)</f>
        <v>0.62660573248848872</v>
      </c>
      <c r="T115" s="3092">
        <f>SUM('цех вода (с разбивкой)'!T52)</f>
        <v>0.62660573248848872</v>
      </c>
      <c r="U115" s="3092">
        <f>SUM('цех вода (с разбивкой)'!U52)</f>
        <v>0.62660573248848872</v>
      </c>
      <c r="V115" s="3063">
        <f>SUM('цех вода (с разбивкой)'!V52)</f>
        <v>1.8798171974654663</v>
      </c>
      <c r="W115" s="3087">
        <f t="shared" si="123"/>
        <v>7.519268789861866</v>
      </c>
      <c r="X115" s="430"/>
      <c r="Y115" s="430"/>
      <c r="Z115" s="430"/>
      <c r="AA115" s="430"/>
      <c r="AB115" s="430"/>
      <c r="AC115" s="430"/>
      <c r="AD115" s="430"/>
      <c r="AE115" s="430"/>
      <c r="AF115" s="430"/>
      <c r="AG115" s="430"/>
      <c r="AH115" s="430"/>
      <c r="AI115" s="430"/>
      <c r="AJ115" s="430"/>
      <c r="AK115" s="430"/>
      <c r="AL115" s="430"/>
      <c r="AM115" s="430"/>
      <c r="AN115" s="430"/>
      <c r="AO115" s="430"/>
      <c r="AP115" s="430"/>
      <c r="AQ115" s="430"/>
      <c r="AR115" s="430"/>
      <c r="AS115" s="430"/>
      <c r="AT115" s="430"/>
      <c r="AU115" s="430"/>
      <c r="AV115" s="430"/>
      <c r="AW115" s="430"/>
      <c r="AX115" s="430"/>
    </row>
    <row r="116" spans="1:50" ht="18.75">
      <c r="A116" s="3091" t="s">
        <v>603</v>
      </c>
      <c r="B116" s="3063">
        <f>SUM('цех вода (с разбивкой)'!B53)</f>
        <v>2283.2423142780549</v>
      </c>
      <c r="C116" s="3063">
        <f>SUM('цех вода (с разбивкой)'!C53)</f>
        <v>2265.6311244628573</v>
      </c>
      <c r="D116" s="3063">
        <f>SUM('цех вода (с разбивкой)'!D53)</f>
        <v>17.611189815197577</v>
      </c>
      <c r="E116" s="3092">
        <f>SUM('цех вода (с разбивкой)'!E53)</f>
        <v>190.27019285650456</v>
      </c>
      <c r="F116" s="3092">
        <f>SUM('цех вода (с разбивкой)'!F53)</f>
        <v>190.27019285650456</v>
      </c>
      <c r="G116" s="3092">
        <f>SUM('цех вода (с разбивкой)'!G53)</f>
        <v>190.27019285650456</v>
      </c>
      <c r="H116" s="3063">
        <f>SUM('цех вода (с разбивкой)'!H53)</f>
        <v>570.81057856951372</v>
      </c>
      <c r="I116" s="3092">
        <f>SUM('цех вода (с разбивкой)'!I53)</f>
        <v>190.27019285650456</v>
      </c>
      <c r="J116" s="3092">
        <f>SUM('цех вода (с разбивкой)'!J53)</f>
        <v>190.27019285650456</v>
      </c>
      <c r="K116" s="3092">
        <f>SUM('цех вода (с разбивкой)'!K53)</f>
        <v>190.27019285650456</v>
      </c>
      <c r="L116" s="3063">
        <f>SUM('цех вода (с разбивкой)'!L53)</f>
        <v>570.81057856951372</v>
      </c>
      <c r="M116" s="3063">
        <f>SUM('цех вода (с разбивкой)'!M53)</f>
        <v>1141.6211571390274</v>
      </c>
      <c r="N116" s="3092">
        <f>SUM('цех вода (с разбивкой)'!N53)</f>
        <v>190.27019285650456</v>
      </c>
      <c r="O116" s="3092">
        <f>SUM('цех вода (с разбивкой)'!O53)</f>
        <v>190.27019285650456</v>
      </c>
      <c r="P116" s="3092">
        <f>SUM('цех вода (с разбивкой)'!P53)</f>
        <v>190.27019285650456</v>
      </c>
      <c r="Q116" s="3063">
        <f>SUM('цех вода (с разбивкой)'!Q53)</f>
        <v>570.81057856951372</v>
      </c>
      <c r="R116" s="3063">
        <f>SUM('цех вода (с разбивкой)'!R53)</f>
        <v>1712.4317357085411</v>
      </c>
      <c r="S116" s="3092">
        <f>SUM('цех вода (с разбивкой)'!S53)</f>
        <v>190.27019285650456</v>
      </c>
      <c r="T116" s="3092">
        <f>SUM('цех вода (с разбивкой)'!T53)</f>
        <v>190.27019285650456</v>
      </c>
      <c r="U116" s="3092">
        <f>SUM('цех вода (с разбивкой)'!U53)</f>
        <v>190.27019285650456</v>
      </c>
      <c r="V116" s="3063">
        <f>SUM('цех вода (с разбивкой)'!V53)</f>
        <v>570.81057856951372</v>
      </c>
      <c r="W116" s="3087">
        <f t="shared" si="123"/>
        <v>2283.2423142780549</v>
      </c>
      <c r="X116" s="430"/>
      <c r="Y116" s="430"/>
      <c r="Z116" s="430"/>
      <c r="AA116" s="430"/>
      <c r="AB116" s="430"/>
      <c r="AC116" s="430"/>
      <c r="AD116" s="430"/>
      <c r="AE116" s="430"/>
      <c r="AF116" s="430"/>
      <c r="AG116" s="430"/>
      <c r="AH116" s="430"/>
      <c r="AI116" s="430"/>
      <c r="AJ116" s="430"/>
      <c r="AK116" s="430"/>
      <c r="AL116" s="430"/>
      <c r="AM116" s="430"/>
      <c r="AN116" s="430"/>
      <c r="AO116" s="430"/>
      <c r="AP116" s="430"/>
      <c r="AQ116" s="430"/>
      <c r="AR116" s="430"/>
      <c r="AS116" s="430"/>
      <c r="AT116" s="430"/>
      <c r="AU116" s="430"/>
      <c r="AV116" s="430"/>
      <c r="AW116" s="430"/>
      <c r="AX116" s="430"/>
    </row>
    <row r="117" spans="1:50" ht="18.75">
      <c r="A117" s="3091" t="s">
        <v>605</v>
      </c>
      <c r="B117" s="3063">
        <f>SUM('цех вода (с разбивкой)'!B54)</f>
        <v>201.38563367630039</v>
      </c>
      <c r="C117" s="3063">
        <f>SUM('цех вода (с разбивкой)'!C54)</f>
        <v>199.83229849214203</v>
      </c>
      <c r="D117" s="3063">
        <f>SUM('цех вода (с разбивкой)'!D54)</f>
        <v>1.5533351841583567</v>
      </c>
      <c r="E117" s="3092">
        <f>SUM('цех вода (с разбивкой)'!E54)</f>
        <v>16.782136139691698</v>
      </c>
      <c r="F117" s="3092">
        <f>SUM('цех вода (с разбивкой)'!F54)</f>
        <v>16.782136139691698</v>
      </c>
      <c r="G117" s="3092">
        <f>SUM('цех вода (с разбивкой)'!G54)</f>
        <v>16.782136139691698</v>
      </c>
      <c r="H117" s="3063">
        <f>SUM('цех вода (с разбивкой)'!H54)</f>
        <v>50.34640841907509</v>
      </c>
      <c r="I117" s="3092">
        <f>SUM('цех вода (с разбивкой)'!I54)</f>
        <v>16.782136139691698</v>
      </c>
      <c r="J117" s="3092">
        <f>SUM('цех вода (с разбивкой)'!J54)</f>
        <v>16.782136139691698</v>
      </c>
      <c r="K117" s="3092">
        <f>SUM('цех вода (с разбивкой)'!K54)</f>
        <v>16.782136139691698</v>
      </c>
      <c r="L117" s="3063">
        <f>SUM('цех вода (с разбивкой)'!L54)</f>
        <v>50.34640841907509</v>
      </c>
      <c r="M117" s="3063">
        <f>SUM('цех вода (с разбивкой)'!M54)</f>
        <v>100.69281683815018</v>
      </c>
      <c r="N117" s="3092">
        <f>SUM('цех вода (с разбивкой)'!N54)</f>
        <v>16.782136139691698</v>
      </c>
      <c r="O117" s="3092">
        <f>SUM('цех вода (с разбивкой)'!O54)</f>
        <v>16.782136139691698</v>
      </c>
      <c r="P117" s="3092">
        <f>SUM('цех вода (с разбивкой)'!P54)</f>
        <v>16.782136139691698</v>
      </c>
      <c r="Q117" s="3063">
        <f>SUM('цех вода (с разбивкой)'!Q54)</f>
        <v>50.34640841907509</v>
      </c>
      <c r="R117" s="3063">
        <f>SUM('цех вода (с разбивкой)'!R54)</f>
        <v>151.03922525722527</v>
      </c>
      <c r="S117" s="3092">
        <f>SUM('цех вода (с разбивкой)'!S54)</f>
        <v>16.782136139691698</v>
      </c>
      <c r="T117" s="3092">
        <f>SUM('цех вода (с разбивкой)'!T54)</f>
        <v>16.782136139691698</v>
      </c>
      <c r="U117" s="3092">
        <f>SUM('цех вода (с разбивкой)'!U54)</f>
        <v>16.782136139691698</v>
      </c>
      <c r="V117" s="3063">
        <f>SUM('цех вода (с разбивкой)'!V54)</f>
        <v>50.34640841907509</v>
      </c>
      <c r="W117" s="3087">
        <f t="shared" si="123"/>
        <v>201.38563367630033</v>
      </c>
      <c r="X117" s="430"/>
      <c r="Y117" s="430"/>
      <c r="Z117" s="430"/>
      <c r="AA117" s="430"/>
      <c r="AB117" s="430"/>
      <c r="AC117" s="430"/>
      <c r="AD117" s="430"/>
      <c r="AE117" s="430"/>
      <c r="AF117" s="430"/>
      <c r="AG117" s="430"/>
      <c r="AH117" s="430"/>
      <c r="AI117" s="430"/>
      <c r="AJ117" s="430"/>
      <c r="AK117" s="430"/>
      <c r="AL117" s="430"/>
      <c r="AM117" s="430"/>
      <c r="AN117" s="430"/>
      <c r="AO117" s="430"/>
      <c r="AP117" s="430"/>
      <c r="AQ117" s="430"/>
      <c r="AR117" s="430"/>
      <c r="AS117" s="430"/>
      <c r="AT117" s="430"/>
      <c r="AU117" s="430"/>
      <c r="AV117" s="430"/>
      <c r="AW117" s="430"/>
      <c r="AX117" s="430"/>
    </row>
    <row r="118" spans="1:50" ht="18.75">
      <c r="A118" s="3091" t="s">
        <v>604</v>
      </c>
      <c r="B118" s="3063">
        <f>SUM('цех вода (с разбивкой)'!B55)</f>
        <v>125.86602104768772</v>
      </c>
      <c r="C118" s="3063">
        <f>SUM('цех вода (с разбивкой)'!C55)</f>
        <v>124.89518655758877</v>
      </c>
      <c r="D118" s="3063">
        <f>SUM('цех вода (с разбивкой)'!D55)</f>
        <v>0.97083449009895162</v>
      </c>
      <c r="E118" s="3092">
        <f>SUM('цех вода (с разбивкой)'!E55)</f>
        <v>10.48883508730731</v>
      </c>
      <c r="F118" s="3092">
        <f>SUM('цех вода (с разбивкой)'!F55)</f>
        <v>10.48883508730731</v>
      </c>
      <c r="G118" s="3092">
        <f>SUM('цех вода (с разбивкой)'!G55)</f>
        <v>10.48883508730731</v>
      </c>
      <c r="H118" s="3063">
        <f>SUM('цех вода (с разбивкой)'!H55)</f>
        <v>31.466505261921931</v>
      </c>
      <c r="I118" s="3092">
        <f>SUM('цех вода (с разбивкой)'!I55)</f>
        <v>10.48883508730731</v>
      </c>
      <c r="J118" s="3092">
        <f>SUM('цех вода (с разбивкой)'!J55)</f>
        <v>10.48883508730731</v>
      </c>
      <c r="K118" s="3092">
        <f>SUM('цех вода (с разбивкой)'!K55)</f>
        <v>10.48883508730731</v>
      </c>
      <c r="L118" s="3063">
        <f>SUM('цех вода (с разбивкой)'!L55)</f>
        <v>31.466505261921931</v>
      </c>
      <c r="M118" s="3063">
        <f>SUM('цех вода (с разбивкой)'!M55)</f>
        <v>62.933010523843862</v>
      </c>
      <c r="N118" s="3092">
        <f>SUM('цех вода (с разбивкой)'!N55)</f>
        <v>10.48883508730731</v>
      </c>
      <c r="O118" s="3092">
        <f>SUM('цех вода (с разбивкой)'!O55)</f>
        <v>10.48883508730731</v>
      </c>
      <c r="P118" s="3092">
        <f>SUM('цех вода (с разбивкой)'!P55)</f>
        <v>10.48883508730731</v>
      </c>
      <c r="Q118" s="3063">
        <f>SUM('цех вода (с разбивкой)'!Q55)</f>
        <v>31.466505261921931</v>
      </c>
      <c r="R118" s="3063">
        <f>SUM('цех вода (с разбивкой)'!R55)</f>
        <v>94.3995157857658</v>
      </c>
      <c r="S118" s="3092">
        <f>SUM('цех вода (с разбивкой)'!S55)</f>
        <v>10.48883508730731</v>
      </c>
      <c r="T118" s="3092">
        <f>SUM('цех вода (с разбивкой)'!T55)</f>
        <v>10.48883508730731</v>
      </c>
      <c r="U118" s="3092">
        <f>SUM('цех вода (с разбивкой)'!U55)</f>
        <v>10.48883508730731</v>
      </c>
      <c r="V118" s="3063">
        <f>SUM('цех вода (с разбивкой)'!V55)</f>
        <v>31.466505261921931</v>
      </c>
      <c r="W118" s="3087">
        <f t="shared" si="123"/>
        <v>125.86602104768771</v>
      </c>
      <c r="X118" s="430"/>
      <c r="Y118" s="430"/>
      <c r="Z118" s="430"/>
      <c r="AA118" s="430"/>
      <c r="AB118" s="430"/>
      <c r="AC118" s="430"/>
      <c r="AD118" s="430"/>
      <c r="AE118" s="430"/>
      <c r="AF118" s="430"/>
      <c r="AG118" s="430"/>
      <c r="AH118" s="430"/>
      <c r="AI118" s="430"/>
      <c r="AJ118" s="430"/>
      <c r="AK118" s="430"/>
      <c r="AL118" s="430"/>
      <c r="AM118" s="430"/>
      <c r="AN118" s="430"/>
      <c r="AO118" s="430"/>
      <c r="AP118" s="430"/>
      <c r="AQ118" s="430"/>
      <c r="AR118" s="430"/>
      <c r="AS118" s="430"/>
      <c r="AT118" s="430"/>
      <c r="AU118" s="430"/>
      <c r="AV118" s="430"/>
      <c r="AW118" s="430"/>
      <c r="AX118" s="430"/>
    </row>
    <row r="119" spans="1:50" ht="18.75">
      <c r="A119" s="3091" t="s">
        <v>614</v>
      </c>
      <c r="B119" s="3063">
        <f>SUM('цех вода (с разбивкой)'!B56)</f>
        <v>57.538752478942968</v>
      </c>
      <c r="C119" s="3063">
        <f>SUM('цех вода (с разбивкой)'!C56)</f>
        <v>57.094942426326298</v>
      </c>
      <c r="D119" s="3063">
        <f>SUM('цех вода (с разбивкой)'!D56)</f>
        <v>0.44381005261666928</v>
      </c>
      <c r="E119" s="3092">
        <f>SUM('цех вода (с разбивкой)'!E56)</f>
        <v>4.7948960399119143</v>
      </c>
      <c r="F119" s="3092">
        <f>SUM('цех вода (с разбивкой)'!F56)</f>
        <v>4.7948960399119143</v>
      </c>
      <c r="G119" s="3092">
        <f>SUM('цех вода (с разбивкой)'!G56)</f>
        <v>4.7948960399119143</v>
      </c>
      <c r="H119" s="3063">
        <f>SUM('цех вода (с разбивкой)'!H56)</f>
        <v>14.384688119735742</v>
      </c>
      <c r="I119" s="3092">
        <f>SUM('цех вода (с разбивкой)'!I56)</f>
        <v>4.7948960399119143</v>
      </c>
      <c r="J119" s="3092">
        <f>SUM('цех вода (с разбивкой)'!J56)</f>
        <v>4.7948960399119143</v>
      </c>
      <c r="K119" s="3092">
        <f>SUM('цех вода (с разбивкой)'!K56)</f>
        <v>4.7948960399119143</v>
      </c>
      <c r="L119" s="3063">
        <f>SUM('цех вода (с разбивкой)'!L56)</f>
        <v>14.384688119735742</v>
      </c>
      <c r="M119" s="3063">
        <f>SUM('цех вода (с разбивкой)'!M56)</f>
        <v>28.769376239471484</v>
      </c>
      <c r="N119" s="3092">
        <f>SUM('цех вода (с разбивкой)'!N56)</f>
        <v>4.7948960399119143</v>
      </c>
      <c r="O119" s="3092">
        <f>SUM('цех вода (с разбивкой)'!O56)</f>
        <v>4.7948960399119143</v>
      </c>
      <c r="P119" s="3092">
        <f>SUM('цех вода (с разбивкой)'!P56)</f>
        <v>4.7948960399119143</v>
      </c>
      <c r="Q119" s="3063">
        <f>SUM('цех вода (с разбивкой)'!Q56)</f>
        <v>14.384688119735742</v>
      </c>
      <c r="R119" s="3063">
        <f>SUM('цех вода (с разбивкой)'!R56)</f>
        <v>43.154064359207226</v>
      </c>
      <c r="S119" s="3092">
        <f>SUM('цех вода (с разбивкой)'!S56)</f>
        <v>4.7948960399119143</v>
      </c>
      <c r="T119" s="3092">
        <f>SUM('цех вода (с разбивкой)'!T56)</f>
        <v>4.7948960399119143</v>
      </c>
      <c r="U119" s="3092">
        <f>SUM('цех вода (с разбивкой)'!U56)</f>
        <v>4.7948960399119143</v>
      </c>
      <c r="V119" s="3063">
        <f>SUM('цех вода (с разбивкой)'!V56)</f>
        <v>14.384688119735742</v>
      </c>
      <c r="W119" s="3087">
        <f t="shared" si="123"/>
        <v>57.538752478942961</v>
      </c>
      <c r="X119" s="430"/>
      <c r="Y119" s="430"/>
      <c r="Z119" s="430"/>
      <c r="AA119" s="430"/>
      <c r="AB119" s="430"/>
      <c r="AC119" s="430"/>
      <c r="AD119" s="430"/>
      <c r="AE119" s="430"/>
      <c r="AF119" s="430"/>
      <c r="AG119" s="430"/>
      <c r="AH119" s="430"/>
      <c r="AI119" s="430"/>
      <c r="AJ119" s="430"/>
      <c r="AK119" s="430"/>
      <c r="AL119" s="430"/>
      <c r="AM119" s="430"/>
      <c r="AN119" s="430"/>
      <c r="AO119" s="430"/>
      <c r="AP119" s="430"/>
      <c r="AQ119" s="430"/>
      <c r="AR119" s="430"/>
      <c r="AS119" s="430"/>
      <c r="AT119" s="430"/>
      <c r="AU119" s="430"/>
      <c r="AV119" s="430"/>
      <c r="AW119" s="430"/>
      <c r="AX119" s="430"/>
    </row>
    <row r="120" spans="1:50" ht="18.75">
      <c r="A120" s="3091" t="s">
        <v>41</v>
      </c>
      <c r="B120" s="3063">
        <f>SUM('цех вода (с разбивкой)'!B57)</f>
        <v>0</v>
      </c>
      <c r="C120" s="3063">
        <f>SUM('цех вода (с разбивкой)'!C57)</f>
        <v>0</v>
      </c>
      <c r="D120" s="3063">
        <f>SUM('цех вода (с разбивкой)'!D57)</f>
        <v>0</v>
      </c>
      <c r="E120" s="3092">
        <f>SUM('цех вода (с разбивкой)'!E57)</f>
        <v>0</v>
      </c>
      <c r="F120" s="3092">
        <f>SUM('цех вода (с разбивкой)'!F57)</f>
        <v>0</v>
      </c>
      <c r="G120" s="3092">
        <f>SUM('цех вода (с разбивкой)'!G57)</f>
        <v>0</v>
      </c>
      <c r="H120" s="3063">
        <f>SUM('цех вода (с разбивкой)'!H57)</f>
        <v>0</v>
      </c>
      <c r="I120" s="3092">
        <f>SUM('цех вода (с разбивкой)'!I57)</f>
        <v>0</v>
      </c>
      <c r="J120" s="3092">
        <f>SUM('цех вода (с разбивкой)'!J57)</f>
        <v>0</v>
      </c>
      <c r="K120" s="3092">
        <f>SUM('цех вода (с разбивкой)'!K57)</f>
        <v>0</v>
      </c>
      <c r="L120" s="3063">
        <f>SUM('цех вода (с разбивкой)'!L57)</f>
        <v>0</v>
      </c>
      <c r="M120" s="3063">
        <f>SUM('цех вода (с разбивкой)'!M57)</f>
        <v>0</v>
      </c>
      <c r="N120" s="3092">
        <f>SUM('цех вода (с разбивкой)'!N57)</f>
        <v>0</v>
      </c>
      <c r="O120" s="3092">
        <f>SUM('цех вода (с разбивкой)'!O57)</f>
        <v>0</v>
      </c>
      <c r="P120" s="3092">
        <f>SUM('цех вода (с разбивкой)'!P57)</f>
        <v>0</v>
      </c>
      <c r="Q120" s="3063">
        <f>SUM('цех вода (с разбивкой)'!Q57)</f>
        <v>0</v>
      </c>
      <c r="R120" s="3063">
        <f>SUM('цех вода (с разбивкой)'!R57)</f>
        <v>0</v>
      </c>
      <c r="S120" s="3092">
        <f>SUM('цех вода (с разбивкой)'!S57)</f>
        <v>0</v>
      </c>
      <c r="T120" s="3092">
        <f>SUM('цех вода (с разбивкой)'!T57)</f>
        <v>0</v>
      </c>
      <c r="U120" s="3092">
        <f>SUM('цех вода (с разбивкой)'!U57)</f>
        <v>0</v>
      </c>
      <c r="V120" s="3063">
        <f>SUM('цех вода (с разбивкой)'!V57)</f>
        <v>0</v>
      </c>
      <c r="W120" s="3087">
        <f t="shared" si="123"/>
        <v>0</v>
      </c>
      <c r="X120" s="430"/>
      <c r="Y120" s="430"/>
      <c r="Z120" s="430"/>
      <c r="AA120" s="430"/>
      <c r="AB120" s="430"/>
      <c r="AC120" s="430"/>
      <c r="AD120" s="430"/>
      <c r="AE120" s="430"/>
      <c r="AF120" s="430"/>
      <c r="AG120" s="430"/>
      <c r="AH120" s="430"/>
      <c r="AI120" s="430"/>
      <c r="AJ120" s="430"/>
      <c r="AK120" s="430"/>
      <c r="AL120" s="430"/>
      <c r="AM120" s="430"/>
      <c r="AN120" s="430"/>
      <c r="AO120" s="430"/>
      <c r="AP120" s="430"/>
      <c r="AQ120" s="430"/>
      <c r="AR120" s="430"/>
      <c r="AS120" s="430"/>
      <c r="AT120" s="430"/>
      <c r="AU120" s="430"/>
      <c r="AV120" s="430"/>
      <c r="AW120" s="430"/>
      <c r="AX120" s="430"/>
    </row>
    <row r="121" spans="1:50" ht="18.75">
      <c r="A121" s="3091" t="s">
        <v>38</v>
      </c>
      <c r="B121" s="3063">
        <f>SUM('цех вода (с разбивкой)'!B58)</f>
        <v>6.5384945998798827</v>
      </c>
      <c r="C121" s="3063">
        <f>SUM('цех вода (с разбивкой)'!C58)</f>
        <v>6.4880616393552613</v>
      </c>
      <c r="D121" s="3063">
        <f>SUM('цех вода (с разбивкой)'!D58)</f>
        <v>5.0432960524621429E-2</v>
      </c>
      <c r="E121" s="3092">
        <f>SUM('цех вода (с разбивкой)'!E58)</f>
        <v>0.54487454998999019</v>
      </c>
      <c r="F121" s="3092">
        <f>SUM('цех вода (с разбивкой)'!F58)</f>
        <v>0.54487454998999019</v>
      </c>
      <c r="G121" s="3092">
        <f>SUM('цех вода (с разбивкой)'!G58)</f>
        <v>0.54487454998999019</v>
      </c>
      <c r="H121" s="3063">
        <f>SUM('цех вода (с разбивкой)'!H58)</f>
        <v>1.6346236499699707</v>
      </c>
      <c r="I121" s="3092">
        <f>SUM('цех вода (с разбивкой)'!I58)</f>
        <v>0.54487454998999019</v>
      </c>
      <c r="J121" s="3092">
        <f>SUM('цех вода (с разбивкой)'!J58)</f>
        <v>0.54487454998999019</v>
      </c>
      <c r="K121" s="3092">
        <f>SUM('цех вода (с разбивкой)'!K58)</f>
        <v>0.54487454998999019</v>
      </c>
      <c r="L121" s="3063">
        <f>SUM('цех вода (с разбивкой)'!L58)</f>
        <v>1.6346236499699707</v>
      </c>
      <c r="M121" s="3063">
        <f>SUM('цех вода (с разбивкой)'!M58)</f>
        <v>3.2692472999399413</v>
      </c>
      <c r="N121" s="3092">
        <f>SUM('цех вода (с разбивкой)'!N58)</f>
        <v>0.54487454998999019</v>
      </c>
      <c r="O121" s="3092">
        <f>SUM('цех вода (с разбивкой)'!O58)</f>
        <v>0.54487454998999019</v>
      </c>
      <c r="P121" s="3092">
        <f>SUM('цех вода (с разбивкой)'!P58)</f>
        <v>0.54487454998999019</v>
      </c>
      <c r="Q121" s="3063">
        <f>SUM('цех вода (с разбивкой)'!Q58)</f>
        <v>1.6346236499699707</v>
      </c>
      <c r="R121" s="3063">
        <f>SUM('цех вода (с разбивкой)'!R58)</f>
        <v>4.903870949909912</v>
      </c>
      <c r="S121" s="3092">
        <f>SUM('цех вода (с разбивкой)'!S58)</f>
        <v>0.54487454998999019</v>
      </c>
      <c r="T121" s="3092">
        <f>SUM('цех вода (с разбивкой)'!T58)</f>
        <v>0.54487454998999019</v>
      </c>
      <c r="U121" s="3092">
        <f>SUM('цех вода (с разбивкой)'!U58)</f>
        <v>0.54487454998999019</v>
      </c>
      <c r="V121" s="3063">
        <f>SUM('цех вода (с разбивкой)'!V58)</f>
        <v>1.6346236499699707</v>
      </c>
      <c r="W121" s="3087">
        <f t="shared" si="123"/>
        <v>6.5384945998798836</v>
      </c>
      <c r="X121" s="430"/>
      <c r="Y121" s="430"/>
      <c r="Z121" s="430"/>
      <c r="AA121" s="430"/>
      <c r="AB121" s="430"/>
      <c r="AC121" s="430"/>
      <c r="AD121" s="430"/>
      <c r="AE121" s="430"/>
      <c r="AF121" s="430"/>
      <c r="AG121" s="430"/>
      <c r="AH121" s="430"/>
      <c r="AI121" s="430"/>
      <c r="AJ121" s="430"/>
      <c r="AK121" s="430"/>
      <c r="AL121" s="430"/>
      <c r="AM121" s="430"/>
      <c r="AN121" s="430"/>
      <c r="AO121" s="430"/>
      <c r="AP121" s="430"/>
      <c r="AQ121" s="430"/>
      <c r="AR121" s="430"/>
      <c r="AS121" s="430"/>
      <c r="AT121" s="430"/>
      <c r="AU121" s="430"/>
      <c r="AV121" s="430"/>
      <c r="AW121" s="430"/>
      <c r="AX121" s="430"/>
    </row>
    <row r="122" spans="1:50" ht="18.75">
      <c r="A122" s="3091" t="s">
        <v>32</v>
      </c>
      <c r="B122" s="3063">
        <f>SUM('цех вода (с разбивкой)'!B59)</f>
        <v>70.288816948708728</v>
      </c>
      <c r="C122" s="3063">
        <f>SUM('цех вода (с разбивкой)'!C59)</f>
        <v>69.746662623069042</v>
      </c>
      <c r="D122" s="3063">
        <f>SUM('цех вода (с разбивкой)'!D59)</f>
        <v>0.54215432563968591</v>
      </c>
      <c r="E122" s="3092">
        <f>SUM('цех вода (с разбивкой)'!E59)</f>
        <v>5.8574014123923943</v>
      </c>
      <c r="F122" s="3092">
        <f>SUM('цех вода (с разбивкой)'!F59)</f>
        <v>5.8574014123923943</v>
      </c>
      <c r="G122" s="3092">
        <f>SUM('цех вода (с разбивкой)'!G59)</f>
        <v>5.8574014123923943</v>
      </c>
      <c r="H122" s="3063">
        <f>SUM('цех вода (с разбивкой)'!H59)</f>
        <v>17.572204237177182</v>
      </c>
      <c r="I122" s="3092">
        <f>SUM('цех вода (с разбивкой)'!I59)</f>
        <v>5.8574014123923943</v>
      </c>
      <c r="J122" s="3092">
        <f>SUM('цех вода (с разбивкой)'!J59)</f>
        <v>5.8574014123923943</v>
      </c>
      <c r="K122" s="3092">
        <f>SUM('цех вода (с разбивкой)'!K59)</f>
        <v>5.8574014123923943</v>
      </c>
      <c r="L122" s="3063">
        <f>SUM('цех вода (с разбивкой)'!L59)</f>
        <v>17.572204237177182</v>
      </c>
      <c r="M122" s="3063">
        <f>SUM('цех вода (с разбивкой)'!M59)</f>
        <v>35.144408474354364</v>
      </c>
      <c r="N122" s="3092">
        <f>SUM('цех вода (с разбивкой)'!N59)</f>
        <v>5.8574014123923943</v>
      </c>
      <c r="O122" s="3092">
        <f>SUM('цех вода (с разбивкой)'!O59)</f>
        <v>5.8574014123923943</v>
      </c>
      <c r="P122" s="3092">
        <f>SUM('цех вода (с разбивкой)'!P59)</f>
        <v>5.8574014123923943</v>
      </c>
      <c r="Q122" s="3063">
        <f>SUM('цех вода (с разбивкой)'!Q59)</f>
        <v>17.572204237177182</v>
      </c>
      <c r="R122" s="3063">
        <f>SUM('цех вода (с разбивкой)'!R59)</f>
        <v>52.716612711531546</v>
      </c>
      <c r="S122" s="3092">
        <f>SUM('цех вода (с разбивкой)'!S59)</f>
        <v>5.8574014123923943</v>
      </c>
      <c r="T122" s="3092">
        <f>SUM('цех вода (с разбивкой)'!T59)</f>
        <v>5.8574014123923943</v>
      </c>
      <c r="U122" s="3092">
        <f>SUM('цех вода (с разбивкой)'!U59)</f>
        <v>5.8574014123923943</v>
      </c>
      <c r="V122" s="3063">
        <f>SUM('цех вода (с разбивкой)'!V59)</f>
        <v>17.572204237177182</v>
      </c>
      <c r="W122" s="3087">
        <f t="shared" si="123"/>
        <v>70.288816948708714</v>
      </c>
      <c r="X122" s="430"/>
      <c r="Y122" s="430"/>
      <c r="Z122" s="430"/>
      <c r="AA122" s="430"/>
      <c r="AB122" s="430"/>
      <c r="AC122" s="430"/>
      <c r="AD122" s="430"/>
      <c r="AE122" s="430"/>
      <c r="AF122" s="430"/>
      <c r="AG122" s="430"/>
      <c r="AH122" s="430"/>
      <c r="AI122" s="430"/>
      <c r="AJ122" s="430"/>
      <c r="AK122" s="430"/>
      <c r="AL122" s="430"/>
      <c r="AM122" s="430"/>
      <c r="AN122" s="430"/>
      <c r="AO122" s="430"/>
      <c r="AP122" s="430"/>
      <c r="AQ122" s="430"/>
      <c r="AR122" s="430"/>
      <c r="AS122" s="430"/>
      <c r="AT122" s="430"/>
      <c r="AU122" s="430"/>
      <c r="AV122" s="430"/>
      <c r="AW122" s="430"/>
      <c r="AX122" s="430"/>
    </row>
    <row r="123" spans="1:50" ht="18.75">
      <c r="A123" s="3091" t="s">
        <v>606</v>
      </c>
      <c r="B123" s="3063">
        <f>SUM('цех вода (с разбивкой)'!B60)</f>
        <v>267.81673881107997</v>
      </c>
      <c r="C123" s="3063">
        <f>SUM('цех вода (с разбивкой)'!C60)</f>
        <v>265.75100474799149</v>
      </c>
      <c r="D123" s="3063">
        <f>SUM('цех вода (с разбивкой)'!D60)</f>
        <v>2.0657340630884846</v>
      </c>
      <c r="E123" s="3092">
        <f>SUM('цех вода (с разбивкой)'!E60)</f>
        <v>22.318061567589996</v>
      </c>
      <c r="F123" s="3092">
        <f>SUM('цех вода (с разбивкой)'!F60)</f>
        <v>22.318061567589996</v>
      </c>
      <c r="G123" s="3092">
        <f>SUM('цех вода (с разбивкой)'!G60)</f>
        <v>22.318061567589996</v>
      </c>
      <c r="H123" s="3063">
        <f>SUM('цех вода (с разбивкой)'!H60)</f>
        <v>66.954184702769993</v>
      </c>
      <c r="I123" s="3092">
        <f>SUM('цех вода (с разбивкой)'!I60)</f>
        <v>22.318061567589996</v>
      </c>
      <c r="J123" s="3092">
        <f>SUM('цех вода (с разбивкой)'!J60)</f>
        <v>22.318061567589996</v>
      </c>
      <c r="K123" s="3092">
        <f>SUM('цех вода (с разбивкой)'!K60)</f>
        <v>22.318061567589996</v>
      </c>
      <c r="L123" s="3063">
        <f>SUM('цех вода (с разбивкой)'!L60)</f>
        <v>66.954184702769993</v>
      </c>
      <c r="M123" s="3063">
        <f>SUM('цех вода (с разбивкой)'!M60)</f>
        <v>133.90836940553999</v>
      </c>
      <c r="N123" s="3092">
        <f>SUM('цех вода (с разбивкой)'!N60)</f>
        <v>22.318061567589996</v>
      </c>
      <c r="O123" s="3092">
        <f>SUM('цех вода (с разбивкой)'!O60)</f>
        <v>22.318061567589996</v>
      </c>
      <c r="P123" s="3092">
        <f>SUM('цех вода (с разбивкой)'!P60)</f>
        <v>22.318061567589996</v>
      </c>
      <c r="Q123" s="3063">
        <f>SUM('цех вода (с разбивкой)'!Q60)</f>
        <v>66.954184702769993</v>
      </c>
      <c r="R123" s="3063">
        <f>SUM('цех вода (с разбивкой)'!R60)</f>
        <v>200.86255410830998</v>
      </c>
      <c r="S123" s="3092">
        <f>SUM('цех вода (с разбивкой)'!S60)</f>
        <v>22.318061567589996</v>
      </c>
      <c r="T123" s="3092">
        <f>SUM('цех вода (с разбивкой)'!T60)</f>
        <v>22.318061567589996</v>
      </c>
      <c r="U123" s="3092">
        <f>SUM('цех вода (с разбивкой)'!U60)</f>
        <v>22.318061567589996</v>
      </c>
      <c r="V123" s="3063">
        <f>SUM('цех вода (с разбивкой)'!V60)</f>
        <v>66.954184702769993</v>
      </c>
      <c r="W123" s="3087">
        <f t="shared" si="123"/>
        <v>267.81673881108003</v>
      </c>
      <c r="X123" s="430"/>
      <c r="Y123" s="430"/>
      <c r="Z123" s="430"/>
      <c r="AA123" s="430"/>
      <c r="AB123" s="430"/>
      <c r="AC123" s="430"/>
      <c r="AD123" s="430"/>
      <c r="AE123" s="430"/>
      <c r="AF123" s="430"/>
      <c r="AG123" s="430"/>
      <c r="AH123" s="430"/>
      <c r="AI123" s="430"/>
      <c r="AJ123" s="430"/>
      <c r="AK123" s="430"/>
      <c r="AL123" s="430"/>
      <c r="AM123" s="430"/>
      <c r="AN123" s="430"/>
      <c r="AO123" s="430"/>
      <c r="AP123" s="430"/>
      <c r="AQ123" s="430"/>
      <c r="AR123" s="430"/>
      <c r="AS123" s="430"/>
      <c r="AT123" s="430"/>
      <c r="AU123" s="430"/>
      <c r="AV123" s="430"/>
      <c r="AW123" s="430"/>
      <c r="AX123" s="430"/>
    </row>
    <row r="124" spans="1:50" ht="18.75">
      <c r="A124" s="3093" t="s">
        <v>564</v>
      </c>
      <c r="B124" s="3067">
        <f>SUM('цех вода (с разбивкой)'!B61)</f>
        <v>267.81673881107997</v>
      </c>
      <c r="C124" s="3067">
        <f>SUM('цех вода (с разбивкой)'!C61)</f>
        <v>265.75100474799149</v>
      </c>
      <c r="D124" s="3067">
        <f>SUM('цех вода (с разбивкой)'!D61)</f>
        <v>2.0657340630884846</v>
      </c>
      <c r="E124" s="3094">
        <f>SUM('цех вода (с разбивкой)'!E61)</f>
        <v>22.318061567589996</v>
      </c>
      <c r="F124" s="3094">
        <f>SUM('цех вода (с разбивкой)'!F61)</f>
        <v>22.318061567589996</v>
      </c>
      <c r="G124" s="3094">
        <f>SUM('цех вода (с разбивкой)'!G61)</f>
        <v>22.318061567589996</v>
      </c>
      <c r="H124" s="3067">
        <f>SUM('цех вода (с разбивкой)'!H61)</f>
        <v>66.954184702769993</v>
      </c>
      <c r="I124" s="3094">
        <f>SUM('цех вода (с разбивкой)'!I61)</f>
        <v>22.318061567589996</v>
      </c>
      <c r="J124" s="3094">
        <f>SUM('цех вода (с разбивкой)'!J61)</f>
        <v>22.318061567589996</v>
      </c>
      <c r="K124" s="3094">
        <f>SUM('цех вода (с разбивкой)'!K61)</f>
        <v>22.318061567589996</v>
      </c>
      <c r="L124" s="3067">
        <f>SUM('цех вода (с разбивкой)'!L61)</f>
        <v>66.954184702769993</v>
      </c>
      <c r="M124" s="3067">
        <f>SUM('цех вода (с разбивкой)'!M61)</f>
        <v>133.90836940553999</v>
      </c>
      <c r="N124" s="3094">
        <f>SUM('цех вода (с разбивкой)'!N61)</f>
        <v>22.318061567589996</v>
      </c>
      <c r="O124" s="3094">
        <f>SUM('цех вода (с разбивкой)'!O61)</f>
        <v>22.318061567589996</v>
      </c>
      <c r="P124" s="3094">
        <f>SUM('цех вода (с разбивкой)'!P61)</f>
        <v>22.318061567589996</v>
      </c>
      <c r="Q124" s="3067">
        <f>SUM('цех вода (с разбивкой)'!Q61)</f>
        <v>66.954184702769993</v>
      </c>
      <c r="R124" s="3067">
        <f>SUM('цех вода (с разбивкой)'!R61)</f>
        <v>200.86255410830998</v>
      </c>
      <c r="S124" s="3094">
        <f>SUM('цех вода (с разбивкой)'!S61)</f>
        <v>22.318061567589996</v>
      </c>
      <c r="T124" s="3094">
        <f>SUM('цех вода (с разбивкой)'!T61)</f>
        <v>22.318061567589996</v>
      </c>
      <c r="U124" s="3094">
        <f>SUM('цех вода (с разбивкой)'!U61)</f>
        <v>22.318061567589996</v>
      </c>
      <c r="V124" s="3067">
        <f>SUM('цех вода (с разбивкой)'!V61)</f>
        <v>66.954184702769993</v>
      </c>
      <c r="W124" s="3087">
        <f t="shared" si="123"/>
        <v>267.81673881108003</v>
      </c>
      <c r="X124" s="430"/>
      <c r="Y124" s="430"/>
      <c r="Z124" s="430"/>
      <c r="AA124" s="430"/>
      <c r="AB124" s="430"/>
      <c r="AC124" s="430"/>
      <c r="AD124" s="430"/>
      <c r="AE124" s="430"/>
      <c r="AF124" s="430"/>
      <c r="AG124" s="430"/>
      <c r="AH124" s="430"/>
      <c r="AI124" s="430"/>
      <c r="AJ124" s="430"/>
      <c r="AK124" s="430"/>
      <c r="AL124" s="430"/>
      <c r="AM124" s="430"/>
      <c r="AN124" s="430"/>
      <c r="AO124" s="430"/>
      <c r="AP124" s="430"/>
      <c r="AQ124" s="430"/>
      <c r="AR124" s="430"/>
      <c r="AS124" s="430"/>
      <c r="AT124" s="430"/>
      <c r="AU124" s="430"/>
      <c r="AV124" s="430"/>
      <c r="AW124" s="430"/>
      <c r="AX124" s="430"/>
    </row>
    <row r="125" spans="1:50" ht="18.75">
      <c r="A125" s="3091" t="s">
        <v>609</v>
      </c>
      <c r="B125" s="3063">
        <f>SUM('цех вода (с разбивкой)'!B62)</f>
        <v>249.05125930942472</v>
      </c>
      <c r="C125" s="3063">
        <f>SUM('цех вода (с разбивкой)'!C62)</f>
        <v>247.13026784304188</v>
      </c>
      <c r="D125" s="3063">
        <f>SUM('цех вода (с разбивкой)'!D62)</f>
        <v>1.9209914663828194</v>
      </c>
      <c r="E125" s="3092">
        <f>SUM('цех вода (с разбивкой)'!E62)</f>
        <v>19.620137028296561</v>
      </c>
      <c r="F125" s="3092">
        <f>SUM('цех вода (с разбивкой)'!F62)</f>
        <v>19.620137028296561</v>
      </c>
      <c r="G125" s="3092">
        <f>SUM('цех вода (с разбивкой)'!G62)</f>
        <v>19.620137028296561</v>
      </c>
      <c r="H125" s="3063">
        <f>SUM('цех вода (с разбивкой)'!H62)</f>
        <v>58.860411084889684</v>
      </c>
      <c r="I125" s="3092">
        <f>SUM('цех вода (с разбивкой)'!I62)</f>
        <v>19.719881763417732</v>
      </c>
      <c r="J125" s="3092">
        <f>SUM('цех вода (с разбивкой)'!J62)</f>
        <v>21.371211267090395</v>
      </c>
      <c r="K125" s="3092">
        <f>SUM('цех вода (с разбивкой)'!K62)</f>
        <v>22.811968552173923</v>
      </c>
      <c r="L125" s="3063">
        <f>SUM('цех вода (с разбивкой)'!L62)</f>
        <v>63.903061582682049</v>
      </c>
      <c r="M125" s="3063">
        <f>SUM('цех вода (с разбивкой)'!M62)</f>
        <v>122.76347266757173</v>
      </c>
      <c r="N125" s="3092">
        <f>SUM('цех вода (с разбивкой)'!N62)</f>
        <v>23.244195737698988</v>
      </c>
      <c r="O125" s="3092">
        <f>SUM('цех вода (с разбивкой)'!O62)</f>
        <v>22.811968552173923</v>
      </c>
      <c r="P125" s="3092">
        <f>SUM('цех вода (с разбивкой)'!P62)</f>
        <v>21.371211267090395</v>
      </c>
      <c r="Q125" s="3063">
        <f>SUM('цех вода (с разбивкой)'!Q62)</f>
        <v>67.427375556963312</v>
      </c>
      <c r="R125" s="3063">
        <f>SUM('цех вода (с разбивкой)'!R62)</f>
        <v>190.19084822453505</v>
      </c>
      <c r="S125" s="3092">
        <f>SUM('цех вода (с разбивкой)'!S62)</f>
        <v>19.620137028296561</v>
      </c>
      <c r="T125" s="3092">
        <f>SUM('цех вода (с разбивкой)'!T62)</f>
        <v>19.620137028296561</v>
      </c>
      <c r="U125" s="3092">
        <f>SUM('цех вода (с разбивкой)'!U62)</f>
        <v>19.620137028296561</v>
      </c>
      <c r="V125" s="3063">
        <f>SUM('цех вода (с разбивкой)'!V62)</f>
        <v>58.860411084889684</v>
      </c>
      <c r="W125" s="3087">
        <f t="shared" si="123"/>
        <v>249.05125930942472</v>
      </c>
      <c r="X125" s="430"/>
      <c r="Y125" s="430"/>
      <c r="Z125" s="430"/>
      <c r="AA125" s="430"/>
      <c r="AB125" s="430"/>
      <c r="AC125" s="430"/>
      <c r="AD125" s="430"/>
      <c r="AE125" s="430"/>
      <c r="AF125" s="430"/>
      <c r="AG125" s="430"/>
      <c r="AH125" s="430"/>
      <c r="AI125" s="430"/>
      <c r="AJ125" s="430"/>
      <c r="AK125" s="430"/>
      <c r="AL125" s="430"/>
      <c r="AM125" s="430"/>
      <c r="AN125" s="430"/>
      <c r="AO125" s="430"/>
      <c r="AP125" s="430"/>
      <c r="AQ125" s="430"/>
      <c r="AR125" s="430"/>
      <c r="AS125" s="430"/>
      <c r="AT125" s="430"/>
      <c r="AU125" s="430"/>
      <c r="AV125" s="430"/>
      <c r="AW125" s="430"/>
      <c r="AX125" s="430"/>
    </row>
    <row r="126" spans="1:50" ht="18.75">
      <c r="A126" s="3093" t="s">
        <v>551</v>
      </c>
      <c r="B126" s="3067">
        <f>SUM('цех вода (с разбивкой)'!B63)</f>
        <v>110.827483467964</v>
      </c>
      <c r="C126" s="3067">
        <f>SUM('цех вода (с разбивкой)'!C63)</f>
        <v>109.97264478707167</v>
      </c>
      <c r="D126" s="3067">
        <f>SUM('цех вода (с разбивкой)'!D63)</f>
        <v>0.85483868089232828</v>
      </c>
      <c r="E126" s="3094">
        <f>SUM('цех вода (с разбивкой)'!E63)</f>
        <v>8.1014890415081684</v>
      </c>
      <c r="F126" s="3094">
        <f>SUM('цех вода (с разбивкой)'!F63)</f>
        <v>8.1014890415081684</v>
      </c>
      <c r="G126" s="3094">
        <f>SUM('цех вода (с разбивкой)'!G63)</f>
        <v>8.1014890415081684</v>
      </c>
      <c r="H126" s="3067">
        <f>SUM('цех вода (с разбивкой)'!H63)</f>
        <v>24.304467124524507</v>
      </c>
      <c r="I126" s="3094">
        <f>SUM('цех вода (с разбивкой)'!I63)</f>
        <v>8.2012337766293371</v>
      </c>
      <c r="J126" s="3094">
        <f>SUM('цех вода (с разбивкой)'!J63)</f>
        <v>9.8525632803020002</v>
      </c>
      <c r="K126" s="3094">
        <f>SUM('цех вода (с разбивкой)'!K63)</f>
        <v>11.29332056538553</v>
      </c>
      <c r="L126" s="3067">
        <f>SUM('цех вода (с разбивкой)'!L63)</f>
        <v>29.347117622316865</v>
      </c>
      <c r="M126" s="3067">
        <f>SUM('цех вода (с разбивкой)'!M63)</f>
        <v>53.651584746841372</v>
      </c>
      <c r="N126" s="3094">
        <f>SUM('цех вода (с разбивкой)'!N63)</f>
        <v>11.725547750910591</v>
      </c>
      <c r="O126" s="3094">
        <f>SUM('цех вода (с разбивкой)'!O63)</f>
        <v>11.29332056538553</v>
      </c>
      <c r="P126" s="3094">
        <f>SUM('цех вода (с разбивкой)'!P63)</f>
        <v>9.8525632803020002</v>
      </c>
      <c r="Q126" s="3067">
        <f>SUM('цех вода (с разбивкой)'!Q63)</f>
        <v>32.871431596598121</v>
      </c>
      <c r="R126" s="3067">
        <f>SUM('цех вода (с разбивкой)'!R63)</f>
        <v>86.523016343439494</v>
      </c>
      <c r="S126" s="3094">
        <f>SUM('цех вода (с разбивкой)'!S63)</f>
        <v>8.1014890415081684</v>
      </c>
      <c r="T126" s="3094">
        <f>SUM('цех вода (с разбивкой)'!T63)</f>
        <v>8.1014890415081684</v>
      </c>
      <c r="U126" s="3094">
        <f>SUM('цех вода (с разбивкой)'!U63)</f>
        <v>8.1014890415081684</v>
      </c>
      <c r="V126" s="3067">
        <f>SUM('цех вода (с разбивкой)'!V63)</f>
        <v>24.304467124524507</v>
      </c>
      <c r="W126" s="3087">
        <f t="shared" si="123"/>
        <v>110.827483467964</v>
      </c>
      <c r="X126" s="430"/>
      <c r="Y126" s="430"/>
      <c r="Z126" s="430"/>
      <c r="AA126" s="430"/>
      <c r="AB126" s="430"/>
      <c r="AC126" s="430"/>
      <c r="AD126" s="430"/>
      <c r="AE126" s="430"/>
      <c r="AF126" s="430"/>
      <c r="AG126" s="430"/>
      <c r="AH126" s="430"/>
      <c r="AI126" s="430"/>
      <c r="AJ126" s="430"/>
      <c r="AK126" s="430"/>
      <c r="AL126" s="430"/>
      <c r="AM126" s="430"/>
      <c r="AN126" s="430"/>
      <c r="AO126" s="430"/>
      <c r="AP126" s="430"/>
      <c r="AQ126" s="430"/>
      <c r="AR126" s="430"/>
      <c r="AS126" s="430"/>
      <c r="AT126" s="430"/>
      <c r="AU126" s="430"/>
      <c r="AV126" s="430"/>
      <c r="AW126" s="430"/>
      <c r="AX126" s="430"/>
    </row>
    <row r="127" spans="1:50" ht="18.75">
      <c r="A127" s="3093" t="s">
        <v>559</v>
      </c>
      <c r="B127" s="3067">
        <f>SUM('цех вода (с разбивкой)'!B64)</f>
        <v>129.78911780761567</v>
      </c>
      <c r="C127" s="3067">
        <f>SUM('цех вода (с разбивкой)'!C64)</f>
        <v>128.78802354120194</v>
      </c>
      <c r="D127" s="3067">
        <f>SUM('цех вода (с разбивкой)'!D64)</f>
        <v>1.0010942664137303</v>
      </c>
      <c r="E127" s="3094">
        <f>SUM('цех вода (с разбивкой)'!E64)</f>
        <v>10.815759817301306</v>
      </c>
      <c r="F127" s="3094">
        <f>SUM('цех вода (с разбивкой)'!F64)</f>
        <v>10.815759817301306</v>
      </c>
      <c r="G127" s="3094">
        <f>SUM('цех вода (с разбивкой)'!G64)</f>
        <v>10.815759817301306</v>
      </c>
      <c r="H127" s="3067">
        <f>SUM('цех вода (с разбивкой)'!H64)</f>
        <v>32.447279451903917</v>
      </c>
      <c r="I127" s="3094">
        <f>SUM('цех вода (с разбивкой)'!I64)</f>
        <v>10.815759817301306</v>
      </c>
      <c r="J127" s="3094">
        <f>SUM('цех вода (с разбивкой)'!J64)</f>
        <v>10.815759817301306</v>
      </c>
      <c r="K127" s="3094">
        <f>SUM('цех вода (с разбивкой)'!K64)</f>
        <v>10.815759817301306</v>
      </c>
      <c r="L127" s="3067">
        <f>SUM('цех вода (с разбивкой)'!L64)</f>
        <v>32.447279451903917</v>
      </c>
      <c r="M127" s="3067">
        <f>SUM('цех вода (с разбивкой)'!M64)</f>
        <v>64.894558903807834</v>
      </c>
      <c r="N127" s="3094">
        <f>SUM('цех вода (с разбивкой)'!N64)</f>
        <v>10.815759817301306</v>
      </c>
      <c r="O127" s="3094">
        <f>SUM('цех вода (с разбивкой)'!O64)</f>
        <v>10.815759817301306</v>
      </c>
      <c r="P127" s="3094">
        <f>SUM('цех вода (с разбивкой)'!P64)</f>
        <v>10.815759817301306</v>
      </c>
      <c r="Q127" s="3067">
        <f>SUM('цех вода (с разбивкой)'!Q64)</f>
        <v>32.447279451903917</v>
      </c>
      <c r="R127" s="3067">
        <f>SUM('цех вода (с разбивкой)'!R64)</f>
        <v>97.341838355711758</v>
      </c>
      <c r="S127" s="3094">
        <f>SUM('цех вода (с разбивкой)'!S64)</f>
        <v>10.815759817301306</v>
      </c>
      <c r="T127" s="3094">
        <f>SUM('цех вода (с разбивкой)'!T64)</f>
        <v>10.815759817301306</v>
      </c>
      <c r="U127" s="3094">
        <f>SUM('цех вода (с разбивкой)'!U64)</f>
        <v>10.815759817301306</v>
      </c>
      <c r="V127" s="3067">
        <f>SUM('цех вода (с разбивкой)'!V64)</f>
        <v>32.447279451903917</v>
      </c>
      <c r="W127" s="3087">
        <f t="shared" si="123"/>
        <v>129.7891178076157</v>
      </c>
      <c r="X127" s="430"/>
      <c r="Y127" s="430"/>
      <c r="Z127" s="430"/>
      <c r="AA127" s="430"/>
      <c r="AB127" s="430"/>
      <c r="AC127" s="430"/>
      <c r="AD127" s="430"/>
      <c r="AE127" s="430"/>
      <c r="AF127" s="430"/>
      <c r="AG127" s="430"/>
      <c r="AH127" s="430"/>
      <c r="AI127" s="430"/>
      <c r="AJ127" s="430"/>
      <c r="AK127" s="430"/>
      <c r="AL127" s="430"/>
      <c r="AM127" s="430"/>
      <c r="AN127" s="430"/>
      <c r="AO127" s="430"/>
      <c r="AP127" s="430"/>
      <c r="AQ127" s="430"/>
      <c r="AR127" s="430"/>
      <c r="AS127" s="430"/>
      <c r="AT127" s="430"/>
      <c r="AU127" s="430"/>
      <c r="AV127" s="430"/>
      <c r="AW127" s="430"/>
      <c r="AX127" s="430"/>
    </row>
    <row r="128" spans="1:50" ht="18.75">
      <c r="A128" s="3093" t="s">
        <v>613</v>
      </c>
      <c r="B128" s="3067">
        <f>SUM('цех вода (с разбивкой)'!B65)</f>
        <v>8.4346580338450483</v>
      </c>
      <c r="C128" s="3067">
        <f>SUM('цех вода (с разбивкой)'!C65)</f>
        <v>8.3695995147682876</v>
      </c>
      <c r="D128" s="3067">
        <f>SUM('цех вода (с разбивкой)'!D65)</f>
        <v>6.5058519076760746E-2</v>
      </c>
      <c r="E128" s="3094">
        <f>SUM('цех вода (с разбивкой)'!E65)</f>
        <v>0.70288816948708732</v>
      </c>
      <c r="F128" s="3094">
        <f>SUM('цех вода (с разбивкой)'!F65)</f>
        <v>0.70288816948708732</v>
      </c>
      <c r="G128" s="3094">
        <f>SUM('цех вода (с разбивкой)'!G65)</f>
        <v>0.70288816948708732</v>
      </c>
      <c r="H128" s="3067">
        <f>SUM('цех вода (с разбивкой)'!H65)</f>
        <v>2.1086645084612621</v>
      </c>
      <c r="I128" s="3094">
        <f>SUM('цех вода (с разбивкой)'!I65)</f>
        <v>0.70288816948708732</v>
      </c>
      <c r="J128" s="3094">
        <f>SUM('цех вода (с разбивкой)'!J65)</f>
        <v>0.70288816948708732</v>
      </c>
      <c r="K128" s="3094">
        <f>SUM('цех вода (с разбивкой)'!K65)</f>
        <v>0.70288816948708732</v>
      </c>
      <c r="L128" s="3067">
        <f>SUM('цех вода (с разбивкой)'!L65)</f>
        <v>2.1086645084612621</v>
      </c>
      <c r="M128" s="3067">
        <f>SUM('цех вода (с разбивкой)'!M65)</f>
        <v>4.2173290169225242</v>
      </c>
      <c r="N128" s="3094">
        <f>SUM('цех вода (с разбивкой)'!N65)</f>
        <v>0.70288816948708732</v>
      </c>
      <c r="O128" s="3094">
        <f>SUM('цех вода (с разбивкой)'!O65)</f>
        <v>0.70288816948708732</v>
      </c>
      <c r="P128" s="3094">
        <f>SUM('цех вода (с разбивкой)'!P65)</f>
        <v>0.70288816948708732</v>
      </c>
      <c r="Q128" s="3067">
        <f>SUM('цех вода (с разбивкой)'!Q65)</f>
        <v>2.1086645084612621</v>
      </c>
      <c r="R128" s="3067">
        <f>SUM('цех вода (с разбивкой)'!R65)</f>
        <v>6.3259935253837867</v>
      </c>
      <c r="S128" s="3094">
        <f>SUM('цех вода (с разбивкой)'!S65)</f>
        <v>0.70288816948708732</v>
      </c>
      <c r="T128" s="3094">
        <f>SUM('цех вода (с разбивкой)'!T65)</f>
        <v>0.70288816948708732</v>
      </c>
      <c r="U128" s="3094">
        <f>SUM('цех вода (с разбивкой)'!U65)</f>
        <v>0.70288816948708732</v>
      </c>
      <c r="V128" s="3067">
        <f>SUM('цех вода (с разбивкой)'!V65)</f>
        <v>2.1086645084612621</v>
      </c>
      <c r="W128" s="3087">
        <f t="shared" si="123"/>
        <v>8.4346580338450483</v>
      </c>
      <c r="X128" s="430"/>
      <c r="Y128" s="430"/>
      <c r="Z128" s="430"/>
      <c r="AA128" s="430"/>
      <c r="AB128" s="430"/>
      <c r="AC128" s="430"/>
      <c r="AD128" s="430"/>
      <c r="AE128" s="430"/>
      <c r="AF128" s="430"/>
      <c r="AG128" s="430"/>
      <c r="AH128" s="430"/>
      <c r="AI128" s="430"/>
      <c r="AJ128" s="430"/>
      <c r="AK128" s="430"/>
      <c r="AL128" s="430"/>
      <c r="AM128" s="430"/>
      <c r="AN128" s="430"/>
      <c r="AO128" s="430"/>
      <c r="AP128" s="430"/>
      <c r="AQ128" s="430"/>
      <c r="AR128" s="430"/>
      <c r="AS128" s="430"/>
      <c r="AT128" s="430"/>
      <c r="AU128" s="430"/>
      <c r="AV128" s="430"/>
      <c r="AW128" s="430"/>
      <c r="AX128" s="430"/>
    </row>
    <row r="129" spans="1:50" ht="18.75">
      <c r="A129" s="3058" t="s">
        <v>541</v>
      </c>
      <c r="B129" s="3060">
        <f>SUM(вода!CQ35)</f>
        <v>16783.007553220203</v>
      </c>
      <c r="C129" s="3060">
        <f>SUM(вода!CS35)</f>
        <v>16710.64318071747</v>
      </c>
      <c r="D129" s="3060">
        <f>SUM(вода!CT35)</f>
        <v>72.364372502734909</v>
      </c>
      <c r="E129" s="3096">
        <f>SUM(E130+E131+E132+E133+E134+E136)</f>
        <v>1376.5680048665536</v>
      </c>
      <c r="F129" s="3096">
        <f t="shared" ref="F129:V129" si="124">SUM(F130+F131+F132+F133+F134+F136)</f>
        <v>1376.5680048665536</v>
      </c>
      <c r="G129" s="3096">
        <f t="shared" si="124"/>
        <v>1376.5680048665536</v>
      </c>
      <c r="H129" s="3070">
        <f t="shared" si="124"/>
        <v>4129.7040145996616</v>
      </c>
      <c r="I129" s="3096">
        <f t="shared" si="124"/>
        <v>1376.6934635173479</v>
      </c>
      <c r="J129" s="3096">
        <f t="shared" si="124"/>
        <v>1378.7705011804971</v>
      </c>
      <c r="K129" s="3096">
        <f t="shared" si="124"/>
        <v>1380.5826816919696</v>
      </c>
      <c r="L129" s="3070">
        <f t="shared" si="124"/>
        <v>4136.0466463898147</v>
      </c>
      <c r="M129" s="3070">
        <f t="shared" si="124"/>
        <v>8265.7506609894754</v>
      </c>
      <c r="N129" s="3096">
        <f t="shared" si="124"/>
        <v>1422.3052289976092</v>
      </c>
      <c r="O129" s="3096">
        <f t="shared" si="124"/>
        <v>1421.7615748441676</v>
      </c>
      <c r="P129" s="3096">
        <f t="shared" si="124"/>
        <v>1419.9493943326952</v>
      </c>
      <c r="Q129" s="3070">
        <f t="shared" si="124"/>
        <v>4264.0161981744714</v>
      </c>
      <c r="R129" s="3070">
        <f t="shared" si="124"/>
        <v>12529.766859163945</v>
      </c>
      <c r="S129" s="3096">
        <f t="shared" si="124"/>
        <v>1417.7468980187516</v>
      </c>
      <c r="T129" s="3096">
        <f t="shared" si="124"/>
        <v>1417.7468980187516</v>
      </c>
      <c r="U129" s="3096">
        <f t="shared" si="124"/>
        <v>1417.7468980187516</v>
      </c>
      <c r="V129" s="3070">
        <f t="shared" si="124"/>
        <v>4253.2406940562551</v>
      </c>
      <c r="W129" s="3085">
        <f t="shared" si="123"/>
        <v>16783.007553220203</v>
      </c>
      <c r="X129" s="430"/>
      <c r="Y129" s="430"/>
      <c r="Z129" s="430"/>
      <c r="AA129" s="430"/>
      <c r="AB129" s="430"/>
      <c r="AC129" s="430"/>
      <c r="AD129" s="430"/>
      <c r="AE129" s="430"/>
      <c r="AF129" s="430"/>
      <c r="AG129" s="430"/>
      <c r="AH129" s="430"/>
      <c r="AI129" s="430"/>
      <c r="AJ129" s="430"/>
      <c r="AK129" s="430"/>
      <c r="AL129" s="430"/>
      <c r="AM129" s="430"/>
      <c r="AN129" s="430"/>
      <c r="AO129" s="430"/>
      <c r="AP129" s="430"/>
      <c r="AQ129" s="430"/>
      <c r="AR129" s="430"/>
      <c r="AS129" s="430"/>
      <c r="AT129" s="430"/>
      <c r="AU129" s="430"/>
      <c r="AV129" s="430"/>
      <c r="AW129" s="430"/>
      <c r="AX129" s="430"/>
    </row>
    <row r="130" spans="1:50" ht="18.75">
      <c r="A130" s="3086" t="s">
        <v>2</v>
      </c>
      <c r="B130" s="3063">
        <f>SUM(вода!CQ36)</f>
        <v>3533.24</v>
      </c>
      <c r="C130" s="3063">
        <f>SUM(вода!CS36)</f>
        <v>3533.24</v>
      </c>
      <c r="D130" s="3063">
        <f>SUM(вода!CT36)</f>
        <v>0</v>
      </c>
      <c r="E130" s="3074">
        <f>SUM(B130/12)</f>
        <v>294.43666666666667</v>
      </c>
      <c r="F130" s="3074">
        <f t="shared" ref="F130:G132" si="125">SUM(E130)</f>
        <v>294.43666666666667</v>
      </c>
      <c r="G130" s="3074">
        <f t="shared" si="125"/>
        <v>294.43666666666667</v>
      </c>
      <c r="H130" s="3072">
        <f>SUM(E130+F130+G130)</f>
        <v>883.31</v>
      </c>
      <c r="I130" s="3074">
        <f>SUM(E130)</f>
        <v>294.43666666666667</v>
      </c>
      <c r="J130" s="3074">
        <f>SUM(E130)</f>
        <v>294.43666666666667</v>
      </c>
      <c r="K130" s="3074">
        <f>SUM(E130)</f>
        <v>294.43666666666667</v>
      </c>
      <c r="L130" s="3072">
        <f>SUM(I130+J130+K130)</f>
        <v>883.31</v>
      </c>
      <c r="M130" s="3072">
        <f>SUM(H130+L130)</f>
        <v>1766.62</v>
      </c>
      <c r="N130" s="3071">
        <f>SUM(E130)</f>
        <v>294.43666666666667</v>
      </c>
      <c r="O130" s="3071">
        <f>SUM(E130)</f>
        <v>294.43666666666667</v>
      </c>
      <c r="P130" s="3071">
        <f>E130</f>
        <v>294.43666666666667</v>
      </c>
      <c r="Q130" s="3072">
        <f>SUM(N130+O130+P130)</f>
        <v>883.31</v>
      </c>
      <c r="R130" s="3072">
        <f>SUM(M130+Q130)</f>
        <v>2649.93</v>
      </c>
      <c r="S130" s="3071">
        <f>E130</f>
        <v>294.43666666666667</v>
      </c>
      <c r="T130" s="3071">
        <f>E130</f>
        <v>294.43666666666667</v>
      </c>
      <c r="U130" s="3071">
        <f>E130</f>
        <v>294.43666666666667</v>
      </c>
      <c r="V130" s="3072">
        <f>SUM(S130+T130+U130)</f>
        <v>883.31</v>
      </c>
      <c r="W130" s="3087">
        <f>SUM(E130+F130+G130+I130+J130+K130+N130+O130+P130+S130+T130+U130)</f>
        <v>3533.2399999999993</v>
      </c>
      <c r="X130" s="430"/>
      <c r="Y130" s="430"/>
      <c r="Z130" s="430"/>
      <c r="AA130" s="430"/>
      <c r="AB130" s="430"/>
      <c r="AC130" s="430"/>
      <c r="AD130" s="430"/>
      <c r="AE130" s="430"/>
      <c r="AF130" s="430"/>
      <c r="AG130" s="430"/>
      <c r="AH130" s="430"/>
      <c r="AI130" s="430"/>
      <c r="AJ130" s="430"/>
      <c r="AK130" s="430"/>
      <c r="AL130" s="430"/>
      <c r="AM130" s="430"/>
      <c r="AN130" s="430"/>
      <c r="AO130" s="430"/>
      <c r="AP130" s="430"/>
      <c r="AQ130" s="430"/>
      <c r="AR130" s="430"/>
      <c r="AS130" s="430"/>
      <c r="AT130" s="430"/>
      <c r="AU130" s="430"/>
      <c r="AV130" s="430"/>
      <c r="AW130" s="430"/>
      <c r="AX130" s="430"/>
    </row>
    <row r="131" spans="1:50" ht="18.75">
      <c r="A131" s="3086" t="s">
        <v>219</v>
      </c>
      <c r="B131" s="3063">
        <v>0</v>
      </c>
      <c r="C131" s="3063">
        <v>0</v>
      </c>
      <c r="D131" s="3063">
        <v>0</v>
      </c>
      <c r="E131" s="3074">
        <f>SUM(B131/12)</f>
        <v>0</v>
      </c>
      <c r="F131" s="3074">
        <f t="shared" si="125"/>
        <v>0</v>
      </c>
      <c r="G131" s="3074">
        <f t="shared" si="125"/>
        <v>0</v>
      </c>
      <c r="H131" s="3072">
        <f>SUM(E131+F131+G131)</f>
        <v>0</v>
      </c>
      <c r="I131" s="3074">
        <f>SUM(E131)</f>
        <v>0</v>
      </c>
      <c r="J131" s="3074">
        <f>SUM(E131)</f>
        <v>0</v>
      </c>
      <c r="K131" s="3074">
        <f>SUM(E131)</f>
        <v>0</v>
      </c>
      <c r="L131" s="3072">
        <f>SUM(I131+J131+K131)</f>
        <v>0</v>
      </c>
      <c r="M131" s="3072">
        <f>SUM(H131+L131)</f>
        <v>0</v>
      </c>
      <c r="N131" s="3071">
        <f>SUM(E131)</f>
        <v>0</v>
      </c>
      <c r="O131" s="3071">
        <f>SUM(E131)</f>
        <v>0</v>
      </c>
      <c r="P131" s="3071">
        <f>E131</f>
        <v>0</v>
      </c>
      <c r="Q131" s="3072">
        <f>SUM(N131+O131+P131)</f>
        <v>0</v>
      </c>
      <c r="R131" s="3072">
        <f>SUM(M131+Q131)</f>
        <v>0</v>
      </c>
      <c r="S131" s="3071">
        <f>E131</f>
        <v>0</v>
      </c>
      <c r="T131" s="3071">
        <f>E131</f>
        <v>0</v>
      </c>
      <c r="U131" s="3071">
        <f>E131</f>
        <v>0</v>
      </c>
      <c r="V131" s="3072">
        <f>SUM(S131+T131+U131)</f>
        <v>0</v>
      </c>
      <c r="W131" s="3087">
        <f>SUM(E131+F131+G131+I131+J131+K131+N131+O131+P131+S131+T131+U131)</f>
        <v>0</v>
      </c>
      <c r="X131" s="430"/>
      <c r="Y131" s="430"/>
      <c r="Z131" s="430"/>
      <c r="AA131" s="430"/>
      <c r="AB131" s="430"/>
      <c r="AC131" s="430"/>
      <c r="AD131" s="430"/>
      <c r="AE131" s="430"/>
      <c r="AF131" s="430"/>
      <c r="AG131" s="430"/>
      <c r="AH131" s="430"/>
      <c r="AI131" s="430"/>
      <c r="AJ131" s="430"/>
      <c r="AK131" s="430"/>
      <c r="AL131" s="430"/>
      <c r="AM131" s="430"/>
      <c r="AN131" s="430"/>
      <c r="AO131" s="430"/>
      <c r="AP131" s="430"/>
      <c r="AQ131" s="430"/>
      <c r="AR131" s="430"/>
      <c r="AS131" s="430"/>
      <c r="AT131" s="430"/>
      <c r="AU131" s="430"/>
      <c r="AV131" s="430"/>
      <c r="AW131" s="430"/>
      <c r="AX131" s="430"/>
    </row>
    <row r="132" spans="1:50" ht="18.75">
      <c r="A132" s="3091" t="s">
        <v>3</v>
      </c>
      <c r="B132" s="3063">
        <f>SUM(вода!CQ38)</f>
        <v>266.81266951322033</v>
      </c>
      <c r="C132" s="3063">
        <f>SUM(вода!CS38)</f>
        <v>266.81266951322033</v>
      </c>
      <c r="D132" s="3063">
        <f>SUM(вода!CT38)</f>
        <v>0</v>
      </c>
      <c r="E132" s="3074">
        <f>SUM(B132/12)</f>
        <v>22.234389126101693</v>
      </c>
      <c r="F132" s="3074">
        <f t="shared" si="125"/>
        <v>22.234389126101693</v>
      </c>
      <c r="G132" s="3074">
        <f t="shared" si="125"/>
        <v>22.234389126101693</v>
      </c>
      <c r="H132" s="3072">
        <f>SUM(E132+F132+G132)</f>
        <v>66.703167378305082</v>
      </c>
      <c r="I132" s="3074">
        <f>SUM(E132)</f>
        <v>22.234389126101693</v>
      </c>
      <c r="J132" s="3074">
        <f>SUM(E132)</f>
        <v>22.234389126101693</v>
      </c>
      <c r="K132" s="3074">
        <f>SUM(E132)</f>
        <v>22.234389126101693</v>
      </c>
      <c r="L132" s="3072">
        <f>SUM(I132+J132+K132)</f>
        <v>66.703167378305082</v>
      </c>
      <c r="M132" s="3072">
        <f>SUM(H132+L132)</f>
        <v>133.40633475661016</v>
      </c>
      <c r="N132" s="3071">
        <f>SUM(E132)</f>
        <v>22.234389126101693</v>
      </c>
      <c r="O132" s="3071">
        <f>SUM(E132)</f>
        <v>22.234389126101693</v>
      </c>
      <c r="P132" s="3071">
        <f>E132</f>
        <v>22.234389126101693</v>
      </c>
      <c r="Q132" s="3072">
        <f>SUM(N132+O132+P132)</f>
        <v>66.703167378305082</v>
      </c>
      <c r="R132" s="3072">
        <f>SUM(M132+Q132)</f>
        <v>200.10950213491526</v>
      </c>
      <c r="S132" s="3071">
        <f>E132</f>
        <v>22.234389126101693</v>
      </c>
      <c r="T132" s="3071">
        <f>E132</f>
        <v>22.234389126101693</v>
      </c>
      <c r="U132" s="3071">
        <f>E132</f>
        <v>22.234389126101693</v>
      </c>
      <c r="V132" s="3072">
        <f>SUM(S132+T132+U132)</f>
        <v>66.703167378305082</v>
      </c>
      <c r="W132" s="3087">
        <f>SUM(E132+F132+G132+I132+J132+K132+N132+O132+P132+S132+T132+U132)</f>
        <v>266.81266951322033</v>
      </c>
      <c r="X132" s="430"/>
      <c r="Y132" s="430"/>
      <c r="Z132" s="430"/>
      <c r="AA132" s="430"/>
      <c r="AB132" s="430"/>
      <c r="AC132" s="430"/>
      <c r="AD132" s="430"/>
      <c r="AE132" s="430"/>
      <c r="AF132" s="430"/>
      <c r="AG132" s="430"/>
      <c r="AH132" s="430"/>
      <c r="AI132" s="430"/>
      <c r="AJ132" s="430"/>
      <c r="AK132" s="430"/>
      <c r="AL132" s="430"/>
      <c r="AM132" s="430"/>
      <c r="AN132" s="430"/>
      <c r="AO132" s="430"/>
      <c r="AP132" s="430"/>
      <c r="AQ132" s="430"/>
      <c r="AR132" s="430"/>
      <c r="AS132" s="430"/>
      <c r="AT132" s="430"/>
      <c r="AU132" s="430"/>
      <c r="AV132" s="430"/>
      <c r="AW132" s="430"/>
      <c r="AX132" s="430"/>
    </row>
    <row r="133" spans="1:50" ht="18.75">
      <c r="A133" s="3086" t="s">
        <v>4</v>
      </c>
      <c r="B133" s="3063">
        <f>SUM(вода!CQ39)</f>
        <v>8045.1471608186912</v>
      </c>
      <c r="C133" s="3063">
        <f>SUM(вода!CS39)</f>
        <v>8000.6706549849841</v>
      </c>
      <c r="D133" s="3063">
        <f>SUM(вода!CT39)</f>
        <v>44.476505833707201</v>
      </c>
      <c r="E133" s="3074">
        <f>SUM((ЗП!DI28/2)/(1+(104%*100-100)/2/100)/6)</f>
        <v>657.2832647727688</v>
      </c>
      <c r="F133" s="3074">
        <f>SUM(E133)</f>
        <v>657.2832647727688</v>
      </c>
      <c r="G133" s="3074">
        <f>SUM(E133)</f>
        <v>657.2832647727688</v>
      </c>
      <c r="H133" s="3072">
        <f>SUM(E133+F133+G133)</f>
        <v>1971.8497943183065</v>
      </c>
      <c r="I133" s="3074">
        <f>SUM(E133)</f>
        <v>657.2832647727688</v>
      </c>
      <c r="J133" s="3074">
        <f>SUM(E133)</f>
        <v>657.2832647727688</v>
      </c>
      <c r="K133" s="3074">
        <f>SUM(E133)</f>
        <v>657.2832647727688</v>
      </c>
      <c r="L133" s="3072">
        <f>SUM(I133+J133+K133)</f>
        <v>1971.8497943183065</v>
      </c>
      <c r="M133" s="3072">
        <f>SUM(H133+L133)</f>
        <v>3943.699588636613</v>
      </c>
      <c r="N133" s="3071">
        <f>SUM(ЗП!DI28-'Произв. прогр. Вода'!M133)/6</f>
        <v>683.57459536367969</v>
      </c>
      <c r="O133" s="3071">
        <f>SUM(N133)</f>
        <v>683.57459536367969</v>
      </c>
      <c r="P133" s="3071">
        <f>SUM(N133)</f>
        <v>683.57459536367969</v>
      </c>
      <c r="Q133" s="3072">
        <f>SUM(N133+O133+P133)</f>
        <v>2050.7237860910391</v>
      </c>
      <c r="R133" s="3072">
        <f>SUM(M133+Q133)</f>
        <v>5994.4233747276521</v>
      </c>
      <c r="S133" s="3071">
        <f>SUM(N133)</f>
        <v>683.57459536367969</v>
      </c>
      <c r="T133" s="3071">
        <f>SUM(N133)</f>
        <v>683.57459536367969</v>
      </c>
      <c r="U133" s="3071">
        <f>SUM(N133)</f>
        <v>683.57459536367969</v>
      </c>
      <c r="V133" s="3072">
        <f>SUM(S133+T133+U133)</f>
        <v>2050.7237860910391</v>
      </c>
      <c r="W133" s="3087">
        <f>SUM(E133+F133+G133+I133+J133+K133+N133+O133+P133+S133+T133+U133)</f>
        <v>8045.1471608186912</v>
      </c>
      <c r="X133" s="430"/>
      <c r="Y133" s="430"/>
      <c r="Z133" s="430"/>
      <c r="AA133" s="430"/>
      <c r="AB133" s="430"/>
      <c r="AC133" s="430"/>
      <c r="AD133" s="430"/>
      <c r="AE133" s="430"/>
      <c r="AF133" s="430"/>
      <c r="AG133" s="430"/>
      <c r="AH133" s="430"/>
      <c r="AI133" s="430"/>
      <c r="AJ133" s="430"/>
      <c r="AK133" s="430"/>
      <c r="AL133" s="430"/>
      <c r="AM133" s="430"/>
      <c r="AN133" s="430"/>
      <c r="AO133" s="430"/>
      <c r="AP133" s="430"/>
      <c r="AQ133" s="430"/>
      <c r="AR133" s="430"/>
      <c r="AS133" s="430"/>
      <c r="AT133" s="430"/>
      <c r="AU133" s="430"/>
      <c r="AV133" s="430"/>
      <c r="AW133" s="430"/>
      <c r="AX133" s="430"/>
    </row>
    <row r="134" spans="1:50" ht="18.75">
      <c r="A134" s="3086" t="s">
        <v>5</v>
      </c>
      <c r="B134" s="3063">
        <f>SUM(вода!CQ40)</f>
        <v>2421.5892954064261</v>
      </c>
      <c r="C134" s="3063">
        <f>SUM(вода!CS40)</f>
        <v>2408.2018671504802</v>
      </c>
      <c r="D134" s="3063">
        <f>SUM(вода!CT40)</f>
        <v>13.387428255945867</v>
      </c>
      <c r="E134" s="3074">
        <f>SUM(E133*E135)</f>
        <v>197.8422626966034</v>
      </c>
      <c r="F134" s="3074">
        <f>SUM(F133*F135)</f>
        <v>197.8422626966034</v>
      </c>
      <c r="G134" s="3074">
        <f>SUM(G133*G135)</f>
        <v>197.8422626966034</v>
      </c>
      <c r="H134" s="3072">
        <f>SUM(E134+F134+G134)</f>
        <v>593.52678808981022</v>
      </c>
      <c r="I134" s="3074">
        <f>SUM(I133*I135)</f>
        <v>197.8422626966034</v>
      </c>
      <c r="J134" s="3074">
        <f>SUM(J133*J135)</f>
        <v>197.8422626966034</v>
      </c>
      <c r="K134" s="3074">
        <f>SUM(K133*K135)</f>
        <v>197.8422626966034</v>
      </c>
      <c r="L134" s="3072">
        <f>SUM(I134+J134+K134)</f>
        <v>593.52678808981022</v>
      </c>
      <c r="M134" s="3072">
        <f>SUM(H134+L134)</f>
        <v>1187.0535761796204</v>
      </c>
      <c r="N134" s="3071">
        <f>SUM(N133*N135)</f>
        <v>205.75595320446757</v>
      </c>
      <c r="O134" s="3071">
        <f>SUM(O133*O135)</f>
        <v>205.75595320446757</v>
      </c>
      <c r="P134" s="3071">
        <f>SUM(P133*P135)</f>
        <v>205.75595320446757</v>
      </c>
      <c r="Q134" s="3072">
        <f>SUM(N134+O134+P134)</f>
        <v>617.26785961340272</v>
      </c>
      <c r="R134" s="3072">
        <f>SUM(M134+Q134)</f>
        <v>1804.3214357930233</v>
      </c>
      <c r="S134" s="3071">
        <f>SUM(S133*S135)</f>
        <v>205.75595320446757</v>
      </c>
      <c r="T134" s="3071">
        <f>SUM(T133*T135)</f>
        <v>205.75595320446757</v>
      </c>
      <c r="U134" s="3071">
        <f>SUM(U133*U135)</f>
        <v>205.75595320446757</v>
      </c>
      <c r="V134" s="3072">
        <f>SUM(S134+T134+U134)</f>
        <v>617.26785961340272</v>
      </c>
      <c r="W134" s="3087">
        <f>SUM(E134+F134+G134+I134+J134+K134+N134+O134+P134+S134+T134+U134)</f>
        <v>2421.5892954064252</v>
      </c>
      <c r="X134" s="430"/>
      <c r="Y134" s="430"/>
      <c r="Z134" s="430"/>
      <c r="AA134" s="430"/>
      <c r="AB134" s="430"/>
      <c r="AC134" s="430"/>
      <c r="AD134" s="430"/>
      <c r="AE134" s="430"/>
      <c r="AF134" s="430"/>
      <c r="AG134" s="430"/>
      <c r="AH134" s="430"/>
      <c r="AI134" s="430"/>
      <c r="AJ134" s="430"/>
      <c r="AK134" s="430"/>
      <c r="AL134" s="430"/>
      <c r="AM134" s="430"/>
      <c r="AN134" s="430"/>
      <c r="AO134" s="430"/>
      <c r="AP134" s="430"/>
      <c r="AQ134" s="430"/>
      <c r="AR134" s="430"/>
      <c r="AS134" s="430"/>
      <c r="AT134" s="430"/>
      <c r="AU134" s="430"/>
      <c r="AV134" s="430"/>
      <c r="AW134" s="430"/>
      <c r="AX134" s="430"/>
    </row>
    <row r="135" spans="1:50" ht="18.75">
      <c r="A135" s="3088" t="str">
        <f>A76</f>
        <v>то же в %</v>
      </c>
      <c r="B135" s="3068">
        <f>SUM(B134/B133)</f>
        <v>0.30099999999999999</v>
      </c>
      <c r="C135" s="3068">
        <f t="shared" ref="C135:D135" si="126">SUM(C134/C133)</f>
        <v>0.30099999999999999</v>
      </c>
      <c r="D135" s="3068">
        <f t="shared" si="126"/>
        <v>0.30099999999999999</v>
      </c>
      <c r="E135" s="3097">
        <f>SUM(B135)</f>
        <v>0.30099999999999999</v>
      </c>
      <c r="F135" s="3097">
        <f>SUM(E135)</f>
        <v>0.30099999999999999</v>
      </c>
      <c r="G135" s="3097">
        <f>SUM(E135)</f>
        <v>0.30099999999999999</v>
      </c>
      <c r="H135" s="3068">
        <f>SUM(H134/H133)</f>
        <v>0.30099999999999999</v>
      </c>
      <c r="I135" s="3097">
        <f>SUM(E135)</f>
        <v>0.30099999999999999</v>
      </c>
      <c r="J135" s="3097">
        <f>SUM(E135)</f>
        <v>0.30099999999999999</v>
      </c>
      <c r="K135" s="3097">
        <f>SUM(E135)</f>
        <v>0.30099999999999999</v>
      </c>
      <c r="L135" s="3068">
        <f>SUM(L134/L133)</f>
        <v>0.30099999999999999</v>
      </c>
      <c r="M135" s="3068">
        <f>SUM(M134/M133)</f>
        <v>0.30099999999999999</v>
      </c>
      <c r="N135" s="3097">
        <f>SUM(E135)</f>
        <v>0.30099999999999999</v>
      </c>
      <c r="O135" s="3097">
        <f>SUM(E135)</f>
        <v>0.30099999999999999</v>
      </c>
      <c r="P135" s="3097">
        <f>SUM(E135)</f>
        <v>0.30099999999999999</v>
      </c>
      <c r="Q135" s="3068">
        <f>SUM(Q134/Q133)</f>
        <v>0.30099999999999999</v>
      </c>
      <c r="R135" s="3068">
        <f>SUM(R134/R133)</f>
        <v>0.30099999999999999</v>
      </c>
      <c r="S135" s="3097">
        <f>SUM(E135)</f>
        <v>0.30099999999999999</v>
      </c>
      <c r="T135" s="3097">
        <f>SUM(E135)</f>
        <v>0.30099999999999999</v>
      </c>
      <c r="U135" s="3097">
        <f>SUM(E135)</f>
        <v>0.30099999999999999</v>
      </c>
      <c r="V135" s="3068">
        <f>SUM(V134/V133)</f>
        <v>0.30099999999999999</v>
      </c>
      <c r="W135" s="3089">
        <f>SUM(W134/W133)</f>
        <v>0.30099999999999988</v>
      </c>
      <c r="X135" s="430"/>
      <c r="Y135" s="430"/>
      <c r="Z135" s="430"/>
      <c r="AA135" s="430"/>
      <c r="AB135" s="430"/>
      <c r="AC135" s="430"/>
      <c r="AD135" s="430"/>
      <c r="AE135" s="430"/>
      <c r="AF135" s="430"/>
      <c r="AG135" s="430"/>
      <c r="AH135" s="430"/>
      <c r="AI135" s="430"/>
      <c r="AJ135" s="430"/>
      <c r="AK135" s="430"/>
      <c r="AL135" s="430"/>
      <c r="AM135" s="430"/>
      <c r="AN135" s="430"/>
      <c r="AO135" s="430"/>
      <c r="AP135" s="430"/>
      <c r="AQ135" s="430"/>
      <c r="AR135" s="430"/>
      <c r="AS135" s="430"/>
      <c r="AT135" s="430"/>
      <c r="AU135" s="430"/>
      <c r="AV135" s="430"/>
      <c r="AW135" s="430"/>
      <c r="AX135" s="430"/>
    </row>
    <row r="136" spans="1:50" ht="18.75">
      <c r="A136" s="3090" t="s">
        <v>1723</v>
      </c>
      <c r="B136" s="3060">
        <f>SUM('цех вода (с разбивкой)'!B66)</f>
        <v>2516.2184274818646</v>
      </c>
      <c r="C136" s="3060">
        <f>SUM('цех вода (с разбивкой)'!C66)</f>
        <v>2501.717989068783</v>
      </c>
      <c r="D136" s="3060">
        <f>SUM('цех вода (с разбивкой)'!D66)</f>
        <v>14.500438413081838</v>
      </c>
      <c r="E136" s="3073">
        <f>SUM('цех вода (с разбивкой)'!E66)</f>
        <v>204.77142160441312</v>
      </c>
      <c r="F136" s="3073">
        <f>SUM('цех вода (с разбивкой)'!F66)</f>
        <v>204.77142160441312</v>
      </c>
      <c r="G136" s="3073">
        <f>SUM('цех вода (с разбивкой)'!G66)</f>
        <v>204.77142160441312</v>
      </c>
      <c r="H136" s="3060">
        <f>SUM('цех вода (с разбивкой)'!H66)</f>
        <v>614.31426481323933</v>
      </c>
      <c r="I136" s="3073">
        <f>SUM('цех вода (с разбивкой)'!I66)</f>
        <v>204.89688025520735</v>
      </c>
      <c r="J136" s="3073">
        <f>SUM('цех вода (с разбивкой)'!J66)</f>
        <v>206.97391791835653</v>
      </c>
      <c r="K136" s="3073">
        <f>SUM('цех вода (с разбивкой)'!K66)</f>
        <v>208.78609842982897</v>
      </c>
      <c r="L136" s="3060">
        <f>SUM('цех вода (с разбивкой)'!L66)</f>
        <v>620.65689660339285</v>
      </c>
      <c r="M136" s="3060">
        <f>SUM('цех вода (с разбивкой)'!M66)</f>
        <v>1234.9711614166322</v>
      </c>
      <c r="N136" s="3073">
        <f>SUM('цех вода (с разбивкой)'!N66)</f>
        <v>216.30362463669351</v>
      </c>
      <c r="O136" s="3073">
        <f>SUM('цех вода (с разбивкой)'!O66)</f>
        <v>215.75997048325178</v>
      </c>
      <c r="P136" s="3073">
        <f>SUM('цех вода (с разбивкой)'!P66)</f>
        <v>213.94778997177934</v>
      </c>
      <c r="Q136" s="3060">
        <f>SUM('цех вода (с разбивкой)'!Q66)</f>
        <v>646.01138509172461</v>
      </c>
      <c r="R136" s="3060">
        <f>SUM('цех вода (с разбивкой)'!R66)</f>
        <v>1880.9825465083568</v>
      </c>
      <c r="S136" s="3073">
        <f>SUM('цех вода (с разбивкой)'!S66)</f>
        <v>211.74529365783593</v>
      </c>
      <c r="T136" s="3073">
        <f>SUM('цех вода (с разбивкой)'!T66)</f>
        <v>211.74529365783593</v>
      </c>
      <c r="U136" s="3073">
        <f>SUM('цех вода (с разбивкой)'!U66)</f>
        <v>211.74529365783593</v>
      </c>
      <c r="V136" s="3060">
        <f>SUM('цех вода (с разбивкой)'!V66)</f>
        <v>635.23588097350785</v>
      </c>
      <c r="W136" s="3087">
        <f>SUM(E136+F136+G136+I136+J136+K136+N136+O136+P136+S136+T136+U136)</f>
        <v>2516.2184274818655</v>
      </c>
    </row>
    <row r="137" spans="1:50" ht="18.75">
      <c r="A137" s="3091" t="s">
        <v>72</v>
      </c>
      <c r="B137" s="3063">
        <f>SUM('цех вода (с разбивкой)'!B67)</f>
        <v>1639.0646836616866</v>
      </c>
      <c r="C137" s="3063">
        <f>SUM('цех вода (с разбивкой)'!C67)</f>
        <v>1629.6190980794051</v>
      </c>
      <c r="D137" s="3063">
        <f>SUM('цех вода (с разбивкой)'!D67)</f>
        <v>9.4455855822814101</v>
      </c>
      <c r="E137" s="3092">
        <f>SUM('цех вода (с разбивкой)'!E67)</f>
        <v>133.91051337105282</v>
      </c>
      <c r="F137" s="3092">
        <f>SUM('цех вода (с разбивкой)'!F67)</f>
        <v>133.91051337105282</v>
      </c>
      <c r="G137" s="3092">
        <f>SUM('цех вода (с разбивкой)'!G67)</f>
        <v>133.91051337105282</v>
      </c>
      <c r="H137" s="3063">
        <f>SUM('цех вода (с разбивкой)'!H67)</f>
        <v>401.73154011315842</v>
      </c>
      <c r="I137" s="3092">
        <f>SUM('цех вода (с разбивкой)'!I67)</f>
        <v>133.91051337105282</v>
      </c>
      <c r="J137" s="3092">
        <f>SUM('цех вода (с разбивкой)'!J67)</f>
        <v>133.91051337105282</v>
      </c>
      <c r="K137" s="3092">
        <f>SUM('цех вода (с разбивкой)'!K67)</f>
        <v>133.91051337105282</v>
      </c>
      <c r="L137" s="3063">
        <f>SUM('цех вода (с разбивкой)'!L67)</f>
        <v>401.73154011315842</v>
      </c>
      <c r="M137" s="3063">
        <f>SUM('цех вода (с разбивкой)'!M67)</f>
        <v>803.46308022631683</v>
      </c>
      <c r="N137" s="3092">
        <f>SUM('цех вода (с разбивкой)'!N67)</f>
        <v>139.26693390589494</v>
      </c>
      <c r="O137" s="3092">
        <f>SUM('цех вода (с разбивкой)'!O67)</f>
        <v>139.26693390589494</v>
      </c>
      <c r="P137" s="3092">
        <f>SUM('цех вода (с разбивкой)'!P67)</f>
        <v>139.26693390589494</v>
      </c>
      <c r="Q137" s="3063">
        <f>SUM('цех вода (с разбивкой)'!Q67)</f>
        <v>417.80080171768486</v>
      </c>
      <c r="R137" s="3063">
        <f>SUM('цех вода (с разбивкой)'!R67)</f>
        <v>1221.2638819440017</v>
      </c>
      <c r="S137" s="3092">
        <f>SUM('цех вода (с разбивкой)'!S67)</f>
        <v>139.26693390589494</v>
      </c>
      <c r="T137" s="3092">
        <f>SUM('цех вода (с разбивкой)'!T67)</f>
        <v>139.26693390589494</v>
      </c>
      <c r="U137" s="3092">
        <f>SUM('цех вода (с разбивкой)'!U67)</f>
        <v>139.26693390589494</v>
      </c>
      <c r="V137" s="3063">
        <f>SUM('цех вода (с разбивкой)'!V67)</f>
        <v>417.80080171768486</v>
      </c>
      <c r="W137" s="3087">
        <f>SUM(E137+F137+G137+I137+J137+K137+N137+O137+P137+S137+T137+U137)</f>
        <v>1639.064683661687</v>
      </c>
    </row>
    <row r="138" spans="1:50" ht="18.75">
      <c r="A138" s="3091" t="s">
        <v>121</v>
      </c>
      <c r="B138" s="3063">
        <f>SUM('цех вода (с разбивкой)'!B68)</f>
        <v>494.94016468568282</v>
      </c>
      <c r="C138" s="3063">
        <f>SUM('цех вода (с разбивкой)'!C68)</f>
        <v>492.08792844982963</v>
      </c>
      <c r="D138" s="3063">
        <f>SUM('цех вода (с разбивкой)'!D68)</f>
        <v>2.8522362358531836</v>
      </c>
      <c r="E138" s="3092">
        <f>SUM('цех вода (с разбивкой)'!E68)</f>
        <v>40.436287964516566</v>
      </c>
      <c r="F138" s="3092">
        <f>SUM('цех вода (с разбивкой)'!F68)</f>
        <v>40.436287964516566</v>
      </c>
      <c r="G138" s="3092">
        <f>SUM('цех вода (с разбивкой)'!G68)</f>
        <v>40.436287964516566</v>
      </c>
      <c r="H138" s="3063">
        <f>SUM('цех вода (с разбивкой)'!H68)</f>
        <v>121.3088638935497</v>
      </c>
      <c r="I138" s="3092">
        <f>SUM('цех вода (с разбивкой)'!I68)</f>
        <v>40.436287964516566</v>
      </c>
      <c r="J138" s="3092">
        <f>SUM('цех вода (с разбивкой)'!J68)</f>
        <v>40.436287964516566</v>
      </c>
      <c r="K138" s="3092">
        <f>SUM('цех вода (с разбивкой)'!K68)</f>
        <v>40.436287964516566</v>
      </c>
      <c r="L138" s="3063">
        <f>SUM('цех вода (с разбивкой)'!L68)</f>
        <v>121.3088638935497</v>
      </c>
      <c r="M138" s="3063">
        <f>SUM('цех вода (с разбивкой)'!M68)</f>
        <v>242.6177277870994</v>
      </c>
      <c r="N138" s="3092">
        <f>SUM('цех вода (с разбивкой)'!N68)</f>
        <v>42.053739483097239</v>
      </c>
      <c r="O138" s="3092">
        <f>SUM('цех вода (с разбивкой)'!O68)</f>
        <v>42.053739483097239</v>
      </c>
      <c r="P138" s="3092">
        <f>SUM('цех вода (с разбивкой)'!P68)</f>
        <v>42.053739483097239</v>
      </c>
      <c r="Q138" s="3063">
        <f>SUM('цех вода (с разбивкой)'!Q68)</f>
        <v>126.16121844929171</v>
      </c>
      <c r="R138" s="3063">
        <f>SUM('цех вода (с разбивкой)'!R68)</f>
        <v>368.77894623639111</v>
      </c>
      <c r="S138" s="3092">
        <f>SUM('цех вода (с разбивкой)'!S68)</f>
        <v>42.053739483097239</v>
      </c>
      <c r="T138" s="3092">
        <f>SUM('цех вода (с разбивкой)'!T68)</f>
        <v>42.053739483097239</v>
      </c>
      <c r="U138" s="3092">
        <f>SUM('цех вода (с разбивкой)'!U68)</f>
        <v>42.053739483097239</v>
      </c>
      <c r="V138" s="3063">
        <f>SUM('цех вода (с разбивкой)'!V68)</f>
        <v>126.16121844929171</v>
      </c>
      <c r="W138" s="3087">
        <f t="shared" ref="W138:W164" si="127">SUM(E138+F138+G138+I138+J138+K138+N138+O138+P138+S138+T138+U138)</f>
        <v>494.9401646856827</v>
      </c>
    </row>
    <row r="139" spans="1:50" ht="18.75">
      <c r="A139" s="3091" t="s">
        <v>52</v>
      </c>
      <c r="B139" s="3063">
        <f>SUM('цех вода (с разбивкой)'!B69)</f>
        <v>9.3100081816828997</v>
      </c>
      <c r="C139" s="3063">
        <f>SUM('цех вода (с разбивкой)'!C69)</f>
        <v>9.2563565595544972</v>
      </c>
      <c r="D139" s="3063">
        <f>SUM('цех вода (с разбивкой)'!D69)</f>
        <v>5.3651622128402465E-2</v>
      </c>
      <c r="E139" s="3092">
        <f>SUM('цех вода (с разбивкой)'!E69)</f>
        <v>0.77583401514024164</v>
      </c>
      <c r="F139" s="3092">
        <f>SUM('цех вода (с разбивкой)'!F69)</f>
        <v>0.77583401514024164</v>
      </c>
      <c r="G139" s="3092">
        <f>SUM('цех вода (с разбивкой)'!G69)</f>
        <v>0.77583401514024164</v>
      </c>
      <c r="H139" s="3063">
        <f>SUM('цех вода (с разбивкой)'!H69)</f>
        <v>2.3275020454207249</v>
      </c>
      <c r="I139" s="3092">
        <f>SUM('цех вода (с разбивкой)'!I69)</f>
        <v>0.77583401514024164</v>
      </c>
      <c r="J139" s="3092">
        <f>SUM('цех вода (с разбивкой)'!J69)</f>
        <v>0.77583401514024164</v>
      </c>
      <c r="K139" s="3092">
        <f>SUM('цех вода (с разбивкой)'!K69)</f>
        <v>0.77583401514024164</v>
      </c>
      <c r="L139" s="3063">
        <f>SUM('цех вода (с разбивкой)'!L69)</f>
        <v>2.3275020454207249</v>
      </c>
      <c r="M139" s="3063">
        <f>SUM('цех вода (с разбивкой)'!M69)</f>
        <v>4.6550040908414498</v>
      </c>
      <c r="N139" s="3092">
        <f>SUM('цех вода (с разбивкой)'!N69)</f>
        <v>0.77583401514024164</v>
      </c>
      <c r="O139" s="3092">
        <f>SUM('цех вода (с разбивкой)'!O69)</f>
        <v>0.77583401514024164</v>
      </c>
      <c r="P139" s="3092">
        <f>SUM('цех вода (с разбивкой)'!P69)</f>
        <v>0.77583401514024164</v>
      </c>
      <c r="Q139" s="3063">
        <f>SUM('цех вода (с разбивкой)'!Q69)</f>
        <v>2.3275020454207249</v>
      </c>
      <c r="R139" s="3063">
        <f>SUM('цех вода (с разбивкой)'!R69)</f>
        <v>6.9825061362621748</v>
      </c>
      <c r="S139" s="3092">
        <f>SUM('цех вода (с разбивкой)'!S69)</f>
        <v>0.77583401514024164</v>
      </c>
      <c r="T139" s="3092">
        <f>SUM('цех вода (с разбивкой)'!T69)</f>
        <v>0.77583401514024164</v>
      </c>
      <c r="U139" s="3092">
        <f>SUM('цех вода (с разбивкой)'!U69)</f>
        <v>0.77583401514024164</v>
      </c>
      <c r="V139" s="3063">
        <f>SUM('цех вода (с разбивкой)'!V69)</f>
        <v>2.3275020454207249</v>
      </c>
      <c r="W139" s="3087">
        <f t="shared" si="127"/>
        <v>9.3100081816828997</v>
      </c>
    </row>
    <row r="140" spans="1:50" ht="18.75">
      <c r="A140" s="3091" t="s">
        <v>605</v>
      </c>
      <c r="B140" s="3063">
        <f>SUM('цех вода (с разбивкой)'!B70)</f>
        <v>170.59960938327043</v>
      </c>
      <c r="C140" s="3063">
        <f>SUM('цех вода (с разбивкой)'!C70)</f>
        <v>169.61647965886348</v>
      </c>
      <c r="D140" s="3063">
        <f>SUM('цех вода (с разбивкой)'!D70)</f>
        <v>0.98312972440695034</v>
      </c>
      <c r="E140" s="3092">
        <f>SUM('цех вода (с разбивкой)'!E70)</f>
        <v>14.216634115272536</v>
      </c>
      <c r="F140" s="3092">
        <f>SUM('цех вода (с разбивкой)'!F70)</f>
        <v>14.216634115272536</v>
      </c>
      <c r="G140" s="3092">
        <f>SUM('цех вода (с разбивкой)'!G70)</f>
        <v>14.216634115272536</v>
      </c>
      <c r="H140" s="3063">
        <f>SUM('цех вода (с разбивкой)'!H70)</f>
        <v>42.649902345817608</v>
      </c>
      <c r="I140" s="3092">
        <f>SUM('цех вода (с разбивкой)'!I70)</f>
        <v>14.216634115272536</v>
      </c>
      <c r="J140" s="3092">
        <f>SUM('цех вода (с разбивкой)'!J70)</f>
        <v>14.216634115272536</v>
      </c>
      <c r="K140" s="3092">
        <f>SUM('цех вода (с разбивкой)'!K70)</f>
        <v>14.216634115272536</v>
      </c>
      <c r="L140" s="3063">
        <f>SUM('цех вода (с разбивкой)'!L70)</f>
        <v>42.649902345817608</v>
      </c>
      <c r="M140" s="3063">
        <f>SUM('цех вода (с разбивкой)'!M70)</f>
        <v>85.299804691635217</v>
      </c>
      <c r="N140" s="3092">
        <f>SUM('цех вода (с разбивкой)'!N70)</f>
        <v>14.216634115272536</v>
      </c>
      <c r="O140" s="3092">
        <f>SUM('цех вода (с разбивкой)'!O70)</f>
        <v>14.216634115272536</v>
      </c>
      <c r="P140" s="3092">
        <f>SUM('цех вода (с разбивкой)'!P70)</f>
        <v>14.216634115272536</v>
      </c>
      <c r="Q140" s="3063">
        <f>SUM('цех вода (с разбивкой)'!Q70)</f>
        <v>42.649902345817608</v>
      </c>
      <c r="R140" s="3063">
        <f>SUM('цех вода (с разбивкой)'!R70)</f>
        <v>127.94970703745282</v>
      </c>
      <c r="S140" s="3092">
        <f>SUM('цех вода (с разбивкой)'!S70)</f>
        <v>14.216634115272536</v>
      </c>
      <c r="T140" s="3092">
        <f>SUM('цех вода (с разбивкой)'!T70)</f>
        <v>14.216634115272536</v>
      </c>
      <c r="U140" s="3092">
        <f>SUM('цех вода (с разбивкой)'!U70)</f>
        <v>14.216634115272536</v>
      </c>
      <c r="V140" s="3063">
        <f>SUM('цех вода (с разбивкой)'!V70)</f>
        <v>42.649902345817608</v>
      </c>
      <c r="W140" s="3087">
        <f t="shared" si="127"/>
        <v>170.59960938327046</v>
      </c>
    </row>
    <row r="141" spans="1:50" ht="18.75">
      <c r="A141" s="3091" t="s">
        <v>38</v>
      </c>
      <c r="B141" s="3063">
        <f>SUM('цех вода (с разбивкой)'!B71)</f>
        <v>36.233545355738848</v>
      </c>
      <c r="C141" s="3063">
        <f>SUM('цех вода (с разбивкой)'!C71)</f>
        <v>36.024739042590475</v>
      </c>
      <c r="D141" s="3063">
        <f>SUM('цех вода (с разбивкой)'!D71)</f>
        <v>0.20880631314837217</v>
      </c>
      <c r="E141" s="3092">
        <f>SUM('цех вода (с разбивкой)'!E71)</f>
        <v>3.0194621129782373</v>
      </c>
      <c r="F141" s="3092">
        <f>SUM('цех вода (с разбивкой)'!F71)</f>
        <v>3.0194621129782373</v>
      </c>
      <c r="G141" s="3092">
        <f>SUM('цех вода (с разбивкой)'!G71)</f>
        <v>3.0194621129782373</v>
      </c>
      <c r="H141" s="3063">
        <f>SUM('цех вода (с разбивкой)'!H71)</f>
        <v>9.0583863389347119</v>
      </c>
      <c r="I141" s="3092">
        <f>SUM('цех вода (с разбивкой)'!I71)</f>
        <v>3.0194621129782373</v>
      </c>
      <c r="J141" s="3092">
        <f>SUM('цех вода (с разбивкой)'!J71)</f>
        <v>3.0194621129782373</v>
      </c>
      <c r="K141" s="3092">
        <f>SUM('цех вода (с разбивкой)'!K71)</f>
        <v>3.0194621129782373</v>
      </c>
      <c r="L141" s="3063">
        <f>SUM('цех вода (с разбивкой)'!L71)</f>
        <v>9.0583863389347119</v>
      </c>
      <c r="M141" s="3063">
        <f>SUM('цех вода (с разбивкой)'!M71)</f>
        <v>18.116772677869424</v>
      </c>
      <c r="N141" s="3092">
        <f>SUM('цех вода (с разбивкой)'!N71)</f>
        <v>3.0194621129782373</v>
      </c>
      <c r="O141" s="3092">
        <f>SUM('цех вода (с разбивкой)'!O71)</f>
        <v>3.0194621129782373</v>
      </c>
      <c r="P141" s="3092">
        <f>SUM('цех вода (с разбивкой)'!P71)</f>
        <v>3.0194621129782373</v>
      </c>
      <c r="Q141" s="3063">
        <f>SUM('цех вода (с разбивкой)'!Q71)</f>
        <v>9.0583863389347119</v>
      </c>
      <c r="R141" s="3063">
        <f>SUM('цех вода (с разбивкой)'!R71)</f>
        <v>27.175159016804137</v>
      </c>
      <c r="S141" s="3092">
        <f>SUM('цех вода (с разбивкой)'!S71)</f>
        <v>3.0194621129782373</v>
      </c>
      <c r="T141" s="3092">
        <f>SUM('цех вода (с разбивкой)'!T71)</f>
        <v>3.0194621129782373</v>
      </c>
      <c r="U141" s="3092">
        <f>SUM('цех вода (с разбивкой)'!U71)</f>
        <v>3.0194621129782373</v>
      </c>
      <c r="V141" s="3063">
        <f>SUM('цех вода (с разбивкой)'!V71)</f>
        <v>9.0583863389347119</v>
      </c>
      <c r="W141" s="3087">
        <f t="shared" si="127"/>
        <v>36.233545355738855</v>
      </c>
    </row>
    <row r="142" spans="1:50" ht="18.75">
      <c r="A142" s="3091" t="s">
        <v>32</v>
      </c>
      <c r="B142" s="3063">
        <f>SUM('цех вода (с разбивкой)'!B72)</f>
        <v>3.2710839557264237</v>
      </c>
      <c r="C142" s="3063">
        <f>SUM('цех вода (с разбивкой)'!C72)</f>
        <v>3.2522333857894177</v>
      </c>
      <c r="D142" s="3063">
        <f>SUM('цех вода (с разбивкой)'!D72)</f>
        <v>1.8850569937006068E-2</v>
      </c>
      <c r="E142" s="3092">
        <f>SUM('цех вода (с разбивкой)'!E72)</f>
        <v>0.27259032964386865</v>
      </c>
      <c r="F142" s="3092">
        <f>SUM('цех вода (с разбивкой)'!F72)</f>
        <v>0.27259032964386865</v>
      </c>
      <c r="G142" s="3092">
        <f>SUM('цех вода (с разбивкой)'!G72)</f>
        <v>0.27259032964386865</v>
      </c>
      <c r="H142" s="3063">
        <f>SUM('цех вода (с разбивкой)'!H72)</f>
        <v>0.81777098893160594</v>
      </c>
      <c r="I142" s="3092">
        <f>SUM('цех вода (с разбивкой)'!I72)</f>
        <v>0.27259032964386865</v>
      </c>
      <c r="J142" s="3092">
        <f>SUM('цех вода (с разбивкой)'!J72)</f>
        <v>0.27259032964386865</v>
      </c>
      <c r="K142" s="3092">
        <f>SUM('цех вода (с разбивкой)'!K72)</f>
        <v>0.27259032964386865</v>
      </c>
      <c r="L142" s="3063">
        <f>SUM('цех вода (с разбивкой)'!L72)</f>
        <v>0.81777098893160594</v>
      </c>
      <c r="M142" s="3063">
        <f>SUM('цех вода (с разбивкой)'!M72)</f>
        <v>1.6355419778632119</v>
      </c>
      <c r="N142" s="3092">
        <f>SUM('цех вода (с разбивкой)'!N72)</f>
        <v>0.27259032964386865</v>
      </c>
      <c r="O142" s="3092">
        <f>SUM('цех вода (с разбивкой)'!O72)</f>
        <v>0.27259032964386865</v>
      </c>
      <c r="P142" s="3092">
        <f>SUM('цех вода (с разбивкой)'!P72)</f>
        <v>0.27259032964386865</v>
      </c>
      <c r="Q142" s="3063">
        <f>SUM('цех вода (с разбивкой)'!Q72)</f>
        <v>0.81777098893160594</v>
      </c>
      <c r="R142" s="3063">
        <f>SUM('цех вода (с разбивкой)'!R72)</f>
        <v>2.4533129667948179</v>
      </c>
      <c r="S142" s="3092">
        <f>SUM('цех вода (с разбивкой)'!S72)</f>
        <v>0.27259032964386865</v>
      </c>
      <c r="T142" s="3092">
        <f>SUM('цех вода (с разбивкой)'!T72)</f>
        <v>0.27259032964386865</v>
      </c>
      <c r="U142" s="3092">
        <f>SUM('цех вода (с разбивкой)'!U72)</f>
        <v>0.27259032964386865</v>
      </c>
      <c r="V142" s="3063">
        <f>SUM('цех вода (с разбивкой)'!V72)</f>
        <v>0.81777098893160594</v>
      </c>
      <c r="W142" s="3087">
        <f t="shared" si="127"/>
        <v>3.2710839557264246</v>
      </c>
    </row>
    <row r="143" spans="1:50" ht="18.75">
      <c r="A143" s="3091" t="s">
        <v>606</v>
      </c>
      <c r="B143" s="3063">
        <f>SUM('цех вода (с разбивкой)'!B73)</f>
        <v>19.878125577106733</v>
      </c>
      <c r="C143" s="3063">
        <f>SUM('цех вода (с разбивкой)'!C73)</f>
        <v>19.763572113643388</v>
      </c>
      <c r="D143" s="3063">
        <f>SUM('цех вода (с разбивкой)'!D73)</f>
        <v>0.11455346346334494</v>
      </c>
      <c r="E143" s="3092">
        <f>SUM('цех вода (с разбивкой)'!E73)</f>
        <v>1.6565104647588944</v>
      </c>
      <c r="F143" s="3092">
        <f>SUM('цех вода (с разбивкой)'!F73)</f>
        <v>1.6565104647588944</v>
      </c>
      <c r="G143" s="3092">
        <f>SUM('цех вода (с разбивкой)'!G73)</f>
        <v>1.6565104647588944</v>
      </c>
      <c r="H143" s="3063">
        <f>SUM('цех вода (с разбивкой)'!H73)</f>
        <v>4.9695313942766832</v>
      </c>
      <c r="I143" s="3092">
        <f>SUM('цех вода (с разбивкой)'!I73)</f>
        <v>1.6565104647588944</v>
      </c>
      <c r="J143" s="3092">
        <f>SUM('цех вода (с разбивкой)'!J73)</f>
        <v>1.6565104647588944</v>
      </c>
      <c r="K143" s="3092">
        <f>SUM('цех вода (с разбивкой)'!K73)</f>
        <v>1.6565104647588944</v>
      </c>
      <c r="L143" s="3063">
        <f>SUM('цех вода (с разбивкой)'!L73)</f>
        <v>4.9695313942766832</v>
      </c>
      <c r="M143" s="3063">
        <f>SUM('цех вода (с разбивкой)'!M73)</f>
        <v>9.9390627885533664</v>
      </c>
      <c r="N143" s="3092">
        <f>SUM('цех вода (с разбивкой)'!N73)</f>
        <v>1.6565104647588944</v>
      </c>
      <c r="O143" s="3092">
        <f>SUM('цех вода (с разбивкой)'!O73)</f>
        <v>1.6565104647588944</v>
      </c>
      <c r="P143" s="3092">
        <f>SUM('цех вода (с разбивкой)'!P73)</f>
        <v>1.6565104647588944</v>
      </c>
      <c r="Q143" s="3063">
        <f>SUM('цех вода (с разбивкой)'!Q73)</f>
        <v>4.9695313942766832</v>
      </c>
      <c r="R143" s="3063">
        <f>SUM('цех вода (с разбивкой)'!R73)</f>
        <v>14.908594182830051</v>
      </c>
      <c r="S143" s="3092">
        <f>SUM('цех вода (с разбивкой)'!S73)</f>
        <v>1.6565104647588944</v>
      </c>
      <c r="T143" s="3092">
        <f>SUM('цех вода (с разбивкой)'!T73)</f>
        <v>1.6565104647588944</v>
      </c>
      <c r="U143" s="3092">
        <f>SUM('цех вода (с разбивкой)'!U73)</f>
        <v>1.6565104647588944</v>
      </c>
      <c r="V143" s="3063">
        <f>SUM('цех вода (с разбивкой)'!V73)</f>
        <v>4.9695313942766832</v>
      </c>
      <c r="W143" s="3087">
        <f t="shared" si="127"/>
        <v>19.87812557710674</v>
      </c>
    </row>
    <row r="144" spans="1:50" ht="18.75">
      <c r="A144" s="3093" t="s">
        <v>564</v>
      </c>
      <c r="B144" s="3067">
        <f>SUM('цех вода (с разбивкой)'!B74)</f>
        <v>19.878125577106733</v>
      </c>
      <c r="C144" s="3067">
        <f>SUM('цех вода (с разбивкой)'!C74)</f>
        <v>19.763572113643388</v>
      </c>
      <c r="D144" s="3067">
        <f>SUM('цех вода (с разбивкой)'!D74)</f>
        <v>0.11455346346334494</v>
      </c>
      <c r="E144" s="3094">
        <f>SUM('цех вода (с разбивкой)'!E74)</f>
        <v>1.6565104647588944</v>
      </c>
      <c r="F144" s="3094">
        <f>SUM('цех вода (с разбивкой)'!F74)</f>
        <v>1.6565104647588944</v>
      </c>
      <c r="G144" s="3094">
        <f>SUM('цех вода (с разбивкой)'!G74)</f>
        <v>1.6565104647588944</v>
      </c>
      <c r="H144" s="3067">
        <f>SUM('цех вода (с разбивкой)'!H74)</f>
        <v>4.9695313942766832</v>
      </c>
      <c r="I144" s="3094">
        <f>SUM('цех вода (с разбивкой)'!I74)</f>
        <v>1.6565104647588944</v>
      </c>
      <c r="J144" s="3094">
        <f>SUM('цех вода (с разбивкой)'!J74)</f>
        <v>1.6565104647588944</v>
      </c>
      <c r="K144" s="3094">
        <f>SUM('цех вода (с разбивкой)'!K74)</f>
        <v>1.6565104647588944</v>
      </c>
      <c r="L144" s="3067">
        <f>SUM('цех вода (с разбивкой)'!L74)</f>
        <v>4.9695313942766832</v>
      </c>
      <c r="M144" s="3067">
        <f>SUM('цех вода (с разбивкой)'!M74)</f>
        <v>9.9390627885533664</v>
      </c>
      <c r="N144" s="3094">
        <f>SUM('цех вода (с разбивкой)'!N74)</f>
        <v>1.6565104647588944</v>
      </c>
      <c r="O144" s="3094">
        <f>SUM('цех вода (с разбивкой)'!O74)</f>
        <v>1.6565104647588944</v>
      </c>
      <c r="P144" s="3094">
        <f>SUM('цех вода (с разбивкой)'!P74)</f>
        <v>1.6565104647588944</v>
      </c>
      <c r="Q144" s="3067">
        <f>SUM('цех вода (с разбивкой)'!Q74)</f>
        <v>4.9695313942766832</v>
      </c>
      <c r="R144" s="3067">
        <f>SUM('цех вода (с разбивкой)'!R74)</f>
        <v>14.908594182830051</v>
      </c>
      <c r="S144" s="3094">
        <f>SUM('цех вода (с разбивкой)'!S74)</f>
        <v>1.6565104647588944</v>
      </c>
      <c r="T144" s="3094">
        <f>SUM('цех вода (с разбивкой)'!T74)</f>
        <v>1.6565104647588944</v>
      </c>
      <c r="U144" s="3094">
        <f>SUM('цех вода (с разбивкой)'!U74)</f>
        <v>1.6565104647588944</v>
      </c>
      <c r="V144" s="3067">
        <f>SUM('цех вода (с разбивкой)'!V74)</f>
        <v>4.9695313942766832</v>
      </c>
      <c r="W144" s="3087">
        <f t="shared" si="127"/>
        <v>19.87812557710674</v>
      </c>
    </row>
    <row r="145" spans="1:23" ht="18.75">
      <c r="A145" s="3091" t="s">
        <v>609</v>
      </c>
      <c r="B145" s="3063">
        <f>SUM('цех вода (с разбивкой)'!B75)</f>
        <v>142.9212066809699</v>
      </c>
      <c r="C145" s="3063">
        <f>SUM('цех вода (с разбивкой)'!C75)</f>
        <v>142.09758177910686</v>
      </c>
      <c r="D145" s="3063">
        <f>SUM('цех вода (с разбивкой)'!D75)</f>
        <v>0.82362490186303816</v>
      </c>
      <c r="E145" s="3092">
        <f>SUM('цех вода (с разбивкой)'!E75)</f>
        <v>10.483589231049956</v>
      </c>
      <c r="F145" s="3092">
        <f>SUM('цех вода (с разбивкой)'!F75)</f>
        <v>10.483589231049956</v>
      </c>
      <c r="G145" s="3092">
        <f>SUM('цех вода (с разбивкой)'!G75)</f>
        <v>10.483589231049956</v>
      </c>
      <c r="H145" s="3063">
        <f>SUM('цех вода (с разбивкой)'!H75)</f>
        <v>31.450767693149871</v>
      </c>
      <c r="I145" s="3092">
        <f>SUM('цех вода (с разбивкой)'!I75)</f>
        <v>10.609047881844203</v>
      </c>
      <c r="J145" s="3092">
        <f>SUM('цех вода (с разбивкой)'!J75)</f>
        <v>12.686085544993384</v>
      </c>
      <c r="K145" s="3092">
        <f>SUM('цех вода (с разбивкой)'!K75)</f>
        <v>14.49826605646582</v>
      </c>
      <c r="L145" s="3063">
        <f>SUM('цех вода (с разбивкой)'!L75)</f>
        <v>37.793399483303403</v>
      </c>
      <c r="M145" s="3063">
        <f>SUM('цех вода (с разбивкой)'!M75)</f>
        <v>69.244167176453274</v>
      </c>
      <c r="N145" s="3092">
        <f>SUM('цех вода (с разбивкой)'!N75)</f>
        <v>15.041920209907554</v>
      </c>
      <c r="O145" s="3092">
        <f>SUM('цех вода (с разбивкой)'!O75)</f>
        <v>14.49826605646582</v>
      </c>
      <c r="P145" s="3092">
        <f>SUM('цех вода (с разбивкой)'!P75)</f>
        <v>12.686085544993384</v>
      </c>
      <c r="Q145" s="3063">
        <f>SUM('цех вода (с разбивкой)'!Q75)</f>
        <v>42.226271811366757</v>
      </c>
      <c r="R145" s="3063">
        <f>SUM('цех вода (с разбивкой)'!R75)</f>
        <v>111.47043898782003</v>
      </c>
      <c r="S145" s="3092">
        <f>SUM('цех вода (с разбивкой)'!S75)</f>
        <v>10.483589231049956</v>
      </c>
      <c r="T145" s="3092">
        <f>SUM('цех вода (с разбивкой)'!T75)</f>
        <v>10.483589231049956</v>
      </c>
      <c r="U145" s="3092">
        <f>SUM('цех вода (с разбивкой)'!U75)</f>
        <v>10.483589231049956</v>
      </c>
      <c r="V145" s="3063">
        <f>SUM('цех вода (с разбивкой)'!V75)</f>
        <v>31.450767693149871</v>
      </c>
      <c r="W145" s="3087">
        <f t="shared" si="127"/>
        <v>142.92120668096993</v>
      </c>
    </row>
    <row r="146" spans="1:23" ht="18.75">
      <c r="A146" s="3093" t="s">
        <v>551</v>
      </c>
      <c r="B146" s="3067">
        <f>SUM('цех вода (с разбивкой)'!B76)</f>
        <v>139.39850088249528</v>
      </c>
      <c r="C146" s="3067">
        <f>SUM('цех вода (с разбивкой)'!C76)</f>
        <v>138.59517659441056</v>
      </c>
      <c r="D146" s="3067">
        <f>SUM('цех вода (с разбивкой)'!D76)</f>
        <v>0.803324288084724</v>
      </c>
      <c r="E146" s="3094">
        <f>SUM('цех вода (с разбивкой)'!E76)</f>
        <v>10.190030414510405</v>
      </c>
      <c r="F146" s="3094">
        <f>SUM('цех вода (с разбивкой)'!F76)</f>
        <v>10.190030414510405</v>
      </c>
      <c r="G146" s="3094">
        <f>SUM('цех вода (с разбивкой)'!G76)</f>
        <v>10.190030414510405</v>
      </c>
      <c r="H146" s="3067">
        <f>SUM('цех вода (с разбивкой)'!H76)</f>
        <v>30.570091243531216</v>
      </c>
      <c r="I146" s="3094">
        <f>SUM('цех вода (с разбивкой)'!I76)</f>
        <v>10.315489065304652</v>
      </c>
      <c r="J146" s="3094">
        <f>SUM('цех вода (с разбивкой)'!J76)</f>
        <v>12.392526728453833</v>
      </c>
      <c r="K146" s="3094">
        <f>SUM('цех вода (с разбивкой)'!K76)</f>
        <v>14.204707239926268</v>
      </c>
      <c r="L146" s="3067">
        <f>SUM('цех вода (с разбивкой)'!L76)</f>
        <v>36.912723033684756</v>
      </c>
      <c r="M146" s="3067">
        <f>SUM('цех вода (с разбивкой)'!M76)</f>
        <v>67.482814277215965</v>
      </c>
      <c r="N146" s="3094">
        <f>SUM('цех вода (с разбивкой)'!N76)</f>
        <v>14.748361393368002</v>
      </c>
      <c r="O146" s="3094">
        <f>SUM('цех вода (с разбивкой)'!O76)</f>
        <v>14.204707239926268</v>
      </c>
      <c r="P146" s="3094">
        <f>SUM('цех вода (с разбивкой)'!P76)</f>
        <v>12.392526728453833</v>
      </c>
      <c r="Q146" s="3067">
        <f>SUM('цех вода (с разбивкой)'!Q76)</f>
        <v>41.345595361748103</v>
      </c>
      <c r="R146" s="3067">
        <f>SUM('цех вода (с разбивкой)'!R76)</f>
        <v>108.82840963896408</v>
      </c>
      <c r="S146" s="3094">
        <f>SUM('цех вода (с разбивкой)'!S76)</f>
        <v>10.190030414510405</v>
      </c>
      <c r="T146" s="3094">
        <f>SUM('цех вода (с разбивкой)'!T76)</f>
        <v>10.190030414510405</v>
      </c>
      <c r="U146" s="3094">
        <f>SUM('цех вода (с разбивкой)'!U76)</f>
        <v>10.190030414510405</v>
      </c>
      <c r="V146" s="3067">
        <f>SUM('цех вода (с разбивкой)'!V76)</f>
        <v>30.570091243531216</v>
      </c>
      <c r="W146" s="3087">
        <f t="shared" si="127"/>
        <v>139.39850088249528</v>
      </c>
    </row>
    <row r="147" spans="1:23" ht="18.75">
      <c r="A147" s="3093" t="s">
        <v>643</v>
      </c>
      <c r="B147" s="3067">
        <f>SUM('цех вода (с разбивкой)'!B77)</f>
        <v>3.5227057984746111</v>
      </c>
      <c r="C147" s="3067">
        <f>SUM('цех вода (с разбивкой)'!C77)</f>
        <v>3.5024051846962969</v>
      </c>
      <c r="D147" s="3067">
        <f>SUM('цех вода (с разбивкой)'!D77)</f>
        <v>2.0300613778314158E-2</v>
      </c>
      <c r="E147" s="3094">
        <f>SUM('цех вода (с разбивкой)'!E77)</f>
        <v>0.2935588165395509</v>
      </c>
      <c r="F147" s="3094">
        <f>SUM('цех вода (с разбивкой)'!F77)</f>
        <v>0.2935588165395509</v>
      </c>
      <c r="G147" s="3094">
        <f>SUM('цех вода (с разбивкой)'!G77)</f>
        <v>0.2935588165395509</v>
      </c>
      <c r="H147" s="3067">
        <f>SUM('цех вода (с разбивкой)'!H77)</f>
        <v>0.88067644961865277</v>
      </c>
      <c r="I147" s="3094">
        <f>SUM('цех вода (с разбивкой)'!I77)</f>
        <v>0.2935588165395509</v>
      </c>
      <c r="J147" s="3094">
        <f>SUM('цех вода (с разбивкой)'!J77)</f>
        <v>0.2935588165395509</v>
      </c>
      <c r="K147" s="3094">
        <f>SUM('цех вода (с разбивкой)'!K77)</f>
        <v>0.2935588165395509</v>
      </c>
      <c r="L147" s="3067">
        <f>SUM('цех вода (с разбивкой)'!L77)</f>
        <v>0.88067644961865277</v>
      </c>
      <c r="M147" s="3067">
        <f>SUM('цех вода (с разбивкой)'!M77)</f>
        <v>1.7613528992373055</v>
      </c>
      <c r="N147" s="3094">
        <f>SUM('цех вода (с разбивкой)'!N77)</f>
        <v>0.2935588165395509</v>
      </c>
      <c r="O147" s="3094">
        <f>SUM('цех вода (с разбивкой)'!O77)</f>
        <v>0.2935588165395509</v>
      </c>
      <c r="P147" s="3094">
        <f>SUM('цех вода (с разбивкой)'!P77)</f>
        <v>0.2935588165395509</v>
      </c>
      <c r="Q147" s="3067">
        <f>SUM('цех вода (с разбивкой)'!Q77)</f>
        <v>0.88067644961865277</v>
      </c>
      <c r="R147" s="3067">
        <f>SUM('цех вода (с разбивкой)'!R77)</f>
        <v>2.6420293488559583</v>
      </c>
      <c r="S147" s="3094">
        <f>SUM('цех вода (с разбивкой)'!S77)</f>
        <v>0.2935588165395509</v>
      </c>
      <c r="T147" s="3094">
        <f>SUM('цех вода (с разбивкой)'!T77)</f>
        <v>0.2935588165395509</v>
      </c>
      <c r="U147" s="3094">
        <f>SUM('цех вода (с разбивкой)'!U77)</f>
        <v>0.2935588165395509</v>
      </c>
      <c r="V147" s="3067">
        <f>SUM('цех вода (с разбивкой)'!V77)</f>
        <v>0.88067644961865277</v>
      </c>
      <c r="W147" s="3087">
        <f t="shared" si="127"/>
        <v>3.5227057984746115</v>
      </c>
    </row>
    <row r="148" spans="1:23" ht="18.75">
      <c r="A148" s="3093" t="s">
        <v>613</v>
      </c>
      <c r="B148" s="3067">
        <f>SUM('цех вода (с разбивкой)'!B78)</f>
        <v>0</v>
      </c>
      <c r="C148" s="3067">
        <f>SUM('цех вода (с разбивкой)'!C78)</f>
        <v>0</v>
      </c>
      <c r="D148" s="3067">
        <f>SUM('цех вода (с разбивкой)'!D78)</f>
        <v>0</v>
      </c>
      <c r="E148" s="3094">
        <f>SUM('цех вода (с разбивкой)'!E78)</f>
        <v>0</v>
      </c>
      <c r="F148" s="3094">
        <f>SUM('цех вода (с разбивкой)'!F78)</f>
        <v>0</v>
      </c>
      <c r="G148" s="3094">
        <f>SUM('цех вода (с разбивкой)'!G78)</f>
        <v>0</v>
      </c>
      <c r="H148" s="3067">
        <f>SUM('цех вода (с разбивкой)'!H78)</f>
        <v>0</v>
      </c>
      <c r="I148" s="3094">
        <f>SUM('цех вода (с разбивкой)'!I78)</f>
        <v>0</v>
      </c>
      <c r="J148" s="3094">
        <f>SUM('цех вода (с разбивкой)'!J78)</f>
        <v>0</v>
      </c>
      <c r="K148" s="3094">
        <f>SUM('цех вода (с разбивкой)'!K78)</f>
        <v>0</v>
      </c>
      <c r="L148" s="3067">
        <f>SUM('цех вода (с разбивкой)'!L78)</f>
        <v>0</v>
      </c>
      <c r="M148" s="3067">
        <f>SUM('цех вода (с разбивкой)'!M78)</f>
        <v>0</v>
      </c>
      <c r="N148" s="3094">
        <f>SUM('цех вода (с разбивкой)'!N78)</f>
        <v>0</v>
      </c>
      <c r="O148" s="3094">
        <f>SUM('цех вода (с разбивкой)'!O78)</f>
        <v>0</v>
      </c>
      <c r="P148" s="3094">
        <f>SUM('цех вода (с разбивкой)'!P78)</f>
        <v>0</v>
      </c>
      <c r="Q148" s="3067">
        <f>SUM('цех вода (с разбивкой)'!Q78)</f>
        <v>0</v>
      </c>
      <c r="R148" s="3067">
        <f>SUM('цех вода (с разбивкой)'!R78)</f>
        <v>0</v>
      </c>
      <c r="S148" s="3094">
        <f>SUM('цех вода (с разбивкой)'!S78)</f>
        <v>0</v>
      </c>
      <c r="T148" s="3094">
        <f>SUM('цех вода (с разбивкой)'!T78)</f>
        <v>0</v>
      </c>
      <c r="U148" s="3094">
        <f>SUM('цех вода (с разбивкой)'!U78)</f>
        <v>0</v>
      </c>
      <c r="V148" s="3067">
        <f>SUM('цех вода (с разбивкой)'!V78)</f>
        <v>0</v>
      </c>
      <c r="W148" s="3087">
        <f t="shared" si="127"/>
        <v>0</v>
      </c>
    </row>
    <row r="149" spans="1:23" ht="18.75">
      <c r="A149" s="3090" t="s">
        <v>1724</v>
      </c>
      <c r="B149" s="3060">
        <f>SUM(вода!CQ43)</f>
        <v>3523.8224121041176</v>
      </c>
      <c r="C149" s="3060">
        <f>SUM(вода!CS43)</f>
        <v>3502.9312821041176</v>
      </c>
      <c r="D149" s="3060">
        <f>SUM(вода!CT43)</f>
        <v>20.891130000000004</v>
      </c>
      <c r="E149" s="3098">
        <f>SUM(E150+E151+E152+E153)</f>
        <v>0</v>
      </c>
      <c r="F149" s="3098">
        <f>SUM(F150+F151+F152+F153)</f>
        <v>0</v>
      </c>
      <c r="G149" s="3096">
        <f>SUM(G150+G151+G152+G153)</f>
        <v>880.95560302602939</v>
      </c>
      <c r="H149" s="3070">
        <f t="shared" ref="H149:H156" si="128">SUM(E149+F149+G149)</f>
        <v>880.95560302602939</v>
      </c>
      <c r="I149" s="3098">
        <f>SUM(I150+I151+I152+I153)</f>
        <v>0</v>
      </c>
      <c r="J149" s="3098">
        <f>SUM(J150+J151+J152+J153)</f>
        <v>0</v>
      </c>
      <c r="K149" s="3096">
        <f>SUM(K150+K151+K152+K153)</f>
        <v>880.95560302602939</v>
      </c>
      <c r="L149" s="3070">
        <f t="shared" ref="L149:L156" si="129">SUM(I149+J149+K149)</f>
        <v>880.95560302602939</v>
      </c>
      <c r="M149" s="3070">
        <f t="shared" ref="M149:M164" si="130">SUM(H149+L149)</f>
        <v>1761.9112060520588</v>
      </c>
      <c r="N149" s="3098">
        <f>SUM(N150+N151+N152+N153)</f>
        <v>0</v>
      </c>
      <c r="O149" s="3098">
        <f>SUM(O150+O151+O152+O153)</f>
        <v>0</v>
      </c>
      <c r="P149" s="3096">
        <f>SUM(P150+P151+P152+P153)</f>
        <v>880.95560302602939</v>
      </c>
      <c r="Q149" s="3070">
        <f t="shared" ref="Q149:Q156" si="131">SUM(N149+O149+P149)</f>
        <v>880.95560302602939</v>
      </c>
      <c r="R149" s="3070">
        <f t="shared" ref="R149:R164" si="132">SUM(M149+Q149)</f>
        <v>2642.8668090780884</v>
      </c>
      <c r="S149" s="3098">
        <f>SUM(S150+S151+S152+S153)</f>
        <v>0</v>
      </c>
      <c r="T149" s="3098">
        <f>SUM(T150+T151+T152+T153)</f>
        <v>0</v>
      </c>
      <c r="U149" s="3096">
        <f>SUM(U150+U151+U152+U153)</f>
        <v>880.95560302602939</v>
      </c>
      <c r="V149" s="3070">
        <f t="shared" ref="V149:V156" si="133">SUM(S149+T149+U149)</f>
        <v>880.95560302602939</v>
      </c>
      <c r="W149" s="3085">
        <f t="shared" si="127"/>
        <v>3523.8224121041176</v>
      </c>
    </row>
    <row r="150" spans="1:23" ht="18.75">
      <c r="A150" s="3088" t="s">
        <v>1725</v>
      </c>
      <c r="B150" s="3067">
        <f>SUM(вода!CQ44)</f>
        <v>1436.4224121041175</v>
      </c>
      <c r="C150" s="3067">
        <f>SUM(вода!CS44)</f>
        <v>1426.7512821041175</v>
      </c>
      <c r="D150" s="3067">
        <f>SUM(вода!CT44)</f>
        <v>9.6711300000000016</v>
      </c>
      <c r="E150" s="3099">
        <v>0</v>
      </c>
      <c r="F150" s="3099">
        <v>0</v>
      </c>
      <c r="G150" s="3075">
        <f>SUM(B150/12*3)</f>
        <v>359.10560302602937</v>
      </c>
      <c r="H150" s="3076">
        <f t="shared" si="128"/>
        <v>359.10560302602937</v>
      </c>
      <c r="I150" s="4606">
        <v>0</v>
      </c>
      <c r="J150" s="4606">
        <v>0</v>
      </c>
      <c r="K150" s="3158">
        <f>SUM(G150)</f>
        <v>359.10560302602937</v>
      </c>
      <c r="L150" s="3076">
        <f t="shared" si="129"/>
        <v>359.10560302602937</v>
      </c>
      <c r="M150" s="3076">
        <f t="shared" si="130"/>
        <v>718.21120605205874</v>
      </c>
      <c r="N150" s="3099">
        <v>0</v>
      </c>
      <c r="O150" s="3099">
        <v>0</v>
      </c>
      <c r="P150" s="3075">
        <f>SUM(G150)</f>
        <v>359.10560302602937</v>
      </c>
      <c r="Q150" s="3076">
        <f t="shared" si="131"/>
        <v>359.10560302602937</v>
      </c>
      <c r="R150" s="3076">
        <f t="shared" si="132"/>
        <v>1077.3168090780882</v>
      </c>
      <c r="S150" s="4606">
        <v>0</v>
      </c>
      <c r="T150" s="4606">
        <v>0</v>
      </c>
      <c r="U150" s="3158">
        <f>SUM(G150)</f>
        <v>359.10560302602937</v>
      </c>
      <c r="V150" s="3076">
        <f t="shared" si="133"/>
        <v>359.10560302602937</v>
      </c>
      <c r="W150" s="3087">
        <f t="shared" si="127"/>
        <v>1436.4224121041175</v>
      </c>
    </row>
    <row r="151" spans="1:23" ht="18.75">
      <c r="A151" s="3088" t="s">
        <v>542</v>
      </c>
      <c r="B151" s="3067">
        <f>SUM(вода!CQ45)</f>
        <v>91.16</v>
      </c>
      <c r="C151" s="3067">
        <f>SUM(вода!CS45)</f>
        <v>90.67</v>
      </c>
      <c r="D151" s="3067">
        <f>SUM(вода!CT45)</f>
        <v>0.49</v>
      </c>
      <c r="E151" s="3099">
        <v>0</v>
      </c>
      <c r="F151" s="3099">
        <v>0</v>
      </c>
      <c r="G151" s="3075">
        <f>SUM(B151/12*3)</f>
        <v>22.79</v>
      </c>
      <c r="H151" s="3076">
        <f t="shared" si="128"/>
        <v>22.79</v>
      </c>
      <c r="I151" s="4606">
        <v>0</v>
      </c>
      <c r="J151" s="4606">
        <v>0</v>
      </c>
      <c r="K151" s="3158">
        <f t="shared" ref="K151:K153" si="134">SUM(G151)</f>
        <v>22.79</v>
      </c>
      <c r="L151" s="3076">
        <f t="shared" si="129"/>
        <v>22.79</v>
      </c>
      <c r="M151" s="3076">
        <f t="shared" si="130"/>
        <v>45.58</v>
      </c>
      <c r="N151" s="3099">
        <v>0</v>
      </c>
      <c r="O151" s="3099">
        <v>0</v>
      </c>
      <c r="P151" s="3075">
        <f t="shared" ref="P151:P153" si="135">SUM(G151)</f>
        <v>22.79</v>
      </c>
      <c r="Q151" s="3076">
        <f t="shared" si="131"/>
        <v>22.79</v>
      </c>
      <c r="R151" s="3076">
        <f t="shared" si="132"/>
        <v>68.37</v>
      </c>
      <c r="S151" s="4606">
        <v>0</v>
      </c>
      <c r="T151" s="4606">
        <v>0</v>
      </c>
      <c r="U151" s="3158">
        <f t="shared" ref="U151:U153" si="136">SUM(G151)</f>
        <v>22.79</v>
      </c>
      <c r="V151" s="3076">
        <f t="shared" si="133"/>
        <v>22.79</v>
      </c>
      <c r="W151" s="3087">
        <f t="shared" si="127"/>
        <v>91.16</v>
      </c>
    </row>
    <row r="152" spans="1:23" ht="18.75">
      <c r="A152" s="3088" t="s">
        <v>543</v>
      </c>
      <c r="B152" s="3067">
        <f>SUM(вода!CQ46)</f>
        <v>0</v>
      </c>
      <c r="C152" s="3067">
        <f>SUM(вода!CS46)</f>
        <v>0</v>
      </c>
      <c r="D152" s="3067">
        <f>SUM(вода!CT46)</f>
        <v>0</v>
      </c>
      <c r="E152" s="3099">
        <v>0</v>
      </c>
      <c r="F152" s="3099">
        <v>0</v>
      </c>
      <c r="G152" s="3075">
        <f t="shared" ref="G152:G153" si="137">SUM(B152/12*3)</f>
        <v>0</v>
      </c>
      <c r="H152" s="3076">
        <f t="shared" si="128"/>
        <v>0</v>
      </c>
      <c r="I152" s="4606">
        <v>0</v>
      </c>
      <c r="J152" s="4606">
        <v>0</v>
      </c>
      <c r="K152" s="3158">
        <f t="shared" si="134"/>
        <v>0</v>
      </c>
      <c r="L152" s="3076">
        <f t="shared" si="129"/>
        <v>0</v>
      </c>
      <c r="M152" s="3076">
        <f t="shared" si="130"/>
        <v>0</v>
      </c>
      <c r="N152" s="3099">
        <v>0</v>
      </c>
      <c r="O152" s="3099">
        <v>0</v>
      </c>
      <c r="P152" s="3075">
        <f t="shared" si="135"/>
        <v>0</v>
      </c>
      <c r="Q152" s="3076">
        <f t="shared" si="131"/>
        <v>0</v>
      </c>
      <c r="R152" s="3076">
        <f t="shared" si="132"/>
        <v>0</v>
      </c>
      <c r="S152" s="4606">
        <v>0</v>
      </c>
      <c r="T152" s="4606">
        <v>0</v>
      </c>
      <c r="U152" s="3158">
        <f t="shared" si="136"/>
        <v>0</v>
      </c>
      <c r="V152" s="3076">
        <f t="shared" si="133"/>
        <v>0</v>
      </c>
      <c r="W152" s="3087">
        <f t="shared" si="127"/>
        <v>0</v>
      </c>
    </row>
    <row r="153" spans="1:23" ht="18.75">
      <c r="A153" s="3088" t="s">
        <v>544</v>
      </c>
      <c r="B153" s="3067">
        <f>SUM(вода!CQ47)</f>
        <v>1996.24</v>
      </c>
      <c r="C153" s="3067">
        <f>SUM(вода!CS47)</f>
        <v>1985.51</v>
      </c>
      <c r="D153" s="3067">
        <f>SUM(вода!CT47)</f>
        <v>10.73</v>
      </c>
      <c r="E153" s="3099">
        <v>0</v>
      </c>
      <c r="F153" s="3099">
        <v>0</v>
      </c>
      <c r="G153" s="3075">
        <f t="shared" si="137"/>
        <v>499.05999999999995</v>
      </c>
      <c r="H153" s="3076">
        <f t="shared" si="128"/>
        <v>499.05999999999995</v>
      </c>
      <c r="I153" s="4606">
        <v>0</v>
      </c>
      <c r="J153" s="4606">
        <v>0</v>
      </c>
      <c r="K153" s="3158">
        <f t="shared" si="134"/>
        <v>499.05999999999995</v>
      </c>
      <c r="L153" s="3076">
        <f t="shared" si="129"/>
        <v>499.05999999999995</v>
      </c>
      <c r="M153" s="3076">
        <f t="shared" si="130"/>
        <v>998.11999999999989</v>
      </c>
      <c r="N153" s="3099">
        <v>0</v>
      </c>
      <c r="O153" s="3099">
        <v>0</v>
      </c>
      <c r="P153" s="3075">
        <f t="shared" si="135"/>
        <v>499.05999999999995</v>
      </c>
      <c r="Q153" s="3076">
        <f t="shared" si="131"/>
        <v>499.05999999999995</v>
      </c>
      <c r="R153" s="3076">
        <f t="shared" si="132"/>
        <v>1497.1799999999998</v>
      </c>
      <c r="S153" s="4606">
        <v>0</v>
      </c>
      <c r="T153" s="4606">
        <v>0</v>
      </c>
      <c r="U153" s="3158">
        <f t="shared" si="136"/>
        <v>499.05999999999995</v>
      </c>
      <c r="V153" s="3076">
        <f t="shared" si="133"/>
        <v>499.05999999999995</v>
      </c>
      <c r="W153" s="3087">
        <f t="shared" si="127"/>
        <v>1996.2399999999998</v>
      </c>
    </row>
    <row r="154" spans="1:23" ht="18.75">
      <c r="A154" s="3090" t="s">
        <v>1726</v>
      </c>
      <c r="B154" s="3060">
        <f>SUM(вода!CQ48)</f>
        <v>10744.469720171532</v>
      </c>
      <c r="C154" s="3060">
        <f>SUM(вода!CS48)</f>
        <v>10689.535159721532</v>
      </c>
      <c r="D154" s="3060">
        <f>SUM(вода!CT48)</f>
        <v>54.934560449999992</v>
      </c>
      <c r="E154" s="3081">
        <f>SUM(E155+E156+E157)</f>
        <v>879.26458062136055</v>
      </c>
      <c r="F154" s="3081">
        <f t="shared" ref="F154:G154" si="138">SUM(F155+F156+F157)</f>
        <v>879.26458062136055</v>
      </c>
      <c r="G154" s="3081">
        <f t="shared" si="138"/>
        <v>879.26458062136055</v>
      </c>
      <c r="H154" s="3070">
        <f t="shared" si="128"/>
        <v>2637.7937418640818</v>
      </c>
      <c r="I154" s="3096">
        <f t="shared" ref="I154:K154" si="139">SUM(I155+I156+I157)</f>
        <v>879.26458062136055</v>
      </c>
      <c r="J154" s="3096">
        <f t="shared" si="139"/>
        <v>879.26458062136055</v>
      </c>
      <c r="K154" s="3096">
        <f t="shared" si="139"/>
        <v>879.26458062136055</v>
      </c>
      <c r="L154" s="3070">
        <f t="shared" si="129"/>
        <v>2637.7937418640818</v>
      </c>
      <c r="M154" s="3070">
        <f t="shared" si="130"/>
        <v>5275.5874837281635</v>
      </c>
      <c r="N154" s="3081">
        <f t="shared" ref="N154:P154" si="140">SUM(N155+N156+N157)</f>
        <v>911.48037274056162</v>
      </c>
      <c r="O154" s="3081">
        <f t="shared" si="140"/>
        <v>911.48037274056162</v>
      </c>
      <c r="P154" s="3081">
        <f t="shared" si="140"/>
        <v>911.48037274056162</v>
      </c>
      <c r="Q154" s="3070">
        <f t="shared" si="131"/>
        <v>2734.441118221685</v>
      </c>
      <c r="R154" s="3070">
        <f t="shared" si="132"/>
        <v>8010.028601949849</v>
      </c>
      <c r="S154" s="3096">
        <f t="shared" ref="S154:U154" si="141">SUM(S155+S156+S157)</f>
        <v>911.48037274056162</v>
      </c>
      <c r="T154" s="3096">
        <f t="shared" si="141"/>
        <v>911.48037274056162</v>
      </c>
      <c r="U154" s="3096">
        <f t="shared" si="141"/>
        <v>911.48037274056162</v>
      </c>
      <c r="V154" s="3070">
        <f t="shared" si="133"/>
        <v>2734.441118221685</v>
      </c>
      <c r="W154" s="3085">
        <f t="shared" si="127"/>
        <v>10744.469720171533</v>
      </c>
    </row>
    <row r="155" spans="1:23" ht="18.75">
      <c r="A155" s="3093" t="s">
        <v>1727</v>
      </c>
      <c r="B155" s="3067">
        <f>SUM('ОХР '!CH10*(B154/'ОХР '!CH49))</f>
        <v>7571.4534473698077</v>
      </c>
      <c r="C155" s="3067">
        <f>SUM('ОХР '!CH10*(C154/'ОХР '!CH49))</f>
        <v>7532.7419541150002</v>
      </c>
      <c r="D155" s="3067">
        <f>SUM(B155-C155)</f>
        <v>38.711493254807465</v>
      </c>
      <c r="E155" s="3075">
        <f>SUM(B155/2)/(1+(104%*100-100)/2/100)/6</f>
        <v>618.58279798772935</v>
      </c>
      <c r="F155" s="3075">
        <f>SUM(E155)</f>
        <v>618.58279798772935</v>
      </c>
      <c r="G155" s="3075">
        <f>SUM(E155)</f>
        <v>618.58279798772935</v>
      </c>
      <c r="H155" s="3076">
        <f t="shared" si="128"/>
        <v>1855.7483939631879</v>
      </c>
      <c r="I155" s="3158">
        <f t="shared" ref="I155:I162" si="142">SUM(E155)</f>
        <v>618.58279798772935</v>
      </c>
      <c r="J155" s="3158">
        <f t="shared" ref="J155:J162" si="143">SUM(E155)</f>
        <v>618.58279798772935</v>
      </c>
      <c r="K155" s="3158">
        <f t="shared" ref="K155:K162" si="144">SUM(E155)</f>
        <v>618.58279798772935</v>
      </c>
      <c r="L155" s="3076">
        <f t="shared" si="129"/>
        <v>1855.7483939631879</v>
      </c>
      <c r="M155" s="3076">
        <f t="shared" si="130"/>
        <v>3711.4967879263759</v>
      </c>
      <c r="N155" s="3075">
        <f>SUM(B155-M155)/6</f>
        <v>643.32610990723867</v>
      </c>
      <c r="O155" s="3075">
        <f>SUM(N155)</f>
        <v>643.32610990723867</v>
      </c>
      <c r="P155" s="3075">
        <f>SUM(N155)</f>
        <v>643.32610990723867</v>
      </c>
      <c r="Q155" s="3076">
        <f t="shared" si="131"/>
        <v>1929.9783297217159</v>
      </c>
      <c r="R155" s="3076">
        <f t="shared" si="132"/>
        <v>5641.4751176480913</v>
      </c>
      <c r="S155" s="3158">
        <f>SUM(N155)</f>
        <v>643.32610990723867</v>
      </c>
      <c r="T155" s="3158">
        <f>SUM(N155)</f>
        <v>643.32610990723867</v>
      </c>
      <c r="U155" s="3158">
        <f>SUM(N155)</f>
        <v>643.32610990723867</v>
      </c>
      <c r="V155" s="3076">
        <f t="shared" si="133"/>
        <v>1929.9783297217159</v>
      </c>
      <c r="W155" s="3087">
        <f t="shared" si="127"/>
        <v>7571.4534473698086</v>
      </c>
    </row>
    <row r="156" spans="1:23" ht="18.75">
      <c r="A156" s="3093" t="s">
        <v>1728</v>
      </c>
      <c r="B156" s="3067">
        <f>SUM(B155*30.2%)</f>
        <v>2286.5789411056817</v>
      </c>
      <c r="C156" s="3067">
        <f>SUM(C155*30.2%)</f>
        <v>2274.8880701427302</v>
      </c>
      <c r="D156" s="3067">
        <f>SUM(D155*30.2%)</f>
        <v>11.690870962951854</v>
      </c>
      <c r="E156" s="3075">
        <f>SUM(B156/2)/(1+(104%*100-100)/2/100)/6</f>
        <v>186.81200499229428</v>
      </c>
      <c r="F156" s="3075">
        <f>SUM(E156)</f>
        <v>186.81200499229428</v>
      </c>
      <c r="G156" s="3075">
        <f>SUM(E156)</f>
        <v>186.81200499229428</v>
      </c>
      <c r="H156" s="3076">
        <f t="shared" si="128"/>
        <v>560.4360149768828</v>
      </c>
      <c r="I156" s="3158">
        <f t="shared" si="142"/>
        <v>186.81200499229428</v>
      </c>
      <c r="J156" s="3158">
        <f t="shared" si="143"/>
        <v>186.81200499229428</v>
      </c>
      <c r="K156" s="3158">
        <f t="shared" si="144"/>
        <v>186.81200499229428</v>
      </c>
      <c r="L156" s="3076">
        <f t="shared" si="129"/>
        <v>560.4360149768828</v>
      </c>
      <c r="M156" s="3076">
        <f t="shared" si="130"/>
        <v>1120.8720299537656</v>
      </c>
      <c r="N156" s="3075">
        <f>SUM(B156-M156)/6</f>
        <v>194.28448519198602</v>
      </c>
      <c r="O156" s="3075">
        <f>SUM(N156)</f>
        <v>194.28448519198602</v>
      </c>
      <c r="P156" s="3075">
        <f>SUM(N156)</f>
        <v>194.28448519198602</v>
      </c>
      <c r="Q156" s="3076">
        <f t="shared" si="131"/>
        <v>582.85345557595804</v>
      </c>
      <c r="R156" s="3076">
        <f t="shared" si="132"/>
        <v>1703.7254855297238</v>
      </c>
      <c r="S156" s="3158">
        <f>SUM(N156)</f>
        <v>194.28448519198602</v>
      </c>
      <c r="T156" s="3158">
        <f>SUM(N156)</f>
        <v>194.28448519198602</v>
      </c>
      <c r="U156" s="3158">
        <f>SUM(N156)</f>
        <v>194.28448519198602</v>
      </c>
      <c r="V156" s="3076">
        <f t="shared" si="133"/>
        <v>582.85345557595804</v>
      </c>
      <c r="W156" s="3087">
        <f t="shared" si="127"/>
        <v>2286.5789411056817</v>
      </c>
    </row>
    <row r="157" spans="1:23" ht="18.75">
      <c r="A157" s="3088" t="s">
        <v>1729</v>
      </c>
      <c r="B157" s="3067">
        <f>SUM(B154-B155-B156)</f>
        <v>886.43733169604229</v>
      </c>
      <c r="C157" s="3067">
        <f>SUM(C154-C155-C156)</f>
        <v>881.9051354638018</v>
      </c>
      <c r="D157" s="3067">
        <f>SUM(D154-D155-D156)</f>
        <v>4.5321962322406737</v>
      </c>
      <c r="E157" s="3075">
        <f t="shared" ref="E157:E162" si="145">SUM(B157/12)</f>
        <v>73.869777641336853</v>
      </c>
      <c r="F157" s="3075">
        <f t="shared" ref="F157:F162" si="146">SUM(E157)</f>
        <v>73.869777641336853</v>
      </c>
      <c r="G157" s="3075">
        <f t="shared" ref="G157:G162" si="147">SUM(F157)</f>
        <v>73.869777641336853</v>
      </c>
      <c r="H157" s="3076">
        <f t="shared" ref="H157:H164" si="148">SUM(E157+F157+G157)</f>
        <v>221.60933292401057</v>
      </c>
      <c r="I157" s="3158">
        <f t="shared" si="142"/>
        <v>73.869777641336853</v>
      </c>
      <c r="J157" s="3158">
        <f t="shared" si="143"/>
        <v>73.869777641336853</v>
      </c>
      <c r="K157" s="3158">
        <f t="shared" si="144"/>
        <v>73.869777641336853</v>
      </c>
      <c r="L157" s="3076">
        <f t="shared" ref="L157:L164" si="149">SUM(I157+J157+K157)</f>
        <v>221.60933292401057</v>
      </c>
      <c r="M157" s="3076">
        <f t="shared" si="130"/>
        <v>443.21866584802115</v>
      </c>
      <c r="N157" s="3075">
        <f t="shared" ref="N157:N162" si="150">SUM(E157)</f>
        <v>73.869777641336853</v>
      </c>
      <c r="O157" s="3075">
        <f t="shared" ref="O157:O162" si="151">SUM(E157)</f>
        <v>73.869777641336853</v>
      </c>
      <c r="P157" s="3075">
        <f t="shared" ref="P157:P162" si="152">E157</f>
        <v>73.869777641336853</v>
      </c>
      <c r="Q157" s="3076">
        <f t="shared" ref="Q157:Q164" si="153">SUM(N157+O157+P157)</f>
        <v>221.60933292401057</v>
      </c>
      <c r="R157" s="3076">
        <f t="shared" si="132"/>
        <v>664.82799877203172</v>
      </c>
      <c r="S157" s="3158">
        <f t="shared" ref="S157:S162" si="154">E157</f>
        <v>73.869777641336853</v>
      </c>
      <c r="T157" s="3158">
        <f t="shared" ref="T157:T162" si="155">E157</f>
        <v>73.869777641336853</v>
      </c>
      <c r="U157" s="3158">
        <f t="shared" ref="U157:U162" si="156">E157</f>
        <v>73.869777641336853</v>
      </c>
      <c r="V157" s="3076">
        <f t="shared" ref="V157:V164" si="157">SUM(S157+T157+U157)</f>
        <v>221.60933292401057</v>
      </c>
      <c r="W157" s="3087">
        <f t="shared" si="127"/>
        <v>886.43733169604241</v>
      </c>
    </row>
    <row r="158" spans="1:23" ht="18.75">
      <c r="A158" s="3062" t="s">
        <v>1730</v>
      </c>
      <c r="B158" s="3113">
        <f>SUM(вода!CQ50)</f>
        <v>0</v>
      </c>
      <c r="C158" s="3113">
        <v>0</v>
      </c>
      <c r="D158" s="3113">
        <f>SUM(вода!CB50)</f>
        <v>0</v>
      </c>
      <c r="E158" s="3177">
        <f t="shared" si="145"/>
        <v>0</v>
      </c>
      <c r="F158" s="3177">
        <f t="shared" si="146"/>
        <v>0</v>
      </c>
      <c r="G158" s="3177">
        <f t="shared" si="147"/>
        <v>0</v>
      </c>
      <c r="H158" s="3176">
        <f t="shared" si="148"/>
        <v>0</v>
      </c>
      <c r="I158" s="3175">
        <f t="shared" si="142"/>
        <v>0</v>
      </c>
      <c r="J158" s="3175">
        <f t="shared" si="143"/>
        <v>0</v>
      </c>
      <c r="K158" s="3175">
        <f t="shared" si="144"/>
        <v>0</v>
      </c>
      <c r="L158" s="3176">
        <f t="shared" si="149"/>
        <v>0</v>
      </c>
      <c r="M158" s="3176">
        <f t="shared" si="130"/>
        <v>0</v>
      </c>
      <c r="N158" s="3177">
        <f t="shared" si="150"/>
        <v>0</v>
      </c>
      <c r="O158" s="3177">
        <f t="shared" si="151"/>
        <v>0</v>
      </c>
      <c r="P158" s="3177">
        <f t="shared" si="152"/>
        <v>0</v>
      </c>
      <c r="Q158" s="3176">
        <f t="shared" si="153"/>
        <v>0</v>
      </c>
      <c r="R158" s="3176">
        <f t="shared" si="132"/>
        <v>0</v>
      </c>
      <c r="S158" s="3175">
        <f t="shared" si="154"/>
        <v>0</v>
      </c>
      <c r="T158" s="3175">
        <f t="shared" si="155"/>
        <v>0</v>
      </c>
      <c r="U158" s="3175">
        <f t="shared" si="156"/>
        <v>0</v>
      </c>
      <c r="V158" s="3176">
        <f t="shared" si="157"/>
        <v>0</v>
      </c>
      <c r="W158" s="3102">
        <f t="shared" si="127"/>
        <v>0</v>
      </c>
    </row>
    <row r="159" spans="1:23" ht="18.75" hidden="1">
      <c r="A159" s="3066" t="s">
        <v>286</v>
      </c>
      <c r="B159" s="3067">
        <v>0</v>
      </c>
      <c r="C159" s="3067">
        <f>SUM(B159)</f>
        <v>0</v>
      </c>
      <c r="D159" s="3067">
        <v>0</v>
      </c>
      <c r="E159" s="3075">
        <f t="shared" si="145"/>
        <v>0</v>
      </c>
      <c r="F159" s="3075">
        <f t="shared" si="146"/>
        <v>0</v>
      </c>
      <c r="G159" s="3075">
        <f t="shared" si="147"/>
        <v>0</v>
      </c>
      <c r="H159" s="3076">
        <f t="shared" si="148"/>
        <v>0</v>
      </c>
      <c r="I159" s="3158">
        <f t="shared" si="142"/>
        <v>0</v>
      </c>
      <c r="J159" s="3158">
        <f t="shared" si="143"/>
        <v>0</v>
      </c>
      <c r="K159" s="3158">
        <f t="shared" si="144"/>
        <v>0</v>
      </c>
      <c r="L159" s="3076">
        <f t="shared" si="149"/>
        <v>0</v>
      </c>
      <c r="M159" s="3076">
        <f t="shared" si="130"/>
        <v>0</v>
      </c>
      <c r="N159" s="3075">
        <f t="shared" si="150"/>
        <v>0</v>
      </c>
      <c r="O159" s="3075">
        <f t="shared" si="151"/>
        <v>0</v>
      </c>
      <c r="P159" s="3075">
        <f t="shared" si="152"/>
        <v>0</v>
      </c>
      <c r="Q159" s="3076">
        <f t="shared" si="153"/>
        <v>0</v>
      </c>
      <c r="R159" s="3076">
        <f t="shared" si="132"/>
        <v>0</v>
      </c>
      <c r="S159" s="3158">
        <f t="shared" si="154"/>
        <v>0</v>
      </c>
      <c r="T159" s="3158">
        <f t="shared" si="155"/>
        <v>0</v>
      </c>
      <c r="U159" s="3158">
        <f t="shared" si="156"/>
        <v>0</v>
      </c>
      <c r="V159" s="3076">
        <f t="shared" si="157"/>
        <v>0</v>
      </c>
      <c r="W159" s="3087">
        <f t="shared" si="127"/>
        <v>0</v>
      </c>
    </row>
    <row r="160" spans="1:23" ht="18.75" hidden="1">
      <c r="A160" s="3066" t="s">
        <v>289</v>
      </c>
      <c r="B160" s="3067">
        <v>0</v>
      </c>
      <c r="C160" s="3067">
        <f t="shared" ref="C160:C161" si="158">SUM(B160)</f>
        <v>0</v>
      </c>
      <c r="D160" s="3067">
        <v>0</v>
      </c>
      <c r="E160" s="3075">
        <f t="shared" si="145"/>
        <v>0</v>
      </c>
      <c r="F160" s="3075">
        <f t="shared" ref="F160" si="159">SUM(E160)</f>
        <v>0</v>
      </c>
      <c r="G160" s="3075">
        <f t="shared" ref="G160" si="160">SUM(F160)</f>
        <v>0</v>
      </c>
      <c r="H160" s="3076">
        <f t="shared" ref="H160" si="161">SUM(E160+F160+G160)</f>
        <v>0</v>
      </c>
      <c r="I160" s="3158">
        <f t="shared" ref="I160" si="162">SUM(E160)</f>
        <v>0</v>
      </c>
      <c r="J160" s="3158">
        <f t="shared" ref="J160" si="163">SUM(E160)</f>
        <v>0</v>
      </c>
      <c r="K160" s="3158">
        <f t="shared" ref="K160" si="164">SUM(E160)</f>
        <v>0</v>
      </c>
      <c r="L160" s="3076">
        <f t="shared" ref="L160" si="165">SUM(I160+J160+K160)</f>
        <v>0</v>
      </c>
      <c r="M160" s="3076">
        <f t="shared" ref="M160" si="166">SUM(H160+L160)</f>
        <v>0</v>
      </c>
      <c r="N160" s="3075">
        <f t="shared" si="150"/>
        <v>0</v>
      </c>
      <c r="O160" s="3075">
        <f t="shared" si="151"/>
        <v>0</v>
      </c>
      <c r="P160" s="3075">
        <f t="shared" si="152"/>
        <v>0</v>
      </c>
      <c r="Q160" s="3076">
        <f t="shared" ref="Q160" si="167">SUM(N160+O160+P160)</f>
        <v>0</v>
      </c>
      <c r="R160" s="3076">
        <f t="shared" ref="R160" si="168">SUM(M160+Q160)</f>
        <v>0</v>
      </c>
      <c r="S160" s="3158">
        <f t="shared" si="154"/>
        <v>0</v>
      </c>
      <c r="T160" s="3158">
        <f t="shared" si="155"/>
        <v>0</v>
      </c>
      <c r="U160" s="3158">
        <f t="shared" si="156"/>
        <v>0</v>
      </c>
      <c r="V160" s="3076">
        <f t="shared" ref="V160" si="169">SUM(S160+T160+U160)</f>
        <v>0</v>
      </c>
      <c r="W160" s="3087">
        <f t="shared" si="127"/>
        <v>0</v>
      </c>
    </row>
    <row r="161" spans="1:23" ht="18.75" hidden="1">
      <c r="A161" s="3088" t="s">
        <v>1725</v>
      </c>
      <c r="B161" s="3067">
        <v>0</v>
      </c>
      <c r="C161" s="3067">
        <f t="shared" si="158"/>
        <v>0</v>
      </c>
      <c r="D161" s="3067">
        <v>0</v>
      </c>
      <c r="E161" s="3075">
        <f t="shared" si="145"/>
        <v>0</v>
      </c>
      <c r="F161" s="3075">
        <f t="shared" ref="F161" si="170">SUM(E161)</f>
        <v>0</v>
      </c>
      <c r="G161" s="3075">
        <f t="shared" ref="G161" si="171">SUM(F161)</f>
        <v>0</v>
      </c>
      <c r="H161" s="3076">
        <f t="shared" ref="H161" si="172">SUM(E161+F161+G161)</f>
        <v>0</v>
      </c>
      <c r="I161" s="3158">
        <f t="shared" ref="I161" si="173">SUM(E161)</f>
        <v>0</v>
      </c>
      <c r="J161" s="3158">
        <f t="shared" ref="J161" si="174">SUM(E161)</f>
        <v>0</v>
      </c>
      <c r="K161" s="3158">
        <f t="shared" ref="K161" si="175">SUM(E161)</f>
        <v>0</v>
      </c>
      <c r="L161" s="3076">
        <f t="shared" ref="L161" si="176">SUM(I161+J161+K161)</f>
        <v>0</v>
      </c>
      <c r="M161" s="3076">
        <f t="shared" ref="M161" si="177">SUM(H161+L161)</f>
        <v>0</v>
      </c>
      <c r="N161" s="3075">
        <f t="shared" si="150"/>
        <v>0</v>
      </c>
      <c r="O161" s="3075">
        <f t="shared" si="151"/>
        <v>0</v>
      </c>
      <c r="P161" s="3075">
        <f t="shared" si="152"/>
        <v>0</v>
      </c>
      <c r="Q161" s="3076">
        <f t="shared" ref="Q161" si="178">SUM(N161+O161+P161)</f>
        <v>0</v>
      </c>
      <c r="R161" s="3076">
        <f t="shared" ref="R161" si="179">SUM(M161+Q161)</f>
        <v>0</v>
      </c>
      <c r="S161" s="3158">
        <f t="shared" si="154"/>
        <v>0</v>
      </c>
      <c r="T161" s="3158">
        <f t="shared" si="155"/>
        <v>0</v>
      </c>
      <c r="U161" s="3158">
        <f t="shared" si="156"/>
        <v>0</v>
      </c>
      <c r="V161" s="3076">
        <f t="shared" ref="V161" si="180">SUM(S161+T161+U161)</f>
        <v>0</v>
      </c>
      <c r="W161" s="3087">
        <f t="shared" si="127"/>
        <v>0</v>
      </c>
    </row>
    <row r="162" spans="1:23" ht="18.75">
      <c r="A162" s="3062" t="s">
        <v>1731</v>
      </c>
      <c r="B162" s="3063">
        <f>SUM(вода!CQ49)</f>
        <v>436.83960362466541</v>
      </c>
      <c r="C162" s="3063">
        <f>SUM(вода!CS49)</f>
        <v>436.83960362466541</v>
      </c>
      <c r="D162" s="3063">
        <f>SUM(вода!CT49)</f>
        <v>0</v>
      </c>
      <c r="E162" s="3074">
        <f t="shared" si="145"/>
        <v>36.403300302055449</v>
      </c>
      <c r="F162" s="3074">
        <f t="shared" si="146"/>
        <v>36.403300302055449</v>
      </c>
      <c r="G162" s="3074">
        <f t="shared" si="147"/>
        <v>36.403300302055449</v>
      </c>
      <c r="H162" s="3072">
        <f t="shared" si="148"/>
        <v>109.20990090616635</v>
      </c>
      <c r="I162" s="3071">
        <f t="shared" si="142"/>
        <v>36.403300302055449</v>
      </c>
      <c r="J162" s="3071">
        <f t="shared" si="143"/>
        <v>36.403300302055449</v>
      </c>
      <c r="K162" s="3071">
        <f t="shared" si="144"/>
        <v>36.403300302055449</v>
      </c>
      <c r="L162" s="3072">
        <f t="shared" si="149"/>
        <v>109.20990090616635</v>
      </c>
      <c r="M162" s="3072">
        <f t="shared" si="130"/>
        <v>218.41980181233271</v>
      </c>
      <c r="N162" s="3074">
        <f t="shared" si="150"/>
        <v>36.403300302055449</v>
      </c>
      <c r="O162" s="3074">
        <f t="shared" si="151"/>
        <v>36.403300302055449</v>
      </c>
      <c r="P162" s="3074">
        <f t="shared" si="152"/>
        <v>36.403300302055449</v>
      </c>
      <c r="Q162" s="3072">
        <f t="shared" si="153"/>
        <v>109.20990090616635</v>
      </c>
      <c r="R162" s="3072">
        <f t="shared" si="132"/>
        <v>327.62970271849906</v>
      </c>
      <c r="S162" s="3071">
        <f t="shared" si="154"/>
        <v>36.403300302055449</v>
      </c>
      <c r="T162" s="3071">
        <f t="shared" si="155"/>
        <v>36.403300302055449</v>
      </c>
      <c r="U162" s="3071">
        <f t="shared" si="156"/>
        <v>36.403300302055449</v>
      </c>
      <c r="V162" s="3072">
        <f t="shared" si="157"/>
        <v>109.20990090616635</v>
      </c>
      <c r="W162" s="3087">
        <f t="shared" si="127"/>
        <v>436.83960362466547</v>
      </c>
    </row>
    <row r="163" spans="1:23" ht="18.75">
      <c r="A163" s="3090" t="s">
        <v>12</v>
      </c>
      <c r="B163" s="3060">
        <f>SUM(вода!CQ51)</f>
        <v>128142.39052398229</v>
      </c>
      <c r="C163" s="3060">
        <f>SUM(вода!CS51)</f>
        <v>127775.59244154149</v>
      </c>
      <c r="D163" s="3060">
        <f>SUM(вода!CT51)</f>
        <v>366.79808244080681</v>
      </c>
      <c r="E163" s="3081">
        <f>SUM(E44+E68+E105+E129+E149+E154+E158+E162)</f>
        <v>10648.276148143455</v>
      </c>
      <c r="F163" s="3081">
        <f>SUM(F44+F68+F105+F129+F149+F154+F158+F162)</f>
        <v>10525.525564386351</v>
      </c>
      <c r="G163" s="3081">
        <f>SUM(G44+G68+G105+G129+G149+G154+G158+G162)</f>
        <v>11355.399630938728</v>
      </c>
      <c r="H163" s="3070">
        <f t="shared" si="148"/>
        <v>32529.201343468536</v>
      </c>
      <c r="I163" s="3096">
        <f>SUM(I44+I68+I105+I129+I149+I154+I158+I162)</f>
        <v>10291.93361750053</v>
      </c>
      <c r="J163" s="3096">
        <f>SUM(J44+J68+J105+J129+J149+J154+J158+J162)</f>
        <v>9896.2474658592364</v>
      </c>
      <c r="K163" s="3096">
        <f>SUM(K44+K68+K105+K129+K149+K154+K158+K162)</f>
        <v>10673.310773946196</v>
      </c>
      <c r="L163" s="3070">
        <f t="shared" si="149"/>
        <v>30861.491857305962</v>
      </c>
      <c r="M163" s="3070">
        <f t="shared" si="130"/>
        <v>63390.693200774498</v>
      </c>
      <c r="N163" s="3081">
        <f>SUM(N44+N68+N105+N129+N149+N154+N158+N162)</f>
        <v>10121.291795733416</v>
      </c>
      <c r="O163" s="3081">
        <f>SUM(O44+O68+O105+O129+O149+O154+O158+O162)</f>
        <v>10119.154961238701</v>
      </c>
      <c r="P163" s="3081">
        <f>SUM(P44+P68+P105+P129+P149+P154+P158+P162)</f>
        <v>11242.646450380886</v>
      </c>
      <c r="Q163" s="3070">
        <f t="shared" si="153"/>
        <v>31483.093207353002</v>
      </c>
      <c r="R163" s="3070">
        <f t="shared" si="132"/>
        <v>94873.786408127504</v>
      </c>
      <c r="S163" s="3096">
        <f>SUM(S44+S68+S105+S129+S149+S154+S158+S162)</f>
        <v>10654.805043867585</v>
      </c>
      <c r="T163" s="3096">
        <f>SUM(T44+T68+T105+T129+T149+T154+T158+T162)</f>
        <v>10783.547854757398</v>
      </c>
      <c r="U163" s="3096">
        <f>SUM(U44+U68+U105+U129+U149+U154+U158+U162)</f>
        <v>11830.251217791203</v>
      </c>
      <c r="V163" s="3070">
        <f t="shared" si="157"/>
        <v>33268.604116416187</v>
      </c>
      <c r="W163" s="3085">
        <f t="shared" si="127"/>
        <v>128142.39052454369</v>
      </c>
    </row>
    <row r="164" spans="1:23" ht="18.75">
      <c r="A164" s="3103" t="s">
        <v>13</v>
      </c>
      <c r="B164" s="3060">
        <f>SUM(B17)</f>
        <v>3621.42</v>
      </c>
      <c r="C164" s="3060">
        <f>SUM(C17)</f>
        <v>3600</v>
      </c>
      <c r="D164" s="3060">
        <f>SUM(D17)</f>
        <v>21.42</v>
      </c>
      <c r="E164" s="3077">
        <f>SUM(E17)</f>
        <v>309.63141000000007</v>
      </c>
      <c r="F164" s="3077">
        <f t="shared" ref="F164:K164" si="181">SUM(F17)</f>
        <v>307.82070000000004</v>
      </c>
      <c r="G164" s="3077">
        <f t="shared" si="181"/>
        <v>307.82070000000004</v>
      </c>
      <c r="H164" s="3070">
        <f t="shared" si="148"/>
        <v>925.27281000000016</v>
      </c>
      <c r="I164" s="3104">
        <f t="shared" si="181"/>
        <v>306.00999000000002</v>
      </c>
      <c r="J164" s="3104">
        <f t="shared" si="181"/>
        <v>289.71360000000004</v>
      </c>
      <c r="K164" s="3104">
        <f t="shared" si="181"/>
        <v>289.71360000000004</v>
      </c>
      <c r="L164" s="3070">
        <f t="shared" si="149"/>
        <v>885.4371900000001</v>
      </c>
      <c r="M164" s="3070">
        <f t="shared" si="130"/>
        <v>1810.7100000000003</v>
      </c>
      <c r="N164" s="3077">
        <f t="shared" ref="N164:P164" si="182">SUM(N17)</f>
        <v>289.71360000000004</v>
      </c>
      <c r="O164" s="3077">
        <f t="shared" si="182"/>
        <v>289.71360000000004</v>
      </c>
      <c r="P164" s="3077">
        <f t="shared" si="182"/>
        <v>306.00999000000002</v>
      </c>
      <c r="Q164" s="3070">
        <f t="shared" si="153"/>
        <v>885.4371900000001</v>
      </c>
      <c r="R164" s="3070">
        <f t="shared" si="132"/>
        <v>2696.1471900000006</v>
      </c>
      <c r="S164" s="3104">
        <f t="shared" ref="S164:U164" si="183">SUM(S17)</f>
        <v>307.82070000000004</v>
      </c>
      <c r="T164" s="3104">
        <f t="shared" si="183"/>
        <v>307.82070000000004</v>
      </c>
      <c r="U164" s="3104">
        <f t="shared" si="183"/>
        <v>309.63141000000007</v>
      </c>
      <c r="V164" s="3070">
        <f t="shared" si="157"/>
        <v>925.27281000000016</v>
      </c>
      <c r="W164" s="3085">
        <f t="shared" si="127"/>
        <v>3621.4200000000005</v>
      </c>
    </row>
    <row r="165" spans="1:23" ht="18.75">
      <c r="A165" s="3103" t="s">
        <v>14</v>
      </c>
      <c r="B165" s="3060">
        <f>SUM(вода!CQ57)</f>
        <v>35.384570285684148</v>
      </c>
      <c r="C165" s="3060">
        <f>SUM(вода!CS57)</f>
        <v>35.493220122650413</v>
      </c>
      <c r="D165" s="3060">
        <f>SUM(вода!CT57)</f>
        <v>28.842758269006644</v>
      </c>
      <c r="E165" s="3081">
        <f>SUM(E163/E164)</f>
        <v>34.39016780675918</v>
      </c>
      <c r="F165" s="3081">
        <f t="shared" ref="F165:W165" si="184">SUM(F163/F164)</f>
        <v>34.193689912297479</v>
      </c>
      <c r="G165" s="3081">
        <f t="shared" si="184"/>
        <v>36.889655669481378</v>
      </c>
      <c r="H165" s="3070">
        <f t="shared" si="184"/>
        <v>35.156335506571871</v>
      </c>
      <c r="I165" s="3096">
        <f t="shared" si="184"/>
        <v>33.632671984011139</v>
      </c>
      <c r="J165" s="3096">
        <f t="shared" si="184"/>
        <v>34.158725948175146</v>
      </c>
      <c r="K165" s="3096">
        <f t="shared" si="184"/>
        <v>36.840903478284048</v>
      </c>
      <c r="L165" s="3070">
        <f t="shared" si="184"/>
        <v>34.854524076751233</v>
      </c>
      <c r="M165" s="3070">
        <f t="shared" si="184"/>
        <v>35.008749717389584</v>
      </c>
      <c r="N165" s="3081">
        <f t="shared" si="184"/>
        <v>34.935508018033723</v>
      </c>
      <c r="O165" s="3081">
        <f t="shared" si="184"/>
        <v>34.928132339105581</v>
      </c>
      <c r="P165" s="3081">
        <f t="shared" si="184"/>
        <v>36.739475238638079</v>
      </c>
      <c r="Q165" s="3070">
        <f t="shared" si="184"/>
        <v>35.556551681947084</v>
      </c>
      <c r="R165" s="3070">
        <f t="shared" si="184"/>
        <v>35.188652444500811</v>
      </c>
      <c r="S165" s="3096">
        <f t="shared" si="184"/>
        <v>34.613672972180183</v>
      </c>
      <c r="T165" s="3096">
        <f t="shared" si="184"/>
        <v>35.031912586636949</v>
      </c>
      <c r="U165" s="3096">
        <f t="shared" si="184"/>
        <v>38.207529455074344</v>
      </c>
      <c r="V165" s="3070">
        <f t="shared" si="184"/>
        <v>35.955454171852494</v>
      </c>
      <c r="W165" s="3105">
        <f t="shared" si="184"/>
        <v>35.384570285839168</v>
      </c>
    </row>
    <row r="166" spans="1:23" ht="18.75">
      <c r="A166" s="4597" t="s">
        <v>1967</v>
      </c>
      <c r="B166" s="4599">
        <f>SUM(B167+B168+B169)</f>
        <v>10295.365343066544</v>
      </c>
      <c r="C166" s="4599">
        <f t="shared" ref="C166:D166" si="185">SUM(C167+C168+C169)</f>
        <v>10044.351543385228</v>
      </c>
      <c r="D166" s="4599">
        <f t="shared" si="185"/>
        <v>251.01379968131556</v>
      </c>
      <c r="E166" s="3100">
        <f t="shared" ref="E166" si="186">SUM(B166/12)</f>
        <v>857.947111922212</v>
      </c>
      <c r="F166" s="3100">
        <f t="shared" ref="F166" si="187">SUM(E166)</f>
        <v>857.947111922212</v>
      </c>
      <c r="G166" s="3100">
        <f t="shared" ref="G166" si="188">SUM(F166)</f>
        <v>857.947111922212</v>
      </c>
      <c r="H166" s="3101">
        <f t="shared" ref="H166" si="189">SUM(E166+F166+G166)</f>
        <v>2573.8413357666359</v>
      </c>
      <c r="I166" s="3159">
        <f t="shared" ref="I166" si="190">SUM(E166)</f>
        <v>857.947111922212</v>
      </c>
      <c r="J166" s="3159">
        <f t="shared" ref="J166" si="191">SUM(E166)</f>
        <v>857.947111922212</v>
      </c>
      <c r="K166" s="3159">
        <f t="shared" ref="K166" si="192">SUM(E166)</f>
        <v>857.947111922212</v>
      </c>
      <c r="L166" s="3101">
        <f t="shared" ref="L166" si="193">SUM(I166+J166+K166)</f>
        <v>2573.8413357666359</v>
      </c>
      <c r="M166" s="3101">
        <f t="shared" ref="M166" si="194">SUM(H166+L166)</f>
        <v>5147.6826715332718</v>
      </c>
      <c r="N166" s="3100">
        <f t="shared" ref="N166" si="195">SUM(E166)</f>
        <v>857.947111922212</v>
      </c>
      <c r="O166" s="3100">
        <f t="shared" ref="O166" si="196">SUM(E166)</f>
        <v>857.947111922212</v>
      </c>
      <c r="P166" s="3100">
        <f t="shared" ref="P166" si="197">E166</f>
        <v>857.947111922212</v>
      </c>
      <c r="Q166" s="3101">
        <f t="shared" ref="Q166" si="198">SUM(N166+O166+P166)</f>
        <v>2573.8413357666359</v>
      </c>
      <c r="R166" s="3101">
        <f t="shared" ref="R166" si="199">SUM(M166+Q166)</f>
        <v>7721.5240072999077</v>
      </c>
      <c r="S166" s="3159">
        <f t="shared" ref="S166" si="200">E166</f>
        <v>857.947111922212</v>
      </c>
      <c r="T166" s="3159">
        <f t="shared" ref="T166" si="201">E166</f>
        <v>857.947111922212</v>
      </c>
      <c r="U166" s="3159">
        <f t="shared" ref="U166" si="202">E166</f>
        <v>857.947111922212</v>
      </c>
      <c r="V166" s="3101">
        <f t="shared" ref="V166" si="203">SUM(S166+T166+U166)</f>
        <v>2573.8413357666359</v>
      </c>
      <c r="W166" s="3125">
        <f t="shared" ref="W166" si="204">SUM(E166+F166+G166+I166+J166+K166+N166+O166+P166+S166+T166+U166)</f>
        <v>10295.365343066544</v>
      </c>
    </row>
    <row r="167" spans="1:23" ht="78.75" customHeight="1">
      <c r="A167" s="4469" t="s">
        <v>1906</v>
      </c>
      <c r="B167" s="4600">
        <f>SUM(вода!CQ52)</f>
        <v>11701.17</v>
      </c>
      <c r="C167" s="4600">
        <f>SUM(вода!CS52)</f>
        <v>11446.45</v>
      </c>
      <c r="D167" s="4600">
        <f>SUM(вода!CT52)</f>
        <v>254.72</v>
      </c>
      <c r="E167" s="4601">
        <f t="shared" ref="E167" si="205">SUM(B167/12)</f>
        <v>975.09749999999997</v>
      </c>
      <c r="F167" s="4601">
        <f t="shared" ref="F167" si="206">SUM(E167)</f>
        <v>975.09749999999997</v>
      </c>
      <c r="G167" s="4601">
        <f t="shared" ref="G167" si="207">SUM(F167)</f>
        <v>975.09749999999997</v>
      </c>
      <c r="H167" s="4602">
        <f t="shared" ref="H167" si="208">SUM(E167+F167+G167)</f>
        <v>2925.2925</v>
      </c>
      <c r="I167" s="4603">
        <f t="shared" ref="I167" si="209">SUM(E167)</f>
        <v>975.09749999999997</v>
      </c>
      <c r="J167" s="4603">
        <f t="shared" ref="J167" si="210">SUM(E167)</f>
        <v>975.09749999999997</v>
      </c>
      <c r="K167" s="4603">
        <f t="shared" ref="K167" si="211">SUM(E167)</f>
        <v>975.09749999999997</v>
      </c>
      <c r="L167" s="4602">
        <f t="shared" ref="L167" si="212">SUM(I167+J167+K167)</f>
        <v>2925.2925</v>
      </c>
      <c r="M167" s="4602">
        <f t="shared" ref="M167" si="213">SUM(H167+L167)</f>
        <v>5850.585</v>
      </c>
      <c r="N167" s="4601">
        <f t="shared" ref="N167" si="214">SUM(E167)</f>
        <v>975.09749999999997</v>
      </c>
      <c r="O167" s="4601">
        <f t="shared" ref="O167" si="215">SUM(E167)</f>
        <v>975.09749999999997</v>
      </c>
      <c r="P167" s="4601">
        <f t="shared" ref="P167" si="216">E167</f>
        <v>975.09749999999997</v>
      </c>
      <c r="Q167" s="4602">
        <f t="shared" ref="Q167" si="217">SUM(N167+O167+P167)</f>
        <v>2925.2925</v>
      </c>
      <c r="R167" s="4602">
        <f t="shared" ref="R167" si="218">SUM(M167+Q167)</f>
        <v>8775.8775000000005</v>
      </c>
      <c r="S167" s="4603">
        <f t="shared" ref="S167" si="219">E167</f>
        <v>975.09749999999997</v>
      </c>
      <c r="T167" s="4603">
        <f t="shared" ref="T167" si="220">E167</f>
        <v>975.09749999999997</v>
      </c>
      <c r="U167" s="4603">
        <f t="shared" ref="U167" si="221">E167</f>
        <v>975.09749999999997</v>
      </c>
      <c r="V167" s="4602">
        <f t="shared" ref="V167" si="222">SUM(S167+T167+U167)</f>
        <v>2925.2925</v>
      </c>
      <c r="W167" s="3125">
        <f t="shared" ref="W167" si="223">SUM(E167+F167+G167+I167+J167+K167+N167+O167+P167+S167+T167+U167)</f>
        <v>11701.17</v>
      </c>
    </row>
    <row r="168" spans="1:23" ht="86.25" customHeight="1">
      <c r="A168" s="4469" t="s">
        <v>1907</v>
      </c>
      <c r="B168" s="4600">
        <f>SUM(вода!CQ53)</f>
        <v>0</v>
      </c>
      <c r="C168" s="4600">
        <f>SUM(вода!CS53)</f>
        <v>0</v>
      </c>
      <c r="D168" s="4600">
        <f>SUM(вода!CT53)</f>
        <v>0</v>
      </c>
      <c r="E168" s="4601">
        <f t="shared" ref="E168" si="224">SUM(B168/12)</f>
        <v>0</v>
      </c>
      <c r="F168" s="4601">
        <f t="shared" ref="F168" si="225">SUM(E168)</f>
        <v>0</v>
      </c>
      <c r="G168" s="4601">
        <f t="shared" ref="G168" si="226">SUM(F168)</f>
        <v>0</v>
      </c>
      <c r="H168" s="4602">
        <f t="shared" ref="H168" si="227">SUM(E168+F168+G168)</f>
        <v>0</v>
      </c>
      <c r="I168" s="4603">
        <f t="shared" ref="I168" si="228">SUM(E168)</f>
        <v>0</v>
      </c>
      <c r="J168" s="4603">
        <f t="shared" ref="J168" si="229">SUM(E168)</f>
        <v>0</v>
      </c>
      <c r="K168" s="4603">
        <f t="shared" ref="K168" si="230">SUM(E168)</f>
        <v>0</v>
      </c>
      <c r="L168" s="4602">
        <f t="shared" ref="L168" si="231">SUM(I168+J168+K168)</f>
        <v>0</v>
      </c>
      <c r="M168" s="4602">
        <f t="shared" ref="M168" si="232">SUM(H168+L168)</f>
        <v>0</v>
      </c>
      <c r="N168" s="4601">
        <f t="shared" ref="N168" si="233">SUM(E168)</f>
        <v>0</v>
      </c>
      <c r="O168" s="4601">
        <f t="shared" ref="O168" si="234">SUM(E168)</f>
        <v>0</v>
      </c>
      <c r="P168" s="4601">
        <f t="shared" ref="P168" si="235">E168</f>
        <v>0</v>
      </c>
      <c r="Q168" s="4602">
        <f t="shared" ref="Q168" si="236">SUM(N168+O168+P168)</f>
        <v>0</v>
      </c>
      <c r="R168" s="4602">
        <f t="shared" ref="R168" si="237">SUM(M168+Q168)</f>
        <v>0</v>
      </c>
      <c r="S168" s="4603">
        <f t="shared" ref="S168" si="238">E168</f>
        <v>0</v>
      </c>
      <c r="T168" s="4603">
        <f t="shared" ref="T168" si="239">E168</f>
        <v>0</v>
      </c>
      <c r="U168" s="4603">
        <f t="shared" ref="U168" si="240">E168</f>
        <v>0</v>
      </c>
      <c r="V168" s="4602">
        <f t="shared" ref="V168" si="241">SUM(S168+T168+U168)</f>
        <v>0</v>
      </c>
      <c r="W168" s="3125">
        <f t="shared" ref="W168" si="242">SUM(E168+F168+G168+I168+J168+K168+N168+O168+P168+S168+T168+U168)</f>
        <v>0</v>
      </c>
    </row>
    <row r="169" spans="1:23" ht="355.5" customHeight="1">
      <c r="A169" s="4470" t="s">
        <v>1908</v>
      </c>
      <c r="B169" s="4600">
        <f>SUM(вода!CQ54)</f>
        <v>-1405.8046569334567</v>
      </c>
      <c r="C169" s="4600">
        <f>SUM(вода!CS54)</f>
        <v>-1402.0984566147722</v>
      </c>
      <c r="D169" s="4600">
        <f>SUM(вода!CT54)</f>
        <v>-3.706200318684449</v>
      </c>
      <c r="E169" s="3100">
        <f t="shared" ref="E169" si="243">SUM(B169/12)</f>
        <v>-117.15038807778807</v>
      </c>
      <c r="F169" s="3100">
        <f t="shared" ref="F169" si="244">SUM(E169)</f>
        <v>-117.15038807778807</v>
      </c>
      <c r="G169" s="3100">
        <f t="shared" ref="G169" si="245">SUM(F169)</f>
        <v>-117.15038807778807</v>
      </c>
      <c r="H169" s="3101">
        <f t="shared" ref="H169" si="246">SUM(E169+F169+G169)</f>
        <v>-351.45116423336418</v>
      </c>
      <c r="I169" s="3159">
        <f t="shared" ref="I169" si="247">SUM(E169)</f>
        <v>-117.15038807778807</v>
      </c>
      <c r="J169" s="3159">
        <f t="shared" ref="J169" si="248">SUM(E169)</f>
        <v>-117.15038807778807</v>
      </c>
      <c r="K169" s="3159">
        <f t="shared" ref="K169" si="249">SUM(E169)</f>
        <v>-117.15038807778807</v>
      </c>
      <c r="L169" s="3101">
        <f t="shared" ref="L169" si="250">SUM(I169+J169+K169)</f>
        <v>-351.45116423336418</v>
      </c>
      <c r="M169" s="3101">
        <f t="shared" ref="M169" si="251">SUM(H169+L169)</f>
        <v>-702.90232846672836</v>
      </c>
      <c r="N169" s="3100">
        <f t="shared" ref="N169" si="252">SUM(E169)</f>
        <v>-117.15038807778807</v>
      </c>
      <c r="O169" s="3100">
        <f t="shared" ref="O169" si="253">SUM(E169)</f>
        <v>-117.15038807778807</v>
      </c>
      <c r="P169" s="3100">
        <f t="shared" ref="P169" si="254">E169</f>
        <v>-117.15038807778807</v>
      </c>
      <c r="Q169" s="3101">
        <f t="shared" ref="Q169" si="255">SUM(N169+O169+P169)</f>
        <v>-351.45116423336418</v>
      </c>
      <c r="R169" s="3101">
        <f t="shared" ref="R169" si="256">SUM(M169+Q169)</f>
        <v>-1054.3534927000926</v>
      </c>
      <c r="S169" s="3159">
        <f t="shared" ref="S169" si="257">E169</f>
        <v>-117.15038807778807</v>
      </c>
      <c r="T169" s="3159">
        <f t="shared" ref="T169" si="258">E169</f>
        <v>-117.15038807778807</v>
      </c>
      <c r="U169" s="3159">
        <f t="shared" ref="U169" si="259">E169</f>
        <v>-117.15038807778807</v>
      </c>
      <c r="V169" s="3101">
        <f t="shared" ref="V169" si="260">SUM(S169+T169+U169)</f>
        <v>-351.45116423336418</v>
      </c>
      <c r="W169" s="3125">
        <f t="shared" ref="W169" si="261">SUM(E169+F169+G169+I169+J169+K169+N169+O169+P169+S169+T169+U169)</f>
        <v>-1405.8046569334565</v>
      </c>
    </row>
    <row r="170" spans="1:23" ht="18.75">
      <c r="A170" s="4597" t="s">
        <v>1968</v>
      </c>
      <c r="B170" s="4599">
        <f>SUM(B163+B166)</f>
        <v>138437.75586704884</v>
      </c>
      <c r="C170" s="4599">
        <f t="shared" ref="C170:K170" si="262">SUM(C163+C166)</f>
        <v>137819.94398492671</v>
      </c>
      <c r="D170" s="4599">
        <f t="shared" si="262"/>
        <v>617.81188212212237</v>
      </c>
      <c r="E170" s="4022">
        <f t="shared" si="262"/>
        <v>11506.223260065668</v>
      </c>
      <c r="F170" s="4022">
        <f t="shared" si="262"/>
        <v>11383.472676308564</v>
      </c>
      <c r="G170" s="4022">
        <f t="shared" si="262"/>
        <v>12213.34674286094</v>
      </c>
      <c r="H170" s="3101">
        <f t="shared" ref="H170" si="263">SUM(E170+F170+G170)</f>
        <v>35103.042679235172</v>
      </c>
      <c r="I170" s="4022">
        <f t="shared" si="262"/>
        <v>11149.880729422743</v>
      </c>
      <c r="J170" s="4022">
        <f t="shared" si="262"/>
        <v>10754.194577781449</v>
      </c>
      <c r="K170" s="4022">
        <f t="shared" si="262"/>
        <v>11531.257885868408</v>
      </c>
      <c r="L170" s="3101">
        <f t="shared" ref="L170" si="264">SUM(I170+J170+K170)</f>
        <v>33435.333193072598</v>
      </c>
      <c r="M170" s="3101">
        <f t="shared" ref="M170" si="265">SUM(H170+L170)</f>
        <v>68538.375872307777</v>
      </c>
      <c r="N170" s="4022">
        <f t="shared" ref="N170:P170" si="266">SUM(N163+N166)</f>
        <v>10979.238907655628</v>
      </c>
      <c r="O170" s="4022">
        <f t="shared" si="266"/>
        <v>10977.102073160913</v>
      </c>
      <c r="P170" s="4022">
        <f t="shared" si="266"/>
        <v>12100.593562303098</v>
      </c>
      <c r="Q170" s="3101">
        <f t="shared" ref="Q170" si="267">SUM(N170+O170+P170)</f>
        <v>34056.934543119642</v>
      </c>
      <c r="R170" s="3101">
        <f t="shared" ref="R170" si="268">SUM(M170+Q170)</f>
        <v>102595.31041542742</v>
      </c>
      <c r="S170" s="4022">
        <f t="shared" ref="S170:U170" si="269">SUM(S163+S166)</f>
        <v>11512.752155789798</v>
      </c>
      <c r="T170" s="4022">
        <f t="shared" si="269"/>
        <v>11641.494966679611</v>
      </c>
      <c r="U170" s="4022">
        <f t="shared" si="269"/>
        <v>12688.198329713416</v>
      </c>
      <c r="V170" s="3101">
        <f t="shared" ref="V170" si="270">SUM(S170+T170+U170)</f>
        <v>35842.445452182823</v>
      </c>
      <c r="W170" s="3125">
        <f t="shared" ref="W170" si="271">SUM(E170+F170+G170+I170+J170+K170+N170+O170+P170+S170+T170+U170)</f>
        <v>138437.75586761025</v>
      </c>
    </row>
    <row r="171" spans="1:23" ht="18.75">
      <c r="A171" s="3106" t="s">
        <v>1969</v>
      </c>
      <c r="B171" s="3060">
        <f>SUM(вода!CQ58)</f>
        <v>0</v>
      </c>
      <c r="C171" s="3060">
        <f>SUM(вода!CS58)</f>
        <v>0</v>
      </c>
      <c r="D171" s="3060">
        <f>SUM(вода!CT58)</f>
        <v>0</v>
      </c>
      <c r="E171" s="3081">
        <f>SUM(E163*(B171/B163))</f>
        <v>0</v>
      </c>
      <c r="F171" s="3081">
        <f>SUM(F163*(B171/B163))</f>
        <v>0</v>
      </c>
      <c r="G171" s="3081">
        <f>SUM(G163*(B171/B163))</f>
        <v>0</v>
      </c>
      <c r="H171" s="3070">
        <f>SUM(E171+F171+G171)</f>
        <v>0</v>
      </c>
      <c r="I171" s="3096">
        <f>SUM(I163*(B171/B163))</f>
        <v>0</v>
      </c>
      <c r="J171" s="3096">
        <f>SUM(J163*(B171/B163))</f>
        <v>0</v>
      </c>
      <c r="K171" s="3096">
        <f>SUM(K163*(B171/B163))</f>
        <v>0</v>
      </c>
      <c r="L171" s="3070">
        <f>SUM(I171+J171+K171)</f>
        <v>0</v>
      </c>
      <c r="M171" s="3070">
        <f>SUM(H171+L171)</f>
        <v>0</v>
      </c>
      <c r="N171" s="3081">
        <f>SUM(N163*(B171/B163))</f>
        <v>0</v>
      </c>
      <c r="O171" s="3081">
        <f>SUM(O163*(B171/B163))</f>
        <v>0</v>
      </c>
      <c r="P171" s="3081">
        <f>SUM(P163*(B171/B163))</f>
        <v>0</v>
      </c>
      <c r="Q171" s="3070">
        <f>SUM(N171+O171+P171)</f>
        <v>0</v>
      </c>
      <c r="R171" s="3070">
        <f>SUM(M171+Q171)</f>
        <v>0</v>
      </c>
      <c r="S171" s="3096">
        <f>SUM(S163*(B171/B163))</f>
        <v>0</v>
      </c>
      <c r="T171" s="3096">
        <f>SUM(T163*(B171/B163))</f>
        <v>0</v>
      </c>
      <c r="U171" s="3096">
        <f>SUM(U163*(B171/B163))</f>
        <v>0</v>
      </c>
      <c r="V171" s="3070">
        <f>SUM(S171+T171+U171)</f>
        <v>0</v>
      </c>
      <c r="W171" s="3085">
        <f t="shared" ref="W171:W172" si="272">SUM(E171+F171+G171+I171+J171+K171+N171+O171+P171+S171+T171+U171)</f>
        <v>0</v>
      </c>
    </row>
    <row r="172" spans="1:23" ht="18.75">
      <c r="A172" s="3106" t="s">
        <v>547</v>
      </c>
      <c r="B172" s="3060">
        <f>SUM(вода!CQ59)</f>
        <v>138437.75586704884</v>
      </c>
      <c r="C172" s="3060">
        <f>SUM(вода!CS59)</f>
        <v>137819.94398492674</v>
      </c>
      <c r="D172" s="3060">
        <f>SUM(вода!CT59)</f>
        <v>617.81188212212237</v>
      </c>
      <c r="E172" s="3081">
        <f>SUM(E170+E171)</f>
        <v>11506.223260065668</v>
      </c>
      <c r="F172" s="3081">
        <f>SUM(F170+F171)</f>
        <v>11383.472676308564</v>
      </c>
      <c r="G172" s="3081">
        <f>SUM(G170+G171)</f>
        <v>12213.34674286094</v>
      </c>
      <c r="H172" s="3070">
        <f>SUM(E172+F172+G172)</f>
        <v>35103.042679235172</v>
      </c>
      <c r="I172" s="3081">
        <f>SUM(I170+I171)</f>
        <v>11149.880729422743</v>
      </c>
      <c r="J172" s="3081">
        <f>SUM(J170+J171)</f>
        <v>10754.194577781449</v>
      </c>
      <c r="K172" s="3081">
        <f>SUM(K170+K171)</f>
        <v>11531.257885868408</v>
      </c>
      <c r="L172" s="3070">
        <f>SUM(I172+J172+K172)</f>
        <v>33435.333193072598</v>
      </c>
      <c r="M172" s="3070">
        <f>SUM(H172+L172)</f>
        <v>68538.375872307777</v>
      </c>
      <c r="N172" s="3081">
        <f>SUM(N170+N171)</f>
        <v>10979.238907655628</v>
      </c>
      <c r="O172" s="3081">
        <f>SUM(O170+O171)</f>
        <v>10977.102073160913</v>
      </c>
      <c r="P172" s="3081">
        <f>SUM(P170+P171)</f>
        <v>12100.593562303098</v>
      </c>
      <c r="Q172" s="3070">
        <f>SUM(N172+O172+P172)</f>
        <v>34056.934543119642</v>
      </c>
      <c r="R172" s="3070">
        <f>SUM(M172+Q172)</f>
        <v>102595.31041542742</v>
      </c>
      <c r="S172" s="3081">
        <f>SUM(S170+S171)</f>
        <v>11512.752155789798</v>
      </c>
      <c r="T172" s="3081">
        <f>SUM(T170+T171)</f>
        <v>11641.494966679611</v>
      </c>
      <c r="U172" s="3081">
        <f>SUM(U170+U171)</f>
        <v>12688.198329713416</v>
      </c>
      <c r="V172" s="3070">
        <f>SUM(S172+T172+U172)</f>
        <v>35842.445452182823</v>
      </c>
      <c r="W172" s="3085">
        <f t="shared" si="272"/>
        <v>138437.75586761025</v>
      </c>
    </row>
    <row r="173" spans="1:23" ht="18.75">
      <c r="A173" s="3103" t="s">
        <v>70</v>
      </c>
      <c r="B173" s="3060">
        <f>SUM(вода!CQ60)</f>
        <v>38.22747868710308</v>
      </c>
      <c r="C173" s="3060">
        <f>SUM(вода!CS60)</f>
        <v>38.28331777359076</v>
      </c>
      <c r="D173" s="3060">
        <f>SUM(вода!CT60)</f>
        <v>28.842758269006644</v>
      </c>
      <c r="E173" s="3081">
        <f t="shared" ref="E173:W173" si="273">SUM(E172/E164)</f>
        <v>37.161033695081727</v>
      </c>
      <c r="F173" s="3081">
        <f t="shared" si="273"/>
        <v>36.980855011727805</v>
      </c>
      <c r="G173" s="3081">
        <f t="shared" si="273"/>
        <v>39.676820768911703</v>
      </c>
      <c r="H173" s="3070">
        <f t="shared" si="273"/>
        <v>37.938046271169654</v>
      </c>
      <c r="I173" s="3096">
        <f t="shared" si="273"/>
        <v>36.436329184621528</v>
      </c>
      <c r="J173" s="3096">
        <f t="shared" si="273"/>
        <v>37.120088866319868</v>
      </c>
      <c r="K173" s="3096">
        <f t="shared" si="273"/>
        <v>39.80226639642877</v>
      </c>
      <c r="L173" s="3070">
        <f t="shared" si="273"/>
        <v>37.761383382905564</v>
      </c>
      <c r="M173" s="3070">
        <f t="shared" si="273"/>
        <v>37.851658118808515</v>
      </c>
      <c r="N173" s="3081">
        <f t="shared" si="273"/>
        <v>37.896870936178445</v>
      </c>
      <c r="O173" s="3081">
        <f t="shared" si="273"/>
        <v>37.889495257250303</v>
      </c>
      <c r="P173" s="3081">
        <f t="shared" si="273"/>
        <v>39.54313243924846</v>
      </c>
      <c r="Q173" s="3070">
        <f t="shared" si="273"/>
        <v>38.463410988101415</v>
      </c>
      <c r="R173" s="3070">
        <f t="shared" si="273"/>
        <v>38.052562855601145</v>
      </c>
      <c r="S173" s="3096">
        <f t="shared" si="273"/>
        <v>37.400838071610508</v>
      </c>
      <c r="T173" s="3096">
        <f t="shared" si="273"/>
        <v>37.819077686067274</v>
      </c>
      <c r="U173" s="3096">
        <f t="shared" si="273"/>
        <v>40.97839534339689</v>
      </c>
      <c r="V173" s="3070">
        <f t="shared" si="273"/>
        <v>38.737164936450277</v>
      </c>
      <c r="W173" s="3105">
        <f t="shared" si="273"/>
        <v>38.227478687258099</v>
      </c>
    </row>
    <row r="174" spans="1:23" ht="18.75">
      <c r="A174" s="3103" t="s">
        <v>326</v>
      </c>
      <c r="B174" s="3060">
        <f>SUM(вода!CQ61)</f>
        <v>-6624.9</v>
      </c>
      <c r="C174" s="3060">
        <f>SUM(вода!CS61)</f>
        <v>-6624.9</v>
      </c>
      <c r="D174" s="3060">
        <f>SUM(вода!CT61)</f>
        <v>0</v>
      </c>
      <c r="E174" s="3081">
        <f>SUM(B174/12)</f>
        <v>-552.07499999999993</v>
      </c>
      <c r="F174" s="3081">
        <f t="shared" ref="F174" si="274">SUM(E174)</f>
        <v>-552.07499999999993</v>
      </c>
      <c r="G174" s="3081">
        <f t="shared" ref="G174" si="275">SUM(F174)</f>
        <v>-552.07499999999993</v>
      </c>
      <c r="H174" s="3070">
        <f>SUM(E174+F174+G174)</f>
        <v>-1656.2249999999999</v>
      </c>
      <c r="I174" s="3096">
        <f>SUM(E174)</f>
        <v>-552.07499999999993</v>
      </c>
      <c r="J174" s="3096">
        <f>SUM(E174)</f>
        <v>-552.07499999999993</v>
      </c>
      <c r="K174" s="3096">
        <f>SUM(E174)</f>
        <v>-552.07499999999993</v>
      </c>
      <c r="L174" s="3070">
        <f>SUM(I174+J174+K174)</f>
        <v>-1656.2249999999999</v>
      </c>
      <c r="M174" s="3070">
        <f>SUM(H174+L174)</f>
        <v>-3312.45</v>
      </c>
      <c r="N174" s="3081">
        <f>SUM(E174)</f>
        <v>-552.07499999999993</v>
      </c>
      <c r="O174" s="3081">
        <f>SUM(E174)</f>
        <v>-552.07499999999993</v>
      </c>
      <c r="P174" s="3081">
        <f>E174</f>
        <v>-552.07499999999993</v>
      </c>
      <c r="Q174" s="3070">
        <f>SUM(N174+O174+P174)</f>
        <v>-1656.2249999999999</v>
      </c>
      <c r="R174" s="3070">
        <f>SUM(M174+Q174)</f>
        <v>-4968.6749999999993</v>
      </c>
      <c r="S174" s="3096">
        <f>E174</f>
        <v>-552.07499999999993</v>
      </c>
      <c r="T174" s="3096">
        <f>E174</f>
        <v>-552.07499999999993</v>
      </c>
      <c r="U174" s="3096">
        <f>E174</f>
        <v>-552.07499999999993</v>
      </c>
      <c r="V174" s="3070">
        <f>SUM(S174+T174+U174)</f>
        <v>-1656.2249999999999</v>
      </c>
      <c r="W174" s="3085">
        <f t="shared" ref="W174:W175" si="276">SUM(E174+F174+G174+I174+J174+K174+N174+O174+P174+S174+T174+U174)</f>
        <v>-6624.8999999999987</v>
      </c>
    </row>
    <row r="175" spans="1:23" ht="18.75" customHeight="1">
      <c r="A175" s="3106" t="s">
        <v>548</v>
      </c>
      <c r="B175" s="3060">
        <f>SUM(вода!CQ62)</f>
        <v>131812.85586704884</v>
      </c>
      <c r="C175" s="3060">
        <f>SUM(вода!CS62)</f>
        <v>131195.04398492674</v>
      </c>
      <c r="D175" s="3060">
        <f>SUM(вода!CT62)</f>
        <v>617.81188212212237</v>
      </c>
      <c r="E175" s="3081">
        <f>SUM(E174+E172)</f>
        <v>10954.148260065667</v>
      </c>
      <c r="F175" s="3081">
        <f t="shared" ref="F175:G175" si="277">SUM(F174+F172)</f>
        <v>10831.397676308563</v>
      </c>
      <c r="G175" s="3081">
        <f t="shared" si="277"/>
        <v>11661.271742860939</v>
      </c>
      <c r="H175" s="3070">
        <f>SUM(E175+F175+G175)</f>
        <v>33446.817679235173</v>
      </c>
      <c r="I175" s="3096">
        <f t="shared" ref="I175:K175" si="278">SUM(I174+I172)</f>
        <v>10597.805729422742</v>
      </c>
      <c r="J175" s="3096">
        <f t="shared" si="278"/>
        <v>10202.119577781448</v>
      </c>
      <c r="K175" s="3096">
        <f t="shared" si="278"/>
        <v>10979.182885868408</v>
      </c>
      <c r="L175" s="3070">
        <f>SUM(I175+J175+K175)</f>
        <v>31779.1081930726</v>
      </c>
      <c r="M175" s="3070">
        <f>SUM(H175+L175)</f>
        <v>65225.925872307773</v>
      </c>
      <c r="N175" s="3081">
        <f t="shared" ref="N175:P175" si="279">SUM(N174+N172)</f>
        <v>10427.163907655628</v>
      </c>
      <c r="O175" s="3081">
        <f t="shared" si="279"/>
        <v>10425.027073160913</v>
      </c>
      <c r="P175" s="3081">
        <f t="shared" si="279"/>
        <v>11548.518562303097</v>
      </c>
      <c r="Q175" s="3070">
        <f>SUM(N175+O175+P175)</f>
        <v>32400.709543119636</v>
      </c>
      <c r="R175" s="3070">
        <f>SUM(M175+Q175)</f>
        <v>97626.635415427416</v>
      </c>
      <c r="S175" s="3096">
        <f t="shared" ref="S175:U175" si="280">SUM(S174+S172)</f>
        <v>10960.677155789797</v>
      </c>
      <c r="T175" s="3096">
        <f t="shared" si="280"/>
        <v>11089.41996667961</v>
      </c>
      <c r="U175" s="3096">
        <f t="shared" si="280"/>
        <v>12136.123329713415</v>
      </c>
      <c r="V175" s="3070">
        <f>SUM(S175+T175+U175)</f>
        <v>34186.220452182824</v>
      </c>
      <c r="W175" s="3085">
        <f t="shared" si="276"/>
        <v>131812.85586761023</v>
      </c>
    </row>
    <row r="176" spans="1:23" ht="18.75" customHeight="1">
      <c r="A176" s="3106" t="s">
        <v>327</v>
      </c>
      <c r="B176" s="3060">
        <f>SUM(вода!CQ63)</f>
        <v>36.398113410498873</v>
      </c>
      <c r="C176" s="3060">
        <f>SUM(вода!CS63)</f>
        <v>36.443067773590762</v>
      </c>
      <c r="D176" s="3060">
        <f>SUM(вода!CT63)</f>
        <v>28.842758269006644</v>
      </c>
      <c r="E176" s="3081">
        <f t="shared" ref="E176:W176" si="281">SUM(E175/E164)</f>
        <v>35.378026602874897</v>
      </c>
      <c r="F176" s="3081">
        <f t="shared" si="281"/>
        <v>35.187359642508</v>
      </c>
      <c r="G176" s="3081">
        <f t="shared" si="281"/>
        <v>37.883325399691891</v>
      </c>
      <c r="H176" s="3070">
        <f t="shared" si="281"/>
        <v>36.148060677623462</v>
      </c>
      <c r="I176" s="3081">
        <f t="shared" si="281"/>
        <v>34.63222141676728</v>
      </c>
      <c r="J176" s="3081">
        <f t="shared" si="281"/>
        <v>35.214500036523816</v>
      </c>
      <c r="K176" s="3081">
        <f t="shared" si="281"/>
        <v>37.896677566632725</v>
      </c>
      <c r="L176" s="3070">
        <f t="shared" si="281"/>
        <v>35.89086674016098</v>
      </c>
      <c r="M176" s="3070">
        <f t="shared" si="281"/>
        <v>36.022292842204308</v>
      </c>
      <c r="N176" s="3081">
        <f t="shared" si="281"/>
        <v>35.991282106382393</v>
      </c>
      <c r="O176" s="3081">
        <f t="shared" si="281"/>
        <v>35.983906427454258</v>
      </c>
      <c r="P176" s="3081">
        <f t="shared" si="281"/>
        <v>37.739024671394212</v>
      </c>
      <c r="Q176" s="3070">
        <f t="shared" si="281"/>
        <v>36.592894345356818</v>
      </c>
      <c r="R176" s="3070">
        <f t="shared" si="281"/>
        <v>36.209683127658693</v>
      </c>
      <c r="S176" s="3081">
        <f t="shared" si="281"/>
        <v>35.607342702390696</v>
      </c>
      <c r="T176" s="3081">
        <f t="shared" si="281"/>
        <v>36.025582316847469</v>
      </c>
      <c r="U176" s="3081">
        <f t="shared" si="281"/>
        <v>39.19538825119006</v>
      </c>
      <c r="V176" s="3070">
        <f t="shared" si="281"/>
        <v>36.947179342904086</v>
      </c>
      <c r="W176" s="3105">
        <f t="shared" si="281"/>
        <v>36.398113410653892</v>
      </c>
    </row>
    <row r="177" spans="1:23" ht="18.75" customHeight="1">
      <c r="A177" s="5007" t="s">
        <v>1732</v>
      </c>
      <c r="B177" s="5000"/>
      <c r="C177" s="5000"/>
      <c r="D177" s="5000"/>
      <c r="E177" s="5000"/>
      <c r="F177" s="5000"/>
      <c r="G177" s="5000"/>
      <c r="H177" s="5000"/>
      <c r="I177" s="5000"/>
      <c r="J177" s="5000"/>
      <c r="K177" s="5000"/>
      <c r="L177" s="5000"/>
      <c r="M177" s="5000"/>
      <c r="N177" s="5000"/>
      <c r="O177" s="5000"/>
      <c r="P177" s="5000"/>
      <c r="Q177" s="5000"/>
      <c r="R177" s="5000"/>
      <c r="S177" s="5000"/>
      <c r="T177" s="5000"/>
      <c r="U177" s="5000"/>
      <c r="V177" s="5000"/>
      <c r="W177" s="3107"/>
    </row>
    <row r="178" spans="1:23" ht="18.75" customHeight="1">
      <c r="A178" s="4989" t="s">
        <v>545</v>
      </c>
      <c r="B178" s="4982" t="s">
        <v>1960</v>
      </c>
      <c r="C178" s="4982" t="s">
        <v>575</v>
      </c>
      <c r="D178" s="4982"/>
      <c r="E178" s="4981" t="s">
        <v>586</v>
      </c>
      <c r="F178" s="4981" t="s">
        <v>587</v>
      </c>
      <c r="G178" s="4981" t="s">
        <v>588</v>
      </c>
      <c r="H178" s="4984" t="s">
        <v>600</v>
      </c>
      <c r="I178" s="4981" t="s">
        <v>589</v>
      </c>
      <c r="J178" s="4981" t="s">
        <v>590</v>
      </c>
      <c r="K178" s="4981" t="s">
        <v>591</v>
      </c>
      <c r="L178" s="4984" t="s">
        <v>599</v>
      </c>
      <c r="M178" s="4984" t="s">
        <v>598</v>
      </c>
      <c r="N178" s="4981" t="s">
        <v>592</v>
      </c>
      <c r="O178" s="4981" t="s">
        <v>593</v>
      </c>
      <c r="P178" s="4981" t="s">
        <v>594</v>
      </c>
      <c r="Q178" s="4984" t="s">
        <v>225</v>
      </c>
      <c r="R178" s="4984" t="s">
        <v>229</v>
      </c>
      <c r="S178" s="4981" t="s">
        <v>595</v>
      </c>
      <c r="T178" s="4981" t="s">
        <v>596</v>
      </c>
      <c r="U178" s="4981" t="s">
        <v>597</v>
      </c>
      <c r="V178" s="4984" t="s">
        <v>135</v>
      </c>
      <c r="W178" s="4985" t="s">
        <v>601</v>
      </c>
    </row>
    <row r="179" spans="1:23" ht="37.5" customHeight="1">
      <c r="A179" s="4990"/>
      <c r="B179" s="4982"/>
      <c r="C179" s="3057" t="s">
        <v>1553</v>
      </c>
      <c r="D179" s="3057" t="s">
        <v>1554</v>
      </c>
      <c r="E179" s="4981"/>
      <c r="F179" s="4981"/>
      <c r="G179" s="4981"/>
      <c r="H179" s="4984"/>
      <c r="I179" s="4981"/>
      <c r="J179" s="4981"/>
      <c r="K179" s="4981"/>
      <c r="L179" s="4984"/>
      <c r="M179" s="4984"/>
      <c r="N179" s="4981"/>
      <c r="O179" s="4981"/>
      <c r="P179" s="4981"/>
      <c r="Q179" s="4984"/>
      <c r="R179" s="4984"/>
      <c r="S179" s="4981"/>
      <c r="T179" s="4981"/>
      <c r="U179" s="4981"/>
      <c r="V179" s="4984"/>
      <c r="W179" s="4985"/>
    </row>
    <row r="180" spans="1:23" ht="18.75">
      <c r="A180" s="3095" t="s">
        <v>1733</v>
      </c>
      <c r="B180" s="3060">
        <f>SUM(B172)</f>
        <v>138437.75586704884</v>
      </c>
      <c r="C180" s="3060">
        <f>SUM(C172)</f>
        <v>137819.94398492674</v>
      </c>
      <c r="D180" s="3060">
        <f>SUM(D172)</f>
        <v>617.81188212212237</v>
      </c>
      <c r="E180" s="3081">
        <f>SUM(E172)</f>
        <v>11506.223260065668</v>
      </c>
      <c r="F180" s="3081">
        <f t="shared" ref="F180:K180" si="282">SUM(F172)</f>
        <v>11383.472676308564</v>
      </c>
      <c r="G180" s="3081">
        <f t="shared" si="282"/>
        <v>12213.34674286094</v>
      </c>
      <c r="H180" s="3070">
        <f t="shared" ref="H180:H182" si="283">SUM(E180+F180+G180)</f>
        <v>35103.042679235172</v>
      </c>
      <c r="I180" s="3081">
        <f t="shared" si="282"/>
        <v>11149.880729422743</v>
      </c>
      <c r="J180" s="3081">
        <f t="shared" si="282"/>
        <v>10754.194577781449</v>
      </c>
      <c r="K180" s="3081">
        <f t="shared" si="282"/>
        <v>11531.257885868408</v>
      </c>
      <c r="L180" s="3070">
        <f t="shared" ref="L180:L182" si="284">SUM(I180+J180+K180)</f>
        <v>33435.333193072598</v>
      </c>
      <c r="M180" s="3070">
        <f t="shared" ref="M180:M182" si="285">SUM(H180+L180)</f>
        <v>68538.375872307777</v>
      </c>
      <c r="N180" s="3081">
        <f t="shared" ref="N180:P180" si="286">SUM(N172)</f>
        <v>10979.238907655628</v>
      </c>
      <c r="O180" s="3081">
        <f t="shared" si="286"/>
        <v>10977.102073160913</v>
      </c>
      <c r="P180" s="3081">
        <f t="shared" si="286"/>
        <v>12100.593562303098</v>
      </c>
      <c r="Q180" s="3070">
        <f t="shared" ref="Q180:Q182" si="287">SUM(N180+O180+P180)</f>
        <v>34056.934543119642</v>
      </c>
      <c r="R180" s="3070">
        <f t="shared" ref="R180:R182" si="288">SUM(M180+Q180)</f>
        <v>102595.31041542742</v>
      </c>
      <c r="S180" s="3081">
        <f t="shared" ref="S180:U180" si="289">SUM(S172)</f>
        <v>11512.752155789798</v>
      </c>
      <c r="T180" s="3081">
        <f t="shared" si="289"/>
        <v>11641.494966679611</v>
      </c>
      <c r="U180" s="3081">
        <f t="shared" si="289"/>
        <v>12688.198329713416</v>
      </c>
      <c r="V180" s="3070">
        <f t="shared" ref="V180:V182" si="290">SUM(S180+T180+U180)</f>
        <v>35842.445452182823</v>
      </c>
      <c r="W180" s="3085">
        <f t="shared" ref="W180:W188" si="291">SUM(E180+F180+G180+I180+J180+K180+N180+O180+P180+S180+T180+U180)</f>
        <v>138437.75586761025</v>
      </c>
    </row>
    <row r="181" spans="1:23" ht="18.75">
      <c r="A181" s="3059" t="s">
        <v>390</v>
      </c>
      <c r="B181" s="3072">
        <f>SUM(C181:D181)</f>
        <v>66198.137400000007</v>
      </c>
      <c r="C181" s="3072">
        <f>SUM(C184*C190)</f>
        <v>66006</v>
      </c>
      <c r="D181" s="3072">
        <f>SUM(D184*D190)</f>
        <v>192.13740000000004</v>
      </c>
      <c r="E181" s="3074">
        <f>SUM(E184*E190)</f>
        <v>5659.9407477000022</v>
      </c>
      <c r="F181" s="3074">
        <f t="shared" ref="F181:K181" si="292">SUM(F184*F190)</f>
        <v>5626.8416790000019</v>
      </c>
      <c r="G181" s="3074">
        <f t="shared" si="292"/>
        <v>5626.8416790000019</v>
      </c>
      <c r="H181" s="3072">
        <f t="shared" si="283"/>
        <v>16913.624105700004</v>
      </c>
      <c r="I181" s="3074">
        <f t="shared" si="292"/>
        <v>5593.7426103000007</v>
      </c>
      <c r="J181" s="3074">
        <f t="shared" si="292"/>
        <v>5295.8509920000015</v>
      </c>
      <c r="K181" s="3074">
        <f t="shared" si="292"/>
        <v>5295.8509920000015</v>
      </c>
      <c r="L181" s="3072">
        <f t="shared" si="284"/>
        <v>16185.444594300005</v>
      </c>
      <c r="M181" s="3072">
        <f t="shared" si="285"/>
        <v>33099.068700000011</v>
      </c>
      <c r="N181" s="3074">
        <f t="shared" ref="N181:P181" si="293">SUM(N184*N190)</f>
        <v>5295.8509920000015</v>
      </c>
      <c r="O181" s="3074">
        <f t="shared" si="293"/>
        <v>5295.8509920000015</v>
      </c>
      <c r="P181" s="3074">
        <f t="shared" si="293"/>
        <v>5593.7426103000007</v>
      </c>
      <c r="Q181" s="3072">
        <f t="shared" si="287"/>
        <v>16185.444594300003</v>
      </c>
      <c r="R181" s="3072">
        <f t="shared" si="288"/>
        <v>49284.513294300014</v>
      </c>
      <c r="S181" s="3074">
        <f t="shared" ref="S181:U181" si="294">SUM(S184*S190)</f>
        <v>5626.8416790000019</v>
      </c>
      <c r="T181" s="3074">
        <f t="shared" si="294"/>
        <v>5626.8416790000019</v>
      </c>
      <c r="U181" s="3074">
        <f t="shared" si="294"/>
        <v>5659.9407477000022</v>
      </c>
      <c r="V181" s="3070">
        <f t="shared" si="290"/>
        <v>16913.624105700008</v>
      </c>
      <c r="W181" s="3087">
        <f t="shared" si="291"/>
        <v>66198.137400000021</v>
      </c>
    </row>
    <row r="182" spans="1:23" ht="18.75">
      <c r="A182" s="3059" t="s">
        <v>1734</v>
      </c>
      <c r="B182" s="3072">
        <f>SUM(B180-B181)</f>
        <v>72239.618467048829</v>
      </c>
      <c r="C182" s="3072">
        <f>SUM(C180-C181)</f>
        <v>71813.943984926736</v>
      </c>
      <c r="D182" s="3072">
        <f>SUM(D180-D181)</f>
        <v>425.6744821221223</v>
      </c>
      <c r="E182" s="3074">
        <f>SUM(E180-E181)</f>
        <v>5846.2825123656658</v>
      </c>
      <c r="F182" s="3074">
        <f t="shared" ref="F182:G182" si="295">SUM(F180-F181)</f>
        <v>5756.6309973085617</v>
      </c>
      <c r="G182" s="3074">
        <f t="shared" si="295"/>
        <v>6586.5050638609382</v>
      </c>
      <c r="H182" s="3072">
        <f t="shared" si="283"/>
        <v>18189.418573535168</v>
      </c>
      <c r="I182" s="3074">
        <f t="shared" ref="I182:K182" si="296">SUM(I180-I181)</f>
        <v>5556.138119122742</v>
      </c>
      <c r="J182" s="3074">
        <f t="shared" si="296"/>
        <v>5458.3435857814475</v>
      </c>
      <c r="K182" s="3074">
        <f t="shared" si="296"/>
        <v>6235.4068938684068</v>
      </c>
      <c r="L182" s="3072">
        <f t="shared" si="284"/>
        <v>17249.888598772595</v>
      </c>
      <c r="M182" s="3072">
        <f t="shared" si="285"/>
        <v>35439.307172307759</v>
      </c>
      <c r="N182" s="3074">
        <f t="shared" ref="N182:P182" si="297">SUM(N180-N181)</f>
        <v>5683.3879156556268</v>
      </c>
      <c r="O182" s="3074">
        <f t="shared" si="297"/>
        <v>5681.2510811609118</v>
      </c>
      <c r="P182" s="3074">
        <f t="shared" si="297"/>
        <v>6506.8509520030975</v>
      </c>
      <c r="Q182" s="3072">
        <f t="shared" si="287"/>
        <v>17871.489948819635</v>
      </c>
      <c r="R182" s="3072">
        <f t="shared" si="288"/>
        <v>53310.797121127398</v>
      </c>
      <c r="S182" s="3074">
        <f t="shared" ref="S182:U182" si="298">SUM(S180-S181)</f>
        <v>5885.9104767897961</v>
      </c>
      <c r="T182" s="3074">
        <f t="shared" si="298"/>
        <v>6014.6532876796091</v>
      </c>
      <c r="U182" s="3074">
        <f t="shared" si="298"/>
        <v>7028.2575820134134</v>
      </c>
      <c r="V182" s="3070">
        <f t="shared" si="290"/>
        <v>18928.821346482819</v>
      </c>
      <c r="W182" s="3087">
        <f t="shared" si="291"/>
        <v>72239.618467610213</v>
      </c>
    </row>
    <row r="183" spans="1:23" ht="18.75">
      <c r="A183" s="3095" t="s">
        <v>1735</v>
      </c>
      <c r="B183" s="3060">
        <f>SUM(B164)</f>
        <v>3621.42</v>
      </c>
      <c r="C183" s="3060">
        <f>SUM(C164)</f>
        <v>3600</v>
      </c>
      <c r="D183" s="3060">
        <f>SUM(D164)</f>
        <v>21.42</v>
      </c>
      <c r="E183" s="3077">
        <f>SUM(E164)</f>
        <v>309.63141000000007</v>
      </c>
      <c r="F183" s="3077">
        <f t="shared" ref="F183:K183" si="299">SUM(F164)</f>
        <v>307.82070000000004</v>
      </c>
      <c r="G183" s="3077">
        <f t="shared" si="299"/>
        <v>307.82070000000004</v>
      </c>
      <c r="H183" s="3070">
        <f>SUM(E183+F183+G183)</f>
        <v>925.27281000000016</v>
      </c>
      <c r="I183" s="3077">
        <f t="shared" si="299"/>
        <v>306.00999000000002</v>
      </c>
      <c r="J183" s="3077">
        <f t="shared" si="299"/>
        <v>289.71360000000004</v>
      </c>
      <c r="K183" s="3077">
        <f t="shared" si="299"/>
        <v>289.71360000000004</v>
      </c>
      <c r="L183" s="3070">
        <f>SUM(I183+J183+K183)</f>
        <v>885.4371900000001</v>
      </c>
      <c r="M183" s="3070">
        <f>SUM(H183+L183)</f>
        <v>1810.7100000000003</v>
      </c>
      <c r="N183" s="3077">
        <f t="shared" ref="N183:P183" si="300">SUM(N164)</f>
        <v>289.71360000000004</v>
      </c>
      <c r="O183" s="3077">
        <f t="shared" si="300"/>
        <v>289.71360000000004</v>
      </c>
      <c r="P183" s="3077">
        <f t="shared" si="300"/>
        <v>306.00999000000002</v>
      </c>
      <c r="Q183" s="3070">
        <f>SUM(N183+O183+P183)</f>
        <v>885.4371900000001</v>
      </c>
      <c r="R183" s="3070">
        <f>SUM(M183+Q183)</f>
        <v>2696.1471900000006</v>
      </c>
      <c r="S183" s="3077">
        <f t="shared" ref="S183:U183" si="301">SUM(S164)</f>
        <v>307.82070000000004</v>
      </c>
      <c r="T183" s="3077">
        <f t="shared" si="301"/>
        <v>307.82070000000004</v>
      </c>
      <c r="U183" s="3077">
        <f t="shared" si="301"/>
        <v>309.63141000000007</v>
      </c>
      <c r="V183" s="3070">
        <f>SUM(S183+T183+U183)</f>
        <v>925.27281000000016</v>
      </c>
      <c r="W183" s="3085">
        <f t="shared" si="291"/>
        <v>3621.4200000000005</v>
      </c>
    </row>
    <row r="184" spans="1:23" ht="18.75">
      <c r="A184" s="3059" t="s">
        <v>390</v>
      </c>
      <c r="B184" s="3072">
        <f>SUM(B183/2)</f>
        <v>1810.71</v>
      </c>
      <c r="C184" s="3072">
        <f>SUM(C183/2)</f>
        <v>1800</v>
      </c>
      <c r="D184" s="3072">
        <f>SUM(D183/2)</f>
        <v>10.71</v>
      </c>
      <c r="E184" s="3074">
        <f>SUM(E183/2)</f>
        <v>154.81570500000004</v>
      </c>
      <c r="F184" s="3074">
        <f t="shared" ref="F184:G184" si="302">SUM(F183/2)</f>
        <v>153.91035000000002</v>
      </c>
      <c r="G184" s="3074">
        <f t="shared" si="302"/>
        <v>153.91035000000002</v>
      </c>
      <c r="H184" s="3072">
        <f t="shared" ref="H184:H188" si="303">SUM(E184+F184+G184)</f>
        <v>462.63640500000008</v>
      </c>
      <c r="I184" s="3074">
        <f t="shared" ref="I184" si="304">SUM(I183/2)</f>
        <v>153.00499500000001</v>
      </c>
      <c r="J184" s="3074">
        <f t="shared" ref="J184:K184" si="305">SUM(J183/2)</f>
        <v>144.85680000000002</v>
      </c>
      <c r="K184" s="3074">
        <f t="shared" si="305"/>
        <v>144.85680000000002</v>
      </c>
      <c r="L184" s="3072">
        <f t="shared" ref="L184:L188" si="306">SUM(I184+J184+K184)</f>
        <v>442.71859500000005</v>
      </c>
      <c r="M184" s="3072">
        <f t="shared" ref="M184:M188" si="307">SUM(H184+L184)</f>
        <v>905.35500000000013</v>
      </c>
      <c r="N184" s="3074">
        <f t="shared" ref="N184" si="308">SUM(N183/2)</f>
        <v>144.85680000000002</v>
      </c>
      <c r="O184" s="3074">
        <f t="shared" ref="O184:P184" si="309">SUM(O183/2)</f>
        <v>144.85680000000002</v>
      </c>
      <c r="P184" s="3074">
        <f t="shared" si="309"/>
        <v>153.00499500000001</v>
      </c>
      <c r="Q184" s="3072">
        <f t="shared" ref="Q184:Q188" si="310">SUM(N184+O184+P184)</f>
        <v>442.71859500000005</v>
      </c>
      <c r="R184" s="3072">
        <f t="shared" ref="R184:R188" si="311">SUM(M184+Q184)</f>
        <v>1348.0735950000003</v>
      </c>
      <c r="S184" s="3074">
        <f t="shared" ref="S184" si="312">SUM(S183/2)</f>
        <v>153.91035000000002</v>
      </c>
      <c r="T184" s="3074">
        <f t="shared" ref="T184:U184" si="313">SUM(T183/2)</f>
        <v>153.91035000000002</v>
      </c>
      <c r="U184" s="3074">
        <f t="shared" si="313"/>
        <v>154.81570500000004</v>
      </c>
      <c r="V184" s="3072">
        <f t="shared" ref="V184:V188" si="314">SUM(S184+T184+U184)</f>
        <v>462.63640500000008</v>
      </c>
      <c r="W184" s="3087">
        <f t="shared" si="291"/>
        <v>1810.7100000000003</v>
      </c>
    </row>
    <row r="185" spans="1:23" ht="18.75">
      <c r="A185" s="3059" t="s">
        <v>1734</v>
      </c>
      <c r="B185" s="3072">
        <f>SUM(B183-B184)</f>
        <v>1810.71</v>
      </c>
      <c r="C185" s="3072">
        <f>SUM(C183-C184)</f>
        <v>1800</v>
      </c>
      <c r="D185" s="3072">
        <f>SUM(D183-D184)</f>
        <v>10.71</v>
      </c>
      <c r="E185" s="3074">
        <f>SUM(E183-E184)</f>
        <v>154.81570500000004</v>
      </c>
      <c r="F185" s="3074">
        <f t="shared" ref="F185:G185" si="315">SUM(F183-F184)</f>
        <v>153.91035000000002</v>
      </c>
      <c r="G185" s="3074">
        <f t="shared" si="315"/>
        <v>153.91035000000002</v>
      </c>
      <c r="H185" s="3072">
        <f t="shared" si="303"/>
        <v>462.63640500000008</v>
      </c>
      <c r="I185" s="3074">
        <f t="shared" ref="I185:K185" si="316">SUM(I183-I184)</f>
        <v>153.00499500000001</v>
      </c>
      <c r="J185" s="3074">
        <f t="shared" si="316"/>
        <v>144.85680000000002</v>
      </c>
      <c r="K185" s="3074">
        <f t="shared" si="316"/>
        <v>144.85680000000002</v>
      </c>
      <c r="L185" s="3072">
        <f t="shared" si="306"/>
        <v>442.71859500000005</v>
      </c>
      <c r="M185" s="3072">
        <f t="shared" si="307"/>
        <v>905.35500000000013</v>
      </c>
      <c r="N185" s="3074">
        <f t="shared" ref="N185:P185" si="317">SUM(N183-N184)</f>
        <v>144.85680000000002</v>
      </c>
      <c r="O185" s="3074">
        <f t="shared" si="317"/>
        <v>144.85680000000002</v>
      </c>
      <c r="P185" s="3074">
        <f t="shared" si="317"/>
        <v>153.00499500000001</v>
      </c>
      <c r="Q185" s="3072">
        <f t="shared" si="310"/>
        <v>442.71859500000005</v>
      </c>
      <c r="R185" s="3072">
        <f t="shared" si="311"/>
        <v>1348.0735950000003</v>
      </c>
      <c r="S185" s="3074">
        <f t="shared" ref="S185:U185" si="318">SUM(S183-S184)</f>
        <v>153.91035000000002</v>
      </c>
      <c r="T185" s="3074">
        <f t="shared" si="318"/>
        <v>153.91035000000002</v>
      </c>
      <c r="U185" s="3074">
        <f t="shared" si="318"/>
        <v>154.81570500000004</v>
      </c>
      <c r="V185" s="3072">
        <f t="shared" si="314"/>
        <v>462.63640500000008</v>
      </c>
      <c r="W185" s="3087">
        <f t="shared" si="291"/>
        <v>1810.7100000000003</v>
      </c>
    </row>
    <row r="186" spans="1:23" ht="18.75">
      <c r="A186" s="3095" t="s">
        <v>1736</v>
      </c>
      <c r="B186" s="3060">
        <f>SUM(B18)</f>
        <v>2360</v>
      </c>
      <c r="C186" s="3060">
        <f>SUM(C18)</f>
        <v>2360</v>
      </c>
      <c r="D186" s="3060">
        <f>SUM(D18)</f>
        <v>0</v>
      </c>
      <c r="E186" s="3077">
        <f>SUM(E18)</f>
        <v>201.78000000000003</v>
      </c>
      <c r="F186" s="3077">
        <f t="shared" ref="F186:K186" si="319">SUM(F18)</f>
        <v>200.60000000000002</v>
      </c>
      <c r="G186" s="3077">
        <f t="shared" si="319"/>
        <v>200.60000000000002</v>
      </c>
      <c r="H186" s="3070">
        <f t="shared" si="303"/>
        <v>602.98</v>
      </c>
      <c r="I186" s="3077">
        <f t="shared" si="319"/>
        <v>199.42</v>
      </c>
      <c r="J186" s="3077">
        <f t="shared" si="319"/>
        <v>188.8</v>
      </c>
      <c r="K186" s="3077">
        <f t="shared" si="319"/>
        <v>188.8</v>
      </c>
      <c r="L186" s="3070">
        <f t="shared" si="306"/>
        <v>577.02</v>
      </c>
      <c r="M186" s="3070">
        <f t="shared" si="307"/>
        <v>1180</v>
      </c>
      <c r="N186" s="3077">
        <f t="shared" ref="N186:P186" si="320">SUM(N18)</f>
        <v>188.8</v>
      </c>
      <c r="O186" s="3077">
        <f t="shared" si="320"/>
        <v>188.8</v>
      </c>
      <c r="P186" s="3077">
        <f t="shared" si="320"/>
        <v>199.42</v>
      </c>
      <c r="Q186" s="3070">
        <f t="shared" si="310"/>
        <v>577.02</v>
      </c>
      <c r="R186" s="3070">
        <f t="shared" si="311"/>
        <v>1757.02</v>
      </c>
      <c r="S186" s="3077">
        <f t="shared" ref="S186:U186" si="321">SUM(S18)</f>
        <v>200.60000000000002</v>
      </c>
      <c r="T186" s="3077">
        <f t="shared" si="321"/>
        <v>200.60000000000002</v>
      </c>
      <c r="U186" s="3077">
        <f t="shared" si="321"/>
        <v>201.78000000000003</v>
      </c>
      <c r="V186" s="3070">
        <f t="shared" si="314"/>
        <v>602.98</v>
      </c>
      <c r="W186" s="3085">
        <f t="shared" si="291"/>
        <v>2360</v>
      </c>
    </row>
    <row r="187" spans="1:23" ht="18.75">
      <c r="A187" s="3059" t="s">
        <v>390</v>
      </c>
      <c r="B187" s="3072">
        <f t="shared" ref="B187:C187" si="322">SUM(B186/2)</f>
        <v>1180</v>
      </c>
      <c r="C187" s="3072">
        <f t="shared" si="322"/>
        <v>1180</v>
      </c>
      <c r="D187" s="3063">
        <f>SUM([22]вода!AL119)</f>
        <v>0</v>
      </c>
      <c r="E187" s="3074">
        <f>SUM(E186/2)</f>
        <v>100.89000000000001</v>
      </c>
      <c r="F187" s="3074">
        <f t="shared" ref="F187:G187" si="323">SUM(F186/2)</f>
        <v>100.30000000000001</v>
      </c>
      <c r="G187" s="3074">
        <f t="shared" si="323"/>
        <v>100.30000000000001</v>
      </c>
      <c r="H187" s="3072">
        <f t="shared" si="303"/>
        <v>301.49</v>
      </c>
      <c r="I187" s="3074">
        <f t="shared" ref="I187:K187" si="324">SUM(I186/2)</f>
        <v>99.71</v>
      </c>
      <c r="J187" s="3074">
        <f t="shared" si="324"/>
        <v>94.4</v>
      </c>
      <c r="K187" s="3074">
        <f t="shared" si="324"/>
        <v>94.4</v>
      </c>
      <c r="L187" s="3072">
        <f t="shared" si="306"/>
        <v>288.51</v>
      </c>
      <c r="M187" s="3072">
        <f t="shared" si="307"/>
        <v>590</v>
      </c>
      <c r="N187" s="3074">
        <f t="shared" ref="N187:P187" si="325">SUM(N186/2)</f>
        <v>94.4</v>
      </c>
      <c r="O187" s="3074">
        <f t="shared" si="325"/>
        <v>94.4</v>
      </c>
      <c r="P187" s="3074">
        <f t="shared" si="325"/>
        <v>99.71</v>
      </c>
      <c r="Q187" s="3072">
        <f t="shared" si="310"/>
        <v>288.51</v>
      </c>
      <c r="R187" s="3072">
        <f t="shared" si="311"/>
        <v>878.51</v>
      </c>
      <c r="S187" s="3074">
        <f t="shared" ref="S187:U187" si="326">SUM(S186/2)</f>
        <v>100.30000000000001</v>
      </c>
      <c r="T187" s="3074">
        <f t="shared" si="326"/>
        <v>100.30000000000001</v>
      </c>
      <c r="U187" s="3074">
        <f t="shared" si="326"/>
        <v>100.89000000000001</v>
      </c>
      <c r="V187" s="3072">
        <f t="shared" si="314"/>
        <v>301.49</v>
      </c>
      <c r="W187" s="3087">
        <f t="shared" si="291"/>
        <v>1180</v>
      </c>
    </row>
    <row r="188" spans="1:23" ht="18.75">
      <c r="A188" s="3059" t="s">
        <v>1734</v>
      </c>
      <c r="B188" s="3072">
        <f t="shared" ref="B188:C188" si="327">SUM(B186-B187)</f>
        <v>1180</v>
      </c>
      <c r="C188" s="3072">
        <f t="shared" si="327"/>
        <v>1180</v>
      </c>
      <c r="D188" s="3063">
        <f>SUM([22]вода!AL120)</f>
        <v>0</v>
      </c>
      <c r="E188" s="3074">
        <f>SUM(E186-E187)</f>
        <v>100.89000000000001</v>
      </c>
      <c r="F188" s="3074">
        <f t="shared" ref="F188:G188" si="328">SUM(F186-F187)</f>
        <v>100.30000000000001</v>
      </c>
      <c r="G188" s="3074">
        <f t="shared" si="328"/>
        <v>100.30000000000001</v>
      </c>
      <c r="H188" s="3072">
        <f t="shared" si="303"/>
        <v>301.49</v>
      </c>
      <c r="I188" s="3074">
        <f t="shared" ref="I188:K188" si="329">SUM(I186-I187)</f>
        <v>99.71</v>
      </c>
      <c r="J188" s="3074">
        <f t="shared" si="329"/>
        <v>94.4</v>
      </c>
      <c r="K188" s="3074">
        <f t="shared" si="329"/>
        <v>94.4</v>
      </c>
      <c r="L188" s="3072">
        <f t="shared" si="306"/>
        <v>288.51</v>
      </c>
      <c r="M188" s="3072">
        <f t="shared" si="307"/>
        <v>590</v>
      </c>
      <c r="N188" s="3074">
        <f t="shared" ref="N188:P188" si="330">SUM(N186-N187)</f>
        <v>94.4</v>
      </c>
      <c r="O188" s="3074">
        <f t="shared" si="330"/>
        <v>94.4</v>
      </c>
      <c r="P188" s="3074">
        <f t="shared" si="330"/>
        <v>99.71</v>
      </c>
      <c r="Q188" s="3072">
        <f t="shared" si="310"/>
        <v>288.51</v>
      </c>
      <c r="R188" s="3072">
        <f t="shared" si="311"/>
        <v>878.51</v>
      </c>
      <c r="S188" s="3074">
        <f t="shared" ref="S188:U188" si="331">SUM(S186-S187)</f>
        <v>100.30000000000001</v>
      </c>
      <c r="T188" s="3074">
        <f t="shared" si="331"/>
        <v>100.30000000000001</v>
      </c>
      <c r="U188" s="3074">
        <f t="shared" si="331"/>
        <v>100.89000000000001</v>
      </c>
      <c r="V188" s="3072">
        <f t="shared" si="314"/>
        <v>301.49</v>
      </c>
      <c r="W188" s="3087">
        <f t="shared" si="291"/>
        <v>1180</v>
      </c>
    </row>
    <row r="189" spans="1:23" ht="18.75">
      <c r="A189" s="3095" t="s">
        <v>1737</v>
      </c>
      <c r="B189" s="3060">
        <f>SUM(B173)</f>
        <v>38.22747868710308</v>
      </c>
      <c r="C189" s="3060">
        <f>SUM(C173)</f>
        <v>38.28331777359076</v>
      </c>
      <c r="D189" s="3060">
        <f>SUM(D173)</f>
        <v>28.842758269006644</v>
      </c>
      <c r="E189" s="3081">
        <f>SUM(E173)</f>
        <v>37.161033695081727</v>
      </c>
      <c r="F189" s="3081">
        <f t="shared" ref="F189:W189" si="332">SUM(F173)</f>
        <v>36.980855011727805</v>
      </c>
      <c r="G189" s="3081">
        <f t="shared" si="332"/>
        <v>39.676820768911703</v>
      </c>
      <c r="H189" s="3070">
        <f t="shared" si="332"/>
        <v>37.938046271169654</v>
      </c>
      <c r="I189" s="3081">
        <f t="shared" si="332"/>
        <v>36.436329184621528</v>
      </c>
      <c r="J189" s="3081">
        <f t="shared" si="332"/>
        <v>37.120088866319868</v>
      </c>
      <c r="K189" s="3081">
        <f t="shared" si="332"/>
        <v>39.80226639642877</v>
      </c>
      <c r="L189" s="3070">
        <f t="shared" si="332"/>
        <v>37.761383382905564</v>
      </c>
      <c r="M189" s="3070">
        <f t="shared" si="332"/>
        <v>37.851658118808515</v>
      </c>
      <c r="N189" s="3081">
        <f t="shared" si="332"/>
        <v>37.896870936178445</v>
      </c>
      <c r="O189" s="3081">
        <f t="shared" si="332"/>
        <v>37.889495257250303</v>
      </c>
      <c r="P189" s="3081">
        <f t="shared" si="332"/>
        <v>39.54313243924846</v>
      </c>
      <c r="Q189" s="3070">
        <f t="shared" si="332"/>
        <v>38.463410988101415</v>
      </c>
      <c r="R189" s="3070">
        <f t="shared" si="332"/>
        <v>38.052562855601145</v>
      </c>
      <c r="S189" s="3081">
        <f t="shared" si="332"/>
        <v>37.400838071610508</v>
      </c>
      <c r="T189" s="3081">
        <f t="shared" si="332"/>
        <v>37.819077686067274</v>
      </c>
      <c r="U189" s="3081">
        <f t="shared" si="332"/>
        <v>40.97839534339689</v>
      </c>
      <c r="V189" s="3070">
        <f t="shared" si="332"/>
        <v>38.737164936450277</v>
      </c>
      <c r="W189" s="3105">
        <f t="shared" si="332"/>
        <v>38.227478687258099</v>
      </c>
    </row>
    <row r="190" spans="1:23" ht="18.75">
      <c r="A190" s="3059" t="s">
        <v>390</v>
      </c>
      <c r="B190" s="3063">
        <f>SUM(B181/B184)</f>
        <v>36.559215666782649</v>
      </c>
      <c r="C190" s="3063">
        <v>36.67</v>
      </c>
      <c r="D190" s="3063">
        <v>17.940000000000001</v>
      </c>
      <c r="E190" s="3064">
        <f>SUM(B190)</f>
        <v>36.559215666782649</v>
      </c>
      <c r="F190" s="3064">
        <f>SUM(E190)</f>
        <v>36.559215666782649</v>
      </c>
      <c r="G190" s="3064">
        <f>SUM(E190)</f>
        <v>36.559215666782649</v>
      </c>
      <c r="H190" s="3063">
        <f>SUM(E190)</f>
        <v>36.559215666782649</v>
      </c>
      <c r="I190" s="3064">
        <f>SUM(E190)</f>
        <v>36.559215666782649</v>
      </c>
      <c r="J190" s="3064">
        <f>SUM(E190)</f>
        <v>36.559215666782649</v>
      </c>
      <c r="K190" s="3064">
        <f>SUM(E190)</f>
        <v>36.559215666782649</v>
      </c>
      <c r="L190" s="3063">
        <f>SUM(E190)</f>
        <v>36.559215666782649</v>
      </c>
      <c r="M190" s="3063">
        <f>SUM(E190)</f>
        <v>36.559215666782649</v>
      </c>
      <c r="N190" s="3064">
        <f>SUM(E190)</f>
        <v>36.559215666782649</v>
      </c>
      <c r="O190" s="3064">
        <f>SUM(E190)</f>
        <v>36.559215666782649</v>
      </c>
      <c r="P190" s="3064">
        <f>SUM(E190)</f>
        <v>36.559215666782649</v>
      </c>
      <c r="Q190" s="3063">
        <f>SUM(E190)</f>
        <v>36.559215666782649</v>
      </c>
      <c r="R190" s="3063">
        <f>SUM(E190)</f>
        <v>36.559215666782649</v>
      </c>
      <c r="S190" s="3064">
        <f>SUM(E190)</f>
        <v>36.559215666782649</v>
      </c>
      <c r="T190" s="3064">
        <f>SUM(E190)</f>
        <v>36.559215666782649</v>
      </c>
      <c r="U190" s="3064">
        <f>SUM(E190)</f>
        <v>36.559215666782649</v>
      </c>
      <c r="V190" s="3063">
        <f>SUM(E190)</f>
        <v>36.559215666782649</v>
      </c>
      <c r="W190" s="3108">
        <f>SUM(E190)</f>
        <v>36.559215666782649</v>
      </c>
    </row>
    <row r="191" spans="1:23" ht="18.75">
      <c r="A191" s="3059" t="s">
        <v>1734</v>
      </c>
      <c r="B191" s="3072">
        <f>SUM(B182/B185)</f>
        <v>39.895741707423511</v>
      </c>
      <c r="C191" s="3063">
        <f>SUM(C189*2)-C190</f>
        <v>39.896635547181518</v>
      </c>
      <c r="D191" s="3063">
        <f>SUM(D189*2)-D190</f>
        <v>39.745516538013291</v>
      </c>
      <c r="E191" s="3074">
        <f>SUM(E182/E185)</f>
        <v>37.762851723380805</v>
      </c>
      <c r="F191" s="3074">
        <f t="shared" ref="F191:W191" si="333">SUM(F182/F185)</f>
        <v>37.402494356672968</v>
      </c>
      <c r="G191" s="3074">
        <f t="shared" si="333"/>
        <v>42.794425871040751</v>
      </c>
      <c r="H191" s="3072">
        <f t="shared" si="333"/>
        <v>39.316876875556659</v>
      </c>
      <c r="I191" s="3074">
        <f t="shared" si="333"/>
        <v>36.313442702460414</v>
      </c>
      <c r="J191" s="3074">
        <f t="shared" si="333"/>
        <v>37.680962065857088</v>
      </c>
      <c r="K191" s="3074">
        <f t="shared" si="333"/>
        <v>43.045317126074892</v>
      </c>
      <c r="L191" s="3072">
        <f t="shared" si="333"/>
        <v>38.963551099028479</v>
      </c>
      <c r="M191" s="3072">
        <f t="shared" si="333"/>
        <v>39.144100570834375</v>
      </c>
      <c r="N191" s="3074">
        <f t="shared" si="333"/>
        <v>39.234526205574234</v>
      </c>
      <c r="O191" s="3074">
        <f t="shared" si="333"/>
        <v>39.219774847717957</v>
      </c>
      <c r="P191" s="3074">
        <f t="shared" si="333"/>
        <v>42.527049211714278</v>
      </c>
      <c r="Q191" s="3072">
        <f t="shared" si="333"/>
        <v>40.367606309420168</v>
      </c>
      <c r="R191" s="3072">
        <f t="shared" si="333"/>
        <v>39.545910044419635</v>
      </c>
      <c r="S191" s="3074">
        <f t="shared" si="333"/>
        <v>38.24246047643836</v>
      </c>
      <c r="T191" s="3074">
        <f t="shared" si="333"/>
        <v>39.0789397053519</v>
      </c>
      <c r="U191" s="3074">
        <f t="shared" si="333"/>
        <v>45.397575020011125</v>
      </c>
      <c r="V191" s="3072">
        <f t="shared" si="333"/>
        <v>40.915114206117899</v>
      </c>
      <c r="W191" s="642">
        <f t="shared" si="333"/>
        <v>39.895741707733542</v>
      </c>
    </row>
    <row r="192" spans="1:23" ht="18.75">
      <c r="A192" s="3099" t="s">
        <v>1738</v>
      </c>
      <c r="B192" s="3068">
        <f>SUM(B191/B190)</f>
        <v>1.0912636110974447</v>
      </c>
      <c r="C192" s="3068">
        <f t="shared" ref="C192:W192" si="334">SUM(C191/C190)</f>
        <v>1.0879911520911241</v>
      </c>
      <c r="D192" s="3068">
        <f t="shared" si="334"/>
        <v>2.2154691492761032</v>
      </c>
      <c r="E192" s="3097">
        <f t="shared" si="334"/>
        <v>1.0329229179194828</v>
      </c>
      <c r="F192" s="3097">
        <f t="shared" si="334"/>
        <v>1.0230661045241327</v>
      </c>
      <c r="G192" s="3097">
        <f t="shared" si="334"/>
        <v>1.1705509839458441</v>
      </c>
      <c r="H192" s="3068">
        <f t="shared" si="334"/>
        <v>1.0754299882663947</v>
      </c>
      <c r="I192" s="3097">
        <f t="shared" si="334"/>
        <v>0.9932774005174968</v>
      </c>
      <c r="J192" s="3097">
        <f t="shared" si="334"/>
        <v>1.0306829995834306</v>
      </c>
      <c r="K192" s="3097">
        <f t="shared" si="334"/>
        <v>1.1774135834425314</v>
      </c>
      <c r="L192" s="3068">
        <f t="shared" si="334"/>
        <v>1.0657655091443985</v>
      </c>
      <c r="M192" s="3068">
        <f t="shared" si="334"/>
        <v>1.0707040579757385</v>
      </c>
      <c r="N192" s="3097">
        <f t="shared" si="334"/>
        <v>1.0731774599098511</v>
      </c>
      <c r="O192" s="3097">
        <f t="shared" si="334"/>
        <v>1.0727739677236201</v>
      </c>
      <c r="P192" s="3097">
        <f t="shared" si="334"/>
        <v>1.1632374610912111</v>
      </c>
      <c r="Q192" s="3068">
        <f t="shared" si="334"/>
        <v>1.1041704690097547</v>
      </c>
      <c r="R192" s="3068">
        <f t="shared" si="334"/>
        <v>1.0816947060587701</v>
      </c>
      <c r="S192" s="3097">
        <f t="shared" si="334"/>
        <v>1.0460416007005613</v>
      </c>
      <c r="T192" s="3097">
        <f t="shared" si="334"/>
        <v>1.0689217203545931</v>
      </c>
      <c r="U192" s="3097">
        <f t="shared" si="334"/>
        <v>1.2417546217015516</v>
      </c>
      <c r="V192" s="3068">
        <f t="shared" si="334"/>
        <v>1.1191463892178894</v>
      </c>
      <c r="W192" s="3089">
        <f t="shared" si="334"/>
        <v>1.0912636111059251</v>
      </c>
    </row>
    <row r="193" spans="1:23" ht="18.75">
      <c r="A193" s="3095" t="s">
        <v>1739</v>
      </c>
      <c r="B193" s="3070">
        <f>SUM((B194*B187)+(B195*B188))/B186</f>
        <v>29.632050000000003</v>
      </c>
      <c r="C193" s="3070">
        <f>SUM((C194*C187)+(C195*C188))/C186</f>
        <v>29.632050000000003</v>
      </c>
      <c r="D193" s="3060">
        <v>0</v>
      </c>
      <c r="E193" s="3081">
        <f>SUM((E194*E187)+(E195*E188))/E186</f>
        <v>29.63205</v>
      </c>
      <c r="F193" s="3081">
        <f>SUM((F194*F187)+(F195*F188))/F186</f>
        <v>29.63205</v>
      </c>
      <c r="G193" s="3081">
        <f>SUM((G194*G187)+(G195*G188))/G186</f>
        <v>29.63205</v>
      </c>
      <c r="H193" s="3070">
        <f>SUM((H194*H187)+(H195*H188))/H186</f>
        <v>29.63205</v>
      </c>
      <c r="I193" s="3081">
        <f t="shared" ref="I193:W193" si="335">SUM((I194*I187)+(I195*I188))/I186</f>
        <v>29.632049999999996</v>
      </c>
      <c r="J193" s="3081">
        <f t="shared" si="335"/>
        <v>29.632049999999996</v>
      </c>
      <c r="K193" s="3081">
        <f t="shared" si="335"/>
        <v>29.632049999999996</v>
      </c>
      <c r="L193" s="3070">
        <f t="shared" si="335"/>
        <v>29.63205</v>
      </c>
      <c r="M193" s="3070">
        <f t="shared" si="335"/>
        <v>29.632050000000003</v>
      </c>
      <c r="N193" s="3081">
        <f t="shared" si="335"/>
        <v>29.632049999999996</v>
      </c>
      <c r="O193" s="3081">
        <f t="shared" si="335"/>
        <v>29.632049999999996</v>
      </c>
      <c r="P193" s="3081">
        <f t="shared" si="335"/>
        <v>29.632049999999996</v>
      </c>
      <c r="Q193" s="3070">
        <f t="shared" si="335"/>
        <v>29.63205</v>
      </c>
      <c r="R193" s="3070">
        <f t="shared" si="335"/>
        <v>29.63205</v>
      </c>
      <c r="S193" s="3081">
        <f t="shared" si="335"/>
        <v>29.63205</v>
      </c>
      <c r="T193" s="3081">
        <f t="shared" si="335"/>
        <v>29.63205</v>
      </c>
      <c r="U193" s="3081">
        <f t="shared" si="335"/>
        <v>29.63205</v>
      </c>
      <c r="V193" s="3070">
        <f t="shared" si="335"/>
        <v>29.63205</v>
      </c>
      <c r="W193" s="3105">
        <f t="shared" si="335"/>
        <v>29.632050000000003</v>
      </c>
    </row>
    <row r="194" spans="1:23" ht="18.75">
      <c r="A194" s="3059" t="s">
        <v>390</v>
      </c>
      <c r="B194" s="3063">
        <f>SUM(C194)</f>
        <v>28.964099999999998</v>
      </c>
      <c r="C194" s="3063">
        <f>SUM('Тариф вода 2016-2018 ПЛАН'!Q43)</f>
        <v>28.964099999999998</v>
      </c>
      <c r="D194" s="3063">
        <v>0</v>
      </c>
      <c r="E194" s="3064">
        <f>SUM(B194)</f>
        <v>28.964099999999998</v>
      </c>
      <c r="F194" s="3064">
        <f>SUM(E194)</f>
        <v>28.964099999999998</v>
      </c>
      <c r="G194" s="3064">
        <f>SUM(E194)</f>
        <v>28.964099999999998</v>
      </c>
      <c r="H194" s="3063">
        <f>SUM(E194)</f>
        <v>28.964099999999998</v>
      </c>
      <c r="I194" s="3064">
        <f>SUM(E194)</f>
        <v>28.964099999999998</v>
      </c>
      <c r="J194" s="3064">
        <f>SUM(E194)</f>
        <v>28.964099999999998</v>
      </c>
      <c r="K194" s="3064">
        <f>SUM(E194)</f>
        <v>28.964099999999998</v>
      </c>
      <c r="L194" s="3063">
        <f>SUM(E194)</f>
        <v>28.964099999999998</v>
      </c>
      <c r="M194" s="3063">
        <f>SUM(E194)</f>
        <v>28.964099999999998</v>
      </c>
      <c r="N194" s="3064">
        <f>SUM(E194)</f>
        <v>28.964099999999998</v>
      </c>
      <c r="O194" s="3064">
        <f>SUM(E194)</f>
        <v>28.964099999999998</v>
      </c>
      <c r="P194" s="3064">
        <f>SUM(E194)</f>
        <v>28.964099999999998</v>
      </c>
      <c r="Q194" s="3063">
        <f>SUM(E194)</f>
        <v>28.964099999999998</v>
      </c>
      <c r="R194" s="3063">
        <f>SUM(E194)</f>
        <v>28.964099999999998</v>
      </c>
      <c r="S194" s="3064">
        <f>SUM(E194)</f>
        <v>28.964099999999998</v>
      </c>
      <c r="T194" s="3064">
        <f>SUM(E194)</f>
        <v>28.964099999999998</v>
      </c>
      <c r="U194" s="3064">
        <f>SUM(E194)</f>
        <v>28.964099999999998</v>
      </c>
      <c r="V194" s="3063">
        <f>SUM(E194)</f>
        <v>28.964099999999998</v>
      </c>
      <c r="W194" s="3108">
        <f>SUM(E194)</f>
        <v>28.964099999999998</v>
      </c>
    </row>
    <row r="195" spans="1:23" ht="18.75">
      <c r="A195" s="3059" t="s">
        <v>1734</v>
      </c>
      <c r="B195" s="3063">
        <f>SUM(C195)</f>
        <v>30.3</v>
      </c>
      <c r="C195" s="3063">
        <f>SUM('Тариф вода 2016-2018 ПЛАН'!Q44)</f>
        <v>30.3</v>
      </c>
      <c r="D195" s="3063">
        <v>0</v>
      </c>
      <c r="E195" s="3064">
        <f>SUM(B195)</f>
        <v>30.3</v>
      </c>
      <c r="F195" s="3064">
        <f>SUM(E195)</f>
        <v>30.3</v>
      </c>
      <c r="G195" s="3064">
        <f>SUM(E195)</f>
        <v>30.3</v>
      </c>
      <c r="H195" s="3063">
        <f>SUM(E195)</f>
        <v>30.3</v>
      </c>
      <c r="I195" s="3064">
        <f>SUM(E195)</f>
        <v>30.3</v>
      </c>
      <c r="J195" s="3064">
        <f>SUM(E195)</f>
        <v>30.3</v>
      </c>
      <c r="K195" s="3064">
        <f>SUM(E195)</f>
        <v>30.3</v>
      </c>
      <c r="L195" s="3063">
        <f>SUM(E195)</f>
        <v>30.3</v>
      </c>
      <c r="M195" s="3063">
        <f>SUM(E195)</f>
        <v>30.3</v>
      </c>
      <c r="N195" s="3064">
        <f>SUM(E195)</f>
        <v>30.3</v>
      </c>
      <c r="O195" s="3064">
        <f>SUM(E195)</f>
        <v>30.3</v>
      </c>
      <c r="P195" s="3064">
        <f>SUM(E195)</f>
        <v>30.3</v>
      </c>
      <c r="Q195" s="3063">
        <f>SUM(E195)</f>
        <v>30.3</v>
      </c>
      <c r="R195" s="3063">
        <f>SUM(E195)</f>
        <v>30.3</v>
      </c>
      <c r="S195" s="3064">
        <f>SUM(E195)</f>
        <v>30.3</v>
      </c>
      <c r="T195" s="3064">
        <f>SUM(E195)</f>
        <v>30.3</v>
      </c>
      <c r="U195" s="3064">
        <f>SUM(E195)</f>
        <v>30.3</v>
      </c>
      <c r="V195" s="3063">
        <f>SUM(E195)</f>
        <v>30.3</v>
      </c>
      <c r="W195" s="3108">
        <f>SUM(E195)</f>
        <v>30.3</v>
      </c>
    </row>
    <row r="196" spans="1:23" ht="18.75">
      <c r="A196" s="3099" t="s">
        <v>1740</v>
      </c>
      <c r="B196" s="3068">
        <f t="shared" ref="B196:C196" si="336">SUM(B195/B194)</f>
        <v>1.0461226138564639</v>
      </c>
      <c r="C196" s="3068">
        <f t="shared" si="336"/>
        <v>1.0461226138564639</v>
      </c>
      <c r="D196" s="3068">
        <v>0</v>
      </c>
      <c r="E196" s="3069">
        <f>SUM(E195/E194)</f>
        <v>1.0461226138564639</v>
      </c>
      <c r="F196" s="3069">
        <f t="shared" ref="F196:W196" si="337">SUM(F195/F194)</f>
        <v>1.0461226138564639</v>
      </c>
      <c r="G196" s="3069">
        <f t="shared" si="337"/>
        <v>1.0461226138564639</v>
      </c>
      <c r="H196" s="3068">
        <f t="shared" si="337"/>
        <v>1.0461226138564639</v>
      </c>
      <c r="I196" s="3069">
        <f t="shared" si="337"/>
        <v>1.0461226138564639</v>
      </c>
      <c r="J196" s="3069">
        <f t="shared" si="337"/>
        <v>1.0461226138564639</v>
      </c>
      <c r="K196" s="3069">
        <f t="shared" si="337"/>
        <v>1.0461226138564639</v>
      </c>
      <c r="L196" s="3068">
        <f t="shared" si="337"/>
        <v>1.0461226138564639</v>
      </c>
      <c r="M196" s="3068">
        <f t="shared" si="337"/>
        <v>1.0461226138564639</v>
      </c>
      <c r="N196" s="3069">
        <f t="shared" si="337"/>
        <v>1.0461226138564639</v>
      </c>
      <c r="O196" s="3069">
        <f t="shared" si="337"/>
        <v>1.0461226138564639</v>
      </c>
      <c r="P196" s="3069">
        <f t="shared" si="337"/>
        <v>1.0461226138564639</v>
      </c>
      <c r="Q196" s="3068">
        <f t="shared" si="337"/>
        <v>1.0461226138564639</v>
      </c>
      <c r="R196" s="3068">
        <f t="shared" si="337"/>
        <v>1.0461226138564639</v>
      </c>
      <c r="S196" s="3069">
        <f t="shared" si="337"/>
        <v>1.0461226138564639</v>
      </c>
      <c r="T196" s="3069">
        <f t="shared" si="337"/>
        <v>1.0461226138564639</v>
      </c>
      <c r="U196" s="3069">
        <f t="shared" si="337"/>
        <v>1.0461226138564639</v>
      </c>
      <c r="V196" s="3068">
        <f t="shared" si="337"/>
        <v>1.0461226138564639</v>
      </c>
      <c r="W196" s="3089">
        <f t="shared" si="337"/>
        <v>1.0461226138564639</v>
      </c>
    </row>
    <row r="197" spans="1:23" ht="18.75">
      <c r="A197" s="3095" t="s">
        <v>1741</v>
      </c>
      <c r="B197" s="3060">
        <f>SUM(B198:B199)</f>
        <v>20416.991945674192</v>
      </c>
      <c r="C197" s="3060">
        <f t="shared" ref="C197:D197" si="338">SUM(C198:C199)</f>
        <v>20416.991945674192</v>
      </c>
      <c r="D197" s="3060">
        <f t="shared" si="338"/>
        <v>0</v>
      </c>
      <c r="E197" s="3081">
        <f>SUM(E198:E199)</f>
        <v>1745.652811355144</v>
      </c>
      <c r="F197" s="3081">
        <f t="shared" ref="F197:G197" si="339">SUM(F198:F199)</f>
        <v>1735.4443153823067</v>
      </c>
      <c r="G197" s="3081">
        <f t="shared" si="339"/>
        <v>1735.4443153823067</v>
      </c>
      <c r="H197" s="3070">
        <f t="shared" ref="H197:H199" si="340">SUM(E197+F197+G197)</f>
        <v>5216.5414421197574</v>
      </c>
      <c r="I197" s="3081">
        <f t="shared" ref="I197:K197" si="341">SUM(I198:I199)</f>
        <v>1725.2358194094693</v>
      </c>
      <c r="J197" s="3081">
        <f t="shared" si="341"/>
        <v>1633.3593556539356</v>
      </c>
      <c r="K197" s="3081">
        <f t="shared" si="341"/>
        <v>1633.3593556539356</v>
      </c>
      <c r="L197" s="3070">
        <f t="shared" ref="L197:L199" si="342">SUM(I197+J197+K197)</f>
        <v>4991.9545307173403</v>
      </c>
      <c r="M197" s="3070">
        <f t="shared" ref="M197:M199" si="343">SUM(H197+L197)</f>
        <v>10208.495972837098</v>
      </c>
      <c r="N197" s="3081">
        <f t="shared" ref="N197" si="344">SUM(N198:N199)</f>
        <v>1633.3593556539356</v>
      </c>
      <c r="O197" s="3081">
        <f t="shared" ref="O197:P197" si="345">SUM(O198:O199)</f>
        <v>1633.3593556539356</v>
      </c>
      <c r="P197" s="3081">
        <f t="shared" si="345"/>
        <v>1725.2358194094693</v>
      </c>
      <c r="Q197" s="3070">
        <f t="shared" ref="Q197:Q199" si="346">SUM(N197+O197+P197)</f>
        <v>4991.9545307173403</v>
      </c>
      <c r="R197" s="3070">
        <f t="shared" ref="R197:R199" si="347">SUM(M197+Q197)</f>
        <v>15200.450503554439</v>
      </c>
      <c r="S197" s="3081">
        <f t="shared" ref="S197" si="348">SUM(S198:S199)</f>
        <v>1735.4443153823067</v>
      </c>
      <c r="T197" s="3081">
        <f t="shared" ref="T197:U197" si="349">SUM(T198:T199)</f>
        <v>1735.4443153823067</v>
      </c>
      <c r="U197" s="3081">
        <f t="shared" si="349"/>
        <v>1745.652811355144</v>
      </c>
      <c r="V197" s="3070">
        <f t="shared" ref="V197:V199" si="350">SUM(S197+T197+U197)</f>
        <v>5216.5414421197574</v>
      </c>
      <c r="W197" s="3085">
        <f t="shared" ref="W197:W199" si="351">SUM(E197+F197+G197+I197+J197+K197+N197+O197+P197+S197+T197+U197)</f>
        <v>20416.991945674195</v>
      </c>
    </row>
    <row r="198" spans="1:23" ht="18.75">
      <c r="A198" s="3059" t="s">
        <v>390</v>
      </c>
      <c r="B198" s="3072">
        <f>SUM(C190-C194)*C187</f>
        <v>9092.9620000000032</v>
      </c>
      <c r="C198" s="3072">
        <f>SUM(C190-C194)*C187</f>
        <v>9092.9620000000032</v>
      </c>
      <c r="D198" s="3072">
        <f>SUM(D190-D194)*D187</f>
        <v>0</v>
      </c>
      <c r="E198" s="3074">
        <f>SUM(C190-E194)*E187</f>
        <v>777.44825100000048</v>
      </c>
      <c r="F198" s="3074">
        <f>SUM(C190-F194)*F187</f>
        <v>772.9017700000004</v>
      </c>
      <c r="G198" s="3074">
        <f>SUM(C190-G194)*G187</f>
        <v>772.9017700000004</v>
      </c>
      <c r="H198" s="3072">
        <f t="shared" si="340"/>
        <v>2323.2517910000015</v>
      </c>
      <c r="I198" s="3074">
        <f>SUM(C190-I194)*I187</f>
        <v>768.35528900000031</v>
      </c>
      <c r="J198" s="3074">
        <f>SUM(C190-J194)*J187</f>
        <v>727.43696000000034</v>
      </c>
      <c r="K198" s="3074">
        <f>SUM(C190-K194)*K187</f>
        <v>727.43696000000034</v>
      </c>
      <c r="L198" s="3072">
        <f t="shared" si="342"/>
        <v>2223.229209000001</v>
      </c>
      <c r="M198" s="3072">
        <f t="shared" si="343"/>
        <v>4546.4810000000025</v>
      </c>
      <c r="N198" s="3074">
        <f>SUM(C190-N194)*N187</f>
        <v>727.43696000000034</v>
      </c>
      <c r="O198" s="3074">
        <f>SUM(C190-O194)*O187</f>
        <v>727.43696000000034</v>
      </c>
      <c r="P198" s="3074">
        <f>SUM(C190-P194)*P187</f>
        <v>768.35528900000031</v>
      </c>
      <c r="Q198" s="3072">
        <f t="shared" si="346"/>
        <v>2223.229209000001</v>
      </c>
      <c r="R198" s="3072">
        <f t="shared" si="347"/>
        <v>6769.7102090000035</v>
      </c>
      <c r="S198" s="3074">
        <f>SUM(C190-S194)*S187</f>
        <v>772.9017700000004</v>
      </c>
      <c r="T198" s="3074">
        <f>SUM(C190-T194)*T187</f>
        <v>772.9017700000004</v>
      </c>
      <c r="U198" s="3074">
        <f>SUM(C190-U194)*U187</f>
        <v>777.44825100000048</v>
      </c>
      <c r="V198" s="3072">
        <f t="shared" si="350"/>
        <v>2323.2517910000015</v>
      </c>
      <c r="W198" s="3087">
        <f t="shared" si="351"/>
        <v>9092.9620000000032</v>
      </c>
    </row>
    <row r="199" spans="1:23" ht="18.75">
      <c r="A199" s="3059" t="s">
        <v>1734</v>
      </c>
      <c r="B199" s="3072">
        <f>SUM(C191-C195)*C188</f>
        <v>11324.02994567419</v>
      </c>
      <c r="C199" s="3072">
        <f>SUM(C191-C195)*C188</f>
        <v>11324.02994567419</v>
      </c>
      <c r="D199" s="3072">
        <f>SUM(D191-D195)*D188</f>
        <v>0</v>
      </c>
      <c r="E199" s="3074">
        <f>SUM(C191-E195)*E188</f>
        <v>968.20456035514337</v>
      </c>
      <c r="F199" s="3074">
        <f>SUM(C191-F195)*F188</f>
        <v>962.54254538230623</v>
      </c>
      <c r="G199" s="3074">
        <f>SUM(C191-G195)*G188</f>
        <v>962.54254538230623</v>
      </c>
      <c r="H199" s="3072">
        <f t="shared" si="340"/>
        <v>2893.2896511197559</v>
      </c>
      <c r="I199" s="3074">
        <f>SUM(C191-I195)*I188</f>
        <v>956.88053040946897</v>
      </c>
      <c r="J199" s="3074">
        <f>SUM(C191-J195)*J188</f>
        <v>905.92239565393527</v>
      </c>
      <c r="K199" s="3074">
        <f>SUM(C191-K195)*K188</f>
        <v>905.92239565393527</v>
      </c>
      <c r="L199" s="3072">
        <f t="shared" si="342"/>
        <v>2768.7253217173397</v>
      </c>
      <c r="M199" s="3072">
        <f t="shared" si="343"/>
        <v>5662.0149728370961</v>
      </c>
      <c r="N199" s="3074">
        <f>SUM(C191-N195)*N188</f>
        <v>905.92239565393527</v>
      </c>
      <c r="O199" s="3074">
        <f>SUM(C191-O195)*O188</f>
        <v>905.92239565393527</v>
      </c>
      <c r="P199" s="3074">
        <f>SUM(C191-P195)*P188</f>
        <v>956.88053040946897</v>
      </c>
      <c r="Q199" s="3072">
        <f t="shared" si="346"/>
        <v>2768.7253217173393</v>
      </c>
      <c r="R199" s="3072">
        <f t="shared" si="347"/>
        <v>8430.7402945544345</v>
      </c>
      <c r="S199" s="3074">
        <f>SUM(C191-S195)*S188</f>
        <v>962.54254538230623</v>
      </c>
      <c r="T199" s="3074">
        <f>SUM(C191-T195)*T188</f>
        <v>962.54254538230623</v>
      </c>
      <c r="U199" s="3074">
        <f>SUM(C191-U195)*U188</f>
        <v>968.20456035514337</v>
      </c>
      <c r="V199" s="3072">
        <f t="shared" si="350"/>
        <v>2893.2896511197559</v>
      </c>
      <c r="W199" s="3087">
        <f t="shared" si="351"/>
        <v>11324.02994567419</v>
      </c>
    </row>
    <row r="200" spans="1:23" ht="18.75" customHeight="1">
      <c r="A200" s="5007" t="s">
        <v>1742</v>
      </c>
      <c r="B200" s="5000"/>
      <c r="C200" s="5000"/>
      <c r="D200" s="5000"/>
      <c r="E200" s="5000"/>
      <c r="F200" s="5000"/>
      <c r="G200" s="5000"/>
      <c r="H200" s="5000"/>
      <c r="I200" s="5000"/>
      <c r="J200" s="5000"/>
      <c r="K200" s="5000"/>
      <c r="L200" s="5000"/>
      <c r="M200" s="5000"/>
      <c r="N200" s="5000"/>
      <c r="O200" s="5000"/>
      <c r="P200" s="5000"/>
      <c r="Q200" s="5000"/>
      <c r="R200" s="5000"/>
      <c r="S200" s="5000"/>
      <c r="T200" s="5000"/>
      <c r="U200" s="5000"/>
      <c r="V200" s="5000"/>
      <c r="W200" s="3109"/>
    </row>
    <row r="201" spans="1:23" ht="18.75" customHeight="1">
      <c r="A201" s="4989" t="s">
        <v>545</v>
      </c>
      <c r="B201" s="4982" t="s">
        <v>1960</v>
      </c>
      <c r="C201" s="4982" t="s">
        <v>575</v>
      </c>
      <c r="D201" s="4982"/>
      <c r="E201" s="4981" t="s">
        <v>586</v>
      </c>
      <c r="F201" s="4981" t="s">
        <v>587</v>
      </c>
      <c r="G201" s="4981" t="s">
        <v>588</v>
      </c>
      <c r="H201" s="4984" t="s">
        <v>600</v>
      </c>
      <c r="I201" s="4981" t="s">
        <v>589</v>
      </c>
      <c r="J201" s="4981" t="s">
        <v>590</v>
      </c>
      <c r="K201" s="4981" t="s">
        <v>591</v>
      </c>
      <c r="L201" s="4984" t="s">
        <v>599</v>
      </c>
      <c r="M201" s="4984" t="s">
        <v>598</v>
      </c>
      <c r="N201" s="4981" t="s">
        <v>592</v>
      </c>
      <c r="O201" s="4981" t="s">
        <v>593</v>
      </c>
      <c r="P201" s="4981" t="s">
        <v>594</v>
      </c>
      <c r="Q201" s="4984" t="s">
        <v>225</v>
      </c>
      <c r="R201" s="4984" t="s">
        <v>229</v>
      </c>
      <c r="S201" s="4981" t="s">
        <v>595</v>
      </c>
      <c r="T201" s="4981" t="s">
        <v>596</v>
      </c>
      <c r="U201" s="4981" t="s">
        <v>597</v>
      </c>
      <c r="V201" s="4984" t="s">
        <v>135</v>
      </c>
      <c r="W201" s="3109"/>
    </row>
    <row r="202" spans="1:23" ht="37.5" customHeight="1">
      <c r="A202" s="4990"/>
      <c r="B202" s="4982"/>
      <c r="C202" s="3057" t="s">
        <v>1553</v>
      </c>
      <c r="D202" s="3057" t="s">
        <v>1554</v>
      </c>
      <c r="E202" s="4981"/>
      <c r="F202" s="4981"/>
      <c r="G202" s="4981"/>
      <c r="H202" s="4984"/>
      <c r="I202" s="4981"/>
      <c r="J202" s="4981"/>
      <c r="K202" s="4981"/>
      <c r="L202" s="4984"/>
      <c r="M202" s="4984"/>
      <c r="N202" s="4981"/>
      <c r="O202" s="4981"/>
      <c r="P202" s="4981"/>
      <c r="Q202" s="4984"/>
      <c r="R202" s="4984"/>
      <c r="S202" s="4981"/>
      <c r="T202" s="4981"/>
      <c r="U202" s="4981"/>
      <c r="V202" s="4984"/>
      <c r="W202" s="3109"/>
    </row>
    <row r="203" spans="1:23" ht="18.75">
      <c r="A203" s="3095" t="s">
        <v>1733</v>
      </c>
      <c r="B203" s="3060">
        <f>SUM(B175)</f>
        <v>131812.85586704884</v>
      </c>
      <c r="C203" s="3060">
        <f>SUM(C175)</f>
        <v>131195.04398492674</v>
      </c>
      <c r="D203" s="3060">
        <f>SUM(D175)</f>
        <v>617.81188212212237</v>
      </c>
      <c r="E203" s="3081">
        <f>SUM(E175)</f>
        <v>10954.148260065667</v>
      </c>
      <c r="F203" s="3081">
        <f t="shared" ref="F203:K203" si="352">SUM(F175)</f>
        <v>10831.397676308563</v>
      </c>
      <c r="G203" s="3081">
        <f t="shared" si="352"/>
        <v>11661.271742860939</v>
      </c>
      <c r="H203" s="3070">
        <f t="shared" ref="H203:H205" si="353">SUM(E203+F203+G203)</f>
        <v>33446.817679235173</v>
      </c>
      <c r="I203" s="3081">
        <f t="shared" si="352"/>
        <v>10597.805729422742</v>
      </c>
      <c r="J203" s="3081">
        <f t="shared" si="352"/>
        <v>10202.119577781448</v>
      </c>
      <c r="K203" s="3081">
        <f t="shared" si="352"/>
        <v>10979.182885868408</v>
      </c>
      <c r="L203" s="3070">
        <f t="shared" ref="L203:L205" si="354">SUM(I203+J203+K203)</f>
        <v>31779.1081930726</v>
      </c>
      <c r="M203" s="3070">
        <f t="shared" ref="M203:M205" si="355">SUM(H203+L203)</f>
        <v>65225.925872307773</v>
      </c>
      <c r="N203" s="3081">
        <f t="shared" ref="N203:P203" si="356">SUM(N175)</f>
        <v>10427.163907655628</v>
      </c>
      <c r="O203" s="3081">
        <f t="shared" si="356"/>
        <v>10425.027073160913</v>
      </c>
      <c r="P203" s="3081">
        <f t="shared" si="356"/>
        <v>11548.518562303097</v>
      </c>
      <c r="Q203" s="3070">
        <f t="shared" ref="Q203:Q205" si="357">SUM(N203+O203+P203)</f>
        <v>32400.709543119636</v>
      </c>
      <c r="R203" s="3070">
        <f t="shared" ref="R203:R205" si="358">SUM(M203+Q203)</f>
        <v>97626.635415427416</v>
      </c>
      <c r="S203" s="3081">
        <f t="shared" ref="S203:U203" si="359">SUM(S175)</f>
        <v>10960.677155789797</v>
      </c>
      <c r="T203" s="3081">
        <f t="shared" si="359"/>
        <v>11089.41996667961</v>
      </c>
      <c r="U203" s="3081">
        <f t="shared" si="359"/>
        <v>12136.123329713415</v>
      </c>
      <c r="V203" s="3070">
        <f t="shared" ref="V203:V205" si="360">SUM(S203+T203+U203)</f>
        <v>34186.220452182824</v>
      </c>
      <c r="W203" s="3085">
        <f t="shared" ref="W203:W211" si="361">SUM(E203+F203+G203+I203+J203+K203+N203+O203+P203+S203+T203+U203)</f>
        <v>131812.85586761023</v>
      </c>
    </row>
    <row r="204" spans="1:23" ht="18.75">
      <c r="A204" s="3059" t="s">
        <v>390</v>
      </c>
      <c r="B204" s="3072">
        <f>SUM(C204:D204)</f>
        <v>65054.152984527187</v>
      </c>
      <c r="C204" s="3072">
        <f>SUM(C207*C213)</f>
        <v>64862.078579728746</v>
      </c>
      <c r="D204" s="3072">
        <f>SUM(D207*D213)</f>
        <v>192.07440479843746</v>
      </c>
      <c r="E204" s="3074">
        <f>SUM(E207*E213)</f>
        <v>5562.1300801770758</v>
      </c>
      <c r="F204" s="3074">
        <f t="shared" ref="F204:G204" si="362">SUM(F207*F213)</f>
        <v>5529.6030036848124</v>
      </c>
      <c r="G204" s="3074">
        <f t="shared" si="362"/>
        <v>5529.6030036848124</v>
      </c>
      <c r="H204" s="3072">
        <f t="shared" si="353"/>
        <v>16621.336087546701</v>
      </c>
      <c r="I204" s="3074">
        <f t="shared" ref="I204:K204" si="363">SUM(I207*I213)</f>
        <v>5497.0759271925481</v>
      </c>
      <c r="J204" s="3074">
        <f t="shared" si="363"/>
        <v>5204.3322387621756</v>
      </c>
      <c r="K204" s="3074">
        <f t="shared" si="363"/>
        <v>5204.3322387621756</v>
      </c>
      <c r="L204" s="3072">
        <f t="shared" si="354"/>
        <v>15905.740404716898</v>
      </c>
      <c r="M204" s="3072">
        <f t="shared" si="355"/>
        <v>32527.076492263601</v>
      </c>
      <c r="N204" s="3074">
        <f t="shared" ref="N204:P204" si="364">SUM(N207*N213)</f>
        <v>5204.3322387621756</v>
      </c>
      <c r="O204" s="3074">
        <f t="shared" si="364"/>
        <v>5204.3322387621756</v>
      </c>
      <c r="P204" s="3074">
        <f t="shared" si="364"/>
        <v>5497.0759271925481</v>
      </c>
      <c r="Q204" s="3072">
        <f t="shared" si="357"/>
        <v>15905.7404047169</v>
      </c>
      <c r="R204" s="3072">
        <f t="shared" si="358"/>
        <v>48432.816896980497</v>
      </c>
      <c r="S204" s="3074">
        <f t="shared" ref="S204:U204" si="365">SUM(S207*S213)</f>
        <v>5529.6030036848124</v>
      </c>
      <c r="T204" s="3074">
        <f t="shared" si="365"/>
        <v>5529.6030036848124</v>
      </c>
      <c r="U204" s="3074">
        <f t="shared" si="365"/>
        <v>5562.1300801770758</v>
      </c>
      <c r="V204" s="3072">
        <f t="shared" si="360"/>
        <v>16621.336087546701</v>
      </c>
      <c r="W204" s="3087">
        <f t="shared" si="361"/>
        <v>65054.152984527194</v>
      </c>
    </row>
    <row r="205" spans="1:23" ht="18.75">
      <c r="A205" s="3059" t="s">
        <v>1734</v>
      </c>
      <c r="B205" s="3072">
        <f>SUM(B203-B204)</f>
        <v>66758.702882521655</v>
      </c>
      <c r="C205" s="3072">
        <f>SUM(C203-C204)</f>
        <v>66332.965405197989</v>
      </c>
      <c r="D205" s="3072">
        <f>SUM(D203-D204)</f>
        <v>425.73747732368491</v>
      </c>
      <c r="E205" s="3074">
        <f>SUM(E203-E204)</f>
        <v>5392.0181798885915</v>
      </c>
      <c r="F205" s="3074">
        <f t="shared" ref="F205:G205" si="366">SUM(F203-F204)</f>
        <v>5301.7946726237506</v>
      </c>
      <c r="G205" s="3074">
        <f t="shared" si="366"/>
        <v>6131.668739176127</v>
      </c>
      <c r="H205" s="3072">
        <f t="shared" si="353"/>
        <v>16825.481591688469</v>
      </c>
      <c r="I205" s="3074">
        <f t="shared" ref="I205:K205" si="367">SUM(I203-I204)</f>
        <v>5100.7298022301939</v>
      </c>
      <c r="J205" s="3074">
        <f t="shared" si="367"/>
        <v>4997.7873390192726</v>
      </c>
      <c r="K205" s="3074">
        <f t="shared" si="367"/>
        <v>5774.8506471062319</v>
      </c>
      <c r="L205" s="3072">
        <f t="shared" si="354"/>
        <v>15873.367788355699</v>
      </c>
      <c r="M205" s="3072">
        <f t="shared" si="355"/>
        <v>32698.849380044168</v>
      </c>
      <c r="N205" s="3074">
        <f t="shared" ref="N205:P205" si="368">SUM(N203-N204)</f>
        <v>5222.8316688934519</v>
      </c>
      <c r="O205" s="3074">
        <f t="shared" si="368"/>
        <v>5220.6948343987369</v>
      </c>
      <c r="P205" s="3074">
        <f t="shared" si="368"/>
        <v>6051.4426351105494</v>
      </c>
      <c r="Q205" s="3072">
        <f t="shared" si="357"/>
        <v>16494.969138402739</v>
      </c>
      <c r="R205" s="3072">
        <f t="shared" si="358"/>
        <v>49193.818518446904</v>
      </c>
      <c r="S205" s="3074">
        <f t="shared" ref="S205:U205" si="369">SUM(S203-S204)</f>
        <v>5431.0741521049849</v>
      </c>
      <c r="T205" s="3074">
        <f t="shared" si="369"/>
        <v>5559.8169629947979</v>
      </c>
      <c r="U205" s="3074">
        <f t="shared" si="369"/>
        <v>6573.9932495363391</v>
      </c>
      <c r="V205" s="3072">
        <f t="shared" si="360"/>
        <v>17564.88436463612</v>
      </c>
      <c r="W205" s="3087">
        <f t="shared" si="361"/>
        <v>66758.702883083024</v>
      </c>
    </row>
    <row r="206" spans="1:23" ht="18.75">
      <c r="A206" s="3095" t="s">
        <v>1735</v>
      </c>
      <c r="B206" s="3060">
        <f>SUM(B164)</f>
        <v>3621.42</v>
      </c>
      <c r="C206" s="3060">
        <f>SUM(C164)</f>
        <v>3600</v>
      </c>
      <c r="D206" s="3060">
        <f>SUM(D164)</f>
        <v>21.42</v>
      </c>
      <c r="E206" s="3077">
        <f>SUM(E164)</f>
        <v>309.63141000000007</v>
      </c>
      <c r="F206" s="3077">
        <f t="shared" ref="F206:K206" si="370">SUM(F164)</f>
        <v>307.82070000000004</v>
      </c>
      <c r="G206" s="3077">
        <f t="shared" si="370"/>
        <v>307.82070000000004</v>
      </c>
      <c r="H206" s="3070">
        <f>SUM(E206+F206+G206)</f>
        <v>925.27281000000016</v>
      </c>
      <c r="I206" s="3077">
        <f t="shared" si="370"/>
        <v>306.00999000000002</v>
      </c>
      <c r="J206" s="3077">
        <f t="shared" si="370"/>
        <v>289.71360000000004</v>
      </c>
      <c r="K206" s="3077">
        <f t="shared" si="370"/>
        <v>289.71360000000004</v>
      </c>
      <c r="L206" s="3070">
        <f>SUM(I206+J206+K206)</f>
        <v>885.4371900000001</v>
      </c>
      <c r="M206" s="3070">
        <f>SUM(H206+L206)</f>
        <v>1810.7100000000003</v>
      </c>
      <c r="N206" s="3077">
        <f t="shared" ref="N206:P206" si="371">SUM(N164)</f>
        <v>289.71360000000004</v>
      </c>
      <c r="O206" s="3077">
        <f t="shared" si="371"/>
        <v>289.71360000000004</v>
      </c>
      <c r="P206" s="3077">
        <f t="shared" si="371"/>
        <v>306.00999000000002</v>
      </c>
      <c r="Q206" s="3070">
        <f>SUM(N206+O206+P206)</f>
        <v>885.4371900000001</v>
      </c>
      <c r="R206" s="3070">
        <f>SUM(M206+Q206)</f>
        <v>2696.1471900000006</v>
      </c>
      <c r="S206" s="3077">
        <f t="shared" ref="S206:U206" si="372">SUM(S164)</f>
        <v>307.82070000000004</v>
      </c>
      <c r="T206" s="3077">
        <f t="shared" si="372"/>
        <v>307.82070000000004</v>
      </c>
      <c r="U206" s="3077">
        <f t="shared" si="372"/>
        <v>309.63141000000007</v>
      </c>
      <c r="V206" s="3070">
        <f>SUM(S206+T206+U206)</f>
        <v>925.27281000000016</v>
      </c>
      <c r="W206" s="3085">
        <f t="shared" si="361"/>
        <v>3621.4200000000005</v>
      </c>
    </row>
    <row r="207" spans="1:23" ht="18.75">
      <c r="A207" s="3059" t="s">
        <v>390</v>
      </c>
      <c r="B207" s="3072">
        <f>SUM(B206/2)</f>
        <v>1810.71</v>
      </c>
      <c r="C207" s="3072">
        <f>SUM(C206/2)</f>
        <v>1800</v>
      </c>
      <c r="D207" s="3072">
        <f>SUM(D206/2)</f>
        <v>10.71</v>
      </c>
      <c r="E207" s="3074">
        <f>SUM(E206/2)</f>
        <v>154.81570500000004</v>
      </c>
      <c r="F207" s="3074">
        <f t="shared" ref="F207:G207" si="373">SUM(F206/2)</f>
        <v>153.91035000000002</v>
      </c>
      <c r="G207" s="3074">
        <f t="shared" si="373"/>
        <v>153.91035000000002</v>
      </c>
      <c r="H207" s="3072">
        <f t="shared" ref="H207:H211" si="374">SUM(E207+F207+G207)</f>
        <v>462.63640500000008</v>
      </c>
      <c r="I207" s="3074">
        <f t="shared" ref="I207" si="375">SUM(I206/2)</f>
        <v>153.00499500000001</v>
      </c>
      <c r="J207" s="3074">
        <f t="shared" ref="J207:K207" si="376">SUM(J206/2)</f>
        <v>144.85680000000002</v>
      </c>
      <c r="K207" s="3074">
        <f t="shared" si="376"/>
        <v>144.85680000000002</v>
      </c>
      <c r="L207" s="3072">
        <f t="shared" ref="L207:L211" si="377">SUM(I207+J207+K207)</f>
        <v>442.71859500000005</v>
      </c>
      <c r="M207" s="3072">
        <f t="shared" ref="M207:M211" si="378">SUM(H207+L207)</f>
        <v>905.35500000000013</v>
      </c>
      <c r="N207" s="3074">
        <f t="shared" ref="N207" si="379">SUM(N206/2)</f>
        <v>144.85680000000002</v>
      </c>
      <c r="O207" s="3074">
        <f t="shared" ref="O207:P207" si="380">SUM(O206/2)</f>
        <v>144.85680000000002</v>
      </c>
      <c r="P207" s="3074">
        <f t="shared" si="380"/>
        <v>153.00499500000001</v>
      </c>
      <c r="Q207" s="3072">
        <f t="shared" ref="Q207:Q211" si="381">SUM(N207+O207+P207)</f>
        <v>442.71859500000005</v>
      </c>
      <c r="R207" s="3072">
        <f t="shared" ref="R207:R211" si="382">SUM(M207+Q207)</f>
        <v>1348.0735950000003</v>
      </c>
      <c r="S207" s="3074">
        <f t="shared" ref="S207" si="383">SUM(S206/2)</f>
        <v>153.91035000000002</v>
      </c>
      <c r="T207" s="3074">
        <f t="shared" ref="T207:U207" si="384">SUM(T206/2)</f>
        <v>153.91035000000002</v>
      </c>
      <c r="U207" s="3074">
        <f t="shared" si="384"/>
        <v>154.81570500000004</v>
      </c>
      <c r="V207" s="3072">
        <f t="shared" ref="V207:V211" si="385">SUM(S207+T207+U207)</f>
        <v>462.63640500000008</v>
      </c>
      <c r="W207" s="3087">
        <f t="shared" si="361"/>
        <v>1810.7100000000003</v>
      </c>
    </row>
    <row r="208" spans="1:23" ht="18.75">
      <c r="A208" s="3059" t="s">
        <v>1734</v>
      </c>
      <c r="B208" s="3072">
        <f>SUM(B206-B207)</f>
        <v>1810.71</v>
      </c>
      <c r="C208" s="3072">
        <f>SUM(C206-C207)</f>
        <v>1800</v>
      </c>
      <c r="D208" s="3072">
        <f>SUM(D206-D207)</f>
        <v>10.71</v>
      </c>
      <c r="E208" s="3074">
        <f>SUM(E206-E207)</f>
        <v>154.81570500000004</v>
      </c>
      <c r="F208" s="3074">
        <f t="shared" ref="F208:G208" si="386">SUM(F206-F207)</f>
        <v>153.91035000000002</v>
      </c>
      <c r="G208" s="3074">
        <f t="shared" si="386"/>
        <v>153.91035000000002</v>
      </c>
      <c r="H208" s="3072">
        <f t="shared" si="374"/>
        <v>462.63640500000008</v>
      </c>
      <c r="I208" s="3074">
        <f t="shared" ref="I208:K208" si="387">SUM(I206-I207)</f>
        <v>153.00499500000001</v>
      </c>
      <c r="J208" s="3074">
        <f t="shared" si="387"/>
        <v>144.85680000000002</v>
      </c>
      <c r="K208" s="3074">
        <f t="shared" si="387"/>
        <v>144.85680000000002</v>
      </c>
      <c r="L208" s="3072">
        <f t="shared" si="377"/>
        <v>442.71859500000005</v>
      </c>
      <c r="M208" s="3072">
        <f t="shared" si="378"/>
        <v>905.35500000000013</v>
      </c>
      <c r="N208" s="3074">
        <f t="shared" ref="N208:P208" si="388">SUM(N206-N207)</f>
        <v>144.85680000000002</v>
      </c>
      <c r="O208" s="3074">
        <f t="shared" si="388"/>
        <v>144.85680000000002</v>
      </c>
      <c r="P208" s="3074">
        <f t="shared" si="388"/>
        <v>153.00499500000001</v>
      </c>
      <c r="Q208" s="3072">
        <f t="shared" si="381"/>
        <v>442.71859500000005</v>
      </c>
      <c r="R208" s="3072">
        <f t="shared" si="382"/>
        <v>1348.0735950000003</v>
      </c>
      <c r="S208" s="3074">
        <f t="shared" ref="S208:U208" si="389">SUM(S206-S207)</f>
        <v>153.91035000000002</v>
      </c>
      <c r="T208" s="3074">
        <f t="shared" si="389"/>
        <v>153.91035000000002</v>
      </c>
      <c r="U208" s="3074">
        <f t="shared" si="389"/>
        <v>154.81570500000004</v>
      </c>
      <c r="V208" s="3072">
        <f t="shared" si="385"/>
        <v>462.63640500000008</v>
      </c>
      <c r="W208" s="3087">
        <f t="shared" si="361"/>
        <v>1810.7100000000003</v>
      </c>
    </row>
    <row r="209" spans="1:23" ht="18.75">
      <c r="A209" s="3095" t="s">
        <v>1736</v>
      </c>
      <c r="B209" s="3060">
        <f>SUM(B18)</f>
        <v>2360</v>
      </c>
      <c r="C209" s="3060">
        <f>SUM(C18)</f>
        <v>2360</v>
      </c>
      <c r="D209" s="3060">
        <f>SUM(D18)</f>
        <v>0</v>
      </c>
      <c r="E209" s="3077">
        <f>SUM(E18)</f>
        <v>201.78000000000003</v>
      </c>
      <c r="F209" s="3077">
        <f t="shared" ref="F209:K209" si="390">SUM(F18)</f>
        <v>200.60000000000002</v>
      </c>
      <c r="G209" s="3077">
        <f t="shared" si="390"/>
        <v>200.60000000000002</v>
      </c>
      <c r="H209" s="3070">
        <f t="shared" si="374"/>
        <v>602.98</v>
      </c>
      <c r="I209" s="3077">
        <f t="shared" si="390"/>
        <v>199.42</v>
      </c>
      <c r="J209" s="3077">
        <f t="shared" si="390"/>
        <v>188.8</v>
      </c>
      <c r="K209" s="3077">
        <f t="shared" si="390"/>
        <v>188.8</v>
      </c>
      <c r="L209" s="3070">
        <f t="shared" si="377"/>
        <v>577.02</v>
      </c>
      <c r="M209" s="3070">
        <f t="shared" si="378"/>
        <v>1180</v>
      </c>
      <c r="N209" s="3077">
        <f t="shared" ref="N209:P209" si="391">SUM(N18)</f>
        <v>188.8</v>
      </c>
      <c r="O209" s="3077">
        <f t="shared" si="391"/>
        <v>188.8</v>
      </c>
      <c r="P209" s="3077">
        <f t="shared" si="391"/>
        <v>199.42</v>
      </c>
      <c r="Q209" s="3070">
        <f t="shared" si="381"/>
        <v>577.02</v>
      </c>
      <c r="R209" s="3070">
        <f t="shared" si="382"/>
        <v>1757.02</v>
      </c>
      <c r="S209" s="3077">
        <f t="shared" ref="S209:U209" si="392">SUM(S18)</f>
        <v>200.60000000000002</v>
      </c>
      <c r="T209" s="3077">
        <f t="shared" si="392"/>
        <v>200.60000000000002</v>
      </c>
      <c r="U209" s="3077">
        <f t="shared" si="392"/>
        <v>201.78000000000003</v>
      </c>
      <c r="V209" s="3070">
        <f t="shared" si="385"/>
        <v>602.98</v>
      </c>
      <c r="W209" s="3085">
        <f t="shared" si="361"/>
        <v>2360</v>
      </c>
    </row>
    <row r="210" spans="1:23" ht="18.75">
      <c r="A210" s="3059" t="s">
        <v>390</v>
      </c>
      <c r="B210" s="3072">
        <f>SUM(B209/2)</f>
        <v>1180</v>
      </c>
      <c r="C210" s="3072">
        <f>SUM(C209/2)</f>
        <v>1180</v>
      </c>
      <c r="D210" s="3072">
        <f>SUM(D209/2)</f>
        <v>0</v>
      </c>
      <c r="E210" s="3074">
        <f>SUM(E209/2)</f>
        <v>100.89000000000001</v>
      </c>
      <c r="F210" s="3074">
        <f t="shared" ref="F210:G210" si="393">SUM(F209/2)</f>
        <v>100.30000000000001</v>
      </c>
      <c r="G210" s="3074">
        <f t="shared" si="393"/>
        <v>100.30000000000001</v>
      </c>
      <c r="H210" s="3072">
        <f t="shared" si="374"/>
        <v>301.49</v>
      </c>
      <c r="I210" s="3074">
        <f t="shared" ref="I210:K210" si="394">SUM(I209/2)</f>
        <v>99.71</v>
      </c>
      <c r="J210" s="3074">
        <f t="shared" si="394"/>
        <v>94.4</v>
      </c>
      <c r="K210" s="3074">
        <f t="shared" si="394"/>
        <v>94.4</v>
      </c>
      <c r="L210" s="3072">
        <f t="shared" si="377"/>
        <v>288.51</v>
      </c>
      <c r="M210" s="3072">
        <f t="shared" si="378"/>
        <v>590</v>
      </c>
      <c r="N210" s="3074">
        <f t="shared" ref="N210:P210" si="395">SUM(N209/2)</f>
        <v>94.4</v>
      </c>
      <c r="O210" s="3074">
        <f t="shared" si="395"/>
        <v>94.4</v>
      </c>
      <c r="P210" s="3074">
        <f t="shared" si="395"/>
        <v>99.71</v>
      </c>
      <c r="Q210" s="3072">
        <f t="shared" si="381"/>
        <v>288.51</v>
      </c>
      <c r="R210" s="3072">
        <f t="shared" si="382"/>
        <v>878.51</v>
      </c>
      <c r="S210" s="3074">
        <f t="shared" ref="S210:U210" si="396">SUM(S209/2)</f>
        <v>100.30000000000001</v>
      </c>
      <c r="T210" s="3074">
        <f t="shared" si="396"/>
        <v>100.30000000000001</v>
      </c>
      <c r="U210" s="3074">
        <f t="shared" si="396"/>
        <v>100.89000000000001</v>
      </c>
      <c r="V210" s="3072">
        <f t="shared" si="385"/>
        <v>301.49</v>
      </c>
      <c r="W210" s="3087">
        <f t="shared" si="361"/>
        <v>1180</v>
      </c>
    </row>
    <row r="211" spans="1:23" ht="18.75">
      <c r="A211" s="3059" t="s">
        <v>1734</v>
      </c>
      <c r="B211" s="3072">
        <f>SUM(B209-B210)</f>
        <v>1180</v>
      </c>
      <c r="C211" s="3072">
        <f>SUM(C209-C210)</f>
        <v>1180</v>
      </c>
      <c r="D211" s="3072">
        <f>SUM(D209-D210)</f>
        <v>0</v>
      </c>
      <c r="E211" s="3074">
        <f>SUM(E209-E210)</f>
        <v>100.89000000000001</v>
      </c>
      <c r="F211" s="3074">
        <f t="shared" ref="F211:G211" si="397">SUM(F209-F210)</f>
        <v>100.30000000000001</v>
      </c>
      <c r="G211" s="3074">
        <f t="shared" si="397"/>
        <v>100.30000000000001</v>
      </c>
      <c r="H211" s="3072">
        <f t="shared" si="374"/>
        <v>301.49</v>
      </c>
      <c r="I211" s="3074">
        <f t="shared" ref="I211:K211" si="398">SUM(I209-I210)</f>
        <v>99.71</v>
      </c>
      <c r="J211" s="3074">
        <f t="shared" si="398"/>
        <v>94.4</v>
      </c>
      <c r="K211" s="3074">
        <f t="shared" si="398"/>
        <v>94.4</v>
      </c>
      <c r="L211" s="3072">
        <f t="shared" si="377"/>
        <v>288.51</v>
      </c>
      <c r="M211" s="3072">
        <f t="shared" si="378"/>
        <v>590</v>
      </c>
      <c r="N211" s="3074">
        <f t="shared" ref="N211:P211" si="399">SUM(N209-N210)</f>
        <v>94.4</v>
      </c>
      <c r="O211" s="3074">
        <f t="shared" si="399"/>
        <v>94.4</v>
      </c>
      <c r="P211" s="3074">
        <f t="shared" si="399"/>
        <v>99.71</v>
      </c>
      <c r="Q211" s="3072">
        <f t="shared" si="381"/>
        <v>288.51</v>
      </c>
      <c r="R211" s="3072">
        <f t="shared" si="382"/>
        <v>878.51</v>
      </c>
      <c r="S211" s="3074">
        <f t="shared" ref="S211:U211" si="400">SUM(S209-S210)</f>
        <v>100.30000000000001</v>
      </c>
      <c r="T211" s="3074">
        <f t="shared" si="400"/>
        <v>100.30000000000001</v>
      </c>
      <c r="U211" s="3074">
        <f t="shared" si="400"/>
        <v>100.89000000000001</v>
      </c>
      <c r="V211" s="3072">
        <f t="shared" si="385"/>
        <v>301.49</v>
      </c>
      <c r="W211" s="3087">
        <f t="shared" si="361"/>
        <v>1180</v>
      </c>
    </row>
    <row r="212" spans="1:23" ht="18.75">
      <c r="A212" s="3095" t="s">
        <v>1737</v>
      </c>
      <c r="B212" s="3060">
        <f>SUM(B176)</f>
        <v>36.398113410498873</v>
      </c>
      <c r="C212" s="3060">
        <f>SUM(C176)</f>
        <v>36.443067773590762</v>
      </c>
      <c r="D212" s="3060">
        <f>SUM(D176)</f>
        <v>28.842758269006644</v>
      </c>
      <c r="E212" s="3081">
        <f>SUM(E176)</f>
        <v>35.378026602874897</v>
      </c>
      <c r="F212" s="3081">
        <f t="shared" ref="F212:W212" si="401">SUM(F176)</f>
        <v>35.187359642508</v>
      </c>
      <c r="G212" s="3081">
        <f t="shared" si="401"/>
        <v>37.883325399691891</v>
      </c>
      <c r="H212" s="3070">
        <f t="shared" si="401"/>
        <v>36.148060677623462</v>
      </c>
      <c r="I212" s="3081">
        <f t="shared" si="401"/>
        <v>34.63222141676728</v>
      </c>
      <c r="J212" s="3081">
        <f t="shared" si="401"/>
        <v>35.214500036523816</v>
      </c>
      <c r="K212" s="3081">
        <f t="shared" si="401"/>
        <v>37.896677566632725</v>
      </c>
      <c r="L212" s="3070">
        <f t="shared" si="401"/>
        <v>35.89086674016098</v>
      </c>
      <c r="M212" s="3070">
        <f t="shared" si="401"/>
        <v>36.022292842204308</v>
      </c>
      <c r="N212" s="3081">
        <f t="shared" si="401"/>
        <v>35.991282106382393</v>
      </c>
      <c r="O212" s="3081">
        <f t="shared" si="401"/>
        <v>35.983906427454258</v>
      </c>
      <c r="P212" s="3081">
        <f t="shared" si="401"/>
        <v>37.739024671394212</v>
      </c>
      <c r="Q212" s="3070">
        <f t="shared" si="401"/>
        <v>36.592894345356818</v>
      </c>
      <c r="R212" s="3070">
        <f t="shared" si="401"/>
        <v>36.209683127658693</v>
      </c>
      <c r="S212" s="3081">
        <f t="shared" si="401"/>
        <v>35.607342702390696</v>
      </c>
      <c r="T212" s="3081">
        <f t="shared" si="401"/>
        <v>36.025582316847469</v>
      </c>
      <c r="U212" s="3081">
        <f t="shared" si="401"/>
        <v>39.19538825119006</v>
      </c>
      <c r="V212" s="3070">
        <f t="shared" si="401"/>
        <v>36.947179342904086</v>
      </c>
      <c r="W212" s="3110">
        <f t="shared" si="401"/>
        <v>36.398113410653892</v>
      </c>
    </row>
    <row r="213" spans="1:23" ht="18.75">
      <c r="A213" s="3059" t="s">
        <v>390</v>
      </c>
      <c r="B213" s="3063">
        <f>SUM(B204/B207)</f>
        <v>35.9274279064716</v>
      </c>
      <c r="C213" s="3063">
        <f>SUM('Тариф вода 2016-2018 ПЛАН'!Q36)</f>
        <v>36.034488099849305</v>
      </c>
      <c r="D213" s="3063">
        <f>SUM('Тариф тех.вода 2016-2018 ПЛАН'!Q36)</f>
        <v>17.934118095092199</v>
      </c>
      <c r="E213" s="3064">
        <f>SUM(B213)</f>
        <v>35.9274279064716</v>
      </c>
      <c r="F213" s="3064">
        <f>SUM(E213)</f>
        <v>35.9274279064716</v>
      </c>
      <c r="G213" s="3064">
        <f>SUM(E213)</f>
        <v>35.9274279064716</v>
      </c>
      <c r="H213" s="3063">
        <f>SUM(E213)</f>
        <v>35.9274279064716</v>
      </c>
      <c r="I213" s="3064">
        <f>SUM(E213)</f>
        <v>35.9274279064716</v>
      </c>
      <c r="J213" s="3064">
        <f>SUM(E213)</f>
        <v>35.9274279064716</v>
      </c>
      <c r="K213" s="3064">
        <f>SUM(E213)</f>
        <v>35.9274279064716</v>
      </c>
      <c r="L213" s="3063">
        <f>SUM(E213)</f>
        <v>35.9274279064716</v>
      </c>
      <c r="M213" s="3063">
        <f>SUM(E213)</f>
        <v>35.9274279064716</v>
      </c>
      <c r="N213" s="3064">
        <f>SUM(E213)</f>
        <v>35.9274279064716</v>
      </c>
      <c r="O213" s="3064">
        <f>SUM(E213)</f>
        <v>35.9274279064716</v>
      </c>
      <c r="P213" s="3064">
        <f>SUM(E213)</f>
        <v>35.9274279064716</v>
      </c>
      <c r="Q213" s="3063">
        <f>SUM(E213)</f>
        <v>35.9274279064716</v>
      </c>
      <c r="R213" s="3063">
        <f>SUM(E213)</f>
        <v>35.9274279064716</v>
      </c>
      <c r="S213" s="3064">
        <f>SUM(E213)</f>
        <v>35.9274279064716</v>
      </c>
      <c r="T213" s="3064">
        <f>SUM(E213)</f>
        <v>35.9274279064716</v>
      </c>
      <c r="U213" s="3064">
        <f>SUM(E213)</f>
        <v>35.9274279064716</v>
      </c>
      <c r="V213" s="3063">
        <f>SUM(E213)</f>
        <v>35.9274279064716</v>
      </c>
      <c r="W213" s="3108">
        <f>SUM(E213)</f>
        <v>35.9274279064716</v>
      </c>
    </row>
    <row r="214" spans="1:23" ht="18.75">
      <c r="A214" s="3059" t="s">
        <v>1734</v>
      </c>
      <c r="B214" s="3072">
        <f>SUM(B205/B208)</f>
        <v>36.868798914526153</v>
      </c>
      <c r="C214" s="3072">
        <f>SUM(C205/C208)</f>
        <v>36.851647447332219</v>
      </c>
      <c r="D214" s="3072">
        <f>SUM(D205/D208)</f>
        <v>39.751398442921094</v>
      </c>
      <c r="E214" s="3074">
        <f>SUM(E205/E208)</f>
        <v>34.828625299278201</v>
      </c>
      <c r="F214" s="3074">
        <f t="shared" ref="F214:W214" si="402">SUM(F205/F208)</f>
        <v>34.447291378544392</v>
      </c>
      <c r="G214" s="3074">
        <f t="shared" si="402"/>
        <v>39.839222892912183</v>
      </c>
      <c r="H214" s="3072">
        <f t="shared" si="402"/>
        <v>36.368693448775318</v>
      </c>
      <c r="I214" s="3074">
        <f t="shared" si="402"/>
        <v>33.33701492706296</v>
      </c>
      <c r="J214" s="3074">
        <f t="shared" si="402"/>
        <v>34.50157216657604</v>
      </c>
      <c r="K214" s="3074">
        <f t="shared" si="402"/>
        <v>39.86592722679385</v>
      </c>
      <c r="L214" s="3072">
        <f t="shared" si="402"/>
        <v>35.854305573850354</v>
      </c>
      <c r="M214" s="3072">
        <f t="shared" si="402"/>
        <v>36.11715777793701</v>
      </c>
      <c r="N214" s="3074">
        <f t="shared" si="402"/>
        <v>36.055136306293186</v>
      </c>
      <c r="O214" s="3074">
        <f t="shared" si="402"/>
        <v>36.040384948436916</v>
      </c>
      <c r="P214" s="3074">
        <f t="shared" si="402"/>
        <v>39.550621436316831</v>
      </c>
      <c r="Q214" s="3072">
        <f t="shared" si="402"/>
        <v>37.258360784242051</v>
      </c>
      <c r="R214" s="3072">
        <f t="shared" si="402"/>
        <v>36.491938348845778</v>
      </c>
      <c r="S214" s="3074">
        <f t="shared" si="402"/>
        <v>35.287257498309792</v>
      </c>
      <c r="T214" s="3074">
        <f t="shared" si="402"/>
        <v>36.123736727223331</v>
      </c>
      <c r="U214" s="3074">
        <f t="shared" si="402"/>
        <v>42.463348595908521</v>
      </c>
      <c r="V214" s="3072">
        <f t="shared" si="402"/>
        <v>37.966930779336565</v>
      </c>
      <c r="W214" s="642">
        <f t="shared" si="402"/>
        <v>36.868798914836177</v>
      </c>
    </row>
    <row r="215" spans="1:23" ht="18.75">
      <c r="A215" s="3099" t="s">
        <v>1738</v>
      </c>
      <c r="B215" s="3068">
        <f>SUM(B214/B213)</f>
        <v>1.0262020150873361</v>
      </c>
      <c r="C215" s="3068">
        <f t="shared" ref="C215:W215" si="403">SUM(C214/C213)</f>
        <v>1.0226771459946542</v>
      </c>
      <c r="D215" s="3068">
        <f t="shared" si="403"/>
        <v>2.2165237360514176</v>
      </c>
      <c r="E215" s="3097">
        <f t="shared" si="403"/>
        <v>0.9694160514341893</v>
      </c>
      <c r="F215" s="3097">
        <f t="shared" si="403"/>
        <v>0.95880204584140039</v>
      </c>
      <c r="G215" s="3097">
        <f t="shared" si="403"/>
        <v>1.108880463044112</v>
      </c>
      <c r="H215" s="3068">
        <f t="shared" si="403"/>
        <v>1.0122821356277563</v>
      </c>
      <c r="I215" s="3097">
        <f t="shared" si="403"/>
        <v>0.92789873558017688</v>
      </c>
      <c r="J215" s="3097">
        <f t="shared" si="403"/>
        <v>0.96031289120926133</v>
      </c>
      <c r="K215" s="3097">
        <f t="shared" si="403"/>
        <v>1.1096237484791616</v>
      </c>
      <c r="L215" s="3068">
        <f t="shared" si="403"/>
        <v>0.99796472119263302</v>
      </c>
      <c r="M215" s="3068">
        <f t="shared" si="403"/>
        <v>1.0052809199689809</v>
      </c>
      <c r="N215" s="3097">
        <f t="shared" si="403"/>
        <v>1.00355462128138</v>
      </c>
      <c r="O215" s="3097">
        <f t="shared" si="403"/>
        <v>1.0031440336407986</v>
      </c>
      <c r="P215" s="3097">
        <f t="shared" si="403"/>
        <v>1.100847562460562</v>
      </c>
      <c r="Q215" s="3068">
        <f t="shared" si="403"/>
        <v>1.0370450364895369</v>
      </c>
      <c r="R215" s="3068">
        <f t="shared" si="403"/>
        <v>1.0157125203575315</v>
      </c>
      <c r="S215" s="3097">
        <f t="shared" si="403"/>
        <v>0.98218156863807959</v>
      </c>
      <c r="T215" s="3097">
        <f t="shared" si="403"/>
        <v>1.0054640377057544</v>
      </c>
      <c r="U215" s="3097">
        <f t="shared" si="403"/>
        <v>1.1819200836322492</v>
      </c>
      <c r="V215" s="3068">
        <f t="shared" si="403"/>
        <v>1.0567672942848656</v>
      </c>
      <c r="W215" s="3089">
        <f t="shared" si="403"/>
        <v>1.0262020150959654</v>
      </c>
    </row>
    <row r="216" spans="1:23" ht="18.75">
      <c r="A216" s="3095" t="s">
        <v>1739</v>
      </c>
      <c r="B216" s="3070">
        <f>SUM((B217*B210)+(B218*B211))/B209</f>
        <v>29.632050000000003</v>
      </c>
      <c r="C216" s="3070">
        <f>SUM((C217*C210)+(C218*C211))/C209</f>
        <v>29.632050000000003</v>
      </c>
      <c r="D216" s="3060">
        <v>0</v>
      </c>
      <c r="E216" s="3081">
        <f>SUM((E217*E210)+(E218*E211))/E209</f>
        <v>29.63205</v>
      </c>
      <c r="F216" s="3081">
        <f>SUM((F217*F210)+(F218*F211))/F209</f>
        <v>29.63205</v>
      </c>
      <c r="G216" s="3081">
        <f>SUM((G217*G210)+(G218*G211))/G209</f>
        <v>29.63205</v>
      </c>
      <c r="H216" s="3070">
        <f>SUM((H217*H210)+(H218*H211))/H209</f>
        <v>29.63205</v>
      </c>
      <c r="I216" s="3081">
        <f t="shared" ref="I216" si="404">SUM((I217*I210)+(I218*I211))/I209</f>
        <v>29.632049999999996</v>
      </c>
      <c r="J216" s="3081">
        <f t="shared" ref="J216" si="405">SUM((J217*J210)+(J218*J211))/J209</f>
        <v>29.632049999999996</v>
      </c>
      <c r="K216" s="3081">
        <f t="shared" ref="K216:W216" si="406">SUM((K217*K210)+(K218*K211))/K209</f>
        <v>29.632049999999996</v>
      </c>
      <c r="L216" s="3070">
        <f t="shared" si="406"/>
        <v>29.63205</v>
      </c>
      <c r="M216" s="3070">
        <f t="shared" si="406"/>
        <v>29.632050000000003</v>
      </c>
      <c r="N216" s="3081">
        <f t="shared" si="406"/>
        <v>29.632049999999996</v>
      </c>
      <c r="O216" s="3081">
        <f t="shared" si="406"/>
        <v>29.632049999999996</v>
      </c>
      <c r="P216" s="3081">
        <f t="shared" si="406"/>
        <v>29.632049999999996</v>
      </c>
      <c r="Q216" s="3070">
        <f t="shared" si="406"/>
        <v>29.63205</v>
      </c>
      <c r="R216" s="3070">
        <f t="shared" si="406"/>
        <v>29.63205</v>
      </c>
      <c r="S216" s="3081">
        <f t="shared" si="406"/>
        <v>29.63205</v>
      </c>
      <c r="T216" s="3081">
        <f t="shared" si="406"/>
        <v>29.63205</v>
      </c>
      <c r="U216" s="3081">
        <f t="shared" si="406"/>
        <v>29.63205</v>
      </c>
      <c r="V216" s="3070">
        <f t="shared" si="406"/>
        <v>29.63205</v>
      </c>
      <c r="W216" s="3105">
        <f t="shared" si="406"/>
        <v>29.632050000000003</v>
      </c>
    </row>
    <row r="217" spans="1:23" ht="18.75">
      <c r="A217" s="3059" t="s">
        <v>390</v>
      </c>
      <c r="B217" s="3063">
        <f>SUM(C217)</f>
        <v>28.964099999999998</v>
      </c>
      <c r="C217" s="3063">
        <f>SUM('Тариф вода 2016-2018 ПЛАН'!Q43)</f>
        <v>28.964099999999998</v>
      </c>
      <c r="D217" s="3063">
        <v>0</v>
      </c>
      <c r="E217" s="3064">
        <f>SUM(B217)</f>
        <v>28.964099999999998</v>
      </c>
      <c r="F217" s="3064">
        <f>SUM(E217)</f>
        <v>28.964099999999998</v>
      </c>
      <c r="G217" s="3064">
        <f>SUM(E217)</f>
        <v>28.964099999999998</v>
      </c>
      <c r="H217" s="3063">
        <f>SUM(E217)</f>
        <v>28.964099999999998</v>
      </c>
      <c r="I217" s="3064">
        <f>SUM(E217)</f>
        <v>28.964099999999998</v>
      </c>
      <c r="J217" s="3064">
        <f>SUM(E217)</f>
        <v>28.964099999999998</v>
      </c>
      <c r="K217" s="3064">
        <f>SUM(E217)</f>
        <v>28.964099999999998</v>
      </c>
      <c r="L217" s="3063">
        <f>SUM(E217)</f>
        <v>28.964099999999998</v>
      </c>
      <c r="M217" s="3063">
        <f>SUM(E217)</f>
        <v>28.964099999999998</v>
      </c>
      <c r="N217" s="3064">
        <f>SUM(E217)</f>
        <v>28.964099999999998</v>
      </c>
      <c r="O217" s="3064">
        <f>SUM(E217)</f>
        <v>28.964099999999998</v>
      </c>
      <c r="P217" s="3064">
        <f>SUM(E217)</f>
        <v>28.964099999999998</v>
      </c>
      <c r="Q217" s="3063">
        <f>SUM(E217)</f>
        <v>28.964099999999998</v>
      </c>
      <c r="R217" s="3063">
        <f>SUM(E217)</f>
        <v>28.964099999999998</v>
      </c>
      <c r="S217" s="3064">
        <f>SUM(E217)</f>
        <v>28.964099999999998</v>
      </c>
      <c r="T217" s="3064">
        <f>SUM(E217)</f>
        <v>28.964099999999998</v>
      </c>
      <c r="U217" s="3064">
        <f>SUM(E217)</f>
        <v>28.964099999999998</v>
      </c>
      <c r="V217" s="3063">
        <f>SUM(E217)</f>
        <v>28.964099999999998</v>
      </c>
      <c r="W217" s="3108">
        <f>SUM(E217)</f>
        <v>28.964099999999998</v>
      </c>
    </row>
    <row r="218" spans="1:23" ht="18.75">
      <c r="A218" s="3059" t="s">
        <v>1734</v>
      </c>
      <c r="B218" s="3063">
        <f>SUM(C218)</f>
        <v>30.3</v>
      </c>
      <c r="C218" s="3063">
        <f>SUM('Тариф вода 2016-2018 ПЛАН'!Q44)</f>
        <v>30.3</v>
      </c>
      <c r="D218" s="3063">
        <v>0</v>
      </c>
      <c r="E218" s="3064">
        <f>SUM(B218)</f>
        <v>30.3</v>
      </c>
      <c r="F218" s="3064">
        <f>SUM(E218)</f>
        <v>30.3</v>
      </c>
      <c r="G218" s="3064">
        <f>SUM(E218)</f>
        <v>30.3</v>
      </c>
      <c r="H218" s="3063">
        <f>SUM(E218)</f>
        <v>30.3</v>
      </c>
      <c r="I218" s="3064">
        <f>SUM(E218)</f>
        <v>30.3</v>
      </c>
      <c r="J218" s="3064">
        <f>SUM(E218)</f>
        <v>30.3</v>
      </c>
      <c r="K218" s="3064">
        <f>SUM(E218)</f>
        <v>30.3</v>
      </c>
      <c r="L218" s="3063">
        <f>SUM(E218)</f>
        <v>30.3</v>
      </c>
      <c r="M218" s="3063">
        <f>SUM(E218)</f>
        <v>30.3</v>
      </c>
      <c r="N218" s="3064">
        <f>SUM(E218)</f>
        <v>30.3</v>
      </c>
      <c r="O218" s="3064">
        <f>SUM(E218)</f>
        <v>30.3</v>
      </c>
      <c r="P218" s="3064">
        <f>SUM(E218)</f>
        <v>30.3</v>
      </c>
      <c r="Q218" s="3063">
        <f>SUM(E218)</f>
        <v>30.3</v>
      </c>
      <c r="R218" s="3063">
        <f>SUM(E218)</f>
        <v>30.3</v>
      </c>
      <c r="S218" s="3064">
        <f>SUM(E218)</f>
        <v>30.3</v>
      </c>
      <c r="T218" s="3064">
        <f>SUM(E218)</f>
        <v>30.3</v>
      </c>
      <c r="U218" s="3064">
        <f>SUM(E218)</f>
        <v>30.3</v>
      </c>
      <c r="V218" s="3063">
        <f>SUM(E218)</f>
        <v>30.3</v>
      </c>
      <c r="W218" s="3108">
        <f>SUM(E218)</f>
        <v>30.3</v>
      </c>
    </row>
    <row r="219" spans="1:23" ht="18.75">
      <c r="A219" s="3099" t="s">
        <v>1740</v>
      </c>
      <c r="B219" s="3068">
        <f t="shared" ref="B219:C219" si="407">SUM(B218/B217)</f>
        <v>1.0461226138564639</v>
      </c>
      <c r="C219" s="3068">
        <f t="shared" si="407"/>
        <v>1.0461226138564639</v>
      </c>
      <c r="D219" s="3068">
        <v>0</v>
      </c>
      <c r="E219" s="3069">
        <f>SUM(E218/E217)</f>
        <v>1.0461226138564639</v>
      </c>
      <c r="F219" s="3069">
        <f t="shared" ref="F219:W219" si="408">SUM(F218/F217)</f>
        <v>1.0461226138564639</v>
      </c>
      <c r="G219" s="3069">
        <f t="shared" si="408"/>
        <v>1.0461226138564639</v>
      </c>
      <c r="H219" s="3068">
        <f t="shared" si="408"/>
        <v>1.0461226138564639</v>
      </c>
      <c r="I219" s="3069">
        <f t="shared" si="408"/>
        <v>1.0461226138564639</v>
      </c>
      <c r="J219" s="3069">
        <f t="shared" si="408"/>
        <v>1.0461226138564639</v>
      </c>
      <c r="K219" s="3069">
        <f t="shared" si="408"/>
        <v>1.0461226138564639</v>
      </c>
      <c r="L219" s="3068">
        <f t="shared" si="408"/>
        <v>1.0461226138564639</v>
      </c>
      <c r="M219" s="3068">
        <f t="shared" si="408"/>
        <v>1.0461226138564639</v>
      </c>
      <c r="N219" s="3069">
        <f t="shared" si="408"/>
        <v>1.0461226138564639</v>
      </c>
      <c r="O219" s="3069">
        <f t="shared" si="408"/>
        <v>1.0461226138564639</v>
      </c>
      <c r="P219" s="3069">
        <f t="shared" si="408"/>
        <v>1.0461226138564639</v>
      </c>
      <c r="Q219" s="3068">
        <f t="shared" si="408"/>
        <v>1.0461226138564639</v>
      </c>
      <c r="R219" s="3068">
        <f t="shared" si="408"/>
        <v>1.0461226138564639</v>
      </c>
      <c r="S219" s="3069">
        <f t="shared" si="408"/>
        <v>1.0461226138564639</v>
      </c>
      <c r="T219" s="3069">
        <f t="shared" si="408"/>
        <v>1.0461226138564639</v>
      </c>
      <c r="U219" s="3069">
        <f t="shared" si="408"/>
        <v>1.0461226138564639</v>
      </c>
      <c r="V219" s="3068">
        <f t="shared" si="408"/>
        <v>1.0461226138564639</v>
      </c>
      <c r="W219" s="3089">
        <f t="shared" si="408"/>
        <v>1.0461226138564639</v>
      </c>
    </row>
    <row r="220" spans="1:23" ht="18.75">
      <c r="A220" s="3095" t="s">
        <v>1741</v>
      </c>
      <c r="B220" s="3060">
        <f>SUM(B221:B222)</f>
        <v>16074.001945674201</v>
      </c>
      <c r="C220" s="3060">
        <f t="shared" ref="C220:D220" si="409">SUM(C221:C222)</f>
        <v>16074.001945674201</v>
      </c>
      <c r="D220" s="3060">
        <f t="shared" si="409"/>
        <v>0</v>
      </c>
      <c r="E220" s="3081">
        <f>SUM(E221:E222)</f>
        <v>1374.3271663551443</v>
      </c>
      <c r="F220" s="3081">
        <f t="shared" ref="F220:G220" si="410">SUM(F221:F222)</f>
        <v>1366.2901653823074</v>
      </c>
      <c r="G220" s="3081">
        <f t="shared" si="410"/>
        <v>1366.2901653823074</v>
      </c>
      <c r="H220" s="3070">
        <f t="shared" ref="H220:H222" si="411">SUM(E220+F220+G220)</f>
        <v>4106.9074971197588</v>
      </c>
      <c r="I220" s="3081">
        <f t="shared" ref="I220:K220" si="412">SUM(I221:I222)</f>
        <v>1358.2531644094697</v>
      </c>
      <c r="J220" s="3081">
        <f t="shared" si="412"/>
        <v>1285.920155653936</v>
      </c>
      <c r="K220" s="3081">
        <f t="shared" si="412"/>
        <v>1285.920155653936</v>
      </c>
      <c r="L220" s="3070">
        <f t="shared" ref="L220:L222" si="413">SUM(I220+J220+K220)</f>
        <v>3930.0934757173418</v>
      </c>
      <c r="M220" s="3070">
        <f t="shared" ref="M220:M222" si="414">SUM(H220+L220)</f>
        <v>8037.0009728371006</v>
      </c>
      <c r="N220" s="3081">
        <f t="shared" ref="N220" si="415">SUM(N221:N222)</f>
        <v>1285.920155653936</v>
      </c>
      <c r="O220" s="3081">
        <f t="shared" ref="O220:P220" si="416">SUM(O221:O222)</f>
        <v>1285.920155653936</v>
      </c>
      <c r="P220" s="3081">
        <f t="shared" si="416"/>
        <v>1358.2531644094697</v>
      </c>
      <c r="Q220" s="3070">
        <f t="shared" ref="Q220:Q222" si="417">SUM(N220+O220+P220)</f>
        <v>3930.0934757173418</v>
      </c>
      <c r="R220" s="3070">
        <f t="shared" ref="R220:R222" si="418">SUM(M220+Q220)</f>
        <v>11967.094448554442</v>
      </c>
      <c r="S220" s="3081">
        <f t="shared" ref="S220" si="419">SUM(S221:S222)</f>
        <v>1366.2901653823074</v>
      </c>
      <c r="T220" s="3081">
        <f t="shared" ref="T220:U220" si="420">SUM(T221:T222)</f>
        <v>1366.2901653823074</v>
      </c>
      <c r="U220" s="3081">
        <f t="shared" si="420"/>
        <v>1374.3271663551443</v>
      </c>
      <c r="V220" s="3070">
        <f t="shared" ref="V220:V222" si="421">SUM(S220+T220+U220)</f>
        <v>4106.9074971197588</v>
      </c>
      <c r="W220" s="3085">
        <f t="shared" ref="W220:W222" si="422">SUM(E220+F220+G220+I220+J220+K220+N220+O220+P220+S220+T220+U220)</f>
        <v>16074.001945674199</v>
      </c>
    </row>
    <row r="221" spans="1:23" ht="18.75">
      <c r="A221" s="3059" t="s">
        <v>390</v>
      </c>
      <c r="B221" s="3072">
        <f>SUM(C213-C217)*C210</f>
        <v>8343.0579578221823</v>
      </c>
      <c r="C221" s="3072">
        <f>SUM(C213-C217)*C210</f>
        <v>8343.0579578221823</v>
      </c>
      <c r="D221" s="3072">
        <f>SUM(D213-D217)*D210</f>
        <v>0</v>
      </c>
      <c r="E221" s="3074">
        <f>SUM(C213-E217)*E210</f>
        <v>713.33145539379666</v>
      </c>
      <c r="F221" s="3074">
        <f>SUM(C213-F217)*F210</f>
        <v>709.1599264148856</v>
      </c>
      <c r="G221" s="3074">
        <f>SUM(C213-G217)*G210</f>
        <v>709.1599264148856</v>
      </c>
      <c r="H221" s="3072">
        <f t="shared" si="411"/>
        <v>2131.6513082235679</v>
      </c>
      <c r="I221" s="3074">
        <f>SUM(C213-I217)*I210</f>
        <v>704.98839743597432</v>
      </c>
      <c r="J221" s="3074">
        <f>SUM(C213-J217)*J210</f>
        <v>667.44463662577459</v>
      </c>
      <c r="K221" s="3074">
        <f>SUM(C213-K217)*K210</f>
        <v>667.44463662577459</v>
      </c>
      <c r="L221" s="3072">
        <f t="shared" si="413"/>
        <v>2039.8776706875235</v>
      </c>
      <c r="M221" s="3072">
        <f t="shared" si="414"/>
        <v>4171.5289789110911</v>
      </c>
      <c r="N221" s="3074">
        <f>SUM(C213-N217)*N210</f>
        <v>667.44463662577459</v>
      </c>
      <c r="O221" s="3074">
        <f>SUM(C213-O217)*O210</f>
        <v>667.44463662577459</v>
      </c>
      <c r="P221" s="3074">
        <f>SUM(C213-P217)*P210</f>
        <v>704.98839743597432</v>
      </c>
      <c r="Q221" s="3072">
        <f t="shared" si="417"/>
        <v>2039.8776706875235</v>
      </c>
      <c r="R221" s="3072">
        <f t="shared" si="418"/>
        <v>6211.4066495986144</v>
      </c>
      <c r="S221" s="3074">
        <f>SUM(C213-S217)*S210</f>
        <v>709.1599264148856</v>
      </c>
      <c r="T221" s="3074">
        <f>SUM(C213-T217)*T210</f>
        <v>709.1599264148856</v>
      </c>
      <c r="U221" s="3074">
        <f>SUM(C213-U217)*U210</f>
        <v>713.33145539379666</v>
      </c>
      <c r="V221" s="3072">
        <f t="shared" si="421"/>
        <v>2131.6513082235679</v>
      </c>
      <c r="W221" s="3087">
        <f t="shared" si="422"/>
        <v>8343.0579578221823</v>
      </c>
    </row>
    <row r="222" spans="1:23" ht="18.75">
      <c r="A222" s="3059" t="s">
        <v>1734</v>
      </c>
      <c r="B222" s="3072">
        <f>SUM(C214-C218)*C211</f>
        <v>7730.9439878520179</v>
      </c>
      <c r="C222" s="3072">
        <f>SUM(C214-C218)*C211</f>
        <v>7730.9439878520179</v>
      </c>
      <c r="D222" s="3072">
        <f>SUM(D214-D218)*D211</f>
        <v>0</v>
      </c>
      <c r="E222" s="3074">
        <f>SUM(C214-E218)*E211</f>
        <v>660.99571096134764</v>
      </c>
      <c r="F222" s="3074">
        <f>SUM(C214-F218)*F211</f>
        <v>657.13023896742163</v>
      </c>
      <c r="G222" s="3074">
        <f>SUM(C214-G218)*G211</f>
        <v>657.13023896742163</v>
      </c>
      <c r="H222" s="3072">
        <f t="shared" si="411"/>
        <v>1975.2561888961909</v>
      </c>
      <c r="I222" s="3074">
        <f>SUM(C214-I218)*I211</f>
        <v>653.2647669734954</v>
      </c>
      <c r="J222" s="3074">
        <f>SUM(C214-J218)*J211</f>
        <v>618.47551902816144</v>
      </c>
      <c r="K222" s="3074">
        <f>SUM(C214-K218)*K211</f>
        <v>618.47551902816144</v>
      </c>
      <c r="L222" s="3072">
        <f t="shared" si="413"/>
        <v>1890.2158050298183</v>
      </c>
      <c r="M222" s="3072">
        <f t="shared" si="414"/>
        <v>3865.4719939260094</v>
      </c>
      <c r="N222" s="3074">
        <f>SUM(C214-N218)*N211</f>
        <v>618.47551902816144</v>
      </c>
      <c r="O222" s="3074">
        <f>SUM(C214-O218)*O211</f>
        <v>618.47551902816144</v>
      </c>
      <c r="P222" s="3074">
        <f>SUM(C214-P218)*P211</f>
        <v>653.2647669734954</v>
      </c>
      <c r="Q222" s="3072">
        <f t="shared" si="417"/>
        <v>1890.2158050298183</v>
      </c>
      <c r="R222" s="3072">
        <f t="shared" si="418"/>
        <v>5755.6877989558279</v>
      </c>
      <c r="S222" s="3074">
        <f>SUM(C214-S218)*S211</f>
        <v>657.13023896742163</v>
      </c>
      <c r="T222" s="3074">
        <f>SUM(C214-T218)*T211</f>
        <v>657.13023896742163</v>
      </c>
      <c r="U222" s="3074">
        <f>SUM(C214-U218)*U211</f>
        <v>660.99571096134764</v>
      </c>
      <c r="V222" s="3072">
        <f t="shared" si="421"/>
        <v>1975.2561888961909</v>
      </c>
      <c r="W222" s="3087">
        <f t="shared" si="422"/>
        <v>7730.9439878520179</v>
      </c>
    </row>
    <row r="223" spans="1:23">
      <c r="A223" s="657"/>
      <c r="B223" s="657"/>
      <c r="C223" s="657"/>
      <c r="D223" s="657"/>
      <c r="E223" s="657"/>
      <c r="F223" s="657"/>
      <c r="G223" s="657"/>
      <c r="H223" s="657"/>
      <c r="I223" s="657"/>
      <c r="J223" s="657"/>
      <c r="K223" s="657"/>
      <c r="L223" s="657"/>
      <c r="M223" s="657"/>
      <c r="N223" s="657"/>
      <c r="O223" s="657"/>
      <c r="P223" s="657"/>
      <c r="Q223" s="657"/>
      <c r="R223" s="657"/>
      <c r="S223" s="657"/>
      <c r="T223" s="657"/>
      <c r="U223" s="657"/>
      <c r="V223" s="657"/>
    </row>
    <row r="224" spans="1:23">
      <c r="A224" s="657"/>
      <c r="B224" s="657"/>
      <c r="C224" s="657"/>
      <c r="D224" s="657"/>
      <c r="E224" s="657"/>
      <c r="F224" s="657"/>
      <c r="G224" s="657"/>
      <c r="H224" s="657"/>
      <c r="I224" s="657"/>
      <c r="J224" s="657"/>
      <c r="K224" s="657"/>
      <c r="L224" s="657"/>
      <c r="M224" s="657"/>
      <c r="N224" s="657"/>
      <c r="O224" s="657"/>
      <c r="P224" s="657"/>
      <c r="Q224" s="657"/>
      <c r="R224" s="657"/>
      <c r="S224" s="657"/>
      <c r="T224" s="657"/>
      <c r="U224" s="657"/>
      <c r="V224" s="657"/>
    </row>
    <row r="225" spans="1:22" ht="18.75">
      <c r="A225" s="430" t="s">
        <v>1743</v>
      </c>
      <c r="B225" s="430"/>
      <c r="C225" s="430" t="s">
        <v>1744</v>
      </c>
      <c r="D225" s="657"/>
      <c r="E225" s="657"/>
      <c r="F225" s="657"/>
      <c r="G225" s="657"/>
      <c r="H225" s="657"/>
      <c r="I225" s="657"/>
      <c r="J225" s="657"/>
      <c r="K225" s="657"/>
      <c r="L225" s="657"/>
      <c r="M225" s="657"/>
      <c r="N225" s="657"/>
      <c r="O225" s="657"/>
      <c r="P225" s="657"/>
      <c r="Q225" s="657"/>
      <c r="R225" s="657"/>
      <c r="S225" s="657"/>
      <c r="T225" s="657"/>
      <c r="U225" s="657"/>
      <c r="V225" s="657"/>
    </row>
    <row r="226" spans="1:22">
      <c r="A226" s="657"/>
      <c r="B226" s="657"/>
      <c r="C226" s="657"/>
      <c r="D226" s="657"/>
      <c r="E226" s="657"/>
      <c r="F226" s="657"/>
      <c r="G226" s="657"/>
      <c r="H226" s="657"/>
      <c r="I226" s="657"/>
      <c r="J226" s="657"/>
      <c r="K226" s="657"/>
      <c r="L226" s="657"/>
      <c r="M226" s="657"/>
      <c r="N226" s="657"/>
      <c r="O226" s="657"/>
      <c r="P226" s="657"/>
      <c r="Q226" s="657"/>
      <c r="R226" s="657"/>
      <c r="S226" s="657"/>
      <c r="T226" s="657"/>
      <c r="U226" s="657"/>
      <c r="V226" s="657"/>
    </row>
    <row r="227" spans="1:22">
      <c r="A227" s="657"/>
      <c r="B227" s="657"/>
      <c r="C227" s="657"/>
      <c r="D227" s="657"/>
      <c r="E227" s="657"/>
      <c r="F227" s="657"/>
      <c r="G227" s="657"/>
      <c r="H227" s="657"/>
      <c r="I227" s="657"/>
      <c r="J227" s="657"/>
      <c r="K227" s="657"/>
      <c r="L227" s="657"/>
      <c r="M227" s="657"/>
      <c r="N227" s="657"/>
      <c r="O227" s="657"/>
      <c r="P227" s="657"/>
      <c r="Q227" s="657"/>
      <c r="R227" s="657"/>
      <c r="S227" s="657"/>
      <c r="T227" s="657"/>
      <c r="U227" s="657"/>
      <c r="V227" s="657"/>
    </row>
    <row r="228" spans="1:22">
      <c r="A228" s="657"/>
      <c r="B228" s="657"/>
      <c r="C228" s="657"/>
      <c r="D228" s="657"/>
      <c r="E228" s="657"/>
      <c r="F228" s="657"/>
      <c r="G228" s="657"/>
      <c r="H228" s="657"/>
      <c r="I228" s="657"/>
      <c r="J228" s="657"/>
      <c r="K228" s="657"/>
      <c r="L228" s="657"/>
      <c r="M228" s="657"/>
      <c r="N228" s="657"/>
      <c r="O228" s="657"/>
      <c r="P228" s="657"/>
      <c r="Q228" s="657"/>
      <c r="R228" s="657"/>
      <c r="S228" s="657"/>
      <c r="T228" s="657"/>
      <c r="U228" s="657"/>
      <c r="V228" s="657"/>
    </row>
    <row r="229" spans="1:22">
      <c r="A229" s="657"/>
      <c r="B229" s="657"/>
      <c r="C229" s="657"/>
      <c r="D229" s="657"/>
      <c r="E229" s="657"/>
      <c r="F229" s="657"/>
      <c r="G229" s="657"/>
      <c r="H229" s="657"/>
      <c r="I229" s="657"/>
      <c r="J229" s="657"/>
      <c r="K229" s="657"/>
      <c r="L229" s="657"/>
      <c r="M229" s="657"/>
      <c r="N229" s="657"/>
      <c r="O229" s="657"/>
      <c r="P229" s="657"/>
      <c r="Q229" s="657"/>
      <c r="R229" s="657"/>
      <c r="S229" s="657"/>
      <c r="T229" s="657"/>
      <c r="U229" s="657"/>
      <c r="V229" s="657"/>
    </row>
    <row r="230" spans="1:22">
      <c r="A230" s="657"/>
      <c r="B230" s="657"/>
      <c r="C230" s="657"/>
      <c r="D230" s="657"/>
      <c r="E230" s="657"/>
      <c r="F230" s="657"/>
      <c r="G230" s="657"/>
      <c r="H230" s="657"/>
      <c r="I230" s="657"/>
      <c r="J230" s="657"/>
      <c r="K230" s="657"/>
      <c r="L230" s="657"/>
      <c r="M230" s="657"/>
      <c r="N230" s="657"/>
      <c r="O230" s="657"/>
      <c r="P230" s="657"/>
      <c r="Q230" s="657"/>
      <c r="R230" s="657"/>
      <c r="S230" s="657"/>
      <c r="T230" s="657"/>
      <c r="U230" s="657"/>
      <c r="V230" s="657"/>
    </row>
    <row r="231" spans="1:22" ht="18">
      <c r="A231" s="4858" t="s">
        <v>2040</v>
      </c>
      <c r="B231" s="423"/>
      <c r="C231" s="423"/>
      <c r="D231" s="423"/>
      <c r="E231" s="423"/>
      <c r="F231" s="423"/>
      <c r="G231" s="423"/>
      <c r="H231" s="423"/>
      <c r="I231" s="423"/>
      <c r="J231" s="657"/>
      <c r="K231" s="657"/>
      <c r="L231" s="657"/>
      <c r="M231" s="657"/>
      <c r="N231" s="657"/>
      <c r="O231" s="657"/>
      <c r="P231" s="657"/>
      <c r="Q231" s="657"/>
      <c r="R231" s="657"/>
      <c r="S231" s="657"/>
      <c r="T231" s="657"/>
      <c r="U231" s="657"/>
      <c r="V231" s="657"/>
    </row>
    <row r="232" spans="1:22">
      <c r="A232" s="657"/>
      <c r="B232" s="657"/>
      <c r="C232" s="657"/>
      <c r="D232" s="657"/>
      <c r="E232" s="657"/>
      <c r="F232" s="657"/>
      <c r="G232" s="657"/>
      <c r="H232" s="657"/>
      <c r="I232" s="657"/>
      <c r="J232" s="657"/>
      <c r="K232" s="657"/>
      <c r="L232" s="657"/>
      <c r="M232" s="657"/>
      <c r="N232" s="657"/>
      <c r="O232" s="657"/>
      <c r="P232" s="657"/>
      <c r="Q232" s="657"/>
      <c r="R232" s="657"/>
      <c r="S232" s="657"/>
      <c r="T232" s="657"/>
      <c r="U232" s="657"/>
      <c r="V232" s="657"/>
    </row>
    <row r="233" spans="1:22">
      <c r="A233" s="657"/>
      <c r="B233" s="657"/>
      <c r="C233" s="657"/>
      <c r="D233" s="657"/>
      <c r="E233" s="657"/>
      <c r="F233" s="657"/>
      <c r="G233" s="657"/>
      <c r="H233" s="657"/>
      <c r="I233" s="657"/>
      <c r="J233" s="657"/>
      <c r="K233" s="657"/>
      <c r="L233" s="657"/>
      <c r="M233" s="657"/>
      <c r="N233" s="657"/>
      <c r="O233" s="657"/>
      <c r="P233" s="657"/>
      <c r="Q233" s="657"/>
      <c r="R233" s="657"/>
      <c r="S233" s="657"/>
      <c r="T233" s="657"/>
      <c r="U233" s="657"/>
      <c r="V233" s="657"/>
    </row>
    <row r="234" spans="1:22">
      <c r="A234" s="657"/>
      <c r="B234" s="657"/>
      <c r="C234" s="657"/>
      <c r="D234" s="657"/>
      <c r="E234" s="657"/>
      <c r="F234" s="657"/>
      <c r="G234" s="657"/>
      <c r="H234" s="657"/>
      <c r="I234" s="657"/>
      <c r="J234" s="657"/>
      <c r="K234" s="657"/>
      <c r="L234" s="657"/>
      <c r="M234" s="657"/>
      <c r="N234" s="657"/>
      <c r="O234" s="657"/>
      <c r="P234" s="657"/>
      <c r="Q234" s="657"/>
      <c r="R234" s="657"/>
      <c r="S234" s="657"/>
      <c r="T234" s="657"/>
      <c r="U234" s="657"/>
      <c r="V234" s="657"/>
    </row>
    <row r="235" spans="1:22">
      <c r="A235" s="657"/>
      <c r="B235" s="657"/>
      <c r="C235" s="657"/>
      <c r="D235" s="657"/>
      <c r="E235" s="657"/>
      <c r="F235" s="657"/>
      <c r="G235" s="657"/>
      <c r="H235" s="657"/>
      <c r="I235" s="657"/>
      <c r="J235" s="657"/>
      <c r="K235" s="657"/>
      <c r="L235" s="657"/>
      <c r="M235" s="657"/>
      <c r="N235" s="657"/>
      <c r="O235" s="657"/>
      <c r="P235" s="657"/>
      <c r="Q235" s="657"/>
      <c r="R235" s="657"/>
      <c r="S235" s="657"/>
      <c r="T235" s="657"/>
      <c r="U235" s="657"/>
      <c r="V235" s="657"/>
    </row>
  </sheetData>
  <mergeCells count="115">
    <mergeCell ref="T201:T202"/>
    <mergeCell ref="U201:U202"/>
    <mergeCell ref="V201:V202"/>
    <mergeCell ref="N201:N202"/>
    <mergeCell ref="O201:O202"/>
    <mergeCell ref="P201:P202"/>
    <mergeCell ref="Q201:Q202"/>
    <mergeCell ref="R201:R202"/>
    <mergeCell ref="S201:S202"/>
    <mergeCell ref="H201:H202"/>
    <mergeCell ref="I201:I202"/>
    <mergeCell ref="J201:J202"/>
    <mergeCell ref="K201:K202"/>
    <mergeCell ref="L201:L202"/>
    <mergeCell ref="M201:M202"/>
    <mergeCell ref="A201:A202"/>
    <mergeCell ref="B201:B202"/>
    <mergeCell ref="C201:D201"/>
    <mergeCell ref="E201:E202"/>
    <mergeCell ref="F201:F202"/>
    <mergeCell ref="G201:G202"/>
    <mergeCell ref="A200:V200"/>
    <mergeCell ref="M178:M179"/>
    <mergeCell ref="N178:N179"/>
    <mergeCell ref="O178:O179"/>
    <mergeCell ref="P178:P179"/>
    <mergeCell ref="Q178:Q179"/>
    <mergeCell ref="R178:R179"/>
    <mergeCell ref="G178:G179"/>
    <mergeCell ref="H178:H179"/>
    <mergeCell ref="I178:I179"/>
    <mergeCell ref="J178:J179"/>
    <mergeCell ref="K178:K179"/>
    <mergeCell ref="L178:L179"/>
    <mergeCell ref="W42:W43"/>
    <mergeCell ref="A177:V177"/>
    <mergeCell ref="A178:A179"/>
    <mergeCell ref="B178:B179"/>
    <mergeCell ref="C178:D178"/>
    <mergeCell ref="E178:E179"/>
    <mergeCell ref="F178:F179"/>
    <mergeCell ref="N42:N43"/>
    <mergeCell ref="O42:O43"/>
    <mergeCell ref="P42:P43"/>
    <mergeCell ref="Q42:Q43"/>
    <mergeCell ref="R42:R43"/>
    <mergeCell ref="S42:S43"/>
    <mergeCell ref="H42:H43"/>
    <mergeCell ref="I42:I43"/>
    <mergeCell ref="J42:J43"/>
    <mergeCell ref="K42:K43"/>
    <mergeCell ref="L42:L43"/>
    <mergeCell ref="M42:M43"/>
    <mergeCell ref="S178:S179"/>
    <mergeCell ref="T178:T179"/>
    <mergeCell ref="U178:U179"/>
    <mergeCell ref="V178:V179"/>
    <mergeCell ref="W178:W179"/>
    <mergeCell ref="A41:V41"/>
    <mergeCell ref="A42:A43"/>
    <mergeCell ref="B42:B43"/>
    <mergeCell ref="C42:D42"/>
    <mergeCell ref="E42:E43"/>
    <mergeCell ref="F42:F43"/>
    <mergeCell ref="G42:G43"/>
    <mergeCell ref="O25:O26"/>
    <mergeCell ref="P25:P26"/>
    <mergeCell ref="Q25:Q26"/>
    <mergeCell ref="R25:R26"/>
    <mergeCell ref="S25:S26"/>
    <mergeCell ref="T25:T26"/>
    <mergeCell ref="I25:I26"/>
    <mergeCell ref="J25:J26"/>
    <mergeCell ref="K25:K26"/>
    <mergeCell ref="L25:L26"/>
    <mergeCell ref="M25:M26"/>
    <mergeCell ref="N25:N26"/>
    <mergeCell ref="T42:T43"/>
    <mergeCell ref="U42:U43"/>
    <mergeCell ref="V42:V43"/>
    <mergeCell ref="W9:W10"/>
    <mergeCell ref="A24:V24"/>
    <mergeCell ref="A25:A26"/>
    <mergeCell ref="B25:B26"/>
    <mergeCell ref="C25:D25"/>
    <mergeCell ref="E25:E26"/>
    <mergeCell ref="F25:F26"/>
    <mergeCell ref="G25:G26"/>
    <mergeCell ref="H25:H26"/>
    <mergeCell ref="P9:P10"/>
    <mergeCell ref="Q9:Q10"/>
    <mergeCell ref="R9:R10"/>
    <mergeCell ref="S9:S10"/>
    <mergeCell ref="T9:T10"/>
    <mergeCell ref="U9:U10"/>
    <mergeCell ref="J9:J10"/>
    <mergeCell ref="K9:K10"/>
    <mergeCell ref="L9:L10"/>
    <mergeCell ref="M9:M10"/>
    <mergeCell ref="N9:N10"/>
    <mergeCell ref="O9:O10"/>
    <mergeCell ref="U25:U26"/>
    <mergeCell ref="V25:V26"/>
    <mergeCell ref="W25:W26"/>
    <mergeCell ref="A6:V6"/>
    <mergeCell ref="A8:V8"/>
    <mergeCell ref="A9:A10"/>
    <mergeCell ref="B9:B10"/>
    <mergeCell ref="C9:D9"/>
    <mergeCell ref="E9:E10"/>
    <mergeCell ref="F9:F10"/>
    <mergeCell ref="G9:G10"/>
    <mergeCell ref="H9:H10"/>
    <mergeCell ref="I9:I10"/>
    <mergeCell ref="V9:V10"/>
  </mergeCells>
  <printOptions horizontalCentered="1"/>
  <pageMargins left="0.35433070866141736" right="0.35433070866141736" top="0.35433070866141736" bottom="0.35433070866141736" header="0" footer="0"/>
  <pageSetup paperSize="9" scale="43" fitToHeight="0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1"/>
    <pageSetUpPr fitToPage="1"/>
  </sheetPr>
  <dimension ref="A1:AZ140"/>
  <sheetViews>
    <sheetView topLeftCell="A6" zoomScale="60" zoomScaleNormal="60" zoomScalePageLayoutView="90" workbookViewId="0">
      <selection activeCell="K150" sqref="K150"/>
    </sheetView>
  </sheetViews>
  <sheetFormatPr defaultRowHeight="12.75"/>
  <cols>
    <col min="1" max="1" width="54.5703125" customWidth="1"/>
    <col min="2" max="4" width="14.7109375" customWidth="1"/>
    <col min="5" max="7" width="12.7109375" customWidth="1"/>
    <col min="8" max="8" width="13.7109375" customWidth="1"/>
    <col min="9" max="11" width="12.7109375" customWidth="1"/>
    <col min="12" max="13" width="13.7109375" customWidth="1"/>
    <col min="14" max="16" width="12.7109375" customWidth="1"/>
    <col min="17" max="18" width="13.7109375" customWidth="1"/>
    <col min="19" max="21" width="12.7109375" customWidth="1"/>
    <col min="22" max="22" width="13.7109375" customWidth="1"/>
    <col min="23" max="23" width="13.85546875" customWidth="1"/>
  </cols>
  <sheetData>
    <row r="1" spans="1:52" ht="23.25">
      <c r="R1" s="3051" t="s">
        <v>1705</v>
      </c>
      <c r="S1" s="3051"/>
    </row>
    <row r="2" spans="1:52" ht="23.25">
      <c r="R2" s="3051" t="s">
        <v>1759</v>
      </c>
      <c r="S2" s="3051"/>
    </row>
    <row r="3" spans="1:52" ht="31.5" customHeight="1">
      <c r="R3" s="3051" t="s">
        <v>1760</v>
      </c>
      <c r="S3" s="3051"/>
    </row>
    <row r="4" spans="1:52" ht="31.5" customHeight="1">
      <c r="R4" s="3051" t="s">
        <v>1761</v>
      </c>
      <c r="S4" s="3051"/>
    </row>
    <row r="5" spans="1:52" ht="23.25">
      <c r="R5" s="3051"/>
      <c r="S5" s="3051"/>
    </row>
    <row r="6" spans="1:52">
      <c r="E6" s="3055">
        <f>SUM(E18/B18)</f>
        <v>8.550000000000002E-2</v>
      </c>
      <c r="F6" s="3055">
        <f>SUM(F18/B18)</f>
        <v>8.5000000000000006E-2</v>
      </c>
      <c r="G6" s="3055">
        <f>SUM(G18/B18)</f>
        <v>8.5000000000000006E-2</v>
      </c>
      <c r="H6" s="3055">
        <f>SUM(H18/B18)</f>
        <v>0.25550000000000006</v>
      </c>
      <c r="I6" s="3055">
        <f>SUM(I18/B18)</f>
        <v>8.4500000000000006E-2</v>
      </c>
      <c r="J6" s="3055">
        <f>SUM(J18/B18)</f>
        <v>8.0000000000000016E-2</v>
      </c>
      <c r="K6" s="3055">
        <f>SUM(K18/B18)</f>
        <v>8.0000000000000016E-2</v>
      </c>
      <c r="L6" s="3055">
        <f>SUM(L18/B18)</f>
        <v>0.24450000000000002</v>
      </c>
      <c r="M6" s="3055">
        <f>SUM(M18/B18)</f>
        <v>0.50000000000000011</v>
      </c>
      <c r="N6" s="3055">
        <f>SUM(N18/B18)</f>
        <v>8.0000000000000016E-2</v>
      </c>
      <c r="O6" s="3055">
        <f>SUM(O18/B18)</f>
        <v>8.0000000000000016E-2</v>
      </c>
      <c r="P6" s="3055">
        <f>SUM(P18/B18)</f>
        <v>8.4500000000000006E-2</v>
      </c>
      <c r="Q6" s="3055">
        <f>SUM(Q18/B18)</f>
        <v>0.24450000000000002</v>
      </c>
      <c r="R6" s="3055">
        <f>SUM(R18/B18)</f>
        <v>0.74450000000000016</v>
      </c>
      <c r="S6" s="3055">
        <f>SUM(S18/B18)</f>
        <v>8.5000000000000006E-2</v>
      </c>
      <c r="T6" s="3055">
        <f>SUM(T18/B18)</f>
        <v>8.5000000000000006E-2</v>
      </c>
      <c r="U6" s="3055">
        <f>SUM(U18/B18)</f>
        <v>8.550000000000002E-2</v>
      </c>
      <c r="V6" s="3055">
        <f>SUM(V18/B18)</f>
        <v>0.25550000000000006</v>
      </c>
      <c r="W6" s="3055">
        <f>SUM(W18/B18)</f>
        <v>1.0000000000000002</v>
      </c>
    </row>
    <row r="7" spans="1:52" ht="23.25">
      <c r="A7" s="4977" t="s">
        <v>1961</v>
      </c>
      <c r="B7" s="4977"/>
      <c r="C7" s="4977"/>
      <c r="D7" s="4977"/>
      <c r="E7" s="4977"/>
      <c r="F7" s="4977"/>
      <c r="G7" s="4978"/>
      <c r="H7" s="4978"/>
      <c r="I7" s="4978"/>
      <c r="J7" s="4978"/>
      <c r="K7" s="4978"/>
      <c r="L7" s="4978"/>
      <c r="M7" s="4978"/>
      <c r="N7" s="4978"/>
      <c r="O7" s="4978"/>
      <c r="P7" s="4978"/>
      <c r="Q7" s="4978"/>
      <c r="R7" s="4978"/>
      <c r="S7" s="4978"/>
      <c r="T7" s="4978"/>
      <c r="U7" s="4978"/>
      <c r="V7" s="4978"/>
    </row>
    <row r="8" spans="1:52" collapsed="1"/>
    <row r="9" spans="1:52" ht="18.75">
      <c r="A9" s="4999" t="s">
        <v>1706</v>
      </c>
      <c r="B9" s="5008"/>
      <c r="C9" s="5008"/>
      <c r="D9" s="5008"/>
      <c r="E9" s="5008"/>
      <c r="F9" s="5008"/>
      <c r="G9" s="5008"/>
      <c r="H9" s="5008"/>
      <c r="I9" s="5008"/>
      <c r="J9" s="5008"/>
      <c r="K9" s="5008"/>
      <c r="L9" s="5008"/>
      <c r="M9" s="5008"/>
      <c r="N9" s="5008"/>
      <c r="O9" s="5008"/>
      <c r="P9" s="5008"/>
      <c r="Q9" s="5008"/>
      <c r="R9" s="5008"/>
      <c r="S9" s="5008"/>
      <c r="T9" s="5008"/>
      <c r="U9" s="5008"/>
      <c r="V9" s="5008"/>
      <c r="W9" s="3056"/>
    </row>
    <row r="10" spans="1:52" ht="18.75">
      <c r="A10" s="4989" t="s">
        <v>545</v>
      </c>
      <c r="B10" s="4982" t="s">
        <v>1960</v>
      </c>
      <c r="C10" s="4982" t="s">
        <v>575</v>
      </c>
      <c r="D10" s="4982"/>
      <c r="E10" s="4981" t="s">
        <v>586</v>
      </c>
      <c r="F10" s="4981" t="s">
        <v>587</v>
      </c>
      <c r="G10" s="4981" t="s">
        <v>588</v>
      </c>
      <c r="H10" s="4984" t="s">
        <v>600</v>
      </c>
      <c r="I10" s="4981" t="s">
        <v>589</v>
      </c>
      <c r="J10" s="4981" t="s">
        <v>590</v>
      </c>
      <c r="K10" s="4981" t="s">
        <v>591</v>
      </c>
      <c r="L10" s="4984" t="s">
        <v>599</v>
      </c>
      <c r="M10" s="4984" t="s">
        <v>598</v>
      </c>
      <c r="N10" s="4981" t="s">
        <v>592</v>
      </c>
      <c r="O10" s="4981" t="s">
        <v>593</v>
      </c>
      <c r="P10" s="4981" t="s">
        <v>594</v>
      </c>
      <c r="Q10" s="4984" t="s">
        <v>225</v>
      </c>
      <c r="R10" s="4984" t="s">
        <v>229</v>
      </c>
      <c r="S10" s="4981" t="s">
        <v>595</v>
      </c>
      <c r="T10" s="4981" t="s">
        <v>596</v>
      </c>
      <c r="U10" s="4981" t="s">
        <v>597</v>
      </c>
      <c r="V10" s="4984" t="s">
        <v>135</v>
      </c>
      <c r="W10" s="5009" t="s">
        <v>601</v>
      </c>
      <c r="X10" s="430"/>
      <c r="Y10" s="430"/>
      <c r="Z10" s="430"/>
      <c r="AA10" s="430"/>
      <c r="AB10" s="430"/>
      <c r="AC10" s="430"/>
      <c r="AD10" s="430"/>
      <c r="AE10" s="430"/>
      <c r="AF10" s="430"/>
      <c r="AG10" s="430"/>
      <c r="AH10" s="430"/>
      <c r="AI10" s="430"/>
      <c r="AJ10" s="430"/>
      <c r="AK10" s="430"/>
      <c r="AL10" s="430"/>
      <c r="AM10" s="430"/>
      <c r="AN10" s="430"/>
      <c r="AO10" s="430"/>
      <c r="AP10" s="430"/>
      <c r="AQ10" s="430"/>
      <c r="AR10" s="430"/>
      <c r="AS10" s="430"/>
      <c r="AT10" s="430"/>
      <c r="AU10" s="430"/>
      <c r="AV10" s="430"/>
      <c r="AW10" s="430"/>
      <c r="AX10" s="430"/>
      <c r="AY10" s="430"/>
      <c r="AZ10" s="430"/>
    </row>
    <row r="11" spans="1:52" ht="37.5">
      <c r="A11" s="4990"/>
      <c r="B11" s="4982"/>
      <c r="C11" s="3057" t="s">
        <v>1553</v>
      </c>
      <c r="D11" s="3057" t="s">
        <v>1554</v>
      </c>
      <c r="E11" s="4981"/>
      <c r="F11" s="4981"/>
      <c r="G11" s="4981"/>
      <c r="H11" s="4984"/>
      <c r="I11" s="4981"/>
      <c r="J11" s="4981"/>
      <c r="K11" s="4981"/>
      <c r="L11" s="4984"/>
      <c r="M11" s="4984"/>
      <c r="N11" s="4981"/>
      <c r="O11" s="4981"/>
      <c r="P11" s="4981"/>
      <c r="Q11" s="4984"/>
      <c r="R11" s="4984"/>
      <c r="S11" s="4981"/>
      <c r="T11" s="4981"/>
      <c r="U11" s="4981"/>
      <c r="V11" s="4984"/>
      <c r="W11" s="5009"/>
      <c r="X11" s="430"/>
      <c r="Y11" s="430"/>
      <c r="Z11" s="430"/>
      <c r="AA11" s="430"/>
      <c r="AB11" s="430"/>
      <c r="AC11" s="430"/>
      <c r="AD11" s="430"/>
      <c r="AE11" s="430"/>
      <c r="AF11" s="430"/>
      <c r="AG11" s="430"/>
      <c r="AH11" s="430"/>
      <c r="AI11" s="430"/>
      <c r="AJ11" s="430"/>
      <c r="AK11" s="430"/>
      <c r="AL11" s="430"/>
      <c r="AM11" s="430"/>
      <c r="AN11" s="430"/>
      <c r="AO11" s="430"/>
      <c r="AP11" s="430"/>
      <c r="AQ11" s="430"/>
      <c r="AR11" s="430"/>
      <c r="AS11" s="430"/>
      <c r="AT11" s="430"/>
      <c r="AU11" s="430"/>
      <c r="AV11" s="430"/>
      <c r="AW11" s="430"/>
      <c r="AX11" s="430"/>
      <c r="AY11" s="430"/>
      <c r="AZ11" s="430"/>
    </row>
    <row r="12" spans="1:52" ht="18.75">
      <c r="A12" s="3058" t="s">
        <v>1707</v>
      </c>
      <c r="B12" s="3060">
        <f>SUM('Произв. прогр. Вода'!B11)</f>
        <v>5326.2809999999999</v>
      </c>
      <c r="C12" s="3060">
        <f>SUM('Произв. прогр. Вода'!C11)</f>
        <v>5304.8609999999999</v>
      </c>
      <c r="D12" s="3060">
        <f>SUM('Произв. прогр. Вода'!D11)</f>
        <v>21.42</v>
      </c>
      <c r="E12" s="3073">
        <f>SUM('Произв. прогр. Вода'!E11)</f>
        <v>455.3970255000001</v>
      </c>
      <c r="F12" s="3073">
        <f>SUM('Произв. прогр. Вода'!F11)</f>
        <v>452.73388500000004</v>
      </c>
      <c r="G12" s="3073">
        <f>SUM('Произв. прогр. Вода'!G11)</f>
        <v>452.73388500000004</v>
      </c>
      <c r="H12" s="3060">
        <f>SUM('Произв. прогр. Вода'!H11)</f>
        <v>1360.8647955000001</v>
      </c>
      <c r="I12" s="3073">
        <f>SUM('Произв. прогр. Вода'!I11)</f>
        <v>450.07074450000005</v>
      </c>
      <c r="J12" s="3073">
        <f>SUM('Произв. прогр. Вода'!J11)</f>
        <v>426.10248000000007</v>
      </c>
      <c r="K12" s="3073">
        <f>SUM('Произв. прогр. Вода'!K11)</f>
        <v>426.10248000000007</v>
      </c>
      <c r="L12" s="3060">
        <f>SUM('Произв. прогр. Вода'!L11)</f>
        <v>1302.2757045000001</v>
      </c>
      <c r="M12" s="3060">
        <f>SUM('Произв. прогр. Вода'!M11)</f>
        <v>2663.1405000000004</v>
      </c>
      <c r="N12" s="3073">
        <f>SUM('Произв. прогр. Вода'!N11)</f>
        <v>426.10248000000007</v>
      </c>
      <c r="O12" s="3073">
        <f>SUM('Произв. прогр. Вода'!O11)</f>
        <v>426.10248000000007</v>
      </c>
      <c r="P12" s="3073">
        <f>SUM('Произв. прогр. Вода'!P11)</f>
        <v>450.07074450000005</v>
      </c>
      <c r="Q12" s="3060">
        <f>SUM('Произв. прогр. Вода'!Q11)</f>
        <v>1302.2757045000003</v>
      </c>
      <c r="R12" s="3060">
        <f>SUM('Произв. прогр. Вода'!R11)</f>
        <v>3965.4162045000007</v>
      </c>
      <c r="S12" s="3073">
        <f>SUM('Произв. прогр. Вода'!S11)</f>
        <v>452.73388500000004</v>
      </c>
      <c r="T12" s="3073">
        <f>SUM('Произв. прогр. Вода'!T11)</f>
        <v>452.73388500000004</v>
      </c>
      <c r="U12" s="3073">
        <f>SUM('Произв. прогр. Вода'!U11)</f>
        <v>455.3970255000001</v>
      </c>
      <c r="V12" s="3060">
        <f>SUM('Произв. прогр. Вода'!V11)</f>
        <v>1360.8647955000001</v>
      </c>
      <c r="W12" s="3061">
        <f t="shared" ref="W12:W16" si="0">SUM(E12+F12+G12+I12+J12+K12+N12+O12+P12+S12+T12+U12)</f>
        <v>5326.2809999999999</v>
      </c>
      <c r="X12" s="430"/>
      <c r="Y12" s="430"/>
      <c r="Z12" s="430"/>
      <c r="AA12" s="430"/>
      <c r="AB12" s="430"/>
      <c r="AC12" s="430"/>
      <c r="AD12" s="430"/>
      <c r="AE12" s="430"/>
      <c r="AF12" s="430"/>
      <c r="AG12" s="430"/>
      <c r="AH12" s="430"/>
      <c r="AI12" s="430"/>
      <c r="AJ12" s="430"/>
      <c r="AK12" s="430"/>
      <c r="AL12" s="430"/>
      <c r="AM12" s="430"/>
      <c r="AN12" s="430"/>
      <c r="AO12" s="430"/>
      <c r="AP12" s="430"/>
      <c r="AQ12" s="430"/>
      <c r="AR12" s="430"/>
      <c r="AS12" s="430"/>
      <c r="AT12" s="430"/>
      <c r="AU12" s="430"/>
      <c r="AV12" s="430"/>
      <c r="AW12" s="430"/>
      <c r="AX12" s="430"/>
      <c r="AY12" s="430"/>
      <c r="AZ12" s="430"/>
    </row>
    <row r="13" spans="1:52" ht="18.75">
      <c r="A13" s="3062" t="s">
        <v>20</v>
      </c>
      <c r="B13" s="3063">
        <f>SUM('Произв. прогр. Вода'!B12)</f>
        <v>816.41800000000001</v>
      </c>
      <c r="C13" s="3063">
        <f>SUM('Произв. прогр. Вода'!C12)</f>
        <v>816.41800000000001</v>
      </c>
      <c r="D13" s="3063">
        <f>SUM('Произв. прогр. Вода'!D12)</f>
        <v>0</v>
      </c>
      <c r="E13" s="3092">
        <f>SUM('Произв. прогр. Вода'!E12)</f>
        <v>68.034833333333339</v>
      </c>
      <c r="F13" s="3092">
        <f>SUM('Произв. прогр. Вода'!F12)</f>
        <v>68.034833333333339</v>
      </c>
      <c r="G13" s="3092">
        <f>SUM('Произв. прогр. Вода'!G12)</f>
        <v>68.034833333333339</v>
      </c>
      <c r="H13" s="3063">
        <f>SUM('Произв. прогр. Вода'!H12)</f>
        <v>204.10450000000003</v>
      </c>
      <c r="I13" s="3092">
        <f>SUM('Произв. прогр. Вода'!I12)</f>
        <v>68.034833333333339</v>
      </c>
      <c r="J13" s="3092">
        <f>SUM('Произв. прогр. Вода'!J12)</f>
        <v>68.034833333333339</v>
      </c>
      <c r="K13" s="3092">
        <f>SUM('Произв. прогр. Вода'!K12)</f>
        <v>68.034833333333339</v>
      </c>
      <c r="L13" s="3063">
        <f>SUM('Произв. прогр. Вода'!L12)</f>
        <v>204.10450000000003</v>
      </c>
      <c r="M13" s="3063">
        <f>SUM('Произв. прогр. Вода'!M12)</f>
        <v>408.20900000000006</v>
      </c>
      <c r="N13" s="3092">
        <f>SUM('Произв. прогр. Вода'!N12)</f>
        <v>68.034833333333339</v>
      </c>
      <c r="O13" s="3092">
        <f>SUM('Произв. прогр. Вода'!O12)</f>
        <v>68.034833333333339</v>
      </c>
      <c r="P13" s="3092">
        <f>SUM('Произв. прогр. Вода'!P12)</f>
        <v>68.034833333333339</v>
      </c>
      <c r="Q13" s="3063">
        <f>SUM('Произв. прогр. Вода'!Q12)</f>
        <v>204.10450000000003</v>
      </c>
      <c r="R13" s="3063">
        <f>SUM('Произв. прогр. Вода'!R12)</f>
        <v>612.31350000000009</v>
      </c>
      <c r="S13" s="3092">
        <f>SUM('Произв. прогр. Вода'!S12)</f>
        <v>68.034833333333339</v>
      </c>
      <c r="T13" s="3092">
        <f>SUM('Произв. прогр. Вода'!T12)</f>
        <v>68.034833333333339</v>
      </c>
      <c r="U13" s="3092">
        <f>SUM('Произв. прогр. Вода'!U12)</f>
        <v>68.034833333333339</v>
      </c>
      <c r="V13" s="3063">
        <f>SUM('Произв. прогр. Вода'!V12)</f>
        <v>204.10450000000003</v>
      </c>
      <c r="W13" s="3065">
        <f t="shared" si="0"/>
        <v>816.41800000000023</v>
      </c>
      <c r="X13" s="430"/>
      <c r="Y13" s="430"/>
      <c r="Z13" s="430"/>
      <c r="AA13" s="430"/>
      <c r="AB13" s="430"/>
      <c r="AC13" s="430"/>
      <c r="AD13" s="430"/>
      <c r="AE13" s="430"/>
      <c r="AF13" s="430"/>
      <c r="AG13" s="430"/>
      <c r="AH13" s="430"/>
      <c r="AI13" s="430"/>
      <c r="AJ13" s="430"/>
      <c r="AK13" s="430"/>
      <c r="AL13" s="430"/>
      <c r="AM13" s="430"/>
      <c r="AN13" s="430"/>
      <c r="AO13" s="430"/>
      <c r="AP13" s="430"/>
      <c r="AQ13" s="430"/>
      <c r="AR13" s="430"/>
      <c r="AS13" s="430"/>
      <c r="AT13" s="430"/>
      <c r="AU13" s="430"/>
      <c r="AV13" s="430"/>
      <c r="AW13" s="430"/>
      <c r="AX13" s="430"/>
      <c r="AY13" s="430"/>
      <c r="AZ13" s="430"/>
    </row>
    <row r="14" spans="1:52" ht="18.75">
      <c r="A14" s="3066" t="s">
        <v>388</v>
      </c>
      <c r="B14" s="3067">
        <f>SUM('Произв. прогр. Вода'!B13)</f>
        <v>0.1532810604622625</v>
      </c>
      <c r="C14" s="3067">
        <f>SUM('Произв. прогр. Вода'!C13)</f>
        <v>0.15389997966016453</v>
      </c>
      <c r="D14" s="3067">
        <f>SUM('Произв. прогр. Вода'!D13)</f>
        <v>0</v>
      </c>
      <c r="E14" s="3094">
        <f>SUM('Произв. прогр. Вода'!E13)</f>
        <v>0.14939674508992445</v>
      </c>
      <c r="F14" s="3094">
        <f>SUM('Произв. прогр. Вода'!F13)</f>
        <v>0.15027554947280639</v>
      </c>
      <c r="G14" s="3094">
        <f>SUM('Произв. прогр. Вода'!G13)</f>
        <v>0.15027554947280639</v>
      </c>
      <c r="H14" s="3067">
        <f>SUM('Произв. прогр. Вода'!H13)</f>
        <v>0.14998146816268348</v>
      </c>
      <c r="I14" s="3094">
        <f>SUM('Произв. прогр. Вода'!I13)</f>
        <v>0.15116475390755671</v>
      </c>
      <c r="J14" s="3094">
        <f>SUM('Произв. прогр. Вода'!J13)</f>
        <v>0.15966777131485677</v>
      </c>
      <c r="K14" s="3094">
        <f>SUM('Произв. прогр. Вода'!K13)</f>
        <v>0.15966777131485677</v>
      </c>
      <c r="L14" s="3067">
        <f>SUM('Произв. прогр. Вода'!L13)</f>
        <v>0.15672910067716003</v>
      </c>
      <c r="M14" s="3067">
        <f>SUM('Произв. прогр. Вода'!M13)</f>
        <v>0.1532810604622625</v>
      </c>
      <c r="N14" s="3094">
        <f>SUM('Произв. прогр. Вода'!N13)</f>
        <v>0.15966777131485677</v>
      </c>
      <c r="O14" s="3094">
        <f>SUM('Произв. прогр. Вода'!O13)</f>
        <v>0.15966777131485677</v>
      </c>
      <c r="P14" s="3094">
        <f>SUM('Произв. прогр. Вода'!P13)</f>
        <v>0.15116475390755671</v>
      </c>
      <c r="Q14" s="3067">
        <f>SUM('Произв. прогр. Вода'!Q13)</f>
        <v>0.15672910067716</v>
      </c>
      <c r="R14" s="3067">
        <f>SUM('Произв. прогр. Вода'!R13)</f>
        <v>0.154413425583206</v>
      </c>
      <c r="S14" s="3094">
        <f>SUM('Произв. прогр. Вода'!S13)</f>
        <v>0.15027554947280639</v>
      </c>
      <c r="T14" s="3094">
        <f>SUM('Произв. прогр. Вода'!T13)</f>
        <v>0.15027554947280639</v>
      </c>
      <c r="U14" s="3094">
        <f>SUM('Произв. прогр. Вода'!U13)</f>
        <v>0.14939674508992445</v>
      </c>
      <c r="V14" s="3067">
        <f>SUM('Произв. прогр. Вода'!V13)</f>
        <v>0.14998146816268348</v>
      </c>
      <c r="W14" s="3132">
        <f t="shared" ref="W14" si="1">SUM(W13/W12)</f>
        <v>0.15328106046226256</v>
      </c>
      <c r="X14" s="430"/>
      <c r="Y14" s="430"/>
      <c r="Z14" s="430"/>
      <c r="AA14" s="430"/>
      <c r="AB14" s="430"/>
      <c r="AC14" s="430"/>
      <c r="AD14" s="430"/>
      <c r="AE14" s="430"/>
      <c r="AF14" s="430"/>
      <c r="AG14" s="430"/>
      <c r="AH14" s="430"/>
      <c r="AI14" s="430"/>
      <c r="AJ14" s="430"/>
      <c r="AK14" s="430"/>
      <c r="AL14" s="430"/>
      <c r="AM14" s="430"/>
      <c r="AN14" s="430"/>
      <c r="AO14" s="430"/>
      <c r="AP14" s="430"/>
      <c r="AQ14" s="430"/>
      <c r="AR14" s="430"/>
      <c r="AS14" s="430"/>
      <c r="AT14" s="430"/>
      <c r="AU14" s="430"/>
      <c r="AV14" s="430"/>
      <c r="AW14" s="430"/>
      <c r="AX14" s="430"/>
      <c r="AY14" s="430"/>
      <c r="AZ14" s="430"/>
    </row>
    <row r="15" spans="1:52" ht="18.75">
      <c r="A15" s="3058" t="s">
        <v>1708</v>
      </c>
      <c r="B15" s="3060">
        <f>SUM('Произв. прогр. Вода'!B14)</f>
        <v>4509.8630000000003</v>
      </c>
      <c r="C15" s="3060">
        <f>SUM('Произв. прогр. Вода'!C14)</f>
        <v>4488.4430000000002</v>
      </c>
      <c r="D15" s="3060">
        <f>SUM('Произв. прогр. Вода'!D14)</f>
        <v>21.42</v>
      </c>
      <c r="E15" s="3073">
        <f>SUM('Произв. прогр. Вода'!E14)</f>
        <v>387.36219216666677</v>
      </c>
      <c r="F15" s="3073">
        <f>SUM('Произв. прогр. Вода'!F14)</f>
        <v>384.69905166666672</v>
      </c>
      <c r="G15" s="3073">
        <f>SUM('Произв. прогр. Вода'!G14)</f>
        <v>384.69905166666672</v>
      </c>
      <c r="H15" s="3060">
        <f>SUM('Произв. прогр. Вода'!H14)</f>
        <v>1156.7602955000002</v>
      </c>
      <c r="I15" s="3073">
        <f>SUM('Произв. прогр. Вода'!I14)</f>
        <v>382.03591116666672</v>
      </c>
      <c r="J15" s="3073">
        <f>SUM('Произв. прогр. Вода'!J14)</f>
        <v>358.06764666666675</v>
      </c>
      <c r="K15" s="3073">
        <f>SUM('Произв. прогр. Вода'!K14)</f>
        <v>358.06764666666675</v>
      </c>
      <c r="L15" s="3060">
        <f>SUM('Произв. прогр. Вода'!L14)</f>
        <v>1098.1712045000004</v>
      </c>
      <c r="M15" s="3060">
        <f>SUM('Произв. прогр. Вода'!M14)</f>
        <v>2254.9315000000006</v>
      </c>
      <c r="N15" s="3073">
        <f>SUM('Произв. прогр. Вода'!N14)</f>
        <v>358.06764666666675</v>
      </c>
      <c r="O15" s="3073">
        <f>SUM('Произв. прогр. Вода'!O14)</f>
        <v>358.06764666666675</v>
      </c>
      <c r="P15" s="3073">
        <f>SUM('Произв. прогр. Вода'!P14)</f>
        <v>382.03591116666672</v>
      </c>
      <c r="Q15" s="3060">
        <f>SUM('Произв. прогр. Вода'!Q14)</f>
        <v>1098.1712045000002</v>
      </c>
      <c r="R15" s="3060">
        <f>SUM('Произв. прогр. Вода'!R14)</f>
        <v>3353.102704500001</v>
      </c>
      <c r="S15" s="3073">
        <f>SUM('Произв. прогр. Вода'!S14)</f>
        <v>384.69905166666672</v>
      </c>
      <c r="T15" s="3073">
        <f>SUM('Произв. прогр. Вода'!T14)</f>
        <v>384.69905166666672</v>
      </c>
      <c r="U15" s="3073">
        <f>SUM('Произв. прогр. Вода'!U14)</f>
        <v>387.36219216666677</v>
      </c>
      <c r="V15" s="3060">
        <f>SUM('Произв. прогр. Вода'!V14)</f>
        <v>1156.7602955000002</v>
      </c>
      <c r="W15" s="3061">
        <f t="shared" si="0"/>
        <v>4509.8630000000012</v>
      </c>
      <c r="X15" s="430"/>
      <c r="Y15" s="430"/>
      <c r="Z15" s="430"/>
      <c r="AA15" s="430"/>
      <c r="AB15" s="430"/>
      <c r="AC15" s="430"/>
      <c r="AD15" s="430"/>
      <c r="AE15" s="430"/>
      <c r="AF15" s="430"/>
      <c r="AG15" s="430"/>
      <c r="AH15" s="430"/>
      <c r="AI15" s="430"/>
      <c r="AJ15" s="430"/>
      <c r="AK15" s="430"/>
      <c r="AL15" s="430"/>
      <c r="AM15" s="430"/>
      <c r="AN15" s="430"/>
      <c r="AO15" s="430"/>
      <c r="AP15" s="430"/>
      <c r="AQ15" s="430"/>
      <c r="AR15" s="430"/>
      <c r="AS15" s="430"/>
      <c r="AT15" s="430"/>
      <c r="AU15" s="430"/>
      <c r="AV15" s="430"/>
      <c r="AW15" s="430"/>
      <c r="AX15" s="430"/>
      <c r="AY15" s="430"/>
      <c r="AZ15" s="430"/>
    </row>
    <row r="16" spans="1:52" ht="18.75">
      <c r="A16" s="3062" t="s">
        <v>51</v>
      </c>
      <c r="B16" s="3063">
        <f>SUM('Произв. прогр. Вода'!B15)</f>
        <v>888.44300000000021</v>
      </c>
      <c r="C16" s="3063">
        <f>SUM('Произв. прогр. Вода'!C15)</f>
        <v>888.44300000000021</v>
      </c>
      <c r="D16" s="3063">
        <f>SUM('Произв. прогр. Вода'!D15)</f>
        <v>0</v>
      </c>
      <c r="E16" s="3092">
        <f>SUM('Произв. прогр. Вода'!E15)</f>
        <v>77.7307821666667</v>
      </c>
      <c r="F16" s="3092">
        <f>SUM('Произв. прогр. Вода'!F15)</f>
        <v>76.878351666666674</v>
      </c>
      <c r="G16" s="3092">
        <f>SUM('Произв. прогр. Вода'!G15)</f>
        <v>76.878351666666674</v>
      </c>
      <c r="H16" s="3063">
        <f>SUM('Произв. прогр. Вода'!H15)</f>
        <v>231.48748550000005</v>
      </c>
      <c r="I16" s="3092">
        <f>SUM('Произв. прогр. Вода'!I15)</f>
        <v>76.025921166666706</v>
      </c>
      <c r="J16" s="3092">
        <f>SUM('Произв. прогр. Вода'!J15)</f>
        <v>68.354046666666704</v>
      </c>
      <c r="K16" s="3092">
        <f>SUM('Произв. прогр. Вода'!K15)</f>
        <v>68.354046666666704</v>
      </c>
      <c r="L16" s="3063">
        <f>SUM('Произв. прогр. Вода'!L15)</f>
        <v>212.73401450000011</v>
      </c>
      <c r="M16" s="3063">
        <f>SUM('Произв. прогр. Вода'!M15)</f>
        <v>444.22150000000016</v>
      </c>
      <c r="N16" s="3092">
        <f>SUM('Произв. прогр. Вода'!N15)</f>
        <v>68.354046666666704</v>
      </c>
      <c r="O16" s="3092">
        <f>SUM('Произв. прогр. Вода'!O15)</f>
        <v>68.354046666666704</v>
      </c>
      <c r="P16" s="3092">
        <f>SUM('Произв. прогр. Вода'!P15)</f>
        <v>76.025921166666706</v>
      </c>
      <c r="Q16" s="3063">
        <f>SUM('Произв. прогр. Вода'!Q15)</f>
        <v>212.73401450000011</v>
      </c>
      <c r="R16" s="3063">
        <f>SUM('Произв. прогр. Вода'!R15)</f>
        <v>656.95551450000028</v>
      </c>
      <c r="S16" s="3092">
        <f>SUM('Произв. прогр. Вода'!S15)</f>
        <v>76.878351666666674</v>
      </c>
      <c r="T16" s="3092">
        <f>SUM('Произв. прогр. Вода'!T15)</f>
        <v>76.878351666666674</v>
      </c>
      <c r="U16" s="3092">
        <f>SUM('Произв. прогр. Вода'!U15)</f>
        <v>77.7307821666667</v>
      </c>
      <c r="V16" s="3063">
        <f>SUM('Произв. прогр. Вода'!V15)</f>
        <v>231.48748550000005</v>
      </c>
      <c r="W16" s="3065">
        <f t="shared" si="0"/>
        <v>888.44300000000055</v>
      </c>
      <c r="X16" s="430"/>
      <c r="Y16" s="430"/>
      <c r="Z16" s="430"/>
      <c r="AA16" s="430"/>
      <c r="AB16" s="430"/>
      <c r="AC16" s="430"/>
      <c r="AD16" s="430"/>
      <c r="AE16" s="430"/>
      <c r="AF16" s="430"/>
      <c r="AG16" s="430"/>
      <c r="AH16" s="430"/>
      <c r="AI16" s="430"/>
      <c r="AJ16" s="430"/>
      <c r="AK16" s="430"/>
      <c r="AL16" s="430"/>
      <c r="AM16" s="430"/>
      <c r="AN16" s="430"/>
      <c r="AO16" s="430"/>
      <c r="AP16" s="430"/>
      <c r="AQ16" s="430"/>
      <c r="AR16" s="430"/>
      <c r="AS16" s="430"/>
      <c r="AT16" s="430"/>
      <c r="AU16" s="430"/>
      <c r="AV16" s="430"/>
      <c r="AW16" s="430"/>
      <c r="AX16" s="430"/>
      <c r="AY16" s="430"/>
      <c r="AZ16" s="430"/>
    </row>
    <row r="17" spans="1:52" ht="18.75" customHeight="1">
      <c r="A17" s="3066" t="s">
        <v>117</v>
      </c>
      <c r="B17" s="3067">
        <f>SUM('Произв. прогр. Вода'!B16)</f>
        <v>0.19699999756090156</v>
      </c>
      <c r="C17" s="3067">
        <f>SUM('Произв. прогр. Вода'!C16)</f>
        <v>0.19794013202351018</v>
      </c>
      <c r="D17" s="3067">
        <f>SUM('Произв. прогр. Вода'!D16)</f>
        <v>0</v>
      </c>
      <c r="E17" s="3094">
        <f>SUM('Произв. прогр. Вода'!E16)</f>
        <v>0.20066693068801664</v>
      </c>
      <c r="F17" s="3094">
        <f>SUM('Произв. прогр. Вода'!F16)</f>
        <v>0.19984024221946894</v>
      </c>
      <c r="G17" s="3094">
        <f>SUM('Произв. прогр. Вода'!G16)</f>
        <v>0.19984024221946894</v>
      </c>
      <c r="H17" s="3067">
        <f>SUM('Произв. прогр. Вода'!H16)</f>
        <v>0.20011707386614741</v>
      </c>
      <c r="I17" s="3094">
        <f>SUM('Произв. прогр. Вода'!I16)</f>
        <v>0.19900202819807611</v>
      </c>
      <c r="J17" s="3094">
        <f>SUM('Произв. прогр. Вода'!J16)</f>
        <v>0.19089701988713609</v>
      </c>
      <c r="K17" s="3094">
        <f>SUM('Произв. прогр. Вода'!K16)</f>
        <v>0.19089701988713609</v>
      </c>
      <c r="L17" s="3067">
        <f>SUM('Произв. прогр. Вода'!L16)</f>
        <v>0.19371662053082001</v>
      </c>
      <c r="M17" s="3067">
        <f>SUM('Произв. прогр. Вода'!M16)</f>
        <v>0.19699999756090153</v>
      </c>
      <c r="N17" s="3094">
        <f>SUM('Произв. прогр. Вода'!N16)</f>
        <v>0.19089701988713609</v>
      </c>
      <c r="O17" s="3094">
        <f>SUM('Произв. прогр. Вода'!O16)</f>
        <v>0.19089701988713609</v>
      </c>
      <c r="P17" s="3094">
        <f>SUM('Произв. прогр. Вода'!P16)</f>
        <v>0.19900202819807611</v>
      </c>
      <c r="Q17" s="3067">
        <f>SUM('Произв. прогр. Вода'!Q16)</f>
        <v>0.19371662053082006</v>
      </c>
      <c r="R17" s="3067">
        <f>SUM('Произв. прогр. Вода'!R16)</f>
        <v>0.19592466214003498</v>
      </c>
      <c r="S17" s="3094">
        <f>SUM('Произв. прогр. Вода'!S16)</f>
        <v>0.19984024221946894</v>
      </c>
      <c r="T17" s="3094">
        <f>SUM('Произв. прогр. Вода'!T16)</f>
        <v>0.19984024221946894</v>
      </c>
      <c r="U17" s="3094">
        <f>SUM('Произв. прогр. Вода'!U16)</f>
        <v>0.20066693068801664</v>
      </c>
      <c r="V17" s="3067">
        <f>SUM('Произв. прогр. Вода'!V16)</f>
        <v>0.20011707386614741</v>
      </c>
      <c r="W17" s="3132">
        <f t="shared" ref="W17" si="2">SUM(W16/W15)</f>
        <v>0.19699999756090159</v>
      </c>
      <c r="X17" s="430"/>
      <c r="Y17" s="430"/>
      <c r="Z17" s="430"/>
      <c r="AA17" s="430"/>
      <c r="AB17" s="430"/>
      <c r="AC17" s="430"/>
      <c r="AD17" s="430"/>
      <c r="AE17" s="430"/>
      <c r="AF17" s="430"/>
      <c r="AG17" s="430"/>
      <c r="AH17" s="430"/>
      <c r="AI17" s="430"/>
      <c r="AJ17" s="430"/>
      <c r="AK17" s="430"/>
      <c r="AL17" s="430"/>
      <c r="AM17" s="430"/>
      <c r="AN17" s="430"/>
      <c r="AO17" s="430"/>
      <c r="AP17" s="430"/>
      <c r="AQ17" s="430"/>
      <c r="AR17" s="430"/>
      <c r="AS17" s="430"/>
      <c r="AT17" s="430"/>
      <c r="AU17" s="430"/>
      <c r="AV17" s="430"/>
      <c r="AW17" s="430"/>
      <c r="AX17" s="430"/>
      <c r="AY17" s="430"/>
      <c r="AZ17" s="430"/>
    </row>
    <row r="18" spans="1:52" ht="18.75">
      <c r="A18" s="3058" t="s">
        <v>1709</v>
      </c>
      <c r="B18" s="3060">
        <f>SUM('Произв. прогр. Вода'!B17)</f>
        <v>3621.42</v>
      </c>
      <c r="C18" s="3060">
        <f>SUM('Произв. прогр. Вода'!C17)</f>
        <v>3600</v>
      </c>
      <c r="D18" s="3060">
        <f>SUM('Произв. прогр. Вода'!D17)</f>
        <v>21.42</v>
      </c>
      <c r="E18" s="3073">
        <f>SUM('Произв. прогр. Вода'!E17)</f>
        <v>309.63141000000007</v>
      </c>
      <c r="F18" s="3073">
        <f>SUM('Произв. прогр. Вода'!F17)</f>
        <v>307.82070000000004</v>
      </c>
      <c r="G18" s="3073">
        <f>SUM('Произв. прогр. Вода'!G17)</f>
        <v>307.82070000000004</v>
      </c>
      <c r="H18" s="3060">
        <f>SUM('Произв. прогр. Вода'!H17)</f>
        <v>925.27281000000016</v>
      </c>
      <c r="I18" s="3073">
        <f>SUM('Произв. прогр. Вода'!I17)</f>
        <v>306.00999000000002</v>
      </c>
      <c r="J18" s="3073">
        <f>SUM('Произв. прогр. Вода'!J17)</f>
        <v>289.71360000000004</v>
      </c>
      <c r="K18" s="3073">
        <f>SUM('Произв. прогр. Вода'!K17)</f>
        <v>289.71360000000004</v>
      </c>
      <c r="L18" s="3060">
        <f>SUM('Произв. прогр. Вода'!L17)</f>
        <v>885.4371900000001</v>
      </c>
      <c r="M18" s="3060">
        <f>SUM('Произв. прогр. Вода'!M17)</f>
        <v>1810.7100000000003</v>
      </c>
      <c r="N18" s="3073">
        <f>SUM('Произв. прогр. Вода'!N17)</f>
        <v>289.71360000000004</v>
      </c>
      <c r="O18" s="3073">
        <f>SUM('Произв. прогр. Вода'!O17)</f>
        <v>289.71360000000004</v>
      </c>
      <c r="P18" s="3073">
        <f>SUM('Произв. прогр. Вода'!P17)</f>
        <v>306.00999000000002</v>
      </c>
      <c r="Q18" s="3060">
        <f>SUM('Произв. прогр. Вода'!Q17)</f>
        <v>885.4371900000001</v>
      </c>
      <c r="R18" s="3060">
        <f>SUM('Произв. прогр. Вода'!R17)</f>
        <v>2696.1471900000006</v>
      </c>
      <c r="S18" s="3073">
        <f>SUM('Произв. прогр. Вода'!S17)</f>
        <v>307.82070000000004</v>
      </c>
      <c r="T18" s="3073">
        <f>SUM('Произв. прогр. Вода'!T17)</f>
        <v>307.82070000000004</v>
      </c>
      <c r="U18" s="3073">
        <f>SUM('Произв. прогр. Вода'!U17)</f>
        <v>309.63141000000007</v>
      </c>
      <c r="V18" s="3060">
        <f>SUM('Произв. прогр. Вода'!V17)</f>
        <v>925.27281000000016</v>
      </c>
      <c r="W18" s="3061">
        <f t="shared" ref="W18:W24" si="3">SUM(E18+F18+G18+I18+J18+K18+N18+O18+P18+S18+T18+U18)</f>
        <v>3621.4200000000005</v>
      </c>
      <c r="X18" s="430"/>
      <c r="Y18" s="430"/>
      <c r="Z18" s="430"/>
      <c r="AA18" s="430"/>
      <c r="AB18" s="430"/>
      <c r="AC18" s="430"/>
      <c r="AD18" s="430"/>
      <c r="AE18" s="430"/>
      <c r="AF18" s="430"/>
      <c r="AG18" s="430"/>
      <c r="AH18" s="430"/>
      <c r="AI18" s="430"/>
      <c r="AJ18" s="430"/>
      <c r="AK18" s="430"/>
      <c r="AL18" s="430"/>
      <c r="AM18" s="430"/>
      <c r="AN18" s="430"/>
      <c r="AO18" s="430"/>
      <c r="AP18" s="430"/>
      <c r="AQ18" s="430"/>
      <c r="AR18" s="430"/>
      <c r="AS18" s="430"/>
      <c r="AT18" s="430"/>
      <c r="AU18" s="430"/>
      <c r="AV18" s="430"/>
      <c r="AW18" s="430"/>
      <c r="AX18" s="430"/>
      <c r="AY18" s="430"/>
      <c r="AZ18" s="430"/>
    </row>
    <row r="19" spans="1:52" ht="18.75">
      <c r="A19" s="3062" t="s">
        <v>24</v>
      </c>
      <c r="B19" s="3063">
        <f>SUM('Произв. прогр. Вода'!B18)</f>
        <v>2360</v>
      </c>
      <c r="C19" s="3063">
        <f>SUM('Произв. прогр. Вода'!C18)</f>
        <v>2360</v>
      </c>
      <c r="D19" s="3063">
        <f>SUM('Произв. прогр. Вода'!D18)</f>
        <v>0</v>
      </c>
      <c r="E19" s="3092">
        <f>SUM('Произв. прогр. Вода'!E18)</f>
        <v>201.78000000000003</v>
      </c>
      <c r="F19" s="3092">
        <f>SUM('Произв. прогр. Вода'!F18)</f>
        <v>200.60000000000002</v>
      </c>
      <c r="G19" s="3092">
        <f>SUM('Произв. прогр. Вода'!G18)</f>
        <v>200.60000000000002</v>
      </c>
      <c r="H19" s="3063">
        <f>SUM('Произв. прогр. Вода'!H18)</f>
        <v>602.98</v>
      </c>
      <c r="I19" s="3092">
        <f>SUM('Произв. прогр. Вода'!I18)</f>
        <v>199.42</v>
      </c>
      <c r="J19" s="3092">
        <f>SUM('Произв. прогр. Вода'!J18)</f>
        <v>188.8</v>
      </c>
      <c r="K19" s="3092">
        <f>SUM('Произв. прогр. Вода'!K18)</f>
        <v>188.8</v>
      </c>
      <c r="L19" s="3063">
        <f>SUM('Произв. прогр. Вода'!L18)</f>
        <v>577.02</v>
      </c>
      <c r="M19" s="3063">
        <f>SUM('Произв. прогр. Вода'!M18)</f>
        <v>1180</v>
      </c>
      <c r="N19" s="3092">
        <f>SUM('Произв. прогр. Вода'!N18)</f>
        <v>188.8</v>
      </c>
      <c r="O19" s="3092">
        <f>SUM('Произв. прогр. Вода'!O18)</f>
        <v>188.8</v>
      </c>
      <c r="P19" s="3092">
        <f>SUM('Произв. прогр. Вода'!P18)</f>
        <v>199.42</v>
      </c>
      <c r="Q19" s="3063">
        <f>SUM('Произв. прогр. Вода'!Q18)</f>
        <v>577.02</v>
      </c>
      <c r="R19" s="3063">
        <f>SUM('Произв. прогр. Вода'!R18)</f>
        <v>1757.02</v>
      </c>
      <c r="S19" s="3092">
        <f>SUM('Произв. прогр. Вода'!S18)</f>
        <v>200.60000000000002</v>
      </c>
      <c r="T19" s="3092">
        <f>SUM('Произв. прогр. Вода'!T18)</f>
        <v>200.60000000000002</v>
      </c>
      <c r="U19" s="3092">
        <f>SUM('Произв. прогр. Вода'!U18)</f>
        <v>201.78000000000003</v>
      </c>
      <c r="V19" s="3063">
        <f>SUM('Произв. прогр. Вода'!V18)</f>
        <v>602.98</v>
      </c>
      <c r="W19" s="3065">
        <f t="shared" si="3"/>
        <v>2360</v>
      </c>
      <c r="X19" s="430"/>
      <c r="Y19" s="430"/>
      <c r="Z19" s="430"/>
      <c r="AA19" s="430"/>
      <c r="AB19" s="430"/>
      <c r="AC19" s="430"/>
      <c r="AD19" s="430"/>
      <c r="AE19" s="430"/>
      <c r="AF19" s="430"/>
      <c r="AG19" s="430"/>
      <c r="AH19" s="430"/>
      <c r="AI19" s="430"/>
      <c r="AJ19" s="430"/>
      <c r="AK19" s="430"/>
      <c r="AL19" s="430"/>
      <c r="AM19" s="430"/>
      <c r="AN19" s="430"/>
      <c r="AO19" s="430"/>
      <c r="AP19" s="430"/>
      <c r="AQ19" s="430"/>
      <c r="AR19" s="430"/>
      <c r="AS19" s="430"/>
      <c r="AT19" s="430"/>
      <c r="AU19" s="430"/>
      <c r="AV19" s="430"/>
      <c r="AW19" s="430"/>
      <c r="AX19" s="430"/>
      <c r="AY19" s="430"/>
      <c r="AZ19" s="430"/>
    </row>
    <row r="20" spans="1:52" ht="18.75">
      <c r="A20" s="3062" t="s">
        <v>1710</v>
      </c>
      <c r="B20" s="3063">
        <f>SUM('Произв. прогр. Вода'!B19)</f>
        <v>941.42</v>
      </c>
      <c r="C20" s="3063">
        <f>SUM('Произв. прогр. Вода'!C19)</f>
        <v>920</v>
      </c>
      <c r="D20" s="3063">
        <f>SUM('Произв. прогр. Вода'!D19)</f>
        <v>21.42</v>
      </c>
      <c r="E20" s="3092">
        <f>SUM('Произв. прогр. Вода'!E19)</f>
        <v>80.491410000000002</v>
      </c>
      <c r="F20" s="3092">
        <f>SUM('Произв. прогр. Вода'!F19)</f>
        <v>80.020700000000005</v>
      </c>
      <c r="G20" s="3092">
        <f>SUM('Произв. прогр. Вода'!G19)</f>
        <v>80.020700000000005</v>
      </c>
      <c r="H20" s="3063">
        <f>SUM('Произв. прогр. Вода'!H19)</f>
        <v>240.53281000000001</v>
      </c>
      <c r="I20" s="3092">
        <f>SUM('Произв. прогр. Вода'!I19)</f>
        <v>79.549989999999994</v>
      </c>
      <c r="J20" s="3092">
        <f>SUM('Произв. прогр. Вода'!J19)</f>
        <v>75.313599999999994</v>
      </c>
      <c r="K20" s="3092">
        <f>SUM('Произв. прогр. Вода'!K19)</f>
        <v>75.313599999999994</v>
      </c>
      <c r="L20" s="3063">
        <f>SUM('Произв. прогр. Вода'!L19)</f>
        <v>230.17719</v>
      </c>
      <c r="M20" s="3063">
        <f>SUM('Произв. прогр. Вода'!M19)</f>
        <v>470.71000000000004</v>
      </c>
      <c r="N20" s="3092">
        <f>SUM('Произв. прогр. Вода'!N19)</f>
        <v>75.313599999999994</v>
      </c>
      <c r="O20" s="3092">
        <f>SUM('Произв. прогр. Вода'!O19)</f>
        <v>75.313599999999994</v>
      </c>
      <c r="P20" s="3092">
        <f>SUM('Произв. прогр. Вода'!P19)</f>
        <v>79.549989999999994</v>
      </c>
      <c r="Q20" s="3063">
        <f>SUM('Произв. прогр. Вода'!Q19)</f>
        <v>230.17719</v>
      </c>
      <c r="R20" s="3063">
        <f>SUM('Произв. прогр. Вода'!R19)</f>
        <v>700.88719000000003</v>
      </c>
      <c r="S20" s="3092">
        <f>SUM('Произв. прогр. Вода'!S19)</f>
        <v>80.020700000000005</v>
      </c>
      <c r="T20" s="3092">
        <f>SUM('Произв. прогр. Вода'!T19)</f>
        <v>80.020700000000005</v>
      </c>
      <c r="U20" s="3092">
        <f>SUM('Произв. прогр. Вода'!U19)</f>
        <v>80.491410000000002</v>
      </c>
      <c r="V20" s="3063">
        <f>SUM('Произв. прогр. Вода'!V19)</f>
        <v>240.53281000000001</v>
      </c>
      <c r="W20" s="3065">
        <f t="shared" si="3"/>
        <v>941.42</v>
      </c>
      <c r="X20" s="430"/>
      <c r="Y20" s="430"/>
      <c r="Z20" s="430"/>
      <c r="AA20" s="430"/>
      <c r="AB20" s="430"/>
      <c r="AC20" s="430"/>
      <c r="AD20" s="430"/>
      <c r="AE20" s="430"/>
      <c r="AF20" s="430"/>
      <c r="AG20" s="430"/>
      <c r="AH20" s="430"/>
      <c r="AI20" s="430"/>
      <c r="AJ20" s="430"/>
      <c r="AK20" s="430"/>
      <c r="AL20" s="430"/>
      <c r="AM20" s="430"/>
      <c r="AN20" s="430"/>
      <c r="AO20" s="430"/>
      <c r="AP20" s="430"/>
      <c r="AQ20" s="430"/>
      <c r="AR20" s="430"/>
      <c r="AS20" s="430"/>
      <c r="AT20" s="430"/>
      <c r="AU20" s="430"/>
      <c r="AV20" s="430"/>
      <c r="AW20" s="430"/>
      <c r="AX20" s="430"/>
      <c r="AY20" s="430"/>
      <c r="AZ20" s="430"/>
    </row>
    <row r="21" spans="1:52" ht="18.75">
      <c r="A21" s="3066" t="s">
        <v>25</v>
      </c>
      <c r="B21" s="3067">
        <f>SUM('Произв. прогр. Вода'!B20)</f>
        <v>21.42</v>
      </c>
      <c r="C21" s="3067">
        <f>SUM('Произв. прогр. Вода'!C20)</f>
        <v>0</v>
      </c>
      <c r="D21" s="3067">
        <f>SUM('Произв. прогр. Вода'!D20)</f>
        <v>21.42</v>
      </c>
      <c r="E21" s="3094">
        <f>SUM('Произв. прогр. Вода'!E20)</f>
        <v>1.7850000000000001</v>
      </c>
      <c r="F21" s="3094">
        <f>SUM('Произв. прогр. Вода'!F20)</f>
        <v>1.7850000000000001</v>
      </c>
      <c r="G21" s="3094">
        <f>SUM('Произв. прогр. Вода'!G20)</f>
        <v>1.7850000000000001</v>
      </c>
      <c r="H21" s="3067">
        <f>SUM('Произв. прогр. Вода'!H20)</f>
        <v>5.3550000000000004</v>
      </c>
      <c r="I21" s="3094">
        <f>SUM('Произв. прогр. Вода'!I20)</f>
        <v>1.7850000000000001</v>
      </c>
      <c r="J21" s="3094">
        <f>SUM('Произв. прогр. Вода'!J20)</f>
        <v>1.7850000000000001</v>
      </c>
      <c r="K21" s="3094">
        <f>SUM('Произв. прогр. Вода'!K20)</f>
        <v>1.7850000000000001</v>
      </c>
      <c r="L21" s="3067">
        <f>SUM('Произв. прогр. Вода'!L20)</f>
        <v>5.3550000000000004</v>
      </c>
      <c r="M21" s="3067">
        <f>SUM('Произв. прогр. Вода'!M20)</f>
        <v>10.71</v>
      </c>
      <c r="N21" s="3094">
        <f>SUM('Произв. прогр. Вода'!N20)</f>
        <v>1.7850000000000001</v>
      </c>
      <c r="O21" s="3094">
        <f>SUM('Произв. прогр. Вода'!O20)</f>
        <v>1.7850000000000001</v>
      </c>
      <c r="P21" s="3094">
        <f>SUM('Произв. прогр. Вода'!P20)</f>
        <v>1.7850000000000001</v>
      </c>
      <c r="Q21" s="3067">
        <f>SUM('Произв. прогр. Вода'!Q20)</f>
        <v>5.3550000000000004</v>
      </c>
      <c r="R21" s="3067">
        <f>SUM('Произв. прогр. Вода'!R20)</f>
        <v>16.065000000000001</v>
      </c>
      <c r="S21" s="3094">
        <f>SUM('Произв. прогр. Вода'!S20)</f>
        <v>1.7850000000000001</v>
      </c>
      <c r="T21" s="3094">
        <f>SUM('Произв. прогр. Вода'!T20)</f>
        <v>1.7850000000000001</v>
      </c>
      <c r="U21" s="3094">
        <f>SUM('Произв. прогр. Вода'!U20)</f>
        <v>1.7850000000000001</v>
      </c>
      <c r="V21" s="3067">
        <f>SUM('Произв. прогр. Вода'!V20)</f>
        <v>5.3550000000000004</v>
      </c>
      <c r="W21" s="3065">
        <f t="shared" si="3"/>
        <v>21.42</v>
      </c>
      <c r="X21" s="430"/>
      <c r="Y21" s="430"/>
      <c r="Z21" s="430"/>
      <c r="AA21" s="430"/>
      <c r="AB21" s="430"/>
      <c r="AC21" s="430"/>
      <c r="AD21" s="430"/>
      <c r="AE21" s="430"/>
      <c r="AF21" s="430"/>
      <c r="AG21" s="430"/>
      <c r="AH21" s="430"/>
      <c r="AI21" s="430"/>
      <c r="AJ21" s="430"/>
      <c r="AK21" s="430"/>
      <c r="AL21" s="430"/>
      <c r="AM21" s="430"/>
      <c r="AN21" s="430"/>
      <c r="AO21" s="430"/>
      <c r="AP21" s="430"/>
      <c r="AQ21" s="430"/>
      <c r="AR21" s="430"/>
      <c r="AS21" s="430"/>
      <c r="AT21" s="430"/>
      <c r="AU21" s="430"/>
      <c r="AV21" s="430"/>
      <c r="AW21" s="430"/>
      <c r="AX21" s="430"/>
      <c r="AY21" s="430"/>
      <c r="AZ21" s="430"/>
    </row>
    <row r="22" spans="1:52" ht="18.75">
      <c r="A22" s="3058" t="s">
        <v>1711</v>
      </c>
      <c r="B22" s="3060">
        <f>SUM('Произв. прогр. Вода'!B21)</f>
        <v>320</v>
      </c>
      <c r="C22" s="3060">
        <f>SUM('Произв. прогр. Вода'!C21)</f>
        <v>320</v>
      </c>
      <c r="D22" s="3060">
        <f>SUM('Произв. прогр. Вода'!D21)</f>
        <v>0</v>
      </c>
      <c r="E22" s="3073">
        <f>SUM('Произв. прогр. Вода'!E21)</f>
        <v>27.360000000000003</v>
      </c>
      <c r="F22" s="3073">
        <f>SUM('Произв. прогр. Вода'!F21)</f>
        <v>27.200000000000003</v>
      </c>
      <c r="G22" s="3073">
        <f>SUM('Произв. прогр. Вода'!G21)</f>
        <v>27.200000000000003</v>
      </c>
      <c r="H22" s="3060">
        <f>SUM('Произв. прогр. Вода'!H21)</f>
        <v>81.760000000000005</v>
      </c>
      <c r="I22" s="3073">
        <f>SUM('Произв. прогр. Вода'!I21)</f>
        <v>27.04</v>
      </c>
      <c r="J22" s="3073">
        <f>SUM('Произв. прогр. Вода'!J21)</f>
        <v>25.6</v>
      </c>
      <c r="K22" s="3073">
        <f>SUM('Произв. прогр. Вода'!K21)</f>
        <v>25.6</v>
      </c>
      <c r="L22" s="3060">
        <f>SUM('Произв. прогр. Вода'!L21)</f>
        <v>78.240000000000009</v>
      </c>
      <c r="M22" s="3060">
        <f>SUM('Произв. прогр. Вода'!M21)</f>
        <v>160</v>
      </c>
      <c r="N22" s="3073">
        <f>SUM('Произв. прогр. Вода'!N21)</f>
        <v>25.6</v>
      </c>
      <c r="O22" s="3073">
        <f>SUM('Произв. прогр. Вода'!O21)</f>
        <v>25.6</v>
      </c>
      <c r="P22" s="3073">
        <f>SUM('Произв. прогр. Вода'!P21)</f>
        <v>27.04</v>
      </c>
      <c r="Q22" s="3060">
        <f>SUM('Произв. прогр. Вода'!Q21)</f>
        <v>78.240000000000009</v>
      </c>
      <c r="R22" s="3060">
        <f>SUM('Произв. прогр. Вода'!R21)</f>
        <v>238.24</v>
      </c>
      <c r="S22" s="3073">
        <f>SUM('Произв. прогр. Вода'!S21)</f>
        <v>27.200000000000003</v>
      </c>
      <c r="T22" s="3073">
        <f>SUM('Произв. прогр. Вода'!T21)</f>
        <v>27.200000000000003</v>
      </c>
      <c r="U22" s="3073">
        <f>SUM('Произв. прогр. Вода'!U21)</f>
        <v>27.360000000000003</v>
      </c>
      <c r="V22" s="3060">
        <f>SUM('Произв. прогр. Вода'!V21)</f>
        <v>81.760000000000005</v>
      </c>
      <c r="W22" s="3061">
        <f t="shared" si="3"/>
        <v>320</v>
      </c>
      <c r="X22" s="430"/>
      <c r="Y22" s="430"/>
      <c r="Z22" s="430"/>
      <c r="AA22" s="430"/>
      <c r="AB22" s="430"/>
      <c r="AC22" s="430"/>
      <c r="AD22" s="430"/>
      <c r="AE22" s="430"/>
      <c r="AF22" s="430"/>
      <c r="AG22" s="430"/>
      <c r="AH22" s="430"/>
      <c r="AI22" s="430"/>
      <c r="AJ22" s="430"/>
      <c r="AK22" s="430"/>
      <c r="AL22" s="430"/>
      <c r="AM22" s="430"/>
      <c r="AN22" s="430"/>
      <c r="AO22" s="430"/>
      <c r="AP22" s="430"/>
      <c r="AQ22" s="430"/>
      <c r="AR22" s="430"/>
      <c r="AS22" s="430"/>
      <c r="AT22" s="430"/>
      <c r="AU22" s="430"/>
      <c r="AV22" s="430"/>
      <c r="AW22" s="430"/>
      <c r="AX22" s="430"/>
      <c r="AY22" s="430"/>
      <c r="AZ22" s="430"/>
    </row>
    <row r="23" spans="1:52" ht="18.75">
      <c r="A23" s="3066" t="s">
        <v>654</v>
      </c>
      <c r="B23" s="3067">
        <f>SUM('Произв. прогр. Вода'!B22)</f>
        <v>320</v>
      </c>
      <c r="C23" s="3067">
        <f>SUM('Произв. прогр. Вода'!C22)</f>
        <v>320</v>
      </c>
      <c r="D23" s="3067">
        <f>SUM('Произв. прогр. Вода'!D22)</f>
        <v>0</v>
      </c>
      <c r="E23" s="3094">
        <f>SUM('Произв. прогр. Вода'!E22)</f>
        <v>27.360000000000003</v>
      </c>
      <c r="F23" s="3094">
        <f>SUM('Произв. прогр. Вода'!F22)</f>
        <v>27.200000000000003</v>
      </c>
      <c r="G23" s="3094">
        <f>SUM('Произв. прогр. Вода'!G22)</f>
        <v>27.200000000000003</v>
      </c>
      <c r="H23" s="3067">
        <f>SUM('Произв. прогр. Вода'!H22)</f>
        <v>81.760000000000005</v>
      </c>
      <c r="I23" s="3094">
        <f>SUM('Произв. прогр. Вода'!I22)</f>
        <v>27.04</v>
      </c>
      <c r="J23" s="3094">
        <f>SUM('Произв. прогр. Вода'!J22)</f>
        <v>25.6</v>
      </c>
      <c r="K23" s="3094">
        <f>SUM('Произв. прогр. Вода'!K22)</f>
        <v>25.6</v>
      </c>
      <c r="L23" s="3067">
        <f>SUM('Произв. прогр. Вода'!L22)</f>
        <v>78.240000000000009</v>
      </c>
      <c r="M23" s="3067">
        <f>SUM('Произв. прогр. Вода'!M22)</f>
        <v>160</v>
      </c>
      <c r="N23" s="3094">
        <f>SUM('Произв. прогр. Вода'!N22)</f>
        <v>25.6</v>
      </c>
      <c r="O23" s="3094">
        <f>SUM('Произв. прогр. Вода'!O22)</f>
        <v>25.6</v>
      </c>
      <c r="P23" s="3094">
        <f>SUM('Произв. прогр. Вода'!P22)</f>
        <v>27.04</v>
      </c>
      <c r="Q23" s="3067">
        <f>SUM('Произв. прогр. Вода'!Q22)</f>
        <v>78.240000000000009</v>
      </c>
      <c r="R23" s="3067">
        <f>SUM('Произв. прогр. Вода'!R22)</f>
        <v>238.24</v>
      </c>
      <c r="S23" s="3094">
        <f>SUM('Произв. прогр. Вода'!S22)</f>
        <v>27.200000000000003</v>
      </c>
      <c r="T23" s="3094">
        <f>SUM('Произв. прогр. Вода'!T22)</f>
        <v>27.200000000000003</v>
      </c>
      <c r="U23" s="3094">
        <f>SUM('Произв. прогр. Вода'!U22)</f>
        <v>27.360000000000003</v>
      </c>
      <c r="V23" s="3067">
        <f>SUM('Произв. прогр. Вода'!V22)</f>
        <v>81.760000000000005</v>
      </c>
      <c r="W23" s="3065">
        <f t="shared" si="3"/>
        <v>320</v>
      </c>
      <c r="X23" s="430"/>
      <c r="Y23" s="430"/>
      <c r="Z23" s="430"/>
      <c r="AA23" s="430"/>
      <c r="AB23" s="430"/>
      <c r="AC23" s="430"/>
      <c r="AD23" s="430"/>
      <c r="AE23" s="430"/>
      <c r="AF23" s="430"/>
      <c r="AG23" s="430"/>
      <c r="AH23" s="430"/>
      <c r="AI23" s="430"/>
      <c r="AJ23" s="430"/>
      <c r="AK23" s="430"/>
      <c r="AL23" s="430"/>
      <c r="AM23" s="430"/>
      <c r="AN23" s="430"/>
      <c r="AO23" s="430"/>
      <c r="AP23" s="430"/>
      <c r="AQ23" s="430"/>
      <c r="AR23" s="430"/>
      <c r="AS23" s="430"/>
      <c r="AT23" s="430"/>
      <c r="AU23" s="430"/>
      <c r="AV23" s="430"/>
      <c r="AW23" s="430"/>
      <c r="AX23" s="430"/>
      <c r="AY23" s="430"/>
      <c r="AZ23" s="430"/>
    </row>
    <row r="24" spans="1:52" ht="18.75">
      <c r="A24" s="3066" t="s">
        <v>655</v>
      </c>
      <c r="B24" s="3067">
        <f>SUM('Произв. прогр. Вода'!B23)</f>
        <v>0</v>
      </c>
      <c r="C24" s="3067">
        <f>SUM('Произв. прогр. Вода'!C23)</f>
        <v>0</v>
      </c>
      <c r="D24" s="3067">
        <f>SUM('Произв. прогр. Вода'!D23)</f>
        <v>0</v>
      </c>
      <c r="E24" s="3094">
        <f>SUM('Произв. прогр. Вода'!E23)</f>
        <v>0</v>
      </c>
      <c r="F24" s="3094">
        <f>SUM('Произв. прогр. Вода'!F23)</f>
        <v>0</v>
      </c>
      <c r="G24" s="3094">
        <f>SUM('Произв. прогр. Вода'!G23)</f>
        <v>0</v>
      </c>
      <c r="H24" s="3067">
        <f>SUM('Произв. прогр. Вода'!H23)</f>
        <v>0</v>
      </c>
      <c r="I24" s="3094">
        <f>SUM('Произв. прогр. Вода'!I23)</f>
        <v>0</v>
      </c>
      <c r="J24" s="3094">
        <f>SUM('Произв. прогр. Вода'!J23)</f>
        <v>0</v>
      </c>
      <c r="K24" s="3094">
        <f>SUM('Произв. прогр. Вода'!K23)</f>
        <v>0</v>
      </c>
      <c r="L24" s="3067">
        <f>SUM('Произв. прогр. Вода'!L23)</f>
        <v>0</v>
      </c>
      <c r="M24" s="3067">
        <f>SUM('Произв. прогр. Вода'!M23)</f>
        <v>0</v>
      </c>
      <c r="N24" s="3094">
        <f>SUM('Произв. прогр. Вода'!N23)</f>
        <v>0</v>
      </c>
      <c r="O24" s="3094">
        <f>SUM('Произв. прогр. Вода'!O23)</f>
        <v>0</v>
      </c>
      <c r="P24" s="3094">
        <f>SUM('Произв. прогр. Вода'!P23)</f>
        <v>0</v>
      </c>
      <c r="Q24" s="3067">
        <f>SUM('Произв. прогр. Вода'!Q23)</f>
        <v>0</v>
      </c>
      <c r="R24" s="3067">
        <f>SUM('Произв. прогр. Вода'!R23)</f>
        <v>0</v>
      </c>
      <c r="S24" s="3094">
        <f>SUM('Произв. прогр. Вода'!S23)</f>
        <v>0</v>
      </c>
      <c r="T24" s="3094">
        <f>SUM('Произв. прогр. Вода'!T23)</f>
        <v>0</v>
      </c>
      <c r="U24" s="3094">
        <f>SUM('Произв. прогр. Вода'!U23)</f>
        <v>0</v>
      </c>
      <c r="V24" s="3067">
        <f>SUM('Произв. прогр. Вода'!V23)</f>
        <v>0</v>
      </c>
      <c r="W24" s="3065">
        <f t="shared" si="3"/>
        <v>0</v>
      </c>
      <c r="X24" s="430"/>
      <c r="Y24" s="430"/>
      <c r="Z24" s="430"/>
      <c r="AA24" s="430"/>
      <c r="AB24" s="430"/>
      <c r="AC24" s="430"/>
      <c r="AD24" s="430"/>
      <c r="AE24" s="430"/>
      <c r="AF24" s="430"/>
      <c r="AG24" s="430"/>
      <c r="AH24" s="430"/>
      <c r="AI24" s="430"/>
      <c r="AJ24" s="430"/>
      <c r="AK24" s="430"/>
      <c r="AL24" s="430"/>
      <c r="AM24" s="430"/>
      <c r="AN24" s="430"/>
      <c r="AO24" s="430"/>
      <c r="AP24" s="430"/>
      <c r="AQ24" s="430"/>
      <c r="AR24" s="430"/>
      <c r="AS24" s="430"/>
      <c r="AT24" s="430"/>
      <c r="AU24" s="430"/>
      <c r="AV24" s="430"/>
      <c r="AW24" s="430"/>
      <c r="AX24" s="430"/>
      <c r="AY24" s="430"/>
      <c r="AZ24" s="430"/>
    </row>
    <row r="25" spans="1:52" ht="18.75" customHeight="1">
      <c r="A25" s="4986" t="s">
        <v>1712</v>
      </c>
      <c r="B25" s="4987"/>
      <c r="C25" s="4987"/>
      <c r="D25" s="4987"/>
      <c r="E25" s="4987"/>
      <c r="F25" s="4987"/>
      <c r="G25" s="4987"/>
      <c r="H25" s="4987"/>
      <c r="I25" s="4987"/>
      <c r="J25" s="4987"/>
      <c r="K25" s="4987"/>
      <c r="L25" s="4987"/>
      <c r="M25" s="4987"/>
      <c r="N25" s="4987"/>
      <c r="O25" s="4987"/>
      <c r="P25" s="4987"/>
      <c r="Q25" s="4987"/>
      <c r="R25" s="4987"/>
      <c r="S25" s="4987"/>
      <c r="T25" s="4987"/>
      <c r="U25" s="4987"/>
      <c r="V25" s="4988"/>
      <c r="W25" s="3065"/>
      <c r="X25" s="430"/>
      <c r="Y25" s="430"/>
      <c r="Z25" s="430"/>
      <c r="AA25" s="430"/>
      <c r="AB25" s="430"/>
      <c r="AC25" s="430"/>
      <c r="AD25" s="430"/>
      <c r="AE25" s="430"/>
      <c r="AF25" s="430"/>
      <c r="AG25" s="430"/>
      <c r="AH25" s="430"/>
      <c r="AI25" s="430"/>
      <c r="AJ25" s="430"/>
      <c r="AK25" s="430"/>
      <c r="AL25" s="430"/>
      <c r="AM25" s="430"/>
      <c r="AN25" s="430"/>
      <c r="AO25" s="430"/>
      <c r="AP25" s="430"/>
      <c r="AQ25" s="430"/>
      <c r="AR25" s="430"/>
      <c r="AS25" s="430"/>
      <c r="AT25" s="430"/>
      <c r="AU25" s="430"/>
      <c r="AV25" s="430"/>
      <c r="AW25" s="430"/>
      <c r="AX25" s="430"/>
      <c r="AY25" s="430"/>
      <c r="AZ25" s="430"/>
    </row>
    <row r="26" spans="1:52" ht="18.75" customHeight="1">
      <c r="A26" s="4989" t="s">
        <v>545</v>
      </c>
      <c r="B26" s="4982" t="s">
        <v>1960</v>
      </c>
      <c r="C26" s="4982" t="s">
        <v>575</v>
      </c>
      <c r="D26" s="4982"/>
      <c r="E26" s="4981" t="s">
        <v>586</v>
      </c>
      <c r="F26" s="4981" t="s">
        <v>587</v>
      </c>
      <c r="G26" s="4981" t="s">
        <v>588</v>
      </c>
      <c r="H26" s="4984" t="s">
        <v>600</v>
      </c>
      <c r="I26" s="4981" t="s">
        <v>589</v>
      </c>
      <c r="J26" s="4981" t="s">
        <v>590</v>
      </c>
      <c r="K26" s="4981" t="s">
        <v>591</v>
      </c>
      <c r="L26" s="4984" t="s">
        <v>599</v>
      </c>
      <c r="M26" s="4984" t="s">
        <v>598</v>
      </c>
      <c r="N26" s="4981" t="s">
        <v>592</v>
      </c>
      <c r="O26" s="4981" t="s">
        <v>593</v>
      </c>
      <c r="P26" s="4981" t="s">
        <v>594</v>
      </c>
      <c r="Q26" s="4984" t="s">
        <v>225</v>
      </c>
      <c r="R26" s="4984" t="s">
        <v>229</v>
      </c>
      <c r="S26" s="4981" t="s">
        <v>595</v>
      </c>
      <c r="T26" s="4981" t="s">
        <v>596</v>
      </c>
      <c r="U26" s="4981" t="s">
        <v>597</v>
      </c>
      <c r="V26" s="4984" t="s">
        <v>135</v>
      </c>
      <c r="W26" s="4985" t="s">
        <v>601</v>
      </c>
      <c r="X26" s="430"/>
      <c r="Y26" s="430"/>
      <c r="Z26" s="430"/>
      <c r="AA26" s="430"/>
      <c r="AB26" s="430"/>
      <c r="AC26" s="430"/>
      <c r="AD26" s="430"/>
      <c r="AE26" s="430"/>
      <c r="AF26" s="430"/>
      <c r="AG26" s="430"/>
      <c r="AH26" s="430"/>
      <c r="AI26" s="430"/>
      <c r="AJ26" s="430"/>
      <c r="AK26" s="430"/>
      <c r="AL26" s="430"/>
      <c r="AM26" s="430"/>
      <c r="AN26" s="430"/>
      <c r="AO26" s="430"/>
      <c r="AP26" s="430"/>
      <c r="AQ26" s="430"/>
      <c r="AR26" s="430"/>
      <c r="AS26" s="430"/>
      <c r="AT26" s="430"/>
      <c r="AU26" s="430"/>
      <c r="AV26" s="430"/>
      <c r="AW26" s="430"/>
      <c r="AX26" s="430"/>
      <c r="AY26" s="430"/>
      <c r="AZ26" s="430"/>
    </row>
    <row r="27" spans="1:52" ht="37.5">
      <c r="A27" s="4990"/>
      <c r="B27" s="4982"/>
      <c r="C27" s="3057" t="s">
        <v>1553</v>
      </c>
      <c r="D27" s="3057" t="s">
        <v>1554</v>
      </c>
      <c r="E27" s="4981"/>
      <c r="F27" s="4981"/>
      <c r="G27" s="4981"/>
      <c r="H27" s="4984"/>
      <c r="I27" s="4981"/>
      <c r="J27" s="4981"/>
      <c r="K27" s="4981"/>
      <c r="L27" s="4984"/>
      <c r="M27" s="4984"/>
      <c r="N27" s="4981"/>
      <c r="O27" s="4981"/>
      <c r="P27" s="4981"/>
      <c r="Q27" s="4984"/>
      <c r="R27" s="4984"/>
      <c r="S27" s="4981"/>
      <c r="T27" s="4981"/>
      <c r="U27" s="4981"/>
      <c r="V27" s="4984"/>
      <c r="W27" s="4985"/>
      <c r="X27" s="430"/>
      <c r="Y27" s="430"/>
      <c r="Z27" s="430"/>
      <c r="AA27" s="430"/>
      <c r="AB27" s="430"/>
      <c r="AC27" s="430"/>
      <c r="AD27" s="430"/>
      <c r="AE27" s="430"/>
      <c r="AF27" s="430"/>
      <c r="AG27" s="430"/>
      <c r="AH27" s="430"/>
      <c r="AI27" s="430"/>
      <c r="AJ27" s="430"/>
      <c r="AK27" s="430"/>
      <c r="AL27" s="430"/>
      <c r="AM27" s="430"/>
      <c r="AN27" s="430"/>
      <c r="AO27" s="430"/>
      <c r="AP27" s="430"/>
      <c r="AQ27" s="430"/>
      <c r="AR27" s="430"/>
      <c r="AS27" s="430"/>
      <c r="AT27" s="430"/>
      <c r="AU27" s="430"/>
      <c r="AV27" s="430"/>
      <c r="AW27" s="430"/>
      <c r="AX27" s="430"/>
      <c r="AY27" s="430"/>
      <c r="AZ27" s="430"/>
    </row>
    <row r="28" spans="1:52" ht="18.75">
      <c r="A28" s="3078" t="s">
        <v>1713</v>
      </c>
      <c r="B28" s="3072">
        <f>SUM(C28:D28)</f>
        <v>69931.638000000006</v>
      </c>
      <c r="C28" s="3072">
        <f>SUM(H28+L28+Q28+V28)</f>
        <v>69931.638000000006</v>
      </c>
      <c r="D28" s="3156">
        <v>0</v>
      </c>
      <c r="E28" s="3074">
        <f>SUM(E19*E38)</f>
        <v>5844.3760980000006</v>
      </c>
      <c r="F28" s="3074">
        <f t="shared" ref="F28:K28" si="4">SUM(F19*F38)</f>
        <v>5810.1984600000005</v>
      </c>
      <c r="G28" s="3074">
        <f t="shared" si="4"/>
        <v>5810.1984600000005</v>
      </c>
      <c r="H28" s="3072">
        <f>SUM(E28:G28)</f>
        <v>17464.773018</v>
      </c>
      <c r="I28" s="3074">
        <f t="shared" si="4"/>
        <v>5776.0208219999995</v>
      </c>
      <c r="J28" s="3074">
        <f t="shared" si="4"/>
        <v>5468.4220800000003</v>
      </c>
      <c r="K28" s="3074">
        <f t="shared" si="4"/>
        <v>5468.4220800000003</v>
      </c>
      <c r="L28" s="3072">
        <f>SUM(I28:K28)</f>
        <v>16712.864981999999</v>
      </c>
      <c r="M28" s="3072">
        <f>SUM(H28+L28)</f>
        <v>34177.637999999999</v>
      </c>
      <c r="N28" s="3074">
        <f t="shared" ref="N28:P28" si="5">SUM(N19*N38)</f>
        <v>5720.64</v>
      </c>
      <c r="O28" s="3074">
        <f t="shared" si="5"/>
        <v>5720.64</v>
      </c>
      <c r="P28" s="3074">
        <f t="shared" si="5"/>
        <v>6042.4259999999995</v>
      </c>
      <c r="Q28" s="3072">
        <f>SUM(N28:P28)</f>
        <v>17483.705999999998</v>
      </c>
      <c r="R28" s="3072">
        <f>SUM(M28+Q28)</f>
        <v>51661.343999999997</v>
      </c>
      <c r="S28" s="3074">
        <f t="shared" ref="S28:U28" si="6">SUM(S19*S38)</f>
        <v>6078.1800000000012</v>
      </c>
      <c r="T28" s="3074">
        <f t="shared" si="6"/>
        <v>6078.1800000000012</v>
      </c>
      <c r="U28" s="3074">
        <f t="shared" si="6"/>
        <v>6113.9340000000011</v>
      </c>
      <c r="V28" s="3072">
        <f>SUM(S28:U28)</f>
        <v>18270.294000000002</v>
      </c>
      <c r="W28" s="3065">
        <f t="shared" ref="W28:W36" si="7">SUM(E28+F28+G28+I28+J28+K28+N28+O28+P28+S28+T28+U28)</f>
        <v>69931.638000000006</v>
      </c>
      <c r="X28" s="430"/>
      <c r="Y28" s="430"/>
      <c r="Z28" s="430"/>
      <c r="AA28" s="430"/>
      <c r="AB28" s="430"/>
      <c r="AC28" s="430"/>
      <c r="AD28" s="430"/>
      <c r="AE28" s="430"/>
      <c r="AF28" s="430"/>
      <c r="AG28" s="430"/>
      <c r="AH28" s="430"/>
      <c r="AI28" s="430"/>
      <c r="AJ28" s="430"/>
      <c r="AK28" s="430"/>
      <c r="AL28" s="430"/>
      <c r="AM28" s="430"/>
      <c r="AN28" s="430"/>
      <c r="AO28" s="430"/>
      <c r="AP28" s="430"/>
      <c r="AQ28" s="430"/>
      <c r="AR28" s="430"/>
      <c r="AS28" s="430"/>
      <c r="AT28" s="430"/>
      <c r="AU28" s="430"/>
      <c r="AV28" s="430"/>
      <c r="AW28" s="430"/>
      <c r="AX28" s="430"/>
      <c r="AY28" s="430"/>
      <c r="AZ28" s="430"/>
    </row>
    <row r="29" spans="1:52" ht="18.75">
      <c r="A29" s="3078" t="s">
        <v>1714</v>
      </c>
      <c r="B29" s="3072">
        <f t="shared" ref="B29:B36" si="8">SUM(C29:D29)</f>
        <v>16074.001945674201</v>
      </c>
      <c r="C29" s="3072">
        <f t="shared" ref="C29:C34" si="9">SUM(H29+L29+Q29+V29)</f>
        <v>16074.001945674201</v>
      </c>
      <c r="D29" s="3156">
        <v>0</v>
      </c>
      <c r="E29" s="3074">
        <f>SUM(E19*E39)</f>
        <v>1426.6629107875933</v>
      </c>
      <c r="F29" s="3074">
        <f t="shared" ref="F29:K29" si="10">SUM(F19*F39)</f>
        <v>1418.3198528297712</v>
      </c>
      <c r="G29" s="3074">
        <f t="shared" si="10"/>
        <v>1418.3198528297712</v>
      </c>
      <c r="H29" s="3072">
        <f>SUM(E29:G29)</f>
        <v>4263.3026164471357</v>
      </c>
      <c r="I29" s="3074">
        <f t="shared" si="10"/>
        <v>1409.9767948719486</v>
      </c>
      <c r="J29" s="3074">
        <f t="shared" si="10"/>
        <v>1334.8892732515492</v>
      </c>
      <c r="K29" s="3074">
        <f t="shared" si="10"/>
        <v>1334.8892732515492</v>
      </c>
      <c r="L29" s="3072">
        <f>SUM(I29:K29)</f>
        <v>4079.755341375047</v>
      </c>
      <c r="M29" s="3072">
        <f t="shared" ref="M29:M35" si="11">SUM(H29+L29)</f>
        <v>8343.0579578221823</v>
      </c>
      <c r="N29" s="3074">
        <f t="shared" ref="N29:P31" si="12">SUM(N19*N39)</f>
        <v>1236.9510380563229</v>
      </c>
      <c r="O29" s="3074">
        <f t="shared" si="12"/>
        <v>1236.9510380563229</v>
      </c>
      <c r="P29" s="3074">
        <f t="shared" si="12"/>
        <v>1306.5295339469908</v>
      </c>
      <c r="Q29" s="3072">
        <f>SUM(N29:P29)</f>
        <v>3780.4316100596366</v>
      </c>
      <c r="R29" s="3072">
        <f t="shared" ref="R29:R35" si="13">SUM(M29+Q29)</f>
        <v>12123.489567881819</v>
      </c>
      <c r="S29" s="3074">
        <f t="shared" ref="S29:U31" si="14">SUM(S19*S39)</f>
        <v>1314.2604779348433</v>
      </c>
      <c r="T29" s="3074">
        <f t="shared" si="14"/>
        <v>1314.2604779348433</v>
      </c>
      <c r="U29" s="3074">
        <f t="shared" si="14"/>
        <v>1321.9914219226953</v>
      </c>
      <c r="V29" s="3072">
        <f>SUM(S29:U29)</f>
        <v>3950.5123777923818</v>
      </c>
      <c r="W29" s="3065">
        <f t="shared" si="7"/>
        <v>16074.001945674201</v>
      </c>
      <c r="X29" s="430"/>
      <c r="Y29" s="430"/>
      <c r="Z29" s="430"/>
      <c r="AA29" s="430"/>
      <c r="AB29" s="430"/>
      <c r="AC29" s="430"/>
      <c r="AD29" s="430"/>
      <c r="AE29" s="430"/>
      <c r="AF29" s="430"/>
      <c r="AG29" s="430"/>
      <c r="AH29" s="430"/>
      <c r="AI29" s="430"/>
      <c r="AJ29" s="430"/>
      <c r="AK29" s="430"/>
      <c r="AL29" s="430"/>
      <c r="AM29" s="430"/>
      <c r="AN29" s="430"/>
      <c r="AO29" s="430"/>
      <c r="AP29" s="430"/>
      <c r="AQ29" s="430"/>
      <c r="AR29" s="430"/>
      <c r="AS29" s="430"/>
      <c r="AT29" s="430"/>
      <c r="AU29" s="430"/>
      <c r="AV29" s="430"/>
      <c r="AW29" s="430"/>
      <c r="AX29" s="430"/>
      <c r="AY29" s="430"/>
      <c r="AZ29" s="430"/>
    </row>
    <row r="30" spans="1:52" ht="18.75">
      <c r="A30" s="3078" t="s">
        <v>1715</v>
      </c>
      <c r="B30" s="3072">
        <f t="shared" si="8"/>
        <v>33527.622351703496</v>
      </c>
      <c r="C30" s="3072">
        <f t="shared" si="9"/>
        <v>33527.622351703496</v>
      </c>
      <c r="D30" s="3156">
        <v>0</v>
      </c>
      <c r="E30" s="3074">
        <f>SUM(E20-E21)*E40</f>
        <v>2836.1451945268605</v>
      </c>
      <c r="F30" s="3074">
        <f t="shared" ref="F30:K30" si="15">SUM(F20-F21)*F40</f>
        <v>2819.1834006333806</v>
      </c>
      <c r="G30" s="3074">
        <f t="shared" si="15"/>
        <v>2819.1834006333806</v>
      </c>
      <c r="H30" s="3072">
        <f t="shared" ref="H30:H35" si="16">SUM(E30:G30)</f>
        <v>8474.5119957936222</v>
      </c>
      <c r="I30" s="3074">
        <f t="shared" si="15"/>
        <v>2802.2216067398999</v>
      </c>
      <c r="J30" s="3074">
        <f t="shared" si="15"/>
        <v>2649.5654616985794</v>
      </c>
      <c r="K30" s="3074">
        <f t="shared" si="15"/>
        <v>2649.5654616985794</v>
      </c>
      <c r="L30" s="3072">
        <f t="shared" ref="L30:L35" si="17">SUM(I30:K30)</f>
        <v>8101.3525301370591</v>
      </c>
      <c r="M30" s="3072">
        <f t="shared" si="11"/>
        <v>16575.86452593068</v>
      </c>
      <c r="N30" s="3074">
        <f t="shared" ref="N30:P30" si="18">SUM(N20-N21)*N40</f>
        <v>2709.6500444959115</v>
      </c>
      <c r="O30" s="3074">
        <f t="shared" si="18"/>
        <v>2709.6500444959115</v>
      </c>
      <c r="P30" s="3074">
        <f t="shared" si="18"/>
        <v>2865.7679952253156</v>
      </c>
      <c r="Q30" s="3072">
        <f t="shared" ref="Q30:Q35" si="19">SUM(N30:P30)</f>
        <v>8285.0680842171387</v>
      </c>
      <c r="R30" s="3072">
        <f t="shared" si="13"/>
        <v>24860.932610147818</v>
      </c>
      <c r="S30" s="3074">
        <f t="shared" ref="S30:U30" si="20">SUM(S20-S21)*S40</f>
        <v>2883.1144341952495</v>
      </c>
      <c r="T30" s="3074">
        <f t="shared" si="20"/>
        <v>2883.1144341952495</v>
      </c>
      <c r="U30" s="3074">
        <f t="shared" si="20"/>
        <v>2900.4608731651833</v>
      </c>
      <c r="V30" s="3072">
        <f t="shared" ref="V30:V35" si="21">SUM(S30:U30)</f>
        <v>8666.6897415556814</v>
      </c>
      <c r="W30" s="3065">
        <f t="shared" si="7"/>
        <v>33527.622351703503</v>
      </c>
      <c r="X30" s="430"/>
      <c r="Y30" s="430"/>
      <c r="Z30" s="430"/>
      <c r="AA30" s="430"/>
      <c r="AB30" s="430"/>
      <c r="AC30" s="430"/>
      <c r="AD30" s="430"/>
      <c r="AE30" s="430"/>
      <c r="AF30" s="430"/>
      <c r="AG30" s="430"/>
      <c r="AH30" s="430"/>
      <c r="AI30" s="430"/>
      <c r="AJ30" s="430"/>
      <c r="AK30" s="430"/>
      <c r="AL30" s="430"/>
      <c r="AM30" s="430"/>
      <c r="AN30" s="430"/>
      <c r="AO30" s="430"/>
      <c r="AP30" s="430"/>
      <c r="AQ30" s="430"/>
      <c r="AR30" s="430"/>
      <c r="AS30" s="430"/>
      <c r="AT30" s="430"/>
      <c r="AU30" s="430"/>
      <c r="AV30" s="430"/>
      <c r="AW30" s="430"/>
      <c r="AX30" s="430"/>
      <c r="AY30" s="430"/>
      <c r="AZ30" s="430"/>
    </row>
    <row r="31" spans="1:52" ht="18.75">
      <c r="A31" s="3078" t="s">
        <v>1716</v>
      </c>
      <c r="B31" s="3072">
        <f t="shared" si="8"/>
        <v>617.81188212212237</v>
      </c>
      <c r="C31" s="3156">
        <v>0</v>
      </c>
      <c r="D31" s="3072">
        <f>SUM(H31+L31+Q31+V31)</f>
        <v>617.81188212212237</v>
      </c>
      <c r="E31" s="3074">
        <f>SUM(E21*E41)</f>
        <v>32.012400799739581</v>
      </c>
      <c r="F31" s="3074">
        <f t="shared" ref="F31:K31" si="22">SUM(F21*F41)</f>
        <v>32.012400799739581</v>
      </c>
      <c r="G31" s="3074">
        <f t="shared" si="22"/>
        <v>32.012400799739581</v>
      </c>
      <c r="H31" s="3072">
        <f t="shared" si="16"/>
        <v>96.037202399218742</v>
      </c>
      <c r="I31" s="3074">
        <f t="shared" si="22"/>
        <v>32.012400799739581</v>
      </c>
      <c r="J31" s="3074">
        <f t="shared" si="22"/>
        <v>32.012400799739581</v>
      </c>
      <c r="K31" s="3074">
        <f t="shared" si="22"/>
        <v>32.012400799739581</v>
      </c>
      <c r="L31" s="3072">
        <f t="shared" si="17"/>
        <v>96.037202399218742</v>
      </c>
      <c r="M31" s="3072">
        <f t="shared" si="11"/>
        <v>192.07440479843748</v>
      </c>
      <c r="N31" s="3074">
        <f t="shared" si="12"/>
        <v>70.956246220614148</v>
      </c>
      <c r="O31" s="3074">
        <f t="shared" si="12"/>
        <v>70.956246220614148</v>
      </c>
      <c r="P31" s="3074">
        <f t="shared" si="12"/>
        <v>70.956246220614148</v>
      </c>
      <c r="Q31" s="3072">
        <f t="shared" si="19"/>
        <v>212.86873866184243</v>
      </c>
      <c r="R31" s="3072">
        <f t="shared" si="13"/>
        <v>404.94314346027988</v>
      </c>
      <c r="S31" s="3074">
        <f t="shared" si="14"/>
        <v>70.956246220614148</v>
      </c>
      <c r="T31" s="3074">
        <f t="shared" si="14"/>
        <v>70.956246220614148</v>
      </c>
      <c r="U31" s="3074">
        <f t="shared" si="14"/>
        <v>70.956246220614148</v>
      </c>
      <c r="V31" s="3072">
        <f t="shared" si="21"/>
        <v>212.86873866184243</v>
      </c>
      <c r="W31" s="3065">
        <f t="shared" si="7"/>
        <v>617.81188212212237</v>
      </c>
      <c r="X31" s="430"/>
      <c r="Y31" s="430"/>
      <c r="Z31" s="430"/>
      <c r="AA31" s="430"/>
      <c r="AB31" s="430"/>
      <c r="AC31" s="430"/>
      <c r="AD31" s="430"/>
      <c r="AE31" s="430"/>
      <c r="AF31" s="430"/>
      <c r="AG31" s="430"/>
      <c r="AH31" s="430"/>
      <c r="AI31" s="430"/>
      <c r="AJ31" s="430"/>
      <c r="AK31" s="430"/>
      <c r="AL31" s="430"/>
      <c r="AM31" s="430"/>
      <c r="AN31" s="430"/>
      <c r="AO31" s="430"/>
      <c r="AP31" s="430"/>
      <c r="AQ31" s="430"/>
      <c r="AR31" s="430"/>
      <c r="AS31" s="430"/>
      <c r="AT31" s="430"/>
      <c r="AU31" s="430"/>
      <c r="AV31" s="430"/>
      <c r="AW31" s="430"/>
      <c r="AX31" s="430"/>
      <c r="AY31" s="430"/>
      <c r="AZ31" s="430"/>
    </row>
    <row r="32" spans="1:52" ht="18.75">
      <c r="A32" s="3078" t="s">
        <v>1717</v>
      </c>
      <c r="B32" s="3072">
        <f t="shared" si="8"/>
        <v>11661.781687549046</v>
      </c>
      <c r="C32" s="3072">
        <f t="shared" si="9"/>
        <v>11661.781687549046</v>
      </c>
      <c r="D32" s="3156">
        <v>0</v>
      </c>
      <c r="E32" s="3074">
        <f>SUM(E33:E34)</f>
        <v>985.90359441187707</v>
      </c>
      <c r="F32" s="3074">
        <f t="shared" ref="F32:G32" si="23">SUM(F33:F34)</f>
        <v>980.13807631590123</v>
      </c>
      <c r="G32" s="3074">
        <f t="shared" si="23"/>
        <v>980.13807631590123</v>
      </c>
      <c r="H32" s="3072">
        <f t="shared" si="16"/>
        <v>2946.1797470436795</v>
      </c>
      <c r="I32" s="3074">
        <f>SUM(I33:I34)</f>
        <v>974.37255821992517</v>
      </c>
      <c r="J32" s="3074">
        <f t="shared" ref="J32:K32" si="24">SUM(J33:J34)</f>
        <v>922.48289535614231</v>
      </c>
      <c r="K32" s="3074">
        <f t="shared" si="24"/>
        <v>922.48289535614231</v>
      </c>
      <c r="L32" s="3072">
        <f t="shared" si="17"/>
        <v>2819.3383489322096</v>
      </c>
      <c r="M32" s="3072">
        <f t="shared" si="11"/>
        <v>5765.5180959758891</v>
      </c>
      <c r="N32" s="3074">
        <f>SUM(N33:N34)</f>
        <v>943.40217465170485</v>
      </c>
      <c r="O32" s="3074">
        <f t="shared" ref="O32:P32" si="25">SUM(O33:O34)</f>
        <v>943.40217465170485</v>
      </c>
      <c r="P32" s="3074">
        <f t="shared" si="25"/>
        <v>996.46854697586321</v>
      </c>
      <c r="Q32" s="3072">
        <f t="shared" si="19"/>
        <v>2883.272896279273</v>
      </c>
      <c r="R32" s="3072">
        <f t="shared" si="13"/>
        <v>8648.7909922551626</v>
      </c>
      <c r="S32" s="3074">
        <f>SUM(S33:S34)</f>
        <v>1002.3648105674365</v>
      </c>
      <c r="T32" s="3074">
        <f t="shared" ref="T32:U32" si="26">SUM(T33:T34)</f>
        <v>1002.3648105674365</v>
      </c>
      <c r="U32" s="3074">
        <f t="shared" si="26"/>
        <v>1008.2610741590096</v>
      </c>
      <c r="V32" s="3072">
        <f t="shared" si="21"/>
        <v>3012.9906952938827</v>
      </c>
      <c r="W32" s="3065">
        <f t="shared" si="7"/>
        <v>11661.781687549043</v>
      </c>
      <c r="X32" s="430"/>
      <c r="Y32" s="430"/>
      <c r="Z32" s="430"/>
      <c r="AA32" s="430"/>
      <c r="AB32" s="430"/>
      <c r="AC32" s="430"/>
      <c r="AD32" s="430"/>
      <c r="AE32" s="430"/>
      <c r="AF32" s="430"/>
      <c r="AG32" s="430"/>
      <c r="AH32" s="430"/>
      <c r="AI32" s="430"/>
      <c r="AJ32" s="430"/>
      <c r="AK32" s="430"/>
      <c r="AL32" s="430"/>
      <c r="AM32" s="430"/>
      <c r="AN32" s="430"/>
      <c r="AO32" s="430"/>
      <c r="AP32" s="430"/>
      <c r="AQ32" s="430"/>
      <c r="AR32" s="430"/>
      <c r="AS32" s="430"/>
      <c r="AT32" s="430"/>
      <c r="AU32" s="430"/>
      <c r="AV32" s="430"/>
      <c r="AW32" s="430"/>
      <c r="AX32" s="430"/>
      <c r="AY32" s="430"/>
      <c r="AZ32" s="430"/>
    </row>
    <row r="33" spans="1:52" ht="18.75">
      <c r="A33" s="3079" t="s">
        <v>654</v>
      </c>
      <c r="B33" s="3076">
        <f t="shared" si="8"/>
        <v>11661.781687549046</v>
      </c>
      <c r="C33" s="3076">
        <f t="shared" si="9"/>
        <v>11661.781687549046</v>
      </c>
      <c r="D33" s="3157">
        <v>0</v>
      </c>
      <c r="E33" s="3075">
        <f>SUM(E23*E40)</f>
        <v>985.90359441187707</v>
      </c>
      <c r="F33" s="3075">
        <f t="shared" ref="F33:G33" si="27">SUM(F23*F40)</f>
        <v>980.13807631590123</v>
      </c>
      <c r="G33" s="3075">
        <f t="shared" si="27"/>
        <v>980.13807631590123</v>
      </c>
      <c r="H33" s="3072">
        <f t="shared" si="16"/>
        <v>2946.1797470436795</v>
      </c>
      <c r="I33" s="3075">
        <f>SUM(I23*I40)</f>
        <v>974.37255821992517</v>
      </c>
      <c r="J33" s="3075">
        <f t="shared" ref="J33:K33" si="28">SUM(J23*J40)</f>
        <v>922.48289535614231</v>
      </c>
      <c r="K33" s="3075">
        <f t="shared" si="28"/>
        <v>922.48289535614231</v>
      </c>
      <c r="L33" s="3072">
        <f t="shared" si="17"/>
        <v>2819.3383489322096</v>
      </c>
      <c r="M33" s="3072">
        <f t="shared" si="11"/>
        <v>5765.5180959758891</v>
      </c>
      <c r="N33" s="3075">
        <f>SUM(N23*N40)</f>
        <v>943.40217465170485</v>
      </c>
      <c r="O33" s="3075">
        <f t="shared" ref="O33:P33" si="29">SUM(O23*O40)</f>
        <v>943.40217465170485</v>
      </c>
      <c r="P33" s="3075">
        <f t="shared" si="29"/>
        <v>996.46854697586321</v>
      </c>
      <c r="Q33" s="3072">
        <f t="shared" si="19"/>
        <v>2883.272896279273</v>
      </c>
      <c r="R33" s="3072">
        <f t="shared" si="13"/>
        <v>8648.7909922551626</v>
      </c>
      <c r="S33" s="3075">
        <f>SUM(S23*S40)</f>
        <v>1002.3648105674365</v>
      </c>
      <c r="T33" s="3075">
        <f t="shared" ref="T33:U33" si="30">SUM(T23*T40)</f>
        <v>1002.3648105674365</v>
      </c>
      <c r="U33" s="3075">
        <f t="shared" si="30"/>
        <v>1008.2610741590096</v>
      </c>
      <c r="V33" s="3072">
        <f t="shared" si="21"/>
        <v>3012.9906952938827</v>
      </c>
      <c r="W33" s="3065">
        <f t="shared" si="7"/>
        <v>11661.781687549043</v>
      </c>
      <c r="X33" s="430"/>
      <c r="Y33" s="430"/>
      <c r="Z33" s="430"/>
      <c r="AA33" s="430"/>
      <c r="AB33" s="430"/>
      <c r="AC33" s="430"/>
      <c r="AD33" s="430"/>
      <c r="AE33" s="430"/>
      <c r="AF33" s="430"/>
      <c r="AG33" s="430"/>
      <c r="AH33" s="430"/>
      <c r="AI33" s="430"/>
      <c r="AJ33" s="430"/>
      <c r="AK33" s="430"/>
      <c r="AL33" s="430"/>
      <c r="AM33" s="430"/>
      <c r="AN33" s="430"/>
      <c r="AO33" s="430"/>
      <c r="AP33" s="430"/>
      <c r="AQ33" s="430"/>
      <c r="AR33" s="430"/>
      <c r="AS33" s="430"/>
      <c r="AT33" s="430"/>
      <c r="AU33" s="430"/>
      <c r="AV33" s="430"/>
      <c r="AW33" s="430"/>
      <c r="AX33" s="430"/>
      <c r="AY33" s="430"/>
      <c r="AZ33" s="430"/>
    </row>
    <row r="34" spans="1:52" ht="18.75">
      <c r="A34" s="3079" t="s">
        <v>655</v>
      </c>
      <c r="B34" s="3076">
        <f t="shared" si="8"/>
        <v>0</v>
      </c>
      <c r="C34" s="3076">
        <f t="shared" si="9"/>
        <v>0</v>
      </c>
      <c r="D34" s="3157">
        <v>0</v>
      </c>
      <c r="E34" s="3075">
        <f>SUM(E24*E40)</f>
        <v>0</v>
      </c>
      <c r="F34" s="3075">
        <f t="shared" ref="F34:G34" si="31">SUM(F24*F40)</f>
        <v>0</v>
      </c>
      <c r="G34" s="3075">
        <f t="shared" si="31"/>
        <v>0</v>
      </c>
      <c r="H34" s="3072">
        <f t="shared" si="16"/>
        <v>0</v>
      </c>
      <c r="I34" s="3075">
        <f>SUM(I24*I40)</f>
        <v>0</v>
      </c>
      <c r="J34" s="3075">
        <f t="shared" ref="J34:K34" si="32">SUM(J24*J40)</f>
        <v>0</v>
      </c>
      <c r="K34" s="3075">
        <f t="shared" si="32"/>
        <v>0</v>
      </c>
      <c r="L34" s="3072">
        <f t="shared" si="17"/>
        <v>0</v>
      </c>
      <c r="M34" s="3072">
        <f t="shared" si="11"/>
        <v>0</v>
      </c>
      <c r="N34" s="3075">
        <f>SUM(N24*N40)</f>
        <v>0</v>
      </c>
      <c r="O34" s="3075">
        <f t="shared" ref="O34:P34" si="33">SUM(O24*O40)</f>
        <v>0</v>
      </c>
      <c r="P34" s="3075">
        <f t="shared" si="33"/>
        <v>0</v>
      </c>
      <c r="Q34" s="3072">
        <f t="shared" si="19"/>
        <v>0</v>
      </c>
      <c r="R34" s="3072">
        <f t="shared" si="13"/>
        <v>0</v>
      </c>
      <c r="S34" s="3075">
        <f>SUM(S24*S40)</f>
        <v>0</v>
      </c>
      <c r="T34" s="3075">
        <f t="shared" ref="T34:U34" si="34">SUM(T24*T40)</f>
        <v>0</v>
      </c>
      <c r="U34" s="3075">
        <f t="shared" si="34"/>
        <v>0</v>
      </c>
      <c r="V34" s="3072">
        <f t="shared" si="21"/>
        <v>0</v>
      </c>
      <c r="W34" s="3065">
        <f t="shared" si="7"/>
        <v>0</v>
      </c>
      <c r="X34" s="430"/>
      <c r="Y34" s="430"/>
      <c r="Z34" s="430"/>
      <c r="AA34" s="430"/>
      <c r="AB34" s="430"/>
      <c r="AC34" s="430"/>
      <c r="AD34" s="430"/>
      <c r="AE34" s="430"/>
      <c r="AF34" s="430"/>
      <c r="AG34" s="430"/>
      <c r="AH34" s="430"/>
      <c r="AI34" s="430"/>
      <c r="AJ34" s="430"/>
      <c r="AK34" s="430"/>
      <c r="AL34" s="430"/>
      <c r="AM34" s="430"/>
      <c r="AN34" s="430"/>
      <c r="AO34" s="430"/>
      <c r="AP34" s="430"/>
      <c r="AQ34" s="430"/>
      <c r="AR34" s="430"/>
      <c r="AS34" s="430"/>
      <c r="AT34" s="430"/>
      <c r="AU34" s="430"/>
      <c r="AV34" s="430"/>
      <c r="AW34" s="430"/>
      <c r="AX34" s="430"/>
      <c r="AY34" s="430"/>
      <c r="AZ34" s="430"/>
    </row>
    <row r="35" spans="1:52" ht="18.75">
      <c r="A35" s="3080" t="s">
        <v>1718</v>
      </c>
      <c r="B35" s="3070">
        <f t="shared" si="8"/>
        <v>131812.85586704887</v>
      </c>
      <c r="C35" s="3070">
        <f>SUM(C28:C32)</f>
        <v>131195.04398492674</v>
      </c>
      <c r="D35" s="3070">
        <f>SUM(D28:D34)</f>
        <v>617.81188212212237</v>
      </c>
      <c r="E35" s="3081">
        <f>SUM(E28+E29+E30+E31+E32)</f>
        <v>11125.100198526072</v>
      </c>
      <c r="F35" s="3081">
        <f t="shared" ref="F35:G35" si="35">SUM(F28+F29+F30+F31+F32)</f>
        <v>11059.852190578795</v>
      </c>
      <c r="G35" s="3081">
        <f t="shared" si="35"/>
        <v>11059.852190578795</v>
      </c>
      <c r="H35" s="3070">
        <f t="shared" si="16"/>
        <v>33244.80457968366</v>
      </c>
      <c r="I35" s="3081">
        <f>SUM(I28+I29+I30+I31+I32)</f>
        <v>10994.604182631514</v>
      </c>
      <c r="J35" s="3081">
        <f t="shared" ref="J35:K35" si="36">SUM(J28+J29+J30+J31+J32)</f>
        <v>10407.372111106011</v>
      </c>
      <c r="K35" s="3081">
        <f t="shared" si="36"/>
        <v>10407.372111106011</v>
      </c>
      <c r="L35" s="3070">
        <f t="shared" si="17"/>
        <v>31809.348404843538</v>
      </c>
      <c r="M35" s="3070">
        <f t="shared" si="11"/>
        <v>65054.152984527202</v>
      </c>
      <c r="N35" s="3081">
        <f>SUM(N28+N29+N30+N31+N32)</f>
        <v>10681.599503424553</v>
      </c>
      <c r="O35" s="3081">
        <f t="shared" ref="O35:P35" si="37">SUM(O28+O29+O30+O31+O32)</f>
        <v>10681.599503424553</v>
      </c>
      <c r="P35" s="3081">
        <f t="shared" si="37"/>
        <v>11282.148322368781</v>
      </c>
      <c r="Q35" s="3070">
        <f t="shared" si="19"/>
        <v>32645.34732921789</v>
      </c>
      <c r="R35" s="3070">
        <f t="shared" si="13"/>
        <v>97699.500313745084</v>
      </c>
      <c r="S35" s="3081">
        <f>SUM(S28+S29+S30+S31+S32)</f>
        <v>11348.875968918144</v>
      </c>
      <c r="T35" s="3081">
        <f t="shared" ref="T35:U35" si="38">SUM(T28+T29+T30+T31+T32)</f>
        <v>11348.875968918144</v>
      </c>
      <c r="U35" s="3081">
        <f t="shared" si="38"/>
        <v>11415.603615467502</v>
      </c>
      <c r="V35" s="3070">
        <f t="shared" si="21"/>
        <v>34113.355553303787</v>
      </c>
      <c r="W35" s="3061">
        <f t="shared" si="7"/>
        <v>131812.8558670489</v>
      </c>
      <c r="X35" s="430"/>
      <c r="Y35" s="430"/>
      <c r="Z35" s="430"/>
      <c r="AA35" s="430"/>
      <c r="AB35" s="430"/>
      <c r="AC35" s="430"/>
      <c r="AD35" s="430"/>
      <c r="AE35" s="430"/>
      <c r="AF35" s="430"/>
      <c r="AG35" s="430"/>
      <c r="AH35" s="430"/>
      <c r="AI35" s="430"/>
      <c r="AJ35" s="430"/>
      <c r="AK35" s="430"/>
      <c r="AL35" s="430"/>
      <c r="AM35" s="430"/>
      <c r="AN35" s="430"/>
      <c r="AO35" s="430"/>
      <c r="AP35" s="430"/>
      <c r="AQ35" s="430"/>
      <c r="AR35" s="430"/>
      <c r="AS35" s="430"/>
      <c r="AT35" s="430"/>
      <c r="AU35" s="430"/>
      <c r="AV35" s="430"/>
      <c r="AW35" s="430"/>
      <c r="AX35" s="430"/>
      <c r="AY35" s="430"/>
      <c r="AZ35" s="430"/>
    </row>
    <row r="36" spans="1:52" ht="18.75">
      <c r="A36" s="4571" t="s">
        <v>1719</v>
      </c>
      <c r="B36" s="3076">
        <f t="shared" si="8"/>
        <v>-6624.9</v>
      </c>
      <c r="C36" s="3076">
        <f>SUM(H36+L36+Q36+V36)</f>
        <v>-6624.9</v>
      </c>
      <c r="D36" s="3157">
        <v>0</v>
      </c>
      <c r="E36" s="3075">
        <f>SUM('Произв. прогр. Вода'!E35)</f>
        <v>-552.07499999999993</v>
      </c>
      <c r="F36" s="3075">
        <f>SUM('Произв. прогр. Вода'!F35)</f>
        <v>-552.07499999999993</v>
      </c>
      <c r="G36" s="3075">
        <f>SUM('Произв. прогр. Вода'!G35)</f>
        <v>-552.07499999999993</v>
      </c>
      <c r="H36" s="3076">
        <f>SUM('Произв. прогр. Вода'!H35)</f>
        <v>-1656.2249999999999</v>
      </c>
      <c r="I36" s="3075">
        <f>SUM('Произв. прогр. Вода'!I35)</f>
        <v>-552.07499999999993</v>
      </c>
      <c r="J36" s="3075">
        <f>SUM('Произв. прогр. Вода'!J35)</f>
        <v>-552.07499999999993</v>
      </c>
      <c r="K36" s="3075">
        <f>SUM('Произв. прогр. Вода'!K35)</f>
        <v>-552.07499999999993</v>
      </c>
      <c r="L36" s="3076">
        <f>SUM('Произв. прогр. Вода'!L35)</f>
        <v>-1656.2249999999999</v>
      </c>
      <c r="M36" s="3076">
        <f>SUM('Произв. прогр. Вода'!M35)</f>
        <v>-3312.45</v>
      </c>
      <c r="N36" s="3075">
        <f>SUM('Произв. прогр. Вода'!N35)</f>
        <v>-552.07499999999993</v>
      </c>
      <c r="O36" s="3075">
        <f>SUM('Произв. прогр. Вода'!O35)</f>
        <v>-552.07499999999993</v>
      </c>
      <c r="P36" s="3075">
        <f>SUM('Произв. прогр. Вода'!P35)</f>
        <v>-552.07499999999993</v>
      </c>
      <c r="Q36" s="3076">
        <f>SUM('Произв. прогр. Вода'!Q35)</f>
        <v>-1656.2249999999999</v>
      </c>
      <c r="R36" s="3076">
        <f>SUM('Произв. прогр. Вода'!R35)</f>
        <v>-4968.6749999999993</v>
      </c>
      <c r="S36" s="3075">
        <f>SUM('Произв. прогр. Вода'!S35)</f>
        <v>-552.07499999999993</v>
      </c>
      <c r="T36" s="3075">
        <f>SUM('Произв. прогр. Вода'!T35)</f>
        <v>-552.07499999999993</v>
      </c>
      <c r="U36" s="3075">
        <f>SUM('Произв. прогр. Вода'!U35)</f>
        <v>-552.07499999999993</v>
      </c>
      <c r="V36" s="3076">
        <f>SUM('Произв. прогр. Вода'!V35)</f>
        <v>-1656.2249999999999</v>
      </c>
      <c r="W36" s="3065">
        <f t="shared" si="7"/>
        <v>-6624.8999999999987</v>
      </c>
      <c r="X36" s="430"/>
      <c r="Y36" s="430"/>
      <c r="Z36" s="430"/>
      <c r="AA36" s="430"/>
      <c r="AB36" s="430"/>
      <c r="AC36" s="430"/>
      <c r="AD36" s="430"/>
      <c r="AE36" s="430"/>
      <c r="AF36" s="430"/>
      <c r="AG36" s="430"/>
      <c r="AH36" s="430"/>
      <c r="AI36" s="430"/>
      <c r="AJ36" s="430"/>
      <c r="AK36" s="430"/>
      <c r="AL36" s="430"/>
      <c r="AM36" s="430"/>
      <c r="AN36" s="430"/>
      <c r="AO36" s="430"/>
      <c r="AP36" s="430"/>
      <c r="AQ36" s="430"/>
      <c r="AR36" s="430"/>
      <c r="AS36" s="430"/>
      <c r="AT36" s="430"/>
      <c r="AU36" s="430"/>
      <c r="AV36" s="430"/>
      <c r="AW36" s="430"/>
      <c r="AX36" s="430"/>
      <c r="AY36" s="430"/>
      <c r="AZ36" s="430"/>
    </row>
    <row r="37" spans="1:52" ht="18.75">
      <c r="A37" s="3080" t="s">
        <v>1720</v>
      </c>
      <c r="B37" s="3070">
        <f>SUM(B35/B18)</f>
        <v>36.398113410498887</v>
      </c>
      <c r="C37" s="3070">
        <f>SUM(C35/C18)</f>
        <v>36.443067773590762</v>
      </c>
      <c r="D37" s="3070">
        <f>SUM(D35/D18)</f>
        <v>28.842758269006644</v>
      </c>
      <c r="E37" s="3081">
        <f>SUM(E35/E18)</f>
        <v>35.930140932814503</v>
      </c>
      <c r="F37" s="3081">
        <f t="shared" ref="F37:H37" si="39">SUM(F35/F18)</f>
        <v>35.929527125949598</v>
      </c>
      <c r="G37" s="3081">
        <f t="shared" si="39"/>
        <v>35.929527125949598</v>
      </c>
      <c r="H37" s="3070">
        <f t="shared" si="39"/>
        <v>35.929732529029629</v>
      </c>
      <c r="I37" s="3081">
        <f>SUM(I35/I18)</f>
        <v>35.928906055098118</v>
      </c>
      <c r="J37" s="3081">
        <f t="shared" ref="J37:M37" si="40">SUM(J35/J18)</f>
        <v>35.922967065080861</v>
      </c>
      <c r="K37" s="3081">
        <f t="shared" si="40"/>
        <v>35.922967065080861</v>
      </c>
      <c r="L37" s="3070">
        <f t="shared" si="40"/>
        <v>35.925019599463106</v>
      </c>
      <c r="M37" s="3070">
        <f t="shared" si="40"/>
        <v>35.9274279064716</v>
      </c>
      <c r="N37" s="3081">
        <f>SUM(N35/N18)</f>
        <v>36.86951355899258</v>
      </c>
      <c r="O37" s="3081">
        <f t="shared" ref="O37:R37" si="41">SUM(O35/O18)</f>
        <v>36.86951355899258</v>
      </c>
      <c r="P37" s="3081">
        <f t="shared" si="41"/>
        <v>36.86856210925918</v>
      </c>
      <c r="Q37" s="3070">
        <f t="shared" si="41"/>
        <v>36.869184734851586</v>
      </c>
      <c r="R37" s="3070">
        <f t="shared" si="41"/>
        <v>36.236708691614517</v>
      </c>
      <c r="S37" s="3081">
        <f>SUM(S35/S18)</f>
        <v>36.868462611247857</v>
      </c>
      <c r="T37" s="3081">
        <f t="shared" ref="T37:V37" si="42">SUM(T35/T18)</f>
        <v>36.868462611247857</v>
      </c>
      <c r="U37" s="3081">
        <f t="shared" si="42"/>
        <v>36.868364276955944</v>
      </c>
      <c r="V37" s="3070">
        <f t="shared" si="42"/>
        <v>36.868429704860539</v>
      </c>
      <c r="W37" s="3082">
        <f t="shared" ref="W37" si="43">SUM(W35/W18)</f>
        <v>36.398113410498887</v>
      </c>
      <c r="X37" s="430"/>
      <c r="Y37" s="430"/>
      <c r="Z37" s="430"/>
      <c r="AA37" s="430"/>
      <c r="AB37" s="430"/>
      <c r="AC37" s="430"/>
      <c r="AD37" s="430"/>
      <c r="AE37" s="430"/>
      <c r="AF37" s="430"/>
      <c r="AG37" s="430"/>
      <c r="AH37" s="430"/>
      <c r="AI37" s="430"/>
      <c r="AJ37" s="430"/>
      <c r="AK37" s="430"/>
      <c r="AL37" s="430"/>
      <c r="AM37" s="430"/>
      <c r="AN37" s="430"/>
      <c r="AO37" s="430"/>
      <c r="AP37" s="430"/>
      <c r="AQ37" s="430"/>
      <c r="AR37" s="430"/>
      <c r="AS37" s="430"/>
      <c r="AT37" s="430"/>
      <c r="AU37" s="430"/>
      <c r="AV37" s="430"/>
      <c r="AW37" s="430"/>
      <c r="AX37" s="430"/>
      <c r="AY37" s="430"/>
      <c r="AZ37" s="430"/>
    </row>
    <row r="38" spans="1:52" ht="18.75">
      <c r="A38" s="3079" t="s">
        <v>264</v>
      </c>
      <c r="B38" s="3076">
        <f>SUM(C28/C19)</f>
        <v>29.632050000000003</v>
      </c>
      <c r="C38" s="3076">
        <f>SUM(C28/C19)</f>
        <v>29.632050000000003</v>
      </c>
      <c r="D38" s="3157">
        <v>0</v>
      </c>
      <c r="E38" s="3158">
        <f>SUM('Произв. прогр. Вода'!E37)</f>
        <v>28.964099999999998</v>
      </c>
      <c r="F38" s="3158">
        <f>SUM(E38)</f>
        <v>28.964099999999998</v>
      </c>
      <c r="G38" s="3158">
        <f>SUM(E38)</f>
        <v>28.964099999999998</v>
      </c>
      <c r="H38" s="3076">
        <f>SUM(G38)</f>
        <v>28.964099999999998</v>
      </c>
      <c r="I38" s="3158">
        <f>SUM(E38)</f>
        <v>28.964099999999998</v>
      </c>
      <c r="J38" s="3158">
        <f>SUM(E38)</f>
        <v>28.964099999999998</v>
      </c>
      <c r="K38" s="3158">
        <f>SUM(E38)</f>
        <v>28.964099999999998</v>
      </c>
      <c r="L38" s="3076">
        <f>SUM(K38)</f>
        <v>28.964099999999998</v>
      </c>
      <c r="M38" s="3076">
        <f>SUM(L38)</f>
        <v>28.964099999999998</v>
      </c>
      <c r="N38" s="3158">
        <f>SUM('Произв. прогр. Вода'!N37)</f>
        <v>30.3</v>
      </c>
      <c r="O38" s="3158">
        <f>SUM(N38)</f>
        <v>30.3</v>
      </c>
      <c r="P38" s="3158">
        <f>SUM(N38)</f>
        <v>30.3</v>
      </c>
      <c r="Q38" s="3076">
        <f>SUM(P38)</f>
        <v>30.3</v>
      </c>
      <c r="R38" s="3076">
        <f>SUM(Q38)</f>
        <v>30.3</v>
      </c>
      <c r="S38" s="3158">
        <f>SUM(N38)</f>
        <v>30.3</v>
      </c>
      <c r="T38" s="3158">
        <f>SUM(S38)</f>
        <v>30.3</v>
      </c>
      <c r="U38" s="3158">
        <f>SUM(S38)</f>
        <v>30.3</v>
      </c>
      <c r="V38" s="3076">
        <f>SUM(U38)</f>
        <v>30.3</v>
      </c>
      <c r="W38" s="3083">
        <f>SUM(W28/W19)</f>
        <v>29.632050000000003</v>
      </c>
      <c r="X38" s="430"/>
      <c r="Y38" s="430"/>
      <c r="Z38" s="430"/>
      <c r="AA38" s="430"/>
      <c r="AB38" s="430"/>
      <c r="AC38" s="430"/>
      <c r="AD38" s="430"/>
      <c r="AE38" s="430"/>
      <c r="AF38" s="430"/>
      <c r="AG38" s="430"/>
      <c r="AH38" s="430"/>
      <c r="AI38" s="430"/>
      <c r="AJ38" s="430"/>
      <c r="AK38" s="430"/>
      <c r="AL38" s="430"/>
      <c r="AM38" s="430"/>
      <c r="AN38" s="430"/>
      <c r="AO38" s="430"/>
      <c r="AP38" s="430"/>
      <c r="AQ38" s="430"/>
      <c r="AR38" s="430"/>
      <c r="AS38" s="430"/>
      <c r="AT38" s="430"/>
      <c r="AU38" s="430"/>
      <c r="AV38" s="430"/>
      <c r="AW38" s="430"/>
      <c r="AX38" s="430"/>
      <c r="AY38" s="430"/>
      <c r="AZ38" s="430"/>
    </row>
    <row r="39" spans="1:52" ht="18.75">
      <c r="A39" s="3079" t="s">
        <v>1721</v>
      </c>
      <c r="B39" s="3076">
        <f>SUM(C29/C19)</f>
        <v>6.8110177735907635</v>
      </c>
      <c r="C39" s="3076">
        <f>SUM(C29/C19)</f>
        <v>6.8110177735907635</v>
      </c>
      <c r="D39" s="3157">
        <v>0</v>
      </c>
      <c r="E39" s="3075">
        <f>SUM(E40-E38)</f>
        <v>7.0703880998493069</v>
      </c>
      <c r="F39" s="3075">
        <f t="shared" ref="F39:U39" si="44">SUM(F40-F38)</f>
        <v>7.0703880998493069</v>
      </c>
      <c r="G39" s="3075">
        <f t="shared" si="44"/>
        <v>7.0703880998493069</v>
      </c>
      <c r="H39" s="3076">
        <f t="shared" ref="H39:H41" si="45">SUM(G39)</f>
        <v>7.0703880998493069</v>
      </c>
      <c r="I39" s="3075">
        <f t="shared" si="44"/>
        <v>7.0703880998493069</v>
      </c>
      <c r="J39" s="3075">
        <f t="shared" si="44"/>
        <v>7.0703880998493069</v>
      </c>
      <c r="K39" s="3075">
        <f t="shared" si="44"/>
        <v>7.0703880998493069</v>
      </c>
      <c r="L39" s="3076">
        <f t="shared" ref="L39:M41" si="46">SUM(K39)</f>
        <v>7.0703880998493069</v>
      </c>
      <c r="M39" s="3076">
        <f t="shared" si="46"/>
        <v>7.0703880998493069</v>
      </c>
      <c r="N39" s="3075">
        <f t="shared" si="44"/>
        <v>6.5516474473322184</v>
      </c>
      <c r="O39" s="3075">
        <f t="shared" si="44"/>
        <v>6.5516474473322184</v>
      </c>
      <c r="P39" s="3075">
        <f t="shared" si="44"/>
        <v>6.5516474473322184</v>
      </c>
      <c r="Q39" s="3076">
        <f t="shared" ref="Q39:R41" si="47">SUM(P39)</f>
        <v>6.5516474473322184</v>
      </c>
      <c r="R39" s="3076">
        <f t="shared" si="47"/>
        <v>6.5516474473322184</v>
      </c>
      <c r="S39" s="3075">
        <f t="shared" si="44"/>
        <v>6.5516474473322184</v>
      </c>
      <c r="T39" s="3075">
        <f t="shared" si="44"/>
        <v>6.5516474473322184</v>
      </c>
      <c r="U39" s="3075">
        <f t="shared" si="44"/>
        <v>6.5516474473322184</v>
      </c>
      <c r="V39" s="3076">
        <f t="shared" ref="V39:V41" si="48">SUM(U39)</f>
        <v>6.5516474473322184</v>
      </c>
      <c r="W39" s="3083">
        <f>SUM(W29/W19)</f>
        <v>6.8110177735907635</v>
      </c>
      <c r="X39" s="430"/>
      <c r="Y39" s="430"/>
      <c r="Z39" s="430"/>
      <c r="AA39" s="430"/>
      <c r="AB39" s="430"/>
      <c r="AC39" s="430"/>
      <c r="AD39" s="430"/>
      <c r="AE39" s="430"/>
      <c r="AF39" s="430"/>
      <c r="AG39" s="430"/>
      <c r="AH39" s="430"/>
      <c r="AI39" s="430"/>
      <c r="AJ39" s="430"/>
      <c r="AK39" s="430"/>
      <c r="AL39" s="430"/>
      <c r="AM39" s="430"/>
      <c r="AN39" s="430"/>
      <c r="AO39" s="430"/>
      <c r="AP39" s="430"/>
      <c r="AQ39" s="430"/>
      <c r="AR39" s="430"/>
      <c r="AS39" s="430"/>
      <c r="AT39" s="430"/>
      <c r="AU39" s="430"/>
      <c r="AV39" s="430"/>
      <c r="AW39" s="430"/>
      <c r="AX39" s="430"/>
      <c r="AY39" s="430"/>
      <c r="AZ39" s="430"/>
    </row>
    <row r="40" spans="1:52" ht="18.75">
      <c r="A40" s="3079" t="s">
        <v>265</v>
      </c>
      <c r="B40" s="3076">
        <f>SUM(B30+B32)/(B20-B21+B22)</f>
        <v>36.443067773590762</v>
      </c>
      <c r="C40" s="3076">
        <f>SUM(C30+C32)/(C20+C22)</f>
        <v>36.443067773590762</v>
      </c>
      <c r="D40" s="3076">
        <v>0</v>
      </c>
      <c r="E40" s="3075">
        <f>SUM('Произв. прогр. Вода'!E39)</f>
        <v>36.034488099849305</v>
      </c>
      <c r="F40" s="3075">
        <f>SUM(E40)</f>
        <v>36.034488099849305</v>
      </c>
      <c r="G40" s="3075">
        <f>SUM(E40)</f>
        <v>36.034488099849305</v>
      </c>
      <c r="H40" s="3076">
        <f t="shared" si="45"/>
        <v>36.034488099849305</v>
      </c>
      <c r="I40" s="3075">
        <f>SUM(E40)</f>
        <v>36.034488099849305</v>
      </c>
      <c r="J40" s="3075">
        <f>SUM(E40)</f>
        <v>36.034488099849305</v>
      </c>
      <c r="K40" s="3075">
        <f>SUM(E40)</f>
        <v>36.034488099849305</v>
      </c>
      <c r="L40" s="3076">
        <f t="shared" si="46"/>
        <v>36.034488099849305</v>
      </c>
      <c r="M40" s="3076">
        <f t="shared" si="46"/>
        <v>36.034488099849305</v>
      </c>
      <c r="N40" s="3075">
        <f>SUM('Произв. прогр. Вода'!N39)</f>
        <v>36.851647447332219</v>
      </c>
      <c r="O40" s="3075">
        <f>SUM(N40)</f>
        <v>36.851647447332219</v>
      </c>
      <c r="P40" s="3075">
        <f>SUM(N40)</f>
        <v>36.851647447332219</v>
      </c>
      <c r="Q40" s="3076">
        <f t="shared" si="47"/>
        <v>36.851647447332219</v>
      </c>
      <c r="R40" s="3076">
        <f t="shared" si="47"/>
        <v>36.851647447332219</v>
      </c>
      <c r="S40" s="3075">
        <f>SUM(N40)</f>
        <v>36.851647447332219</v>
      </c>
      <c r="T40" s="3075">
        <f>SUM(N40)</f>
        <v>36.851647447332219</v>
      </c>
      <c r="U40" s="3075">
        <f>SUM(N40)</f>
        <v>36.851647447332219</v>
      </c>
      <c r="V40" s="3076">
        <f t="shared" si="48"/>
        <v>36.851647447332219</v>
      </c>
      <c r="W40" s="3083">
        <f>SUM(W30/(W20-W21))</f>
        <v>36.443067773590762</v>
      </c>
      <c r="X40" s="430"/>
      <c r="Y40" s="430"/>
      <c r="Z40" s="430"/>
      <c r="AA40" s="430"/>
      <c r="AB40" s="430"/>
      <c r="AC40" s="430"/>
      <c r="AD40" s="430"/>
      <c r="AE40" s="430"/>
      <c r="AF40" s="430"/>
      <c r="AG40" s="430"/>
      <c r="AH40" s="430"/>
      <c r="AI40" s="430"/>
      <c r="AJ40" s="430"/>
      <c r="AK40" s="430"/>
      <c r="AL40" s="430"/>
      <c r="AM40" s="430"/>
      <c r="AN40" s="430"/>
      <c r="AO40" s="430"/>
      <c r="AP40" s="430"/>
      <c r="AQ40" s="430"/>
      <c r="AR40" s="430"/>
      <c r="AS40" s="430"/>
      <c r="AT40" s="430"/>
      <c r="AU40" s="430"/>
      <c r="AV40" s="430"/>
      <c r="AW40" s="430"/>
      <c r="AX40" s="430"/>
      <c r="AY40" s="430"/>
      <c r="AZ40" s="430"/>
    </row>
    <row r="41" spans="1:52" ht="18.75">
      <c r="A41" s="3066" t="s">
        <v>25</v>
      </c>
      <c r="B41" s="3076">
        <f>SUM(B31/B21)</f>
        <v>28.842758269006644</v>
      </c>
      <c r="C41" s="3157">
        <v>0</v>
      </c>
      <c r="D41" s="3076">
        <f>SUM(D35/D18)</f>
        <v>28.842758269006644</v>
      </c>
      <c r="E41" s="3075">
        <f>SUM('Произв. прогр. Вода'!E40)</f>
        <v>17.934118095092199</v>
      </c>
      <c r="F41" s="3075">
        <f>SUM(E41)</f>
        <v>17.934118095092199</v>
      </c>
      <c r="G41" s="3075">
        <f>SUM(E41)</f>
        <v>17.934118095092199</v>
      </c>
      <c r="H41" s="3076">
        <f t="shared" si="45"/>
        <v>17.934118095092199</v>
      </c>
      <c r="I41" s="3075">
        <f>SUM(E41)</f>
        <v>17.934118095092199</v>
      </c>
      <c r="J41" s="3075">
        <f>SUM(E41)</f>
        <v>17.934118095092199</v>
      </c>
      <c r="K41" s="3075">
        <f>SUM(E41)</f>
        <v>17.934118095092199</v>
      </c>
      <c r="L41" s="3076">
        <f t="shared" si="46"/>
        <v>17.934118095092199</v>
      </c>
      <c r="M41" s="3076">
        <f t="shared" si="46"/>
        <v>17.934118095092199</v>
      </c>
      <c r="N41" s="3075">
        <f>SUM('Произв. прогр. Вода'!N40)</f>
        <v>39.751398442921086</v>
      </c>
      <c r="O41" s="3075">
        <f>SUM(N41)</f>
        <v>39.751398442921086</v>
      </c>
      <c r="P41" s="3075">
        <f>SUM(N41)</f>
        <v>39.751398442921086</v>
      </c>
      <c r="Q41" s="3076">
        <f t="shared" si="47"/>
        <v>39.751398442921086</v>
      </c>
      <c r="R41" s="3076">
        <f t="shared" si="47"/>
        <v>39.751398442921086</v>
      </c>
      <c r="S41" s="3075">
        <f>SUM(N41)</f>
        <v>39.751398442921086</v>
      </c>
      <c r="T41" s="3075">
        <f>SUM(N41)</f>
        <v>39.751398442921086</v>
      </c>
      <c r="U41" s="3075">
        <f>SUM(N41)</f>
        <v>39.751398442921086</v>
      </c>
      <c r="V41" s="3076">
        <f t="shared" si="48"/>
        <v>39.751398442921086</v>
      </c>
      <c r="W41" s="3083">
        <f>SUM(W31/W21)</f>
        <v>28.842758269006644</v>
      </c>
      <c r="X41" s="430"/>
      <c r="Y41" s="430"/>
      <c r="Z41" s="430"/>
      <c r="AA41" s="430"/>
      <c r="AB41" s="430"/>
      <c r="AC41" s="430"/>
      <c r="AD41" s="430"/>
      <c r="AE41" s="430"/>
      <c r="AF41" s="430"/>
      <c r="AG41" s="430"/>
      <c r="AH41" s="430"/>
      <c r="AI41" s="430"/>
      <c r="AJ41" s="430"/>
      <c r="AK41" s="430"/>
      <c r="AL41" s="430"/>
      <c r="AM41" s="430"/>
      <c r="AN41" s="430"/>
      <c r="AO41" s="430"/>
      <c r="AP41" s="430"/>
      <c r="AQ41" s="430"/>
      <c r="AR41" s="430"/>
      <c r="AS41" s="430"/>
      <c r="AT41" s="430"/>
      <c r="AU41" s="430"/>
      <c r="AV41" s="430"/>
      <c r="AW41" s="430"/>
      <c r="AX41" s="430"/>
      <c r="AY41" s="430"/>
      <c r="AZ41" s="430"/>
    </row>
    <row r="42" spans="1:52" ht="18.75">
      <c r="A42" s="4999" t="s">
        <v>1722</v>
      </c>
      <c r="B42" s="5000"/>
      <c r="C42" s="5000"/>
      <c r="D42" s="5000"/>
      <c r="E42" s="5001"/>
      <c r="F42" s="5001"/>
      <c r="G42" s="5001"/>
      <c r="H42" s="5001"/>
      <c r="I42" s="5001"/>
      <c r="J42" s="5001"/>
      <c r="K42" s="5001"/>
      <c r="L42" s="5001"/>
      <c r="M42" s="5001"/>
      <c r="N42" s="5001"/>
      <c r="O42" s="5001"/>
      <c r="P42" s="5001"/>
      <c r="Q42" s="5001"/>
      <c r="R42" s="5001"/>
      <c r="S42" s="5001"/>
      <c r="T42" s="5001"/>
      <c r="U42" s="5001"/>
      <c r="V42" s="5001"/>
      <c r="W42" s="3065"/>
      <c r="X42" s="430"/>
      <c r="Y42" s="430"/>
      <c r="Z42" s="430"/>
      <c r="AA42" s="430"/>
      <c r="AB42" s="430"/>
      <c r="AC42" s="430"/>
      <c r="AD42" s="430"/>
      <c r="AE42" s="430"/>
      <c r="AF42" s="430"/>
      <c r="AG42" s="430"/>
      <c r="AH42" s="430"/>
      <c r="AI42" s="430"/>
      <c r="AJ42" s="430"/>
      <c r="AK42" s="430"/>
      <c r="AL42" s="430"/>
      <c r="AM42" s="430"/>
      <c r="AN42" s="430"/>
      <c r="AO42" s="430"/>
      <c r="AP42" s="430"/>
      <c r="AQ42" s="430"/>
      <c r="AR42" s="430"/>
      <c r="AS42" s="430"/>
      <c r="AT42" s="430"/>
      <c r="AU42" s="430"/>
      <c r="AV42" s="430"/>
      <c r="AW42" s="430"/>
      <c r="AX42" s="430"/>
      <c r="AY42" s="430"/>
      <c r="AZ42" s="430"/>
    </row>
    <row r="43" spans="1:52" ht="18.75">
      <c r="A43" s="4989" t="s">
        <v>545</v>
      </c>
      <c r="B43" s="4982" t="s">
        <v>1960</v>
      </c>
      <c r="C43" s="4982" t="s">
        <v>575</v>
      </c>
      <c r="D43" s="4982"/>
      <c r="E43" s="4981" t="s">
        <v>586</v>
      </c>
      <c r="F43" s="4981" t="s">
        <v>587</v>
      </c>
      <c r="G43" s="4981" t="s">
        <v>588</v>
      </c>
      <c r="H43" s="4984" t="s">
        <v>600</v>
      </c>
      <c r="I43" s="4981" t="s">
        <v>589</v>
      </c>
      <c r="J43" s="4981" t="s">
        <v>590</v>
      </c>
      <c r="K43" s="4981" t="s">
        <v>591</v>
      </c>
      <c r="L43" s="4984" t="s">
        <v>599</v>
      </c>
      <c r="M43" s="4984" t="s">
        <v>598</v>
      </c>
      <c r="N43" s="4981" t="s">
        <v>592</v>
      </c>
      <c r="O43" s="4981" t="s">
        <v>593</v>
      </c>
      <c r="P43" s="4981" t="s">
        <v>594</v>
      </c>
      <c r="Q43" s="4984" t="s">
        <v>225</v>
      </c>
      <c r="R43" s="4984" t="s">
        <v>229</v>
      </c>
      <c r="S43" s="4981" t="s">
        <v>595</v>
      </c>
      <c r="T43" s="4981" t="s">
        <v>596</v>
      </c>
      <c r="U43" s="4981" t="s">
        <v>597</v>
      </c>
      <c r="V43" s="4984" t="s">
        <v>135</v>
      </c>
      <c r="W43" s="5009" t="s">
        <v>601</v>
      </c>
      <c r="X43" s="430"/>
      <c r="Y43" s="430"/>
      <c r="Z43" s="430"/>
      <c r="AA43" s="430"/>
      <c r="AB43" s="430"/>
      <c r="AC43" s="430"/>
      <c r="AD43" s="430"/>
      <c r="AE43" s="430"/>
      <c r="AF43" s="430"/>
      <c r="AG43" s="430"/>
      <c r="AH43" s="430"/>
      <c r="AI43" s="430"/>
      <c r="AJ43" s="430"/>
      <c r="AK43" s="430"/>
      <c r="AL43" s="430"/>
      <c r="AM43" s="430"/>
      <c r="AN43" s="430"/>
      <c r="AO43" s="430"/>
      <c r="AP43" s="430"/>
      <c r="AQ43" s="430"/>
      <c r="AR43" s="430"/>
      <c r="AS43" s="430"/>
      <c r="AT43" s="430"/>
      <c r="AU43" s="430"/>
      <c r="AV43" s="430"/>
      <c r="AW43" s="430"/>
      <c r="AX43" s="430"/>
      <c r="AY43" s="430"/>
      <c r="AZ43" s="430"/>
    </row>
    <row r="44" spans="1:52" ht="37.5">
      <c r="A44" s="4990"/>
      <c r="B44" s="4982"/>
      <c r="C44" s="3057" t="s">
        <v>1553</v>
      </c>
      <c r="D44" s="3057" t="s">
        <v>1554</v>
      </c>
      <c r="E44" s="4981"/>
      <c r="F44" s="4981"/>
      <c r="G44" s="4981"/>
      <c r="H44" s="4984"/>
      <c r="I44" s="4981"/>
      <c r="J44" s="4981"/>
      <c r="K44" s="4981"/>
      <c r="L44" s="4984"/>
      <c r="M44" s="4984"/>
      <c r="N44" s="4981"/>
      <c r="O44" s="4981"/>
      <c r="P44" s="4981"/>
      <c r="Q44" s="4984"/>
      <c r="R44" s="4984"/>
      <c r="S44" s="4981"/>
      <c r="T44" s="4981"/>
      <c r="U44" s="4981"/>
      <c r="V44" s="4984"/>
      <c r="W44" s="5009"/>
      <c r="X44" s="430"/>
      <c r="Y44" s="430"/>
      <c r="Z44" s="430"/>
      <c r="AA44" s="430"/>
      <c r="AB44" s="430"/>
      <c r="AC44" s="430"/>
      <c r="AD44" s="430"/>
      <c r="AE44" s="430"/>
      <c r="AF44" s="430"/>
      <c r="AG44" s="430"/>
      <c r="AH44" s="430"/>
      <c r="AI44" s="430"/>
      <c r="AJ44" s="430"/>
      <c r="AK44" s="430"/>
      <c r="AL44" s="430"/>
      <c r="AM44" s="430"/>
      <c r="AN44" s="430"/>
      <c r="AO44" s="430"/>
      <c r="AP44" s="430"/>
      <c r="AQ44" s="430"/>
      <c r="AR44" s="430"/>
      <c r="AS44" s="430"/>
      <c r="AT44" s="430"/>
      <c r="AU44" s="430"/>
      <c r="AV44" s="430"/>
      <c r="AW44" s="430"/>
      <c r="AX44" s="430"/>
      <c r="AY44" s="430"/>
      <c r="AZ44" s="430"/>
    </row>
    <row r="45" spans="1:52" ht="18.75">
      <c r="A45" s="3086" t="s">
        <v>1</v>
      </c>
      <c r="B45" s="3063">
        <f t="shared" ref="B45:B51" si="49">SUM(C45:D45)</f>
        <v>9024.296779152719</v>
      </c>
      <c r="C45" s="3063">
        <f>SUM('Произв. прогр. Вода'!C45+'Произв. прогр. Вода'!C69)</f>
        <v>9000.702411125807</v>
      </c>
      <c r="D45" s="3063">
        <f>SUM('Произв. прогр. Вода'!D45+'Произв. прогр. Вода'!D69)</f>
        <v>23.59436802691198</v>
      </c>
      <c r="E45" s="3092">
        <f>SUM('Произв. прогр. Вода'!E45+'Произв. прогр. Вода'!E69)</f>
        <v>747.39358259553501</v>
      </c>
      <c r="F45" s="3092">
        <f>SUM('Произв. прогр. Вода'!F45+'Произв. прогр. Вода'!F69)</f>
        <v>742.59366590801301</v>
      </c>
      <c r="G45" s="3092">
        <f>SUM('Произв. прогр. Вода'!G45+'Произв. прогр. Вода'!G69)</f>
        <v>742.59366590801301</v>
      </c>
      <c r="H45" s="3063">
        <f>SUM('Произв. прогр. Вода'!H45+'Произв. прогр. Вода'!H69)</f>
        <v>2232.580914411561</v>
      </c>
      <c r="I45" s="3092">
        <f>SUM('Произв. прогр. Вода'!I45+'Произв. прогр. Вода'!I69)</f>
        <v>737.79374922049101</v>
      </c>
      <c r="J45" s="3092">
        <f>SUM('Произв. прогр. Вода'!J45+'Произв. прогр. Вода'!J69)</f>
        <v>694.59449903279301</v>
      </c>
      <c r="K45" s="3092">
        <f>SUM('Произв. прогр. Вода'!K45+'Произв. прогр. Вода'!K69)</f>
        <v>694.59449903279301</v>
      </c>
      <c r="L45" s="3063">
        <f>SUM('Произв. прогр. Вода'!L45+'Произв. прогр. Вода'!L69)</f>
        <v>2126.982747286077</v>
      </c>
      <c r="M45" s="3063">
        <f>SUM('Произв. прогр. Вода'!M45+'Произв. прогр. Вода'!M69)</f>
        <v>4359.563661697639</v>
      </c>
      <c r="N45" s="3092">
        <f>SUM('Произв. прогр. Вода'!N45+'Произв. прогр. Вода'!N69)</f>
        <v>743.21611396508865</v>
      </c>
      <c r="O45" s="3092">
        <f>SUM('Произв. прогр. Вода'!O45+'Произв. прогр. Вода'!O69)</f>
        <v>743.21611396508865</v>
      </c>
      <c r="P45" s="3092">
        <f>SUM('Произв. прогр. Вода'!P45+'Произв. прогр. Вода'!P69)</f>
        <v>789.4393116659254</v>
      </c>
      <c r="Q45" s="3063">
        <f>SUM('Произв. прогр. Вода'!Q45+'Произв. прогр. Вода'!Q69)</f>
        <v>2275.8715395961026</v>
      </c>
      <c r="R45" s="3063">
        <f>SUM('Произв. прогр. Вода'!R45+'Произв. прогр. Вода'!R69)</f>
        <v>6635.4352012937416</v>
      </c>
      <c r="S45" s="3092">
        <f>SUM('Произв. прогр. Вода'!S45+'Произв. прогр. Вода'!S69)</f>
        <v>794.57522252157401</v>
      </c>
      <c r="T45" s="3092">
        <f>SUM('Произв. прогр. Вода'!T45+'Произв. прогр. Вода'!T69)</f>
        <v>794.57522252157401</v>
      </c>
      <c r="U45" s="3092">
        <f>SUM('Произв. прогр. Вода'!U45+'Произв. прогр. Вода'!U69)</f>
        <v>799.71113337722261</v>
      </c>
      <c r="V45" s="3063">
        <f>SUM('Произв. прогр. Вода'!V45+'Произв. прогр. Вода'!V69)</f>
        <v>2388.8615784203703</v>
      </c>
      <c r="W45" s="3065">
        <f t="shared" ref="W45:W83" si="50">SUM(E45+F45+G45+I45+J45+K45+N45+O45+P45+S45+T45+U45)</f>
        <v>9024.2967797141118</v>
      </c>
      <c r="X45" s="430"/>
      <c r="Y45" s="430"/>
      <c r="Z45" s="430"/>
      <c r="AA45" s="430"/>
      <c r="AB45" s="430"/>
      <c r="AC45" s="430"/>
      <c r="AD45" s="430"/>
      <c r="AE45" s="430"/>
      <c r="AF45" s="430"/>
      <c r="AG45" s="430"/>
      <c r="AH45" s="430"/>
      <c r="AI45" s="430"/>
      <c r="AJ45" s="430"/>
      <c r="AK45" s="430"/>
      <c r="AL45" s="430"/>
      <c r="AM45" s="430"/>
      <c r="AN45" s="430"/>
      <c r="AO45" s="430"/>
      <c r="AP45" s="430"/>
      <c r="AQ45" s="430"/>
      <c r="AR45" s="430"/>
      <c r="AS45" s="430"/>
      <c r="AT45" s="430"/>
      <c r="AU45" s="430"/>
      <c r="AV45" s="430"/>
      <c r="AW45" s="430"/>
      <c r="AX45" s="430"/>
      <c r="AY45" s="430"/>
      <c r="AZ45" s="430"/>
    </row>
    <row r="46" spans="1:52" ht="18.75">
      <c r="A46" s="3086" t="s">
        <v>2</v>
      </c>
      <c r="B46" s="3063">
        <f t="shared" si="49"/>
        <v>8497.9000000000015</v>
      </c>
      <c r="C46" s="3063">
        <f>SUM('Произв. прогр. Вода'!C46+'Произв. прогр. Вода'!C71+'Произв. прогр. Вода'!C107+'Произв. прогр. Вода'!C130)</f>
        <v>8476.8043680103401</v>
      </c>
      <c r="D46" s="3063">
        <f>SUM('Произв. прогр. Вода'!D46+'Произв. прогр. Вода'!D71+'Произв. прогр. Вода'!D107+'Произв. прогр. Вода'!D130)</f>
        <v>21.095631989661342</v>
      </c>
      <c r="E46" s="3092">
        <f>SUM('Произв. прогр. Вода'!E46+'Произв. прогр. Вода'!E71+'Произв. прогр. Вода'!E107+'Произв. прогр. Вода'!E130)</f>
        <v>708.1583333333333</v>
      </c>
      <c r="F46" s="3092">
        <f>SUM('Произв. прогр. Вода'!F46+'Произв. прогр. Вода'!F71+'Произв. прогр. Вода'!F107+'Произв. прогр. Вода'!F130)</f>
        <v>708.1583333333333</v>
      </c>
      <c r="G46" s="3092">
        <f>SUM('Произв. прогр. Вода'!G46+'Произв. прогр. Вода'!G71+'Произв. прогр. Вода'!G107+'Произв. прогр. Вода'!G130)</f>
        <v>708.1583333333333</v>
      </c>
      <c r="H46" s="3063">
        <f>SUM('Произв. прогр. Вода'!H46+'Произв. прогр. Вода'!H71+'Произв. прогр. Вода'!H107+'Произв. прогр. Вода'!H130)</f>
        <v>2124.4750000000004</v>
      </c>
      <c r="I46" s="3092">
        <f>SUM('Произв. прогр. Вода'!I46+'Произв. прогр. Вода'!I71+'Произв. прогр. Вода'!I107+'Произв. прогр. Вода'!I130)</f>
        <v>708.1583333333333</v>
      </c>
      <c r="J46" s="3092">
        <f>SUM('Произв. прогр. Вода'!J46+'Произв. прогр. Вода'!J71+'Произв. прогр. Вода'!J107+'Произв. прогр. Вода'!J130)</f>
        <v>708.1583333333333</v>
      </c>
      <c r="K46" s="3092">
        <f>SUM('Произв. прогр. Вода'!K46+'Произв. прогр. Вода'!K71+'Произв. прогр. Вода'!K107+'Произв. прогр. Вода'!K130)</f>
        <v>708.1583333333333</v>
      </c>
      <c r="L46" s="3063">
        <f>SUM('Произв. прогр. Вода'!L46+'Произв. прогр. Вода'!L71+'Произв. прогр. Вода'!L107+'Произв. прогр. Вода'!L130)</f>
        <v>2124.4750000000004</v>
      </c>
      <c r="M46" s="3063">
        <f>SUM('Произв. прогр. Вода'!M46+'Произв. прогр. Вода'!M71+'Произв. прогр. Вода'!M107+'Произв. прогр. Вода'!M130)</f>
        <v>4248.9500000000007</v>
      </c>
      <c r="N46" s="3092">
        <f>SUM('Произв. прогр. Вода'!N46+'Произв. прогр. Вода'!N71+'Произв. прогр. Вода'!N107+'Произв. прогр. Вода'!N130)</f>
        <v>708.1583333333333</v>
      </c>
      <c r="O46" s="3092">
        <f>SUM('Произв. прогр. Вода'!O46+'Произв. прогр. Вода'!O71+'Произв. прогр. Вода'!O107+'Произв. прогр. Вода'!O130)</f>
        <v>708.1583333333333</v>
      </c>
      <c r="P46" s="3092">
        <f>SUM('Произв. прогр. Вода'!P46+'Произв. прогр. Вода'!P71+'Произв. прогр. Вода'!P107+'Произв. прогр. Вода'!P130)</f>
        <v>708.1583333333333</v>
      </c>
      <c r="Q46" s="3063">
        <f>SUM('Произв. прогр. Вода'!Q46+'Произв. прогр. Вода'!Q71+'Произв. прогр. Вода'!Q107+'Произв. прогр. Вода'!Q130)</f>
        <v>2124.4750000000004</v>
      </c>
      <c r="R46" s="3063">
        <f>SUM('Произв. прогр. Вода'!R46+'Произв. прогр. Вода'!R71+'Произв. прогр. Вода'!R107+'Произв. прогр. Вода'!R130)</f>
        <v>6373.4249999999993</v>
      </c>
      <c r="S46" s="3092">
        <f>SUM('Произв. прогр. Вода'!S46+'Произв. прогр. Вода'!S71+'Произв. прогр. Вода'!S107+'Произв. прогр. Вода'!S130)</f>
        <v>708.1583333333333</v>
      </c>
      <c r="T46" s="3092">
        <f>SUM('Произв. прогр. Вода'!T46+'Произв. прогр. Вода'!T71+'Произв. прогр. Вода'!T107+'Произв. прогр. Вода'!T130)</f>
        <v>708.1583333333333</v>
      </c>
      <c r="U46" s="3092">
        <f>SUM('Произв. прогр. Вода'!U46+'Произв. прогр. Вода'!U71+'Произв. прогр. Вода'!U107+'Произв. прогр. Вода'!U130)</f>
        <v>708.1583333333333</v>
      </c>
      <c r="V46" s="3063">
        <f>SUM('Произв. прогр. Вода'!V46+'Произв. прогр. Вода'!V71+'Произв. прогр. Вода'!V107+'Произв. прогр. Вода'!V130)</f>
        <v>2124.4750000000004</v>
      </c>
      <c r="W46" s="3065">
        <f t="shared" si="50"/>
        <v>8497.8999999999978</v>
      </c>
      <c r="X46" s="430"/>
      <c r="Y46" s="430"/>
      <c r="Z46" s="430"/>
      <c r="AA46" s="430"/>
      <c r="AB46" s="430"/>
      <c r="AC46" s="430"/>
      <c r="AD46" s="430"/>
      <c r="AE46" s="430"/>
      <c r="AF46" s="430"/>
      <c r="AG46" s="430"/>
      <c r="AH46" s="430"/>
      <c r="AI46" s="430"/>
      <c r="AJ46" s="430"/>
      <c r="AK46" s="430"/>
      <c r="AL46" s="430"/>
      <c r="AM46" s="430"/>
      <c r="AN46" s="430"/>
      <c r="AO46" s="430"/>
      <c r="AP46" s="430"/>
      <c r="AQ46" s="430"/>
      <c r="AR46" s="430"/>
      <c r="AS46" s="430"/>
      <c r="AT46" s="430"/>
      <c r="AU46" s="430"/>
      <c r="AV46" s="430"/>
      <c r="AW46" s="430"/>
      <c r="AX46" s="430"/>
      <c r="AY46" s="430"/>
      <c r="AZ46" s="430"/>
    </row>
    <row r="47" spans="1:52" ht="18.75">
      <c r="A47" s="3086" t="s">
        <v>219</v>
      </c>
      <c r="B47" s="3063">
        <f t="shared" si="49"/>
        <v>0</v>
      </c>
      <c r="C47" s="3063">
        <v>0</v>
      </c>
      <c r="D47" s="3063">
        <v>0</v>
      </c>
      <c r="E47" s="3071">
        <v>0</v>
      </c>
      <c r="F47" s="3071">
        <v>0</v>
      </c>
      <c r="G47" s="3071">
        <v>0</v>
      </c>
      <c r="H47" s="3072">
        <v>0</v>
      </c>
      <c r="I47" s="3071">
        <v>0</v>
      </c>
      <c r="J47" s="3071">
        <v>0</v>
      </c>
      <c r="K47" s="3071">
        <v>0</v>
      </c>
      <c r="L47" s="3072">
        <v>0</v>
      </c>
      <c r="M47" s="3072">
        <v>0</v>
      </c>
      <c r="N47" s="3071">
        <v>0</v>
      </c>
      <c r="O47" s="3071">
        <v>0</v>
      </c>
      <c r="P47" s="3071">
        <v>0</v>
      </c>
      <c r="Q47" s="3072">
        <v>0</v>
      </c>
      <c r="R47" s="3072">
        <v>0</v>
      </c>
      <c r="S47" s="3071">
        <v>0</v>
      </c>
      <c r="T47" s="3071">
        <v>0</v>
      </c>
      <c r="U47" s="3071">
        <v>0</v>
      </c>
      <c r="V47" s="3072">
        <v>0</v>
      </c>
      <c r="W47" s="3065">
        <f t="shared" si="50"/>
        <v>0</v>
      </c>
      <c r="X47" s="430"/>
      <c r="Y47" s="430"/>
      <c r="Z47" s="430"/>
      <c r="AA47" s="430"/>
      <c r="AB47" s="430"/>
      <c r="AC47" s="430"/>
      <c r="AD47" s="430"/>
      <c r="AE47" s="430"/>
      <c r="AF47" s="430"/>
      <c r="AG47" s="430"/>
      <c r="AH47" s="430"/>
      <c r="AI47" s="430"/>
      <c r="AJ47" s="430"/>
      <c r="AK47" s="430"/>
      <c r="AL47" s="430"/>
      <c r="AM47" s="430"/>
      <c r="AN47" s="430"/>
      <c r="AO47" s="430"/>
      <c r="AP47" s="430"/>
      <c r="AQ47" s="430"/>
      <c r="AR47" s="430"/>
      <c r="AS47" s="430"/>
      <c r="AT47" s="430"/>
      <c r="AU47" s="430"/>
      <c r="AV47" s="430"/>
      <c r="AW47" s="430"/>
      <c r="AX47" s="430"/>
      <c r="AY47" s="430"/>
      <c r="AZ47" s="430"/>
    </row>
    <row r="48" spans="1:52" ht="18.75">
      <c r="A48" s="3086" t="s">
        <v>3</v>
      </c>
      <c r="B48" s="3063">
        <f t="shared" si="49"/>
        <v>546.42655573689228</v>
      </c>
      <c r="C48" s="3063">
        <f>SUM('Произв. прогр. Вода'!C48+'Произв. прогр. Вода'!C73+'Произв. прогр. Вода'!C106+'Произв. прогр. Вода'!C132)</f>
        <v>546.42655573689228</v>
      </c>
      <c r="D48" s="3063">
        <f>SUM('Произв. прогр. Вода'!D48+'Произв. прогр. Вода'!D73+'Произв. прогр. Вода'!D106+'Произв. прогр. Вода'!D132)</f>
        <v>0</v>
      </c>
      <c r="E48" s="3092">
        <f>SUM('Произв. прогр. Вода'!E48+'Произв. прогр. Вода'!E73+'Произв. прогр. Вода'!E106+'Произв. прогр. Вода'!E132)</f>
        <v>45.535546311407685</v>
      </c>
      <c r="F48" s="3092">
        <f>SUM('Произв. прогр. Вода'!F48+'Произв. прогр. Вода'!F73+'Произв. прогр. Вода'!F106+'Произв. прогр. Вода'!F132)</f>
        <v>45.535546311407685</v>
      </c>
      <c r="G48" s="3092">
        <f>SUM('Произв. прогр. Вода'!G48+'Произв. прогр. Вода'!G73+'Произв. прогр. Вода'!G106+'Произв. прогр. Вода'!G132)</f>
        <v>45.535546311407685</v>
      </c>
      <c r="H48" s="3063">
        <f>SUM('Произв. прогр. Вода'!H48+'Произв. прогр. Вода'!H73+'Произв. прогр. Вода'!H106+'Произв. прогр. Вода'!H132)</f>
        <v>136.60663893422307</v>
      </c>
      <c r="I48" s="3092">
        <f>SUM('Произв. прогр. Вода'!I48+'Произв. прогр. Вода'!I73+'Произв. прогр. Вода'!I106+'Произв. прогр. Вода'!I132)</f>
        <v>45.535546311407685</v>
      </c>
      <c r="J48" s="3092">
        <f>SUM('Произв. прогр. Вода'!J48+'Произв. прогр. Вода'!J73+'Произв. прогр. Вода'!J106+'Произв. прогр. Вода'!J132)</f>
        <v>45.535546311407685</v>
      </c>
      <c r="K48" s="3092">
        <f>SUM('Произв. прогр. Вода'!K48+'Произв. прогр. Вода'!K73+'Произв. прогр. Вода'!K106+'Произв. прогр. Вода'!K132)</f>
        <v>45.535546311407685</v>
      </c>
      <c r="L48" s="3063">
        <f>SUM('Произв. прогр. Вода'!L48+'Произв. прогр. Вода'!L73+'Произв. прогр. Вода'!L106+'Произв. прогр. Вода'!L132)</f>
        <v>136.60663893422307</v>
      </c>
      <c r="M48" s="3063">
        <f>SUM('Произв. прогр. Вода'!M48+'Произв. прогр. Вода'!M73+'Произв. прогр. Вода'!M106+'Произв. прогр. Вода'!M132)</f>
        <v>273.21327786844614</v>
      </c>
      <c r="N48" s="3092">
        <f>SUM('Произв. прогр. Вода'!N48+'Произв. прогр. Вода'!N73+'Произв. прогр. Вода'!N106+'Произв. прогр. Вода'!N132)</f>
        <v>45.535546311407685</v>
      </c>
      <c r="O48" s="3092">
        <f>SUM('Произв. прогр. Вода'!O48+'Произв. прогр. Вода'!O73+'Произв. прогр. Вода'!O106+'Произв. прогр. Вода'!O132)</f>
        <v>45.535546311407685</v>
      </c>
      <c r="P48" s="3092">
        <f>SUM('Произв. прогр. Вода'!P48+'Произв. прогр. Вода'!P73+'Произв. прогр. Вода'!P106+'Произв. прогр. Вода'!P132)</f>
        <v>45.535546311407685</v>
      </c>
      <c r="Q48" s="3063">
        <f>SUM('Произв. прогр. Вода'!Q48+'Произв. прогр. Вода'!Q73+'Произв. прогр. Вода'!Q106+'Произв. прогр. Вода'!Q132)</f>
        <v>136.60663893422307</v>
      </c>
      <c r="R48" s="3063">
        <f>SUM('Произв. прогр. Вода'!R48+'Произв. прогр. Вода'!R73+'Произв. прогр. Вода'!R106+'Произв. прогр. Вода'!R132)</f>
        <v>409.81991680266924</v>
      </c>
      <c r="S48" s="3092">
        <f>SUM('Произв. прогр. Вода'!S48+'Произв. прогр. Вода'!S73+'Произв. прогр. Вода'!S106+'Произв. прогр. Вода'!S132)</f>
        <v>45.535546311407685</v>
      </c>
      <c r="T48" s="3092">
        <f>SUM('Произв. прогр. Вода'!T48+'Произв. прогр. Вода'!T73+'Произв. прогр. Вода'!T106+'Произв. прогр. Вода'!T132)</f>
        <v>45.535546311407685</v>
      </c>
      <c r="U48" s="3092">
        <f>SUM('Произв. прогр. Вода'!U48+'Произв. прогр. Вода'!U73+'Произв. прогр. Вода'!U106+'Произв. прогр. Вода'!U132)</f>
        <v>45.535546311407685</v>
      </c>
      <c r="V48" s="3063">
        <f>SUM('Произв. прогр. Вода'!V48+'Произв. прогр. Вода'!V73+'Произв. прогр. Вода'!V106+'Произв. прогр. Вода'!V132)</f>
        <v>136.60663893422307</v>
      </c>
      <c r="W48" s="3065">
        <f t="shared" si="50"/>
        <v>546.42655573689228</v>
      </c>
      <c r="X48" s="430"/>
      <c r="Y48" s="430"/>
      <c r="Z48" s="430"/>
      <c r="AA48" s="430"/>
      <c r="AB48" s="430"/>
      <c r="AC48" s="430"/>
      <c r="AD48" s="430"/>
      <c r="AE48" s="430"/>
      <c r="AF48" s="430"/>
      <c r="AG48" s="430"/>
      <c r="AH48" s="430"/>
      <c r="AI48" s="430"/>
      <c r="AJ48" s="430"/>
      <c r="AK48" s="430"/>
      <c r="AL48" s="430"/>
      <c r="AM48" s="430"/>
      <c r="AN48" s="430"/>
      <c r="AO48" s="430"/>
      <c r="AP48" s="430"/>
      <c r="AQ48" s="430"/>
      <c r="AR48" s="430"/>
      <c r="AS48" s="430"/>
      <c r="AT48" s="430"/>
      <c r="AU48" s="430"/>
      <c r="AV48" s="430"/>
      <c r="AW48" s="430"/>
      <c r="AX48" s="430"/>
      <c r="AY48" s="430"/>
      <c r="AZ48" s="430"/>
    </row>
    <row r="49" spans="1:52" ht="18.75">
      <c r="A49" s="3086" t="s">
        <v>8</v>
      </c>
      <c r="B49" s="3063">
        <f t="shared" si="49"/>
        <v>7625.8146402723114</v>
      </c>
      <c r="C49" s="3063">
        <f>SUM('Произв. прогр. Вода'!C70)</f>
        <v>7625.8146402723114</v>
      </c>
      <c r="D49" s="3063">
        <f>SUM('Произв. прогр. Вода'!D70)</f>
        <v>0</v>
      </c>
      <c r="E49" s="3092">
        <f>SUM('Произв. прогр. Вода'!E70)</f>
        <v>635.48455335602591</v>
      </c>
      <c r="F49" s="3092">
        <f>SUM('Произв. прогр. Вода'!F70)</f>
        <v>635.48455335602591</v>
      </c>
      <c r="G49" s="3092">
        <f>SUM('Произв. прогр. Вода'!G70)</f>
        <v>635.48455335602591</v>
      </c>
      <c r="H49" s="3063">
        <f>SUM('Произв. прогр. Вода'!H70)</f>
        <v>1906.4536600680776</v>
      </c>
      <c r="I49" s="3092">
        <f>SUM('Произв. прогр. Вода'!I70)</f>
        <v>635.48455335602591</v>
      </c>
      <c r="J49" s="3092">
        <f>SUM('Произв. прогр. Вода'!J70)</f>
        <v>635.48455335602591</v>
      </c>
      <c r="K49" s="3092">
        <f>SUM('Произв. прогр. Вода'!K70)</f>
        <v>635.48455335602591</v>
      </c>
      <c r="L49" s="3063">
        <f>SUM('Произв. прогр. Вода'!L70)</f>
        <v>1906.4536600680776</v>
      </c>
      <c r="M49" s="3063">
        <f>SUM('Произв. прогр. Вода'!M70)</f>
        <v>3812.9073201361552</v>
      </c>
      <c r="N49" s="3092">
        <f>SUM('Произв. прогр. Вода'!N70)</f>
        <v>635.48455335602591</v>
      </c>
      <c r="O49" s="3092">
        <f>SUM('Произв. прогр. Вода'!O70)</f>
        <v>635.48455335602591</v>
      </c>
      <c r="P49" s="3092">
        <f>SUM('Произв. прогр. Вода'!P70)</f>
        <v>635.48455335602591</v>
      </c>
      <c r="Q49" s="3063">
        <f>SUM('Произв. прогр. Вода'!Q70)</f>
        <v>1906.4536600680776</v>
      </c>
      <c r="R49" s="3063">
        <f>SUM('Произв. прогр. Вода'!R70)</f>
        <v>5719.3609802042329</v>
      </c>
      <c r="S49" s="3092">
        <f>SUM('Произв. прогр. Вода'!S70)</f>
        <v>635.48455335602591</v>
      </c>
      <c r="T49" s="3092">
        <f>SUM('Произв. прогр. Вода'!T70)</f>
        <v>635.48455335602591</v>
      </c>
      <c r="U49" s="3092">
        <f>SUM('Произв. прогр. Вода'!U70)</f>
        <v>635.48455335602591</v>
      </c>
      <c r="V49" s="3063">
        <f>SUM('Произв. прогр. Вода'!V70)</f>
        <v>1906.4536600680776</v>
      </c>
      <c r="W49" s="3065">
        <f t="shared" si="50"/>
        <v>7625.8146402723096</v>
      </c>
      <c r="X49" s="430"/>
      <c r="Y49" s="430"/>
      <c r="Z49" s="430"/>
      <c r="AA49" s="430"/>
      <c r="AB49" s="430"/>
      <c r="AC49" s="430"/>
      <c r="AD49" s="430"/>
      <c r="AE49" s="430"/>
      <c r="AF49" s="430"/>
      <c r="AG49" s="430"/>
      <c r="AH49" s="430"/>
      <c r="AI49" s="430"/>
      <c r="AJ49" s="430"/>
      <c r="AK49" s="430"/>
      <c r="AL49" s="430"/>
      <c r="AM49" s="430"/>
      <c r="AN49" s="430"/>
      <c r="AO49" s="430"/>
      <c r="AP49" s="430"/>
      <c r="AQ49" s="430"/>
      <c r="AR49" s="430"/>
      <c r="AS49" s="430"/>
      <c r="AT49" s="430"/>
      <c r="AU49" s="430"/>
      <c r="AV49" s="430"/>
      <c r="AW49" s="430"/>
      <c r="AX49" s="430"/>
      <c r="AY49" s="430"/>
      <c r="AZ49" s="430"/>
    </row>
    <row r="50" spans="1:52" ht="18.75">
      <c r="A50" s="3086" t="s">
        <v>4</v>
      </c>
      <c r="B50" s="3063">
        <f t="shared" si="49"/>
        <v>51815.384345727049</v>
      </c>
      <c r="C50" s="3063">
        <f>SUM('Произв. прогр. Вода'!C49+'Произв. прогр. Вода'!C74+'Произв. прогр. Вода'!C109+'Произв. прогр. Вода'!C133)</f>
        <v>51664.659581946013</v>
      </c>
      <c r="D50" s="3063">
        <f>SUM('Произв. прогр. Вода'!D49+'Произв. прогр. Вода'!D74+'Произв. прогр. Вода'!D109+'Произв. прогр. Вода'!D133)</f>
        <v>150.72476378103303</v>
      </c>
      <c r="E50" s="3092">
        <f>SUM('Произв. прогр. Вода'!E49+'Произв. прогр. Вода'!E74+'Произв. прогр. Вода'!E109+'Произв. прогр. Вода'!E133)</f>
        <v>4233.2830347816216</v>
      </c>
      <c r="F50" s="3092">
        <f>SUM('Произв. прогр. Вода'!F49+'Произв. прогр. Вода'!F74+'Произв. прогр. Вода'!F109+'Произв. прогр. Вода'!F133)</f>
        <v>4233.2830347816216</v>
      </c>
      <c r="G50" s="3092">
        <f>SUM('Произв. прогр. Вода'!G49+'Произв. прогр. Вода'!G74+'Произв. прогр. Вода'!G109+'Произв. прогр. Вода'!G133)</f>
        <v>4233.2830347816216</v>
      </c>
      <c r="H50" s="3063">
        <f>SUM('Произв. прогр. Вода'!H49+'Произв. прогр. Вода'!H74+'Произв. прогр. Вода'!H109+'Произв. прогр. Вода'!H133)</f>
        <v>12699.849104344863</v>
      </c>
      <c r="I50" s="3092">
        <f>SUM('Произв. прогр. Вода'!I49+'Произв. прогр. Вода'!I74+'Произв. прогр. Вода'!I109+'Произв. прогр. Вода'!I133)</f>
        <v>4233.2830347816216</v>
      </c>
      <c r="J50" s="3092">
        <f>SUM('Произв. прогр. Вода'!J49+'Произв. прогр. Вода'!J74+'Произв. прогр. Вода'!J109+'Произв. прогр. Вода'!J133)</f>
        <v>4233.2830347816216</v>
      </c>
      <c r="K50" s="3092">
        <f>SUM('Произв. прогр. Вода'!K49+'Произв. прогр. Вода'!K74+'Произв. прогр. Вода'!K109+'Произв. прогр. Вода'!K133)</f>
        <v>4233.2830347816216</v>
      </c>
      <c r="L50" s="3063">
        <f>SUM('Произв. прогр. Вода'!L49+'Произв. прогр. Вода'!L74+'Произв. прогр. Вода'!L109+'Произв. прогр. Вода'!L133)</f>
        <v>12699.849104344863</v>
      </c>
      <c r="M50" s="3063">
        <f>SUM('Произв. прогр. Вода'!M49+'Произв. прогр. Вода'!M74+'Произв. прогр. Вода'!M109+'Произв. прогр. Вода'!M133)</f>
        <v>25399.698208689726</v>
      </c>
      <c r="N50" s="3092">
        <f>SUM('Произв. прогр. Вода'!N49+'Произв. прогр. Вода'!N74+'Произв. прогр. Вода'!N109+'Произв. прогр. Вода'!N133)</f>
        <v>4402.6143561728859</v>
      </c>
      <c r="O50" s="3092">
        <f>SUM('Произв. прогр. Вода'!O49+'Произв. прогр. Вода'!O74+'Произв. прогр. Вода'!O109+'Произв. прогр. Вода'!O133)</f>
        <v>4402.6143561728859</v>
      </c>
      <c r="P50" s="3092">
        <f>SUM('Произв. прогр. Вода'!P49+'Произв. прогр. Вода'!P74+'Произв. прогр. Вода'!P109+'Произв. прогр. Вода'!P133)</f>
        <v>4402.6143561728859</v>
      </c>
      <c r="Q50" s="3063">
        <f>SUM('Произв. прогр. Вода'!Q49+'Произв. прогр. Вода'!Q74+'Произв. прогр. Вода'!Q109+'Произв. прогр. Вода'!Q133)</f>
        <v>13207.843068518658</v>
      </c>
      <c r="R50" s="3063">
        <f>SUM('Произв. прогр. Вода'!R49+'Произв. прогр. Вода'!R74+'Произв. прогр. Вода'!R109+'Произв. прогр. Вода'!R133)</f>
        <v>38607.541277208387</v>
      </c>
      <c r="S50" s="3092">
        <f>SUM('Произв. прогр. Вода'!S49+'Произв. прогр. Вода'!S74+'Произв. прогр. Вода'!S109+'Произв. прогр. Вода'!S133)</f>
        <v>4402.6143561728859</v>
      </c>
      <c r="T50" s="3092">
        <f>SUM('Произв. прогр. Вода'!T49+'Произв. прогр. Вода'!T74+'Произв. прогр. Вода'!T109+'Произв. прогр. Вода'!T133)</f>
        <v>4402.6143561728859</v>
      </c>
      <c r="U50" s="3092">
        <f>SUM('Произв. прогр. Вода'!U49+'Произв. прогр. Вода'!U74+'Произв. прогр. Вода'!U109+'Произв. прогр. Вода'!U133)</f>
        <v>4402.6143561728859</v>
      </c>
      <c r="V50" s="3063">
        <f>SUM('Произв. прогр. Вода'!V49+'Произв. прогр. Вода'!V74+'Произв. прогр. Вода'!V109+'Произв. прогр. Вода'!V133)</f>
        <v>13207.843068518658</v>
      </c>
      <c r="W50" s="3065">
        <f t="shared" si="50"/>
        <v>51815.384345727027</v>
      </c>
      <c r="X50" s="430"/>
      <c r="Y50" s="430"/>
      <c r="Z50" s="430"/>
      <c r="AA50" s="430"/>
      <c r="AB50" s="430"/>
      <c r="AC50" s="430"/>
      <c r="AD50" s="430"/>
      <c r="AE50" s="430"/>
      <c r="AF50" s="430"/>
      <c r="AG50" s="430"/>
      <c r="AH50" s="430"/>
      <c r="AI50" s="430"/>
      <c r="AJ50" s="430"/>
      <c r="AK50" s="430"/>
      <c r="AL50" s="430"/>
      <c r="AM50" s="430"/>
      <c r="AN50" s="430"/>
      <c r="AO50" s="430"/>
      <c r="AP50" s="430"/>
      <c r="AQ50" s="430"/>
      <c r="AR50" s="430"/>
      <c r="AS50" s="430"/>
      <c r="AT50" s="430"/>
      <c r="AU50" s="430"/>
      <c r="AV50" s="430"/>
      <c r="AW50" s="430"/>
      <c r="AX50" s="430"/>
      <c r="AY50" s="430"/>
      <c r="AZ50" s="430"/>
    </row>
    <row r="51" spans="1:52" ht="18.75">
      <c r="A51" s="3086" t="s">
        <v>5</v>
      </c>
      <c r="B51" s="3063">
        <f t="shared" si="49"/>
        <v>15519.563362321329</v>
      </c>
      <c r="C51" s="3063">
        <f>SUM('Произв. прогр. Вода'!C50+'Произв. прогр. Вода'!C75+'Произв. прогр. Вода'!C110+'Произв. прогр. Вода'!C134)</f>
        <v>15474.240569919439</v>
      </c>
      <c r="D51" s="3063">
        <f>SUM('Произв. прогр. Вода'!D50+'Произв. прогр. Вода'!D75+'Произв. прогр. Вода'!D110+'Произв. прогр. Вода'!D134)</f>
        <v>45.322792401889345</v>
      </c>
      <c r="E51" s="3092">
        <f>SUM('Произв. прогр. Вода'!E50+'Произв. прогр. Вода'!E75+'Произв. прогр. Вода'!E110+'Произв. прогр. Вода'!E134)</f>
        <v>1267.9381831961869</v>
      </c>
      <c r="F51" s="3092">
        <f>SUM('Произв. прогр. Вода'!F50+'Произв. прогр. Вода'!F75+'Произв. прогр. Вода'!F110+'Произв. прогр. Вода'!F134)</f>
        <v>1267.9381831961869</v>
      </c>
      <c r="G51" s="3092">
        <f>SUM('Произв. прогр. Вода'!G50+'Произв. прогр. Вода'!G75+'Произв. прогр. Вода'!G110+'Произв. прогр. Вода'!G134)</f>
        <v>1267.9381831961869</v>
      </c>
      <c r="H51" s="3063">
        <f>SUM('Произв. прогр. Вода'!H50+'Произв. прогр. Вода'!H75+'Произв. прогр. Вода'!H110+'Произв. прогр. Вода'!H134)</f>
        <v>3803.8145495885601</v>
      </c>
      <c r="I51" s="3092">
        <f>SUM('Произв. прогр. Вода'!I50+'Произв. прогр. Вода'!I75+'Произв. прогр. Вода'!I110+'Произв. прогр. Вода'!I134)</f>
        <v>1267.9381831961869</v>
      </c>
      <c r="J51" s="3092">
        <f>SUM('Произв. прогр. Вода'!J50+'Произв. прогр. Вода'!J75+'Произв. прогр. Вода'!J110+'Произв. прогр. Вода'!J134)</f>
        <v>1267.9381831961869</v>
      </c>
      <c r="K51" s="3092">
        <f>SUM('Произв. прогр. Вода'!K50+'Произв. прогр. Вода'!K75+'Произв. прогр. Вода'!K110+'Произв. прогр. Вода'!K134)</f>
        <v>1267.9381831961869</v>
      </c>
      <c r="L51" s="3063">
        <f>SUM('Произв. прогр. Вода'!L50+'Произв. прогр. Вода'!L75+'Произв. прогр. Вода'!L110+'Произв. прогр. Вода'!L134)</f>
        <v>3803.8145495885601</v>
      </c>
      <c r="M51" s="3063">
        <f>SUM('Произв. прогр. Вода'!M50+'Произв. прогр. Вода'!M75+'Произв. прогр. Вода'!M110+'Произв. прогр. Вода'!M134)</f>
        <v>7607.6290991771202</v>
      </c>
      <c r="N51" s="3092">
        <f>SUM('Произв. прогр. Вода'!N50+'Произв. прогр. Вода'!N75+'Произв. прогр. Вода'!N110+'Произв. прогр. Вода'!N134)</f>
        <v>1318.6557105240345</v>
      </c>
      <c r="O51" s="3092">
        <f>SUM('Произв. прогр. Вода'!O50+'Произв. прогр. Вода'!O75+'Произв. прогр. Вода'!O110+'Произв. прогр. Вода'!O134)</f>
        <v>1318.6557105240345</v>
      </c>
      <c r="P51" s="3092">
        <f>SUM('Произв. прогр. Вода'!P50+'Произв. прогр. Вода'!P75+'Произв. прогр. Вода'!P110+'Произв. прогр. Вода'!P134)</f>
        <v>1318.6557105240345</v>
      </c>
      <c r="Q51" s="3063">
        <f>SUM('Произв. прогр. Вода'!Q50+'Произв. прогр. Вода'!Q75+'Произв. прогр. Вода'!Q110+'Произв. прогр. Вода'!Q134)</f>
        <v>3955.9671315721034</v>
      </c>
      <c r="R51" s="3063">
        <f>SUM('Произв. прогр. Вода'!R50+'Произв. прогр. Вода'!R75+'Произв. прогр. Вода'!R110+'Произв. прогр. Вода'!R134)</f>
        <v>11563.596230749223</v>
      </c>
      <c r="S51" s="3092">
        <f>SUM('Произв. прогр. Вода'!S50+'Произв. прогр. Вода'!S75+'Произв. прогр. Вода'!S110+'Произв. прогр. Вода'!S134)</f>
        <v>1318.6557105240345</v>
      </c>
      <c r="T51" s="3092">
        <f>SUM('Произв. прогр. Вода'!T50+'Произв. прогр. Вода'!T75+'Произв. прогр. Вода'!T110+'Произв. прогр. Вода'!T134)</f>
        <v>1318.6557105240345</v>
      </c>
      <c r="U51" s="3092">
        <f>SUM('Произв. прогр. Вода'!U50+'Произв. прогр. Вода'!U75+'Произв. прогр. Вода'!U110+'Произв. прогр. Вода'!U134)</f>
        <v>1318.6557105240345</v>
      </c>
      <c r="V51" s="3063">
        <f>SUM('Произв. прогр. Вода'!V50+'Произв. прогр. Вода'!V75+'Произв. прогр. Вода'!V110+'Произв. прогр. Вода'!V134)</f>
        <v>3955.9671315721034</v>
      </c>
      <c r="W51" s="3111">
        <f t="shared" si="50"/>
        <v>15519.563362321333</v>
      </c>
      <c r="X51" s="430"/>
      <c r="Y51" s="430"/>
      <c r="Z51" s="430"/>
      <c r="AA51" s="430"/>
      <c r="AB51" s="430"/>
      <c r="AC51" s="430"/>
      <c r="AD51" s="430"/>
      <c r="AE51" s="430"/>
      <c r="AF51" s="430"/>
      <c r="AG51" s="430"/>
      <c r="AH51" s="430"/>
      <c r="AI51" s="430"/>
      <c r="AJ51" s="430"/>
      <c r="AK51" s="430"/>
      <c r="AL51" s="430"/>
      <c r="AM51" s="430"/>
      <c r="AN51" s="430"/>
      <c r="AO51" s="430"/>
      <c r="AP51" s="430"/>
      <c r="AQ51" s="430"/>
      <c r="AR51" s="430"/>
      <c r="AS51" s="430"/>
      <c r="AT51" s="430"/>
      <c r="AU51" s="430"/>
      <c r="AV51" s="430"/>
      <c r="AW51" s="430"/>
      <c r="AX51" s="430"/>
      <c r="AY51" s="430"/>
      <c r="AZ51" s="430"/>
    </row>
    <row r="52" spans="1:52" ht="18.75">
      <c r="A52" s="3088" t="s">
        <v>321</v>
      </c>
      <c r="B52" s="3068">
        <f>SUM(B51/B50)</f>
        <v>0.29951651538026558</v>
      </c>
      <c r="C52" s="3068">
        <f t="shared" ref="C52:V52" si="51">SUM(C51/C50)</f>
        <v>0.29951306551000373</v>
      </c>
      <c r="D52" s="3068">
        <f t="shared" si="51"/>
        <v>0.30069904417121862</v>
      </c>
      <c r="E52" s="3097">
        <f t="shared" si="51"/>
        <v>0.29951651538026558</v>
      </c>
      <c r="F52" s="3097">
        <f t="shared" si="51"/>
        <v>0.29951651538026558</v>
      </c>
      <c r="G52" s="3097">
        <f t="shared" si="51"/>
        <v>0.29951651538026558</v>
      </c>
      <c r="H52" s="3068">
        <f t="shared" si="51"/>
        <v>0.29951651538026558</v>
      </c>
      <c r="I52" s="3097">
        <f t="shared" si="51"/>
        <v>0.29951651538026558</v>
      </c>
      <c r="J52" s="3097">
        <f t="shared" si="51"/>
        <v>0.29951651538026558</v>
      </c>
      <c r="K52" s="3097">
        <f t="shared" si="51"/>
        <v>0.29951651538026558</v>
      </c>
      <c r="L52" s="3068">
        <f t="shared" si="51"/>
        <v>0.29951651538026558</v>
      </c>
      <c r="M52" s="3068">
        <f t="shared" si="51"/>
        <v>0.29951651538026558</v>
      </c>
      <c r="N52" s="3097">
        <f t="shared" si="51"/>
        <v>0.29951651538026564</v>
      </c>
      <c r="O52" s="3097">
        <f t="shared" si="51"/>
        <v>0.29951651538026564</v>
      </c>
      <c r="P52" s="3097">
        <f t="shared" si="51"/>
        <v>0.29951651538026564</v>
      </c>
      <c r="Q52" s="3068">
        <f t="shared" si="51"/>
        <v>0.29951651538026564</v>
      </c>
      <c r="R52" s="3068">
        <f t="shared" si="51"/>
        <v>0.29951651538026552</v>
      </c>
      <c r="S52" s="3097">
        <f t="shared" si="51"/>
        <v>0.29951651538026564</v>
      </c>
      <c r="T52" s="3097">
        <f t="shared" si="51"/>
        <v>0.29951651538026564</v>
      </c>
      <c r="U52" s="3097">
        <f t="shared" si="51"/>
        <v>0.29951651538026564</v>
      </c>
      <c r="V52" s="3068">
        <f t="shared" si="51"/>
        <v>0.29951651538026564</v>
      </c>
      <c r="W52" s="3112">
        <f>SUM(W51/W50)</f>
        <v>0.2995165153802658</v>
      </c>
      <c r="X52" s="430"/>
      <c r="Y52" s="430"/>
      <c r="Z52" s="430"/>
      <c r="AA52" s="430"/>
      <c r="AB52" s="430"/>
      <c r="AC52" s="430"/>
      <c r="AD52" s="430"/>
      <c r="AE52" s="430"/>
      <c r="AF52" s="430"/>
      <c r="AG52" s="430"/>
      <c r="AH52" s="430"/>
      <c r="AI52" s="430"/>
      <c r="AJ52" s="430"/>
      <c r="AK52" s="430"/>
      <c r="AL52" s="430"/>
      <c r="AM52" s="430"/>
      <c r="AN52" s="430"/>
      <c r="AO52" s="430"/>
      <c r="AP52" s="430"/>
      <c r="AQ52" s="430"/>
      <c r="AR52" s="430"/>
      <c r="AS52" s="430"/>
      <c r="AT52" s="430"/>
      <c r="AU52" s="430"/>
      <c r="AV52" s="430"/>
      <c r="AW52" s="430"/>
      <c r="AX52" s="430"/>
      <c r="AY52" s="430"/>
      <c r="AZ52" s="430"/>
    </row>
    <row r="53" spans="1:52" ht="18.75">
      <c r="A53" s="3086" t="s">
        <v>1745</v>
      </c>
      <c r="B53" s="3063">
        <f>SUM(C53:D53)</f>
        <v>20407.87310487168</v>
      </c>
      <c r="C53" s="3063">
        <f>SUM('Произв. прогр. Вода'!C52+'Произв. прогр. Вода'!C77+'Произв. прогр. Вода'!C112+'Произв. прогр. Вода'!C136)</f>
        <v>20357.638269080369</v>
      </c>
      <c r="D53" s="3063">
        <f>SUM('Произв. прогр. Вода'!D52+'Произв. прогр. Вода'!D77+'Произв. прогр. Вода'!D112+'Произв. прогр. Вода'!D136)</f>
        <v>50.234835791310985</v>
      </c>
      <c r="E53" s="3092">
        <f>SUM('Произв. прогр. Вода'!E52+'Произв. прогр. Вода'!E77+'Произв. прогр. Вода'!E112+'Произв. прогр. Вода'!E136)</f>
        <v>2094.8150336459303</v>
      </c>
      <c r="F53" s="3092">
        <f>SUM('Произв. прогр. Вода'!F52+'Произв. прогр. Вода'!F77+'Произв. прогр. Вода'!F112+'Произв. прогр. Вода'!F136)</f>
        <v>1976.8643665763482</v>
      </c>
      <c r="G53" s="3092">
        <f>SUM('Произв. прогр. Вода'!G52+'Произв. прогр. Вода'!G77+'Произв. прогр. Вода'!G112+'Произв. прогр. Вода'!G136)</f>
        <v>1925.7828301026937</v>
      </c>
      <c r="H53" s="3063">
        <f>SUM('Произв. прогр. Вода'!H52+'Произв. прогр. Вода'!H77+'Произв. прогр. Вода'!H112+'Произв. прогр. Вода'!H136)</f>
        <v>5997.4622303249726</v>
      </c>
      <c r="I53" s="3092">
        <f>SUM('Произв. прогр. Вода'!I52+'Произв. прогр. Вода'!I77+'Произв. прогр. Вода'!I112+'Произв. прогр. Вода'!I136)</f>
        <v>1748.0723363780469</v>
      </c>
      <c r="J53" s="3092">
        <f>SUM('Произв. прогр. Вода'!J52+'Произв. прогр. Вода'!J77+'Произв. прогр. Вода'!J112+'Произв. прогр. Вода'!J136)</f>
        <v>1395.5854349244526</v>
      </c>
      <c r="K53" s="3092">
        <f>SUM('Произв. прогр. Вода'!K52+'Произв. прогр. Вода'!K77+'Произв. прогр. Вода'!K112+'Произв. прогр. Вода'!K136)</f>
        <v>1291.693139985382</v>
      </c>
      <c r="L53" s="3063">
        <f>SUM('Произв. прогр. Вода'!L52+'Произв. прогр. Вода'!L77+'Произв. прогр. Вода'!L112+'Произв. прогр. Вода'!L136)</f>
        <v>4435.350911287881</v>
      </c>
      <c r="M53" s="3063">
        <f>SUM('Произв. прогр. Вода'!M52+'Произв. прогр. Вода'!M77+'Произв. прогр. Вода'!M112+'Произв. прогр. Вода'!M136)</f>
        <v>10432.813141612853</v>
      </c>
      <c r="N53" s="3092">
        <f>SUM('Произв. прогр. Вода'!N52+'Произв. прогр. Вода'!N77+'Произв. прогр. Вода'!N112+'Произв. прогр. Вода'!N136)</f>
        <v>1319.7435090280221</v>
      </c>
      <c r="O53" s="3092">
        <f>SUM('Произв. прогр. Вода'!O52+'Произв. прогр. Вода'!O77+'Произв. прогр. Вода'!O112+'Произв. прогр. Вода'!O136)</f>
        <v>1317.6066745333069</v>
      </c>
      <c r="P53" s="3092">
        <f>SUM('Произв. прогр. Вода'!P52+'Произв. прогр. Вода'!P77+'Произв. прогр. Вода'!P112+'Произв. прогр. Вода'!P136)</f>
        <v>1513.919362948624</v>
      </c>
      <c r="Q53" s="3063">
        <f>SUM('Произв. прогр. Вода'!Q52+'Произв. прогр. Вода'!Q77+'Произв. прогр. Вода'!Q112+'Произв. прогр. Вода'!Q136)</f>
        <v>4151.2695465099532</v>
      </c>
      <c r="R53" s="3063">
        <f>SUM('Произв. прогр. Вода'!R52+'Произв. прогр. Вода'!R77+'Произв. прогр. Вода'!R112+'Произв. прогр. Вода'!R136)</f>
        <v>14584.082688122806</v>
      </c>
      <c r="S53" s="3092">
        <f>SUM('Произв. прогр. Вода'!S52+'Произв. прогр. Вода'!S77+'Произв. прогр. Вода'!S112+'Произв. прогр. Вода'!S136)</f>
        <v>1801.8976486057074</v>
      </c>
      <c r="T53" s="3092">
        <f>SUM('Произв. прогр. Вода'!T52+'Произв. прогр. Вода'!T77+'Произв. прогр. Вода'!T112+'Произв. прогр. Вода'!T136)</f>
        <v>1930.6404594955204</v>
      </c>
      <c r="U53" s="3092">
        <f>SUM('Произв. прогр. Вода'!U52+'Произв. прогр. Вода'!U77+'Произв. прогр. Вода'!U112+'Произв. прогр. Вода'!U136)</f>
        <v>2091.2523086476463</v>
      </c>
      <c r="V53" s="3063">
        <f>SUM('Произв. прогр. Вода'!V52+'Произв. прогр. Вода'!V77+'Произв. прогр. Вода'!V112+'Произв. прогр. Вода'!V136)</f>
        <v>5823.7904167488741</v>
      </c>
      <c r="W53" s="3111">
        <f t="shared" si="50"/>
        <v>20407.87310487168</v>
      </c>
      <c r="X53" s="430"/>
      <c r="Y53" s="430"/>
      <c r="Z53" s="430"/>
      <c r="AA53" s="430"/>
      <c r="AB53" s="430"/>
      <c r="AC53" s="430"/>
      <c r="AD53" s="430"/>
      <c r="AE53" s="430"/>
      <c r="AF53" s="430"/>
      <c r="AG53" s="430"/>
      <c r="AH53" s="430"/>
      <c r="AI53" s="430"/>
      <c r="AJ53" s="430"/>
      <c r="AK53" s="430"/>
      <c r="AL53" s="430"/>
      <c r="AM53" s="430"/>
      <c r="AN53" s="430"/>
      <c r="AO53" s="430"/>
      <c r="AP53" s="430"/>
      <c r="AQ53" s="430"/>
      <c r="AR53" s="430"/>
      <c r="AS53" s="430"/>
      <c r="AT53" s="430"/>
      <c r="AU53" s="430"/>
      <c r="AV53" s="430"/>
      <c r="AW53" s="430"/>
      <c r="AX53" s="430"/>
      <c r="AY53" s="430"/>
      <c r="AZ53" s="430"/>
    </row>
    <row r="54" spans="1:52" ht="18.75">
      <c r="A54" s="3088" t="s">
        <v>1746</v>
      </c>
      <c r="B54" s="3067">
        <f t="shared" ref="B54:B56" si="52">SUM(C54:D54)</f>
        <v>6090.6897570799065</v>
      </c>
      <c r="C54" s="3067">
        <f>SUM('Произв. прогр. Вода'!C53+'Произв. прогр. Вода'!C78+'Произв. прогр. Вода'!C113+'Произв. прогр. Вода'!C137)</f>
        <v>6081.2441714976248</v>
      </c>
      <c r="D54" s="3067">
        <f>SUM('Произв. прогр. Вода'!D53+'Произв. прогр. Вода'!D78+'Произв. прогр. Вода'!D113+'Произв. прогр. Вода'!D137)</f>
        <v>9.4455855822814101</v>
      </c>
      <c r="E54" s="3094">
        <f>SUM('Произв. прогр. Вода'!E53+'Произв. прогр. Вода'!E78+'Произв. прогр. Вода'!E113+'Произв. прогр. Вода'!E137)</f>
        <v>497.60537231044975</v>
      </c>
      <c r="F54" s="3094">
        <f>SUM('Произв. прогр. Вода'!F53+'Произв. прогр. Вода'!F78+'Произв. прогр. Вода'!F113+'Произв. прогр. Вода'!F137)</f>
        <v>497.60537231044975</v>
      </c>
      <c r="G54" s="3094">
        <f>SUM('Произв. прогр. Вода'!G53+'Произв. прогр. Вода'!G78+'Произв. прогр. Вода'!G113+'Произв. прогр. Вода'!G137)</f>
        <v>497.60537231044975</v>
      </c>
      <c r="H54" s="3067">
        <f>SUM('Произв. прогр. Вода'!H53+'Произв. прогр. Вода'!H78+'Произв. прогр. Вода'!H113+'Произв. прогр. Вода'!H137)</f>
        <v>1492.8161169313494</v>
      </c>
      <c r="I54" s="3094">
        <f>SUM('Произв. прогр. Вода'!I53+'Произв. прогр. Вода'!I78+'Произв. прогр. Вода'!I113+'Произв. прогр. Вода'!I137)</f>
        <v>497.60537231044975</v>
      </c>
      <c r="J54" s="3094">
        <f>SUM('Произв. прогр. Вода'!J53+'Произв. прогр. Вода'!J78+'Произв. прогр. Вода'!J113+'Произв. прогр. Вода'!J137)</f>
        <v>497.60537231044975</v>
      </c>
      <c r="K54" s="3094">
        <f>SUM('Произв. прогр. Вода'!K53+'Произв. прогр. Вода'!K78+'Произв. прогр. Вода'!K113+'Произв. прогр. Вода'!K137)</f>
        <v>497.60537231044975</v>
      </c>
      <c r="L54" s="3067">
        <f>SUM('Произв. прогр. Вода'!L53+'Произв. прогр. Вода'!L78+'Произв. прогр. Вода'!L113+'Произв. прогр. Вода'!L137)</f>
        <v>1492.8161169313494</v>
      </c>
      <c r="M54" s="3067">
        <f>SUM('Произв. прогр. Вода'!M53+'Произв. прогр. Вода'!M78+'Произв. прогр. Вода'!M113+'Произв. прогр. Вода'!M137)</f>
        <v>2985.6322338626987</v>
      </c>
      <c r="N54" s="3094">
        <f>SUM('Произв. прогр. Вода'!N53+'Произв. прогр. Вода'!N78+'Произв. прогр. Вода'!N113+'Произв. прогр. Вода'!N137)</f>
        <v>517.50958720286792</v>
      </c>
      <c r="O54" s="3094">
        <f>SUM('Произв. прогр. Вода'!O53+'Произв. прогр. Вода'!O78+'Произв. прогр. Вода'!O113+'Произв. прогр. Вода'!O137)</f>
        <v>517.50958720286792</v>
      </c>
      <c r="P54" s="3094">
        <f>SUM('Произв. прогр. Вода'!P53+'Произв. прогр. Вода'!P78+'Произв. прогр. Вода'!P113+'Произв. прогр. Вода'!P137)</f>
        <v>517.50958720286792</v>
      </c>
      <c r="Q54" s="3067">
        <f>SUM('Произв. прогр. Вода'!Q53+'Произв. прогр. Вода'!Q78+'Произв. прогр. Вода'!Q113+'Произв. прогр. Вода'!Q137)</f>
        <v>1552.5287616086036</v>
      </c>
      <c r="R54" s="3067">
        <f>SUM('Произв. прогр. Вода'!R53+'Произв. прогр. Вода'!R78+'Произв. прогр. Вода'!R113+'Произв. прогр. Вода'!R137)</f>
        <v>4538.1609954713022</v>
      </c>
      <c r="S54" s="3094">
        <f>SUM('Произв. прогр. Вода'!S53+'Произв. прогр. Вода'!S78+'Произв. прогр. Вода'!S113+'Произв. прогр. Вода'!S137)</f>
        <v>517.50958720286792</v>
      </c>
      <c r="T54" s="3094">
        <f>SUM('Произв. прогр. Вода'!T53+'Произв. прогр. Вода'!T78+'Произв. прогр. Вода'!T113+'Произв. прогр. Вода'!T137)</f>
        <v>517.50958720286792</v>
      </c>
      <c r="U54" s="3094">
        <f>SUM('Произв. прогр. Вода'!U53+'Произв. прогр. Вода'!U78+'Произв. прогр. Вода'!U113+'Произв. прогр. Вода'!U137)</f>
        <v>517.50958720286792</v>
      </c>
      <c r="V54" s="3067">
        <f>SUM('Произв. прогр. Вода'!V53+'Произв. прогр. Вода'!V78+'Произв. прогр. Вода'!V113+'Произв. прогр. Вода'!V137)</f>
        <v>1552.5287616086036</v>
      </c>
      <c r="W54" s="3111">
        <f t="shared" si="50"/>
        <v>6090.6897570799056</v>
      </c>
    </row>
    <row r="55" spans="1:52" ht="18.75">
      <c r="A55" s="3088" t="s">
        <v>1747</v>
      </c>
      <c r="B55" s="3067">
        <f t="shared" si="52"/>
        <v>3765.5009453058947</v>
      </c>
      <c r="C55" s="3067">
        <f>SUM('Произв. прогр. Вода'!C54+'Произв. прогр. Вода'!C79+'Произв. прогр. Вода'!C114+'Произв. прогр. Вода'!C134)</f>
        <v>3752.1135170499488</v>
      </c>
      <c r="D55" s="3067">
        <f>SUM('Произв. прогр. Вода'!D54+'Произв. прогр. Вода'!D79+'Произв. прогр. Вода'!D114+'Произв. прогр. Вода'!D134)</f>
        <v>13.387428255945867</v>
      </c>
      <c r="E55" s="3094">
        <f>SUM('Произв. прогр. Вода'!E54+'Произв. прогр. Вода'!E79+'Произв. прогр. Вода'!E114+'Произв. прогр. Вода'!E134)</f>
        <v>307.63896611976259</v>
      </c>
      <c r="F55" s="3094">
        <f>SUM('Произв. прогр. Вода'!F54+'Произв. прогр. Вода'!F79+'Произв. прогр. Вода'!F114+'Произв. прогр. Вода'!F134)</f>
        <v>307.63896611976259</v>
      </c>
      <c r="G55" s="3094">
        <f>SUM('Произв. прогр. Вода'!G54+'Произв. прогр. Вода'!G79+'Произв. прогр. Вода'!G114+'Произв. прогр. Вода'!G134)</f>
        <v>307.63896611976259</v>
      </c>
      <c r="H55" s="3067">
        <f>SUM('Произв. прогр. Вода'!H54+'Произв. прогр. Вода'!H79+'Произв. прогр. Вода'!H114+'Произв. прогр. Вода'!H134)</f>
        <v>922.91689835928776</v>
      </c>
      <c r="I55" s="3094">
        <f>SUM('Произв. прогр. Вода'!I54+'Произв. прогр. Вода'!I79+'Произв. прогр. Вода'!I114+'Произв. прогр. Вода'!I134)</f>
        <v>307.63896611976259</v>
      </c>
      <c r="J55" s="3094">
        <f>SUM('Произв. прогр. Вода'!J54+'Произв. прогр. Вода'!J79+'Произв. прогр. Вода'!J114+'Произв. прогр. Вода'!J134)</f>
        <v>307.63896611976259</v>
      </c>
      <c r="K55" s="3094">
        <f>SUM('Произв. прогр. Вода'!K54+'Произв. прогр. Вода'!K79+'Произв. прогр. Вода'!K114+'Произв. прогр. Вода'!K134)</f>
        <v>307.63896611976259</v>
      </c>
      <c r="L55" s="3067">
        <f>SUM('Произв. прогр. Вода'!L54+'Произв. прогр. Вода'!L79+'Произв. прогр. Вода'!L114+'Произв. прогр. Вода'!L134)</f>
        <v>922.91689835928776</v>
      </c>
      <c r="M55" s="3067">
        <f>SUM('Произв. прогр. Вода'!M54+'Произв. прогр. Вода'!M79+'Произв. прогр. Вода'!M114+'Произв. прогр. Вода'!M134)</f>
        <v>1845.8337967185755</v>
      </c>
      <c r="N55" s="3094">
        <f>SUM('Произв. прогр. Вода'!N54+'Произв. прогр. Вода'!N79+'Произв. прогр. Вода'!N114+'Произв. прогр. Вода'!N134)</f>
        <v>319.94452476455314</v>
      </c>
      <c r="O55" s="3094">
        <f>SUM('Произв. прогр. Вода'!O54+'Произв. прогр. Вода'!O79+'Произв. прогр. Вода'!O114+'Произв. прогр. Вода'!O134)</f>
        <v>319.94452476455314</v>
      </c>
      <c r="P55" s="3094">
        <f>SUM('Произв. прогр. Вода'!P54+'Произв. прогр. Вода'!P79+'Произв. прогр. Вода'!P114+'Произв. прогр. Вода'!P134)</f>
        <v>319.94452476455314</v>
      </c>
      <c r="Q55" s="3067">
        <f>SUM('Произв. прогр. Вода'!Q54+'Произв. прогр. Вода'!Q79+'Произв. прогр. Вода'!Q114+'Произв. прогр. Вода'!Q134)</f>
        <v>959.83357429365947</v>
      </c>
      <c r="R55" s="3067">
        <f>SUM('Произв. прогр. Вода'!R54+'Произв. прогр. Вода'!R79+'Произв. прогр. Вода'!R114+'Произв. прогр. Вода'!R134)</f>
        <v>2805.667371012235</v>
      </c>
      <c r="S55" s="3094">
        <f>SUM('Произв. прогр. Вода'!S54+'Произв. прогр. Вода'!S79+'Произв. прогр. Вода'!S114+'Произв. прогр. Вода'!S134)</f>
        <v>319.94452476455314</v>
      </c>
      <c r="T55" s="3094">
        <f>SUM('Произв. прогр. Вода'!T54+'Произв. прогр. Вода'!T79+'Произв. прогр. Вода'!T114+'Произв. прогр. Вода'!T134)</f>
        <v>319.94452476455314</v>
      </c>
      <c r="U55" s="3094">
        <f>SUM('Произв. прогр. Вода'!U54+'Произв. прогр. Вода'!U79+'Произв. прогр. Вода'!U114+'Произв. прогр. Вода'!U134)</f>
        <v>319.94452476455314</v>
      </c>
      <c r="V55" s="3067">
        <f>SUM('Произв. прогр. Вода'!V54+'Произв. прогр. Вода'!V79+'Произв. прогр. Вода'!V114+'Произв. прогр. Вода'!V134)</f>
        <v>959.83357429365947</v>
      </c>
      <c r="W55" s="3111">
        <f t="shared" si="50"/>
        <v>3765.5009453058942</v>
      </c>
    </row>
    <row r="56" spans="1:52" ht="18.75">
      <c r="A56" s="3088" t="s">
        <v>300</v>
      </c>
      <c r="B56" s="3067">
        <f t="shared" si="52"/>
        <v>10551.68240248588</v>
      </c>
      <c r="C56" s="3067">
        <f>SUM(C53-C54-C55)</f>
        <v>10524.280580532795</v>
      </c>
      <c r="D56" s="3067">
        <f t="shared" ref="D56:V56" si="53">SUM(D53-D54-D55)</f>
        <v>27.401821953083708</v>
      </c>
      <c r="E56" s="3094">
        <f t="shared" si="53"/>
        <v>1289.5706952157179</v>
      </c>
      <c r="F56" s="3094">
        <f t="shared" si="53"/>
        <v>1171.6200281461356</v>
      </c>
      <c r="G56" s="3094">
        <f t="shared" si="53"/>
        <v>1120.5384916724811</v>
      </c>
      <c r="H56" s="3067">
        <f t="shared" si="53"/>
        <v>3581.7292150343351</v>
      </c>
      <c r="I56" s="3094">
        <f t="shared" si="53"/>
        <v>942.82799794783443</v>
      </c>
      <c r="J56" s="3094">
        <f t="shared" si="53"/>
        <v>590.34109649424022</v>
      </c>
      <c r="K56" s="3094">
        <f t="shared" si="53"/>
        <v>486.44880155516967</v>
      </c>
      <c r="L56" s="3067">
        <f t="shared" si="53"/>
        <v>2019.617895997244</v>
      </c>
      <c r="M56" s="3067">
        <f t="shared" si="53"/>
        <v>5601.3471110315786</v>
      </c>
      <c r="N56" s="3094">
        <f t="shared" si="53"/>
        <v>482.28939706060106</v>
      </c>
      <c r="O56" s="3094">
        <f t="shared" si="53"/>
        <v>480.15256256588583</v>
      </c>
      <c r="P56" s="3094">
        <f t="shared" si="53"/>
        <v>676.46525098120287</v>
      </c>
      <c r="Q56" s="3067">
        <f t="shared" si="53"/>
        <v>1638.9072106076903</v>
      </c>
      <c r="R56" s="3067">
        <f t="shared" si="53"/>
        <v>7240.2543216392687</v>
      </c>
      <c r="S56" s="3094">
        <f t="shared" si="53"/>
        <v>964.44353663828633</v>
      </c>
      <c r="T56" s="3094">
        <f t="shared" si="53"/>
        <v>1093.1863475280993</v>
      </c>
      <c r="U56" s="3094">
        <f t="shared" si="53"/>
        <v>1253.7981966802254</v>
      </c>
      <c r="V56" s="3067">
        <f t="shared" si="53"/>
        <v>3311.428080846611</v>
      </c>
      <c r="W56" s="3111">
        <f t="shared" si="50"/>
        <v>10551.68240248588</v>
      </c>
    </row>
    <row r="57" spans="1:52" ht="18.75">
      <c r="A57" s="3086" t="s">
        <v>1724</v>
      </c>
      <c r="B57" s="3063">
        <f t="shared" ref="B57:B70" si="54">SUM(C57:D57)</f>
        <v>3523.8224121041176</v>
      </c>
      <c r="C57" s="3063">
        <f>SUM('Произв. прогр. Вода'!C149)</f>
        <v>3502.9312821041176</v>
      </c>
      <c r="D57" s="3063">
        <f>SUM('Произв. прогр. Вода'!D149)</f>
        <v>20.891130000000004</v>
      </c>
      <c r="E57" s="3092">
        <f>SUM('Произв. прогр. Вода'!E149)</f>
        <v>0</v>
      </c>
      <c r="F57" s="3092">
        <f>SUM('Произв. прогр. Вода'!F149)</f>
        <v>0</v>
      </c>
      <c r="G57" s="3092">
        <f>SUM('Произв. прогр. Вода'!G149)</f>
        <v>880.95560302602939</v>
      </c>
      <c r="H57" s="3063">
        <f>SUM('Произв. прогр. Вода'!H149)</f>
        <v>880.95560302602939</v>
      </c>
      <c r="I57" s="3092">
        <f>SUM('Произв. прогр. Вода'!I149)</f>
        <v>0</v>
      </c>
      <c r="J57" s="3092">
        <f>SUM('Произв. прогр. Вода'!J149)</f>
        <v>0</v>
      </c>
      <c r="K57" s="3092">
        <f>SUM('Произв. прогр. Вода'!K149)</f>
        <v>880.95560302602939</v>
      </c>
      <c r="L57" s="3063">
        <f>SUM('Произв. прогр. Вода'!L149)</f>
        <v>880.95560302602939</v>
      </c>
      <c r="M57" s="3063">
        <f>SUM('Произв. прогр. Вода'!M149)</f>
        <v>1761.9112060520588</v>
      </c>
      <c r="N57" s="3092">
        <f>SUM('Произв. прогр. Вода'!N149)</f>
        <v>0</v>
      </c>
      <c r="O57" s="3092">
        <f>SUM('Произв. прогр. Вода'!O149)</f>
        <v>0</v>
      </c>
      <c r="P57" s="3092">
        <f>SUM('Произв. прогр. Вода'!P149)</f>
        <v>880.95560302602939</v>
      </c>
      <c r="Q57" s="3063">
        <f>SUM('Произв. прогр. Вода'!Q149)</f>
        <v>880.95560302602939</v>
      </c>
      <c r="R57" s="3063">
        <f>SUM('Произв. прогр. Вода'!R149)</f>
        <v>2642.8668090780884</v>
      </c>
      <c r="S57" s="3092">
        <f>SUM('Произв. прогр. Вода'!S149)</f>
        <v>0</v>
      </c>
      <c r="T57" s="3092">
        <f>SUM('Произв. прогр. Вода'!T149)</f>
        <v>0</v>
      </c>
      <c r="U57" s="3092">
        <f>SUM('Произв. прогр. Вода'!U149)</f>
        <v>880.95560302602939</v>
      </c>
      <c r="V57" s="3063">
        <f>SUM('Произв. прогр. Вода'!V149)</f>
        <v>880.95560302602939</v>
      </c>
      <c r="W57" s="3111">
        <f t="shared" si="50"/>
        <v>3523.8224121041176</v>
      </c>
    </row>
    <row r="58" spans="1:52" ht="18.75">
      <c r="A58" s="3088" t="s">
        <v>1725</v>
      </c>
      <c r="B58" s="3067">
        <f t="shared" si="54"/>
        <v>1436.4224121041175</v>
      </c>
      <c r="C58" s="3067">
        <f>SUM('Произв. прогр. Вода'!C150)</f>
        <v>1426.7512821041175</v>
      </c>
      <c r="D58" s="3067">
        <f>SUM('Произв. прогр. Вода'!D150)</f>
        <v>9.6711300000000016</v>
      </c>
      <c r="E58" s="3094">
        <f>SUM('Произв. прогр. Вода'!E150)</f>
        <v>0</v>
      </c>
      <c r="F58" s="3094">
        <f>SUM('Произв. прогр. Вода'!F150)</f>
        <v>0</v>
      </c>
      <c r="G58" s="3094">
        <f>SUM('Произв. прогр. Вода'!G150)</f>
        <v>359.10560302602937</v>
      </c>
      <c r="H58" s="3067">
        <f>SUM('Произв. прогр. Вода'!H150)</f>
        <v>359.10560302602937</v>
      </c>
      <c r="I58" s="3094">
        <f>SUM('Произв. прогр. Вода'!I150)</f>
        <v>0</v>
      </c>
      <c r="J58" s="3094">
        <f>SUM('Произв. прогр. Вода'!J150)</f>
        <v>0</v>
      </c>
      <c r="K58" s="3094">
        <f>SUM('Произв. прогр. Вода'!K150)</f>
        <v>359.10560302602937</v>
      </c>
      <c r="L58" s="3067">
        <f>SUM('Произв. прогр. Вода'!L150)</f>
        <v>359.10560302602937</v>
      </c>
      <c r="M58" s="3067">
        <f>SUM('Произв. прогр. Вода'!M150)</f>
        <v>718.21120605205874</v>
      </c>
      <c r="N58" s="3094">
        <f>SUM('Произв. прогр. Вода'!N150)</f>
        <v>0</v>
      </c>
      <c r="O58" s="3094">
        <f>SUM('Произв. прогр. Вода'!O150)</f>
        <v>0</v>
      </c>
      <c r="P58" s="3094">
        <f>SUM('Произв. прогр. Вода'!P150)</f>
        <v>359.10560302602937</v>
      </c>
      <c r="Q58" s="3067">
        <f>SUM('Произв. прогр. Вода'!Q150)</f>
        <v>359.10560302602937</v>
      </c>
      <c r="R58" s="3067">
        <f>SUM('Произв. прогр. Вода'!R150)</f>
        <v>1077.3168090780882</v>
      </c>
      <c r="S58" s="3094">
        <f>SUM('Произв. прогр. Вода'!S150)</f>
        <v>0</v>
      </c>
      <c r="T58" s="3094">
        <f>SUM('Произв. прогр. Вода'!T150)</f>
        <v>0</v>
      </c>
      <c r="U58" s="3094">
        <f>SUM('Произв. прогр. Вода'!U150)</f>
        <v>359.10560302602937</v>
      </c>
      <c r="V58" s="3067">
        <f>SUM('Произв. прогр. Вода'!V150)</f>
        <v>359.10560302602937</v>
      </c>
      <c r="W58" s="3111">
        <f t="shared" si="50"/>
        <v>1436.4224121041175</v>
      </c>
    </row>
    <row r="59" spans="1:52" ht="18.75">
      <c r="A59" s="3088" t="s">
        <v>542</v>
      </c>
      <c r="B59" s="3067">
        <f t="shared" si="54"/>
        <v>91.16</v>
      </c>
      <c r="C59" s="3067">
        <f>SUM('Произв. прогр. Вода'!C151)</f>
        <v>90.67</v>
      </c>
      <c r="D59" s="3067">
        <f>SUM('Произв. прогр. Вода'!D151)</f>
        <v>0.49</v>
      </c>
      <c r="E59" s="3094">
        <f>SUM('Произв. прогр. Вода'!E151)</f>
        <v>0</v>
      </c>
      <c r="F59" s="3094">
        <f>SUM('Произв. прогр. Вода'!F151)</f>
        <v>0</v>
      </c>
      <c r="G59" s="3094">
        <f>SUM('Произв. прогр. Вода'!G151)</f>
        <v>22.79</v>
      </c>
      <c r="H59" s="3067">
        <f>SUM('Произв. прогр. Вода'!H151)</f>
        <v>22.79</v>
      </c>
      <c r="I59" s="3094">
        <f>SUM('Произв. прогр. Вода'!I151)</f>
        <v>0</v>
      </c>
      <c r="J59" s="3094">
        <f>SUM('Произв. прогр. Вода'!J151)</f>
        <v>0</v>
      </c>
      <c r="K59" s="3094">
        <f>SUM('Произв. прогр. Вода'!K151)</f>
        <v>22.79</v>
      </c>
      <c r="L59" s="3067">
        <f>SUM('Произв. прогр. Вода'!L151)</f>
        <v>22.79</v>
      </c>
      <c r="M59" s="3067">
        <f>SUM('Произв. прогр. Вода'!M151)</f>
        <v>45.58</v>
      </c>
      <c r="N59" s="3094">
        <f>SUM('Произв. прогр. Вода'!N151)</f>
        <v>0</v>
      </c>
      <c r="O59" s="3094">
        <f>SUM('Произв. прогр. Вода'!O151)</f>
        <v>0</v>
      </c>
      <c r="P59" s="3094">
        <f>SUM('Произв. прогр. Вода'!P151)</f>
        <v>22.79</v>
      </c>
      <c r="Q59" s="3067">
        <f>SUM('Произв. прогр. Вода'!Q151)</f>
        <v>22.79</v>
      </c>
      <c r="R59" s="3067">
        <f>SUM('Произв. прогр. Вода'!R151)</f>
        <v>68.37</v>
      </c>
      <c r="S59" s="3094">
        <f>SUM('Произв. прогр. Вода'!S151)</f>
        <v>0</v>
      </c>
      <c r="T59" s="3094">
        <f>SUM('Произв. прогр. Вода'!T151)</f>
        <v>0</v>
      </c>
      <c r="U59" s="3094">
        <f>SUM('Произв. прогр. Вода'!U151)</f>
        <v>22.79</v>
      </c>
      <c r="V59" s="3067">
        <f>SUM('Произв. прогр. Вода'!V151)</f>
        <v>22.79</v>
      </c>
      <c r="W59" s="3111">
        <f t="shared" si="50"/>
        <v>91.16</v>
      </c>
    </row>
    <row r="60" spans="1:52" ht="18.75">
      <c r="A60" s="3088" t="s">
        <v>543</v>
      </c>
      <c r="B60" s="3067">
        <f t="shared" si="54"/>
        <v>0</v>
      </c>
      <c r="C60" s="3067">
        <f>SUM('Произв. прогр. Вода'!C152)</f>
        <v>0</v>
      </c>
      <c r="D60" s="3067">
        <f>SUM('Произв. прогр. Вода'!D152)</f>
        <v>0</v>
      </c>
      <c r="E60" s="3094">
        <f>SUM('Произв. прогр. Вода'!E152)</f>
        <v>0</v>
      </c>
      <c r="F60" s="3094">
        <f>SUM('Произв. прогр. Вода'!F152)</f>
        <v>0</v>
      </c>
      <c r="G60" s="3094">
        <f>SUM('Произв. прогр. Вода'!G152)</f>
        <v>0</v>
      </c>
      <c r="H60" s="3067">
        <f>SUM('Произв. прогр. Вода'!H152)</f>
        <v>0</v>
      </c>
      <c r="I60" s="3094">
        <f>SUM('Произв. прогр. Вода'!I152)</f>
        <v>0</v>
      </c>
      <c r="J60" s="3094">
        <f>SUM('Произв. прогр. Вода'!J152)</f>
        <v>0</v>
      </c>
      <c r="K60" s="3094">
        <f>SUM('Произв. прогр. Вода'!K152)</f>
        <v>0</v>
      </c>
      <c r="L60" s="3067">
        <f>SUM('Произв. прогр. Вода'!L152)</f>
        <v>0</v>
      </c>
      <c r="M60" s="3067">
        <f>SUM('Произв. прогр. Вода'!M152)</f>
        <v>0</v>
      </c>
      <c r="N60" s="3094">
        <f>SUM('Произв. прогр. Вода'!N152)</f>
        <v>0</v>
      </c>
      <c r="O60" s="3094">
        <f>SUM('Произв. прогр. Вода'!O152)</f>
        <v>0</v>
      </c>
      <c r="P60" s="3094">
        <f>SUM('Произв. прогр. Вода'!P152)</f>
        <v>0</v>
      </c>
      <c r="Q60" s="3067">
        <f>SUM('Произв. прогр. Вода'!Q152)</f>
        <v>0</v>
      </c>
      <c r="R60" s="3067">
        <f>SUM('Произв. прогр. Вода'!R152)</f>
        <v>0</v>
      </c>
      <c r="S60" s="3094">
        <f>SUM('Произв. прогр. Вода'!S152)</f>
        <v>0</v>
      </c>
      <c r="T60" s="3094">
        <f>SUM('Произв. прогр. Вода'!T152)</f>
        <v>0</v>
      </c>
      <c r="U60" s="3094">
        <f>SUM('Произв. прогр. Вода'!U152)</f>
        <v>0</v>
      </c>
      <c r="V60" s="3067">
        <f>SUM('Произв. прогр. Вода'!V152)</f>
        <v>0</v>
      </c>
      <c r="W60" s="3111">
        <f t="shared" si="50"/>
        <v>0</v>
      </c>
    </row>
    <row r="61" spans="1:52" ht="18.75">
      <c r="A61" s="3088" t="s">
        <v>544</v>
      </c>
      <c r="B61" s="3067">
        <f t="shared" si="54"/>
        <v>1996.24</v>
      </c>
      <c r="C61" s="3067">
        <f>SUM('Произв. прогр. Вода'!C153)</f>
        <v>1985.51</v>
      </c>
      <c r="D61" s="3067">
        <f>SUM('Произв. прогр. Вода'!D153)</f>
        <v>10.73</v>
      </c>
      <c r="E61" s="3094">
        <f>SUM('Произв. прогр. Вода'!E153)</f>
        <v>0</v>
      </c>
      <c r="F61" s="3094">
        <f>SUM('Произв. прогр. Вода'!F153)</f>
        <v>0</v>
      </c>
      <c r="G61" s="3094">
        <f>SUM('Произв. прогр. Вода'!G153)</f>
        <v>499.05999999999995</v>
      </c>
      <c r="H61" s="3067">
        <f>SUM('Произв. прогр. Вода'!H153)</f>
        <v>499.05999999999995</v>
      </c>
      <c r="I61" s="3094">
        <f>SUM('Произв. прогр. Вода'!I153)</f>
        <v>0</v>
      </c>
      <c r="J61" s="3094">
        <f>SUM('Произв. прогр. Вода'!J153)</f>
        <v>0</v>
      </c>
      <c r="K61" s="3094">
        <f>SUM('Произв. прогр. Вода'!K153)</f>
        <v>499.05999999999995</v>
      </c>
      <c r="L61" s="3067">
        <f>SUM('Произв. прогр. Вода'!L153)</f>
        <v>499.05999999999995</v>
      </c>
      <c r="M61" s="3067">
        <f>SUM('Произв. прогр. Вода'!M153)</f>
        <v>998.11999999999989</v>
      </c>
      <c r="N61" s="3094">
        <f>SUM('Произв. прогр. Вода'!N153)</f>
        <v>0</v>
      </c>
      <c r="O61" s="3094">
        <f>SUM('Произв. прогр. Вода'!O153)</f>
        <v>0</v>
      </c>
      <c r="P61" s="3094">
        <f>SUM('Произв. прогр. Вода'!P153)</f>
        <v>499.05999999999995</v>
      </c>
      <c r="Q61" s="3067">
        <f>SUM('Произв. прогр. Вода'!Q153)</f>
        <v>499.05999999999995</v>
      </c>
      <c r="R61" s="3067">
        <f>SUM('Произв. прогр. Вода'!R153)</f>
        <v>1497.1799999999998</v>
      </c>
      <c r="S61" s="3094">
        <f>SUM('Произв. прогр. Вода'!S153)</f>
        <v>0</v>
      </c>
      <c r="T61" s="3094">
        <f>SUM('Произв. прогр. Вода'!T153)</f>
        <v>0</v>
      </c>
      <c r="U61" s="3094">
        <f>SUM('Произв. прогр. Вода'!U153)</f>
        <v>499.05999999999995</v>
      </c>
      <c r="V61" s="3067">
        <f>SUM('Произв. прогр. Вода'!V153)</f>
        <v>499.05999999999995</v>
      </c>
      <c r="W61" s="3111">
        <f t="shared" si="50"/>
        <v>1996.2399999999998</v>
      </c>
    </row>
    <row r="62" spans="1:52" ht="18.75">
      <c r="A62" s="3086" t="s">
        <v>1748</v>
      </c>
      <c r="B62" s="3063">
        <f t="shared" si="54"/>
        <v>10744.469720171532</v>
      </c>
      <c r="C62" s="3063">
        <f>SUM('Произв. прогр. Вода'!C154)</f>
        <v>10689.535159721532</v>
      </c>
      <c r="D62" s="3063">
        <f>SUM('Произв. прогр. Вода'!D154)</f>
        <v>54.934560449999992</v>
      </c>
      <c r="E62" s="3092">
        <f>SUM('Произв. прогр. Вода'!E154)</f>
        <v>879.26458062136055</v>
      </c>
      <c r="F62" s="3092">
        <f>SUM('Произв. прогр. Вода'!F154)</f>
        <v>879.26458062136055</v>
      </c>
      <c r="G62" s="3092">
        <f>SUM('Произв. прогр. Вода'!G154)</f>
        <v>879.26458062136055</v>
      </c>
      <c r="H62" s="3063">
        <f>SUM('Произв. прогр. Вода'!H154)</f>
        <v>2637.7937418640818</v>
      </c>
      <c r="I62" s="3092">
        <f>SUM('Произв. прогр. Вода'!I154)</f>
        <v>879.26458062136055</v>
      </c>
      <c r="J62" s="3092">
        <f>SUM('Произв. прогр. Вода'!J154)</f>
        <v>879.26458062136055</v>
      </c>
      <c r="K62" s="3092">
        <f>SUM('Произв. прогр. Вода'!K154)</f>
        <v>879.26458062136055</v>
      </c>
      <c r="L62" s="3063">
        <f>SUM('Произв. прогр. Вода'!L154)</f>
        <v>2637.7937418640818</v>
      </c>
      <c r="M62" s="3063">
        <f>SUM('Произв. прогр. Вода'!M154)</f>
        <v>5275.5874837281635</v>
      </c>
      <c r="N62" s="3092">
        <f>SUM('Произв. прогр. Вода'!N154)</f>
        <v>911.48037274056162</v>
      </c>
      <c r="O62" s="3092">
        <f>SUM('Произв. прогр. Вода'!O154)</f>
        <v>911.48037274056162</v>
      </c>
      <c r="P62" s="3092">
        <f>SUM('Произв. прогр. Вода'!P154)</f>
        <v>911.48037274056162</v>
      </c>
      <c r="Q62" s="3063">
        <f>SUM('Произв. прогр. Вода'!Q154)</f>
        <v>2734.441118221685</v>
      </c>
      <c r="R62" s="3063">
        <f>SUM('Произв. прогр. Вода'!R154)</f>
        <v>8010.028601949849</v>
      </c>
      <c r="S62" s="3092">
        <f>SUM('Произв. прогр. Вода'!S154)</f>
        <v>911.48037274056162</v>
      </c>
      <c r="T62" s="3092">
        <f>SUM('Произв. прогр. Вода'!T154)</f>
        <v>911.48037274056162</v>
      </c>
      <c r="U62" s="3092">
        <f>SUM('Произв. прогр. Вода'!U154)</f>
        <v>911.48037274056162</v>
      </c>
      <c r="V62" s="3063">
        <f>SUM('Произв. прогр. Вода'!V154)</f>
        <v>2734.441118221685</v>
      </c>
      <c r="W62" s="3111">
        <f t="shared" si="50"/>
        <v>10744.469720171533</v>
      </c>
    </row>
    <row r="63" spans="1:52" ht="18.75" customHeight="1">
      <c r="A63" s="3093" t="s">
        <v>1727</v>
      </c>
      <c r="B63" s="3067">
        <f t="shared" si="54"/>
        <v>7571.4534473698077</v>
      </c>
      <c r="C63" s="3067">
        <f>SUM('Произв. прогр. Вода'!C155)</f>
        <v>7532.7419541150002</v>
      </c>
      <c r="D63" s="3067">
        <f>SUM('Произв. прогр. Вода'!D155)</f>
        <v>38.711493254807465</v>
      </c>
      <c r="E63" s="3094">
        <f>SUM('Произв. прогр. Вода'!E155)</f>
        <v>618.58279798772935</v>
      </c>
      <c r="F63" s="3094">
        <f>SUM('Произв. прогр. Вода'!F155)</f>
        <v>618.58279798772935</v>
      </c>
      <c r="G63" s="3094">
        <f>SUM('Произв. прогр. Вода'!G155)</f>
        <v>618.58279798772935</v>
      </c>
      <c r="H63" s="3067">
        <f>SUM('Произв. прогр. Вода'!H155)</f>
        <v>1855.7483939631879</v>
      </c>
      <c r="I63" s="3094">
        <f>SUM('Произв. прогр. Вода'!I155)</f>
        <v>618.58279798772935</v>
      </c>
      <c r="J63" s="3094">
        <f>SUM('Произв. прогр. Вода'!J155)</f>
        <v>618.58279798772935</v>
      </c>
      <c r="K63" s="3094">
        <f>SUM('Произв. прогр. Вода'!K155)</f>
        <v>618.58279798772935</v>
      </c>
      <c r="L63" s="3067">
        <f>SUM('Произв. прогр. Вода'!L155)</f>
        <v>1855.7483939631879</v>
      </c>
      <c r="M63" s="3067">
        <f>SUM('Произв. прогр. Вода'!M155)</f>
        <v>3711.4967879263759</v>
      </c>
      <c r="N63" s="3094">
        <f>SUM('Произв. прогр. Вода'!N155)</f>
        <v>643.32610990723867</v>
      </c>
      <c r="O63" s="3094">
        <f>SUM('Произв. прогр. Вода'!O155)</f>
        <v>643.32610990723867</v>
      </c>
      <c r="P63" s="3094">
        <f>SUM('Произв. прогр. Вода'!P155)</f>
        <v>643.32610990723867</v>
      </c>
      <c r="Q63" s="3067">
        <f>SUM('Произв. прогр. Вода'!Q155)</f>
        <v>1929.9783297217159</v>
      </c>
      <c r="R63" s="3067">
        <f>SUM('Произв. прогр. Вода'!R155)</f>
        <v>5641.4751176480913</v>
      </c>
      <c r="S63" s="3094">
        <f>SUM('Произв. прогр. Вода'!S155)</f>
        <v>643.32610990723867</v>
      </c>
      <c r="T63" s="3094">
        <f>SUM('Произв. прогр. Вода'!T155)</f>
        <v>643.32610990723867</v>
      </c>
      <c r="U63" s="3094">
        <f>SUM('Произв. прогр. Вода'!U155)</f>
        <v>643.32610990723867</v>
      </c>
      <c r="V63" s="3067">
        <f>SUM('Произв. прогр. Вода'!V155)</f>
        <v>1929.9783297217159</v>
      </c>
      <c r="W63" s="3111">
        <f t="shared" si="50"/>
        <v>7571.4534473698086</v>
      </c>
    </row>
    <row r="64" spans="1:52" ht="18.75">
      <c r="A64" s="3093" t="s">
        <v>1728</v>
      </c>
      <c r="B64" s="3067">
        <f t="shared" si="54"/>
        <v>2286.5789411056821</v>
      </c>
      <c r="C64" s="3067">
        <f>SUM('Произв. прогр. Вода'!C156)</f>
        <v>2274.8880701427302</v>
      </c>
      <c r="D64" s="3067">
        <f>SUM('Произв. прогр. Вода'!D156)</f>
        <v>11.690870962951854</v>
      </c>
      <c r="E64" s="3094">
        <f>SUM('Произв. прогр. Вода'!E156)</f>
        <v>186.81200499229428</v>
      </c>
      <c r="F64" s="3094">
        <f>SUM('Произв. прогр. Вода'!F156)</f>
        <v>186.81200499229428</v>
      </c>
      <c r="G64" s="3094">
        <f>SUM('Произв. прогр. Вода'!G156)</f>
        <v>186.81200499229428</v>
      </c>
      <c r="H64" s="3067">
        <f>SUM('Произв. прогр. Вода'!H156)</f>
        <v>560.4360149768828</v>
      </c>
      <c r="I64" s="3094">
        <f>SUM('Произв. прогр. Вода'!I156)</f>
        <v>186.81200499229428</v>
      </c>
      <c r="J64" s="3094">
        <f>SUM('Произв. прогр. Вода'!J156)</f>
        <v>186.81200499229428</v>
      </c>
      <c r="K64" s="3094">
        <f>SUM('Произв. прогр. Вода'!K156)</f>
        <v>186.81200499229428</v>
      </c>
      <c r="L64" s="3067">
        <f>SUM('Произв. прогр. Вода'!L156)</f>
        <v>560.4360149768828</v>
      </c>
      <c r="M64" s="3067">
        <f>SUM('Произв. прогр. Вода'!M156)</f>
        <v>1120.8720299537656</v>
      </c>
      <c r="N64" s="3094">
        <f>SUM('Произв. прогр. Вода'!N156)</f>
        <v>194.28448519198602</v>
      </c>
      <c r="O64" s="3094">
        <f>SUM('Произв. прогр. Вода'!O156)</f>
        <v>194.28448519198602</v>
      </c>
      <c r="P64" s="3094">
        <f>SUM('Произв. прогр. Вода'!P156)</f>
        <v>194.28448519198602</v>
      </c>
      <c r="Q64" s="3067">
        <f>SUM('Произв. прогр. Вода'!Q156)</f>
        <v>582.85345557595804</v>
      </c>
      <c r="R64" s="3067">
        <f>SUM('Произв. прогр. Вода'!R156)</f>
        <v>1703.7254855297238</v>
      </c>
      <c r="S64" s="3094">
        <f>SUM('Произв. прогр. Вода'!S156)</f>
        <v>194.28448519198602</v>
      </c>
      <c r="T64" s="3094">
        <f>SUM('Произв. прогр. Вода'!T156)</f>
        <v>194.28448519198602</v>
      </c>
      <c r="U64" s="3094">
        <f>SUM('Произв. прогр. Вода'!U156)</f>
        <v>194.28448519198602</v>
      </c>
      <c r="V64" s="3067">
        <f>SUM('Произв. прогр. Вода'!V156)</f>
        <v>582.85345557595804</v>
      </c>
      <c r="W64" s="3111">
        <f t="shared" si="50"/>
        <v>2286.5789411056817</v>
      </c>
    </row>
    <row r="65" spans="1:23" ht="18.75">
      <c r="A65" s="3088" t="s">
        <v>1729</v>
      </c>
      <c r="B65" s="3067">
        <f t="shared" si="54"/>
        <v>886.43733169604252</v>
      </c>
      <c r="C65" s="3067">
        <f>SUM(C62-C63-C64)</f>
        <v>881.9051354638018</v>
      </c>
      <c r="D65" s="3067">
        <f t="shared" ref="D65:V65" si="55">SUM(D62-D63-D64)</f>
        <v>4.5321962322406737</v>
      </c>
      <c r="E65" s="3094">
        <f t="shared" si="55"/>
        <v>73.869777641336924</v>
      </c>
      <c r="F65" s="3094">
        <f t="shared" si="55"/>
        <v>73.869777641336924</v>
      </c>
      <c r="G65" s="3094">
        <f t="shared" si="55"/>
        <v>73.869777641336924</v>
      </c>
      <c r="H65" s="3067">
        <f t="shared" si="55"/>
        <v>221.60933292401103</v>
      </c>
      <c r="I65" s="3094">
        <f t="shared" si="55"/>
        <v>73.869777641336924</v>
      </c>
      <c r="J65" s="3094">
        <f t="shared" si="55"/>
        <v>73.869777641336924</v>
      </c>
      <c r="K65" s="3094">
        <f t="shared" si="55"/>
        <v>73.869777641336924</v>
      </c>
      <c r="L65" s="3067">
        <f t="shared" si="55"/>
        <v>221.60933292401103</v>
      </c>
      <c r="M65" s="3067">
        <f t="shared" si="55"/>
        <v>443.21866584802206</v>
      </c>
      <c r="N65" s="3094">
        <f t="shared" si="55"/>
        <v>73.869777641336924</v>
      </c>
      <c r="O65" s="3094">
        <f t="shared" si="55"/>
        <v>73.869777641336924</v>
      </c>
      <c r="P65" s="3094">
        <f t="shared" si="55"/>
        <v>73.869777641336924</v>
      </c>
      <c r="Q65" s="3067">
        <f t="shared" si="55"/>
        <v>221.60933292401103</v>
      </c>
      <c r="R65" s="3067">
        <f t="shared" si="55"/>
        <v>664.82799877203388</v>
      </c>
      <c r="S65" s="3094">
        <f t="shared" si="55"/>
        <v>73.869777641336924</v>
      </c>
      <c r="T65" s="3094">
        <f t="shared" si="55"/>
        <v>73.869777641336924</v>
      </c>
      <c r="U65" s="3094">
        <f t="shared" si="55"/>
        <v>73.869777641336924</v>
      </c>
      <c r="V65" s="3067">
        <f t="shared" si="55"/>
        <v>221.60933292401103</v>
      </c>
      <c r="W65" s="3111">
        <f t="shared" si="50"/>
        <v>886.43733169604286</v>
      </c>
    </row>
    <row r="66" spans="1:23" ht="18.75">
      <c r="A66" s="3062" t="s">
        <v>1730</v>
      </c>
      <c r="B66" s="3063">
        <f t="shared" si="54"/>
        <v>0</v>
      </c>
      <c r="C66" s="3113">
        <f>SUM('Произв. прогр. Вода'!C158)</f>
        <v>0</v>
      </c>
      <c r="D66" s="3113">
        <f>SUM('Произв. прогр. Вода'!D158)</f>
        <v>0</v>
      </c>
      <c r="E66" s="3114">
        <f>SUM('Произв. прогр. Вода'!E158)</f>
        <v>0</v>
      </c>
      <c r="F66" s="3114">
        <f>SUM('Произв. прогр. Вода'!F158)</f>
        <v>0</v>
      </c>
      <c r="G66" s="3114">
        <f>SUM('Произв. прогр. Вода'!G158)</f>
        <v>0</v>
      </c>
      <c r="H66" s="3113">
        <f>SUM('Произв. прогр. Вода'!H158)</f>
        <v>0</v>
      </c>
      <c r="I66" s="3114">
        <f>SUM('Произв. прогр. Вода'!I158)</f>
        <v>0</v>
      </c>
      <c r="J66" s="3114">
        <f>SUM('Произв. прогр. Вода'!J158)</f>
        <v>0</v>
      </c>
      <c r="K66" s="3114">
        <f>SUM('Произв. прогр. Вода'!K158)</f>
        <v>0</v>
      </c>
      <c r="L66" s="3113">
        <f>SUM('Произв. прогр. Вода'!L158)</f>
        <v>0</v>
      </c>
      <c r="M66" s="3113">
        <f>SUM('Произв. прогр. Вода'!M158)</f>
        <v>0</v>
      </c>
      <c r="N66" s="3114">
        <f>SUM('Произв. прогр. Вода'!N158)</f>
        <v>0</v>
      </c>
      <c r="O66" s="3114">
        <f>SUM('Произв. прогр. Вода'!O158)</f>
        <v>0</v>
      </c>
      <c r="P66" s="3114">
        <f>SUM('Произв. прогр. Вода'!P158)</f>
        <v>0</v>
      </c>
      <c r="Q66" s="3113">
        <f>SUM('Произв. прогр. Вода'!Q158)</f>
        <v>0</v>
      </c>
      <c r="R66" s="3113">
        <f>SUM('Произв. прогр. Вода'!R158)</f>
        <v>0</v>
      </c>
      <c r="S66" s="3114">
        <f>SUM('Произв. прогр. Вода'!S158)</f>
        <v>0</v>
      </c>
      <c r="T66" s="3114">
        <f>SUM('Произв. прогр. Вода'!T158)</f>
        <v>0</v>
      </c>
      <c r="U66" s="3114">
        <f>SUM('Произв. прогр. Вода'!U158)</f>
        <v>0</v>
      </c>
      <c r="V66" s="3113">
        <f>SUM('Произв. прогр. Вода'!V158)</f>
        <v>0</v>
      </c>
      <c r="W66" s="3111">
        <f t="shared" si="50"/>
        <v>0</v>
      </c>
    </row>
    <row r="67" spans="1:23" ht="18.75" hidden="1">
      <c r="A67" s="3066" t="s">
        <v>286</v>
      </c>
      <c r="B67" s="3067">
        <f t="shared" si="54"/>
        <v>0</v>
      </c>
      <c r="C67" s="3067">
        <f>SUM('Произв. прогр. Вода'!C159)</f>
        <v>0</v>
      </c>
      <c r="D67" s="3067">
        <f>SUM('Произв. прогр. Вода'!D159)</f>
        <v>0</v>
      </c>
      <c r="E67" s="3094">
        <f>SUM('Произв. прогр. Вода'!E159)</f>
        <v>0</v>
      </c>
      <c r="F67" s="3094">
        <f>SUM('Произв. прогр. Вода'!F159)</f>
        <v>0</v>
      </c>
      <c r="G67" s="3094">
        <f>SUM('Произв. прогр. Вода'!G159)</f>
        <v>0</v>
      </c>
      <c r="H67" s="3067">
        <f>SUM('Произв. прогр. Вода'!H159)</f>
        <v>0</v>
      </c>
      <c r="I67" s="3094">
        <f>SUM('Произв. прогр. Вода'!I159)</f>
        <v>0</v>
      </c>
      <c r="J67" s="3094">
        <f>SUM('Произв. прогр. Вода'!J159)</f>
        <v>0</v>
      </c>
      <c r="K67" s="3094">
        <f>SUM('Произв. прогр. Вода'!K159)</f>
        <v>0</v>
      </c>
      <c r="L67" s="3067">
        <f>SUM('Произв. прогр. Вода'!L159)</f>
        <v>0</v>
      </c>
      <c r="M67" s="3067">
        <f>SUM('Произв. прогр. Вода'!M159)</f>
        <v>0</v>
      </c>
      <c r="N67" s="3094">
        <f>SUM('Произв. прогр. Вода'!N159)</f>
        <v>0</v>
      </c>
      <c r="O67" s="3094">
        <f>SUM('Произв. прогр. Вода'!O159)</f>
        <v>0</v>
      </c>
      <c r="P67" s="3094">
        <f>SUM('Произв. прогр. Вода'!P159)</f>
        <v>0</v>
      </c>
      <c r="Q67" s="3067">
        <f>SUM('Произв. прогр. Вода'!Q159)</f>
        <v>0</v>
      </c>
      <c r="R67" s="3067">
        <f>SUM('Произв. прогр. Вода'!R159)</f>
        <v>0</v>
      </c>
      <c r="S67" s="3094">
        <f>SUM('Произв. прогр. Вода'!S159)</f>
        <v>0</v>
      </c>
      <c r="T67" s="3094">
        <f>SUM('Произв. прогр. Вода'!T159)</f>
        <v>0</v>
      </c>
      <c r="U67" s="3094">
        <f>SUM('Произв. прогр. Вода'!U159)</f>
        <v>0</v>
      </c>
      <c r="V67" s="3067">
        <f>SUM('Произв. прогр. Вода'!V159)</f>
        <v>0</v>
      </c>
      <c r="W67" s="3111">
        <f t="shared" si="50"/>
        <v>0</v>
      </c>
    </row>
    <row r="68" spans="1:23" ht="18.75" hidden="1">
      <c r="A68" s="3066" t="s">
        <v>289</v>
      </c>
      <c r="B68" s="3067">
        <f t="shared" si="54"/>
        <v>0</v>
      </c>
      <c r="C68" s="3160">
        <f>SUM('Произв. прогр. Вода'!C160)</f>
        <v>0</v>
      </c>
      <c r="D68" s="3160">
        <f>SUM('Произв. прогр. Вода'!D160)</f>
        <v>0</v>
      </c>
      <c r="E68" s="3161">
        <f>SUM('Произв. прогр. Вода'!E160)</f>
        <v>0</v>
      </c>
      <c r="F68" s="3161">
        <f>SUM('Произв. прогр. Вода'!F160)</f>
        <v>0</v>
      </c>
      <c r="G68" s="3161">
        <f>SUM('Произв. прогр. Вода'!G160)</f>
        <v>0</v>
      </c>
      <c r="H68" s="3160">
        <f>SUM('Произв. прогр. Вода'!H160)</f>
        <v>0</v>
      </c>
      <c r="I68" s="3161">
        <f>SUM('Произв. прогр. Вода'!I160)</f>
        <v>0</v>
      </c>
      <c r="J68" s="3161">
        <f>SUM('Произв. прогр. Вода'!J160)</f>
        <v>0</v>
      </c>
      <c r="K68" s="3161">
        <f>SUM('Произв. прогр. Вода'!K160)</f>
        <v>0</v>
      </c>
      <c r="L68" s="3160">
        <f>SUM('Произв. прогр. Вода'!L160)</f>
        <v>0</v>
      </c>
      <c r="M68" s="3160">
        <f>SUM('Произв. прогр. Вода'!M160)</f>
        <v>0</v>
      </c>
      <c r="N68" s="3161">
        <f>SUM('Произв. прогр. Вода'!N160)</f>
        <v>0</v>
      </c>
      <c r="O68" s="3161">
        <f>SUM('Произв. прогр. Вода'!O160)</f>
        <v>0</v>
      </c>
      <c r="P68" s="3161">
        <f>SUM('Произв. прогр. Вода'!P160)</f>
        <v>0</v>
      </c>
      <c r="Q68" s="3160">
        <f>SUM('Произв. прогр. Вода'!Q160)</f>
        <v>0</v>
      </c>
      <c r="R68" s="3160">
        <f>SUM('Произв. прогр. Вода'!R160)</f>
        <v>0</v>
      </c>
      <c r="S68" s="3161">
        <f>SUM('Произв. прогр. Вода'!S160)</f>
        <v>0</v>
      </c>
      <c r="T68" s="3161">
        <f>SUM('Произв. прогр. Вода'!T160)</f>
        <v>0</v>
      </c>
      <c r="U68" s="3161">
        <f>SUM('Произв. прогр. Вода'!U160)</f>
        <v>0</v>
      </c>
      <c r="V68" s="3160">
        <f>SUM('Произв. прогр. Вода'!V160)</f>
        <v>0</v>
      </c>
      <c r="W68" s="3111">
        <f t="shared" si="50"/>
        <v>0</v>
      </c>
    </row>
    <row r="69" spans="1:23" ht="18.75" hidden="1">
      <c r="A69" s="3088" t="s">
        <v>1725</v>
      </c>
      <c r="B69" s="3067">
        <f t="shared" si="54"/>
        <v>0</v>
      </c>
      <c r="C69" s="3160">
        <f>SUM('Произв. прогр. Вода'!C161)</f>
        <v>0</v>
      </c>
      <c r="D69" s="3160">
        <f>SUM('Произв. прогр. Вода'!D161)</f>
        <v>0</v>
      </c>
      <c r="E69" s="3161">
        <f>SUM('Произв. прогр. Вода'!E161)</f>
        <v>0</v>
      </c>
      <c r="F69" s="3161">
        <f>SUM('Произв. прогр. Вода'!F161)</f>
        <v>0</v>
      </c>
      <c r="G69" s="3161">
        <f>SUM('Произв. прогр. Вода'!G161)</f>
        <v>0</v>
      </c>
      <c r="H69" s="3160">
        <f>SUM('Произв. прогр. Вода'!H161)</f>
        <v>0</v>
      </c>
      <c r="I69" s="3161">
        <f>SUM('Произв. прогр. Вода'!I161)</f>
        <v>0</v>
      </c>
      <c r="J69" s="3161">
        <f>SUM('Произв. прогр. Вода'!J161)</f>
        <v>0</v>
      </c>
      <c r="K69" s="3161">
        <f>SUM('Произв. прогр. Вода'!K161)</f>
        <v>0</v>
      </c>
      <c r="L69" s="3160">
        <f>SUM('Произв. прогр. Вода'!L161)</f>
        <v>0</v>
      </c>
      <c r="M69" s="3160">
        <f>SUM('Произв. прогр. Вода'!M161)</f>
        <v>0</v>
      </c>
      <c r="N69" s="3161">
        <f>SUM('Произв. прогр. Вода'!N161)</f>
        <v>0</v>
      </c>
      <c r="O69" s="3161">
        <f>SUM('Произв. прогр. Вода'!O161)</f>
        <v>0</v>
      </c>
      <c r="P69" s="3161">
        <f>SUM('Произв. прогр. Вода'!P161)</f>
        <v>0</v>
      </c>
      <c r="Q69" s="3160">
        <f>SUM('Произв. прогр. Вода'!Q161)</f>
        <v>0</v>
      </c>
      <c r="R69" s="3160">
        <f>SUM('Произв. прогр. Вода'!R161)</f>
        <v>0</v>
      </c>
      <c r="S69" s="3161">
        <f>SUM('Произв. прогр. Вода'!S161)</f>
        <v>0</v>
      </c>
      <c r="T69" s="3161">
        <f>SUM('Произв. прогр. Вода'!T161)</f>
        <v>0</v>
      </c>
      <c r="U69" s="3161">
        <f>SUM('Произв. прогр. Вода'!U161)</f>
        <v>0</v>
      </c>
      <c r="V69" s="3160">
        <f>SUM('Произв. прогр. Вода'!V161)</f>
        <v>0</v>
      </c>
      <c r="W69" s="3111">
        <f t="shared" si="50"/>
        <v>0</v>
      </c>
    </row>
    <row r="70" spans="1:23" ht="18.75">
      <c r="A70" s="3062" t="s">
        <v>1731</v>
      </c>
      <c r="B70" s="3063">
        <f t="shared" si="54"/>
        <v>436.83960362466541</v>
      </c>
      <c r="C70" s="3063">
        <f>SUM('Произв. прогр. Вода'!C162)</f>
        <v>436.83960362466541</v>
      </c>
      <c r="D70" s="3063">
        <f>SUM('Произв. прогр. Вода'!D162)</f>
        <v>0</v>
      </c>
      <c r="E70" s="3092">
        <f>SUM('Произв. прогр. Вода'!E162)</f>
        <v>36.403300302055449</v>
      </c>
      <c r="F70" s="3092">
        <f>SUM('Произв. прогр. Вода'!F162)</f>
        <v>36.403300302055449</v>
      </c>
      <c r="G70" s="3092">
        <f>SUM('Произв. прогр. Вода'!G162)</f>
        <v>36.403300302055449</v>
      </c>
      <c r="H70" s="3063">
        <f>SUM('Произв. прогр. Вода'!H162)</f>
        <v>109.20990090616635</v>
      </c>
      <c r="I70" s="3092">
        <f>SUM('Произв. прогр. Вода'!I162)</f>
        <v>36.403300302055449</v>
      </c>
      <c r="J70" s="3092">
        <f>SUM('Произв. прогр. Вода'!J162)</f>
        <v>36.403300302055449</v>
      </c>
      <c r="K70" s="3092">
        <f>SUM('Произв. прогр. Вода'!K162)</f>
        <v>36.403300302055449</v>
      </c>
      <c r="L70" s="3063">
        <f>SUM('Произв. прогр. Вода'!L162)</f>
        <v>109.20990090616635</v>
      </c>
      <c r="M70" s="3063">
        <f>SUM('Произв. прогр. Вода'!M162)</f>
        <v>218.41980181233271</v>
      </c>
      <c r="N70" s="3092">
        <f>SUM('Произв. прогр. Вода'!N162)</f>
        <v>36.403300302055449</v>
      </c>
      <c r="O70" s="3092">
        <f>SUM('Произв. прогр. Вода'!O162)</f>
        <v>36.403300302055449</v>
      </c>
      <c r="P70" s="3092">
        <f>SUM('Произв. прогр. Вода'!P162)</f>
        <v>36.403300302055449</v>
      </c>
      <c r="Q70" s="3063">
        <f>SUM('Произв. прогр. Вода'!Q162)</f>
        <v>109.20990090616635</v>
      </c>
      <c r="R70" s="3063">
        <f>SUM('Произв. прогр. Вода'!R162)</f>
        <v>327.62970271849906</v>
      </c>
      <c r="S70" s="3092">
        <f>SUM('Произв. прогр. Вода'!S162)</f>
        <v>36.403300302055449</v>
      </c>
      <c r="T70" s="3092">
        <f>SUM('Произв. прогр. Вода'!T162)</f>
        <v>36.403300302055449</v>
      </c>
      <c r="U70" s="3092">
        <f>SUM('Произв. прогр. Вода'!U162)</f>
        <v>36.403300302055449</v>
      </c>
      <c r="V70" s="3063">
        <f>SUM('Произв. прогр. Вода'!V162)</f>
        <v>109.20990090616635</v>
      </c>
      <c r="W70" s="3111">
        <f t="shared" si="50"/>
        <v>436.83960362466547</v>
      </c>
    </row>
    <row r="71" spans="1:23" ht="18.75">
      <c r="A71" s="3090" t="s">
        <v>12</v>
      </c>
      <c r="B71" s="3070">
        <f>SUM(B45+B46+B47+B48+B49+B50+B51+B53+B57+B62+B66+B70)</f>
        <v>128142.39052398231</v>
      </c>
      <c r="C71" s="3070">
        <f>SUM(C45+C46+C47+C48+C49+C50+C51+C53+C57+C62+C66+C70)</f>
        <v>127775.59244154149</v>
      </c>
      <c r="D71" s="3070">
        <f t="shared" ref="D71:V71" si="56">SUM(D45+D46+D47+D48+D49+D50+D51+D53+D57+D62+D66+D70)</f>
        <v>366.7980824408067</v>
      </c>
      <c r="E71" s="3096">
        <f t="shared" si="56"/>
        <v>10648.276148143455</v>
      </c>
      <c r="F71" s="3096">
        <f t="shared" si="56"/>
        <v>10525.525564386353</v>
      </c>
      <c r="G71" s="3096">
        <f t="shared" si="56"/>
        <v>11355.399630938728</v>
      </c>
      <c r="H71" s="3070">
        <f t="shared" si="56"/>
        <v>32529.201343468536</v>
      </c>
      <c r="I71" s="3096">
        <f t="shared" si="56"/>
        <v>10291.93361750053</v>
      </c>
      <c r="J71" s="3096">
        <f t="shared" si="56"/>
        <v>9896.2474658592382</v>
      </c>
      <c r="K71" s="3096">
        <f t="shared" si="56"/>
        <v>10673.310773946198</v>
      </c>
      <c r="L71" s="3070">
        <f t="shared" si="56"/>
        <v>30861.491857305962</v>
      </c>
      <c r="M71" s="3070">
        <f t="shared" si="56"/>
        <v>63390.693200774498</v>
      </c>
      <c r="N71" s="3096">
        <f t="shared" si="56"/>
        <v>10121.291795733416</v>
      </c>
      <c r="O71" s="3096">
        <f t="shared" si="56"/>
        <v>10119.154961238701</v>
      </c>
      <c r="P71" s="3096">
        <f t="shared" si="56"/>
        <v>11242.646450380884</v>
      </c>
      <c r="Q71" s="3070">
        <f t="shared" si="56"/>
        <v>31483.093207352998</v>
      </c>
      <c r="R71" s="3070">
        <f t="shared" si="56"/>
        <v>94873.786408127475</v>
      </c>
      <c r="S71" s="3096">
        <f t="shared" si="56"/>
        <v>10654.805043867587</v>
      </c>
      <c r="T71" s="3096">
        <f t="shared" si="56"/>
        <v>10783.5478547574</v>
      </c>
      <c r="U71" s="3096">
        <f t="shared" si="56"/>
        <v>11830.251217791203</v>
      </c>
      <c r="V71" s="3070">
        <f t="shared" si="56"/>
        <v>33268.60411641618</v>
      </c>
      <c r="W71" s="3115">
        <f t="shared" si="50"/>
        <v>128142.39052454369</v>
      </c>
    </row>
    <row r="72" spans="1:23" ht="18.75">
      <c r="A72" s="3090" t="s">
        <v>13</v>
      </c>
      <c r="B72" s="3060">
        <f>SUM(C72:D72)</f>
        <v>3621.42</v>
      </c>
      <c r="C72" s="3060">
        <f>SUM(C18)</f>
        <v>3600</v>
      </c>
      <c r="D72" s="3060">
        <f>SUM(D18)</f>
        <v>21.42</v>
      </c>
      <c r="E72" s="3073">
        <f t="shared" ref="E72:V72" si="57">SUM(E18)</f>
        <v>309.63141000000007</v>
      </c>
      <c r="F72" s="3073">
        <f t="shared" si="57"/>
        <v>307.82070000000004</v>
      </c>
      <c r="G72" s="3073">
        <f t="shared" si="57"/>
        <v>307.82070000000004</v>
      </c>
      <c r="H72" s="3060">
        <f t="shared" si="57"/>
        <v>925.27281000000016</v>
      </c>
      <c r="I72" s="3073">
        <f t="shared" si="57"/>
        <v>306.00999000000002</v>
      </c>
      <c r="J72" s="3073">
        <f t="shared" si="57"/>
        <v>289.71360000000004</v>
      </c>
      <c r="K72" s="3073">
        <f t="shared" si="57"/>
        <v>289.71360000000004</v>
      </c>
      <c r="L72" s="3060">
        <f t="shared" si="57"/>
        <v>885.4371900000001</v>
      </c>
      <c r="M72" s="3060">
        <f t="shared" si="57"/>
        <v>1810.7100000000003</v>
      </c>
      <c r="N72" s="3073">
        <f t="shared" si="57"/>
        <v>289.71360000000004</v>
      </c>
      <c r="O72" s="3073">
        <f t="shared" si="57"/>
        <v>289.71360000000004</v>
      </c>
      <c r="P72" s="3073">
        <f t="shared" si="57"/>
        <v>306.00999000000002</v>
      </c>
      <c r="Q72" s="3060">
        <f t="shared" si="57"/>
        <v>885.4371900000001</v>
      </c>
      <c r="R72" s="3060">
        <f t="shared" si="57"/>
        <v>2696.1471900000006</v>
      </c>
      <c r="S72" s="3073">
        <f t="shared" si="57"/>
        <v>307.82070000000004</v>
      </c>
      <c r="T72" s="3073">
        <f t="shared" si="57"/>
        <v>307.82070000000004</v>
      </c>
      <c r="U72" s="3073">
        <f t="shared" si="57"/>
        <v>309.63141000000007</v>
      </c>
      <c r="V72" s="3060">
        <f t="shared" si="57"/>
        <v>925.27281000000016</v>
      </c>
      <c r="W72" s="3115">
        <f t="shared" si="50"/>
        <v>3621.4200000000005</v>
      </c>
    </row>
    <row r="73" spans="1:23" ht="18.75">
      <c r="A73" s="3090" t="s">
        <v>14</v>
      </c>
      <c r="B73" s="3060">
        <f t="shared" ref="B73:W73" si="58">SUM(B71/B72)</f>
        <v>35.384570285684156</v>
      </c>
      <c r="C73" s="3060">
        <f t="shared" si="58"/>
        <v>35.493220122650413</v>
      </c>
      <c r="D73" s="3060">
        <f t="shared" si="58"/>
        <v>17.124093484631498</v>
      </c>
      <c r="E73" s="3073">
        <f t="shared" si="58"/>
        <v>34.39016780675918</v>
      </c>
      <c r="F73" s="3073">
        <f t="shared" si="58"/>
        <v>34.193689912297486</v>
      </c>
      <c r="G73" s="3073">
        <f t="shared" si="58"/>
        <v>36.889655669481378</v>
      </c>
      <c r="H73" s="3060">
        <f t="shared" si="58"/>
        <v>35.156335506571871</v>
      </c>
      <c r="I73" s="3073">
        <f t="shared" si="58"/>
        <v>33.632671984011139</v>
      </c>
      <c r="J73" s="3073">
        <f t="shared" si="58"/>
        <v>34.158725948175153</v>
      </c>
      <c r="K73" s="3073">
        <f t="shared" si="58"/>
        <v>36.840903478284055</v>
      </c>
      <c r="L73" s="3060">
        <f t="shared" si="58"/>
        <v>34.854524076751233</v>
      </c>
      <c r="M73" s="3060">
        <f t="shared" si="58"/>
        <v>35.008749717389584</v>
      </c>
      <c r="N73" s="3073">
        <f t="shared" si="58"/>
        <v>34.935508018033723</v>
      </c>
      <c r="O73" s="3073">
        <f t="shared" si="58"/>
        <v>34.928132339105581</v>
      </c>
      <c r="P73" s="3073">
        <f t="shared" si="58"/>
        <v>36.739475238638072</v>
      </c>
      <c r="Q73" s="3060">
        <f t="shared" si="58"/>
        <v>35.556551681947077</v>
      </c>
      <c r="R73" s="3060">
        <f t="shared" si="58"/>
        <v>35.188652444500796</v>
      </c>
      <c r="S73" s="3073">
        <f t="shared" si="58"/>
        <v>34.61367297218019</v>
      </c>
      <c r="T73" s="3073">
        <f t="shared" si="58"/>
        <v>35.031912586636956</v>
      </c>
      <c r="U73" s="3073">
        <f t="shared" si="58"/>
        <v>38.207529455074344</v>
      </c>
      <c r="V73" s="3060">
        <f t="shared" si="58"/>
        <v>35.955454171852487</v>
      </c>
      <c r="W73" s="3116">
        <f t="shared" si="58"/>
        <v>35.384570285839168</v>
      </c>
    </row>
    <row r="74" spans="1:23" ht="18.75">
      <c r="A74" s="4597" t="s">
        <v>1967</v>
      </c>
      <c r="B74" s="4599">
        <f>SUM(B75+B76+B77)</f>
        <v>10295.365343066544</v>
      </c>
      <c r="C74" s="4599">
        <f t="shared" ref="C74:D74" si="59">SUM(C75+C76+C77)</f>
        <v>10044.351543385228</v>
      </c>
      <c r="D74" s="4599">
        <f t="shared" si="59"/>
        <v>251.01379968131556</v>
      </c>
      <c r="E74" s="3100">
        <f t="shared" ref="E74:E77" si="60">SUM(B74/12)</f>
        <v>857.947111922212</v>
      </c>
      <c r="F74" s="3100">
        <f t="shared" ref="F74:F77" si="61">SUM(E74)</f>
        <v>857.947111922212</v>
      </c>
      <c r="G74" s="3100">
        <f t="shared" ref="G74:G77" si="62">SUM(F74)</f>
        <v>857.947111922212</v>
      </c>
      <c r="H74" s="3101">
        <f t="shared" ref="H74:H78" si="63">SUM(E74+F74+G74)</f>
        <v>2573.8413357666359</v>
      </c>
      <c r="I74" s="3159">
        <f t="shared" ref="I74:I77" si="64">SUM(E74)</f>
        <v>857.947111922212</v>
      </c>
      <c r="J74" s="3159">
        <f t="shared" ref="J74:J77" si="65">SUM(E74)</f>
        <v>857.947111922212</v>
      </c>
      <c r="K74" s="3159">
        <f t="shared" ref="K74:K77" si="66">SUM(E74)</f>
        <v>857.947111922212</v>
      </c>
      <c r="L74" s="3101">
        <f t="shared" ref="L74:L78" si="67">SUM(I74+J74+K74)</f>
        <v>2573.8413357666359</v>
      </c>
      <c r="M74" s="3101">
        <f t="shared" ref="M74:M78" si="68">SUM(H74+L74)</f>
        <v>5147.6826715332718</v>
      </c>
      <c r="N74" s="3100">
        <f t="shared" ref="N74:N77" si="69">SUM(E74)</f>
        <v>857.947111922212</v>
      </c>
      <c r="O74" s="3100">
        <f t="shared" ref="O74:O77" si="70">SUM(E74)</f>
        <v>857.947111922212</v>
      </c>
      <c r="P74" s="3100">
        <f t="shared" ref="P74:P77" si="71">E74</f>
        <v>857.947111922212</v>
      </c>
      <c r="Q74" s="3101">
        <f t="shared" ref="Q74:Q78" si="72">SUM(N74+O74+P74)</f>
        <v>2573.8413357666359</v>
      </c>
      <c r="R74" s="3101">
        <f t="shared" ref="R74:R78" si="73">SUM(M74+Q74)</f>
        <v>7721.5240072999077</v>
      </c>
      <c r="S74" s="3159">
        <f t="shared" ref="S74:S77" si="74">E74</f>
        <v>857.947111922212</v>
      </c>
      <c r="T74" s="3159">
        <f t="shared" ref="T74:T77" si="75">E74</f>
        <v>857.947111922212</v>
      </c>
      <c r="U74" s="3159">
        <f t="shared" ref="U74:U77" si="76">E74</f>
        <v>857.947111922212</v>
      </c>
      <c r="V74" s="3101">
        <f t="shared" ref="V74:V78" si="77">SUM(S74+T74+U74)</f>
        <v>2573.8413357666359</v>
      </c>
      <c r="W74" s="3125">
        <f t="shared" ref="W74:W79" si="78">SUM(E74+F74+G74+I74+J74+K74+N74+O74+P74+S74+T74+U74)</f>
        <v>10295.365343066544</v>
      </c>
    </row>
    <row r="75" spans="1:23" ht="75">
      <c r="A75" s="4469" t="s">
        <v>1906</v>
      </c>
      <c r="B75" s="4600">
        <f>SUM('Произв. прогр. Вода'!B167)</f>
        <v>11701.17</v>
      </c>
      <c r="C75" s="4600">
        <f>SUM('Произв. прогр. Вода'!C167)</f>
        <v>11446.45</v>
      </c>
      <c r="D75" s="4600">
        <f>SUM('Произв. прогр. Вода'!D167)</f>
        <v>254.72</v>
      </c>
      <c r="E75" s="4601">
        <f t="shared" si="60"/>
        <v>975.09749999999997</v>
      </c>
      <c r="F75" s="4601">
        <f t="shared" si="61"/>
        <v>975.09749999999997</v>
      </c>
      <c r="G75" s="4601">
        <f t="shared" si="62"/>
        <v>975.09749999999997</v>
      </c>
      <c r="H75" s="4602">
        <f t="shared" si="63"/>
        <v>2925.2925</v>
      </c>
      <c r="I75" s="4603">
        <f t="shared" si="64"/>
        <v>975.09749999999997</v>
      </c>
      <c r="J75" s="4603">
        <f t="shared" si="65"/>
        <v>975.09749999999997</v>
      </c>
      <c r="K75" s="4603">
        <f t="shared" si="66"/>
        <v>975.09749999999997</v>
      </c>
      <c r="L75" s="4602">
        <f t="shared" si="67"/>
        <v>2925.2925</v>
      </c>
      <c r="M75" s="4602">
        <f t="shared" si="68"/>
        <v>5850.585</v>
      </c>
      <c r="N75" s="4601">
        <f t="shared" si="69"/>
        <v>975.09749999999997</v>
      </c>
      <c r="O75" s="4601">
        <f t="shared" si="70"/>
        <v>975.09749999999997</v>
      </c>
      <c r="P75" s="4601">
        <f t="shared" si="71"/>
        <v>975.09749999999997</v>
      </c>
      <c r="Q75" s="4602">
        <f t="shared" si="72"/>
        <v>2925.2925</v>
      </c>
      <c r="R75" s="4602">
        <f t="shared" si="73"/>
        <v>8775.8775000000005</v>
      </c>
      <c r="S75" s="4603">
        <f t="shared" si="74"/>
        <v>975.09749999999997</v>
      </c>
      <c r="T75" s="4603">
        <f t="shared" si="75"/>
        <v>975.09749999999997</v>
      </c>
      <c r="U75" s="4603">
        <f t="shared" si="76"/>
        <v>975.09749999999997</v>
      </c>
      <c r="V75" s="4602">
        <f t="shared" si="77"/>
        <v>2925.2925</v>
      </c>
      <c r="W75" s="3125">
        <f t="shared" si="78"/>
        <v>11701.17</v>
      </c>
    </row>
    <row r="76" spans="1:23" ht="75">
      <c r="A76" s="4469" t="s">
        <v>1907</v>
      </c>
      <c r="B76" s="4600">
        <f>SUM('Произв. прогр. Вода'!B168)</f>
        <v>0</v>
      </c>
      <c r="C76" s="4600">
        <f>SUM('Произв. прогр. Вода'!C168)</f>
        <v>0</v>
      </c>
      <c r="D76" s="4600">
        <f>SUM('Произв. прогр. Вода'!D168)</f>
        <v>0</v>
      </c>
      <c r="E76" s="4601">
        <f t="shared" si="60"/>
        <v>0</v>
      </c>
      <c r="F76" s="4601">
        <f t="shared" si="61"/>
        <v>0</v>
      </c>
      <c r="G76" s="4601">
        <f t="shared" si="62"/>
        <v>0</v>
      </c>
      <c r="H76" s="4602">
        <f t="shared" si="63"/>
        <v>0</v>
      </c>
      <c r="I76" s="4603">
        <f t="shared" si="64"/>
        <v>0</v>
      </c>
      <c r="J76" s="4603">
        <f t="shared" si="65"/>
        <v>0</v>
      </c>
      <c r="K76" s="4603">
        <f t="shared" si="66"/>
        <v>0</v>
      </c>
      <c r="L76" s="4602">
        <f t="shared" si="67"/>
        <v>0</v>
      </c>
      <c r="M76" s="4602">
        <f t="shared" si="68"/>
        <v>0</v>
      </c>
      <c r="N76" s="4601">
        <f t="shared" si="69"/>
        <v>0</v>
      </c>
      <c r="O76" s="4601">
        <f t="shared" si="70"/>
        <v>0</v>
      </c>
      <c r="P76" s="4601">
        <f t="shared" si="71"/>
        <v>0</v>
      </c>
      <c r="Q76" s="4602">
        <f t="shared" si="72"/>
        <v>0</v>
      </c>
      <c r="R76" s="4602">
        <f t="shared" si="73"/>
        <v>0</v>
      </c>
      <c r="S76" s="4603">
        <f t="shared" si="74"/>
        <v>0</v>
      </c>
      <c r="T76" s="4603">
        <f t="shared" si="75"/>
        <v>0</v>
      </c>
      <c r="U76" s="4603">
        <f t="shared" si="76"/>
        <v>0</v>
      </c>
      <c r="V76" s="4602">
        <f t="shared" si="77"/>
        <v>0</v>
      </c>
      <c r="W76" s="3125">
        <f t="shared" si="78"/>
        <v>0</v>
      </c>
    </row>
    <row r="77" spans="1:23" ht="337.5">
      <c r="A77" s="4470" t="s">
        <v>1908</v>
      </c>
      <c r="B77" s="4600">
        <f>SUM('Произв. прогр. Вода'!B169)</f>
        <v>-1405.8046569334567</v>
      </c>
      <c r="C77" s="4600">
        <f>SUM('Произв. прогр. Вода'!C169)</f>
        <v>-1402.0984566147722</v>
      </c>
      <c r="D77" s="4600">
        <f>SUM('Произв. прогр. Вода'!D169)</f>
        <v>-3.706200318684449</v>
      </c>
      <c r="E77" s="3100">
        <f t="shared" si="60"/>
        <v>-117.15038807778807</v>
      </c>
      <c r="F77" s="3100">
        <f t="shared" si="61"/>
        <v>-117.15038807778807</v>
      </c>
      <c r="G77" s="3100">
        <f t="shared" si="62"/>
        <v>-117.15038807778807</v>
      </c>
      <c r="H77" s="3101">
        <f t="shared" si="63"/>
        <v>-351.45116423336418</v>
      </c>
      <c r="I77" s="3159">
        <f t="shared" si="64"/>
        <v>-117.15038807778807</v>
      </c>
      <c r="J77" s="3159">
        <f t="shared" si="65"/>
        <v>-117.15038807778807</v>
      </c>
      <c r="K77" s="3159">
        <f t="shared" si="66"/>
        <v>-117.15038807778807</v>
      </c>
      <c r="L77" s="3101">
        <f t="shared" si="67"/>
        <v>-351.45116423336418</v>
      </c>
      <c r="M77" s="3101">
        <f t="shared" si="68"/>
        <v>-702.90232846672836</v>
      </c>
      <c r="N77" s="3100">
        <f t="shared" si="69"/>
        <v>-117.15038807778807</v>
      </c>
      <c r="O77" s="3100">
        <f t="shared" si="70"/>
        <v>-117.15038807778807</v>
      </c>
      <c r="P77" s="3100">
        <f t="shared" si="71"/>
        <v>-117.15038807778807</v>
      </c>
      <c r="Q77" s="3101">
        <f t="shared" si="72"/>
        <v>-351.45116423336418</v>
      </c>
      <c r="R77" s="3101">
        <f t="shared" si="73"/>
        <v>-1054.3534927000926</v>
      </c>
      <c r="S77" s="3159">
        <f t="shared" si="74"/>
        <v>-117.15038807778807</v>
      </c>
      <c r="T77" s="3159">
        <f t="shared" si="75"/>
        <v>-117.15038807778807</v>
      </c>
      <c r="U77" s="3159">
        <f t="shared" si="76"/>
        <v>-117.15038807778807</v>
      </c>
      <c r="V77" s="3101">
        <f t="shared" si="77"/>
        <v>-351.45116423336418</v>
      </c>
      <c r="W77" s="3125">
        <f t="shared" si="78"/>
        <v>-1405.8046569334565</v>
      </c>
    </row>
    <row r="78" spans="1:23" ht="18.75">
      <c r="A78" s="4597" t="s">
        <v>1968</v>
      </c>
      <c r="B78" s="4599">
        <f>SUM(B71+B74)</f>
        <v>138437.75586704887</v>
      </c>
      <c r="C78" s="4599">
        <f t="shared" ref="C78:D78" si="79">SUM(C71+C74)</f>
        <v>137819.94398492671</v>
      </c>
      <c r="D78" s="4599">
        <f t="shared" si="79"/>
        <v>617.81188212212226</v>
      </c>
      <c r="E78" s="3100">
        <f>SUM(E71+E74)</f>
        <v>11506.223260065668</v>
      </c>
      <c r="F78" s="3100">
        <f t="shared" ref="F78:G78" si="80">SUM(F71+F74)</f>
        <v>11383.472676308565</v>
      </c>
      <c r="G78" s="3100">
        <f t="shared" si="80"/>
        <v>12213.34674286094</v>
      </c>
      <c r="H78" s="3101">
        <f t="shared" si="63"/>
        <v>35103.042679235179</v>
      </c>
      <c r="I78" s="3100">
        <f>SUM(I71+I74)</f>
        <v>11149.880729422743</v>
      </c>
      <c r="J78" s="3100">
        <f t="shared" ref="J78:K78" si="81">SUM(J71+J74)</f>
        <v>10754.194577781451</v>
      </c>
      <c r="K78" s="3100">
        <f t="shared" si="81"/>
        <v>11531.25788586841</v>
      </c>
      <c r="L78" s="3101">
        <f t="shared" si="67"/>
        <v>33435.333193072598</v>
      </c>
      <c r="M78" s="3101">
        <f t="shared" si="68"/>
        <v>68538.375872307777</v>
      </c>
      <c r="N78" s="3100">
        <f>SUM(N71+N74)</f>
        <v>10979.238907655628</v>
      </c>
      <c r="O78" s="3100">
        <f t="shared" ref="O78:P78" si="82">SUM(O71+O74)</f>
        <v>10977.102073160913</v>
      </c>
      <c r="P78" s="3100">
        <f t="shared" si="82"/>
        <v>12100.593562303096</v>
      </c>
      <c r="Q78" s="3101">
        <f t="shared" si="72"/>
        <v>34056.934543119642</v>
      </c>
      <c r="R78" s="3101">
        <f t="shared" si="73"/>
        <v>102595.31041542742</v>
      </c>
      <c r="S78" s="3100">
        <f>SUM(S71+S74)</f>
        <v>11512.7521557898</v>
      </c>
      <c r="T78" s="3100">
        <f t="shared" ref="T78:U78" si="83">SUM(T71+T74)</f>
        <v>11641.494966679613</v>
      </c>
      <c r="U78" s="3100">
        <f t="shared" si="83"/>
        <v>12688.198329713416</v>
      </c>
      <c r="V78" s="3101">
        <f t="shared" si="77"/>
        <v>35842.44545218283</v>
      </c>
      <c r="W78" s="3125">
        <f t="shared" si="78"/>
        <v>138437.75586761028</v>
      </c>
    </row>
    <row r="79" spans="1:23" ht="18.75">
      <c r="A79" s="3106" t="s">
        <v>1969</v>
      </c>
      <c r="B79" s="3060">
        <f>SUM('Произв. прогр. Вода'!B171)</f>
        <v>0</v>
      </c>
      <c r="C79" s="3060">
        <f>SUM('Произв. прогр. Вода'!C171)</f>
        <v>0</v>
      </c>
      <c r="D79" s="3060">
        <f>SUM('Произв. прогр. Вода'!D171)</f>
        <v>0</v>
      </c>
      <c r="E79" s="3081">
        <f>SUM(E71*(B79/B71))</f>
        <v>0</v>
      </c>
      <c r="F79" s="3081">
        <f>SUM(F71*(B79/B71))</f>
        <v>0</v>
      </c>
      <c r="G79" s="3081">
        <f>SUM(G71*(B79/B71))</f>
        <v>0</v>
      </c>
      <c r="H79" s="3070">
        <f>SUM(E79+F79+G79)</f>
        <v>0</v>
      </c>
      <c r="I79" s="3096">
        <f>SUM(I71*(B79/B71))</f>
        <v>0</v>
      </c>
      <c r="J79" s="3096">
        <f>SUM(J71*(B79/B71))</f>
        <v>0</v>
      </c>
      <c r="K79" s="3096">
        <f>SUM(K71*(B79/B71))</f>
        <v>0</v>
      </c>
      <c r="L79" s="3070">
        <f>SUM(I79+J79+K79)</f>
        <v>0</v>
      </c>
      <c r="M79" s="3070">
        <f>SUM(H79+L79)</f>
        <v>0</v>
      </c>
      <c r="N79" s="3081">
        <f>SUM(N71*(B79/B71))</f>
        <v>0</v>
      </c>
      <c r="O79" s="3081">
        <f>SUM(O71*(B79/B71))</f>
        <v>0</v>
      </c>
      <c r="P79" s="3081">
        <f>SUM(P71*(B79/B71))</f>
        <v>0</v>
      </c>
      <c r="Q79" s="3070">
        <f>SUM(N79+O79+P79)</f>
        <v>0</v>
      </c>
      <c r="R79" s="3070">
        <f>SUM(M79+Q79)</f>
        <v>0</v>
      </c>
      <c r="S79" s="3096">
        <f>SUM(S71*(B79/B71))</f>
        <v>0</v>
      </c>
      <c r="T79" s="3096">
        <f>SUM(T71*(B79/B71))</f>
        <v>0</v>
      </c>
      <c r="U79" s="3096">
        <f>SUM(U71*(B79/B71))</f>
        <v>0</v>
      </c>
      <c r="V79" s="3070">
        <f>SUM(S79+T79+U79)</f>
        <v>0</v>
      </c>
      <c r="W79" s="3085">
        <f t="shared" si="78"/>
        <v>0</v>
      </c>
    </row>
    <row r="80" spans="1:23" ht="18.75" customHeight="1">
      <c r="A80" s="3106" t="s">
        <v>547</v>
      </c>
      <c r="B80" s="3060">
        <f>SUM(C80:D80)</f>
        <v>138437.75586704884</v>
      </c>
      <c r="C80" s="3060">
        <f>SUM(C78+C79)</f>
        <v>137819.94398492671</v>
      </c>
      <c r="D80" s="3060">
        <f>SUM(D78+D79)</f>
        <v>617.81188212212226</v>
      </c>
      <c r="E80" s="3096">
        <f>SUM(E78+E79)</f>
        <v>11506.223260065668</v>
      </c>
      <c r="F80" s="3096">
        <f t="shared" ref="F80:G80" si="84">SUM(F78+F79)</f>
        <v>11383.472676308565</v>
      </c>
      <c r="G80" s="3096">
        <f t="shared" si="84"/>
        <v>12213.34674286094</v>
      </c>
      <c r="H80" s="3070">
        <f>SUM(E80+F80+G80)</f>
        <v>35103.042679235179</v>
      </c>
      <c r="I80" s="3096">
        <f>SUM(I78+I79)</f>
        <v>11149.880729422743</v>
      </c>
      <c r="J80" s="3096">
        <f t="shared" ref="J80" si="85">SUM(J78+J79)</f>
        <v>10754.194577781451</v>
      </c>
      <c r="K80" s="3096">
        <f t="shared" ref="K80" si="86">SUM(K78+K79)</f>
        <v>11531.25788586841</v>
      </c>
      <c r="L80" s="3070">
        <f>SUM(I80+J80+K80)</f>
        <v>33435.333193072598</v>
      </c>
      <c r="M80" s="3070">
        <f>SUM(H80+L80)</f>
        <v>68538.375872307777</v>
      </c>
      <c r="N80" s="3096">
        <f>SUM(N78+N79)</f>
        <v>10979.238907655628</v>
      </c>
      <c r="O80" s="3096">
        <f t="shared" ref="O80" si="87">SUM(O78+O79)</f>
        <v>10977.102073160913</v>
      </c>
      <c r="P80" s="3096">
        <f t="shared" ref="P80" si="88">SUM(P78+P79)</f>
        <v>12100.593562303096</v>
      </c>
      <c r="Q80" s="3070">
        <f>SUM(N80+O80+P80)</f>
        <v>34056.934543119642</v>
      </c>
      <c r="R80" s="3070">
        <f>SUM(M80+Q80)</f>
        <v>102595.31041542742</v>
      </c>
      <c r="S80" s="3096">
        <f>SUM(S78+S79)</f>
        <v>11512.7521557898</v>
      </c>
      <c r="T80" s="3096">
        <f t="shared" ref="T80" si="89">SUM(T78+T79)</f>
        <v>11641.494966679613</v>
      </c>
      <c r="U80" s="3096">
        <f t="shared" ref="U80" si="90">SUM(U78+U79)</f>
        <v>12688.198329713416</v>
      </c>
      <c r="V80" s="3070">
        <f>SUM(S80+T80+U80)</f>
        <v>35842.44545218283</v>
      </c>
      <c r="W80" s="3115">
        <f t="shared" si="50"/>
        <v>138437.75586761028</v>
      </c>
    </row>
    <row r="81" spans="1:23" ht="18.75" customHeight="1">
      <c r="A81" s="3103" t="s">
        <v>70</v>
      </c>
      <c r="B81" s="3060">
        <f t="shared" ref="B81:W81" si="91">SUM(B80/B72)</f>
        <v>38.22747868710308</v>
      </c>
      <c r="C81" s="3060">
        <f t="shared" si="91"/>
        <v>38.283317773590753</v>
      </c>
      <c r="D81" s="3060">
        <f t="shared" si="91"/>
        <v>28.842758269006637</v>
      </c>
      <c r="E81" s="3096">
        <f t="shared" si="91"/>
        <v>37.161033695081727</v>
      </c>
      <c r="F81" s="3096">
        <f t="shared" si="91"/>
        <v>36.980855011727812</v>
      </c>
      <c r="G81" s="3096">
        <f t="shared" si="91"/>
        <v>39.676820768911703</v>
      </c>
      <c r="H81" s="3070">
        <f t="shared" si="91"/>
        <v>37.938046271169661</v>
      </c>
      <c r="I81" s="3096">
        <f t="shared" si="91"/>
        <v>36.436329184621528</v>
      </c>
      <c r="J81" s="3096">
        <f t="shared" si="91"/>
        <v>37.120088866319875</v>
      </c>
      <c r="K81" s="3096">
        <f t="shared" si="91"/>
        <v>39.802266396428777</v>
      </c>
      <c r="L81" s="3070">
        <f t="shared" si="91"/>
        <v>37.761383382905564</v>
      </c>
      <c r="M81" s="3070">
        <f t="shared" si="91"/>
        <v>37.851658118808515</v>
      </c>
      <c r="N81" s="3096">
        <f t="shared" si="91"/>
        <v>37.896870936178445</v>
      </c>
      <c r="O81" s="3096">
        <f t="shared" si="91"/>
        <v>37.889495257250303</v>
      </c>
      <c r="P81" s="3096">
        <f t="shared" si="91"/>
        <v>39.54313243924846</v>
      </c>
      <c r="Q81" s="3070">
        <f t="shared" si="91"/>
        <v>38.463410988101415</v>
      </c>
      <c r="R81" s="3070">
        <f t="shared" si="91"/>
        <v>38.052562855601145</v>
      </c>
      <c r="S81" s="3096">
        <f t="shared" si="91"/>
        <v>37.400838071610515</v>
      </c>
      <c r="T81" s="3096">
        <f t="shared" si="91"/>
        <v>37.819077686067281</v>
      </c>
      <c r="U81" s="3096">
        <f t="shared" si="91"/>
        <v>40.97839534339689</v>
      </c>
      <c r="V81" s="3070">
        <f t="shared" si="91"/>
        <v>38.737164936450284</v>
      </c>
      <c r="W81" s="3117">
        <f t="shared" si="91"/>
        <v>38.227478687258106</v>
      </c>
    </row>
    <row r="82" spans="1:23" ht="18.75" customHeight="1">
      <c r="A82" s="3103" t="s">
        <v>326</v>
      </c>
      <c r="B82" s="3060">
        <f>SUM(C82:D82)</f>
        <v>-6624.9</v>
      </c>
      <c r="C82" s="3060">
        <f>SUM('Произв. прогр. Вода'!C174)</f>
        <v>-6624.9</v>
      </c>
      <c r="D82" s="3060">
        <f>SUM('Произв. прогр. Вода'!D174)</f>
        <v>0</v>
      </c>
      <c r="E82" s="3073">
        <f>SUM('Произв. прогр. Вода'!E174)</f>
        <v>-552.07499999999993</v>
      </c>
      <c r="F82" s="3073">
        <f>SUM('Произв. прогр. Вода'!F174)</f>
        <v>-552.07499999999993</v>
      </c>
      <c r="G82" s="3073">
        <f>SUM('Произв. прогр. Вода'!G174)</f>
        <v>-552.07499999999993</v>
      </c>
      <c r="H82" s="3060">
        <f>SUM('Произв. прогр. Вода'!H174)</f>
        <v>-1656.2249999999999</v>
      </c>
      <c r="I82" s="3073">
        <f>SUM('Произв. прогр. Вода'!I174)</f>
        <v>-552.07499999999993</v>
      </c>
      <c r="J82" s="3073">
        <f>SUM('Произв. прогр. Вода'!J174)</f>
        <v>-552.07499999999993</v>
      </c>
      <c r="K82" s="3073">
        <f>SUM('Произв. прогр. Вода'!K174)</f>
        <v>-552.07499999999993</v>
      </c>
      <c r="L82" s="3060">
        <f>SUM('Произв. прогр. Вода'!L174)</f>
        <v>-1656.2249999999999</v>
      </c>
      <c r="M82" s="3060">
        <f>SUM('Произв. прогр. Вода'!M174)</f>
        <v>-3312.45</v>
      </c>
      <c r="N82" s="3073">
        <f>SUM('Произв. прогр. Вода'!N174)</f>
        <v>-552.07499999999993</v>
      </c>
      <c r="O82" s="3073">
        <f>SUM('Произв. прогр. Вода'!O174)</f>
        <v>-552.07499999999993</v>
      </c>
      <c r="P82" s="3073">
        <f>SUM('Произв. прогр. Вода'!P174)</f>
        <v>-552.07499999999993</v>
      </c>
      <c r="Q82" s="3060">
        <f>SUM('Произв. прогр. Вода'!Q174)</f>
        <v>-1656.2249999999999</v>
      </c>
      <c r="R82" s="3060">
        <f>SUM('Произв. прогр. Вода'!R174)</f>
        <v>-4968.6749999999993</v>
      </c>
      <c r="S82" s="3073">
        <f>SUM('Произв. прогр. Вода'!S174)</f>
        <v>-552.07499999999993</v>
      </c>
      <c r="T82" s="3073">
        <f>SUM('Произв. прогр. Вода'!T174)</f>
        <v>-552.07499999999993</v>
      </c>
      <c r="U82" s="3073">
        <f>SUM('Произв. прогр. Вода'!U174)</f>
        <v>-552.07499999999993</v>
      </c>
      <c r="V82" s="3060">
        <f>SUM('Произв. прогр. Вода'!V174)</f>
        <v>-1656.2249999999999</v>
      </c>
      <c r="W82" s="3115">
        <f t="shared" si="50"/>
        <v>-6624.8999999999987</v>
      </c>
    </row>
    <row r="83" spans="1:23" ht="18.75" customHeight="1">
      <c r="A83" s="3106" t="s">
        <v>548</v>
      </c>
      <c r="B83" s="3060">
        <f>SUM(B80+B82)</f>
        <v>131812.85586704884</v>
      </c>
      <c r="C83" s="3060">
        <f>SUM(C80+C82)</f>
        <v>131195.04398492671</v>
      </c>
      <c r="D83" s="3060">
        <f>SUM(D80+D82)</f>
        <v>617.81188212212226</v>
      </c>
      <c r="E83" s="3096">
        <f>SUM(E82+E80)</f>
        <v>10954.148260065667</v>
      </c>
      <c r="F83" s="3096">
        <f t="shared" ref="F83:G83" si="92">SUM(F82+F80)</f>
        <v>10831.397676308565</v>
      </c>
      <c r="G83" s="3096">
        <f t="shared" si="92"/>
        <v>11661.271742860939</v>
      </c>
      <c r="H83" s="3070">
        <f>SUM(E83+F83+G83)</f>
        <v>33446.817679235173</v>
      </c>
      <c r="I83" s="3096">
        <f t="shared" ref="I83:K83" si="93">SUM(I82+I80)</f>
        <v>10597.805729422742</v>
      </c>
      <c r="J83" s="3096">
        <f t="shared" si="93"/>
        <v>10202.11957778145</v>
      </c>
      <c r="K83" s="3096">
        <f t="shared" si="93"/>
        <v>10979.182885868409</v>
      </c>
      <c r="L83" s="3070">
        <f>SUM(I83+J83+K83)</f>
        <v>31779.1081930726</v>
      </c>
      <c r="M83" s="3070">
        <f>SUM(H83+L83)</f>
        <v>65225.925872307773</v>
      </c>
      <c r="N83" s="3096">
        <f t="shared" ref="N83:P83" si="94">SUM(N82+N80)</f>
        <v>10427.163907655628</v>
      </c>
      <c r="O83" s="3096">
        <f t="shared" si="94"/>
        <v>10425.027073160913</v>
      </c>
      <c r="P83" s="3096">
        <f t="shared" si="94"/>
        <v>11548.518562303096</v>
      </c>
      <c r="Q83" s="3070">
        <f>SUM(N83+O83+P83)</f>
        <v>32400.709543119636</v>
      </c>
      <c r="R83" s="3070">
        <f>SUM(M83+Q83)</f>
        <v>97626.635415427416</v>
      </c>
      <c r="S83" s="3096">
        <f t="shared" ref="S83:U83" si="95">SUM(S82+S80)</f>
        <v>10960.677155789799</v>
      </c>
      <c r="T83" s="3096">
        <f t="shared" si="95"/>
        <v>11089.419966679612</v>
      </c>
      <c r="U83" s="3096">
        <f t="shared" si="95"/>
        <v>12136.123329713415</v>
      </c>
      <c r="V83" s="3070">
        <f>SUM(S83+T83+U83)</f>
        <v>34186.220452182824</v>
      </c>
      <c r="W83" s="3115">
        <f t="shared" si="50"/>
        <v>131812.85586761025</v>
      </c>
    </row>
    <row r="84" spans="1:23" ht="18" customHeight="1">
      <c r="A84" s="3106" t="s">
        <v>327</v>
      </c>
      <c r="B84" s="3060">
        <f t="shared" ref="B84:W84" si="96">SUM(B83/B72)</f>
        <v>36.398113410498873</v>
      </c>
      <c r="C84" s="3060">
        <f t="shared" si="96"/>
        <v>36.443067773590755</v>
      </c>
      <c r="D84" s="3060">
        <f t="shared" si="96"/>
        <v>28.842758269006637</v>
      </c>
      <c r="E84" s="3096">
        <f t="shared" si="96"/>
        <v>35.378026602874897</v>
      </c>
      <c r="F84" s="3096">
        <f t="shared" si="96"/>
        <v>35.187359642508</v>
      </c>
      <c r="G84" s="3096">
        <f t="shared" si="96"/>
        <v>37.883325399691891</v>
      </c>
      <c r="H84" s="3070">
        <f t="shared" si="96"/>
        <v>36.148060677623462</v>
      </c>
      <c r="I84" s="3096">
        <f t="shared" si="96"/>
        <v>34.63222141676728</v>
      </c>
      <c r="J84" s="3096">
        <f t="shared" si="96"/>
        <v>35.214500036523823</v>
      </c>
      <c r="K84" s="3096">
        <f t="shared" si="96"/>
        <v>37.896677566632732</v>
      </c>
      <c r="L84" s="3070">
        <f t="shared" si="96"/>
        <v>35.89086674016098</v>
      </c>
      <c r="M84" s="3070">
        <f t="shared" si="96"/>
        <v>36.022292842204308</v>
      </c>
      <c r="N84" s="3096">
        <f t="shared" si="96"/>
        <v>35.991282106382393</v>
      </c>
      <c r="O84" s="3096">
        <f t="shared" si="96"/>
        <v>35.983906427454258</v>
      </c>
      <c r="P84" s="3096">
        <f t="shared" si="96"/>
        <v>37.739024671394212</v>
      </c>
      <c r="Q84" s="3070">
        <f t="shared" si="96"/>
        <v>36.592894345356818</v>
      </c>
      <c r="R84" s="3070">
        <f t="shared" si="96"/>
        <v>36.209683127658693</v>
      </c>
      <c r="S84" s="3096">
        <f t="shared" si="96"/>
        <v>35.607342702390703</v>
      </c>
      <c r="T84" s="3096">
        <f t="shared" si="96"/>
        <v>36.025582316847469</v>
      </c>
      <c r="U84" s="3096">
        <f t="shared" si="96"/>
        <v>39.19538825119006</v>
      </c>
      <c r="V84" s="3070">
        <f t="shared" si="96"/>
        <v>36.947179342904086</v>
      </c>
      <c r="W84" s="3117">
        <f t="shared" si="96"/>
        <v>36.398113410653899</v>
      </c>
    </row>
    <row r="85" spans="1:23" ht="18.75">
      <c r="A85" s="5007" t="s">
        <v>1732</v>
      </c>
      <c r="B85" s="5000"/>
      <c r="C85" s="5000"/>
      <c r="D85" s="5000"/>
      <c r="E85" s="5000"/>
      <c r="F85" s="5000"/>
      <c r="G85" s="5000"/>
      <c r="H85" s="5000"/>
      <c r="I85" s="5000"/>
      <c r="J85" s="5000"/>
      <c r="K85" s="5000"/>
      <c r="L85" s="5000"/>
      <c r="M85" s="5000"/>
      <c r="N85" s="5000"/>
      <c r="O85" s="5000"/>
      <c r="P85" s="5000"/>
      <c r="Q85" s="5000"/>
      <c r="R85" s="5000"/>
      <c r="S85" s="5000"/>
      <c r="T85" s="5000"/>
      <c r="U85" s="5000"/>
      <c r="V85" s="5000"/>
      <c r="W85" s="3085"/>
    </row>
    <row r="86" spans="1:23" ht="18.75">
      <c r="A86" s="4989" t="s">
        <v>545</v>
      </c>
      <c r="B86" s="4982" t="s">
        <v>1960</v>
      </c>
      <c r="C86" s="4982" t="s">
        <v>575</v>
      </c>
      <c r="D86" s="4982"/>
      <c r="E86" s="4981" t="s">
        <v>586</v>
      </c>
      <c r="F86" s="4981" t="s">
        <v>587</v>
      </c>
      <c r="G86" s="4981" t="s">
        <v>588</v>
      </c>
      <c r="H86" s="4984" t="s">
        <v>600</v>
      </c>
      <c r="I86" s="4981" t="s">
        <v>589</v>
      </c>
      <c r="J86" s="4981" t="s">
        <v>590</v>
      </c>
      <c r="K86" s="4981" t="s">
        <v>591</v>
      </c>
      <c r="L86" s="4984" t="s">
        <v>599</v>
      </c>
      <c r="M86" s="4984" t="s">
        <v>598</v>
      </c>
      <c r="N86" s="4981" t="s">
        <v>592</v>
      </c>
      <c r="O86" s="4981" t="s">
        <v>593</v>
      </c>
      <c r="P86" s="4981" t="s">
        <v>594</v>
      </c>
      <c r="Q86" s="4984" t="s">
        <v>225</v>
      </c>
      <c r="R86" s="4984" t="s">
        <v>229</v>
      </c>
      <c r="S86" s="4981" t="s">
        <v>595</v>
      </c>
      <c r="T86" s="4981" t="s">
        <v>596</v>
      </c>
      <c r="U86" s="4981" t="s">
        <v>597</v>
      </c>
      <c r="V86" s="4984" t="s">
        <v>135</v>
      </c>
      <c r="W86" s="4985" t="s">
        <v>601</v>
      </c>
    </row>
    <row r="87" spans="1:23" ht="37.5">
      <c r="A87" s="4990"/>
      <c r="B87" s="4982"/>
      <c r="C87" s="3057" t="s">
        <v>1553</v>
      </c>
      <c r="D87" s="3057" t="s">
        <v>1554</v>
      </c>
      <c r="E87" s="4981"/>
      <c r="F87" s="4981"/>
      <c r="G87" s="4981"/>
      <c r="H87" s="4984"/>
      <c r="I87" s="4981"/>
      <c r="J87" s="4981"/>
      <c r="K87" s="4981"/>
      <c r="L87" s="4984"/>
      <c r="M87" s="4984"/>
      <c r="N87" s="4981"/>
      <c r="O87" s="4981"/>
      <c r="P87" s="4981"/>
      <c r="Q87" s="4984"/>
      <c r="R87" s="4984"/>
      <c r="S87" s="4981"/>
      <c r="T87" s="4981"/>
      <c r="U87" s="4981"/>
      <c r="V87" s="4984"/>
      <c r="W87" s="4985"/>
    </row>
    <row r="88" spans="1:23" ht="18.75">
      <c r="A88" s="3095" t="s">
        <v>1733</v>
      </c>
      <c r="B88" s="3060">
        <f>SUM('Произв. прогр. Вода'!B180)</f>
        <v>138437.75586704884</v>
      </c>
      <c r="C88" s="3060">
        <f>SUM('Произв. прогр. Вода'!C180)</f>
        <v>137819.94398492674</v>
      </c>
      <c r="D88" s="3060">
        <f>SUM('Произв. прогр. Вода'!D180)</f>
        <v>617.81188212212237</v>
      </c>
      <c r="E88" s="3073">
        <f>SUM('Произв. прогр. Вода'!E180)</f>
        <v>11506.223260065668</v>
      </c>
      <c r="F88" s="3073">
        <f>SUM('Произв. прогр. Вода'!F180)</f>
        <v>11383.472676308564</v>
      </c>
      <c r="G88" s="3073">
        <f>SUM('Произв. прогр. Вода'!G180)</f>
        <v>12213.34674286094</v>
      </c>
      <c r="H88" s="3060">
        <f>SUM('Произв. прогр. Вода'!H180)</f>
        <v>35103.042679235172</v>
      </c>
      <c r="I88" s="3073">
        <f>SUM('Произв. прогр. Вода'!I180)</f>
        <v>11149.880729422743</v>
      </c>
      <c r="J88" s="3073">
        <f>SUM('Произв. прогр. Вода'!J180)</f>
        <v>10754.194577781449</v>
      </c>
      <c r="K88" s="3073">
        <f>SUM('Произв. прогр. Вода'!K180)</f>
        <v>11531.257885868408</v>
      </c>
      <c r="L88" s="3060">
        <f>SUM('Произв. прогр. Вода'!L180)</f>
        <v>33435.333193072598</v>
      </c>
      <c r="M88" s="3060">
        <f>SUM('Произв. прогр. Вода'!M180)</f>
        <v>68538.375872307777</v>
      </c>
      <c r="N88" s="3073">
        <f>SUM('Произв. прогр. Вода'!N180)</f>
        <v>10979.238907655628</v>
      </c>
      <c r="O88" s="3073">
        <f>SUM('Произв. прогр. Вода'!O180)</f>
        <v>10977.102073160913</v>
      </c>
      <c r="P88" s="3073">
        <f>SUM('Произв. прогр. Вода'!P180)</f>
        <v>12100.593562303098</v>
      </c>
      <c r="Q88" s="3060">
        <f>SUM('Произв. прогр. Вода'!Q180)</f>
        <v>34056.934543119642</v>
      </c>
      <c r="R88" s="3060">
        <f>SUM('Произв. прогр. Вода'!R180)</f>
        <v>102595.31041542742</v>
      </c>
      <c r="S88" s="3073">
        <f>SUM('Произв. прогр. Вода'!S180)</f>
        <v>11512.752155789798</v>
      </c>
      <c r="T88" s="3073">
        <f>SUM('Произв. прогр. Вода'!T180)</f>
        <v>11641.494966679611</v>
      </c>
      <c r="U88" s="3073">
        <f>SUM('Произв. прогр. Вода'!U180)</f>
        <v>12688.198329713416</v>
      </c>
      <c r="V88" s="3060">
        <f>SUM('Произв. прогр. Вода'!V180)</f>
        <v>35842.445452182823</v>
      </c>
      <c r="W88" s="3085">
        <f t="shared" ref="W88:W96" si="97">SUM(E88+F88+G88+I88+J88+K88+N88+O88+P88+S88+T88+U88)</f>
        <v>138437.75586761025</v>
      </c>
    </row>
    <row r="89" spans="1:23" ht="18.75">
      <c r="A89" s="3059" t="s">
        <v>390</v>
      </c>
      <c r="B89" s="3063">
        <f>SUM('Произв. прогр. Вода'!B181)</f>
        <v>66198.137400000007</v>
      </c>
      <c r="C89" s="3063">
        <f>SUM('Произв. прогр. Вода'!C181)</f>
        <v>66006</v>
      </c>
      <c r="D89" s="3063">
        <f>SUM('Произв. прогр. Вода'!D181)</f>
        <v>192.13740000000004</v>
      </c>
      <c r="E89" s="3092">
        <f>SUM('Произв. прогр. Вода'!E181)</f>
        <v>5659.9407477000022</v>
      </c>
      <c r="F89" s="3092">
        <f>SUM('Произв. прогр. Вода'!F181)</f>
        <v>5626.8416790000019</v>
      </c>
      <c r="G89" s="3092">
        <f>SUM('Произв. прогр. Вода'!G181)</f>
        <v>5626.8416790000019</v>
      </c>
      <c r="H89" s="3063">
        <f>SUM('Произв. прогр. Вода'!H181)</f>
        <v>16913.624105700004</v>
      </c>
      <c r="I89" s="3092">
        <f>SUM('Произв. прогр. Вода'!I181)</f>
        <v>5593.7426103000007</v>
      </c>
      <c r="J89" s="3092">
        <f>SUM('Произв. прогр. Вода'!J181)</f>
        <v>5295.8509920000015</v>
      </c>
      <c r="K89" s="3092">
        <f>SUM('Произв. прогр. Вода'!K181)</f>
        <v>5295.8509920000015</v>
      </c>
      <c r="L89" s="3063">
        <f>SUM('Произв. прогр. Вода'!L181)</f>
        <v>16185.444594300005</v>
      </c>
      <c r="M89" s="3063">
        <f>SUM('Произв. прогр. Вода'!M181)</f>
        <v>33099.068700000011</v>
      </c>
      <c r="N89" s="3092">
        <f>SUM('Произв. прогр. Вода'!N181)</f>
        <v>5295.8509920000015</v>
      </c>
      <c r="O89" s="3092">
        <f>SUM('Произв. прогр. Вода'!O181)</f>
        <v>5295.8509920000015</v>
      </c>
      <c r="P89" s="3092">
        <f>SUM('Произв. прогр. Вода'!P181)</f>
        <v>5593.7426103000007</v>
      </c>
      <c r="Q89" s="3063">
        <f>SUM('Произв. прогр. Вода'!Q181)</f>
        <v>16185.444594300003</v>
      </c>
      <c r="R89" s="3063">
        <f>SUM('Произв. прогр. Вода'!R181)</f>
        <v>49284.513294300014</v>
      </c>
      <c r="S89" s="3092">
        <f>SUM('Произв. прогр. Вода'!S181)</f>
        <v>5626.8416790000019</v>
      </c>
      <c r="T89" s="3092">
        <f>SUM('Произв. прогр. Вода'!T181)</f>
        <v>5626.8416790000019</v>
      </c>
      <c r="U89" s="3092">
        <f>SUM('Произв. прогр. Вода'!U181)</f>
        <v>5659.9407477000022</v>
      </c>
      <c r="V89" s="3063">
        <f>SUM('Произв. прогр. Вода'!V181)</f>
        <v>16913.624105700008</v>
      </c>
      <c r="W89" s="3087">
        <f t="shared" si="97"/>
        <v>66198.137400000021</v>
      </c>
    </row>
    <row r="90" spans="1:23" ht="18.75">
      <c r="A90" s="3059" t="s">
        <v>1734</v>
      </c>
      <c r="B90" s="3063">
        <f>SUM('Произв. прогр. Вода'!B182)</f>
        <v>72239.618467048829</v>
      </c>
      <c r="C90" s="3063">
        <f>SUM('Произв. прогр. Вода'!C182)</f>
        <v>71813.943984926736</v>
      </c>
      <c r="D90" s="3063">
        <f>SUM('Произв. прогр. Вода'!D182)</f>
        <v>425.6744821221223</v>
      </c>
      <c r="E90" s="3092">
        <f>SUM('Произв. прогр. Вода'!E182)</f>
        <v>5846.2825123656658</v>
      </c>
      <c r="F90" s="3092">
        <f>SUM('Произв. прогр. Вода'!F182)</f>
        <v>5756.6309973085617</v>
      </c>
      <c r="G90" s="3092">
        <f>SUM('Произв. прогр. Вода'!G182)</f>
        <v>6586.5050638609382</v>
      </c>
      <c r="H90" s="3063">
        <f>SUM('Произв. прогр. Вода'!H182)</f>
        <v>18189.418573535168</v>
      </c>
      <c r="I90" s="3092">
        <f>SUM('Произв. прогр. Вода'!I182)</f>
        <v>5556.138119122742</v>
      </c>
      <c r="J90" s="3092">
        <f>SUM('Произв. прогр. Вода'!J182)</f>
        <v>5458.3435857814475</v>
      </c>
      <c r="K90" s="3092">
        <f>SUM('Произв. прогр. Вода'!K182)</f>
        <v>6235.4068938684068</v>
      </c>
      <c r="L90" s="3063">
        <f>SUM('Произв. прогр. Вода'!L182)</f>
        <v>17249.888598772595</v>
      </c>
      <c r="M90" s="3063">
        <f>SUM('Произв. прогр. Вода'!M182)</f>
        <v>35439.307172307759</v>
      </c>
      <c r="N90" s="3092">
        <f>SUM('Произв. прогр. Вода'!N182)</f>
        <v>5683.3879156556268</v>
      </c>
      <c r="O90" s="3092">
        <f>SUM('Произв. прогр. Вода'!O182)</f>
        <v>5681.2510811609118</v>
      </c>
      <c r="P90" s="3092">
        <f>SUM('Произв. прогр. Вода'!P182)</f>
        <v>6506.8509520030975</v>
      </c>
      <c r="Q90" s="3063">
        <f>SUM('Произв. прогр. Вода'!Q182)</f>
        <v>17871.489948819635</v>
      </c>
      <c r="R90" s="3063">
        <f>SUM('Произв. прогр. Вода'!R182)</f>
        <v>53310.797121127398</v>
      </c>
      <c r="S90" s="3092">
        <f>SUM('Произв. прогр. Вода'!S182)</f>
        <v>5885.9104767897961</v>
      </c>
      <c r="T90" s="3092">
        <f>SUM('Произв. прогр. Вода'!T182)</f>
        <v>6014.6532876796091</v>
      </c>
      <c r="U90" s="3092">
        <f>SUM('Произв. прогр. Вода'!U182)</f>
        <v>7028.2575820134134</v>
      </c>
      <c r="V90" s="3063">
        <f>SUM('Произв. прогр. Вода'!V182)</f>
        <v>18928.821346482819</v>
      </c>
      <c r="W90" s="3087">
        <f t="shared" si="97"/>
        <v>72239.618467610213</v>
      </c>
    </row>
    <row r="91" spans="1:23" ht="18.75">
      <c r="A91" s="3095" t="s">
        <v>1735</v>
      </c>
      <c r="B91" s="3060">
        <f>SUM('Произв. прогр. Вода'!B183)</f>
        <v>3621.42</v>
      </c>
      <c r="C91" s="3060">
        <f>SUM('Произв. прогр. Вода'!C183)</f>
        <v>3600</v>
      </c>
      <c r="D91" s="3060">
        <f>SUM('Произв. прогр. Вода'!D183)</f>
        <v>21.42</v>
      </c>
      <c r="E91" s="3073">
        <f>SUM('Произв. прогр. Вода'!E183)</f>
        <v>309.63141000000007</v>
      </c>
      <c r="F91" s="3073">
        <f>SUM('Произв. прогр. Вода'!F183)</f>
        <v>307.82070000000004</v>
      </c>
      <c r="G91" s="3073">
        <f>SUM('Произв. прогр. Вода'!G183)</f>
        <v>307.82070000000004</v>
      </c>
      <c r="H91" s="3060">
        <f>SUM('Произв. прогр. Вода'!H183)</f>
        <v>925.27281000000016</v>
      </c>
      <c r="I91" s="3073">
        <f>SUM('Произв. прогр. Вода'!I183)</f>
        <v>306.00999000000002</v>
      </c>
      <c r="J91" s="3073">
        <f>SUM('Произв. прогр. Вода'!J183)</f>
        <v>289.71360000000004</v>
      </c>
      <c r="K91" s="3073">
        <f>SUM('Произв. прогр. Вода'!K183)</f>
        <v>289.71360000000004</v>
      </c>
      <c r="L91" s="3060">
        <f>SUM('Произв. прогр. Вода'!L183)</f>
        <v>885.4371900000001</v>
      </c>
      <c r="M91" s="3060">
        <f>SUM('Произв. прогр. Вода'!M183)</f>
        <v>1810.7100000000003</v>
      </c>
      <c r="N91" s="3073">
        <f>SUM('Произв. прогр. Вода'!N183)</f>
        <v>289.71360000000004</v>
      </c>
      <c r="O91" s="3073">
        <f>SUM('Произв. прогр. Вода'!O183)</f>
        <v>289.71360000000004</v>
      </c>
      <c r="P91" s="3073">
        <f>SUM('Произв. прогр. Вода'!P183)</f>
        <v>306.00999000000002</v>
      </c>
      <c r="Q91" s="3060">
        <f>SUM('Произв. прогр. Вода'!Q183)</f>
        <v>885.4371900000001</v>
      </c>
      <c r="R91" s="3060">
        <f>SUM('Произв. прогр. Вода'!R183)</f>
        <v>2696.1471900000006</v>
      </c>
      <c r="S91" s="3073">
        <f>SUM('Произв. прогр. Вода'!S183)</f>
        <v>307.82070000000004</v>
      </c>
      <c r="T91" s="3073">
        <f>SUM('Произв. прогр. Вода'!T183)</f>
        <v>307.82070000000004</v>
      </c>
      <c r="U91" s="3073">
        <f>SUM('Произв. прогр. Вода'!U183)</f>
        <v>309.63141000000007</v>
      </c>
      <c r="V91" s="3060">
        <f>SUM('Произв. прогр. Вода'!V183)</f>
        <v>925.27281000000016</v>
      </c>
      <c r="W91" s="3085">
        <f t="shared" si="97"/>
        <v>3621.4200000000005</v>
      </c>
    </row>
    <row r="92" spans="1:23" ht="18.75">
      <c r="A92" s="3059" t="s">
        <v>390</v>
      </c>
      <c r="B92" s="3063">
        <f>SUM('Произв. прогр. Вода'!B184)</f>
        <v>1810.71</v>
      </c>
      <c r="C92" s="3063">
        <f>SUM('Произв. прогр. Вода'!C184)</f>
        <v>1800</v>
      </c>
      <c r="D92" s="3063">
        <f>SUM('Произв. прогр. Вода'!D184)</f>
        <v>10.71</v>
      </c>
      <c r="E92" s="3092">
        <f>SUM('Произв. прогр. Вода'!E184)</f>
        <v>154.81570500000004</v>
      </c>
      <c r="F92" s="3092">
        <f>SUM('Произв. прогр. Вода'!F184)</f>
        <v>153.91035000000002</v>
      </c>
      <c r="G92" s="3092">
        <f>SUM('Произв. прогр. Вода'!G184)</f>
        <v>153.91035000000002</v>
      </c>
      <c r="H92" s="3063">
        <f>SUM('Произв. прогр. Вода'!H184)</f>
        <v>462.63640500000008</v>
      </c>
      <c r="I92" s="3092">
        <f>SUM('Произв. прогр. Вода'!I184)</f>
        <v>153.00499500000001</v>
      </c>
      <c r="J92" s="3092">
        <f>SUM('Произв. прогр. Вода'!J184)</f>
        <v>144.85680000000002</v>
      </c>
      <c r="K92" s="3092">
        <f>SUM('Произв. прогр. Вода'!K184)</f>
        <v>144.85680000000002</v>
      </c>
      <c r="L92" s="3063">
        <f>SUM('Произв. прогр. Вода'!L184)</f>
        <v>442.71859500000005</v>
      </c>
      <c r="M92" s="3063">
        <f>SUM('Произв. прогр. Вода'!M184)</f>
        <v>905.35500000000013</v>
      </c>
      <c r="N92" s="3092">
        <f>SUM('Произв. прогр. Вода'!N184)</f>
        <v>144.85680000000002</v>
      </c>
      <c r="O92" s="3092">
        <f>SUM('Произв. прогр. Вода'!O184)</f>
        <v>144.85680000000002</v>
      </c>
      <c r="P92" s="3092">
        <f>SUM('Произв. прогр. Вода'!P184)</f>
        <v>153.00499500000001</v>
      </c>
      <c r="Q92" s="3063">
        <f>SUM('Произв. прогр. Вода'!Q184)</f>
        <v>442.71859500000005</v>
      </c>
      <c r="R92" s="3063">
        <f>SUM('Произв. прогр. Вода'!R184)</f>
        <v>1348.0735950000003</v>
      </c>
      <c r="S92" s="3092">
        <f>SUM('Произв. прогр. Вода'!S184)</f>
        <v>153.91035000000002</v>
      </c>
      <c r="T92" s="3092">
        <f>SUM('Произв. прогр. Вода'!T184)</f>
        <v>153.91035000000002</v>
      </c>
      <c r="U92" s="3092">
        <f>SUM('Произв. прогр. Вода'!U184)</f>
        <v>154.81570500000004</v>
      </c>
      <c r="V92" s="3063">
        <f>SUM('Произв. прогр. Вода'!V184)</f>
        <v>462.63640500000008</v>
      </c>
      <c r="W92" s="3087">
        <f t="shared" si="97"/>
        <v>1810.7100000000003</v>
      </c>
    </row>
    <row r="93" spans="1:23" ht="18.75">
      <c r="A93" s="3059" t="s">
        <v>1734</v>
      </c>
      <c r="B93" s="3063">
        <f>SUM('Произв. прогр. Вода'!B185)</f>
        <v>1810.71</v>
      </c>
      <c r="C93" s="3063">
        <f>SUM('Произв. прогр. Вода'!C185)</f>
        <v>1800</v>
      </c>
      <c r="D93" s="3063">
        <f>SUM('Произв. прогр. Вода'!D185)</f>
        <v>10.71</v>
      </c>
      <c r="E93" s="3092">
        <f>SUM('Произв. прогр. Вода'!E185)</f>
        <v>154.81570500000004</v>
      </c>
      <c r="F93" s="3092">
        <f>SUM('Произв. прогр. Вода'!F185)</f>
        <v>153.91035000000002</v>
      </c>
      <c r="G93" s="3092">
        <f>SUM('Произв. прогр. Вода'!G185)</f>
        <v>153.91035000000002</v>
      </c>
      <c r="H93" s="3063">
        <f>SUM('Произв. прогр. Вода'!H185)</f>
        <v>462.63640500000008</v>
      </c>
      <c r="I93" s="3092">
        <f>SUM('Произв. прогр. Вода'!I185)</f>
        <v>153.00499500000001</v>
      </c>
      <c r="J93" s="3092">
        <f>SUM('Произв. прогр. Вода'!J185)</f>
        <v>144.85680000000002</v>
      </c>
      <c r="K93" s="3092">
        <f>SUM('Произв. прогр. Вода'!K185)</f>
        <v>144.85680000000002</v>
      </c>
      <c r="L93" s="3063">
        <f>SUM('Произв. прогр. Вода'!L185)</f>
        <v>442.71859500000005</v>
      </c>
      <c r="M93" s="3063">
        <f>SUM('Произв. прогр. Вода'!M185)</f>
        <v>905.35500000000013</v>
      </c>
      <c r="N93" s="3092">
        <f>SUM('Произв. прогр. Вода'!N185)</f>
        <v>144.85680000000002</v>
      </c>
      <c r="O93" s="3092">
        <f>SUM('Произв. прогр. Вода'!O185)</f>
        <v>144.85680000000002</v>
      </c>
      <c r="P93" s="3092">
        <f>SUM('Произв. прогр. Вода'!P185)</f>
        <v>153.00499500000001</v>
      </c>
      <c r="Q93" s="3063">
        <f>SUM('Произв. прогр. Вода'!Q185)</f>
        <v>442.71859500000005</v>
      </c>
      <c r="R93" s="3063">
        <f>SUM('Произв. прогр. Вода'!R185)</f>
        <v>1348.0735950000003</v>
      </c>
      <c r="S93" s="3092">
        <f>SUM('Произв. прогр. Вода'!S185)</f>
        <v>153.91035000000002</v>
      </c>
      <c r="T93" s="3092">
        <f>SUM('Произв. прогр. Вода'!T185)</f>
        <v>153.91035000000002</v>
      </c>
      <c r="U93" s="3092">
        <f>SUM('Произв. прогр. Вода'!U185)</f>
        <v>154.81570500000004</v>
      </c>
      <c r="V93" s="3063">
        <f>SUM('Произв. прогр. Вода'!V185)</f>
        <v>462.63640500000008</v>
      </c>
      <c r="W93" s="3087">
        <f t="shared" si="97"/>
        <v>1810.7100000000003</v>
      </c>
    </row>
    <row r="94" spans="1:23" ht="18.75">
      <c r="A94" s="3095" t="s">
        <v>1736</v>
      </c>
      <c r="B94" s="3060">
        <f>SUM('Произв. прогр. Вода'!B186)</f>
        <v>2360</v>
      </c>
      <c r="C94" s="3060">
        <f>SUM('Произв. прогр. Вода'!C186)</f>
        <v>2360</v>
      </c>
      <c r="D94" s="3060">
        <f>SUM('Произв. прогр. Вода'!D186)</f>
        <v>0</v>
      </c>
      <c r="E94" s="3073">
        <f>SUM('Произв. прогр. Вода'!E186)</f>
        <v>201.78000000000003</v>
      </c>
      <c r="F94" s="3073">
        <f>SUM('Произв. прогр. Вода'!F186)</f>
        <v>200.60000000000002</v>
      </c>
      <c r="G94" s="3073">
        <f>SUM('Произв. прогр. Вода'!G186)</f>
        <v>200.60000000000002</v>
      </c>
      <c r="H94" s="3060">
        <f>SUM('Произв. прогр. Вода'!H186)</f>
        <v>602.98</v>
      </c>
      <c r="I94" s="3073">
        <f>SUM('Произв. прогр. Вода'!I186)</f>
        <v>199.42</v>
      </c>
      <c r="J94" s="3073">
        <f>SUM('Произв. прогр. Вода'!J186)</f>
        <v>188.8</v>
      </c>
      <c r="K94" s="3073">
        <f>SUM('Произв. прогр. Вода'!K186)</f>
        <v>188.8</v>
      </c>
      <c r="L94" s="3060">
        <f>SUM('Произв. прогр. Вода'!L186)</f>
        <v>577.02</v>
      </c>
      <c r="M94" s="3060">
        <f>SUM('Произв. прогр. Вода'!M186)</f>
        <v>1180</v>
      </c>
      <c r="N94" s="3073">
        <f>SUM('Произв. прогр. Вода'!N186)</f>
        <v>188.8</v>
      </c>
      <c r="O94" s="3073">
        <f>SUM('Произв. прогр. Вода'!O186)</f>
        <v>188.8</v>
      </c>
      <c r="P94" s="3073">
        <f>SUM('Произв. прогр. Вода'!P186)</f>
        <v>199.42</v>
      </c>
      <c r="Q94" s="3060">
        <f>SUM('Произв. прогр. Вода'!Q186)</f>
        <v>577.02</v>
      </c>
      <c r="R94" s="3060">
        <f>SUM('Произв. прогр. Вода'!R186)</f>
        <v>1757.02</v>
      </c>
      <c r="S94" s="3073">
        <f>SUM('Произв. прогр. Вода'!S186)</f>
        <v>200.60000000000002</v>
      </c>
      <c r="T94" s="3073">
        <f>SUM('Произв. прогр. Вода'!T186)</f>
        <v>200.60000000000002</v>
      </c>
      <c r="U94" s="3073">
        <f>SUM('Произв. прогр. Вода'!U186)</f>
        <v>201.78000000000003</v>
      </c>
      <c r="V94" s="3060">
        <f>SUM('Произв. прогр. Вода'!V186)</f>
        <v>602.98</v>
      </c>
      <c r="W94" s="3085">
        <f t="shared" si="97"/>
        <v>2360</v>
      </c>
    </row>
    <row r="95" spans="1:23" ht="18.75">
      <c r="A95" s="3059" t="s">
        <v>390</v>
      </c>
      <c r="B95" s="3063">
        <f>SUM('Произв. прогр. Вода'!B187)</f>
        <v>1180</v>
      </c>
      <c r="C95" s="3063">
        <f>SUM('Произв. прогр. Вода'!C187)</f>
        <v>1180</v>
      </c>
      <c r="D95" s="3063">
        <f>SUM('Произв. прогр. Вода'!D187)</f>
        <v>0</v>
      </c>
      <c r="E95" s="3092">
        <f>SUM('Произв. прогр. Вода'!E187)</f>
        <v>100.89000000000001</v>
      </c>
      <c r="F95" s="3092">
        <f>SUM('Произв. прогр. Вода'!F187)</f>
        <v>100.30000000000001</v>
      </c>
      <c r="G95" s="3092">
        <f>SUM('Произв. прогр. Вода'!G187)</f>
        <v>100.30000000000001</v>
      </c>
      <c r="H95" s="3063">
        <f>SUM('Произв. прогр. Вода'!H187)</f>
        <v>301.49</v>
      </c>
      <c r="I95" s="3092">
        <f>SUM('Произв. прогр. Вода'!I187)</f>
        <v>99.71</v>
      </c>
      <c r="J95" s="3092">
        <f>SUM('Произв. прогр. Вода'!J187)</f>
        <v>94.4</v>
      </c>
      <c r="K95" s="3092">
        <f>SUM('Произв. прогр. Вода'!K187)</f>
        <v>94.4</v>
      </c>
      <c r="L95" s="3063">
        <f>SUM('Произв. прогр. Вода'!L187)</f>
        <v>288.51</v>
      </c>
      <c r="M95" s="3063">
        <f>SUM('Произв. прогр. Вода'!M187)</f>
        <v>590</v>
      </c>
      <c r="N95" s="3092">
        <f>SUM('Произв. прогр. Вода'!N187)</f>
        <v>94.4</v>
      </c>
      <c r="O95" s="3092">
        <f>SUM('Произв. прогр. Вода'!O187)</f>
        <v>94.4</v>
      </c>
      <c r="P95" s="3092">
        <f>SUM('Произв. прогр. Вода'!P187)</f>
        <v>99.71</v>
      </c>
      <c r="Q95" s="3063">
        <f>SUM('Произв. прогр. Вода'!Q187)</f>
        <v>288.51</v>
      </c>
      <c r="R95" s="3063">
        <f>SUM('Произв. прогр. Вода'!R187)</f>
        <v>878.51</v>
      </c>
      <c r="S95" s="3092">
        <f>SUM('Произв. прогр. Вода'!S187)</f>
        <v>100.30000000000001</v>
      </c>
      <c r="T95" s="3092">
        <f>SUM('Произв. прогр. Вода'!T187)</f>
        <v>100.30000000000001</v>
      </c>
      <c r="U95" s="3092">
        <f>SUM('Произв. прогр. Вода'!U187)</f>
        <v>100.89000000000001</v>
      </c>
      <c r="V95" s="3063">
        <f>SUM('Произв. прогр. Вода'!V187)</f>
        <v>301.49</v>
      </c>
      <c r="W95" s="3087">
        <f t="shared" si="97"/>
        <v>1180</v>
      </c>
    </row>
    <row r="96" spans="1:23" ht="18.75">
      <c r="A96" s="3059" t="s">
        <v>1734</v>
      </c>
      <c r="B96" s="3063">
        <f>SUM('Произв. прогр. Вода'!B188)</f>
        <v>1180</v>
      </c>
      <c r="C96" s="3063">
        <f>SUM('Произв. прогр. Вода'!C188)</f>
        <v>1180</v>
      </c>
      <c r="D96" s="3063">
        <f>SUM('Произв. прогр. Вода'!D188)</f>
        <v>0</v>
      </c>
      <c r="E96" s="3092">
        <f>SUM('Произв. прогр. Вода'!E188)</f>
        <v>100.89000000000001</v>
      </c>
      <c r="F96" s="3092">
        <f>SUM('Произв. прогр. Вода'!F188)</f>
        <v>100.30000000000001</v>
      </c>
      <c r="G96" s="3092">
        <f>SUM('Произв. прогр. Вода'!G188)</f>
        <v>100.30000000000001</v>
      </c>
      <c r="H96" s="3063">
        <f>SUM('Произв. прогр. Вода'!H188)</f>
        <v>301.49</v>
      </c>
      <c r="I96" s="3092">
        <f>SUM('Произв. прогр. Вода'!I188)</f>
        <v>99.71</v>
      </c>
      <c r="J96" s="3092">
        <f>SUM('Произв. прогр. Вода'!J188)</f>
        <v>94.4</v>
      </c>
      <c r="K96" s="3092">
        <f>SUM('Произв. прогр. Вода'!K188)</f>
        <v>94.4</v>
      </c>
      <c r="L96" s="3063">
        <f>SUM('Произв. прогр. Вода'!L188)</f>
        <v>288.51</v>
      </c>
      <c r="M96" s="3063">
        <f>SUM('Произв. прогр. Вода'!M188)</f>
        <v>590</v>
      </c>
      <c r="N96" s="3092">
        <f>SUM('Произв. прогр. Вода'!N188)</f>
        <v>94.4</v>
      </c>
      <c r="O96" s="3092">
        <f>SUM('Произв. прогр. Вода'!O188)</f>
        <v>94.4</v>
      </c>
      <c r="P96" s="3092">
        <f>SUM('Произв. прогр. Вода'!P188)</f>
        <v>99.71</v>
      </c>
      <c r="Q96" s="3063">
        <f>SUM('Произв. прогр. Вода'!Q188)</f>
        <v>288.51</v>
      </c>
      <c r="R96" s="3063">
        <f>SUM('Произв. прогр. Вода'!R188)</f>
        <v>878.51</v>
      </c>
      <c r="S96" s="3092">
        <f>SUM('Произв. прогр. Вода'!S188)</f>
        <v>100.30000000000001</v>
      </c>
      <c r="T96" s="3092">
        <f>SUM('Произв. прогр. Вода'!T188)</f>
        <v>100.30000000000001</v>
      </c>
      <c r="U96" s="3092">
        <f>SUM('Произв. прогр. Вода'!U188)</f>
        <v>100.89000000000001</v>
      </c>
      <c r="V96" s="3063">
        <f>SUM('Произв. прогр. Вода'!V188)</f>
        <v>301.49</v>
      </c>
      <c r="W96" s="3087">
        <f t="shared" si="97"/>
        <v>1180</v>
      </c>
    </row>
    <row r="97" spans="1:23" ht="18.75">
      <c r="A97" s="3095" t="s">
        <v>1737</v>
      </c>
      <c r="B97" s="3060">
        <f>SUM('Произв. прогр. Вода'!B189)</f>
        <v>38.22747868710308</v>
      </c>
      <c r="C97" s="3060">
        <f>SUM('Произв. прогр. Вода'!C189)</f>
        <v>38.28331777359076</v>
      </c>
      <c r="D97" s="3060">
        <f>SUM('Произв. прогр. Вода'!D189)</f>
        <v>28.842758269006644</v>
      </c>
      <c r="E97" s="3073">
        <f>SUM('Произв. прогр. Вода'!E189)</f>
        <v>37.161033695081727</v>
      </c>
      <c r="F97" s="3073">
        <f>SUM('Произв. прогр. Вода'!F189)</f>
        <v>36.980855011727805</v>
      </c>
      <c r="G97" s="3073">
        <f>SUM('Произв. прогр. Вода'!G189)</f>
        <v>39.676820768911703</v>
      </c>
      <c r="H97" s="3060">
        <f>SUM('Произв. прогр. Вода'!H189)</f>
        <v>37.938046271169654</v>
      </c>
      <c r="I97" s="3073">
        <f>SUM('Произв. прогр. Вода'!I189)</f>
        <v>36.436329184621528</v>
      </c>
      <c r="J97" s="3073">
        <f>SUM('Произв. прогр. Вода'!J189)</f>
        <v>37.120088866319868</v>
      </c>
      <c r="K97" s="3073">
        <f>SUM('Произв. прогр. Вода'!K189)</f>
        <v>39.80226639642877</v>
      </c>
      <c r="L97" s="3060">
        <f>SUM('Произв. прогр. Вода'!L189)</f>
        <v>37.761383382905564</v>
      </c>
      <c r="M97" s="3060">
        <f>SUM('Произв. прогр. Вода'!M189)</f>
        <v>37.851658118808515</v>
      </c>
      <c r="N97" s="3073">
        <f>SUM('Произв. прогр. Вода'!N189)</f>
        <v>37.896870936178445</v>
      </c>
      <c r="O97" s="3073">
        <f>SUM('Произв. прогр. Вода'!O189)</f>
        <v>37.889495257250303</v>
      </c>
      <c r="P97" s="3073">
        <f>SUM('Произв. прогр. Вода'!P189)</f>
        <v>39.54313243924846</v>
      </c>
      <c r="Q97" s="3060">
        <f>SUM('Произв. прогр. Вода'!Q189)</f>
        <v>38.463410988101415</v>
      </c>
      <c r="R97" s="3060">
        <f>SUM('Произв. прогр. Вода'!R189)</f>
        <v>38.052562855601145</v>
      </c>
      <c r="S97" s="3073">
        <f>SUM('Произв. прогр. Вода'!S189)</f>
        <v>37.400838071610508</v>
      </c>
      <c r="T97" s="3073">
        <f>SUM('Произв. прогр. Вода'!T189)</f>
        <v>37.819077686067274</v>
      </c>
      <c r="U97" s="3073">
        <f>SUM('Произв. прогр. Вода'!U189)</f>
        <v>40.97839534339689</v>
      </c>
      <c r="V97" s="3060">
        <f>SUM('Произв. прогр. Вода'!V189)</f>
        <v>38.737164936450277</v>
      </c>
      <c r="W97" s="3105">
        <f t="shared" ref="W97" si="98">SUM(W81)</f>
        <v>38.227478687258106</v>
      </c>
    </row>
    <row r="98" spans="1:23" ht="18.75">
      <c r="A98" s="3059" t="s">
        <v>390</v>
      </c>
      <c r="B98" s="3063">
        <f>SUM('Произв. прогр. Вода'!B190)</f>
        <v>36.559215666782649</v>
      </c>
      <c r="C98" s="3063">
        <f>SUM('Произв. прогр. Вода'!C190)</f>
        <v>36.67</v>
      </c>
      <c r="D98" s="3063">
        <f>SUM('Произв. прогр. Вода'!D190)</f>
        <v>17.940000000000001</v>
      </c>
      <c r="E98" s="3092">
        <f>SUM('Произв. прогр. Вода'!E190)</f>
        <v>36.559215666782649</v>
      </c>
      <c r="F98" s="3092">
        <f>SUM('Произв. прогр. Вода'!F190)</f>
        <v>36.559215666782649</v>
      </c>
      <c r="G98" s="3092">
        <f>SUM('Произв. прогр. Вода'!G190)</f>
        <v>36.559215666782649</v>
      </c>
      <c r="H98" s="3063">
        <f>SUM('Произв. прогр. Вода'!H190)</f>
        <v>36.559215666782649</v>
      </c>
      <c r="I98" s="3092">
        <f>SUM('Произв. прогр. Вода'!I190)</f>
        <v>36.559215666782649</v>
      </c>
      <c r="J98" s="3092">
        <f>SUM('Произв. прогр. Вода'!J190)</f>
        <v>36.559215666782649</v>
      </c>
      <c r="K98" s="3092">
        <f>SUM('Произв. прогр. Вода'!K190)</f>
        <v>36.559215666782649</v>
      </c>
      <c r="L98" s="3063">
        <f>SUM('Произв. прогр. Вода'!L190)</f>
        <v>36.559215666782649</v>
      </c>
      <c r="M98" s="3063">
        <f>SUM('Произв. прогр. Вода'!M190)</f>
        <v>36.559215666782649</v>
      </c>
      <c r="N98" s="3092">
        <f>SUM('Произв. прогр. Вода'!N190)</f>
        <v>36.559215666782649</v>
      </c>
      <c r="O98" s="3092">
        <f>SUM('Произв. прогр. Вода'!O190)</f>
        <v>36.559215666782649</v>
      </c>
      <c r="P98" s="3092">
        <f>SUM('Произв. прогр. Вода'!P190)</f>
        <v>36.559215666782649</v>
      </c>
      <c r="Q98" s="3063">
        <f>SUM('Произв. прогр. Вода'!Q190)</f>
        <v>36.559215666782649</v>
      </c>
      <c r="R98" s="3063">
        <f>SUM('Произв. прогр. Вода'!R190)</f>
        <v>36.559215666782649</v>
      </c>
      <c r="S98" s="3092">
        <f>SUM('Произв. прогр. Вода'!S190)</f>
        <v>36.559215666782649</v>
      </c>
      <c r="T98" s="3092">
        <f>SUM('Произв. прогр. Вода'!T190)</f>
        <v>36.559215666782649</v>
      </c>
      <c r="U98" s="3092">
        <f>SUM('Произв. прогр. Вода'!U190)</f>
        <v>36.559215666782649</v>
      </c>
      <c r="V98" s="3063">
        <f>SUM('Произв. прогр. Вода'!V190)</f>
        <v>36.559215666782649</v>
      </c>
      <c r="W98" s="3108">
        <f>SUM(E98)</f>
        <v>36.559215666782649</v>
      </c>
    </row>
    <row r="99" spans="1:23" ht="18.75">
      <c r="A99" s="3059" t="s">
        <v>1734</v>
      </c>
      <c r="B99" s="3063">
        <f>SUM('Произв. прогр. Вода'!B191)</f>
        <v>39.895741707423511</v>
      </c>
      <c r="C99" s="3063">
        <f>SUM('Произв. прогр. Вода'!C191)</f>
        <v>39.896635547181518</v>
      </c>
      <c r="D99" s="3063">
        <f>SUM('Произв. прогр. Вода'!D191)</f>
        <v>39.745516538013291</v>
      </c>
      <c r="E99" s="3092">
        <f>SUM('Произв. прогр. Вода'!E191)</f>
        <v>37.762851723380805</v>
      </c>
      <c r="F99" s="3092">
        <f>SUM('Произв. прогр. Вода'!F191)</f>
        <v>37.402494356672968</v>
      </c>
      <c r="G99" s="3092">
        <f>SUM('Произв. прогр. Вода'!G191)</f>
        <v>42.794425871040751</v>
      </c>
      <c r="H99" s="3063">
        <f>SUM('Произв. прогр. Вода'!H191)</f>
        <v>39.316876875556659</v>
      </c>
      <c r="I99" s="3092">
        <f>SUM('Произв. прогр. Вода'!I191)</f>
        <v>36.313442702460414</v>
      </c>
      <c r="J99" s="3092">
        <f>SUM('Произв. прогр. Вода'!J191)</f>
        <v>37.680962065857088</v>
      </c>
      <c r="K99" s="3092">
        <f>SUM('Произв. прогр. Вода'!K191)</f>
        <v>43.045317126074892</v>
      </c>
      <c r="L99" s="3063">
        <f>SUM('Произв. прогр. Вода'!L191)</f>
        <v>38.963551099028479</v>
      </c>
      <c r="M99" s="3063">
        <f>SUM('Произв. прогр. Вода'!M191)</f>
        <v>39.144100570834375</v>
      </c>
      <c r="N99" s="3092">
        <f>SUM('Произв. прогр. Вода'!N191)</f>
        <v>39.234526205574234</v>
      </c>
      <c r="O99" s="3092">
        <f>SUM('Произв. прогр. Вода'!O191)</f>
        <v>39.219774847717957</v>
      </c>
      <c r="P99" s="3092">
        <f>SUM('Произв. прогр. Вода'!P191)</f>
        <v>42.527049211714278</v>
      </c>
      <c r="Q99" s="3063">
        <f>SUM('Произв. прогр. Вода'!Q191)</f>
        <v>40.367606309420168</v>
      </c>
      <c r="R99" s="3063">
        <f>SUM('Произв. прогр. Вода'!R191)</f>
        <v>39.545910044419635</v>
      </c>
      <c r="S99" s="3092">
        <f>SUM('Произв. прогр. Вода'!S191)</f>
        <v>38.24246047643836</v>
      </c>
      <c r="T99" s="3092">
        <f>SUM('Произв. прогр. Вода'!T191)</f>
        <v>39.0789397053519</v>
      </c>
      <c r="U99" s="3092">
        <f>SUM('Произв. прогр. Вода'!U191)</f>
        <v>45.397575020011125</v>
      </c>
      <c r="V99" s="3063">
        <f>SUM('Произв. прогр. Вода'!V191)</f>
        <v>40.915114206117899</v>
      </c>
      <c r="W99" s="642">
        <f t="shared" ref="W99" si="99">SUM(W90/W93)</f>
        <v>39.895741707733542</v>
      </c>
    </row>
    <row r="100" spans="1:23" ht="18.75">
      <c r="A100" s="3099" t="s">
        <v>1738</v>
      </c>
      <c r="B100" s="3068">
        <f>SUM('Произв. прогр. Вода'!B192)</f>
        <v>1.0912636110974447</v>
      </c>
      <c r="C100" s="3068">
        <f>SUM('Произв. прогр. Вода'!C192)</f>
        <v>1.0879911520911241</v>
      </c>
      <c r="D100" s="3068">
        <f>SUM('Произв. прогр. Вода'!D192)</f>
        <v>2.2154691492761032</v>
      </c>
      <c r="E100" s="3097">
        <f>SUM('Произв. прогр. Вода'!E192)</f>
        <v>1.0329229179194828</v>
      </c>
      <c r="F100" s="3097">
        <f>SUM('Произв. прогр. Вода'!F192)</f>
        <v>1.0230661045241327</v>
      </c>
      <c r="G100" s="3097">
        <f>SUM('Произв. прогр. Вода'!G192)</f>
        <v>1.1705509839458441</v>
      </c>
      <c r="H100" s="3068">
        <f>SUM('Произв. прогр. Вода'!H192)</f>
        <v>1.0754299882663947</v>
      </c>
      <c r="I100" s="3097">
        <f>SUM('Произв. прогр. Вода'!I192)</f>
        <v>0.9932774005174968</v>
      </c>
      <c r="J100" s="3097">
        <f>SUM('Произв. прогр. Вода'!J192)</f>
        <v>1.0306829995834306</v>
      </c>
      <c r="K100" s="3097">
        <f>SUM('Произв. прогр. Вода'!K192)</f>
        <v>1.1774135834425314</v>
      </c>
      <c r="L100" s="3068">
        <f>SUM('Произв. прогр. Вода'!L192)</f>
        <v>1.0657655091443985</v>
      </c>
      <c r="M100" s="3068">
        <f>SUM('Произв. прогр. Вода'!M192)</f>
        <v>1.0707040579757385</v>
      </c>
      <c r="N100" s="3097">
        <f>SUM('Произв. прогр. Вода'!N192)</f>
        <v>1.0731774599098511</v>
      </c>
      <c r="O100" s="3097">
        <f>SUM('Произв. прогр. Вода'!O192)</f>
        <v>1.0727739677236201</v>
      </c>
      <c r="P100" s="3097">
        <f>SUM('Произв. прогр. Вода'!P192)</f>
        <v>1.1632374610912111</v>
      </c>
      <c r="Q100" s="3068">
        <f>SUM('Произв. прогр. Вода'!Q192)</f>
        <v>1.1041704690097547</v>
      </c>
      <c r="R100" s="3068">
        <f>SUM('Произв. прогр. Вода'!R192)</f>
        <v>1.0816947060587701</v>
      </c>
      <c r="S100" s="3097">
        <f>SUM('Произв. прогр. Вода'!S192)</f>
        <v>1.0460416007005613</v>
      </c>
      <c r="T100" s="3097">
        <f>SUM('Произв. прогр. Вода'!T192)</f>
        <v>1.0689217203545931</v>
      </c>
      <c r="U100" s="3097">
        <f>SUM('Произв. прогр. Вода'!U192)</f>
        <v>1.2417546217015516</v>
      </c>
      <c r="V100" s="3068">
        <f>SUM('Произв. прогр. Вода'!V192)</f>
        <v>1.1191463892178894</v>
      </c>
      <c r="W100" s="3089">
        <f t="shared" ref="W100" si="100">SUM(W99/W98)</f>
        <v>1.0912636111059251</v>
      </c>
    </row>
    <row r="101" spans="1:23" ht="18.75">
      <c r="A101" s="3095" t="s">
        <v>1739</v>
      </c>
      <c r="B101" s="3060">
        <f>SUM('Произв. прогр. Вода'!B193)</f>
        <v>29.632050000000003</v>
      </c>
      <c r="C101" s="3060">
        <f>SUM('Произв. прогр. Вода'!C193)</f>
        <v>29.632050000000003</v>
      </c>
      <c r="D101" s="3060">
        <f>SUM('Произв. прогр. Вода'!D193)</f>
        <v>0</v>
      </c>
      <c r="E101" s="3073">
        <f>SUM('Произв. прогр. Вода'!E193)</f>
        <v>29.63205</v>
      </c>
      <c r="F101" s="3073">
        <f>SUM('Произв. прогр. Вода'!F193)</f>
        <v>29.63205</v>
      </c>
      <c r="G101" s="3073">
        <f>SUM('Произв. прогр. Вода'!G193)</f>
        <v>29.63205</v>
      </c>
      <c r="H101" s="3060">
        <f>SUM('Произв. прогр. Вода'!H193)</f>
        <v>29.63205</v>
      </c>
      <c r="I101" s="3073">
        <f>SUM('Произв. прогр. Вода'!I193)</f>
        <v>29.632049999999996</v>
      </c>
      <c r="J101" s="3073">
        <f>SUM('Произв. прогр. Вода'!J193)</f>
        <v>29.632049999999996</v>
      </c>
      <c r="K101" s="3073">
        <f>SUM('Произв. прогр. Вода'!K193)</f>
        <v>29.632049999999996</v>
      </c>
      <c r="L101" s="3060">
        <f>SUM('Произв. прогр. Вода'!L193)</f>
        <v>29.63205</v>
      </c>
      <c r="M101" s="3060">
        <f>SUM('Произв. прогр. Вода'!M193)</f>
        <v>29.632050000000003</v>
      </c>
      <c r="N101" s="3073">
        <f>SUM('Произв. прогр. Вода'!N193)</f>
        <v>29.632049999999996</v>
      </c>
      <c r="O101" s="3073">
        <f>SUM('Произв. прогр. Вода'!O193)</f>
        <v>29.632049999999996</v>
      </c>
      <c r="P101" s="3073">
        <f>SUM('Произв. прогр. Вода'!P193)</f>
        <v>29.632049999999996</v>
      </c>
      <c r="Q101" s="3060">
        <f>SUM('Произв. прогр. Вода'!Q193)</f>
        <v>29.63205</v>
      </c>
      <c r="R101" s="3060">
        <f>SUM('Произв. прогр. Вода'!R193)</f>
        <v>29.63205</v>
      </c>
      <c r="S101" s="3073">
        <f>SUM('Произв. прогр. Вода'!S193)</f>
        <v>29.63205</v>
      </c>
      <c r="T101" s="3073">
        <f>SUM('Произв. прогр. Вода'!T193)</f>
        <v>29.63205</v>
      </c>
      <c r="U101" s="3073">
        <f>SUM('Произв. прогр. Вода'!U193)</f>
        <v>29.63205</v>
      </c>
      <c r="V101" s="3060">
        <f>SUM('Произв. прогр. Вода'!V193)</f>
        <v>29.63205</v>
      </c>
      <c r="W101" s="3105">
        <f t="shared" ref="W101" si="101">SUM((W102*W95)+(W103*W96))/W94</f>
        <v>29.632050000000003</v>
      </c>
    </row>
    <row r="102" spans="1:23" ht="18.75">
      <c r="A102" s="3059" t="s">
        <v>390</v>
      </c>
      <c r="B102" s="3063">
        <f>SUM('Произв. прогр. Вода'!B194)</f>
        <v>28.964099999999998</v>
      </c>
      <c r="C102" s="3063">
        <f>SUM('Произв. прогр. Вода'!C194)</f>
        <v>28.964099999999998</v>
      </c>
      <c r="D102" s="3063">
        <f>SUM('Произв. прогр. Вода'!D194)</f>
        <v>0</v>
      </c>
      <c r="E102" s="3092">
        <f>SUM('Произв. прогр. Вода'!E194)</f>
        <v>28.964099999999998</v>
      </c>
      <c r="F102" s="3092">
        <f>SUM('Произв. прогр. Вода'!F194)</f>
        <v>28.964099999999998</v>
      </c>
      <c r="G102" s="3092">
        <f>SUM('Произв. прогр. Вода'!G194)</f>
        <v>28.964099999999998</v>
      </c>
      <c r="H102" s="3063">
        <f>SUM('Произв. прогр. Вода'!H194)</f>
        <v>28.964099999999998</v>
      </c>
      <c r="I102" s="3092">
        <f>SUM('Произв. прогр. Вода'!I194)</f>
        <v>28.964099999999998</v>
      </c>
      <c r="J102" s="3092">
        <f>SUM('Произв. прогр. Вода'!J194)</f>
        <v>28.964099999999998</v>
      </c>
      <c r="K102" s="3092">
        <f>SUM('Произв. прогр. Вода'!K194)</f>
        <v>28.964099999999998</v>
      </c>
      <c r="L102" s="3063">
        <f>SUM('Произв. прогр. Вода'!L194)</f>
        <v>28.964099999999998</v>
      </c>
      <c r="M102" s="3063">
        <f>SUM('Произв. прогр. Вода'!M194)</f>
        <v>28.964099999999998</v>
      </c>
      <c r="N102" s="3092">
        <f>SUM('Произв. прогр. Вода'!N194)</f>
        <v>28.964099999999998</v>
      </c>
      <c r="O102" s="3092">
        <f>SUM('Произв. прогр. Вода'!O194)</f>
        <v>28.964099999999998</v>
      </c>
      <c r="P102" s="3092">
        <f>SUM('Произв. прогр. Вода'!P194)</f>
        <v>28.964099999999998</v>
      </c>
      <c r="Q102" s="3063">
        <f>SUM('Произв. прогр. Вода'!Q194)</f>
        <v>28.964099999999998</v>
      </c>
      <c r="R102" s="3063">
        <f>SUM('Произв. прогр. Вода'!R194)</f>
        <v>28.964099999999998</v>
      </c>
      <c r="S102" s="3092">
        <f>SUM('Произв. прогр. Вода'!S194)</f>
        <v>28.964099999999998</v>
      </c>
      <c r="T102" s="3092">
        <f>SUM('Произв. прогр. Вода'!T194)</f>
        <v>28.964099999999998</v>
      </c>
      <c r="U102" s="3092">
        <f>SUM('Произв. прогр. Вода'!U194)</f>
        <v>28.964099999999998</v>
      </c>
      <c r="V102" s="3063">
        <f>SUM('Произв. прогр. Вода'!V194)</f>
        <v>28.964099999999998</v>
      </c>
      <c r="W102" s="3108">
        <f>SUM(E102)</f>
        <v>28.964099999999998</v>
      </c>
    </row>
    <row r="103" spans="1:23" ht="18.75">
      <c r="A103" s="3059" t="s">
        <v>1734</v>
      </c>
      <c r="B103" s="3063">
        <f>SUM('Произв. прогр. Вода'!B195)</f>
        <v>30.3</v>
      </c>
      <c r="C103" s="3063">
        <f>SUM('Произв. прогр. Вода'!C195)</f>
        <v>30.3</v>
      </c>
      <c r="D103" s="3063">
        <f>SUM('Произв. прогр. Вода'!D195)</f>
        <v>0</v>
      </c>
      <c r="E103" s="3092">
        <f>SUM('Произв. прогр. Вода'!E195)</f>
        <v>30.3</v>
      </c>
      <c r="F103" s="3092">
        <f>SUM('Произв. прогр. Вода'!F195)</f>
        <v>30.3</v>
      </c>
      <c r="G103" s="3092">
        <f>SUM('Произв. прогр. Вода'!G195)</f>
        <v>30.3</v>
      </c>
      <c r="H103" s="3063">
        <f>SUM('Произв. прогр. Вода'!H195)</f>
        <v>30.3</v>
      </c>
      <c r="I103" s="3092">
        <f>SUM('Произв. прогр. Вода'!I195)</f>
        <v>30.3</v>
      </c>
      <c r="J103" s="3092">
        <f>SUM('Произв. прогр. Вода'!J195)</f>
        <v>30.3</v>
      </c>
      <c r="K103" s="3092">
        <f>SUM('Произв. прогр. Вода'!K195)</f>
        <v>30.3</v>
      </c>
      <c r="L103" s="3063">
        <f>SUM('Произв. прогр. Вода'!L195)</f>
        <v>30.3</v>
      </c>
      <c r="M103" s="3063">
        <f>SUM('Произв. прогр. Вода'!M195)</f>
        <v>30.3</v>
      </c>
      <c r="N103" s="3092">
        <f>SUM('Произв. прогр. Вода'!N195)</f>
        <v>30.3</v>
      </c>
      <c r="O103" s="3092">
        <f>SUM('Произв. прогр. Вода'!O195)</f>
        <v>30.3</v>
      </c>
      <c r="P103" s="3092">
        <f>SUM('Произв. прогр. Вода'!P195)</f>
        <v>30.3</v>
      </c>
      <c r="Q103" s="3063">
        <f>SUM('Произв. прогр. Вода'!Q195)</f>
        <v>30.3</v>
      </c>
      <c r="R103" s="3063">
        <f>SUM('Произв. прогр. Вода'!R195)</f>
        <v>30.3</v>
      </c>
      <c r="S103" s="3092">
        <f>SUM('Произв. прогр. Вода'!S195)</f>
        <v>30.3</v>
      </c>
      <c r="T103" s="3092">
        <f>SUM('Произв. прогр. Вода'!T195)</f>
        <v>30.3</v>
      </c>
      <c r="U103" s="3092">
        <f>SUM('Произв. прогр. Вода'!U195)</f>
        <v>30.3</v>
      </c>
      <c r="V103" s="3063">
        <f>SUM('Произв. прогр. Вода'!V195)</f>
        <v>30.3</v>
      </c>
      <c r="W103" s="3108">
        <f>SUM(E103)</f>
        <v>30.3</v>
      </c>
    </row>
    <row r="104" spans="1:23" ht="18.75">
      <c r="A104" s="3099" t="s">
        <v>1740</v>
      </c>
      <c r="B104" s="3068">
        <f>SUM('Произв. прогр. Вода'!B196)</f>
        <v>1.0461226138564639</v>
      </c>
      <c r="C104" s="3068">
        <f>SUM('Произв. прогр. Вода'!C196)</f>
        <v>1.0461226138564639</v>
      </c>
      <c r="D104" s="3068">
        <f>SUM('Произв. прогр. Вода'!D196)</f>
        <v>0</v>
      </c>
      <c r="E104" s="3097">
        <f>SUM('Произв. прогр. Вода'!E196)</f>
        <v>1.0461226138564639</v>
      </c>
      <c r="F104" s="3097">
        <f>SUM('Произв. прогр. Вода'!F196)</f>
        <v>1.0461226138564639</v>
      </c>
      <c r="G104" s="3097">
        <f>SUM('Произв. прогр. Вода'!G196)</f>
        <v>1.0461226138564639</v>
      </c>
      <c r="H104" s="3068">
        <f>SUM('Произв. прогр. Вода'!H196)</f>
        <v>1.0461226138564639</v>
      </c>
      <c r="I104" s="3097">
        <f>SUM('Произв. прогр. Вода'!I196)</f>
        <v>1.0461226138564639</v>
      </c>
      <c r="J104" s="3097">
        <f>SUM('Произв. прогр. Вода'!J196)</f>
        <v>1.0461226138564639</v>
      </c>
      <c r="K104" s="3097">
        <f>SUM('Произв. прогр. Вода'!K196)</f>
        <v>1.0461226138564639</v>
      </c>
      <c r="L104" s="3068">
        <f>SUM('Произв. прогр. Вода'!L196)</f>
        <v>1.0461226138564639</v>
      </c>
      <c r="M104" s="3068">
        <f>SUM('Произв. прогр. Вода'!M196)</f>
        <v>1.0461226138564639</v>
      </c>
      <c r="N104" s="3097">
        <f>SUM('Произв. прогр. Вода'!N196)</f>
        <v>1.0461226138564639</v>
      </c>
      <c r="O104" s="3097">
        <f>SUM('Произв. прогр. Вода'!O196)</f>
        <v>1.0461226138564639</v>
      </c>
      <c r="P104" s="3097">
        <f>SUM('Произв. прогр. Вода'!P196)</f>
        <v>1.0461226138564639</v>
      </c>
      <c r="Q104" s="3068">
        <f>SUM('Произв. прогр. Вода'!Q196)</f>
        <v>1.0461226138564639</v>
      </c>
      <c r="R104" s="3068">
        <f>SUM('Произв. прогр. Вода'!R196)</f>
        <v>1.0461226138564639</v>
      </c>
      <c r="S104" s="3097">
        <f>SUM('Произв. прогр. Вода'!S196)</f>
        <v>1.0461226138564639</v>
      </c>
      <c r="T104" s="3097">
        <f>SUM('Произв. прогр. Вода'!T196)</f>
        <v>1.0461226138564639</v>
      </c>
      <c r="U104" s="3097">
        <f>SUM('Произв. прогр. Вода'!U196)</f>
        <v>1.0461226138564639</v>
      </c>
      <c r="V104" s="3068">
        <f>SUM('Произв. прогр. Вода'!V196)</f>
        <v>1.0461226138564639</v>
      </c>
      <c r="W104" s="3089">
        <f t="shared" ref="W104" si="102">SUM(W103/W102)</f>
        <v>1.0461226138564639</v>
      </c>
    </row>
    <row r="105" spans="1:23" ht="18.75" customHeight="1">
      <c r="A105" s="3095" t="s">
        <v>1741</v>
      </c>
      <c r="B105" s="3060">
        <f>SUM('Произв. прогр. Вода'!B197)</f>
        <v>20416.991945674192</v>
      </c>
      <c r="C105" s="3060">
        <f>SUM('Произв. прогр. Вода'!C197)</f>
        <v>20416.991945674192</v>
      </c>
      <c r="D105" s="3060">
        <f>SUM('Произв. прогр. Вода'!D197)</f>
        <v>0</v>
      </c>
      <c r="E105" s="3073">
        <f>SUM('Произв. прогр. Вода'!E197)</f>
        <v>1745.652811355144</v>
      </c>
      <c r="F105" s="3073">
        <f>SUM('Произв. прогр. Вода'!F197)</f>
        <v>1735.4443153823067</v>
      </c>
      <c r="G105" s="3073">
        <f>SUM('Произв. прогр. Вода'!G197)</f>
        <v>1735.4443153823067</v>
      </c>
      <c r="H105" s="3060">
        <f>SUM('Произв. прогр. Вода'!H197)</f>
        <v>5216.5414421197574</v>
      </c>
      <c r="I105" s="3073">
        <f>SUM('Произв. прогр. Вода'!I197)</f>
        <v>1725.2358194094693</v>
      </c>
      <c r="J105" s="3073">
        <f>SUM('Произв. прогр. Вода'!J197)</f>
        <v>1633.3593556539356</v>
      </c>
      <c r="K105" s="3073">
        <f>SUM('Произв. прогр. Вода'!K197)</f>
        <v>1633.3593556539356</v>
      </c>
      <c r="L105" s="3060">
        <f>SUM('Произв. прогр. Вода'!L197)</f>
        <v>4991.9545307173403</v>
      </c>
      <c r="M105" s="3060">
        <f>SUM('Произв. прогр. Вода'!M197)</f>
        <v>10208.495972837098</v>
      </c>
      <c r="N105" s="3073">
        <f>SUM('Произв. прогр. Вода'!N197)</f>
        <v>1633.3593556539356</v>
      </c>
      <c r="O105" s="3073">
        <f>SUM('Произв. прогр. Вода'!O197)</f>
        <v>1633.3593556539356</v>
      </c>
      <c r="P105" s="3073">
        <f>SUM('Произв. прогр. Вода'!P197)</f>
        <v>1725.2358194094693</v>
      </c>
      <c r="Q105" s="3060">
        <f>SUM('Произв. прогр. Вода'!Q197)</f>
        <v>4991.9545307173403</v>
      </c>
      <c r="R105" s="3060">
        <f>SUM('Произв. прогр. Вода'!R197)</f>
        <v>15200.450503554439</v>
      </c>
      <c r="S105" s="3073">
        <f>SUM('Произв. прогр. Вода'!S197)</f>
        <v>1735.4443153823067</v>
      </c>
      <c r="T105" s="3073">
        <f>SUM('Произв. прогр. Вода'!T197)</f>
        <v>1735.4443153823067</v>
      </c>
      <c r="U105" s="3073">
        <f>SUM('Произв. прогр. Вода'!U197)</f>
        <v>1745.652811355144</v>
      </c>
      <c r="V105" s="3060">
        <f>SUM('Произв. прогр. Вода'!V197)</f>
        <v>5216.5414421197574</v>
      </c>
      <c r="W105" s="3085">
        <f t="shared" ref="W105:W107" si="103">SUM(E105+F105+G105+I105+J105+K105+N105+O105+P105+S105+T105+U105)</f>
        <v>20416.991945674195</v>
      </c>
    </row>
    <row r="106" spans="1:23" ht="18.75" customHeight="1">
      <c r="A106" s="3059" t="s">
        <v>390</v>
      </c>
      <c r="B106" s="3063">
        <f>SUM('Произв. прогр. Вода'!B198)</f>
        <v>9092.9620000000032</v>
      </c>
      <c r="C106" s="3063">
        <f>SUM('Произв. прогр. Вода'!C198)</f>
        <v>9092.9620000000032</v>
      </c>
      <c r="D106" s="3063">
        <f>SUM('Произв. прогр. Вода'!D198)</f>
        <v>0</v>
      </c>
      <c r="E106" s="3092">
        <f>SUM('Произв. прогр. Вода'!E198)</f>
        <v>777.44825100000048</v>
      </c>
      <c r="F106" s="3092">
        <f>SUM('Произв. прогр. Вода'!F198)</f>
        <v>772.9017700000004</v>
      </c>
      <c r="G106" s="3092">
        <f>SUM('Произв. прогр. Вода'!G198)</f>
        <v>772.9017700000004</v>
      </c>
      <c r="H106" s="3063">
        <f>SUM('Произв. прогр. Вода'!H198)</f>
        <v>2323.2517910000015</v>
      </c>
      <c r="I106" s="3092">
        <f>SUM('Произв. прогр. Вода'!I198)</f>
        <v>768.35528900000031</v>
      </c>
      <c r="J106" s="3092">
        <f>SUM('Произв. прогр. Вода'!J198)</f>
        <v>727.43696000000034</v>
      </c>
      <c r="K106" s="3092">
        <f>SUM('Произв. прогр. Вода'!K198)</f>
        <v>727.43696000000034</v>
      </c>
      <c r="L106" s="3063">
        <f>SUM('Произв. прогр. Вода'!L198)</f>
        <v>2223.229209000001</v>
      </c>
      <c r="M106" s="3063">
        <f>SUM('Произв. прогр. Вода'!M198)</f>
        <v>4546.4810000000025</v>
      </c>
      <c r="N106" s="3092">
        <f>SUM('Произв. прогр. Вода'!N198)</f>
        <v>727.43696000000034</v>
      </c>
      <c r="O106" s="3092">
        <f>SUM('Произв. прогр. Вода'!O198)</f>
        <v>727.43696000000034</v>
      </c>
      <c r="P106" s="3092">
        <f>SUM('Произв. прогр. Вода'!P198)</f>
        <v>768.35528900000031</v>
      </c>
      <c r="Q106" s="3063">
        <f>SUM('Произв. прогр. Вода'!Q198)</f>
        <v>2223.229209000001</v>
      </c>
      <c r="R106" s="3063">
        <f>SUM('Произв. прогр. Вода'!R198)</f>
        <v>6769.7102090000035</v>
      </c>
      <c r="S106" s="3092">
        <f>SUM('Произв. прогр. Вода'!S198)</f>
        <v>772.9017700000004</v>
      </c>
      <c r="T106" s="3092">
        <f>SUM('Произв. прогр. Вода'!T198)</f>
        <v>772.9017700000004</v>
      </c>
      <c r="U106" s="3092">
        <f>SUM('Произв. прогр. Вода'!U198)</f>
        <v>777.44825100000048</v>
      </c>
      <c r="V106" s="3063">
        <f>SUM('Произв. прогр. Вода'!V198)</f>
        <v>2323.2517910000015</v>
      </c>
      <c r="W106" s="3087">
        <f t="shared" si="103"/>
        <v>9092.9620000000032</v>
      </c>
    </row>
    <row r="107" spans="1:23" ht="18.75" customHeight="1">
      <c r="A107" s="3059" t="s">
        <v>1734</v>
      </c>
      <c r="B107" s="3063">
        <f>SUM('Произв. прогр. Вода'!B199)</f>
        <v>11324.02994567419</v>
      </c>
      <c r="C107" s="3063">
        <f>SUM('Произв. прогр. Вода'!C199)</f>
        <v>11324.02994567419</v>
      </c>
      <c r="D107" s="3063">
        <f>SUM('Произв. прогр. Вода'!D199)</f>
        <v>0</v>
      </c>
      <c r="E107" s="3092">
        <f>SUM('Произв. прогр. Вода'!E199)</f>
        <v>968.20456035514337</v>
      </c>
      <c r="F107" s="3092">
        <f>SUM('Произв. прогр. Вода'!F199)</f>
        <v>962.54254538230623</v>
      </c>
      <c r="G107" s="3092">
        <f>SUM('Произв. прогр. Вода'!G199)</f>
        <v>962.54254538230623</v>
      </c>
      <c r="H107" s="3063">
        <f>SUM('Произв. прогр. Вода'!H199)</f>
        <v>2893.2896511197559</v>
      </c>
      <c r="I107" s="3092">
        <f>SUM('Произв. прогр. Вода'!I199)</f>
        <v>956.88053040946897</v>
      </c>
      <c r="J107" s="3092">
        <f>SUM('Произв. прогр. Вода'!J199)</f>
        <v>905.92239565393527</v>
      </c>
      <c r="K107" s="3092">
        <f>SUM('Произв. прогр. Вода'!K199)</f>
        <v>905.92239565393527</v>
      </c>
      <c r="L107" s="3063">
        <f>SUM('Произв. прогр. Вода'!L199)</f>
        <v>2768.7253217173397</v>
      </c>
      <c r="M107" s="3063">
        <f>SUM('Произв. прогр. Вода'!M199)</f>
        <v>5662.0149728370961</v>
      </c>
      <c r="N107" s="3092">
        <f>SUM('Произв. прогр. Вода'!N199)</f>
        <v>905.92239565393527</v>
      </c>
      <c r="O107" s="3092">
        <f>SUM('Произв. прогр. Вода'!O199)</f>
        <v>905.92239565393527</v>
      </c>
      <c r="P107" s="3092">
        <f>SUM('Произв. прогр. Вода'!P199)</f>
        <v>956.88053040946897</v>
      </c>
      <c r="Q107" s="3063">
        <f>SUM('Произв. прогр. Вода'!Q199)</f>
        <v>2768.7253217173393</v>
      </c>
      <c r="R107" s="3063">
        <f>SUM('Произв. прогр. Вода'!R199)</f>
        <v>8430.7402945544345</v>
      </c>
      <c r="S107" s="3092">
        <f>SUM('Произв. прогр. Вода'!S199)</f>
        <v>962.54254538230623</v>
      </c>
      <c r="T107" s="3092">
        <f>SUM('Произв. прогр. Вода'!T199)</f>
        <v>962.54254538230623</v>
      </c>
      <c r="U107" s="3092">
        <f>SUM('Произв. прогр. Вода'!U199)</f>
        <v>968.20456035514337</v>
      </c>
      <c r="V107" s="3063">
        <f>SUM('Произв. прогр. Вода'!V199)</f>
        <v>2893.2896511197559</v>
      </c>
      <c r="W107" s="3087">
        <f t="shared" si="103"/>
        <v>11324.02994567419</v>
      </c>
    </row>
    <row r="108" spans="1:23" ht="18.75">
      <c r="A108" s="5007" t="s">
        <v>1742</v>
      </c>
      <c r="B108" s="5000"/>
      <c r="C108" s="5000"/>
      <c r="D108" s="5000"/>
      <c r="E108" s="5000"/>
      <c r="F108" s="5000"/>
      <c r="G108" s="5000"/>
      <c r="H108" s="5000"/>
      <c r="I108" s="5000"/>
      <c r="J108" s="5000"/>
      <c r="K108" s="5000"/>
      <c r="L108" s="5000"/>
      <c r="M108" s="5000"/>
      <c r="N108" s="5000"/>
      <c r="O108" s="5000"/>
      <c r="P108" s="5000"/>
      <c r="Q108" s="5000"/>
      <c r="R108" s="5000"/>
      <c r="S108" s="5000"/>
      <c r="T108" s="5000"/>
      <c r="U108" s="5000"/>
      <c r="V108" s="5000"/>
      <c r="W108" s="3085"/>
    </row>
    <row r="109" spans="1:23" ht="18.75">
      <c r="A109" s="4989" t="s">
        <v>545</v>
      </c>
      <c r="B109" s="4982" t="s">
        <v>1960</v>
      </c>
      <c r="C109" s="4982" t="s">
        <v>575</v>
      </c>
      <c r="D109" s="4982"/>
      <c r="E109" s="4981" t="s">
        <v>586</v>
      </c>
      <c r="F109" s="4981" t="s">
        <v>587</v>
      </c>
      <c r="G109" s="4981" t="s">
        <v>588</v>
      </c>
      <c r="H109" s="4984" t="s">
        <v>600</v>
      </c>
      <c r="I109" s="4981" t="s">
        <v>589</v>
      </c>
      <c r="J109" s="4981" t="s">
        <v>590</v>
      </c>
      <c r="K109" s="4981" t="s">
        <v>591</v>
      </c>
      <c r="L109" s="4984" t="s">
        <v>599</v>
      </c>
      <c r="M109" s="4984" t="s">
        <v>598</v>
      </c>
      <c r="N109" s="4981" t="s">
        <v>592</v>
      </c>
      <c r="O109" s="4981" t="s">
        <v>593</v>
      </c>
      <c r="P109" s="4981" t="s">
        <v>594</v>
      </c>
      <c r="Q109" s="4984" t="s">
        <v>225</v>
      </c>
      <c r="R109" s="4984" t="s">
        <v>229</v>
      </c>
      <c r="S109" s="4981" t="s">
        <v>595</v>
      </c>
      <c r="T109" s="4981" t="s">
        <v>596</v>
      </c>
      <c r="U109" s="4981" t="s">
        <v>597</v>
      </c>
      <c r="V109" s="4984" t="s">
        <v>135</v>
      </c>
      <c r="W109" s="5009" t="s">
        <v>601</v>
      </c>
    </row>
    <row r="110" spans="1:23" ht="37.5">
      <c r="A110" s="4990"/>
      <c r="B110" s="4982"/>
      <c r="C110" s="3057" t="s">
        <v>1553</v>
      </c>
      <c r="D110" s="3057" t="s">
        <v>1554</v>
      </c>
      <c r="E110" s="4981"/>
      <c r="F110" s="4981"/>
      <c r="G110" s="4981"/>
      <c r="H110" s="4984"/>
      <c r="I110" s="4981"/>
      <c r="J110" s="4981"/>
      <c r="K110" s="4981"/>
      <c r="L110" s="4984"/>
      <c r="M110" s="4984"/>
      <c r="N110" s="4981"/>
      <c r="O110" s="4981"/>
      <c r="P110" s="4981"/>
      <c r="Q110" s="4984"/>
      <c r="R110" s="4984"/>
      <c r="S110" s="4981"/>
      <c r="T110" s="4981"/>
      <c r="U110" s="4981"/>
      <c r="V110" s="4984"/>
      <c r="W110" s="5009"/>
    </row>
    <row r="111" spans="1:23" ht="18.75">
      <c r="A111" s="3095" t="s">
        <v>1733</v>
      </c>
      <c r="B111" s="3060">
        <f>SUM('Произв. прогр. Вода'!B203)</f>
        <v>131812.85586704884</v>
      </c>
      <c r="C111" s="3060">
        <f>SUM('Произв. прогр. Вода'!C203)</f>
        <v>131195.04398492674</v>
      </c>
      <c r="D111" s="3060">
        <f>SUM('Произв. прогр. Вода'!D203)</f>
        <v>617.81188212212237</v>
      </c>
      <c r="E111" s="3073">
        <f>SUM('Произв. прогр. Вода'!E203)</f>
        <v>10954.148260065667</v>
      </c>
      <c r="F111" s="3073">
        <f>SUM('Произв. прогр. Вода'!F203)</f>
        <v>10831.397676308563</v>
      </c>
      <c r="G111" s="3073">
        <f>SUM('Произв. прогр. Вода'!G203)</f>
        <v>11661.271742860939</v>
      </c>
      <c r="H111" s="3060">
        <f>SUM('Произв. прогр. Вода'!H203)</f>
        <v>33446.817679235173</v>
      </c>
      <c r="I111" s="3073">
        <f>SUM('Произв. прогр. Вода'!I203)</f>
        <v>10597.805729422742</v>
      </c>
      <c r="J111" s="3073">
        <f>SUM('Произв. прогр. Вода'!J203)</f>
        <v>10202.119577781448</v>
      </c>
      <c r="K111" s="3073">
        <f>SUM('Произв. прогр. Вода'!K203)</f>
        <v>10979.182885868408</v>
      </c>
      <c r="L111" s="3060">
        <f>SUM('Произв. прогр. Вода'!L203)</f>
        <v>31779.1081930726</v>
      </c>
      <c r="M111" s="3060">
        <f>SUM('Произв. прогр. Вода'!M203)</f>
        <v>65225.925872307773</v>
      </c>
      <c r="N111" s="3073">
        <f>SUM('Произв. прогр. Вода'!N203)</f>
        <v>10427.163907655628</v>
      </c>
      <c r="O111" s="3073">
        <f>SUM('Произв. прогр. Вода'!O203)</f>
        <v>10425.027073160913</v>
      </c>
      <c r="P111" s="3073">
        <f>SUM('Произв. прогр. Вода'!P203)</f>
        <v>11548.518562303097</v>
      </c>
      <c r="Q111" s="3060">
        <f>SUM('Произв. прогр. Вода'!Q203)</f>
        <v>32400.709543119636</v>
      </c>
      <c r="R111" s="3060">
        <f>SUM('Произв. прогр. Вода'!R203)</f>
        <v>97626.635415427416</v>
      </c>
      <c r="S111" s="3073">
        <f>SUM('Произв. прогр. Вода'!S203)</f>
        <v>10960.677155789797</v>
      </c>
      <c r="T111" s="3073">
        <f>SUM('Произв. прогр. Вода'!T203)</f>
        <v>11089.41996667961</v>
      </c>
      <c r="U111" s="3073">
        <f>SUM('Произв. прогр. Вода'!U203)</f>
        <v>12136.123329713415</v>
      </c>
      <c r="V111" s="3060">
        <f>SUM('Произв. прогр. Вода'!V203)</f>
        <v>34186.220452182824</v>
      </c>
      <c r="W111" s="3085">
        <f t="shared" ref="W111:W119" si="104">SUM(E111+F111+G111+I111+J111+K111+N111+O111+P111+S111+T111+U111)</f>
        <v>131812.85586761023</v>
      </c>
    </row>
    <row r="112" spans="1:23" ht="18.75">
      <c r="A112" s="3059" t="s">
        <v>390</v>
      </c>
      <c r="B112" s="3063">
        <f>SUM('Произв. прогр. Вода'!B204)</f>
        <v>65054.152984527187</v>
      </c>
      <c r="C112" s="3063">
        <f>SUM('Произв. прогр. Вода'!C204)</f>
        <v>64862.078579728746</v>
      </c>
      <c r="D112" s="3063">
        <f>SUM('Произв. прогр. Вода'!D204)</f>
        <v>192.07440479843746</v>
      </c>
      <c r="E112" s="3092">
        <f>SUM('Произв. прогр. Вода'!E204)</f>
        <v>5562.1300801770758</v>
      </c>
      <c r="F112" s="3092">
        <f>SUM('Произв. прогр. Вода'!F204)</f>
        <v>5529.6030036848124</v>
      </c>
      <c r="G112" s="3092">
        <f>SUM('Произв. прогр. Вода'!G204)</f>
        <v>5529.6030036848124</v>
      </c>
      <c r="H112" s="3063">
        <f>SUM('Произв. прогр. Вода'!H204)</f>
        <v>16621.336087546701</v>
      </c>
      <c r="I112" s="3092">
        <f>SUM('Произв. прогр. Вода'!I204)</f>
        <v>5497.0759271925481</v>
      </c>
      <c r="J112" s="3092">
        <f>SUM('Произв. прогр. Вода'!J204)</f>
        <v>5204.3322387621756</v>
      </c>
      <c r="K112" s="3092">
        <f>SUM('Произв. прогр. Вода'!K204)</f>
        <v>5204.3322387621756</v>
      </c>
      <c r="L112" s="3063">
        <f>SUM('Произв. прогр. Вода'!L204)</f>
        <v>15905.740404716898</v>
      </c>
      <c r="M112" s="3063">
        <f>SUM('Произв. прогр. Вода'!M204)</f>
        <v>32527.076492263601</v>
      </c>
      <c r="N112" s="3092">
        <f>SUM('Произв. прогр. Вода'!N204)</f>
        <v>5204.3322387621756</v>
      </c>
      <c r="O112" s="3092">
        <f>SUM('Произв. прогр. Вода'!O204)</f>
        <v>5204.3322387621756</v>
      </c>
      <c r="P112" s="3092">
        <f>SUM('Произв. прогр. Вода'!P204)</f>
        <v>5497.0759271925481</v>
      </c>
      <c r="Q112" s="3063">
        <f>SUM('Произв. прогр. Вода'!Q204)</f>
        <v>15905.7404047169</v>
      </c>
      <c r="R112" s="3063">
        <f>SUM('Произв. прогр. Вода'!R204)</f>
        <v>48432.816896980497</v>
      </c>
      <c r="S112" s="3092">
        <f>SUM('Произв. прогр. Вода'!S204)</f>
        <v>5529.6030036848124</v>
      </c>
      <c r="T112" s="3092">
        <f>SUM('Произв. прогр. Вода'!T204)</f>
        <v>5529.6030036848124</v>
      </c>
      <c r="U112" s="3092">
        <f>SUM('Произв. прогр. Вода'!U204)</f>
        <v>5562.1300801770758</v>
      </c>
      <c r="V112" s="3063">
        <f>SUM('Произв. прогр. Вода'!V204)</f>
        <v>16621.336087546701</v>
      </c>
      <c r="W112" s="3087">
        <f t="shared" si="104"/>
        <v>65054.152984527194</v>
      </c>
    </row>
    <row r="113" spans="1:23" ht="18.75">
      <c r="A113" s="3059" t="s">
        <v>1734</v>
      </c>
      <c r="B113" s="3063">
        <f>SUM('Произв. прогр. Вода'!B205)</f>
        <v>66758.702882521655</v>
      </c>
      <c r="C113" s="3063">
        <f>SUM('Произв. прогр. Вода'!C205)</f>
        <v>66332.965405197989</v>
      </c>
      <c r="D113" s="3063">
        <f>SUM('Произв. прогр. Вода'!D205)</f>
        <v>425.73747732368491</v>
      </c>
      <c r="E113" s="3092">
        <f>SUM('Произв. прогр. Вода'!E205)</f>
        <v>5392.0181798885915</v>
      </c>
      <c r="F113" s="3092">
        <f>SUM('Произв. прогр. Вода'!F205)</f>
        <v>5301.7946726237506</v>
      </c>
      <c r="G113" s="3092">
        <f>SUM('Произв. прогр. Вода'!G205)</f>
        <v>6131.668739176127</v>
      </c>
      <c r="H113" s="3063">
        <f>SUM('Произв. прогр. Вода'!H205)</f>
        <v>16825.481591688469</v>
      </c>
      <c r="I113" s="3092">
        <f>SUM('Произв. прогр. Вода'!I205)</f>
        <v>5100.7298022301939</v>
      </c>
      <c r="J113" s="3092">
        <f>SUM('Произв. прогр. Вода'!J205)</f>
        <v>4997.7873390192726</v>
      </c>
      <c r="K113" s="3092">
        <f>SUM('Произв. прогр. Вода'!K205)</f>
        <v>5774.8506471062319</v>
      </c>
      <c r="L113" s="3063">
        <f>SUM('Произв. прогр. Вода'!L205)</f>
        <v>15873.367788355699</v>
      </c>
      <c r="M113" s="3063">
        <f>SUM('Произв. прогр. Вода'!M205)</f>
        <v>32698.849380044168</v>
      </c>
      <c r="N113" s="3092">
        <f>SUM('Произв. прогр. Вода'!N205)</f>
        <v>5222.8316688934519</v>
      </c>
      <c r="O113" s="3092">
        <f>SUM('Произв. прогр. Вода'!O205)</f>
        <v>5220.6948343987369</v>
      </c>
      <c r="P113" s="3092">
        <f>SUM('Произв. прогр. Вода'!P205)</f>
        <v>6051.4426351105494</v>
      </c>
      <c r="Q113" s="3063">
        <f>SUM('Произв. прогр. Вода'!Q205)</f>
        <v>16494.969138402739</v>
      </c>
      <c r="R113" s="3063">
        <f>SUM('Произв. прогр. Вода'!R205)</f>
        <v>49193.818518446904</v>
      </c>
      <c r="S113" s="3092">
        <f>SUM('Произв. прогр. Вода'!S205)</f>
        <v>5431.0741521049849</v>
      </c>
      <c r="T113" s="3092">
        <f>SUM('Произв. прогр. Вода'!T205)</f>
        <v>5559.8169629947979</v>
      </c>
      <c r="U113" s="3092">
        <f>SUM('Произв. прогр. Вода'!U205)</f>
        <v>6573.9932495363391</v>
      </c>
      <c r="V113" s="3063">
        <f>SUM('Произв. прогр. Вода'!V205)</f>
        <v>17564.88436463612</v>
      </c>
      <c r="W113" s="3087">
        <f t="shared" si="104"/>
        <v>66758.702883083024</v>
      </c>
    </row>
    <row r="114" spans="1:23" ht="18.75">
      <c r="A114" s="3095" t="s">
        <v>1735</v>
      </c>
      <c r="B114" s="3060">
        <f>SUM('Произв. прогр. Вода'!B206)</f>
        <v>3621.42</v>
      </c>
      <c r="C114" s="3060">
        <f>SUM('Произв. прогр. Вода'!C206)</f>
        <v>3600</v>
      </c>
      <c r="D114" s="3060">
        <f>SUM('Произв. прогр. Вода'!D206)</f>
        <v>21.42</v>
      </c>
      <c r="E114" s="3073">
        <f>SUM('Произв. прогр. Вода'!E206)</f>
        <v>309.63141000000007</v>
      </c>
      <c r="F114" s="3073">
        <f>SUM('Произв. прогр. Вода'!F206)</f>
        <v>307.82070000000004</v>
      </c>
      <c r="G114" s="3073">
        <f>SUM('Произв. прогр. Вода'!G206)</f>
        <v>307.82070000000004</v>
      </c>
      <c r="H114" s="3060">
        <f>SUM('Произв. прогр. Вода'!H206)</f>
        <v>925.27281000000016</v>
      </c>
      <c r="I114" s="3073">
        <f>SUM('Произв. прогр. Вода'!I206)</f>
        <v>306.00999000000002</v>
      </c>
      <c r="J114" s="3073">
        <f>SUM('Произв. прогр. Вода'!J206)</f>
        <v>289.71360000000004</v>
      </c>
      <c r="K114" s="3073">
        <f>SUM('Произв. прогр. Вода'!K206)</f>
        <v>289.71360000000004</v>
      </c>
      <c r="L114" s="3060">
        <f>SUM('Произв. прогр. Вода'!L206)</f>
        <v>885.4371900000001</v>
      </c>
      <c r="M114" s="3060">
        <f>SUM('Произв. прогр. Вода'!M206)</f>
        <v>1810.7100000000003</v>
      </c>
      <c r="N114" s="3073">
        <f>SUM('Произв. прогр. Вода'!N206)</f>
        <v>289.71360000000004</v>
      </c>
      <c r="O114" s="3073">
        <f>SUM('Произв. прогр. Вода'!O206)</f>
        <v>289.71360000000004</v>
      </c>
      <c r="P114" s="3073">
        <f>SUM('Произв. прогр. Вода'!P206)</f>
        <v>306.00999000000002</v>
      </c>
      <c r="Q114" s="3060">
        <f>SUM('Произв. прогр. Вода'!Q206)</f>
        <v>885.4371900000001</v>
      </c>
      <c r="R114" s="3060">
        <f>SUM('Произв. прогр. Вода'!R206)</f>
        <v>2696.1471900000006</v>
      </c>
      <c r="S114" s="3073">
        <f>SUM('Произв. прогр. Вода'!S206)</f>
        <v>307.82070000000004</v>
      </c>
      <c r="T114" s="3073">
        <f>SUM('Произв. прогр. Вода'!T206)</f>
        <v>307.82070000000004</v>
      </c>
      <c r="U114" s="3073">
        <f>SUM('Произв. прогр. Вода'!U206)</f>
        <v>309.63141000000007</v>
      </c>
      <c r="V114" s="3060">
        <f>SUM('Произв. прогр. Вода'!V206)</f>
        <v>925.27281000000016</v>
      </c>
      <c r="W114" s="3085">
        <f t="shared" si="104"/>
        <v>3621.4200000000005</v>
      </c>
    </row>
    <row r="115" spans="1:23" ht="18.75">
      <c r="A115" s="3059" t="s">
        <v>390</v>
      </c>
      <c r="B115" s="3063">
        <f>SUM('Произв. прогр. Вода'!B207)</f>
        <v>1810.71</v>
      </c>
      <c r="C115" s="3063">
        <f>SUM('Произв. прогр. Вода'!C207)</f>
        <v>1800</v>
      </c>
      <c r="D115" s="3063">
        <f>SUM('Произв. прогр. Вода'!D207)</f>
        <v>10.71</v>
      </c>
      <c r="E115" s="3092">
        <f>SUM('Произв. прогр. Вода'!E207)</f>
        <v>154.81570500000004</v>
      </c>
      <c r="F115" s="3092">
        <f>SUM('Произв. прогр. Вода'!F207)</f>
        <v>153.91035000000002</v>
      </c>
      <c r="G115" s="3092">
        <f>SUM('Произв. прогр. Вода'!G207)</f>
        <v>153.91035000000002</v>
      </c>
      <c r="H115" s="3063">
        <f>SUM('Произв. прогр. Вода'!H207)</f>
        <v>462.63640500000008</v>
      </c>
      <c r="I115" s="3092">
        <f>SUM('Произв. прогр. Вода'!I207)</f>
        <v>153.00499500000001</v>
      </c>
      <c r="J115" s="3092">
        <f>SUM('Произв. прогр. Вода'!J207)</f>
        <v>144.85680000000002</v>
      </c>
      <c r="K115" s="3092">
        <f>SUM('Произв. прогр. Вода'!K207)</f>
        <v>144.85680000000002</v>
      </c>
      <c r="L115" s="3063">
        <f>SUM('Произв. прогр. Вода'!L207)</f>
        <v>442.71859500000005</v>
      </c>
      <c r="M115" s="3063">
        <f>SUM('Произв. прогр. Вода'!M207)</f>
        <v>905.35500000000013</v>
      </c>
      <c r="N115" s="3092">
        <f>SUM('Произв. прогр. Вода'!N207)</f>
        <v>144.85680000000002</v>
      </c>
      <c r="O115" s="3092">
        <f>SUM('Произв. прогр. Вода'!O207)</f>
        <v>144.85680000000002</v>
      </c>
      <c r="P115" s="3092">
        <f>SUM('Произв. прогр. Вода'!P207)</f>
        <v>153.00499500000001</v>
      </c>
      <c r="Q115" s="3063">
        <f>SUM('Произв. прогр. Вода'!Q207)</f>
        <v>442.71859500000005</v>
      </c>
      <c r="R115" s="3063">
        <f>SUM('Произв. прогр. Вода'!R207)</f>
        <v>1348.0735950000003</v>
      </c>
      <c r="S115" s="3092">
        <f>SUM('Произв. прогр. Вода'!S207)</f>
        <v>153.91035000000002</v>
      </c>
      <c r="T115" s="3092">
        <f>SUM('Произв. прогр. Вода'!T207)</f>
        <v>153.91035000000002</v>
      </c>
      <c r="U115" s="3092">
        <f>SUM('Произв. прогр. Вода'!U207)</f>
        <v>154.81570500000004</v>
      </c>
      <c r="V115" s="3063">
        <f>SUM('Произв. прогр. Вода'!V207)</f>
        <v>462.63640500000008</v>
      </c>
      <c r="W115" s="3087">
        <f t="shared" si="104"/>
        <v>1810.7100000000003</v>
      </c>
    </row>
    <row r="116" spans="1:23" ht="18.75">
      <c r="A116" s="3059" t="s">
        <v>1734</v>
      </c>
      <c r="B116" s="3063">
        <f>SUM('Произв. прогр. Вода'!B208)</f>
        <v>1810.71</v>
      </c>
      <c r="C116" s="3063">
        <f>SUM('Произв. прогр. Вода'!C208)</f>
        <v>1800</v>
      </c>
      <c r="D116" s="3063">
        <f>SUM('Произв. прогр. Вода'!D208)</f>
        <v>10.71</v>
      </c>
      <c r="E116" s="3092">
        <f>SUM('Произв. прогр. Вода'!E208)</f>
        <v>154.81570500000004</v>
      </c>
      <c r="F116" s="3092">
        <f>SUM('Произв. прогр. Вода'!F208)</f>
        <v>153.91035000000002</v>
      </c>
      <c r="G116" s="3092">
        <f>SUM('Произв. прогр. Вода'!G208)</f>
        <v>153.91035000000002</v>
      </c>
      <c r="H116" s="3063">
        <f>SUM('Произв. прогр. Вода'!H208)</f>
        <v>462.63640500000008</v>
      </c>
      <c r="I116" s="3092">
        <f>SUM('Произв. прогр. Вода'!I208)</f>
        <v>153.00499500000001</v>
      </c>
      <c r="J116" s="3092">
        <f>SUM('Произв. прогр. Вода'!J208)</f>
        <v>144.85680000000002</v>
      </c>
      <c r="K116" s="3092">
        <f>SUM('Произв. прогр. Вода'!K208)</f>
        <v>144.85680000000002</v>
      </c>
      <c r="L116" s="3063">
        <f>SUM('Произв. прогр. Вода'!L208)</f>
        <v>442.71859500000005</v>
      </c>
      <c r="M116" s="3063">
        <f>SUM('Произв. прогр. Вода'!M208)</f>
        <v>905.35500000000013</v>
      </c>
      <c r="N116" s="3092">
        <f>SUM('Произв. прогр. Вода'!N208)</f>
        <v>144.85680000000002</v>
      </c>
      <c r="O116" s="3092">
        <f>SUM('Произв. прогр. Вода'!O208)</f>
        <v>144.85680000000002</v>
      </c>
      <c r="P116" s="3092">
        <f>SUM('Произв. прогр. Вода'!P208)</f>
        <v>153.00499500000001</v>
      </c>
      <c r="Q116" s="3063">
        <f>SUM('Произв. прогр. Вода'!Q208)</f>
        <v>442.71859500000005</v>
      </c>
      <c r="R116" s="3063">
        <f>SUM('Произв. прогр. Вода'!R208)</f>
        <v>1348.0735950000003</v>
      </c>
      <c r="S116" s="3092">
        <f>SUM('Произв. прогр. Вода'!S208)</f>
        <v>153.91035000000002</v>
      </c>
      <c r="T116" s="3092">
        <f>SUM('Произв. прогр. Вода'!T208)</f>
        <v>153.91035000000002</v>
      </c>
      <c r="U116" s="3092">
        <f>SUM('Произв. прогр. Вода'!U208)</f>
        <v>154.81570500000004</v>
      </c>
      <c r="V116" s="3063">
        <f>SUM('Произв. прогр. Вода'!V208)</f>
        <v>462.63640500000008</v>
      </c>
      <c r="W116" s="3087">
        <f t="shared" si="104"/>
        <v>1810.7100000000003</v>
      </c>
    </row>
    <row r="117" spans="1:23" ht="18.75">
      <c r="A117" s="3095" t="s">
        <v>1736</v>
      </c>
      <c r="B117" s="3060">
        <f>SUM('Произв. прогр. Вода'!B209)</f>
        <v>2360</v>
      </c>
      <c r="C117" s="3060">
        <f>SUM('Произв. прогр. Вода'!C209)</f>
        <v>2360</v>
      </c>
      <c r="D117" s="3060">
        <f>SUM('Произв. прогр. Вода'!D209)</f>
        <v>0</v>
      </c>
      <c r="E117" s="3073">
        <f>SUM('Произв. прогр. Вода'!E209)</f>
        <v>201.78000000000003</v>
      </c>
      <c r="F117" s="3073">
        <f>SUM('Произв. прогр. Вода'!F209)</f>
        <v>200.60000000000002</v>
      </c>
      <c r="G117" s="3073">
        <f>SUM('Произв. прогр. Вода'!G209)</f>
        <v>200.60000000000002</v>
      </c>
      <c r="H117" s="3060">
        <f>SUM('Произв. прогр. Вода'!H209)</f>
        <v>602.98</v>
      </c>
      <c r="I117" s="3073">
        <f>SUM('Произв. прогр. Вода'!I209)</f>
        <v>199.42</v>
      </c>
      <c r="J117" s="3073">
        <f>SUM('Произв. прогр. Вода'!J209)</f>
        <v>188.8</v>
      </c>
      <c r="K117" s="3073">
        <f>SUM('Произв. прогр. Вода'!K209)</f>
        <v>188.8</v>
      </c>
      <c r="L117" s="3060">
        <f>SUM('Произв. прогр. Вода'!L209)</f>
        <v>577.02</v>
      </c>
      <c r="M117" s="3060">
        <f>SUM('Произв. прогр. Вода'!M209)</f>
        <v>1180</v>
      </c>
      <c r="N117" s="3073">
        <f>SUM('Произв. прогр. Вода'!N209)</f>
        <v>188.8</v>
      </c>
      <c r="O117" s="3073">
        <f>SUM('Произв. прогр. Вода'!O209)</f>
        <v>188.8</v>
      </c>
      <c r="P117" s="3073">
        <f>SUM('Произв. прогр. Вода'!P209)</f>
        <v>199.42</v>
      </c>
      <c r="Q117" s="3060">
        <f>SUM('Произв. прогр. Вода'!Q209)</f>
        <v>577.02</v>
      </c>
      <c r="R117" s="3060">
        <f>SUM('Произв. прогр. Вода'!R209)</f>
        <v>1757.02</v>
      </c>
      <c r="S117" s="3073">
        <f>SUM('Произв. прогр. Вода'!S209)</f>
        <v>200.60000000000002</v>
      </c>
      <c r="T117" s="3073">
        <f>SUM('Произв. прогр. Вода'!T209)</f>
        <v>200.60000000000002</v>
      </c>
      <c r="U117" s="3073">
        <f>SUM('Произв. прогр. Вода'!U209)</f>
        <v>201.78000000000003</v>
      </c>
      <c r="V117" s="3060">
        <f>SUM('Произв. прогр. Вода'!V209)</f>
        <v>602.98</v>
      </c>
      <c r="W117" s="3085">
        <f t="shared" si="104"/>
        <v>2360</v>
      </c>
    </row>
    <row r="118" spans="1:23" ht="18.75">
      <c r="A118" s="3059" t="s">
        <v>390</v>
      </c>
      <c r="B118" s="3063">
        <f>SUM('Произв. прогр. Вода'!B210)</f>
        <v>1180</v>
      </c>
      <c r="C118" s="3063">
        <f>SUM('Произв. прогр. Вода'!C210)</f>
        <v>1180</v>
      </c>
      <c r="D118" s="3063">
        <f>SUM('Произв. прогр. Вода'!D210)</f>
        <v>0</v>
      </c>
      <c r="E118" s="3092">
        <f>SUM('Произв. прогр. Вода'!E210)</f>
        <v>100.89000000000001</v>
      </c>
      <c r="F118" s="3092">
        <f>SUM('Произв. прогр. Вода'!F210)</f>
        <v>100.30000000000001</v>
      </c>
      <c r="G118" s="3092">
        <f>SUM('Произв. прогр. Вода'!G210)</f>
        <v>100.30000000000001</v>
      </c>
      <c r="H118" s="3063">
        <f>SUM('Произв. прогр. Вода'!H210)</f>
        <v>301.49</v>
      </c>
      <c r="I118" s="3092">
        <f>SUM('Произв. прогр. Вода'!I210)</f>
        <v>99.71</v>
      </c>
      <c r="J118" s="3092">
        <f>SUM('Произв. прогр. Вода'!J210)</f>
        <v>94.4</v>
      </c>
      <c r="K118" s="3092">
        <f>SUM('Произв. прогр. Вода'!K210)</f>
        <v>94.4</v>
      </c>
      <c r="L118" s="3063">
        <f>SUM('Произв. прогр. Вода'!L210)</f>
        <v>288.51</v>
      </c>
      <c r="M118" s="3063">
        <f>SUM('Произв. прогр. Вода'!M210)</f>
        <v>590</v>
      </c>
      <c r="N118" s="3092">
        <f>SUM('Произв. прогр. Вода'!N210)</f>
        <v>94.4</v>
      </c>
      <c r="O118" s="3092">
        <f>SUM('Произв. прогр. Вода'!O210)</f>
        <v>94.4</v>
      </c>
      <c r="P118" s="3092">
        <f>SUM('Произв. прогр. Вода'!P210)</f>
        <v>99.71</v>
      </c>
      <c r="Q118" s="3063">
        <f>SUM('Произв. прогр. Вода'!Q210)</f>
        <v>288.51</v>
      </c>
      <c r="R118" s="3063">
        <f>SUM('Произв. прогр. Вода'!R210)</f>
        <v>878.51</v>
      </c>
      <c r="S118" s="3092">
        <f>SUM('Произв. прогр. Вода'!S210)</f>
        <v>100.30000000000001</v>
      </c>
      <c r="T118" s="3092">
        <f>SUM('Произв. прогр. Вода'!T210)</f>
        <v>100.30000000000001</v>
      </c>
      <c r="U118" s="3092">
        <f>SUM('Произв. прогр. Вода'!U210)</f>
        <v>100.89000000000001</v>
      </c>
      <c r="V118" s="3063">
        <f>SUM('Произв. прогр. Вода'!V210)</f>
        <v>301.49</v>
      </c>
      <c r="W118" s="3087">
        <f t="shared" si="104"/>
        <v>1180</v>
      </c>
    </row>
    <row r="119" spans="1:23" ht="18.75">
      <c r="A119" s="3059" t="s">
        <v>1734</v>
      </c>
      <c r="B119" s="3063">
        <f>SUM('Произв. прогр. Вода'!B211)</f>
        <v>1180</v>
      </c>
      <c r="C119" s="3063">
        <f>SUM('Произв. прогр. Вода'!C211)</f>
        <v>1180</v>
      </c>
      <c r="D119" s="3063">
        <f>SUM('Произв. прогр. Вода'!D211)</f>
        <v>0</v>
      </c>
      <c r="E119" s="3092">
        <f>SUM('Произв. прогр. Вода'!E211)</f>
        <v>100.89000000000001</v>
      </c>
      <c r="F119" s="3092">
        <f>SUM('Произв. прогр. Вода'!F211)</f>
        <v>100.30000000000001</v>
      </c>
      <c r="G119" s="3092">
        <f>SUM('Произв. прогр. Вода'!G211)</f>
        <v>100.30000000000001</v>
      </c>
      <c r="H119" s="3063">
        <f>SUM('Произв. прогр. Вода'!H211)</f>
        <v>301.49</v>
      </c>
      <c r="I119" s="3092">
        <f>SUM('Произв. прогр. Вода'!I211)</f>
        <v>99.71</v>
      </c>
      <c r="J119" s="3092">
        <f>SUM('Произв. прогр. Вода'!J211)</f>
        <v>94.4</v>
      </c>
      <c r="K119" s="3092">
        <f>SUM('Произв. прогр. Вода'!K211)</f>
        <v>94.4</v>
      </c>
      <c r="L119" s="3063">
        <f>SUM('Произв. прогр. Вода'!L211)</f>
        <v>288.51</v>
      </c>
      <c r="M119" s="3063">
        <f>SUM('Произв. прогр. Вода'!M211)</f>
        <v>590</v>
      </c>
      <c r="N119" s="3092">
        <f>SUM('Произв. прогр. Вода'!N211)</f>
        <v>94.4</v>
      </c>
      <c r="O119" s="3092">
        <f>SUM('Произв. прогр. Вода'!O211)</f>
        <v>94.4</v>
      </c>
      <c r="P119" s="3092">
        <f>SUM('Произв. прогр. Вода'!P211)</f>
        <v>99.71</v>
      </c>
      <c r="Q119" s="3063">
        <f>SUM('Произв. прогр. Вода'!Q211)</f>
        <v>288.51</v>
      </c>
      <c r="R119" s="3063">
        <f>SUM('Произв. прогр. Вода'!R211)</f>
        <v>878.51</v>
      </c>
      <c r="S119" s="3092">
        <f>SUM('Произв. прогр. Вода'!S211)</f>
        <v>100.30000000000001</v>
      </c>
      <c r="T119" s="3092">
        <f>SUM('Произв. прогр. Вода'!T211)</f>
        <v>100.30000000000001</v>
      </c>
      <c r="U119" s="3092">
        <f>SUM('Произв. прогр. Вода'!U211)</f>
        <v>100.89000000000001</v>
      </c>
      <c r="V119" s="3063">
        <f>SUM('Произв. прогр. Вода'!V211)</f>
        <v>301.49</v>
      </c>
      <c r="W119" s="3087">
        <f t="shared" si="104"/>
        <v>1180</v>
      </c>
    </row>
    <row r="120" spans="1:23" ht="18.75">
      <c r="A120" s="3095" t="s">
        <v>1737</v>
      </c>
      <c r="B120" s="3060">
        <f>SUM('Произв. прогр. Вода'!B212)</f>
        <v>36.398113410498873</v>
      </c>
      <c r="C120" s="3060">
        <f>SUM('Произв. прогр. Вода'!C212)</f>
        <v>36.443067773590762</v>
      </c>
      <c r="D120" s="3060">
        <f>SUM('Произв. прогр. Вода'!D212)</f>
        <v>28.842758269006644</v>
      </c>
      <c r="E120" s="3073">
        <f>SUM('Произв. прогр. Вода'!E212)</f>
        <v>35.378026602874897</v>
      </c>
      <c r="F120" s="3073">
        <f>SUM('Произв. прогр. Вода'!F212)</f>
        <v>35.187359642508</v>
      </c>
      <c r="G120" s="3073">
        <f>SUM('Произв. прогр. Вода'!G212)</f>
        <v>37.883325399691891</v>
      </c>
      <c r="H120" s="3060">
        <f>SUM('Произв. прогр. Вода'!H212)</f>
        <v>36.148060677623462</v>
      </c>
      <c r="I120" s="3073">
        <f>SUM('Произв. прогр. Вода'!I212)</f>
        <v>34.63222141676728</v>
      </c>
      <c r="J120" s="3073">
        <f>SUM('Произв. прогр. Вода'!J212)</f>
        <v>35.214500036523816</v>
      </c>
      <c r="K120" s="3073">
        <f>SUM('Произв. прогр. Вода'!K212)</f>
        <v>37.896677566632725</v>
      </c>
      <c r="L120" s="3060">
        <f>SUM('Произв. прогр. Вода'!L212)</f>
        <v>35.89086674016098</v>
      </c>
      <c r="M120" s="3060">
        <f>SUM('Произв. прогр. Вода'!M212)</f>
        <v>36.022292842204308</v>
      </c>
      <c r="N120" s="3073">
        <f>SUM('Произв. прогр. Вода'!N212)</f>
        <v>35.991282106382393</v>
      </c>
      <c r="O120" s="3073">
        <f>SUM('Произв. прогр. Вода'!O212)</f>
        <v>35.983906427454258</v>
      </c>
      <c r="P120" s="3073">
        <f>SUM('Произв. прогр. Вода'!P212)</f>
        <v>37.739024671394212</v>
      </c>
      <c r="Q120" s="3060">
        <f>SUM('Произв. прогр. Вода'!Q212)</f>
        <v>36.592894345356818</v>
      </c>
      <c r="R120" s="3060">
        <f>SUM('Произв. прогр. Вода'!R212)</f>
        <v>36.209683127658693</v>
      </c>
      <c r="S120" s="3073">
        <f>SUM('Произв. прогр. Вода'!S212)</f>
        <v>35.607342702390696</v>
      </c>
      <c r="T120" s="3073">
        <f>SUM('Произв. прогр. Вода'!T212)</f>
        <v>36.025582316847469</v>
      </c>
      <c r="U120" s="3073">
        <f>SUM('Произв. прогр. Вода'!U212)</f>
        <v>39.19538825119006</v>
      </c>
      <c r="V120" s="3060">
        <f>SUM('Произв. прогр. Вода'!V212)</f>
        <v>36.947179342904086</v>
      </c>
      <c r="W120" s="3110">
        <f t="shared" ref="W120" si="105">SUM(W84)</f>
        <v>36.398113410653899</v>
      </c>
    </row>
    <row r="121" spans="1:23" ht="18.75">
      <c r="A121" s="3059" t="s">
        <v>390</v>
      </c>
      <c r="B121" s="3063">
        <f>SUM('Произв. прогр. Вода'!B213)</f>
        <v>35.9274279064716</v>
      </c>
      <c r="C121" s="3063">
        <f>SUM('Произв. прогр. Вода'!C213)</f>
        <v>36.034488099849305</v>
      </c>
      <c r="D121" s="3063">
        <f>SUM('Произв. прогр. Вода'!D213)</f>
        <v>17.934118095092199</v>
      </c>
      <c r="E121" s="3092">
        <f>SUM('Произв. прогр. Вода'!E213)</f>
        <v>35.9274279064716</v>
      </c>
      <c r="F121" s="3092">
        <f>SUM('Произв. прогр. Вода'!F213)</f>
        <v>35.9274279064716</v>
      </c>
      <c r="G121" s="3092">
        <f>SUM('Произв. прогр. Вода'!G213)</f>
        <v>35.9274279064716</v>
      </c>
      <c r="H121" s="3063">
        <f>SUM('Произв. прогр. Вода'!H213)</f>
        <v>35.9274279064716</v>
      </c>
      <c r="I121" s="3092">
        <f>SUM('Произв. прогр. Вода'!I213)</f>
        <v>35.9274279064716</v>
      </c>
      <c r="J121" s="3092">
        <f>SUM('Произв. прогр. Вода'!J213)</f>
        <v>35.9274279064716</v>
      </c>
      <c r="K121" s="3092">
        <f>SUM('Произв. прогр. Вода'!K213)</f>
        <v>35.9274279064716</v>
      </c>
      <c r="L121" s="3063">
        <f>SUM('Произв. прогр. Вода'!L213)</f>
        <v>35.9274279064716</v>
      </c>
      <c r="M121" s="3063">
        <f>SUM('Произв. прогр. Вода'!M213)</f>
        <v>35.9274279064716</v>
      </c>
      <c r="N121" s="3092">
        <f>SUM('Произв. прогр. Вода'!N213)</f>
        <v>35.9274279064716</v>
      </c>
      <c r="O121" s="3092">
        <f>SUM('Произв. прогр. Вода'!O213)</f>
        <v>35.9274279064716</v>
      </c>
      <c r="P121" s="3092">
        <f>SUM('Произв. прогр. Вода'!P213)</f>
        <v>35.9274279064716</v>
      </c>
      <c r="Q121" s="3063">
        <f>SUM('Произв. прогр. Вода'!Q213)</f>
        <v>35.9274279064716</v>
      </c>
      <c r="R121" s="3063">
        <f>SUM('Произв. прогр. Вода'!R213)</f>
        <v>35.9274279064716</v>
      </c>
      <c r="S121" s="3092">
        <f>SUM('Произв. прогр. Вода'!S213)</f>
        <v>35.9274279064716</v>
      </c>
      <c r="T121" s="3092">
        <f>SUM('Произв. прогр. Вода'!T213)</f>
        <v>35.9274279064716</v>
      </c>
      <c r="U121" s="3092">
        <f>SUM('Произв. прогр. Вода'!U213)</f>
        <v>35.9274279064716</v>
      </c>
      <c r="V121" s="3063">
        <f>SUM('Произв. прогр. Вода'!V213)</f>
        <v>35.9274279064716</v>
      </c>
      <c r="W121" s="3108">
        <f>SUM(E121)</f>
        <v>35.9274279064716</v>
      </c>
    </row>
    <row r="122" spans="1:23" ht="18.75">
      <c r="A122" s="3059" t="s">
        <v>1734</v>
      </c>
      <c r="B122" s="3063">
        <f>SUM('Произв. прогр. Вода'!B214)</f>
        <v>36.868798914526153</v>
      </c>
      <c r="C122" s="3063">
        <f>SUM('Произв. прогр. Вода'!C214)</f>
        <v>36.851647447332219</v>
      </c>
      <c r="D122" s="3063">
        <f>SUM('Произв. прогр. Вода'!D214)</f>
        <v>39.751398442921094</v>
      </c>
      <c r="E122" s="3092">
        <f>SUM('Произв. прогр. Вода'!E214)</f>
        <v>34.828625299278201</v>
      </c>
      <c r="F122" s="3092">
        <f>SUM('Произв. прогр. Вода'!F214)</f>
        <v>34.447291378544392</v>
      </c>
      <c r="G122" s="3092">
        <f>SUM('Произв. прогр. Вода'!G214)</f>
        <v>39.839222892912183</v>
      </c>
      <c r="H122" s="3063">
        <f>SUM('Произв. прогр. Вода'!H214)</f>
        <v>36.368693448775318</v>
      </c>
      <c r="I122" s="3092">
        <f>SUM('Произв. прогр. Вода'!I214)</f>
        <v>33.33701492706296</v>
      </c>
      <c r="J122" s="3092">
        <f>SUM('Произв. прогр. Вода'!J214)</f>
        <v>34.50157216657604</v>
      </c>
      <c r="K122" s="3092">
        <f>SUM('Произв. прогр. Вода'!K214)</f>
        <v>39.86592722679385</v>
      </c>
      <c r="L122" s="3063">
        <f>SUM('Произв. прогр. Вода'!L214)</f>
        <v>35.854305573850354</v>
      </c>
      <c r="M122" s="3063">
        <f>SUM('Произв. прогр. Вода'!M214)</f>
        <v>36.11715777793701</v>
      </c>
      <c r="N122" s="3092">
        <f>SUM('Произв. прогр. Вода'!N214)</f>
        <v>36.055136306293186</v>
      </c>
      <c r="O122" s="3092">
        <f>SUM('Произв. прогр. Вода'!O214)</f>
        <v>36.040384948436916</v>
      </c>
      <c r="P122" s="3092">
        <f>SUM('Произв. прогр. Вода'!P214)</f>
        <v>39.550621436316831</v>
      </c>
      <c r="Q122" s="3063">
        <f>SUM('Произв. прогр. Вода'!Q214)</f>
        <v>37.258360784242051</v>
      </c>
      <c r="R122" s="3063">
        <f>SUM('Произв. прогр. Вода'!R214)</f>
        <v>36.491938348845778</v>
      </c>
      <c r="S122" s="3092">
        <f>SUM('Произв. прогр. Вода'!S214)</f>
        <v>35.287257498309792</v>
      </c>
      <c r="T122" s="3092">
        <f>SUM('Произв. прогр. Вода'!T214)</f>
        <v>36.123736727223331</v>
      </c>
      <c r="U122" s="3092">
        <f>SUM('Произв. прогр. Вода'!U214)</f>
        <v>42.463348595908521</v>
      </c>
      <c r="V122" s="3063">
        <f>SUM('Произв. прогр. Вода'!V214)</f>
        <v>37.966930779336565</v>
      </c>
      <c r="W122" s="642">
        <f t="shared" ref="W122" si="106">SUM(W113/W116)</f>
        <v>36.868798914836177</v>
      </c>
    </row>
    <row r="123" spans="1:23" ht="18.75">
      <c r="A123" s="3099" t="s">
        <v>1738</v>
      </c>
      <c r="B123" s="3068">
        <f>SUM('Произв. прогр. Вода'!B215)</f>
        <v>1.0262020150873361</v>
      </c>
      <c r="C123" s="3068">
        <f>SUM('Произв. прогр. Вода'!C215)</f>
        <v>1.0226771459946542</v>
      </c>
      <c r="D123" s="3068">
        <f>SUM('Произв. прогр. Вода'!D215)</f>
        <v>2.2165237360514176</v>
      </c>
      <c r="E123" s="3097">
        <f>SUM('Произв. прогр. Вода'!E215)</f>
        <v>0.9694160514341893</v>
      </c>
      <c r="F123" s="3097">
        <f>SUM('Произв. прогр. Вода'!F215)</f>
        <v>0.95880204584140039</v>
      </c>
      <c r="G123" s="3097">
        <f>SUM('Произв. прогр. Вода'!G215)</f>
        <v>1.108880463044112</v>
      </c>
      <c r="H123" s="3068">
        <f>SUM('Произв. прогр. Вода'!H215)</f>
        <v>1.0122821356277563</v>
      </c>
      <c r="I123" s="3097">
        <f>SUM('Произв. прогр. Вода'!I215)</f>
        <v>0.92789873558017688</v>
      </c>
      <c r="J123" s="3097">
        <f>SUM('Произв. прогр. Вода'!J215)</f>
        <v>0.96031289120926133</v>
      </c>
      <c r="K123" s="3097">
        <f>SUM('Произв. прогр. Вода'!K215)</f>
        <v>1.1096237484791616</v>
      </c>
      <c r="L123" s="3068">
        <f>SUM('Произв. прогр. Вода'!L215)</f>
        <v>0.99796472119263302</v>
      </c>
      <c r="M123" s="3068">
        <f>SUM('Произв. прогр. Вода'!M215)</f>
        <v>1.0052809199689809</v>
      </c>
      <c r="N123" s="3097">
        <f>SUM('Произв. прогр. Вода'!N215)</f>
        <v>1.00355462128138</v>
      </c>
      <c r="O123" s="3097">
        <f>SUM('Произв. прогр. Вода'!O215)</f>
        <v>1.0031440336407986</v>
      </c>
      <c r="P123" s="3097">
        <f>SUM('Произв. прогр. Вода'!P215)</f>
        <v>1.100847562460562</v>
      </c>
      <c r="Q123" s="3068">
        <f>SUM('Произв. прогр. Вода'!Q215)</f>
        <v>1.0370450364895369</v>
      </c>
      <c r="R123" s="3068">
        <f>SUM('Произв. прогр. Вода'!R215)</f>
        <v>1.0157125203575315</v>
      </c>
      <c r="S123" s="3097">
        <f>SUM('Произв. прогр. Вода'!S215)</f>
        <v>0.98218156863807959</v>
      </c>
      <c r="T123" s="3097">
        <f>SUM('Произв. прогр. Вода'!T215)</f>
        <v>1.0054640377057544</v>
      </c>
      <c r="U123" s="3097">
        <f>SUM('Произв. прогр. Вода'!U215)</f>
        <v>1.1819200836322492</v>
      </c>
      <c r="V123" s="3068">
        <f>SUM('Произв. прогр. Вода'!V215)</f>
        <v>1.0567672942848656</v>
      </c>
      <c r="W123" s="3089">
        <f t="shared" ref="W123" si="107">SUM(W122/W121)</f>
        <v>1.0262020150959654</v>
      </c>
    </row>
    <row r="124" spans="1:23" ht="18.75">
      <c r="A124" s="3095" t="s">
        <v>1739</v>
      </c>
      <c r="B124" s="3060">
        <f>SUM('Произв. прогр. Вода'!B216)</f>
        <v>29.632050000000003</v>
      </c>
      <c r="C124" s="3060">
        <f>SUM('Произв. прогр. Вода'!C216)</f>
        <v>29.632050000000003</v>
      </c>
      <c r="D124" s="3060">
        <f>SUM('Произв. прогр. Вода'!D216)</f>
        <v>0</v>
      </c>
      <c r="E124" s="3073">
        <f>SUM('Произв. прогр. Вода'!E216)</f>
        <v>29.63205</v>
      </c>
      <c r="F124" s="3073">
        <f>SUM('Произв. прогр. Вода'!F216)</f>
        <v>29.63205</v>
      </c>
      <c r="G124" s="3073">
        <f>SUM('Произв. прогр. Вода'!G216)</f>
        <v>29.63205</v>
      </c>
      <c r="H124" s="3060">
        <f>SUM('Произв. прогр. Вода'!H216)</f>
        <v>29.63205</v>
      </c>
      <c r="I124" s="3073">
        <f>SUM('Произв. прогр. Вода'!I216)</f>
        <v>29.632049999999996</v>
      </c>
      <c r="J124" s="3073">
        <f>SUM('Произв. прогр. Вода'!J216)</f>
        <v>29.632049999999996</v>
      </c>
      <c r="K124" s="3073">
        <f>SUM('Произв. прогр. Вода'!K216)</f>
        <v>29.632049999999996</v>
      </c>
      <c r="L124" s="3060">
        <f>SUM('Произв. прогр. Вода'!L216)</f>
        <v>29.63205</v>
      </c>
      <c r="M124" s="3060">
        <f>SUM('Произв. прогр. Вода'!M216)</f>
        <v>29.632050000000003</v>
      </c>
      <c r="N124" s="3073">
        <f>SUM('Произв. прогр. Вода'!N216)</f>
        <v>29.632049999999996</v>
      </c>
      <c r="O124" s="3073">
        <f>SUM('Произв. прогр. Вода'!O216)</f>
        <v>29.632049999999996</v>
      </c>
      <c r="P124" s="3073">
        <f>SUM('Произв. прогр. Вода'!P216)</f>
        <v>29.632049999999996</v>
      </c>
      <c r="Q124" s="3060">
        <f>SUM('Произв. прогр. Вода'!Q216)</f>
        <v>29.63205</v>
      </c>
      <c r="R124" s="3060">
        <f>SUM('Произв. прогр. Вода'!R216)</f>
        <v>29.63205</v>
      </c>
      <c r="S124" s="3073">
        <f>SUM('Произв. прогр. Вода'!S216)</f>
        <v>29.63205</v>
      </c>
      <c r="T124" s="3073">
        <f>SUM('Произв. прогр. Вода'!T216)</f>
        <v>29.63205</v>
      </c>
      <c r="U124" s="3073">
        <f>SUM('Произв. прогр. Вода'!U216)</f>
        <v>29.63205</v>
      </c>
      <c r="V124" s="3060">
        <f>SUM('Произв. прогр. Вода'!V216)</f>
        <v>29.63205</v>
      </c>
      <c r="W124" s="3105">
        <f t="shared" ref="W124" si="108">SUM((W125*W118)+(W126*W119))/W117</f>
        <v>29.632050000000003</v>
      </c>
    </row>
    <row r="125" spans="1:23" ht="18.75">
      <c r="A125" s="3059" t="s">
        <v>390</v>
      </c>
      <c r="B125" s="3063">
        <f>SUM('Произв. прогр. Вода'!B217)</f>
        <v>28.964099999999998</v>
      </c>
      <c r="C125" s="3063">
        <f>SUM('Произв. прогр. Вода'!C217)</f>
        <v>28.964099999999998</v>
      </c>
      <c r="D125" s="3063">
        <f>SUM('Произв. прогр. Вода'!D217)</f>
        <v>0</v>
      </c>
      <c r="E125" s="3092">
        <f>SUM('Произв. прогр. Вода'!E217)</f>
        <v>28.964099999999998</v>
      </c>
      <c r="F125" s="3092">
        <f>SUM('Произв. прогр. Вода'!F217)</f>
        <v>28.964099999999998</v>
      </c>
      <c r="G125" s="3092">
        <f>SUM('Произв. прогр. Вода'!G217)</f>
        <v>28.964099999999998</v>
      </c>
      <c r="H125" s="3063">
        <f>SUM('Произв. прогр. Вода'!H217)</f>
        <v>28.964099999999998</v>
      </c>
      <c r="I125" s="3092">
        <f>SUM('Произв. прогр. Вода'!I217)</f>
        <v>28.964099999999998</v>
      </c>
      <c r="J125" s="3092">
        <f>SUM('Произв. прогр. Вода'!J217)</f>
        <v>28.964099999999998</v>
      </c>
      <c r="K125" s="3092">
        <f>SUM('Произв. прогр. Вода'!K217)</f>
        <v>28.964099999999998</v>
      </c>
      <c r="L125" s="3063">
        <f>SUM('Произв. прогр. Вода'!L217)</f>
        <v>28.964099999999998</v>
      </c>
      <c r="M125" s="3063">
        <f>SUM('Произв. прогр. Вода'!M217)</f>
        <v>28.964099999999998</v>
      </c>
      <c r="N125" s="3092">
        <f>SUM('Произв. прогр. Вода'!N217)</f>
        <v>28.964099999999998</v>
      </c>
      <c r="O125" s="3092">
        <f>SUM('Произв. прогр. Вода'!O217)</f>
        <v>28.964099999999998</v>
      </c>
      <c r="P125" s="3092">
        <f>SUM('Произв. прогр. Вода'!P217)</f>
        <v>28.964099999999998</v>
      </c>
      <c r="Q125" s="3063">
        <f>SUM('Произв. прогр. Вода'!Q217)</f>
        <v>28.964099999999998</v>
      </c>
      <c r="R125" s="3063">
        <f>SUM('Произв. прогр. Вода'!R217)</f>
        <v>28.964099999999998</v>
      </c>
      <c r="S125" s="3092">
        <f>SUM('Произв. прогр. Вода'!S217)</f>
        <v>28.964099999999998</v>
      </c>
      <c r="T125" s="3092">
        <f>SUM('Произв. прогр. Вода'!T217)</f>
        <v>28.964099999999998</v>
      </c>
      <c r="U125" s="3092">
        <f>SUM('Произв. прогр. Вода'!U217)</f>
        <v>28.964099999999998</v>
      </c>
      <c r="V125" s="3063">
        <f>SUM('Произв. прогр. Вода'!V217)</f>
        <v>28.964099999999998</v>
      </c>
      <c r="W125" s="3108">
        <f>SUM(E125)</f>
        <v>28.964099999999998</v>
      </c>
    </row>
    <row r="126" spans="1:23" ht="18.75">
      <c r="A126" s="3059" t="s">
        <v>1734</v>
      </c>
      <c r="B126" s="3063">
        <f>SUM('Произв. прогр. Вода'!B218)</f>
        <v>30.3</v>
      </c>
      <c r="C126" s="3063">
        <f>SUM('Произв. прогр. Вода'!C218)</f>
        <v>30.3</v>
      </c>
      <c r="D126" s="3063">
        <f>SUM('Произв. прогр. Вода'!D218)</f>
        <v>0</v>
      </c>
      <c r="E126" s="3092">
        <f>SUM('Произв. прогр. Вода'!E218)</f>
        <v>30.3</v>
      </c>
      <c r="F126" s="3092">
        <f>SUM('Произв. прогр. Вода'!F218)</f>
        <v>30.3</v>
      </c>
      <c r="G126" s="3092">
        <f>SUM('Произв. прогр. Вода'!G218)</f>
        <v>30.3</v>
      </c>
      <c r="H126" s="3063">
        <f>SUM('Произв. прогр. Вода'!H218)</f>
        <v>30.3</v>
      </c>
      <c r="I126" s="3092">
        <f>SUM('Произв. прогр. Вода'!I218)</f>
        <v>30.3</v>
      </c>
      <c r="J126" s="3092">
        <f>SUM('Произв. прогр. Вода'!J218)</f>
        <v>30.3</v>
      </c>
      <c r="K126" s="3092">
        <f>SUM('Произв. прогр. Вода'!K218)</f>
        <v>30.3</v>
      </c>
      <c r="L126" s="3063">
        <f>SUM('Произв. прогр. Вода'!L218)</f>
        <v>30.3</v>
      </c>
      <c r="M126" s="3063">
        <f>SUM('Произв. прогр. Вода'!M218)</f>
        <v>30.3</v>
      </c>
      <c r="N126" s="3092">
        <f>SUM('Произв. прогр. Вода'!N218)</f>
        <v>30.3</v>
      </c>
      <c r="O126" s="3092">
        <f>SUM('Произв. прогр. Вода'!O218)</f>
        <v>30.3</v>
      </c>
      <c r="P126" s="3092">
        <f>SUM('Произв. прогр. Вода'!P218)</f>
        <v>30.3</v>
      </c>
      <c r="Q126" s="3063">
        <f>SUM('Произв. прогр. Вода'!Q218)</f>
        <v>30.3</v>
      </c>
      <c r="R126" s="3063">
        <f>SUM('Произв. прогр. Вода'!R218)</f>
        <v>30.3</v>
      </c>
      <c r="S126" s="3092">
        <f>SUM('Произв. прогр. Вода'!S218)</f>
        <v>30.3</v>
      </c>
      <c r="T126" s="3092">
        <f>SUM('Произв. прогр. Вода'!T218)</f>
        <v>30.3</v>
      </c>
      <c r="U126" s="3092">
        <f>SUM('Произв. прогр. Вода'!U218)</f>
        <v>30.3</v>
      </c>
      <c r="V126" s="3063">
        <f>SUM('Произв. прогр. Вода'!V218)</f>
        <v>30.3</v>
      </c>
      <c r="W126" s="3108">
        <f>SUM(E126)</f>
        <v>30.3</v>
      </c>
    </row>
    <row r="127" spans="1:23" ht="18.75">
      <c r="A127" s="3099" t="s">
        <v>1740</v>
      </c>
      <c r="B127" s="3068">
        <f>SUM('Произв. прогр. Вода'!B219)</f>
        <v>1.0461226138564639</v>
      </c>
      <c r="C127" s="3068">
        <f>SUM('Произв. прогр. Вода'!C219)</f>
        <v>1.0461226138564639</v>
      </c>
      <c r="D127" s="3068">
        <f>SUM('Произв. прогр. Вода'!D219)</f>
        <v>0</v>
      </c>
      <c r="E127" s="3097">
        <f>SUM('Произв. прогр. Вода'!E219)</f>
        <v>1.0461226138564639</v>
      </c>
      <c r="F127" s="3097">
        <f>SUM('Произв. прогр. Вода'!F219)</f>
        <v>1.0461226138564639</v>
      </c>
      <c r="G127" s="3097">
        <f>SUM('Произв. прогр. Вода'!G219)</f>
        <v>1.0461226138564639</v>
      </c>
      <c r="H127" s="3068">
        <f>SUM('Произв. прогр. Вода'!H219)</f>
        <v>1.0461226138564639</v>
      </c>
      <c r="I127" s="3097">
        <f>SUM('Произв. прогр. Вода'!I219)</f>
        <v>1.0461226138564639</v>
      </c>
      <c r="J127" s="3097">
        <f>SUM('Произв. прогр. Вода'!J219)</f>
        <v>1.0461226138564639</v>
      </c>
      <c r="K127" s="3097">
        <f>SUM('Произв. прогр. Вода'!K219)</f>
        <v>1.0461226138564639</v>
      </c>
      <c r="L127" s="3068">
        <f>SUM('Произв. прогр. Вода'!L219)</f>
        <v>1.0461226138564639</v>
      </c>
      <c r="M127" s="3068">
        <f>SUM('Произв. прогр. Вода'!M219)</f>
        <v>1.0461226138564639</v>
      </c>
      <c r="N127" s="3097">
        <f>SUM('Произв. прогр. Вода'!N219)</f>
        <v>1.0461226138564639</v>
      </c>
      <c r="O127" s="3097">
        <f>SUM('Произв. прогр. Вода'!O219)</f>
        <v>1.0461226138564639</v>
      </c>
      <c r="P127" s="3097">
        <f>SUM('Произв. прогр. Вода'!P219)</f>
        <v>1.0461226138564639</v>
      </c>
      <c r="Q127" s="3068">
        <f>SUM('Произв. прогр. Вода'!Q219)</f>
        <v>1.0461226138564639</v>
      </c>
      <c r="R127" s="3068">
        <f>SUM('Произв. прогр. Вода'!R219)</f>
        <v>1.0461226138564639</v>
      </c>
      <c r="S127" s="3097">
        <f>SUM('Произв. прогр. Вода'!S219)</f>
        <v>1.0461226138564639</v>
      </c>
      <c r="T127" s="3097">
        <f>SUM('Произв. прогр. Вода'!T219)</f>
        <v>1.0461226138564639</v>
      </c>
      <c r="U127" s="3097">
        <f>SUM('Произв. прогр. Вода'!U219)</f>
        <v>1.0461226138564639</v>
      </c>
      <c r="V127" s="3068">
        <f>SUM('Произв. прогр. Вода'!V219)</f>
        <v>1.0461226138564639</v>
      </c>
      <c r="W127" s="3089">
        <f t="shared" ref="W127" si="109">SUM(W126/W125)</f>
        <v>1.0461226138564639</v>
      </c>
    </row>
    <row r="128" spans="1:23" ht="18.75">
      <c r="A128" s="3095" t="s">
        <v>1741</v>
      </c>
      <c r="B128" s="3060">
        <f>SUM('Произв. прогр. Вода'!B220)</f>
        <v>16074.001945674201</v>
      </c>
      <c r="C128" s="3060">
        <f>SUM('Произв. прогр. Вода'!C220)</f>
        <v>16074.001945674201</v>
      </c>
      <c r="D128" s="3060">
        <f>SUM('Произв. прогр. Вода'!D220)</f>
        <v>0</v>
      </c>
      <c r="E128" s="3073">
        <f>SUM('Произв. прогр. Вода'!E220)</f>
        <v>1374.3271663551443</v>
      </c>
      <c r="F128" s="3073">
        <f>SUM('Произв. прогр. Вода'!F220)</f>
        <v>1366.2901653823074</v>
      </c>
      <c r="G128" s="3073">
        <f>SUM('Произв. прогр. Вода'!G220)</f>
        <v>1366.2901653823074</v>
      </c>
      <c r="H128" s="3060">
        <f>SUM('Произв. прогр. Вода'!H220)</f>
        <v>4106.9074971197588</v>
      </c>
      <c r="I128" s="3073">
        <f>SUM('Произв. прогр. Вода'!I220)</f>
        <v>1358.2531644094697</v>
      </c>
      <c r="J128" s="3073">
        <f>SUM('Произв. прогр. Вода'!J220)</f>
        <v>1285.920155653936</v>
      </c>
      <c r="K128" s="3073">
        <f>SUM('Произв. прогр. Вода'!K220)</f>
        <v>1285.920155653936</v>
      </c>
      <c r="L128" s="3060">
        <f>SUM('Произв. прогр. Вода'!L220)</f>
        <v>3930.0934757173418</v>
      </c>
      <c r="M128" s="3060">
        <f>SUM('Произв. прогр. Вода'!M220)</f>
        <v>8037.0009728371006</v>
      </c>
      <c r="N128" s="3073">
        <f>SUM('Произв. прогр. Вода'!N220)</f>
        <v>1285.920155653936</v>
      </c>
      <c r="O128" s="3073">
        <f>SUM('Произв. прогр. Вода'!O220)</f>
        <v>1285.920155653936</v>
      </c>
      <c r="P128" s="3073">
        <f>SUM('Произв. прогр. Вода'!P220)</f>
        <v>1358.2531644094697</v>
      </c>
      <c r="Q128" s="3060">
        <f>SUM('Произв. прогр. Вода'!Q220)</f>
        <v>3930.0934757173418</v>
      </c>
      <c r="R128" s="3060">
        <f>SUM('Произв. прогр. Вода'!R220)</f>
        <v>11967.094448554442</v>
      </c>
      <c r="S128" s="3073">
        <f>SUM('Произв. прогр. Вода'!S220)</f>
        <v>1366.2901653823074</v>
      </c>
      <c r="T128" s="3073">
        <f>SUM('Произв. прогр. Вода'!T220)</f>
        <v>1366.2901653823074</v>
      </c>
      <c r="U128" s="3073">
        <f>SUM('Произв. прогр. Вода'!U220)</f>
        <v>1374.3271663551443</v>
      </c>
      <c r="V128" s="3060">
        <f>SUM('Произв. прогр. Вода'!V220)</f>
        <v>4106.9074971197588</v>
      </c>
      <c r="W128" s="3085">
        <f t="shared" ref="W128:W130" si="110">SUM(E128+F128+G128+I128+J128+K128+N128+O128+P128+S128+T128+U128)</f>
        <v>16074.001945674199</v>
      </c>
    </row>
    <row r="129" spans="1:23" ht="18.75">
      <c r="A129" s="3059" t="s">
        <v>390</v>
      </c>
      <c r="B129" s="3063">
        <f>SUM('Произв. прогр. Вода'!B221)</f>
        <v>8343.0579578221823</v>
      </c>
      <c r="C129" s="3063">
        <f>SUM('Произв. прогр. Вода'!C221)</f>
        <v>8343.0579578221823</v>
      </c>
      <c r="D129" s="3063">
        <f>SUM('Произв. прогр. Вода'!D221)</f>
        <v>0</v>
      </c>
      <c r="E129" s="3092">
        <f>SUM('Произв. прогр. Вода'!E221)</f>
        <v>713.33145539379666</v>
      </c>
      <c r="F129" s="3092">
        <f>SUM('Произв. прогр. Вода'!F221)</f>
        <v>709.1599264148856</v>
      </c>
      <c r="G129" s="3092">
        <f>SUM('Произв. прогр. Вода'!G221)</f>
        <v>709.1599264148856</v>
      </c>
      <c r="H129" s="3063">
        <f>SUM('Произв. прогр. Вода'!H221)</f>
        <v>2131.6513082235679</v>
      </c>
      <c r="I129" s="3092">
        <f>SUM('Произв. прогр. Вода'!I221)</f>
        <v>704.98839743597432</v>
      </c>
      <c r="J129" s="3092">
        <f>SUM('Произв. прогр. Вода'!J221)</f>
        <v>667.44463662577459</v>
      </c>
      <c r="K129" s="3092">
        <f>SUM('Произв. прогр. Вода'!K221)</f>
        <v>667.44463662577459</v>
      </c>
      <c r="L129" s="3063">
        <f>SUM('Произв. прогр. Вода'!L221)</f>
        <v>2039.8776706875235</v>
      </c>
      <c r="M129" s="3063">
        <f>SUM('Произв. прогр. Вода'!M221)</f>
        <v>4171.5289789110911</v>
      </c>
      <c r="N129" s="3092">
        <f>SUM('Произв. прогр. Вода'!N221)</f>
        <v>667.44463662577459</v>
      </c>
      <c r="O129" s="3092">
        <f>SUM('Произв. прогр. Вода'!O221)</f>
        <v>667.44463662577459</v>
      </c>
      <c r="P129" s="3092">
        <f>SUM('Произв. прогр. Вода'!P221)</f>
        <v>704.98839743597432</v>
      </c>
      <c r="Q129" s="3063">
        <f>SUM('Произв. прогр. Вода'!Q221)</f>
        <v>2039.8776706875235</v>
      </c>
      <c r="R129" s="3063">
        <f>SUM('Произв. прогр. Вода'!R221)</f>
        <v>6211.4066495986144</v>
      </c>
      <c r="S129" s="3092">
        <f>SUM('Произв. прогр. Вода'!S221)</f>
        <v>709.1599264148856</v>
      </c>
      <c r="T129" s="3092">
        <f>SUM('Произв. прогр. Вода'!T221)</f>
        <v>709.1599264148856</v>
      </c>
      <c r="U129" s="3092">
        <f>SUM('Произв. прогр. Вода'!U221)</f>
        <v>713.33145539379666</v>
      </c>
      <c r="V129" s="3063">
        <f>SUM('Произв. прогр. Вода'!V221)</f>
        <v>2131.6513082235679</v>
      </c>
      <c r="W129" s="3087">
        <f t="shared" si="110"/>
        <v>8343.0579578221823</v>
      </c>
    </row>
    <row r="130" spans="1:23" ht="18.75">
      <c r="A130" s="3059" t="s">
        <v>1734</v>
      </c>
      <c r="B130" s="3063">
        <f>SUM('Произв. прогр. Вода'!B222)</f>
        <v>7730.9439878520179</v>
      </c>
      <c r="C130" s="3063">
        <f>SUM('Произв. прогр. Вода'!C222)</f>
        <v>7730.9439878520179</v>
      </c>
      <c r="D130" s="3063">
        <f>SUM('Произв. прогр. Вода'!D222)</f>
        <v>0</v>
      </c>
      <c r="E130" s="3092">
        <f>SUM('Произв. прогр. Вода'!E222)</f>
        <v>660.99571096134764</v>
      </c>
      <c r="F130" s="3092">
        <f>SUM('Произв. прогр. Вода'!F222)</f>
        <v>657.13023896742163</v>
      </c>
      <c r="G130" s="3092">
        <f>SUM('Произв. прогр. Вода'!G222)</f>
        <v>657.13023896742163</v>
      </c>
      <c r="H130" s="3063">
        <f>SUM('Произв. прогр. Вода'!H222)</f>
        <v>1975.2561888961909</v>
      </c>
      <c r="I130" s="3092">
        <f>SUM('Произв. прогр. Вода'!I222)</f>
        <v>653.2647669734954</v>
      </c>
      <c r="J130" s="3092">
        <f>SUM('Произв. прогр. Вода'!J222)</f>
        <v>618.47551902816144</v>
      </c>
      <c r="K130" s="3092">
        <f>SUM('Произв. прогр. Вода'!K222)</f>
        <v>618.47551902816144</v>
      </c>
      <c r="L130" s="3063">
        <f>SUM('Произв. прогр. Вода'!L222)</f>
        <v>1890.2158050298183</v>
      </c>
      <c r="M130" s="3063">
        <f>SUM('Произв. прогр. Вода'!M222)</f>
        <v>3865.4719939260094</v>
      </c>
      <c r="N130" s="3092">
        <f>SUM('Произв. прогр. Вода'!N222)</f>
        <v>618.47551902816144</v>
      </c>
      <c r="O130" s="3092">
        <f>SUM('Произв. прогр. Вода'!O222)</f>
        <v>618.47551902816144</v>
      </c>
      <c r="P130" s="3092">
        <f>SUM('Произв. прогр. Вода'!P222)</f>
        <v>653.2647669734954</v>
      </c>
      <c r="Q130" s="3063">
        <f>SUM('Произв. прогр. Вода'!Q222)</f>
        <v>1890.2158050298183</v>
      </c>
      <c r="R130" s="3063">
        <f>SUM('Произв. прогр. Вода'!R222)</f>
        <v>5755.6877989558279</v>
      </c>
      <c r="S130" s="3092">
        <f>SUM('Произв. прогр. Вода'!S222)</f>
        <v>657.13023896742163</v>
      </c>
      <c r="T130" s="3092">
        <f>SUM('Произв. прогр. Вода'!T222)</f>
        <v>657.13023896742163</v>
      </c>
      <c r="U130" s="3092">
        <f>SUM('Произв. прогр. Вода'!U222)</f>
        <v>660.99571096134764</v>
      </c>
      <c r="V130" s="3063">
        <f>SUM('Произв. прогр. Вода'!V222)</f>
        <v>1975.2561888961909</v>
      </c>
      <c r="W130" s="3087">
        <f t="shared" si="110"/>
        <v>7730.9439878520179</v>
      </c>
    </row>
    <row r="131" spans="1:23">
      <c r="A131" s="657"/>
      <c r="B131" s="657"/>
      <c r="C131" s="657"/>
      <c r="D131" s="657"/>
      <c r="E131" s="657"/>
      <c r="F131" s="657"/>
      <c r="G131" s="657"/>
      <c r="H131" s="657"/>
      <c r="I131" s="657"/>
      <c r="J131" s="657"/>
      <c r="K131" s="657"/>
      <c r="L131" s="657"/>
      <c r="M131" s="657"/>
      <c r="N131" s="657"/>
      <c r="O131" s="657"/>
      <c r="P131" s="657"/>
      <c r="Q131" s="657"/>
      <c r="R131" s="657"/>
      <c r="S131" s="657"/>
      <c r="T131" s="657"/>
      <c r="U131" s="657"/>
      <c r="V131" s="657"/>
    </row>
    <row r="132" spans="1:23">
      <c r="A132" s="657"/>
      <c r="B132" s="657"/>
      <c r="C132" s="657"/>
      <c r="D132" s="657"/>
      <c r="E132" s="657"/>
      <c r="F132" s="657"/>
      <c r="G132" s="657"/>
      <c r="H132" s="657"/>
      <c r="I132" s="657"/>
      <c r="J132" s="657"/>
      <c r="K132" s="657"/>
      <c r="L132" s="657"/>
      <c r="M132" s="657"/>
      <c r="N132" s="657"/>
      <c r="O132" s="657"/>
      <c r="P132" s="657"/>
      <c r="Q132" s="657"/>
      <c r="R132" s="657"/>
      <c r="S132" s="657"/>
      <c r="T132" s="657"/>
      <c r="U132" s="657"/>
      <c r="V132" s="657"/>
    </row>
    <row r="133" spans="1:23" ht="18.75">
      <c r="A133" s="430" t="s">
        <v>1743</v>
      </c>
      <c r="B133" s="430"/>
      <c r="C133" s="430" t="s">
        <v>1744</v>
      </c>
      <c r="D133" s="657"/>
      <c r="E133" s="657"/>
      <c r="F133" s="657"/>
      <c r="G133" s="657"/>
      <c r="H133" s="657"/>
      <c r="I133" s="657"/>
      <c r="J133" s="657"/>
      <c r="K133" s="657"/>
      <c r="L133" s="657"/>
      <c r="M133" s="657"/>
      <c r="N133" s="657"/>
      <c r="O133" s="657"/>
      <c r="P133" s="657"/>
      <c r="Q133" s="657"/>
      <c r="R133" s="657"/>
      <c r="S133" s="657"/>
      <c r="T133" s="657"/>
      <c r="U133" s="657"/>
      <c r="V133" s="657"/>
    </row>
    <row r="134" spans="1:23">
      <c r="A134" s="657"/>
      <c r="B134" s="657"/>
      <c r="C134" s="657"/>
      <c r="D134" s="657"/>
      <c r="E134" s="657"/>
      <c r="F134" s="657"/>
      <c r="G134" s="657"/>
      <c r="H134" s="657"/>
      <c r="I134" s="657"/>
      <c r="J134" s="657"/>
      <c r="K134" s="657"/>
      <c r="L134" s="657"/>
      <c r="M134" s="657"/>
      <c r="N134" s="657"/>
      <c r="O134" s="657"/>
      <c r="P134" s="657"/>
      <c r="Q134" s="657"/>
      <c r="R134" s="657"/>
      <c r="S134" s="657"/>
      <c r="T134" s="657"/>
      <c r="U134" s="657"/>
      <c r="V134" s="657"/>
    </row>
    <row r="140" spans="1:23" ht="18">
      <c r="A140" s="4858" t="s">
        <v>2040</v>
      </c>
      <c r="B140" s="423"/>
      <c r="C140" s="423"/>
      <c r="D140" s="423"/>
      <c r="E140" s="423"/>
      <c r="F140" s="423"/>
      <c r="G140" s="423"/>
      <c r="H140" s="423"/>
      <c r="I140" s="423"/>
    </row>
  </sheetData>
  <mergeCells count="116">
    <mergeCell ref="T109:T110"/>
    <mergeCell ref="U109:U110"/>
    <mergeCell ref="V109:V110"/>
    <mergeCell ref="W109:W110"/>
    <mergeCell ref="N109:N110"/>
    <mergeCell ref="O109:O110"/>
    <mergeCell ref="P109:P110"/>
    <mergeCell ref="Q109:Q110"/>
    <mergeCell ref="R109:R110"/>
    <mergeCell ref="S109:S110"/>
    <mergeCell ref="H109:H110"/>
    <mergeCell ref="I109:I110"/>
    <mergeCell ref="J109:J110"/>
    <mergeCell ref="K109:K110"/>
    <mergeCell ref="L109:L110"/>
    <mergeCell ref="M109:M110"/>
    <mergeCell ref="A109:A110"/>
    <mergeCell ref="B109:B110"/>
    <mergeCell ref="C109:D109"/>
    <mergeCell ref="E109:E110"/>
    <mergeCell ref="F109:F110"/>
    <mergeCell ref="G109:G110"/>
    <mergeCell ref="A108:V108"/>
    <mergeCell ref="M86:M87"/>
    <mergeCell ref="N86:N87"/>
    <mergeCell ref="O86:O87"/>
    <mergeCell ref="P86:P87"/>
    <mergeCell ref="Q86:Q87"/>
    <mergeCell ref="R86:R87"/>
    <mergeCell ref="G86:G87"/>
    <mergeCell ref="H86:H87"/>
    <mergeCell ref="I86:I87"/>
    <mergeCell ref="J86:J87"/>
    <mergeCell ref="K86:K87"/>
    <mergeCell ref="L86:L87"/>
    <mergeCell ref="W43:W44"/>
    <mergeCell ref="A85:V85"/>
    <mergeCell ref="A86:A87"/>
    <mergeCell ref="B86:B87"/>
    <mergeCell ref="C86:D86"/>
    <mergeCell ref="E86:E87"/>
    <mergeCell ref="F86:F87"/>
    <mergeCell ref="N43:N44"/>
    <mergeCell ref="O43:O44"/>
    <mergeCell ref="P43:P44"/>
    <mergeCell ref="Q43:Q44"/>
    <mergeCell ref="R43:R44"/>
    <mergeCell ref="S43:S44"/>
    <mergeCell ref="H43:H44"/>
    <mergeCell ref="I43:I44"/>
    <mergeCell ref="J43:J44"/>
    <mergeCell ref="K43:K44"/>
    <mergeCell ref="L43:L44"/>
    <mergeCell ref="M43:M44"/>
    <mergeCell ref="S86:S87"/>
    <mergeCell ref="T86:T87"/>
    <mergeCell ref="U86:U87"/>
    <mergeCell ref="V86:V87"/>
    <mergeCell ref="W86:W87"/>
    <mergeCell ref="A42:V42"/>
    <mergeCell ref="A43:A44"/>
    <mergeCell ref="B43:B44"/>
    <mergeCell ref="C43:D43"/>
    <mergeCell ref="E43:E44"/>
    <mergeCell ref="F43:F44"/>
    <mergeCell ref="G43:G44"/>
    <mergeCell ref="O26:O27"/>
    <mergeCell ref="P26:P27"/>
    <mergeCell ref="Q26:Q27"/>
    <mergeCell ref="R26:R27"/>
    <mergeCell ref="S26:S27"/>
    <mergeCell ref="T26:T27"/>
    <mergeCell ref="I26:I27"/>
    <mergeCell ref="J26:J27"/>
    <mergeCell ref="K26:K27"/>
    <mergeCell ref="L26:L27"/>
    <mergeCell ref="M26:M27"/>
    <mergeCell ref="N26:N27"/>
    <mergeCell ref="T43:T44"/>
    <mergeCell ref="U43:U44"/>
    <mergeCell ref="V43:V44"/>
    <mergeCell ref="W10:W11"/>
    <mergeCell ref="A25:V25"/>
    <mergeCell ref="A26:A27"/>
    <mergeCell ref="B26:B27"/>
    <mergeCell ref="C26:D26"/>
    <mergeCell ref="E26:E27"/>
    <mergeCell ref="F26:F27"/>
    <mergeCell ref="G26:G27"/>
    <mergeCell ref="H26:H27"/>
    <mergeCell ref="P10:P11"/>
    <mergeCell ref="Q10:Q11"/>
    <mergeCell ref="R10:R11"/>
    <mergeCell ref="S10:S11"/>
    <mergeCell ref="T10:T11"/>
    <mergeCell ref="U10:U11"/>
    <mergeCell ref="J10:J11"/>
    <mergeCell ref="K10:K11"/>
    <mergeCell ref="L10:L11"/>
    <mergeCell ref="M10:M11"/>
    <mergeCell ref="N10:N11"/>
    <mergeCell ref="O10:O11"/>
    <mergeCell ref="U26:U27"/>
    <mergeCell ref="V26:V27"/>
    <mergeCell ref="W26:W27"/>
    <mergeCell ref="A7:V7"/>
    <mergeCell ref="A9:V9"/>
    <mergeCell ref="A10:A11"/>
    <mergeCell ref="B10:B11"/>
    <mergeCell ref="C10:D10"/>
    <mergeCell ref="E10:E11"/>
    <mergeCell ref="F10:F11"/>
    <mergeCell ref="G10:G11"/>
    <mergeCell ref="H10:H11"/>
    <mergeCell ref="I10:I11"/>
    <mergeCell ref="V10:V11"/>
  </mergeCells>
  <printOptions horizontalCentered="1"/>
  <pageMargins left="0.35433070866141736" right="0.35433070866141736" top="0.61023622047244097" bottom="0.59055118110236227" header="0" footer="0"/>
  <pageSetup paperSize="9" scale="42" fitToHeight="3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00B0F0"/>
    <pageSetUpPr fitToPage="1"/>
  </sheetPr>
  <dimension ref="A1:R46"/>
  <sheetViews>
    <sheetView zoomScale="90" zoomScaleNormal="9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Q29" sqref="Q29"/>
    </sheetView>
  </sheetViews>
  <sheetFormatPr defaultRowHeight="12.75"/>
  <cols>
    <col min="1" max="1" width="9.85546875" customWidth="1"/>
    <col min="2" max="2" width="81.85546875" customWidth="1"/>
    <col min="3" max="3" width="12.7109375" customWidth="1"/>
    <col min="4" max="4" width="13.28515625" customWidth="1"/>
    <col min="5" max="5" width="12.7109375" customWidth="1"/>
    <col min="6" max="7" width="12.7109375" hidden="1" customWidth="1"/>
    <col min="8" max="14" width="12.7109375" customWidth="1"/>
    <col min="15" max="16" width="14" customWidth="1"/>
    <col min="17" max="17" width="16" customWidth="1"/>
    <col min="18" max="18" width="38.140625" customWidth="1"/>
  </cols>
  <sheetData>
    <row r="1" spans="1:18" ht="15">
      <c r="A1" s="5020" t="s">
        <v>1526</v>
      </c>
      <c r="B1" s="5021"/>
      <c r="C1" s="5021"/>
      <c r="D1" s="5021"/>
      <c r="E1" s="5021"/>
      <c r="F1" s="5021"/>
      <c r="G1" s="5021"/>
      <c r="H1" s="5021"/>
      <c r="I1" s="5021"/>
      <c r="J1" s="5021"/>
      <c r="K1" s="5021"/>
      <c r="L1" s="5021"/>
      <c r="M1" s="5021"/>
      <c r="N1" s="5021"/>
      <c r="O1" s="5021"/>
      <c r="P1" s="5021"/>
      <c r="Q1" s="5021"/>
      <c r="R1" s="5021"/>
    </row>
    <row r="2" spans="1:18" ht="18.75">
      <c r="A2" s="5022" t="s">
        <v>1001</v>
      </c>
      <c r="B2" s="5022"/>
      <c r="C2" s="5022"/>
      <c r="D2" s="5022"/>
      <c r="E2" s="5022"/>
      <c r="F2" s="5022"/>
      <c r="G2" s="5022"/>
      <c r="H2" s="5022"/>
      <c r="I2" s="5022"/>
      <c r="J2" s="5022"/>
      <c r="K2" s="5022"/>
      <c r="L2" s="5022"/>
      <c r="M2" s="5022"/>
      <c r="N2" s="5022"/>
      <c r="O2" s="5022"/>
      <c r="P2" s="5022"/>
      <c r="Q2" s="5022"/>
      <c r="R2" s="5022"/>
    </row>
    <row r="3" spans="1:18" ht="15">
      <c r="A3" s="2598"/>
      <c r="B3" s="2599"/>
      <c r="C3" s="2598"/>
      <c r="D3" s="2598"/>
      <c r="E3" s="2598"/>
      <c r="F3" s="2978"/>
      <c r="G3" s="2978"/>
      <c r="H3" s="2978"/>
      <c r="I3" s="2598"/>
      <c r="J3" s="2598"/>
      <c r="K3" s="2598"/>
      <c r="L3" s="2598"/>
      <c r="M3" s="2598"/>
      <c r="N3" s="2598"/>
      <c r="O3" s="2598"/>
      <c r="P3" s="2598"/>
      <c r="Q3" s="2598"/>
      <c r="R3" s="2598"/>
    </row>
    <row r="4" spans="1:18" ht="48.75" customHeight="1">
      <c r="A4" s="5023" t="s">
        <v>908</v>
      </c>
      <c r="B4" s="5023" t="s">
        <v>373</v>
      </c>
      <c r="C4" s="5023" t="s">
        <v>909</v>
      </c>
      <c r="D4" s="5010" t="s">
        <v>1611</v>
      </c>
      <c r="E4" s="5010" t="s">
        <v>1596</v>
      </c>
      <c r="F4" s="5014" t="s">
        <v>1595</v>
      </c>
      <c r="G4" s="5015"/>
      <c r="H4" s="5016"/>
      <c r="I4" s="5024" t="s">
        <v>392</v>
      </c>
      <c r="J4" s="5025"/>
      <c r="K4" s="5026"/>
      <c r="L4" s="5031" t="s">
        <v>1897</v>
      </c>
      <c r="M4" s="5032"/>
      <c r="N4" s="5033"/>
      <c r="O4" s="5029" t="s">
        <v>1900</v>
      </c>
      <c r="P4" s="5030"/>
      <c r="Q4" s="4429" t="s">
        <v>1901</v>
      </c>
      <c r="R4" s="5027" t="s">
        <v>910</v>
      </c>
    </row>
    <row r="5" spans="1:18" ht="31.5" customHeight="1">
      <c r="A5" s="5023"/>
      <c r="B5" s="5023"/>
      <c r="C5" s="5023"/>
      <c r="D5" s="4903"/>
      <c r="E5" s="4903"/>
      <c r="F5" s="5017"/>
      <c r="G5" s="5018"/>
      <c r="H5" s="5019"/>
      <c r="I5" s="2542" t="s">
        <v>832</v>
      </c>
      <c r="J5" s="2542" t="s">
        <v>911</v>
      </c>
      <c r="K5" s="2542" t="s">
        <v>912</v>
      </c>
      <c r="L5" s="4036" t="s">
        <v>598</v>
      </c>
      <c r="M5" s="4036" t="s">
        <v>229</v>
      </c>
      <c r="N5" s="4036" t="s">
        <v>1899</v>
      </c>
      <c r="O5" s="2929" t="s">
        <v>911</v>
      </c>
      <c r="P5" s="2929" t="s">
        <v>912</v>
      </c>
      <c r="Q5" s="4358" t="s">
        <v>912</v>
      </c>
      <c r="R5" s="5028"/>
    </row>
    <row r="6" spans="1:18" ht="21.75" customHeight="1">
      <c r="A6" s="2543"/>
      <c r="B6" s="2544" t="s">
        <v>913</v>
      </c>
      <c r="C6" s="5036" t="s">
        <v>914</v>
      </c>
      <c r="D6" s="5011" t="s">
        <v>914</v>
      </c>
      <c r="E6" s="5011" t="s">
        <v>914</v>
      </c>
      <c r="F6" s="5011" t="s">
        <v>914</v>
      </c>
      <c r="G6" s="5011" t="s">
        <v>914</v>
      </c>
      <c r="H6" s="5011" t="s">
        <v>914</v>
      </c>
      <c r="I6" s="5011" t="s">
        <v>914</v>
      </c>
      <c r="J6" s="2545">
        <v>0.01</v>
      </c>
      <c r="K6" s="2545">
        <v>0.01</v>
      </c>
      <c r="L6" s="5034" t="s">
        <v>914</v>
      </c>
      <c r="M6" s="5034" t="s">
        <v>914</v>
      </c>
      <c r="N6" s="5034" t="s">
        <v>914</v>
      </c>
      <c r="O6" s="2545"/>
      <c r="P6" s="2918"/>
      <c r="Q6" s="2545">
        <v>0.01</v>
      </c>
      <c r="R6" s="2546"/>
    </row>
    <row r="7" spans="1:18" ht="21.75" customHeight="1">
      <c r="A7" s="2543"/>
      <c r="B7" s="2544" t="s">
        <v>915</v>
      </c>
      <c r="C7" s="5037"/>
      <c r="D7" s="5012"/>
      <c r="E7" s="5012"/>
      <c r="F7" s="5012"/>
      <c r="G7" s="5012"/>
      <c r="H7" s="5012"/>
      <c r="I7" s="5012"/>
      <c r="J7" s="2547">
        <v>7.0999999999999994E-2</v>
      </c>
      <c r="K7" s="2547">
        <v>5.8000000000000003E-2</v>
      </c>
      <c r="L7" s="5035"/>
      <c r="M7" s="5035"/>
      <c r="N7" s="5035"/>
      <c r="O7" s="2547"/>
      <c r="P7" s="2919"/>
      <c r="Q7" s="2547">
        <v>3.6999999999999998E-2</v>
      </c>
      <c r="R7" s="2546"/>
    </row>
    <row r="8" spans="1:18" ht="21.75" customHeight="1">
      <c r="A8" s="2543"/>
      <c r="B8" s="2544" t="s">
        <v>916</v>
      </c>
      <c r="C8" s="5038"/>
      <c r="D8" s="5013"/>
      <c r="E8" s="5013"/>
      <c r="F8" s="5013"/>
      <c r="G8" s="5013"/>
      <c r="H8" s="5013"/>
      <c r="I8" s="5013"/>
      <c r="J8" s="2548">
        <v>0</v>
      </c>
      <c r="K8" s="2548">
        <v>0</v>
      </c>
      <c r="L8" s="4903"/>
      <c r="M8" s="4903"/>
      <c r="N8" s="4903"/>
      <c r="O8" s="2548"/>
      <c r="P8" s="2920"/>
      <c r="Q8" s="2548">
        <v>0</v>
      </c>
      <c r="R8" s="2546"/>
    </row>
    <row r="9" spans="1:18" ht="21.75" customHeight="1">
      <c r="A9" s="2549">
        <v>1</v>
      </c>
      <c r="B9" s="2550" t="s">
        <v>917</v>
      </c>
      <c r="C9" s="2549" t="s">
        <v>918</v>
      </c>
      <c r="D9" s="2551">
        <f t="shared" ref="D9:O9" si="0">D10+D21+D23+D27</f>
        <v>868.73192603721509</v>
      </c>
      <c r="E9" s="2551">
        <f t="shared" si="0"/>
        <v>307.75915660165811</v>
      </c>
      <c r="F9" s="2551">
        <f t="shared" si="0"/>
        <v>24.619096326047917</v>
      </c>
      <c r="G9" s="2551">
        <f t="shared" si="0"/>
        <v>33.969368956207575</v>
      </c>
      <c r="H9" s="2551">
        <f t="shared" si="0"/>
        <v>41.942281477499833</v>
      </c>
      <c r="I9" s="2551">
        <f t="shared" si="0"/>
        <v>343.9835261858193</v>
      </c>
      <c r="J9" s="2551">
        <f t="shared" si="0"/>
        <v>345.87291343504398</v>
      </c>
      <c r="K9" s="2551">
        <f t="shared" si="0"/>
        <v>365.95622332806067</v>
      </c>
      <c r="L9" s="2551">
        <f t="shared" ref="L9:M9" si="1">L10+L21+L23+L27</f>
        <v>17.437358500344963</v>
      </c>
      <c r="M9" s="2551">
        <f t="shared" si="1"/>
        <v>23.445909348019782</v>
      </c>
      <c r="N9" s="2551">
        <f t="shared" ref="N9" si="2">N10+N21+N23+N27</f>
        <v>31.506598459729588</v>
      </c>
      <c r="O9" s="2551">
        <f t="shared" si="0"/>
        <v>383.20809063087108</v>
      </c>
      <c r="P9" s="2551">
        <f t="shared" ref="P9:Q9" si="3">P10+P21+P23+P27</f>
        <v>385.69757879487531</v>
      </c>
      <c r="Q9" s="2551">
        <f t="shared" si="3"/>
        <v>366.79808244080675</v>
      </c>
      <c r="R9" s="2552"/>
    </row>
    <row r="10" spans="1:18" ht="21.75" customHeight="1">
      <c r="A10" s="2553" t="s">
        <v>919</v>
      </c>
      <c r="B10" s="2554" t="s">
        <v>920</v>
      </c>
      <c r="C10" s="2553" t="s">
        <v>918</v>
      </c>
      <c r="D10" s="2555">
        <f t="shared" ref="D10:O10" si="4">D11+D12+D13</f>
        <v>692.48265693773646</v>
      </c>
      <c r="E10" s="2555">
        <f t="shared" si="4"/>
        <v>275.29689256750316</v>
      </c>
      <c r="F10" s="2555">
        <f t="shared" si="4"/>
        <v>21.733184092705706</v>
      </c>
      <c r="G10" s="2555">
        <f t="shared" si="4"/>
        <v>30.053636850320274</v>
      </c>
      <c r="H10" s="2555">
        <f t="shared" si="4"/>
        <v>37.131366700856105</v>
      </c>
      <c r="I10" s="2555">
        <f t="shared" si="4"/>
        <v>308.73219768114552</v>
      </c>
      <c r="J10" s="2555">
        <f t="shared" si="4"/>
        <v>326.4337053431484</v>
      </c>
      <c r="K10" s="2555">
        <f t="shared" si="4"/>
        <v>344.86059133839933</v>
      </c>
      <c r="L10" s="2555">
        <f t="shared" ref="L10:M10" si="5">L11+L12+L13</f>
        <v>15.357809217345867</v>
      </c>
      <c r="M10" s="2555">
        <f t="shared" si="5"/>
        <v>20.701460230835679</v>
      </c>
      <c r="N10" s="2555">
        <f t="shared" ref="N10" si="6">N11+N12+N13</f>
        <v>27.84445946634159</v>
      </c>
      <c r="O10" s="2555">
        <f t="shared" si="4"/>
        <v>332.96241410608764</v>
      </c>
      <c r="P10" s="2555">
        <f t="shared" ref="P10:Q10" si="7">P11+P12+P13</f>
        <v>348.15586613336814</v>
      </c>
      <c r="Q10" s="2555">
        <f t="shared" si="7"/>
        <v>345.70245045114541</v>
      </c>
      <c r="R10" s="2556"/>
    </row>
    <row r="11" spans="1:18" ht="21.75" customHeight="1">
      <c r="A11" s="2557" t="s">
        <v>921</v>
      </c>
      <c r="B11" s="2558" t="s">
        <v>922</v>
      </c>
      <c r="C11" s="2557" t="s">
        <v>918</v>
      </c>
      <c r="D11" s="2632">
        <f>SUM('ВОДА (СВОД) 2016-2018'!D13-'Тариф вода 2016-2018 ПЛАН'!D11)</f>
        <v>586.06817377332482</v>
      </c>
      <c r="E11" s="2632">
        <f>SUM('ВОДА (СВОД) 2016-2018'!E13-'Тариф вода 2016-2018 ПЛАН'!E11)</f>
        <v>237.59252649177506</v>
      </c>
      <c r="F11" s="2559">
        <f>вода!BN115+вода!BN116+вода!BN117+вода!BN118+вода!BN119+вода!BN121</f>
        <v>19.328665887543593</v>
      </c>
      <c r="G11" s="2559">
        <f>вода!BQ115+вода!BQ116+вода!BQ117+вода!BQ118+вода!BQ119+вода!BQ121</f>
        <v>26.898754646908174</v>
      </c>
      <c r="H11" s="2559">
        <f>вода!BT115+вода!BT116+вода!BT117+вода!BT118+вода!BT119+вода!BT121</f>
        <v>33.081640242778349</v>
      </c>
      <c r="I11" s="2559">
        <f>вода!BJ115+вода!BJ116+вода!BJ117+вода!BJ118+вода!BJ119+вода!BJ121</f>
        <v>270.46955781056386</v>
      </c>
      <c r="J11" s="2559">
        <f>I11*(1-J6)*(1+J7)*(1+J8)</f>
        <v>286.7761674509627</v>
      </c>
      <c r="K11" s="2559">
        <f>J11*(1-K6)*(1+K7)*(1+K8)</f>
        <v>300.37509331148738</v>
      </c>
      <c r="L11" s="2559">
        <f>вода!CF115+вода!CF116+вода!CF117+вода!CF118+вода!CF119+вода!CF121</f>
        <v>13.504163355217429</v>
      </c>
      <c r="M11" s="2559">
        <f>вода!CI115+вода!CI116+вода!CI117+вода!CI118+вода!CI119+вода!CI121</f>
        <v>18.256679343368205</v>
      </c>
      <c r="N11" s="2559">
        <f>вода!CL115+вода!CL116+вода!CL117+вода!CL118+вода!CL119+вода!CL121</f>
        <v>24.566813854418342</v>
      </c>
      <c r="O11" s="2632">
        <f>SUM('ВОДА (СВОД) 2016-2018'!O13-'Тариф вода 2016-2018 ПЛАН'!O11)</f>
        <v>295.67139953319565</v>
      </c>
      <c r="P11" s="2559">
        <f>вода!CP115+вода!CP116+вода!CP117+вода!CP118+вода!CP119+вода!CP121</f>
        <v>305.13089598302486</v>
      </c>
      <c r="Q11" s="2559">
        <f>вода!CT115+вода!CT116+вода!CT117+вода!CT118+вода!CT119+вода!CT121</f>
        <v>301.21695242423345</v>
      </c>
      <c r="R11" s="2664" t="s">
        <v>1640</v>
      </c>
    </row>
    <row r="12" spans="1:18" ht="30.75" customHeight="1">
      <c r="A12" s="2557" t="s">
        <v>923</v>
      </c>
      <c r="B12" s="2558" t="s">
        <v>924</v>
      </c>
      <c r="C12" s="2557" t="s">
        <v>918</v>
      </c>
      <c r="D12" s="2632">
        <f>SUM('ВОДА (СВОД) 2016-2018'!D14-'Тариф вода 2016-2018 ПЛАН'!D12)</f>
        <v>52.316099762778322</v>
      </c>
      <c r="E12" s="2632">
        <f>SUM('ВОДА (СВОД) 2016-2018'!E14-'Тариф вода 2016-2018 ПЛАН'!E12)</f>
        <v>18.378997624604381</v>
      </c>
      <c r="F12" s="2559">
        <f>вода!BN113</f>
        <v>0.8037187253095226</v>
      </c>
      <c r="G12" s="2559">
        <f>вода!BQ113</f>
        <v>0.98672790167461244</v>
      </c>
      <c r="H12" s="2559">
        <f>вода!BT113</f>
        <v>1.2978631113503525</v>
      </c>
      <c r="I12" s="2559">
        <f>вода!BJ113</f>
        <v>20.640199168723029</v>
      </c>
      <c r="J12" s="2559">
        <f>SUM(вода!CB113)</f>
        <v>20.927537892185683</v>
      </c>
      <c r="K12" s="2559">
        <f>вода!CT113</f>
        <v>23.59436802691198</v>
      </c>
      <c r="L12" s="2559">
        <f>SUM(вода!CF113)</f>
        <v>0.58014663959920654</v>
      </c>
      <c r="M12" s="2559">
        <f>SUM(вода!CI113)</f>
        <v>0.78108271365158544</v>
      </c>
      <c r="N12" s="2559">
        <f>SUM(вода!CL113)</f>
        <v>1.0576394484237426</v>
      </c>
      <c r="O12" s="2632">
        <f>SUM('ВОДА (СВОД) 2016-2018'!O14-'Тариф вода 2016-2018 ПЛАН'!O12)</f>
        <v>20.0547080250617</v>
      </c>
      <c r="P12" s="2559">
        <f>вода!CP113</f>
        <v>22.425655500000175</v>
      </c>
      <c r="Q12" s="2559">
        <f>SUM(вода!CT113)</f>
        <v>23.59436802691198</v>
      </c>
      <c r="R12" s="2664" t="s">
        <v>1641</v>
      </c>
    </row>
    <row r="13" spans="1:18" ht="21.75" customHeight="1">
      <c r="A13" s="2557" t="s">
        <v>925</v>
      </c>
      <c r="B13" s="2558" t="s">
        <v>926</v>
      </c>
      <c r="C13" s="2557" t="s">
        <v>918</v>
      </c>
      <c r="D13" s="2559">
        <f t="shared" ref="D13:I13" si="8">D14+D15+D16+D17+D20</f>
        <v>54.098383401633328</v>
      </c>
      <c r="E13" s="2559">
        <f t="shared" si="8"/>
        <v>19.325368451123722</v>
      </c>
      <c r="F13" s="2559">
        <f t="shared" si="8"/>
        <v>1.60079947985259</v>
      </c>
      <c r="G13" s="2559">
        <f t="shared" si="8"/>
        <v>2.1681543017374878</v>
      </c>
      <c r="H13" s="2559">
        <f t="shared" si="8"/>
        <v>2.7518633467274043</v>
      </c>
      <c r="I13" s="2559">
        <f t="shared" si="8"/>
        <v>17.622440701858665</v>
      </c>
      <c r="J13" s="2559">
        <f t="shared" ref="J13" si="9">J14+J15+J16+J17+J20</f>
        <v>18.73</v>
      </c>
      <c r="K13" s="2559">
        <f t="shared" ref="K13:Q13" si="10">K14+K15+K16+K17+K20</f>
        <v>20.891130000000004</v>
      </c>
      <c r="L13" s="2559">
        <f t="shared" ref="L13:M13" si="11">L14+L15+L16+L17+L20</f>
        <v>1.2734992225292316</v>
      </c>
      <c r="M13" s="2559">
        <f t="shared" si="11"/>
        <v>1.663698173815888</v>
      </c>
      <c r="N13" s="2559">
        <f t="shared" ref="N13" si="12">N14+N15+N16+N17+N20</f>
        <v>2.2200061634995052</v>
      </c>
      <c r="O13" s="2559">
        <f>O14+O15+O16+O17+O20</f>
        <v>17.236306547830281</v>
      </c>
      <c r="P13" s="2559">
        <f t="shared" si="10"/>
        <v>20.599314650343089</v>
      </c>
      <c r="Q13" s="2559">
        <f t="shared" si="10"/>
        <v>20.891130000000004</v>
      </c>
      <c r="R13" s="2664"/>
    </row>
    <row r="14" spans="1:18" ht="30.75" customHeight="1">
      <c r="A14" s="2560" t="s">
        <v>927</v>
      </c>
      <c r="B14" s="2561" t="s">
        <v>928</v>
      </c>
      <c r="C14" s="2560" t="s">
        <v>918</v>
      </c>
      <c r="D14" s="2611">
        <v>0</v>
      </c>
      <c r="E14" s="2611">
        <v>0</v>
      </c>
      <c r="F14" s="2562">
        <v>0</v>
      </c>
      <c r="G14" s="2562">
        <v>0</v>
      </c>
      <c r="H14" s="2562">
        <v>0</v>
      </c>
      <c r="I14" s="2562">
        <v>0</v>
      </c>
      <c r="J14" s="2562">
        <v>0</v>
      </c>
      <c r="K14" s="2562">
        <v>0</v>
      </c>
      <c r="L14" s="2562">
        <v>0</v>
      </c>
      <c r="M14" s="2562">
        <v>0</v>
      </c>
      <c r="N14" s="2562">
        <v>0</v>
      </c>
      <c r="O14" s="2611">
        <v>0</v>
      </c>
      <c r="P14" s="2562">
        <v>0</v>
      </c>
      <c r="Q14" s="2562">
        <v>0</v>
      </c>
      <c r="R14" s="2665" t="s">
        <v>1642</v>
      </c>
    </row>
    <row r="15" spans="1:18" ht="41.25" customHeight="1">
      <c r="A15" s="2560" t="s">
        <v>929</v>
      </c>
      <c r="B15" s="2561" t="s">
        <v>930</v>
      </c>
      <c r="C15" s="2560" t="s">
        <v>918</v>
      </c>
      <c r="D15" s="2636">
        <f>SUM('ВОДА (СВОД) 2016-2018'!D17-'Тариф вода 2016-2018 ПЛАН'!D15)</f>
        <v>36.598383401633328</v>
      </c>
      <c r="E15" s="2636">
        <f>SUM('ВОДА (СВОД) 2016-2018'!E17-'Тариф вода 2016-2018 ПЛАН'!E15)</f>
        <v>19.325368451123722</v>
      </c>
      <c r="F15" s="2562">
        <f>вода!BN120</f>
        <v>1.60079947985259</v>
      </c>
      <c r="G15" s="2562">
        <f>вода!BQ120</f>
        <v>2.1681543017374878</v>
      </c>
      <c r="H15" s="2562">
        <f>вода!BT120</f>
        <v>2.7518633467274043</v>
      </c>
      <c r="I15" s="2562">
        <f>вода!BJ120</f>
        <v>17.622440701858665</v>
      </c>
      <c r="J15" s="2562">
        <f>SUM(вода!CB120)</f>
        <v>18.73</v>
      </c>
      <c r="K15" s="2562">
        <f>вода!CT120</f>
        <v>20.891130000000004</v>
      </c>
      <c r="L15" s="2562">
        <f>SUM(вода!CF120)</f>
        <v>1.2734992225292316</v>
      </c>
      <c r="M15" s="2562">
        <f>SUM(вода!CI120)</f>
        <v>1.663698173815888</v>
      </c>
      <c r="N15" s="2562">
        <f>SUM(вода!CL120)</f>
        <v>2.2200061634995052</v>
      </c>
      <c r="O15" s="2636">
        <f>SUM('ВОДА (СВОД) 2016-2018'!O17-'Тариф вода 2016-2018 ПЛАН'!O15)</f>
        <v>17.236306547830281</v>
      </c>
      <c r="P15" s="2562">
        <f>вода!CP120</f>
        <v>20.599314650343089</v>
      </c>
      <c r="Q15" s="2562">
        <f>SUM(вода!CT120)</f>
        <v>20.891130000000004</v>
      </c>
      <c r="R15" s="2665" t="s">
        <v>10</v>
      </c>
    </row>
    <row r="16" spans="1:18" ht="22.5" customHeight="1">
      <c r="A16" s="2560" t="s">
        <v>931</v>
      </c>
      <c r="B16" s="2561" t="s">
        <v>932</v>
      </c>
      <c r="C16" s="2560" t="s">
        <v>918</v>
      </c>
      <c r="D16" s="2611">
        <v>0</v>
      </c>
      <c r="E16" s="2611">
        <v>0</v>
      </c>
      <c r="F16" s="2562">
        <v>0</v>
      </c>
      <c r="G16" s="2562">
        <v>0</v>
      </c>
      <c r="H16" s="2562">
        <v>0</v>
      </c>
      <c r="I16" s="2562">
        <v>0</v>
      </c>
      <c r="J16" s="2562">
        <f>I16</f>
        <v>0</v>
      </c>
      <c r="K16" s="2562">
        <v>0</v>
      </c>
      <c r="L16" s="2562">
        <v>0</v>
      </c>
      <c r="M16" s="2562">
        <v>0</v>
      </c>
      <c r="N16" s="2562">
        <v>0</v>
      </c>
      <c r="O16" s="2611">
        <v>0</v>
      </c>
      <c r="P16" s="2562">
        <v>0</v>
      </c>
      <c r="Q16" s="2562">
        <v>0</v>
      </c>
      <c r="R16" s="2665" t="s">
        <v>1643</v>
      </c>
    </row>
    <row r="17" spans="1:18" ht="30" customHeight="1">
      <c r="A17" s="2560" t="s">
        <v>933</v>
      </c>
      <c r="B17" s="2561" t="s">
        <v>934</v>
      </c>
      <c r="C17" s="2560" t="s">
        <v>918</v>
      </c>
      <c r="D17" s="2611">
        <v>0</v>
      </c>
      <c r="E17" s="2611">
        <v>0</v>
      </c>
      <c r="F17" s="2562">
        <v>0</v>
      </c>
      <c r="G17" s="2562">
        <v>0</v>
      </c>
      <c r="H17" s="2562">
        <v>0</v>
      </c>
      <c r="I17" s="2562">
        <v>0</v>
      </c>
      <c r="J17" s="2562">
        <v>0</v>
      </c>
      <c r="K17" s="2562">
        <v>0</v>
      </c>
      <c r="L17" s="2562">
        <v>0</v>
      </c>
      <c r="M17" s="2562">
        <v>0</v>
      </c>
      <c r="N17" s="2562">
        <v>0</v>
      </c>
      <c r="O17" s="2611">
        <v>0</v>
      </c>
      <c r="P17" s="2562">
        <v>0</v>
      </c>
      <c r="Q17" s="2562">
        <v>0</v>
      </c>
      <c r="R17" s="2665" t="s">
        <v>907</v>
      </c>
    </row>
    <row r="18" spans="1:18" ht="22.5" customHeight="1">
      <c r="A18" s="2560" t="s">
        <v>935</v>
      </c>
      <c r="B18" s="2561" t="s">
        <v>936</v>
      </c>
      <c r="C18" s="2560" t="s">
        <v>918</v>
      </c>
      <c r="D18" s="2611"/>
      <c r="E18" s="2611"/>
      <c r="F18" s="2562"/>
      <c r="G18" s="2562"/>
      <c r="H18" s="2562"/>
      <c r="I18" s="2562"/>
      <c r="J18" s="2562"/>
      <c r="K18" s="2562"/>
      <c r="L18" s="2562"/>
      <c r="M18" s="2562"/>
      <c r="N18" s="2562"/>
      <c r="O18" s="2611"/>
      <c r="P18" s="2562"/>
      <c r="Q18" s="2562"/>
      <c r="R18" s="2665"/>
    </row>
    <row r="19" spans="1:18" ht="21.75" customHeight="1">
      <c r="A19" s="2560" t="s">
        <v>937</v>
      </c>
      <c r="B19" s="2561" t="s">
        <v>938</v>
      </c>
      <c r="C19" s="2560" t="s">
        <v>918</v>
      </c>
      <c r="D19" s="2611"/>
      <c r="E19" s="2611"/>
      <c r="F19" s="2562"/>
      <c r="G19" s="2562"/>
      <c r="H19" s="2562"/>
      <c r="I19" s="2562"/>
      <c r="J19" s="2562"/>
      <c r="K19" s="2562"/>
      <c r="L19" s="2562"/>
      <c r="M19" s="2562"/>
      <c r="N19" s="2562"/>
      <c r="O19" s="2611"/>
      <c r="P19" s="2562"/>
      <c r="Q19" s="2562"/>
      <c r="R19" s="2665"/>
    </row>
    <row r="20" spans="1:18" ht="30.75" customHeight="1">
      <c r="A20" s="2560" t="s">
        <v>939</v>
      </c>
      <c r="B20" s="2561" t="s">
        <v>940</v>
      </c>
      <c r="C20" s="2560" t="s">
        <v>918</v>
      </c>
      <c r="D20" s="2636">
        <f>SUM('ВОДА (СВОД) 2016-2018'!D22-'Тариф вода 2016-2018 ПЛАН'!D20)</f>
        <v>17.5</v>
      </c>
      <c r="E20" s="2636">
        <f>SUM('ВОДА (СВОД) 2016-2018'!E22-'Тариф вода 2016-2018 ПЛАН'!E20)</f>
        <v>0</v>
      </c>
      <c r="F20" s="2562">
        <v>0</v>
      </c>
      <c r="G20" s="2562">
        <v>0</v>
      </c>
      <c r="H20" s="2562">
        <v>0</v>
      </c>
      <c r="I20" s="2562">
        <v>0</v>
      </c>
      <c r="J20" s="2562">
        <v>0</v>
      </c>
      <c r="K20" s="2562">
        <v>0</v>
      </c>
      <c r="L20" s="2562">
        <v>0</v>
      </c>
      <c r="M20" s="2562">
        <v>0</v>
      </c>
      <c r="N20" s="2562">
        <v>0</v>
      </c>
      <c r="O20" s="2636">
        <f>SUM('ВОДА (СВОД) 2016-2018'!O22-'Тариф вода 2016-2018 ПЛАН'!O20)</f>
        <v>0</v>
      </c>
      <c r="P20" s="2562">
        <v>0</v>
      </c>
      <c r="Q20" s="2562">
        <v>0</v>
      </c>
      <c r="R20" s="2665" t="s">
        <v>1644</v>
      </c>
    </row>
    <row r="21" spans="1:18" ht="22.5" customHeight="1">
      <c r="A21" s="2553" t="s">
        <v>941</v>
      </c>
      <c r="B21" s="2554" t="s">
        <v>2</v>
      </c>
      <c r="C21" s="2553" t="s">
        <v>918</v>
      </c>
      <c r="D21" s="2634">
        <f>SUM('ВОДА (СВОД) 2016-2018'!D23-'Тариф вода 2016-2018 ПЛАН'!D21)</f>
        <v>77.738225002468425</v>
      </c>
      <c r="E21" s="2634">
        <f>SUM('ВОДА (СВОД) 2016-2018'!E23-'Тариф вода 2016-2018 ПЛАН'!E21)</f>
        <v>32.462264034154941</v>
      </c>
      <c r="F21" s="2555">
        <f>вода!BN114</f>
        <v>2.8859122333422107</v>
      </c>
      <c r="G21" s="2555">
        <f>вода!BQ114</f>
        <v>3.9157321058873009</v>
      </c>
      <c r="H21" s="2555">
        <f>вода!BT114</f>
        <v>4.8109147766437275</v>
      </c>
      <c r="I21" s="2555">
        <f>вода!BJ114</f>
        <v>35.251328504673751</v>
      </c>
      <c r="J21" s="2555">
        <f>SUM(вода!CB114)</f>
        <v>19.43920809189558</v>
      </c>
      <c r="K21" s="2555">
        <f>вода!CT114</f>
        <v>21.095631989661342</v>
      </c>
      <c r="L21" s="2555">
        <f>SUM(вода!CF114)</f>
        <v>2.0795492829990962</v>
      </c>
      <c r="M21" s="2555">
        <f>SUM(вода!CI114)</f>
        <v>2.7444491171841037</v>
      </c>
      <c r="N21" s="2555">
        <f>SUM(вода!CL114)</f>
        <v>3.6621389933879982</v>
      </c>
      <c r="O21" s="2634">
        <f>SUM('ВОДА (СВОД) 2016-2018'!O23-'Тариф вода 2016-2018 ПЛАН'!O21)</f>
        <v>31.997672209026859</v>
      </c>
      <c r="P21" s="2555">
        <f>вода!CP114</f>
        <v>19.175161290322649</v>
      </c>
      <c r="Q21" s="2555">
        <f>SUM(вода!CT114)</f>
        <v>21.095631989661342</v>
      </c>
      <c r="R21" s="2666" t="s">
        <v>1645</v>
      </c>
    </row>
    <row r="22" spans="1:18" ht="22.5" customHeight="1">
      <c r="A22" s="2563" t="s">
        <v>202</v>
      </c>
      <c r="B22" s="2564" t="s">
        <v>942</v>
      </c>
      <c r="C22" s="2585" t="s">
        <v>44</v>
      </c>
      <c r="D22" s="2587">
        <f t="shared" ref="D22:I22" si="13">D23/(D10+D21)*100</f>
        <v>0</v>
      </c>
      <c r="E22" s="2587">
        <f t="shared" si="13"/>
        <v>0</v>
      </c>
      <c r="F22" s="2587">
        <f t="shared" si="13"/>
        <v>0</v>
      </c>
      <c r="G22" s="2587">
        <f t="shared" si="13"/>
        <v>0</v>
      </c>
      <c r="H22" s="2587">
        <f t="shared" si="13"/>
        <v>0</v>
      </c>
      <c r="I22" s="2587">
        <f t="shared" si="13"/>
        <v>0</v>
      </c>
      <c r="J22" s="2587">
        <f t="shared" ref="J22" si="14">J23/(J10+J21)*100</f>
        <v>0</v>
      </c>
      <c r="K22" s="2587">
        <f t="shared" ref="K22:Q22" si="15">K23/(K10+K21)*100</f>
        <v>0</v>
      </c>
      <c r="L22" s="2587">
        <f t="shared" ref="L22:M22" si="16">L23/(L10+L21)*100</f>
        <v>0</v>
      </c>
      <c r="M22" s="2587">
        <f t="shared" si="16"/>
        <v>0</v>
      </c>
      <c r="N22" s="2587">
        <f t="shared" ref="N22" si="17">N23/(N10+N21)*100</f>
        <v>0</v>
      </c>
      <c r="O22" s="2587">
        <f>O23/(O10+O21)*100</f>
        <v>0</v>
      </c>
      <c r="P22" s="2587">
        <f t="shared" si="15"/>
        <v>0</v>
      </c>
      <c r="Q22" s="2587">
        <f t="shared" si="15"/>
        <v>0</v>
      </c>
      <c r="R22" s="2667"/>
    </row>
    <row r="23" spans="1:18" ht="22.5" customHeight="1">
      <c r="A23" s="2553" t="s">
        <v>943</v>
      </c>
      <c r="B23" s="2554" t="s">
        <v>944</v>
      </c>
      <c r="C23" s="2553" t="s">
        <v>918</v>
      </c>
      <c r="D23" s="2555">
        <f t="shared" ref="D23:I23" si="18">D24+D25+D26</f>
        <v>0</v>
      </c>
      <c r="E23" s="2555">
        <f t="shared" si="18"/>
        <v>0</v>
      </c>
      <c r="F23" s="2555">
        <f t="shared" si="18"/>
        <v>0</v>
      </c>
      <c r="G23" s="2555">
        <f t="shared" si="18"/>
        <v>0</v>
      </c>
      <c r="H23" s="2555">
        <f t="shared" si="18"/>
        <v>0</v>
      </c>
      <c r="I23" s="2555">
        <f t="shared" si="18"/>
        <v>0</v>
      </c>
      <c r="J23" s="2555">
        <f t="shared" ref="J23" si="19">J24+J25+J26</f>
        <v>0</v>
      </c>
      <c r="K23" s="2555">
        <f t="shared" ref="K23:Q23" si="20">K24+K25+K26</f>
        <v>0</v>
      </c>
      <c r="L23" s="2555">
        <f t="shared" ref="L23:M23" si="21">L24+L25+L26</f>
        <v>0</v>
      </c>
      <c r="M23" s="2555">
        <f t="shared" si="21"/>
        <v>0</v>
      </c>
      <c r="N23" s="2555">
        <f t="shared" ref="N23" si="22">N24+N25+N26</f>
        <v>0</v>
      </c>
      <c r="O23" s="2555">
        <f>O24+O25+O26</f>
        <v>0</v>
      </c>
      <c r="P23" s="2555">
        <f t="shared" si="20"/>
        <v>0</v>
      </c>
      <c r="Q23" s="2555">
        <f t="shared" si="20"/>
        <v>0</v>
      </c>
      <c r="R23" s="2666"/>
    </row>
    <row r="24" spans="1:18" ht="22.5" customHeight="1">
      <c r="A24" s="2557" t="s">
        <v>945</v>
      </c>
      <c r="B24" s="2558" t="s">
        <v>946</v>
      </c>
      <c r="C24" s="2557" t="s">
        <v>918</v>
      </c>
      <c r="D24" s="2610"/>
      <c r="E24" s="2610"/>
      <c r="F24" s="2559">
        <v>0</v>
      </c>
      <c r="G24" s="2559">
        <v>0</v>
      </c>
      <c r="H24" s="2559">
        <v>0</v>
      </c>
      <c r="I24" s="2559">
        <v>0</v>
      </c>
      <c r="J24" s="2559">
        <v>0</v>
      </c>
      <c r="K24" s="2559">
        <v>0</v>
      </c>
      <c r="L24" s="2559">
        <v>0</v>
      </c>
      <c r="M24" s="2559">
        <v>0</v>
      </c>
      <c r="N24" s="2559">
        <v>0</v>
      </c>
      <c r="O24" s="2610">
        <v>0</v>
      </c>
      <c r="P24" s="2559">
        <v>0</v>
      </c>
      <c r="Q24" s="2559">
        <v>0</v>
      </c>
      <c r="R24" s="2664" t="s">
        <v>1597</v>
      </c>
    </row>
    <row r="25" spans="1:18" ht="50.25" customHeight="1">
      <c r="A25" s="2557" t="s">
        <v>947</v>
      </c>
      <c r="B25" s="2558" t="s">
        <v>948</v>
      </c>
      <c r="C25" s="2557" t="s">
        <v>918</v>
      </c>
      <c r="D25" s="2610"/>
      <c r="E25" s="2610"/>
      <c r="F25" s="2559"/>
      <c r="G25" s="2559"/>
      <c r="H25" s="2559"/>
      <c r="I25" s="2559"/>
      <c r="J25" s="2559"/>
      <c r="K25" s="2559"/>
      <c r="L25" s="2559"/>
      <c r="M25" s="2559"/>
      <c r="N25" s="2559"/>
      <c r="O25" s="2610"/>
      <c r="P25" s="2559"/>
      <c r="Q25" s="2559"/>
      <c r="R25" s="2664"/>
    </row>
    <row r="26" spans="1:18" ht="30.75" customHeight="1">
      <c r="A26" s="2557" t="s">
        <v>949</v>
      </c>
      <c r="B26" s="2558" t="s">
        <v>950</v>
      </c>
      <c r="C26" s="2557" t="s">
        <v>918</v>
      </c>
      <c r="D26" s="2610"/>
      <c r="E26" s="2610"/>
      <c r="F26" s="2559"/>
      <c r="G26" s="2559"/>
      <c r="H26" s="2559"/>
      <c r="I26" s="2559"/>
      <c r="J26" s="2559"/>
      <c r="K26" s="2559"/>
      <c r="L26" s="2559"/>
      <c r="M26" s="2559"/>
      <c r="N26" s="2559"/>
      <c r="O26" s="2610"/>
      <c r="P26" s="2559"/>
      <c r="Q26" s="2559"/>
      <c r="R26" s="2664"/>
    </row>
    <row r="27" spans="1:18" ht="31.5" customHeight="1">
      <c r="A27" s="2553" t="s">
        <v>203</v>
      </c>
      <c r="B27" s="2554" t="s">
        <v>951</v>
      </c>
      <c r="C27" s="2553" t="s">
        <v>918</v>
      </c>
      <c r="D27" s="2634">
        <f>SUM('ВОДА (СВОД) 2016-2018'!D29-'Тариф вода 2016-2018 ПЛАН'!D27)</f>
        <v>98.511044097010199</v>
      </c>
      <c r="E27" s="2634">
        <f>SUM('ВОДА (СВОД) 2016-2018'!E29-'Тариф вода 2016-2018 ПЛАН'!E27)</f>
        <v>0</v>
      </c>
      <c r="F27" s="2555">
        <v>0</v>
      </c>
      <c r="G27" s="2555">
        <v>0</v>
      </c>
      <c r="H27" s="2555">
        <v>0</v>
      </c>
      <c r="I27" s="2555">
        <v>0</v>
      </c>
      <c r="J27" s="2555">
        <v>0</v>
      </c>
      <c r="K27" s="2555">
        <f>SUM(вода!CT131)</f>
        <v>0</v>
      </c>
      <c r="L27" s="2555">
        <f>SUM(вода!CF131)</f>
        <v>0</v>
      </c>
      <c r="M27" s="2555">
        <f>SUM(вода!CI131)</f>
        <v>0</v>
      </c>
      <c r="N27" s="2555">
        <f>SUM(вода!CL131)</f>
        <v>0</v>
      </c>
      <c r="O27" s="2634">
        <f>SUM('ВОДА (СВОД) 2016-2018'!O29-'Тариф вода 2016-2018 ПЛАН'!O27)</f>
        <v>18.248004315756589</v>
      </c>
      <c r="P27" s="2555">
        <f>SUM(вода!CP131)</f>
        <v>18.366551371184539</v>
      </c>
      <c r="Q27" s="2555">
        <f>SUM(вода!CT131)</f>
        <v>0</v>
      </c>
      <c r="R27" s="2666" t="s">
        <v>1646</v>
      </c>
    </row>
    <row r="28" spans="1:18" ht="31.5" customHeight="1">
      <c r="A28" s="4440"/>
      <c r="B28" s="4440" t="s">
        <v>1905</v>
      </c>
      <c r="C28" s="4441" t="s">
        <v>918</v>
      </c>
      <c r="D28" s="4441"/>
      <c r="E28" s="4441"/>
      <c r="F28" s="4441"/>
      <c r="G28" s="4441"/>
      <c r="H28" s="4441"/>
      <c r="I28" s="4441"/>
      <c r="J28" s="4441"/>
      <c r="K28" s="4441"/>
      <c r="L28" s="4441"/>
      <c r="M28" s="4441"/>
      <c r="N28" s="4441"/>
      <c r="O28" s="4441"/>
      <c r="P28" s="4441"/>
      <c r="Q28" s="4441"/>
      <c r="R28" s="4441"/>
    </row>
    <row r="29" spans="1:18" ht="31.5" customHeight="1">
      <c r="A29" s="4442" t="s">
        <v>195</v>
      </c>
      <c r="B29" s="4443" t="s">
        <v>1906</v>
      </c>
      <c r="C29" s="4442" t="s">
        <v>918</v>
      </c>
      <c r="D29" s="4442"/>
      <c r="E29" s="4442"/>
      <c r="F29" s="4442"/>
      <c r="G29" s="4442"/>
      <c r="H29" s="4442"/>
      <c r="I29" s="4442"/>
      <c r="J29" s="4442"/>
      <c r="K29" s="4442"/>
      <c r="L29" s="4442"/>
      <c r="M29" s="4442"/>
      <c r="N29" s="4442"/>
      <c r="O29" s="4442"/>
      <c r="P29" s="4442"/>
      <c r="Q29" s="4487">
        <f>SUM(вода!CT125)</f>
        <v>254.72</v>
      </c>
      <c r="R29" s="4442"/>
    </row>
    <row r="30" spans="1:18" ht="31.5" customHeight="1">
      <c r="A30" s="4442" t="s">
        <v>955</v>
      </c>
      <c r="B30" s="4443" t="s">
        <v>1907</v>
      </c>
      <c r="C30" s="4442" t="s">
        <v>918</v>
      </c>
      <c r="D30" s="4442"/>
      <c r="E30" s="4442"/>
      <c r="F30" s="4442"/>
      <c r="G30" s="4442"/>
      <c r="H30" s="4442"/>
      <c r="I30" s="4442"/>
      <c r="J30" s="4442"/>
      <c r="K30" s="4442"/>
      <c r="L30" s="4442"/>
      <c r="M30" s="4442"/>
      <c r="N30" s="4442"/>
      <c r="O30" s="4442"/>
      <c r="P30" s="4442"/>
      <c r="Q30" s="4487">
        <f>SUM(вода!CT126)</f>
        <v>0</v>
      </c>
      <c r="R30" s="4442"/>
    </row>
    <row r="31" spans="1:18" ht="77.25" customHeight="1">
      <c r="A31" s="4442" t="s">
        <v>961</v>
      </c>
      <c r="B31" s="4444" t="s">
        <v>1908</v>
      </c>
      <c r="C31" s="4442" t="s">
        <v>918</v>
      </c>
      <c r="D31" s="4442"/>
      <c r="E31" s="4442"/>
      <c r="F31" s="4442"/>
      <c r="G31" s="4442"/>
      <c r="H31" s="4442"/>
      <c r="I31" s="4442"/>
      <c r="J31" s="4442"/>
      <c r="K31" s="4442"/>
      <c r="L31" s="4442"/>
      <c r="M31" s="4442"/>
      <c r="N31" s="4442"/>
      <c r="O31" s="4442"/>
      <c r="P31" s="4442"/>
      <c r="Q31" s="4487">
        <f>SUM(вода!CT127)</f>
        <v>-3.706200318684449</v>
      </c>
      <c r="R31" s="4442"/>
    </row>
    <row r="32" spans="1:18" ht="31.5" customHeight="1">
      <c r="A32" s="4445"/>
      <c r="B32" s="4446" t="s">
        <v>1909</v>
      </c>
      <c r="C32" s="4447" t="s">
        <v>918</v>
      </c>
      <c r="D32" s="4447"/>
      <c r="E32" s="4447"/>
      <c r="F32" s="4447"/>
      <c r="G32" s="4447"/>
      <c r="H32" s="4447"/>
      <c r="I32" s="4447"/>
      <c r="J32" s="4447"/>
      <c r="K32" s="4447"/>
      <c r="L32" s="4447"/>
      <c r="M32" s="4447"/>
      <c r="N32" s="4447"/>
      <c r="O32" s="4447"/>
      <c r="P32" s="4447"/>
      <c r="Q32" s="4486">
        <f>SUM(Q9+Q29+Q30+Q31)</f>
        <v>617.81188212212237</v>
      </c>
      <c r="R32" s="4447"/>
    </row>
    <row r="33" spans="1:18" ht="21.75" customHeight="1">
      <c r="A33" s="2549">
        <v>2</v>
      </c>
      <c r="B33" s="2550" t="s">
        <v>952</v>
      </c>
      <c r="C33" s="2549" t="s">
        <v>953</v>
      </c>
      <c r="D33" s="2641">
        <f>SUM(объемы!K46)</f>
        <v>46.13</v>
      </c>
      <c r="E33" s="2641">
        <f>SUM(объемы!S46)</f>
        <v>18.22</v>
      </c>
      <c r="F33" s="2551">
        <f>SUM(объемы!AA41)</f>
        <v>1.47</v>
      </c>
      <c r="G33" s="2551">
        <f>SUM(объемы!AB41)</f>
        <v>1.95</v>
      </c>
      <c r="H33" s="2551">
        <f>SUM(объемы!AC41)</f>
        <v>2.4</v>
      </c>
      <c r="I33" s="2551">
        <f>объемы!V39</f>
        <v>21.419999999999998</v>
      </c>
      <c r="J33" s="2551">
        <f>SUM(объемы!AE51)</f>
        <v>20.349</v>
      </c>
      <c r="K33" s="2551">
        <f>SUM(объемы!AJ51)</f>
        <v>21.42</v>
      </c>
      <c r="L33" s="2551">
        <f>SUM(объемы!AF51)</f>
        <v>1.08</v>
      </c>
      <c r="M33" s="2551">
        <f>SUM(объемы!AG51)</f>
        <v>1.39</v>
      </c>
      <c r="N33" s="2551">
        <f>SUM(объемы!AH51)</f>
        <v>1.85</v>
      </c>
      <c r="O33" s="2641">
        <f>SUM(объемы!AD51)</f>
        <v>18</v>
      </c>
      <c r="P33" s="2551">
        <f>SUM(объемы!AI51)</f>
        <v>20</v>
      </c>
      <c r="Q33" s="2551">
        <f>SUM(объемы!AJ51)</f>
        <v>21.42</v>
      </c>
      <c r="R33" s="2552"/>
    </row>
    <row r="34" spans="1:18" ht="22.5" customHeight="1">
      <c r="A34" s="2549" t="s">
        <v>196</v>
      </c>
      <c r="B34" s="2567" t="s">
        <v>954</v>
      </c>
      <c r="C34" s="2549" t="s">
        <v>953</v>
      </c>
      <c r="D34" s="2692">
        <v>0</v>
      </c>
      <c r="E34" s="2692">
        <v>0</v>
      </c>
      <c r="F34" s="2551">
        <v>0</v>
      </c>
      <c r="G34" s="2551">
        <v>0</v>
      </c>
      <c r="H34" s="2551">
        <v>0</v>
      </c>
      <c r="I34" s="2551">
        <v>0</v>
      </c>
      <c r="J34" s="2551">
        <v>0</v>
      </c>
      <c r="K34" s="2551">
        <v>0</v>
      </c>
      <c r="L34" s="2551">
        <v>0</v>
      </c>
      <c r="M34" s="2551">
        <v>0</v>
      </c>
      <c r="N34" s="2551">
        <v>0</v>
      </c>
      <c r="O34" s="2692">
        <v>0</v>
      </c>
      <c r="P34" s="2551">
        <v>0</v>
      </c>
      <c r="Q34" s="2551">
        <v>0</v>
      </c>
      <c r="R34" s="2552"/>
    </row>
    <row r="35" spans="1:18" ht="22.5" customHeight="1">
      <c r="A35" s="2568" t="s">
        <v>955</v>
      </c>
      <c r="B35" s="2569" t="s">
        <v>1638</v>
      </c>
      <c r="C35" s="2568" t="s">
        <v>957</v>
      </c>
      <c r="D35" s="2570">
        <f t="shared" ref="D35:O35" si="23">D9/D33</f>
        <v>18.832255062588665</v>
      </c>
      <c r="E35" s="2570">
        <f t="shared" si="23"/>
        <v>16.891281921056976</v>
      </c>
      <c r="F35" s="2570">
        <f t="shared" si="23"/>
        <v>16.747684575542802</v>
      </c>
      <c r="G35" s="2570">
        <f t="shared" si="23"/>
        <v>17.420189208311577</v>
      </c>
      <c r="H35" s="2570">
        <f t="shared" si="23"/>
        <v>17.475950615624932</v>
      </c>
      <c r="I35" s="2570">
        <f t="shared" si="23"/>
        <v>16.058988150598474</v>
      </c>
      <c r="J35" s="2570">
        <f>J9/J33-0.001</f>
        <v>16.996047198144574</v>
      </c>
      <c r="K35" s="2570">
        <f t="shared" ref="K35:P35" si="24">K9/K33</f>
        <v>17.084791005044849</v>
      </c>
      <c r="L35" s="2570">
        <f t="shared" ref="L35:M35" si="25">L9/L33</f>
        <v>16.145702315134223</v>
      </c>
      <c r="M35" s="2570">
        <f t="shared" si="25"/>
        <v>16.867560682028621</v>
      </c>
      <c r="N35" s="2570">
        <f t="shared" ref="N35" si="26">N9/N33</f>
        <v>17.030593762015993</v>
      </c>
      <c r="O35" s="2570">
        <f t="shared" si="23"/>
        <v>21.289338368381728</v>
      </c>
      <c r="P35" s="2570">
        <f t="shared" si="24"/>
        <v>19.284878939743766</v>
      </c>
      <c r="Q35" s="2570">
        <f>Q32/Q33</f>
        <v>28.842758269006644</v>
      </c>
      <c r="R35" s="2546"/>
    </row>
    <row r="36" spans="1:18" ht="21.75" customHeight="1">
      <c r="A36" s="2568"/>
      <c r="B36" s="2571" t="s">
        <v>958</v>
      </c>
      <c r="C36" s="2568" t="s">
        <v>957</v>
      </c>
      <c r="D36" s="2637">
        <f>SUM('расчет тарифов '!F9)</f>
        <v>18.420000000000002</v>
      </c>
      <c r="E36" s="2637"/>
      <c r="F36" s="2570"/>
      <c r="G36" s="2570"/>
      <c r="H36" s="2570"/>
      <c r="I36" s="2570">
        <v>16.059999999999999</v>
      </c>
      <c r="J36" s="2570">
        <f>I37</f>
        <v>16.057976301196948</v>
      </c>
      <c r="K36" s="2570">
        <f>SUM(J37)</f>
        <v>17.934118095092199</v>
      </c>
      <c r="L36" s="2570"/>
      <c r="M36" s="2570"/>
      <c r="N36" s="2570"/>
      <c r="O36" s="2637">
        <f>SUM(I37)</f>
        <v>16.057976301196948</v>
      </c>
      <c r="P36" s="2570">
        <f>SUM(J37)</f>
        <v>17.934118095092199</v>
      </c>
      <c r="Q36" s="2570">
        <f>SUM(J37)</f>
        <v>17.934118095092199</v>
      </c>
      <c r="R36" s="2546"/>
    </row>
    <row r="37" spans="1:18" ht="21.75" customHeight="1">
      <c r="A37" s="2568"/>
      <c r="B37" s="2571" t="s">
        <v>959</v>
      </c>
      <c r="C37" s="2568" t="s">
        <v>957</v>
      </c>
      <c r="D37" s="2637">
        <f>SUM('расчет тарифов '!K9)</f>
        <v>20.11</v>
      </c>
      <c r="E37" s="2637"/>
      <c r="F37" s="2570"/>
      <c r="G37" s="2570"/>
      <c r="H37" s="2570"/>
      <c r="I37" s="2570">
        <f t="shared" ref="I37:Q37" si="27">I35*2-I36</f>
        <v>16.057976301196948</v>
      </c>
      <c r="J37" s="2570">
        <f t="shared" si="27"/>
        <v>17.934118095092199</v>
      </c>
      <c r="K37" s="2570">
        <f t="shared" si="27"/>
        <v>16.235463914997499</v>
      </c>
      <c r="L37" s="2570"/>
      <c r="M37" s="2570"/>
      <c r="N37" s="2570"/>
      <c r="O37" s="2570">
        <f t="shared" si="27"/>
        <v>26.520700435566507</v>
      </c>
      <c r="P37" s="2570">
        <f t="shared" si="27"/>
        <v>20.635639784395334</v>
      </c>
      <c r="Q37" s="2570">
        <f t="shared" si="27"/>
        <v>39.751398442921086</v>
      </c>
      <c r="R37" s="2546"/>
    </row>
    <row r="38" spans="1:18" ht="21.75" customHeight="1">
      <c r="A38" s="2568"/>
      <c r="B38" s="2569" t="s">
        <v>960</v>
      </c>
      <c r="C38" s="2568"/>
      <c r="D38" s="2600"/>
      <c r="E38" s="2600"/>
      <c r="F38" s="2570"/>
      <c r="G38" s="2570"/>
      <c r="H38" s="2570"/>
      <c r="I38" s="2570"/>
      <c r="J38" s="2570"/>
      <c r="K38" s="2570"/>
      <c r="L38" s="2570"/>
      <c r="M38" s="2570"/>
      <c r="N38" s="2570"/>
      <c r="O38" s="2600"/>
      <c r="P38" s="2570"/>
      <c r="Q38" s="2570"/>
      <c r="R38" s="2546"/>
    </row>
    <row r="39" spans="1:18" ht="21.75" customHeight="1">
      <c r="A39" s="2568"/>
      <c r="B39" s="2571" t="s">
        <v>958</v>
      </c>
      <c r="C39" s="2568" t="s">
        <v>44</v>
      </c>
      <c r="D39" s="2639">
        <v>100</v>
      </c>
      <c r="E39" s="2639"/>
      <c r="F39" s="2570"/>
      <c r="G39" s="2570"/>
      <c r="H39" s="2570"/>
      <c r="I39" s="2570">
        <f>SUM(I36/D37)*100</f>
        <v>79.860765788165082</v>
      </c>
      <c r="J39" s="2570">
        <f>J36/I37*100</f>
        <v>100</v>
      </c>
      <c r="K39" s="2570">
        <f>SUM(K36/J37)*100</f>
        <v>100</v>
      </c>
      <c r="L39" s="2570"/>
      <c r="M39" s="2570"/>
      <c r="N39" s="2570"/>
      <c r="O39" s="2570">
        <f>O36/I37*100</f>
        <v>100</v>
      </c>
      <c r="P39" s="2570">
        <f>SUM(P36/J37)*100</f>
        <v>100</v>
      </c>
      <c r="Q39" s="2570">
        <f>SUM(Q36/J37)*100</f>
        <v>100</v>
      </c>
      <c r="R39" s="2546"/>
    </row>
    <row r="40" spans="1:18" ht="21.75" customHeight="1">
      <c r="A40" s="2568"/>
      <c r="B40" s="2571" t="s">
        <v>959</v>
      </c>
      <c r="C40" s="2568" t="s">
        <v>44</v>
      </c>
      <c r="D40" s="2570">
        <f>D37/D36*100</f>
        <v>109.17480998914222</v>
      </c>
      <c r="E40" s="2570"/>
      <c r="F40" s="2570"/>
      <c r="G40" s="2570"/>
      <c r="H40" s="2570"/>
      <c r="I40" s="2570">
        <f t="shared" ref="I40:P40" si="28">I37/I36*100</f>
        <v>99.987399135721972</v>
      </c>
      <c r="J40" s="2570">
        <f t="shared" si="28"/>
        <v>111.68355064613841</v>
      </c>
      <c r="K40" s="2570">
        <f t="shared" si="28"/>
        <v>90.528365146878627</v>
      </c>
      <c r="L40" s="2570"/>
      <c r="M40" s="2570"/>
      <c r="N40" s="2570"/>
      <c r="O40" s="2570">
        <f t="shared" si="28"/>
        <v>165.15593209332161</v>
      </c>
      <c r="P40" s="2570">
        <f t="shared" si="28"/>
        <v>115.06358815626638</v>
      </c>
      <c r="Q40" s="2570">
        <f t="shared" ref="Q40" si="29">Q37/Q36*100</f>
        <v>221.65237360514172</v>
      </c>
      <c r="R40" s="2546"/>
    </row>
    <row r="41" spans="1:18" ht="15">
      <c r="A41" s="2572"/>
      <c r="B41" s="2573"/>
      <c r="C41" s="2574"/>
      <c r="D41" s="2574"/>
      <c r="E41" s="2574"/>
      <c r="F41" s="2574"/>
      <c r="G41" s="2574"/>
      <c r="H41" s="2574"/>
      <c r="I41" s="2574"/>
      <c r="J41" s="2574"/>
      <c r="K41" s="2574"/>
      <c r="L41" s="2574"/>
      <c r="M41" s="2574"/>
      <c r="N41" s="2574"/>
      <c r="O41" s="2574"/>
      <c r="P41" s="2574"/>
      <c r="Q41" s="2574"/>
      <c r="R41" s="2575"/>
    </row>
    <row r="42" spans="1:18" ht="21.75" customHeight="1">
      <c r="A42" s="2576" t="s">
        <v>961</v>
      </c>
      <c r="B42" s="2577" t="s">
        <v>962</v>
      </c>
      <c r="C42" s="2578"/>
      <c r="D42" s="2612"/>
      <c r="E42" s="2612"/>
      <c r="F42" s="2578"/>
      <c r="G42" s="2578"/>
      <c r="H42" s="2578"/>
      <c r="I42" s="2578"/>
      <c r="J42" s="2578"/>
      <c r="K42" s="2578"/>
      <c r="L42" s="2578"/>
      <c r="M42" s="2578"/>
      <c r="N42" s="2578"/>
      <c r="O42" s="2578"/>
      <c r="P42" s="2930"/>
      <c r="Q42" s="2578"/>
      <c r="R42" s="2578"/>
    </row>
    <row r="43" spans="1:18" ht="21.75" customHeight="1">
      <c r="A43" s="2578"/>
      <c r="B43" s="2579" t="s">
        <v>958</v>
      </c>
      <c r="C43" s="2580" t="s">
        <v>963</v>
      </c>
      <c r="D43" s="2613"/>
      <c r="E43" s="2613"/>
      <c r="F43" s="2578"/>
      <c r="G43" s="2578"/>
      <c r="H43" s="2578"/>
      <c r="I43" s="2578"/>
      <c r="J43" s="2582"/>
      <c r="K43" s="2582"/>
      <c r="L43" s="2582"/>
      <c r="M43" s="2582"/>
      <c r="N43" s="2582"/>
      <c r="O43" s="2582"/>
      <c r="P43" s="2931"/>
      <c r="Q43" s="2582"/>
      <c r="R43" s="2578"/>
    </row>
    <row r="44" spans="1:18" ht="21.75" customHeight="1">
      <c r="A44" s="2578"/>
      <c r="B44" s="2579" t="s">
        <v>959</v>
      </c>
      <c r="C44" s="2580" t="s">
        <v>963</v>
      </c>
      <c r="D44" s="2613"/>
      <c r="E44" s="2613"/>
      <c r="F44" s="2578"/>
      <c r="G44" s="2578"/>
      <c r="H44" s="2578"/>
      <c r="I44" s="2578"/>
      <c r="J44" s="2578"/>
      <c r="K44" s="2578"/>
      <c r="L44" s="2578"/>
      <c r="M44" s="2578"/>
      <c r="N44" s="2578"/>
      <c r="O44" s="2578"/>
      <c r="P44" s="2930"/>
      <c r="Q44" s="2578"/>
      <c r="R44" s="2578"/>
    </row>
    <row r="45" spans="1:18" ht="21.75" customHeight="1">
      <c r="A45" s="2578"/>
      <c r="B45" s="2579" t="s">
        <v>363</v>
      </c>
      <c r="C45" s="2580" t="s">
        <v>44</v>
      </c>
      <c r="D45" s="2613"/>
      <c r="E45" s="2613"/>
      <c r="F45" s="2578"/>
      <c r="G45" s="2578"/>
      <c r="H45" s="2578"/>
      <c r="I45" s="2578"/>
      <c r="J45" s="2578"/>
      <c r="K45" s="2578"/>
      <c r="L45" s="2578"/>
      <c r="M45" s="2578"/>
      <c r="N45" s="2578"/>
      <c r="O45" s="2578"/>
      <c r="P45" s="2930"/>
      <c r="Q45" s="2578"/>
      <c r="R45" s="2578"/>
    </row>
    <row r="46" spans="1:18" ht="21.75" customHeight="1">
      <c r="A46" s="2578"/>
      <c r="B46" s="2577" t="s">
        <v>964</v>
      </c>
      <c r="C46" s="2580" t="s">
        <v>918</v>
      </c>
      <c r="D46" s="2613"/>
      <c r="E46" s="2613"/>
      <c r="F46" s="2578"/>
      <c r="G46" s="2578"/>
      <c r="H46" s="2578"/>
      <c r="I46" s="2578"/>
      <c r="J46" s="2578"/>
      <c r="K46" s="2578"/>
      <c r="L46" s="2578"/>
      <c r="M46" s="2578"/>
      <c r="N46" s="2578"/>
      <c r="O46" s="2578"/>
      <c r="P46" s="2930"/>
      <c r="Q46" s="2578"/>
      <c r="R46" s="2578"/>
    </row>
  </sheetData>
  <mergeCells count="22">
    <mergeCell ref="H6:H8"/>
    <mergeCell ref="C6:C8"/>
    <mergeCell ref="I6:I8"/>
    <mergeCell ref="E6:E8"/>
    <mergeCell ref="F6:F8"/>
    <mergeCell ref="G6:G8"/>
    <mergeCell ref="D4:D5"/>
    <mergeCell ref="D6:D8"/>
    <mergeCell ref="F4:H5"/>
    <mergeCell ref="A1:R1"/>
    <mergeCell ref="A2:R2"/>
    <mergeCell ref="A4:A5"/>
    <mergeCell ref="B4:B5"/>
    <mergeCell ref="C4:C5"/>
    <mergeCell ref="I4:K4"/>
    <mergeCell ref="R4:R5"/>
    <mergeCell ref="O4:P4"/>
    <mergeCell ref="L4:N4"/>
    <mergeCell ref="E4:E5"/>
    <mergeCell ref="L6:L8"/>
    <mergeCell ref="M6:M8"/>
    <mergeCell ref="N6:N8"/>
  </mergeCells>
  <printOptions horizontalCentered="1" verticalCentered="1"/>
  <pageMargins left="0.11811023622047245" right="0.11811023622047245" top="0.15748031496062992" bottom="0.15748031496062992" header="0.31496062992125984" footer="0.31496062992125984"/>
  <pageSetup paperSize="9" scale="48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00B0F0"/>
    <pageSetUpPr fitToPage="1"/>
  </sheetPr>
  <dimension ref="A1:R47"/>
  <sheetViews>
    <sheetView zoomScale="70" zoomScaleNormal="70" zoomScaleSheetLayoutView="75" workbookViewId="0">
      <pane xSplit="2" ySplit="5" topLeftCell="D6" activePane="bottomRight" state="frozen"/>
      <selection pane="topRight" activeCell="C1" sqref="C1"/>
      <selection pane="bottomLeft" activeCell="A6" sqref="A6"/>
      <selection pane="bottomRight" activeCell="N5" sqref="N5"/>
    </sheetView>
  </sheetViews>
  <sheetFormatPr defaultColWidth="0.85546875" defaultRowHeight="15"/>
  <cols>
    <col min="1" max="1" width="9.85546875" style="1864" customWidth="1"/>
    <col min="2" max="2" width="81.85546875" style="1903" customWidth="1"/>
    <col min="3" max="5" width="12.7109375" style="1864" customWidth="1"/>
    <col min="6" max="7" width="12.7109375" style="1864" hidden="1" customWidth="1"/>
    <col min="8" max="8" width="12.7109375" style="1864" customWidth="1"/>
    <col min="9" max="9" width="12.42578125" style="1864" customWidth="1"/>
    <col min="10" max="10" width="14.5703125" style="1864" customWidth="1"/>
    <col min="11" max="14" width="12.28515625" style="1864" customWidth="1"/>
    <col min="15" max="16" width="14" style="1864" customWidth="1"/>
    <col min="17" max="17" width="16" style="1864" customWidth="1"/>
    <col min="18" max="18" width="33" style="1864" customWidth="1"/>
    <col min="19" max="19" width="46.85546875" style="1864" customWidth="1"/>
    <col min="20" max="22" width="12.7109375" style="1864" customWidth="1"/>
    <col min="23" max="23" width="9.28515625" style="1864" customWidth="1"/>
    <col min="24" max="24" width="13.5703125" style="1864" customWidth="1"/>
    <col min="25" max="25" width="10.28515625" style="1864" customWidth="1"/>
    <col min="26" max="26" width="12.85546875" style="1864" customWidth="1"/>
    <col min="27" max="27" width="9.140625" style="1864" customWidth="1"/>
    <col min="28" max="28" width="9.7109375" style="1864" customWidth="1"/>
    <col min="29" max="29" width="9.28515625" style="1864" customWidth="1"/>
    <col min="30" max="30" width="9.42578125" style="1864" customWidth="1"/>
    <col min="31" max="31" width="10.5703125" style="1864" customWidth="1"/>
    <col min="32" max="32" width="12.42578125" style="1864" customWidth="1"/>
    <col min="33" max="33" width="14.5703125" style="1864" customWidth="1"/>
    <col min="34" max="34" width="12.28515625" style="1864" customWidth="1"/>
    <col min="35" max="35" width="25.85546875" style="1864" customWidth="1"/>
    <col min="36" max="267" width="0.85546875" style="1864"/>
    <col min="268" max="268" width="9.85546875" style="1864" customWidth="1"/>
    <col min="269" max="269" width="81.85546875" style="1864" customWidth="1"/>
    <col min="270" max="270" width="12.7109375" style="1864" customWidth="1"/>
    <col min="271" max="271" width="12.42578125" style="1864" customWidth="1"/>
    <col min="272" max="272" width="14.5703125" style="1864" customWidth="1"/>
    <col min="273" max="273" width="12.28515625" style="1864" customWidth="1"/>
    <col min="274" max="274" width="38.140625" style="1864" customWidth="1"/>
    <col min="275" max="275" width="46.85546875" style="1864" customWidth="1"/>
    <col min="276" max="278" width="12.7109375" style="1864" customWidth="1"/>
    <col min="279" max="279" width="9.28515625" style="1864" customWidth="1"/>
    <col min="280" max="280" width="13.5703125" style="1864" customWidth="1"/>
    <col min="281" max="281" width="10.28515625" style="1864" customWidth="1"/>
    <col min="282" max="282" width="12.85546875" style="1864" customWidth="1"/>
    <col min="283" max="283" width="9.140625" style="1864" customWidth="1"/>
    <col min="284" max="284" width="9.7109375" style="1864" customWidth="1"/>
    <col min="285" max="285" width="9.28515625" style="1864" customWidth="1"/>
    <col min="286" max="286" width="9.42578125" style="1864" customWidth="1"/>
    <col min="287" max="287" width="10.5703125" style="1864" customWidth="1"/>
    <col min="288" max="288" width="12.42578125" style="1864" customWidth="1"/>
    <col min="289" max="289" width="14.5703125" style="1864" customWidth="1"/>
    <col min="290" max="290" width="12.28515625" style="1864" customWidth="1"/>
    <col min="291" max="291" width="25.85546875" style="1864" customWidth="1"/>
    <col min="292" max="523" width="0.85546875" style="1864"/>
    <col min="524" max="524" width="9.85546875" style="1864" customWidth="1"/>
    <col min="525" max="525" width="81.85546875" style="1864" customWidth="1"/>
    <col min="526" max="526" width="12.7109375" style="1864" customWidth="1"/>
    <col min="527" max="527" width="12.42578125" style="1864" customWidth="1"/>
    <col min="528" max="528" width="14.5703125" style="1864" customWidth="1"/>
    <col min="529" max="529" width="12.28515625" style="1864" customWidth="1"/>
    <col min="530" max="530" width="38.140625" style="1864" customWidth="1"/>
    <col min="531" max="531" width="46.85546875" style="1864" customWidth="1"/>
    <col min="532" max="534" width="12.7109375" style="1864" customWidth="1"/>
    <col min="535" max="535" width="9.28515625" style="1864" customWidth="1"/>
    <col min="536" max="536" width="13.5703125" style="1864" customWidth="1"/>
    <col min="537" max="537" width="10.28515625" style="1864" customWidth="1"/>
    <col min="538" max="538" width="12.85546875" style="1864" customWidth="1"/>
    <col min="539" max="539" width="9.140625" style="1864" customWidth="1"/>
    <col min="540" max="540" width="9.7109375" style="1864" customWidth="1"/>
    <col min="541" max="541" width="9.28515625" style="1864" customWidth="1"/>
    <col min="542" max="542" width="9.42578125" style="1864" customWidth="1"/>
    <col min="543" max="543" width="10.5703125" style="1864" customWidth="1"/>
    <col min="544" max="544" width="12.42578125" style="1864" customWidth="1"/>
    <col min="545" max="545" width="14.5703125" style="1864" customWidth="1"/>
    <col min="546" max="546" width="12.28515625" style="1864" customWidth="1"/>
    <col min="547" max="547" width="25.85546875" style="1864" customWidth="1"/>
    <col min="548" max="779" width="0.85546875" style="1864"/>
    <col min="780" max="780" width="9.85546875" style="1864" customWidth="1"/>
    <col min="781" max="781" width="81.85546875" style="1864" customWidth="1"/>
    <col min="782" max="782" width="12.7109375" style="1864" customWidth="1"/>
    <col min="783" max="783" width="12.42578125" style="1864" customWidth="1"/>
    <col min="784" max="784" width="14.5703125" style="1864" customWidth="1"/>
    <col min="785" max="785" width="12.28515625" style="1864" customWidth="1"/>
    <col min="786" max="786" width="38.140625" style="1864" customWidth="1"/>
    <col min="787" max="787" width="46.85546875" style="1864" customWidth="1"/>
    <col min="788" max="790" width="12.7109375" style="1864" customWidth="1"/>
    <col min="791" max="791" width="9.28515625" style="1864" customWidth="1"/>
    <col min="792" max="792" width="13.5703125" style="1864" customWidth="1"/>
    <col min="793" max="793" width="10.28515625" style="1864" customWidth="1"/>
    <col min="794" max="794" width="12.85546875" style="1864" customWidth="1"/>
    <col min="795" max="795" width="9.140625" style="1864" customWidth="1"/>
    <col min="796" max="796" width="9.7109375" style="1864" customWidth="1"/>
    <col min="797" max="797" width="9.28515625" style="1864" customWidth="1"/>
    <col min="798" max="798" width="9.42578125" style="1864" customWidth="1"/>
    <col min="799" max="799" width="10.5703125" style="1864" customWidth="1"/>
    <col min="800" max="800" width="12.42578125" style="1864" customWidth="1"/>
    <col min="801" max="801" width="14.5703125" style="1864" customWidth="1"/>
    <col min="802" max="802" width="12.28515625" style="1864" customWidth="1"/>
    <col min="803" max="803" width="25.85546875" style="1864" customWidth="1"/>
    <col min="804" max="1035" width="0.85546875" style="1864"/>
    <col min="1036" max="1036" width="9.85546875" style="1864" customWidth="1"/>
    <col min="1037" max="1037" width="81.85546875" style="1864" customWidth="1"/>
    <col min="1038" max="1038" width="12.7109375" style="1864" customWidth="1"/>
    <col min="1039" max="1039" width="12.42578125" style="1864" customWidth="1"/>
    <col min="1040" max="1040" width="14.5703125" style="1864" customWidth="1"/>
    <col min="1041" max="1041" width="12.28515625" style="1864" customWidth="1"/>
    <col min="1042" max="1042" width="38.140625" style="1864" customWidth="1"/>
    <col min="1043" max="1043" width="46.85546875" style="1864" customWidth="1"/>
    <col min="1044" max="1046" width="12.7109375" style="1864" customWidth="1"/>
    <col min="1047" max="1047" width="9.28515625" style="1864" customWidth="1"/>
    <col min="1048" max="1048" width="13.5703125" style="1864" customWidth="1"/>
    <col min="1049" max="1049" width="10.28515625" style="1864" customWidth="1"/>
    <col min="1050" max="1050" width="12.85546875" style="1864" customWidth="1"/>
    <col min="1051" max="1051" width="9.140625" style="1864" customWidth="1"/>
    <col min="1052" max="1052" width="9.7109375" style="1864" customWidth="1"/>
    <col min="1053" max="1053" width="9.28515625" style="1864" customWidth="1"/>
    <col min="1054" max="1054" width="9.42578125" style="1864" customWidth="1"/>
    <col min="1055" max="1055" width="10.5703125" style="1864" customWidth="1"/>
    <col min="1056" max="1056" width="12.42578125" style="1864" customWidth="1"/>
    <col min="1057" max="1057" width="14.5703125" style="1864" customWidth="1"/>
    <col min="1058" max="1058" width="12.28515625" style="1864" customWidth="1"/>
    <col min="1059" max="1059" width="25.85546875" style="1864" customWidth="1"/>
    <col min="1060" max="1291" width="0.85546875" style="1864"/>
    <col min="1292" max="1292" width="9.85546875" style="1864" customWidth="1"/>
    <col min="1293" max="1293" width="81.85546875" style="1864" customWidth="1"/>
    <col min="1294" max="1294" width="12.7109375" style="1864" customWidth="1"/>
    <col min="1295" max="1295" width="12.42578125" style="1864" customWidth="1"/>
    <col min="1296" max="1296" width="14.5703125" style="1864" customWidth="1"/>
    <col min="1297" max="1297" width="12.28515625" style="1864" customWidth="1"/>
    <col min="1298" max="1298" width="38.140625" style="1864" customWidth="1"/>
    <col min="1299" max="1299" width="46.85546875" style="1864" customWidth="1"/>
    <col min="1300" max="1302" width="12.7109375" style="1864" customWidth="1"/>
    <col min="1303" max="1303" width="9.28515625" style="1864" customWidth="1"/>
    <col min="1304" max="1304" width="13.5703125" style="1864" customWidth="1"/>
    <col min="1305" max="1305" width="10.28515625" style="1864" customWidth="1"/>
    <col min="1306" max="1306" width="12.85546875" style="1864" customWidth="1"/>
    <col min="1307" max="1307" width="9.140625" style="1864" customWidth="1"/>
    <col min="1308" max="1308" width="9.7109375" style="1864" customWidth="1"/>
    <col min="1309" max="1309" width="9.28515625" style="1864" customWidth="1"/>
    <col min="1310" max="1310" width="9.42578125" style="1864" customWidth="1"/>
    <col min="1311" max="1311" width="10.5703125" style="1864" customWidth="1"/>
    <col min="1312" max="1312" width="12.42578125" style="1864" customWidth="1"/>
    <col min="1313" max="1313" width="14.5703125" style="1864" customWidth="1"/>
    <col min="1314" max="1314" width="12.28515625" style="1864" customWidth="1"/>
    <col min="1315" max="1315" width="25.85546875" style="1864" customWidth="1"/>
    <col min="1316" max="1547" width="0.85546875" style="1864"/>
    <col min="1548" max="1548" width="9.85546875" style="1864" customWidth="1"/>
    <col min="1549" max="1549" width="81.85546875" style="1864" customWidth="1"/>
    <col min="1550" max="1550" width="12.7109375" style="1864" customWidth="1"/>
    <col min="1551" max="1551" width="12.42578125" style="1864" customWidth="1"/>
    <col min="1552" max="1552" width="14.5703125" style="1864" customWidth="1"/>
    <col min="1553" max="1553" width="12.28515625" style="1864" customWidth="1"/>
    <col min="1554" max="1554" width="38.140625" style="1864" customWidth="1"/>
    <col min="1555" max="1555" width="46.85546875" style="1864" customWidth="1"/>
    <col min="1556" max="1558" width="12.7109375" style="1864" customWidth="1"/>
    <col min="1559" max="1559" width="9.28515625" style="1864" customWidth="1"/>
    <col min="1560" max="1560" width="13.5703125" style="1864" customWidth="1"/>
    <col min="1561" max="1561" width="10.28515625" style="1864" customWidth="1"/>
    <col min="1562" max="1562" width="12.85546875" style="1864" customWidth="1"/>
    <col min="1563" max="1563" width="9.140625" style="1864" customWidth="1"/>
    <col min="1564" max="1564" width="9.7109375" style="1864" customWidth="1"/>
    <col min="1565" max="1565" width="9.28515625" style="1864" customWidth="1"/>
    <col min="1566" max="1566" width="9.42578125" style="1864" customWidth="1"/>
    <col min="1567" max="1567" width="10.5703125" style="1864" customWidth="1"/>
    <col min="1568" max="1568" width="12.42578125" style="1864" customWidth="1"/>
    <col min="1569" max="1569" width="14.5703125" style="1864" customWidth="1"/>
    <col min="1570" max="1570" width="12.28515625" style="1864" customWidth="1"/>
    <col min="1571" max="1571" width="25.85546875" style="1864" customWidth="1"/>
    <col min="1572" max="1803" width="0.85546875" style="1864"/>
    <col min="1804" max="1804" width="9.85546875" style="1864" customWidth="1"/>
    <col min="1805" max="1805" width="81.85546875" style="1864" customWidth="1"/>
    <col min="1806" max="1806" width="12.7109375" style="1864" customWidth="1"/>
    <col min="1807" max="1807" width="12.42578125" style="1864" customWidth="1"/>
    <col min="1808" max="1808" width="14.5703125" style="1864" customWidth="1"/>
    <col min="1809" max="1809" width="12.28515625" style="1864" customWidth="1"/>
    <col min="1810" max="1810" width="38.140625" style="1864" customWidth="1"/>
    <col min="1811" max="1811" width="46.85546875" style="1864" customWidth="1"/>
    <col min="1812" max="1814" width="12.7109375" style="1864" customWidth="1"/>
    <col min="1815" max="1815" width="9.28515625" style="1864" customWidth="1"/>
    <col min="1816" max="1816" width="13.5703125" style="1864" customWidth="1"/>
    <col min="1817" max="1817" width="10.28515625" style="1864" customWidth="1"/>
    <col min="1818" max="1818" width="12.85546875" style="1864" customWidth="1"/>
    <col min="1819" max="1819" width="9.140625" style="1864" customWidth="1"/>
    <col min="1820" max="1820" width="9.7109375" style="1864" customWidth="1"/>
    <col min="1821" max="1821" width="9.28515625" style="1864" customWidth="1"/>
    <col min="1822" max="1822" width="9.42578125" style="1864" customWidth="1"/>
    <col min="1823" max="1823" width="10.5703125" style="1864" customWidth="1"/>
    <col min="1824" max="1824" width="12.42578125" style="1864" customWidth="1"/>
    <col min="1825" max="1825" width="14.5703125" style="1864" customWidth="1"/>
    <col min="1826" max="1826" width="12.28515625" style="1864" customWidth="1"/>
    <col min="1827" max="1827" width="25.85546875" style="1864" customWidth="1"/>
    <col min="1828" max="2059" width="0.85546875" style="1864"/>
    <col min="2060" max="2060" width="9.85546875" style="1864" customWidth="1"/>
    <col min="2061" max="2061" width="81.85546875" style="1864" customWidth="1"/>
    <col min="2062" max="2062" width="12.7109375" style="1864" customWidth="1"/>
    <col min="2063" max="2063" width="12.42578125" style="1864" customWidth="1"/>
    <col min="2064" max="2064" width="14.5703125" style="1864" customWidth="1"/>
    <col min="2065" max="2065" width="12.28515625" style="1864" customWidth="1"/>
    <col min="2066" max="2066" width="38.140625" style="1864" customWidth="1"/>
    <col min="2067" max="2067" width="46.85546875" style="1864" customWidth="1"/>
    <col min="2068" max="2070" width="12.7109375" style="1864" customWidth="1"/>
    <col min="2071" max="2071" width="9.28515625" style="1864" customWidth="1"/>
    <col min="2072" max="2072" width="13.5703125" style="1864" customWidth="1"/>
    <col min="2073" max="2073" width="10.28515625" style="1864" customWidth="1"/>
    <col min="2074" max="2074" width="12.85546875" style="1864" customWidth="1"/>
    <col min="2075" max="2075" width="9.140625" style="1864" customWidth="1"/>
    <col min="2076" max="2076" width="9.7109375" style="1864" customWidth="1"/>
    <col min="2077" max="2077" width="9.28515625" style="1864" customWidth="1"/>
    <col min="2078" max="2078" width="9.42578125" style="1864" customWidth="1"/>
    <col min="2079" max="2079" width="10.5703125" style="1864" customWidth="1"/>
    <col min="2080" max="2080" width="12.42578125" style="1864" customWidth="1"/>
    <col min="2081" max="2081" width="14.5703125" style="1864" customWidth="1"/>
    <col min="2082" max="2082" width="12.28515625" style="1864" customWidth="1"/>
    <col min="2083" max="2083" width="25.85546875" style="1864" customWidth="1"/>
    <col min="2084" max="2315" width="0.85546875" style="1864"/>
    <col min="2316" max="2316" width="9.85546875" style="1864" customWidth="1"/>
    <col min="2317" max="2317" width="81.85546875" style="1864" customWidth="1"/>
    <col min="2318" max="2318" width="12.7109375" style="1864" customWidth="1"/>
    <col min="2319" max="2319" width="12.42578125" style="1864" customWidth="1"/>
    <col min="2320" max="2320" width="14.5703125" style="1864" customWidth="1"/>
    <col min="2321" max="2321" width="12.28515625" style="1864" customWidth="1"/>
    <col min="2322" max="2322" width="38.140625" style="1864" customWidth="1"/>
    <col min="2323" max="2323" width="46.85546875" style="1864" customWidth="1"/>
    <col min="2324" max="2326" width="12.7109375" style="1864" customWidth="1"/>
    <col min="2327" max="2327" width="9.28515625" style="1864" customWidth="1"/>
    <col min="2328" max="2328" width="13.5703125" style="1864" customWidth="1"/>
    <col min="2329" max="2329" width="10.28515625" style="1864" customWidth="1"/>
    <col min="2330" max="2330" width="12.85546875" style="1864" customWidth="1"/>
    <col min="2331" max="2331" width="9.140625" style="1864" customWidth="1"/>
    <col min="2332" max="2332" width="9.7109375" style="1864" customWidth="1"/>
    <col min="2333" max="2333" width="9.28515625" style="1864" customWidth="1"/>
    <col min="2334" max="2334" width="9.42578125" style="1864" customWidth="1"/>
    <col min="2335" max="2335" width="10.5703125" style="1864" customWidth="1"/>
    <col min="2336" max="2336" width="12.42578125" style="1864" customWidth="1"/>
    <col min="2337" max="2337" width="14.5703125" style="1864" customWidth="1"/>
    <col min="2338" max="2338" width="12.28515625" style="1864" customWidth="1"/>
    <col min="2339" max="2339" width="25.85546875" style="1864" customWidth="1"/>
    <col min="2340" max="2571" width="0.85546875" style="1864"/>
    <col min="2572" max="2572" width="9.85546875" style="1864" customWidth="1"/>
    <col min="2573" max="2573" width="81.85546875" style="1864" customWidth="1"/>
    <col min="2574" max="2574" width="12.7109375" style="1864" customWidth="1"/>
    <col min="2575" max="2575" width="12.42578125" style="1864" customWidth="1"/>
    <col min="2576" max="2576" width="14.5703125" style="1864" customWidth="1"/>
    <col min="2577" max="2577" width="12.28515625" style="1864" customWidth="1"/>
    <col min="2578" max="2578" width="38.140625" style="1864" customWidth="1"/>
    <col min="2579" max="2579" width="46.85546875" style="1864" customWidth="1"/>
    <col min="2580" max="2582" width="12.7109375" style="1864" customWidth="1"/>
    <col min="2583" max="2583" width="9.28515625" style="1864" customWidth="1"/>
    <col min="2584" max="2584" width="13.5703125" style="1864" customWidth="1"/>
    <col min="2585" max="2585" width="10.28515625" style="1864" customWidth="1"/>
    <col min="2586" max="2586" width="12.85546875" style="1864" customWidth="1"/>
    <col min="2587" max="2587" width="9.140625" style="1864" customWidth="1"/>
    <col min="2588" max="2588" width="9.7109375" style="1864" customWidth="1"/>
    <col min="2589" max="2589" width="9.28515625" style="1864" customWidth="1"/>
    <col min="2590" max="2590" width="9.42578125" style="1864" customWidth="1"/>
    <col min="2591" max="2591" width="10.5703125" style="1864" customWidth="1"/>
    <col min="2592" max="2592" width="12.42578125" style="1864" customWidth="1"/>
    <col min="2593" max="2593" width="14.5703125" style="1864" customWidth="1"/>
    <col min="2594" max="2594" width="12.28515625" style="1864" customWidth="1"/>
    <col min="2595" max="2595" width="25.85546875" style="1864" customWidth="1"/>
    <col min="2596" max="2827" width="0.85546875" style="1864"/>
    <col min="2828" max="2828" width="9.85546875" style="1864" customWidth="1"/>
    <col min="2829" max="2829" width="81.85546875" style="1864" customWidth="1"/>
    <col min="2830" max="2830" width="12.7109375" style="1864" customWidth="1"/>
    <col min="2831" max="2831" width="12.42578125" style="1864" customWidth="1"/>
    <col min="2832" max="2832" width="14.5703125" style="1864" customWidth="1"/>
    <col min="2833" max="2833" width="12.28515625" style="1864" customWidth="1"/>
    <col min="2834" max="2834" width="38.140625" style="1864" customWidth="1"/>
    <col min="2835" max="2835" width="46.85546875" style="1864" customWidth="1"/>
    <col min="2836" max="2838" width="12.7109375" style="1864" customWidth="1"/>
    <col min="2839" max="2839" width="9.28515625" style="1864" customWidth="1"/>
    <col min="2840" max="2840" width="13.5703125" style="1864" customWidth="1"/>
    <col min="2841" max="2841" width="10.28515625" style="1864" customWidth="1"/>
    <col min="2842" max="2842" width="12.85546875" style="1864" customWidth="1"/>
    <col min="2843" max="2843" width="9.140625" style="1864" customWidth="1"/>
    <col min="2844" max="2844" width="9.7109375" style="1864" customWidth="1"/>
    <col min="2845" max="2845" width="9.28515625" style="1864" customWidth="1"/>
    <col min="2846" max="2846" width="9.42578125" style="1864" customWidth="1"/>
    <col min="2847" max="2847" width="10.5703125" style="1864" customWidth="1"/>
    <col min="2848" max="2848" width="12.42578125" style="1864" customWidth="1"/>
    <col min="2849" max="2849" width="14.5703125" style="1864" customWidth="1"/>
    <col min="2850" max="2850" width="12.28515625" style="1864" customWidth="1"/>
    <col min="2851" max="2851" width="25.85546875" style="1864" customWidth="1"/>
    <col min="2852" max="3083" width="0.85546875" style="1864"/>
    <col min="3084" max="3084" width="9.85546875" style="1864" customWidth="1"/>
    <col min="3085" max="3085" width="81.85546875" style="1864" customWidth="1"/>
    <col min="3086" max="3086" width="12.7109375" style="1864" customWidth="1"/>
    <col min="3087" max="3087" width="12.42578125" style="1864" customWidth="1"/>
    <col min="3088" max="3088" width="14.5703125" style="1864" customWidth="1"/>
    <col min="3089" max="3089" width="12.28515625" style="1864" customWidth="1"/>
    <col min="3090" max="3090" width="38.140625" style="1864" customWidth="1"/>
    <col min="3091" max="3091" width="46.85546875" style="1864" customWidth="1"/>
    <col min="3092" max="3094" width="12.7109375" style="1864" customWidth="1"/>
    <col min="3095" max="3095" width="9.28515625" style="1864" customWidth="1"/>
    <col min="3096" max="3096" width="13.5703125" style="1864" customWidth="1"/>
    <col min="3097" max="3097" width="10.28515625" style="1864" customWidth="1"/>
    <col min="3098" max="3098" width="12.85546875" style="1864" customWidth="1"/>
    <col min="3099" max="3099" width="9.140625" style="1864" customWidth="1"/>
    <col min="3100" max="3100" width="9.7109375" style="1864" customWidth="1"/>
    <col min="3101" max="3101" width="9.28515625" style="1864" customWidth="1"/>
    <col min="3102" max="3102" width="9.42578125" style="1864" customWidth="1"/>
    <col min="3103" max="3103" width="10.5703125" style="1864" customWidth="1"/>
    <col min="3104" max="3104" width="12.42578125" style="1864" customWidth="1"/>
    <col min="3105" max="3105" width="14.5703125" style="1864" customWidth="1"/>
    <col min="3106" max="3106" width="12.28515625" style="1864" customWidth="1"/>
    <col min="3107" max="3107" width="25.85546875" style="1864" customWidth="1"/>
    <col min="3108" max="3339" width="0.85546875" style="1864"/>
    <col min="3340" max="3340" width="9.85546875" style="1864" customWidth="1"/>
    <col min="3341" max="3341" width="81.85546875" style="1864" customWidth="1"/>
    <col min="3342" max="3342" width="12.7109375" style="1864" customWidth="1"/>
    <col min="3343" max="3343" width="12.42578125" style="1864" customWidth="1"/>
    <col min="3344" max="3344" width="14.5703125" style="1864" customWidth="1"/>
    <col min="3345" max="3345" width="12.28515625" style="1864" customWidth="1"/>
    <col min="3346" max="3346" width="38.140625" style="1864" customWidth="1"/>
    <col min="3347" max="3347" width="46.85546875" style="1864" customWidth="1"/>
    <col min="3348" max="3350" width="12.7109375" style="1864" customWidth="1"/>
    <col min="3351" max="3351" width="9.28515625" style="1864" customWidth="1"/>
    <col min="3352" max="3352" width="13.5703125" style="1864" customWidth="1"/>
    <col min="3353" max="3353" width="10.28515625" style="1864" customWidth="1"/>
    <col min="3354" max="3354" width="12.85546875" style="1864" customWidth="1"/>
    <col min="3355" max="3355" width="9.140625" style="1864" customWidth="1"/>
    <col min="3356" max="3356" width="9.7109375" style="1864" customWidth="1"/>
    <col min="3357" max="3357" width="9.28515625" style="1864" customWidth="1"/>
    <col min="3358" max="3358" width="9.42578125" style="1864" customWidth="1"/>
    <col min="3359" max="3359" width="10.5703125" style="1864" customWidth="1"/>
    <col min="3360" max="3360" width="12.42578125" style="1864" customWidth="1"/>
    <col min="3361" max="3361" width="14.5703125" style="1864" customWidth="1"/>
    <col min="3362" max="3362" width="12.28515625" style="1864" customWidth="1"/>
    <col min="3363" max="3363" width="25.85546875" style="1864" customWidth="1"/>
    <col min="3364" max="3595" width="0.85546875" style="1864"/>
    <col min="3596" max="3596" width="9.85546875" style="1864" customWidth="1"/>
    <col min="3597" max="3597" width="81.85546875" style="1864" customWidth="1"/>
    <col min="3598" max="3598" width="12.7109375" style="1864" customWidth="1"/>
    <col min="3599" max="3599" width="12.42578125" style="1864" customWidth="1"/>
    <col min="3600" max="3600" width="14.5703125" style="1864" customWidth="1"/>
    <col min="3601" max="3601" width="12.28515625" style="1864" customWidth="1"/>
    <col min="3602" max="3602" width="38.140625" style="1864" customWidth="1"/>
    <col min="3603" max="3603" width="46.85546875" style="1864" customWidth="1"/>
    <col min="3604" max="3606" width="12.7109375" style="1864" customWidth="1"/>
    <col min="3607" max="3607" width="9.28515625" style="1864" customWidth="1"/>
    <col min="3608" max="3608" width="13.5703125" style="1864" customWidth="1"/>
    <col min="3609" max="3609" width="10.28515625" style="1864" customWidth="1"/>
    <col min="3610" max="3610" width="12.85546875" style="1864" customWidth="1"/>
    <col min="3611" max="3611" width="9.140625" style="1864" customWidth="1"/>
    <col min="3612" max="3612" width="9.7109375" style="1864" customWidth="1"/>
    <col min="3613" max="3613" width="9.28515625" style="1864" customWidth="1"/>
    <col min="3614" max="3614" width="9.42578125" style="1864" customWidth="1"/>
    <col min="3615" max="3615" width="10.5703125" style="1864" customWidth="1"/>
    <col min="3616" max="3616" width="12.42578125" style="1864" customWidth="1"/>
    <col min="3617" max="3617" width="14.5703125" style="1864" customWidth="1"/>
    <col min="3618" max="3618" width="12.28515625" style="1864" customWidth="1"/>
    <col min="3619" max="3619" width="25.85546875" style="1864" customWidth="1"/>
    <col min="3620" max="3851" width="0.85546875" style="1864"/>
    <col min="3852" max="3852" width="9.85546875" style="1864" customWidth="1"/>
    <col min="3853" max="3853" width="81.85546875" style="1864" customWidth="1"/>
    <col min="3854" max="3854" width="12.7109375" style="1864" customWidth="1"/>
    <col min="3855" max="3855" width="12.42578125" style="1864" customWidth="1"/>
    <col min="3856" max="3856" width="14.5703125" style="1864" customWidth="1"/>
    <col min="3857" max="3857" width="12.28515625" style="1864" customWidth="1"/>
    <col min="3858" max="3858" width="38.140625" style="1864" customWidth="1"/>
    <col min="3859" max="3859" width="46.85546875" style="1864" customWidth="1"/>
    <col min="3860" max="3862" width="12.7109375" style="1864" customWidth="1"/>
    <col min="3863" max="3863" width="9.28515625" style="1864" customWidth="1"/>
    <col min="3864" max="3864" width="13.5703125" style="1864" customWidth="1"/>
    <col min="3865" max="3865" width="10.28515625" style="1864" customWidth="1"/>
    <col min="3866" max="3866" width="12.85546875" style="1864" customWidth="1"/>
    <col min="3867" max="3867" width="9.140625" style="1864" customWidth="1"/>
    <col min="3868" max="3868" width="9.7109375" style="1864" customWidth="1"/>
    <col min="3869" max="3869" width="9.28515625" style="1864" customWidth="1"/>
    <col min="3870" max="3870" width="9.42578125" style="1864" customWidth="1"/>
    <col min="3871" max="3871" width="10.5703125" style="1864" customWidth="1"/>
    <col min="3872" max="3872" width="12.42578125" style="1864" customWidth="1"/>
    <col min="3873" max="3873" width="14.5703125" style="1864" customWidth="1"/>
    <col min="3874" max="3874" width="12.28515625" style="1864" customWidth="1"/>
    <col min="3875" max="3875" width="25.85546875" style="1864" customWidth="1"/>
    <col min="3876" max="4107" width="0.85546875" style="1864"/>
    <col min="4108" max="4108" width="9.85546875" style="1864" customWidth="1"/>
    <col min="4109" max="4109" width="81.85546875" style="1864" customWidth="1"/>
    <col min="4110" max="4110" width="12.7109375" style="1864" customWidth="1"/>
    <col min="4111" max="4111" width="12.42578125" style="1864" customWidth="1"/>
    <col min="4112" max="4112" width="14.5703125" style="1864" customWidth="1"/>
    <col min="4113" max="4113" width="12.28515625" style="1864" customWidth="1"/>
    <col min="4114" max="4114" width="38.140625" style="1864" customWidth="1"/>
    <col min="4115" max="4115" width="46.85546875" style="1864" customWidth="1"/>
    <col min="4116" max="4118" width="12.7109375" style="1864" customWidth="1"/>
    <col min="4119" max="4119" width="9.28515625" style="1864" customWidth="1"/>
    <col min="4120" max="4120" width="13.5703125" style="1864" customWidth="1"/>
    <col min="4121" max="4121" width="10.28515625" style="1864" customWidth="1"/>
    <col min="4122" max="4122" width="12.85546875" style="1864" customWidth="1"/>
    <col min="4123" max="4123" width="9.140625" style="1864" customWidth="1"/>
    <col min="4124" max="4124" width="9.7109375" style="1864" customWidth="1"/>
    <col min="4125" max="4125" width="9.28515625" style="1864" customWidth="1"/>
    <col min="4126" max="4126" width="9.42578125" style="1864" customWidth="1"/>
    <col min="4127" max="4127" width="10.5703125" style="1864" customWidth="1"/>
    <col min="4128" max="4128" width="12.42578125" style="1864" customWidth="1"/>
    <col min="4129" max="4129" width="14.5703125" style="1864" customWidth="1"/>
    <col min="4130" max="4130" width="12.28515625" style="1864" customWidth="1"/>
    <col min="4131" max="4131" width="25.85546875" style="1864" customWidth="1"/>
    <col min="4132" max="4363" width="0.85546875" style="1864"/>
    <col min="4364" max="4364" width="9.85546875" style="1864" customWidth="1"/>
    <col min="4365" max="4365" width="81.85546875" style="1864" customWidth="1"/>
    <col min="4366" max="4366" width="12.7109375" style="1864" customWidth="1"/>
    <col min="4367" max="4367" width="12.42578125" style="1864" customWidth="1"/>
    <col min="4368" max="4368" width="14.5703125" style="1864" customWidth="1"/>
    <col min="4369" max="4369" width="12.28515625" style="1864" customWidth="1"/>
    <col min="4370" max="4370" width="38.140625" style="1864" customWidth="1"/>
    <col min="4371" max="4371" width="46.85546875" style="1864" customWidth="1"/>
    <col min="4372" max="4374" width="12.7109375" style="1864" customWidth="1"/>
    <col min="4375" max="4375" width="9.28515625" style="1864" customWidth="1"/>
    <col min="4376" max="4376" width="13.5703125" style="1864" customWidth="1"/>
    <col min="4377" max="4377" width="10.28515625" style="1864" customWidth="1"/>
    <col min="4378" max="4378" width="12.85546875" style="1864" customWidth="1"/>
    <col min="4379" max="4379" width="9.140625" style="1864" customWidth="1"/>
    <col min="4380" max="4380" width="9.7109375" style="1864" customWidth="1"/>
    <col min="4381" max="4381" width="9.28515625" style="1864" customWidth="1"/>
    <col min="4382" max="4382" width="9.42578125" style="1864" customWidth="1"/>
    <col min="4383" max="4383" width="10.5703125" style="1864" customWidth="1"/>
    <col min="4384" max="4384" width="12.42578125" style="1864" customWidth="1"/>
    <col min="4385" max="4385" width="14.5703125" style="1864" customWidth="1"/>
    <col min="4386" max="4386" width="12.28515625" style="1864" customWidth="1"/>
    <col min="4387" max="4387" width="25.85546875" style="1864" customWidth="1"/>
    <col min="4388" max="4619" width="0.85546875" style="1864"/>
    <col min="4620" max="4620" width="9.85546875" style="1864" customWidth="1"/>
    <col min="4621" max="4621" width="81.85546875" style="1864" customWidth="1"/>
    <col min="4622" max="4622" width="12.7109375" style="1864" customWidth="1"/>
    <col min="4623" max="4623" width="12.42578125" style="1864" customWidth="1"/>
    <col min="4624" max="4624" width="14.5703125" style="1864" customWidth="1"/>
    <col min="4625" max="4625" width="12.28515625" style="1864" customWidth="1"/>
    <col min="4626" max="4626" width="38.140625" style="1864" customWidth="1"/>
    <col min="4627" max="4627" width="46.85546875" style="1864" customWidth="1"/>
    <col min="4628" max="4630" width="12.7109375" style="1864" customWidth="1"/>
    <col min="4631" max="4631" width="9.28515625" style="1864" customWidth="1"/>
    <col min="4632" max="4632" width="13.5703125" style="1864" customWidth="1"/>
    <col min="4633" max="4633" width="10.28515625" style="1864" customWidth="1"/>
    <col min="4634" max="4634" width="12.85546875" style="1864" customWidth="1"/>
    <col min="4635" max="4635" width="9.140625" style="1864" customWidth="1"/>
    <col min="4636" max="4636" width="9.7109375" style="1864" customWidth="1"/>
    <col min="4637" max="4637" width="9.28515625" style="1864" customWidth="1"/>
    <col min="4638" max="4638" width="9.42578125" style="1864" customWidth="1"/>
    <col min="4639" max="4639" width="10.5703125" style="1864" customWidth="1"/>
    <col min="4640" max="4640" width="12.42578125" style="1864" customWidth="1"/>
    <col min="4641" max="4641" width="14.5703125" style="1864" customWidth="1"/>
    <col min="4642" max="4642" width="12.28515625" style="1864" customWidth="1"/>
    <col min="4643" max="4643" width="25.85546875" style="1864" customWidth="1"/>
    <col min="4644" max="4875" width="0.85546875" style="1864"/>
    <col min="4876" max="4876" width="9.85546875" style="1864" customWidth="1"/>
    <col min="4877" max="4877" width="81.85546875" style="1864" customWidth="1"/>
    <col min="4878" max="4878" width="12.7109375" style="1864" customWidth="1"/>
    <col min="4879" max="4879" width="12.42578125" style="1864" customWidth="1"/>
    <col min="4880" max="4880" width="14.5703125" style="1864" customWidth="1"/>
    <col min="4881" max="4881" width="12.28515625" style="1864" customWidth="1"/>
    <col min="4882" max="4882" width="38.140625" style="1864" customWidth="1"/>
    <col min="4883" max="4883" width="46.85546875" style="1864" customWidth="1"/>
    <col min="4884" max="4886" width="12.7109375" style="1864" customWidth="1"/>
    <col min="4887" max="4887" width="9.28515625" style="1864" customWidth="1"/>
    <col min="4888" max="4888" width="13.5703125" style="1864" customWidth="1"/>
    <col min="4889" max="4889" width="10.28515625" style="1864" customWidth="1"/>
    <col min="4890" max="4890" width="12.85546875" style="1864" customWidth="1"/>
    <col min="4891" max="4891" width="9.140625" style="1864" customWidth="1"/>
    <col min="4892" max="4892" width="9.7109375" style="1864" customWidth="1"/>
    <col min="4893" max="4893" width="9.28515625" style="1864" customWidth="1"/>
    <col min="4894" max="4894" width="9.42578125" style="1864" customWidth="1"/>
    <col min="4895" max="4895" width="10.5703125" style="1864" customWidth="1"/>
    <col min="4896" max="4896" width="12.42578125" style="1864" customWidth="1"/>
    <col min="4897" max="4897" width="14.5703125" style="1864" customWidth="1"/>
    <col min="4898" max="4898" width="12.28515625" style="1864" customWidth="1"/>
    <col min="4899" max="4899" width="25.85546875" style="1864" customWidth="1"/>
    <col min="4900" max="5131" width="0.85546875" style="1864"/>
    <col min="5132" max="5132" width="9.85546875" style="1864" customWidth="1"/>
    <col min="5133" max="5133" width="81.85546875" style="1864" customWidth="1"/>
    <col min="5134" max="5134" width="12.7109375" style="1864" customWidth="1"/>
    <col min="5135" max="5135" width="12.42578125" style="1864" customWidth="1"/>
    <col min="5136" max="5136" width="14.5703125" style="1864" customWidth="1"/>
    <col min="5137" max="5137" width="12.28515625" style="1864" customWidth="1"/>
    <col min="5138" max="5138" width="38.140625" style="1864" customWidth="1"/>
    <col min="5139" max="5139" width="46.85546875" style="1864" customWidth="1"/>
    <col min="5140" max="5142" width="12.7109375" style="1864" customWidth="1"/>
    <col min="5143" max="5143" width="9.28515625" style="1864" customWidth="1"/>
    <col min="5144" max="5144" width="13.5703125" style="1864" customWidth="1"/>
    <col min="5145" max="5145" width="10.28515625" style="1864" customWidth="1"/>
    <col min="5146" max="5146" width="12.85546875" style="1864" customWidth="1"/>
    <col min="5147" max="5147" width="9.140625" style="1864" customWidth="1"/>
    <col min="5148" max="5148" width="9.7109375" style="1864" customWidth="1"/>
    <col min="5149" max="5149" width="9.28515625" style="1864" customWidth="1"/>
    <col min="5150" max="5150" width="9.42578125" style="1864" customWidth="1"/>
    <col min="5151" max="5151" width="10.5703125" style="1864" customWidth="1"/>
    <col min="5152" max="5152" width="12.42578125" style="1864" customWidth="1"/>
    <col min="5153" max="5153" width="14.5703125" style="1864" customWidth="1"/>
    <col min="5154" max="5154" width="12.28515625" style="1864" customWidth="1"/>
    <col min="5155" max="5155" width="25.85546875" style="1864" customWidth="1"/>
    <col min="5156" max="5387" width="0.85546875" style="1864"/>
    <col min="5388" max="5388" width="9.85546875" style="1864" customWidth="1"/>
    <col min="5389" max="5389" width="81.85546875" style="1864" customWidth="1"/>
    <col min="5390" max="5390" width="12.7109375" style="1864" customWidth="1"/>
    <col min="5391" max="5391" width="12.42578125" style="1864" customWidth="1"/>
    <col min="5392" max="5392" width="14.5703125" style="1864" customWidth="1"/>
    <col min="5393" max="5393" width="12.28515625" style="1864" customWidth="1"/>
    <col min="5394" max="5394" width="38.140625" style="1864" customWidth="1"/>
    <col min="5395" max="5395" width="46.85546875" style="1864" customWidth="1"/>
    <col min="5396" max="5398" width="12.7109375" style="1864" customWidth="1"/>
    <col min="5399" max="5399" width="9.28515625" style="1864" customWidth="1"/>
    <col min="5400" max="5400" width="13.5703125" style="1864" customWidth="1"/>
    <col min="5401" max="5401" width="10.28515625" style="1864" customWidth="1"/>
    <col min="5402" max="5402" width="12.85546875" style="1864" customWidth="1"/>
    <col min="5403" max="5403" width="9.140625" style="1864" customWidth="1"/>
    <col min="5404" max="5404" width="9.7109375" style="1864" customWidth="1"/>
    <col min="5405" max="5405" width="9.28515625" style="1864" customWidth="1"/>
    <col min="5406" max="5406" width="9.42578125" style="1864" customWidth="1"/>
    <col min="5407" max="5407" width="10.5703125" style="1864" customWidth="1"/>
    <col min="5408" max="5408" width="12.42578125" style="1864" customWidth="1"/>
    <col min="5409" max="5409" width="14.5703125" style="1864" customWidth="1"/>
    <col min="5410" max="5410" width="12.28515625" style="1864" customWidth="1"/>
    <col min="5411" max="5411" width="25.85546875" style="1864" customWidth="1"/>
    <col min="5412" max="5643" width="0.85546875" style="1864"/>
    <col min="5644" max="5644" width="9.85546875" style="1864" customWidth="1"/>
    <col min="5645" max="5645" width="81.85546875" style="1864" customWidth="1"/>
    <col min="5646" max="5646" width="12.7109375" style="1864" customWidth="1"/>
    <col min="5647" max="5647" width="12.42578125" style="1864" customWidth="1"/>
    <col min="5648" max="5648" width="14.5703125" style="1864" customWidth="1"/>
    <col min="5649" max="5649" width="12.28515625" style="1864" customWidth="1"/>
    <col min="5650" max="5650" width="38.140625" style="1864" customWidth="1"/>
    <col min="5651" max="5651" width="46.85546875" style="1864" customWidth="1"/>
    <col min="5652" max="5654" width="12.7109375" style="1864" customWidth="1"/>
    <col min="5655" max="5655" width="9.28515625" style="1864" customWidth="1"/>
    <col min="5656" max="5656" width="13.5703125" style="1864" customWidth="1"/>
    <col min="5657" max="5657" width="10.28515625" style="1864" customWidth="1"/>
    <col min="5658" max="5658" width="12.85546875" style="1864" customWidth="1"/>
    <col min="5659" max="5659" width="9.140625" style="1864" customWidth="1"/>
    <col min="5660" max="5660" width="9.7109375" style="1864" customWidth="1"/>
    <col min="5661" max="5661" width="9.28515625" style="1864" customWidth="1"/>
    <col min="5662" max="5662" width="9.42578125" style="1864" customWidth="1"/>
    <col min="5663" max="5663" width="10.5703125" style="1864" customWidth="1"/>
    <col min="5664" max="5664" width="12.42578125" style="1864" customWidth="1"/>
    <col min="5665" max="5665" width="14.5703125" style="1864" customWidth="1"/>
    <col min="5666" max="5666" width="12.28515625" style="1864" customWidth="1"/>
    <col min="5667" max="5667" width="25.85546875" style="1864" customWidth="1"/>
    <col min="5668" max="5899" width="0.85546875" style="1864"/>
    <col min="5900" max="5900" width="9.85546875" style="1864" customWidth="1"/>
    <col min="5901" max="5901" width="81.85546875" style="1864" customWidth="1"/>
    <col min="5902" max="5902" width="12.7109375" style="1864" customWidth="1"/>
    <col min="5903" max="5903" width="12.42578125" style="1864" customWidth="1"/>
    <col min="5904" max="5904" width="14.5703125" style="1864" customWidth="1"/>
    <col min="5905" max="5905" width="12.28515625" style="1864" customWidth="1"/>
    <col min="5906" max="5906" width="38.140625" style="1864" customWidth="1"/>
    <col min="5907" max="5907" width="46.85546875" style="1864" customWidth="1"/>
    <col min="5908" max="5910" width="12.7109375" style="1864" customWidth="1"/>
    <col min="5911" max="5911" width="9.28515625" style="1864" customWidth="1"/>
    <col min="5912" max="5912" width="13.5703125" style="1864" customWidth="1"/>
    <col min="5913" max="5913" width="10.28515625" style="1864" customWidth="1"/>
    <col min="5914" max="5914" width="12.85546875" style="1864" customWidth="1"/>
    <col min="5915" max="5915" width="9.140625" style="1864" customWidth="1"/>
    <col min="5916" max="5916" width="9.7109375" style="1864" customWidth="1"/>
    <col min="5917" max="5917" width="9.28515625" style="1864" customWidth="1"/>
    <col min="5918" max="5918" width="9.42578125" style="1864" customWidth="1"/>
    <col min="5919" max="5919" width="10.5703125" style="1864" customWidth="1"/>
    <col min="5920" max="5920" width="12.42578125" style="1864" customWidth="1"/>
    <col min="5921" max="5921" width="14.5703125" style="1864" customWidth="1"/>
    <col min="5922" max="5922" width="12.28515625" style="1864" customWidth="1"/>
    <col min="5923" max="5923" width="25.85546875" style="1864" customWidth="1"/>
    <col min="5924" max="6155" width="0.85546875" style="1864"/>
    <col min="6156" max="6156" width="9.85546875" style="1864" customWidth="1"/>
    <col min="6157" max="6157" width="81.85546875" style="1864" customWidth="1"/>
    <col min="6158" max="6158" width="12.7109375" style="1864" customWidth="1"/>
    <col min="6159" max="6159" width="12.42578125" style="1864" customWidth="1"/>
    <col min="6160" max="6160" width="14.5703125" style="1864" customWidth="1"/>
    <col min="6161" max="6161" width="12.28515625" style="1864" customWidth="1"/>
    <col min="6162" max="6162" width="38.140625" style="1864" customWidth="1"/>
    <col min="6163" max="6163" width="46.85546875" style="1864" customWidth="1"/>
    <col min="6164" max="6166" width="12.7109375" style="1864" customWidth="1"/>
    <col min="6167" max="6167" width="9.28515625" style="1864" customWidth="1"/>
    <col min="6168" max="6168" width="13.5703125" style="1864" customWidth="1"/>
    <col min="6169" max="6169" width="10.28515625" style="1864" customWidth="1"/>
    <col min="6170" max="6170" width="12.85546875" style="1864" customWidth="1"/>
    <col min="6171" max="6171" width="9.140625" style="1864" customWidth="1"/>
    <col min="6172" max="6172" width="9.7109375" style="1864" customWidth="1"/>
    <col min="6173" max="6173" width="9.28515625" style="1864" customWidth="1"/>
    <col min="6174" max="6174" width="9.42578125" style="1864" customWidth="1"/>
    <col min="6175" max="6175" width="10.5703125" style="1864" customWidth="1"/>
    <col min="6176" max="6176" width="12.42578125" style="1864" customWidth="1"/>
    <col min="6177" max="6177" width="14.5703125" style="1864" customWidth="1"/>
    <col min="6178" max="6178" width="12.28515625" style="1864" customWidth="1"/>
    <col min="6179" max="6179" width="25.85546875" style="1864" customWidth="1"/>
    <col min="6180" max="6411" width="0.85546875" style="1864"/>
    <col min="6412" max="6412" width="9.85546875" style="1864" customWidth="1"/>
    <col min="6413" max="6413" width="81.85546875" style="1864" customWidth="1"/>
    <col min="6414" max="6414" width="12.7109375" style="1864" customWidth="1"/>
    <col min="6415" max="6415" width="12.42578125" style="1864" customWidth="1"/>
    <col min="6416" max="6416" width="14.5703125" style="1864" customWidth="1"/>
    <col min="6417" max="6417" width="12.28515625" style="1864" customWidth="1"/>
    <col min="6418" max="6418" width="38.140625" style="1864" customWidth="1"/>
    <col min="6419" max="6419" width="46.85546875" style="1864" customWidth="1"/>
    <col min="6420" max="6422" width="12.7109375" style="1864" customWidth="1"/>
    <col min="6423" max="6423" width="9.28515625" style="1864" customWidth="1"/>
    <col min="6424" max="6424" width="13.5703125" style="1864" customWidth="1"/>
    <col min="6425" max="6425" width="10.28515625" style="1864" customWidth="1"/>
    <col min="6426" max="6426" width="12.85546875" style="1864" customWidth="1"/>
    <col min="6427" max="6427" width="9.140625" style="1864" customWidth="1"/>
    <col min="6428" max="6428" width="9.7109375" style="1864" customWidth="1"/>
    <col min="6429" max="6429" width="9.28515625" style="1864" customWidth="1"/>
    <col min="6430" max="6430" width="9.42578125" style="1864" customWidth="1"/>
    <col min="6431" max="6431" width="10.5703125" style="1864" customWidth="1"/>
    <col min="6432" max="6432" width="12.42578125" style="1864" customWidth="1"/>
    <col min="6433" max="6433" width="14.5703125" style="1864" customWidth="1"/>
    <col min="6434" max="6434" width="12.28515625" style="1864" customWidth="1"/>
    <col min="6435" max="6435" width="25.85546875" style="1864" customWidth="1"/>
    <col min="6436" max="6667" width="0.85546875" style="1864"/>
    <col min="6668" max="6668" width="9.85546875" style="1864" customWidth="1"/>
    <col min="6669" max="6669" width="81.85546875" style="1864" customWidth="1"/>
    <col min="6670" max="6670" width="12.7109375" style="1864" customWidth="1"/>
    <col min="6671" max="6671" width="12.42578125" style="1864" customWidth="1"/>
    <col min="6672" max="6672" width="14.5703125" style="1864" customWidth="1"/>
    <col min="6673" max="6673" width="12.28515625" style="1864" customWidth="1"/>
    <col min="6674" max="6674" width="38.140625" style="1864" customWidth="1"/>
    <col min="6675" max="6675" width="46.85546875" style="1864" customWidth="1"/>
    <col min="6676" max="6678" width="12.7109375" style="1864" customWidth="1"/>
    <col min="6679" max="6679" width="9.28515625" style="1864" customWidth="1"/>
    <col min="6680" max="6680" width="13.5703125" style="1864" customWidth="1"/>
    <col min="6681" max="6681" width="10.28515625" style="1864" customWidth="1"/>
    <col min="6682" max="6682" width="12.85546875" style="1864" customWidth="1"/>
    <col min="6683" max="6683" width="9.140625" style="1864" customWidth="1"/>
    <col min="6684" max="6684" width="9.7109375" style="1864" customWidth="1"/>
    <col min="6685" max="6685" width="9.28515625" style="1864" customWidth="1"/>
    <col min="6686" max="6686" width="9.42578125" style="1864" customWidth="1"/>
    <col min="6687" max="6687" width="10.5703125" style="1864" customWidth="1"/>
    <col min="6688" max="6688" width="12.42578125" style="1864" customWidth="1"/>
    <col min="6689" max="6689" width="14.5703125" style="1864" customWidth="1"/>
    <col min="6690" max="6690" width="12.28515625" style="1864" customWidth="1"/>
    <col min="6691" max="6691" width="25.85546875" style="1864" customWidth="1"/>
    <col min="6692" max="6923" width="0.85546875" style="1864"/>
    <col min="6924" max="6924" width="9.85546875" style="1864" customWidth="1"/>
    <col min="6925" max="6925" width="81.85546875" style="1864" customWidth="1"/>
    <col min="6926" max="6926" width="12.7109375" style="1864" customWidth="1"/>
    <col min="6927" max="6927" width="12.42578125" style="1864" customWidth="1"/>
    <col min="6928" max="6928" width="14.5703125" style="1864" customWidth="1"/>
    <col min="6929" max="6929" width="12.28515625" style="1864" customWidth="1"/>
    <col min="6930" max="6930" width="38.140625" style="1864" customWidth="1"/>
    <col min="6931" max="6931" width="46.85546875" style="1864" customWidth="1"/>
    <col min="6932" max="6934" width="12.7109375" style="1864" customWidth="1"/>
    <col min="6935" max="6935" width="9.28515625" style="1864" customWidth="1"/>
    <col min="6936" max="6936" width="13.5703125" style="1864" customWidth="1"/>
    <col min="6937" max="6937" width="10.28515625" style="1864" customWidth="1"/>
    <col min="6938" max="6938" width="12.85546875" style="1864" customWidth="1"/>
    <col min="6939" max="6939" width="9.140625" style="1864" customWidth="1"/>
    <col min="6940" max="6940" width="9.7109375" style="1864" customWidth="1"/>
    <col min="6941" max="6941" width="9.28515625" style="1864" customWidth="1"/>
    <col min="6942" max="6942" width="9.42578125" style="1864" customWidth="1"/>
    <col min="6943" max="6943" width="10.5703125" style="1864" customWidth="1"/>
    <col min="6944" max="6944" width="12.42578125" style="1864" customWidth="1"/>
    <col min="6945" max="6945" width="14.5703125" style="1864" customWidth="1"/>
    <col min="6946" max="6946" width="12.28515625" style="1864" customWidth="1"/>
    <col min="6947" max="6947" width="25.85546875" style="1864" customWidth="1"/>
    <col min="6948" max="7179" width="0.85546875" style="1864"/>
    <col min="7180" max="7180" width="9.85546875" style="1864" customWidth="1"/>
    <col min="7181" max="7181" width="81.85546875" style="1864" customWidth="1"/>
    <col min="7182" max="7182" width="12.7109375" style="1864" customWidth="1"/>
    <col min="7183" max="7183" width="12.42578125" style="1864" customWidth="1"/>
    <col min="7184" max="7184" width="14.5703125" style="1864" customWidth="1"/>
    <col min="7185" max="7185" width="12.28515625" style="1864" customWidth="1"/>
    <col min="7186" max="7186" width="38.140625" style="1864" customWidth="1"/>
    <col min="7187" max="7187" width="46.85546875" style="1864" customWidth="1"/>
    <col min="7188" max="7190" width="12.7109375" style="1864" customWidth="1"/>
    <col min="7191" max="7191" width="9.28515625" style="1864" customWidth="1"/>
    <col min="7192" max="7192" width="13.5703125" style="1864" customWidth="1"/>
    <col min="7193" max="7193" width="10.28515625" style="1864" customWidth="1"/>
    <col min="7194" max="7194" width="12.85546875" style="1864" customWidth="1"/>
    <col min="7195" max="7195" width="9.140625" style="1864" customWidth="1"/>
    <col min="7196" max="7196" width="9.7109375" style="1864" customWidth="1"/>
    <col min="7197" max="7197" width="9.28515625" style="1864" customWidth="1"/>
    <col min="7198" max="7198" width="9.42578125" style="1864" customWidth="1"/>
    <col min="7199" max="7199" width="10.5703125" style="1864" customWidth="1"/>
    <col min="7200" max="7200" width="12.42578125" style="1864" customWidth="1"/>
    <col min="7201" max="7201" width="14.5703125" style="1864" customWidth="1"/>
    <col min="7202" max="7202" width="12.28515625" style="1864" customWidth="1"/>
    <col min="7203" max="7203" width="25.85546875" style="1864" customWidth="1"/>
    <col min="7204" max="7435" width="0.85546875" style="1864"/>
    <col min="7436" max="7436" width="9.85546875" style="1864" customWidth="1"/>
    <col min="7437" max="7437" width="81.85546875" style="1864" customWidth="1"/>
    <col min="7438" max="7438" width="12.7109375" style="1864" customWidth="1"/>
    <col min="7439" max="7439" width="12.42578125" style="1864" customWidth="1"/>
    <col min="7440" max="7440" width="14.5703125" style="1864" customWidth="1"/>
    <col min="7441" max="7441" width="12.28515625" style="1864" customWidth="1"/>
    <col min="7442" max="7442" width="38.140625" style="1864" customWidth="1"/>
    <col min="7443" max="7443" width="46.85546875" style="1864" customWidth="1"/>
    <col min="7444" max="7446" width="12.7109375" style="1864" customWidth="1"/>
    <col min="7447" max="7447" width="9.28515625" style="1864" customWidth="1"/>
    <col min="7448" max="7448" width="13.5703125" style="1864" customWidth="1"/>
    <col min="7449" max="7449" width="10.28515625" style="1864" customWidth="1"/>
    <col min="7450" max="7450" width="12.85546875" style="1864" customWidth="1"/>
    <col min="7451" max="7451" width="9.140625" style="1864" customWidth="1"/>
    <col min="7452" max="7452" width="9.7109375" style="1864" customWidth="1"/>
    <col min="7453" max="7453" width="9.28515625" style="1864" customWidth="1"/>
    <col min="7454" max="7454" width="9.42578125" style="1864" customWidth="1"/>
    <col min="7455" max="7455" width="10.5703125" style="1864" customWidth="1"/>
    <col min="7456" max="7456" width="12.42578125" style="1864" customWidth="1"/>
    <col min="7457" max="7457" width="14.5703125" style="1864" customWidth="1"/>
    <col min="7458" max="7458" width="12.28515625" style="1864" customWidth="1"/>
    <col min="7459" max="7459" width="25.85546875" style="1864" customWidth="1"/>
    <col min="7460" max="7691" width="0.85546875" style="1864"/>
    <col min="7692" max="7692" width="9.85546875" style="1864" customWidth="1"/>
    <col min="7693" max="7693" width="81.85546875" style="1864" customWidth="1"/>
    <col min="7694" max="7694" width="12.7109375" style="1864" customWidth="1"/>
    <col min="7695" max="7695" width="12.42578125" style="1864" customWidth="1"/>
    <col min="7696" max="7696" width="14.5703125" style="1864" customWidth="1"/>
    <col min="7697" max="7697" width="12.28515625" style="1864" customWidth="1"/>
    <col min="7698" max="7698" width="38.140625" style="1864" customWidth="1"/>
    <col min="7699" max="7699" width="46.85546875" style="1864" customWidth="1"/>
    <col min="7700" max="7702" width="12.7109375" style="1864" customWidth="1"/>
    <col min="7703" max="7703" width="9.28515625" style="1864" customWidth="1"/>
    <col min="7704" max="7704" width="13.5703125" style="1864" customWidth="1"/>
    <col min="7705" max="7705" width="10.28515625" style="1864" customWidth="1"/>
    <col min="7706" max="7706" width="12.85546875" style="1864" customWidth="1"/>
    <col min="7707" max="7707" width="9.140625" style="1864" customWidth="1"/>
    <col min="7708" max="7708" width="9.7109375" style="1864" customWidth="1"/>
    <col min="7709" max="7709" width="9.28515625" style="1864" customWidth="1"/>
    <col min="7710" max="7710" width="9.42578125" style="1864" customWidth="1"/>
    <col min="7711" max="7711" width="10.5703125" style="1864" customWidth="1"/>
    <col min="7712" max="7712" width="12.42578125" style="1864" customWidth="1"/>
    <col min="7713" max="7713" width="14.5703125" style="1864" customWidth="1"/>
    <col min="7714" max="7714" width="12.28515625" style="1864" customWidth="1"/>
    <col min="7715" max="7715" width="25.85546875" style="1864" customWidth="1"/>
    <col min="7716" max="7947" width="0.85546875" style="1864"/>
    <col min="7948" max="7948" width="9.85546875" style="1864" customWidth="1"/>
    <col min="7949" max="7949" width="81.85546875" style="1864" customWidth="1"/>
    <col min="7950" max="7950" width="12.7109375" style="1864" customWidth="1"/>
    <col min="7951" max="7951" width="12.42578125" style="1864" customWidth="1"/>
    <col min="7952" max="7952" width="14.5703125" style="1864" customWidth="1"/>
    <col min="7953" max="7953" width="12.28515625" style="1864" customWidth="1"/>
    <col min="7954" max="7954" width="38.140625" style="1864" customWidth="1"/>
    <col min="7955" max="7955" width="46.85546875" style="1864" customWidth="1"/>
    <col min="7956" max="7958" width="12.7109375" style="1864" customWidth="1"/>
    <col min="7959" max="7959" width="9.28515625" style="1864" customWidth="1"/>
    <col min="7960" max="7960" width="13.5703125" style="1864" customWidth="1"/>
    <col min="7961" max="7961" width="10.28515625" style="1864" customWidth="1"/>
    <col min="7962" max="7962" width="12.85546875" style="1864" customWidth="1"/>
    <col min="7963" max="7963" width="9.140625" style="1864" customWidth="1"/>
    <col min="7964" max="7964" width="9.7109375" style="1864" customWidth="1"/>
    <col min="7965" max="7965" width="9.28515625" style="1864" customWidth="1"/>
    <col min="7966" max="7966" width="9.42578125" style="1864" customWidth="1"/>
    <col min="7967" max="7967" width="10.5703125" style="1864" customWidth="1"/>
    <col min="7968" max="7968" width="12.42578125" style="1864" customWidth="1"/>
    <col min="7969" max="7969" width="14.5703125" style="1864" customWidth="1"/>
    <col min="7970" max="7970" width="12.28515625" style="1864" customWidth="1"/>
    <col min="7971" max="7971" width="25.85546875" style="1864" customWidth="1"/>
    <col min="7972" max="8203" width="0.85546875" style="1864"/>
    <col min="8204" max="8204" width="9.85546875" style="1864" customWidth="1"/>
    <col min="8205" max="8205" width="81.85546875" style="1864" customWidth="1"/>
    <col min="8206" max="8206" width="12.7109375" style="1864" customWidth="1"/>
    <col min="8207" max="8207" width="12.42578125" style="1864" customWidth="1"/>
    <col min="8208" max="8208" width="14.5703125" style="1864" customWidth="1"/>
    <col min="8209" max="8209" width="12.28515625" style="1864" customWidth="1"/>
    <col min="8210" max="8210" width="38.140625" style="1864" customWidth="1"/>
    <col min="8211" max="8211" width="46.85546875" style="1864" customWidth="1"/>
    <col min="8212" max="8214" width="12.7109375" style="1864" customWidth="1"/>
    <col min="8215" max="8215" width="9.28515625" style="1864" customWidth="1"/>
    <col min="8216" max="8216" width="13.5703125" style="1864" customWidth="1"/>
    <col min="8217" max="8217" width="10.28515625" style="1864" customWidth="1"/>
    <col min="8218" max="8218" width="12.85546875" style="1864" customWidth="1"/>
    <col min="8219" max="8219" width="9.140625" style="1864" customWidth="1"/>
    <col min="8220" max="8220" width="9.7109375" style="1864" customWidth="1"/>
    <col min="8221" max="8221" width="9.28515625" style="1864" customWidth="1"/>
    <col min="8222" max="8222" width="9.42578125" style="1864" customWidth="1"/>
    <col min="8223" max="8223" width="10.5703125" style="1864" customWidth="1"/>
    <col min="8224" max="8224" width="12.42578125" style="1864" customWidth="1"/>
    <col min="8225" max="8225" width="14.5703125" style="1864" customWidth="1"/>
    <col min="8226" max="8226" width="12.28515625" style="1864" customWidth="1"/>
    <col min="8227" max="8227" width="25.85546875" style="1864" customWidth="1"/>
    <col min="8228" max="8459" width="0.85546875" style="1864"/>
    <col min="8460" max="8460" width="9.85546875" style="1864" customWidth="1"/>
    <col min="8461" max="8461" width="81.85546875" style="1864" customWidth="1"/>
    <col min="8462" max="8462" width="12.7109375" style="1864" customWidth="1"/>
    <col min="8463" max="8463" width="12.42578125" style="1864" customWidth="1"/>
    <col min="8464" max="8464" width="14.5703125" style="1864" customWidth="1"/>
    <col min="8465" max="8465" width="12.28515625" style="1864" customWidth="1"/>
    <col min="8466" max="8466" width="38.140625" style="1864" customWidth="1"/>
    <col min="8467" max="8467" width="46.85546875" style="1864" customWidth="1"/>
    <col min="8468" max="8470" width="12.7109375" style="1864" customWidth="1"/>
    <col min="8471" max="8471" width="9.28515625" style="1864" customWidth="1"/>
    <col min="8472" max="8472" width="13.5703125" style="1864" customWidth="1"/>
    <col min="8473" max="8473" width="10.28515625" style="1864" customWidth="1"/>
    <col min="8474" max="8474" width="12.85546875" style="1864" customWidth="1"/>
    <col min="8475" max="8475" width="9.140625" style="1864" customWidth="1"/>
    <col min="8476" max="8476" width="9.7109375" style="1864" customWidth="1"/>
    <col min="8477" max="8477" width="9.28515625" style="1864" customWidth="1"/>
    <col min="8478" max="8478" width="9.42578125" style="1864" customWidth="1"/>
    <col min="8479" max="8479" width="10.5703125" style="1864" customWidth="1"/>
    <col min="8480" max="8480" width="12.42578125" style="1864" customWidth="1"/>
    <col min="8481" max="8481" width="14.5703125" style="1864" customWidth="1"/>
    <col min="8482" max="8482" width="12.28515625" style="1864" customWidth="1"/>
    <col min="8483" max="8483" width="25.85546875" style="1864" customWidth="1"/>
    <col min="8484" max="8715" width="0.85546875" style="1864"/>
    <col min="8716" max="8716" width="9.85546875" style="1864" customWidth="1"/>
    <col min="8717" max="8717" width="81.85546875" style="1864" customWidth="1"/>
    <col min="8718" max="8718" width="12.7109375" style="1864" customWidth="1"/>
    <col min="8719" max="8719" width="12.42578125" style="1864" customWidth="1"/>
    <col min="8720" max="8720" width="14.5703125" style="1864" customWidth="1"/>
    <col min="8721" max="8721" width="12.28515625" style="1864" customWidth="1"/>
    <col min="8722" max="8722" width="38.140625" style="1864" customWidth="1"/>
    <col min="8723" max="8723" width="46.85546875" style="1864" customWidth="1"/>
    <col min="8724" max="8726" width="12.7109375" style="1864" customWidth="1"/>
    <col min="8727" max="8727" width="9.28515625" style="1864" customWidth="1"/>
    <col min="8728" max="8728" width="13.5703125" style="1864" customWidth="1"/>
    <col min="8729" max="8729" width="10.28515625" style="1864" customWidth="1"/>
    <col min="8730" max="8730" width="12.85546875" style="1864" customWidth="1"/>
    <col min="8731" max="8731" width="9.140625" style="1864" customWidth="1"/>
    <col min="8732" max="8732" width="9.7109375" style="1864" customWidth="1"/>
    <col min="8733" max="8733" width="9.28515625" style="1864" customWidth="1"/>
    <col min="8734" max="8734" width="9.42578125" style="1864" customWidth="1"/>
    <col min="8735" max="8735" width="10.5703125" style="1864" customWidth="1"/>
    <col min="8736" max="8736" width="12.42578125" style="1864" customWidth="1"/>
    <col min="8737" max="8737" width="14.5703125" style="1864" customWidth="1"/>
    <col min="8738" max="8738" width="12.28515625" style="1864" customWidth="1"/>
    <col min="8739" max="8739" width="25.85546875" style="1864" customWidth="1"/>
    <col min="8740" max="8971" width="0.85546875" style="1864"/>
    <col min="8972" max="8972" width="9.85546875" style="1864" customWidth="1"/>
    <col min="8973" max="8973" width="81.85546875" style="1864" customWidth="1"/>
    <col min="8974" max="8974" width="12.7109375" style="1864" customWidth="1"/>
    <col min="8975" max="8975" width="12.42578125" style="1864" customWidth="1"/>
    <col min="8976" max="8976" width="14.5703125" style="1864" customWidth="1"/>
    <col min="8977" max="8977" width="12.28515625" style="1864" customWidth="1"/>
    <col min="8978" max="8978" width="38.140625" style="1864" customWidth="1"/>
    <col min="8979" max="8979" width="46.85546875" style="1864" customWidth="1"/>
    <col min="8980" max="8982" width="12.7109375" style="1864" customWidth="1"/>
    <col min="8983" max="8983" width="9.28515625" style="1864" customWidth="1"/>
    <col min="8984" max="8984" width="13.5703125" style="1864" customWidth="1"/>
    <col min="8985" max="8985" width="10.28515625" style="1864" customWidth="1"/>
    <col min="8986" max="8986" width="12.85546875" style="1864" customWidth="1"/>
    <col min="8987" max="8987" width="9.140625" style="1864" customWidth="1"/>
    <col min="8988" max="8988" width="9.7109375" style="1864" customWidth="1"/>
    <col min="8989" max="8989" width="9.28515625" style="1864" customWidth="1"/>
    <col min="8990" max="8990" width="9.42578125" style="1864" customWidth="1"/>
    <col min="8991" max="8991" width="10.5703125" style="1864" customWidth="1"/>
    <col min="8992" max="8992" width="12.42578125" style="1864" customWidth="1"/>
    <col min="8993" max="8993" width="14.5703125" style="1864" customWidth="1"/>
    <col min="8994" max="8994" width="12.28515625" style="1864" customWidth="1"/>
    <col min="8995" max="8995" width="25.85546875" style="1864" customWidth="1"/>
    <col min="8996" max="9227" width="0.85546875" style="1864"/>
    <col min="9228" max="9228" width="9.85546875" style="1864" customWidth="1"/>
    <col min="9229" max="9229" width="81.85546875" style="1864" customWidth="1"/>
    <col min="9230" max="9230" width="12.7109375" style="1864" customWidth="1"/>
    <col min="9231" max="9231" width="12.42578125" style="1864" customWidth="1"/>
    <col min="9232" max="9232" width="14.5703125" style="1864" customWidth="1"/>
    <col min="9233" max="9233" width="12.28515625" style="1864" customWidth="1"/>
    <col min="9234" max="9234" width="38.140625" style="1864" customWidth="1"/>
    <col min="9235" max="9235" width="46.85546875" style="1864" customWidth="1"/>
    <col min="9236" max="9238" width="12.7109375" style="1864" customWidth="1"/>
    <col min="9239" max="9239" width="9.28515625" style="1864" customWidth="1"/>
    <col min="9240" max="9240" width="13.5703125" style="1864" customWidth="1"/>
    <col min="9241" max="9241" width="10.28515625" style="1864" customWidth="1"/>
    <col min="9242" max="9242" width="12.85546875" style="1864" customWidth="1"/>
    <col min="9243" max="9243" width="9.140625" style="1864" customWidth="1"/>
    <col min="9244" max="9244" width="9.7109375" style="1864" customWidth="1"/>
    <col min="9245" max="9245" width="9.28515625" style="1864" customWidth="1"/>
    <col min="9246" max="9246" width="9.42578125" style="1864" customWidth="1"/>
    <col min="9247" max="9247" width="10.5703125" style="1864" customWidth="1"/>
    <col min="9248" max="9248" width="12.42578125" style="1864" customWidth="1"/>
    <col min="9249" max="9249" width="14.5703125" style="1864" customWidth="1"/>
    <col min="9250" max="9250" width="12.28515625" style="1864" customWidth="1"/>
    <col min="9251" max="9251" width="25.85546875" style="1864" customWidth="1"/>
    <col min="9252" max="9483" width="0.85546875" style="1864"/>
    <col min="9484" max="9484" width="9.85546875" style="1864" customWidth="1"/>
    <col min="9485" max="9485" width="81.85546875" style="1864" customWidth="1"/>
    <col min="9486" max="9486" width="12.7109375" style="1864" customWidth="1"/>
    <col min="9487" max="9487" width="12.42578125" style="1864" customWidth="1"/>
    <col min="9488" max="9488" width="14.5703125" style="1864" customWidth="1"/>
    <col min="9489" max="9489" width="12.28515625" style="1864" customWidth="1"/>
    <col min="9490" max="9490" width="38.140625" style="1864" customWidth="1"/>
    <col min="9491" max="9491" width="46.85546875" style="1864" customWidth="1"/>
    <col min="9492" max="9494" width="12.7109375" style="1864" customWidth="1"/>
    <col min="9495" max="9495" width="9.28515625" style="1864" customWidth="1"/>
    <col min="9496" max="9496" width="13.5703125" style="1864" customWidth="1"/>
    <col min="9497" max="9497" width="10.28515625" style="1864" customWidth="1"/>
    <col min="9498" max="9498" width="12.85546875" style="1864" customWidth="1"/>
    <col min="9499" max="9499" width="9.140625" style="1864" customWidth="1"/>
    <col min="9500" max="9500" width="9.7109375" style="1864" customWidth="1"/>
    <col min="9501" max="9501" width="9.28515625" style="1864" customWidth="1"/>
    <col min="9502" max="9502" width="9.42578125" style="1864" customWidth="1"/>
    <col min="9503" max="9503" width="10.5703125" style="1864" customWidth="1"/>
    <col min="9504" max="9504" width="12.42578125" style="1864" customWidth="1"/>
    <col min="9505" max="9505" width="14.5703125" style="1864" customWidth="1"/>
    <col min="9506" max="9506" width="12.28515625" style="1864" customWidth="1"/>
    <col min="9507" max="9507" width="25.85546875" style="1864" customWidth="1"/>
    <col min="9508" max="9739" width="0.85546875" style="1864"/>
    <col min="9740" max="9740" width="9.85546875" style="1864" customWidth="1"/>
    <col min="9741" max="9741" width="81.85546875" style="1864" customWidth="1"/>
    <col min="9742" max="9742" width="12.7109375" style="1864" customWidth="1"/>
    <col min="9743" max="9743" width="12.42578125" style="1864" customWidth="1"/>
    <col min="9744" max="9744" width="14.5703125" style="1864" customWidth="1"/>
    <col min="9745" max="9745" width="12.28515625" style="1864" customWidth="1"/>
    <col min="9746" max="9746" width="38.140625" style="1864" customWidth="1"/>
    <col min="9747" max="9747" width="46.85546875" style="1864" customWidth="1"/>
    <col min="9748" max="9750" width="12.7109375" style="1864" customWidth="1"/>
    <col min="9751" max="9751" width="9.28515625" style="1864" customWidth="1"/>
    <col min="9752" max="9752" width="13.5703125" style="1864" customWidth="1"/>
    <col min="9753" max="9753" width="10.28515625" style="1864" customWidth="1"/>
    <col min="9754" max="9754" width="12.85546875" style="1864" customWidth="1"/>
    <col min="9755" max="9755" width="9.140625" style="1864" customWidth="1"/>
    <col min="9756" max="9756" width="9.7109375" style="1864" customWidth="1"/>
    <col min="9757" max="9757" width="9.28515625" style="1864" customWidth="1"/>
    <col min="9758" max="9758" width="9.42578125" style="1864" customWidth="1"/>
    <col min="9759" max="9759" width="10.5703125" style="1864" customWidth="1"/>
    <col min="9760" max="9760" width="12.42578125" style="1864" customWidth="1"/>
    <col min="9761" max="9761" width="14.5703125" style="1864" customWidth="1"/>
    <col min="9762" max="9762" width="12.28515625" style="1864" customWidth="1"/>
    <col min="9763" max="9763" width="25.85546875" style="1864" customWidth="1"/>
    <col min="9764" max="9995" width="0.85546875" style="1864"/>
    <col min="9996" max="9996" width="9.85546875" style="1864" customWidth="1"/>
    <col min="9997" max="9997" width="81.85546875" style="1864" customWidth="1"/>
    <col min="9998" max="9998" width="12.7109375" style="1864" customWidth="1"/>
    <col min="9999" max="9999" width="12.42578125" style="1864" customWidth="1"/>
    <col min="10000" max="10000" width="14.5703125" style="1864" customWidth="1"/>
    <col min="10001" max="10001" width="12.28515625" style="1864" customWidth="1"/>
    <col min="10002" max="10002" width="38.140625" style="1864" customWidth="1"/>
    <col min="10003" max="10003" width="46.85546875" style="1864" customWidth="1"/>
    <col min="10004" max="10006" width="12.7109375" style="1864" customWidth="1"/>
    <col min="10007" max="10007" width="9.28515625" style="1864" customWidth="1"/>
    <col min="10008" max="10008" width="13.5703125" style="1864" customWidth="1"/>
    <col min="10009" max="10009" width="10.28515625" style="1864" customWidth="1"/>
    <col min="10010" max="10010" width="12.85546875" style="1864" customWidth="1"/>
    <col min="10011" max="10011" width="9.140625" style="1864" customWidth="1"/>
    <col min="10012" max="10012" width="9.7109375" style="1864" customWidth="1"/>
    <col min="10013" max="10013" width="9.28515625" style="1864" customWidth="1"/>
    <col min="10014" max="10014" width="9.42578125" style="1864" customWidth="1"/>
    <col min="10015" max="10015" width="10.5703125" style="1864" customWidth="1"/>
    <col min="10016" max="10016" width="12.42578125" style="1864" customWidth="1"/>
    <col min="10017" max="10017" width="14.5703125" style="1864" customWidth="1"/>
    <col min="10018" max="10018" width="12.28515625" style="1864" customWidth="1"/>
    <col min="10019" max="10019" width="25.85546875" style="1864" customWidth="1"/>
    <col min="10020" max="10251" width="0.85546875" style="1864"/>
    <col min="10252" max="10252" width="9.85546875" style="1864" customWidth="1"/>
    <col min="10253" max="10253" width="81.85546875" style="1864" customWidth="1"/>
    <col min="10254" max="10254" width="12.7109375" style="1864" customWidth="1"/>
    <col min="10255" max="10255" width="12.42578125" style="1864" customWidth="1"/>
    <col min="10256" max="10256" width="14.5703125" style="1864" customWidth="1"/>
    <col min="10257" max="10257" width="12.28515625" style="1864" customWidth="1"/>
    <col min="10258" max="10258" width="38.140625" style="1864" customWidth="1"/>
    <col min="10259" max="10259" width="46.85546875" style="1864" customWidth="1"/>
    <col min="10260" max="10262" width="12.7109375" style="1864" customWidth="1"/>
    <col min="10263" max="10263" width="9.28515625" style="1864" customWidth="1"/>
    <col min="10264" max="10264" width="13.5703125" style="1864" customWidth="1"/>
    <col min="10265" max="10265" width="10.28515625" style="1864" customWidth="1"/>
    <col min="10266" max="10266" width="12.85546875" style="1864" customWidth="1"/>
    <col min="10267" max="10267" width="9.140625" style="1864" customWidth="1"/>
    <col min="10268" max="10268" width="9.7109375" style="1864" customWidth="1"/>
    <col min="10269" max="10269" width="9.28515625" style="1864" customWidth="1"/>
    <col min="10270" max="10270" width="9.42578125" style="1864" customWidth="1"/>
    <col min="10271" max="10271" width="10.5703125" style="1864" customWidth="1"/>
    <col min="10272" max="10272" width="12.42578125" style="1864" customWidth="1"/>
    <col min="10273" max="10273" width="14.5703125" style="1864" customWidth="1"/>
    <col min="10274" max="10274" width="12.28515625" style="1864" customWidth="1"/>
    <col min="10275" max="10275" width="25.85546875" style="1864" customWidth="1"/>
    <col min="10276" max="10507" width="0.85546875" style="1864"/>
    <col min="10508" max="10508" width="9.85546875" style="1864" customWidth="1"/>
    <col min="10509" max="10509" width="81.85546875" style="1864" customWidth="1"/>
    <col min="10510" max="10510" width="12.7109375" style="1864" customWidth="1"/>
    <col min="10511" max="10511" width="12.42578125" style="1864" customWidth="1"/>
    <col min="10512" max="10512" width="14.5703125" style="1864" customWidth="1"/>
    <col min="10513" max="10513" width="12.28515625" style="1864" customWidth="1"/>
    <col min="10514" max="10514" width="38.140625" style="1864" customWidth="1"/>
    <col min="10515" max="10515" width="46.85546875" style="1864" customWidth="1"/>
    <col min="10516" max="10518" width="12.7109375" style="1864" customWidth="1"/>
    <col min="10519" max="10519" width="9.28515625" style="1864" customWidth="1"/>
    <col min="10520" max="10520" width="13.5703125" style="1864" customWidth="1"/>
    <col min="10521" max="10521" width="10.28515625" style="1864" customWidth="1"/>
    <col min="10522" max="10522" width="12.85546875" style="1864" customWidth="1"/>
    <col min="10523" max="10523" width="9.140625" style="1864" customWidth="1"/>
    <col min="10524" max="10524" width="9.7109375" style="1864" customWidth="1"/>
    <col min="10525" max="10525" width="9.28515625" style="1864" customWidth="1"/>
    <col min="10526" max="10526" width="9.42578125" style="1864" customWidth="1"/>
    <col min="10527" max="10527" width="10.5703125" style="1864" customWidth="1"/>
    <col min="10528" max="10528" width="12.42578125" style="1864" customWidth="1"/>
    <col min="10529" max="10529" width="14.5703125" style="1864" customWidth="1"/>
    <col min="10530" max="10530" width="12.28515625" style="1864" customWidth="1"/>
    <col min="10531" max="10531" width="25.85546875" style="1864" customWidth="1"/>
    <col min="10532" max="10763" width="0.85546875" style="1864"/>
    <col min="10764" max="10764" width="9.85546875" style="1864" customWidth="1"/>
    <col min="10765" max="10765" width="81.85546875" style="1864" customWidth="1"/>
    <col min="10766" max="10766" width="12.7109375" style="1864" customWidth="1"/>
    <col min="10767" max="10767" width="12.42578125" style="1864" customWidth="1"/>
    <col min="10768" max="10768" width="14.5703125" style="1864" customWidth="1"/>
    <col min="10769" max="10769" width="12.28515625" style="1864" customWidth="1"/>
    <col min="10770" max="10770" width="38.140625" style="1864" customWidth="1"/>
    <col min="10771" max="10771" width="46.85546875" style="1864" customWidth="1"/>
    <col min="10772" max="10774" width="12.7109375" style="1864" customWidth="1"/>
    <col min="10775" max="10775" width="9.28515625" style="1864" customWidth="1"/>
    <col min="10776" max="10776" width="13.5703125" style="1864" customWidth="1"/>
    <col min="10777" max="10777" width="10.28515625" style="1864" customWidth="1"/>
    <col min="10778" max="10778" width="12.85546875" style="1864" customWidth="1"/>
    <col min="10779" max="10779" width="9.140625" style="1864" customWidth="1"/>
    <col min="10780" max="10780" width="9.7109375" style="1864" customWidth="1"/>
    <col min="10781" max="10781" width="9.28515625" style="1864" customWidth="1"/>
    <col min="10782" max="10782" width="9.42578125" style="1864" customWidth="1"/>
    <col min="10783" max="10783" width="10.5703125" style="1864" customWidth="1"/>
    <col min="10784" max="10784" width="12.42578125" style="1864" customWidth="1"/>
    <col min="10785" max="10785" width="14.5703125" style="1864" customWidth="1"/>
    <col min="10786" max="10786" width="12.28515625" style="1864" customWidth="1"/>
    <col min="10787" max="10787" width="25.85546875" style="1864" customWidth="1"/>
    <col min="10788" max="11019" width="0.85546875" style="1864"/>
    <col min="11020" max="11020" width="9.85546875" style="1864" customWidth="1"/>
    <col min="11021" max="11021" width="81.85546875" style="1864" customWidth="1"/>
    <col min="11022" max="11022" width="12.7109375" style="1864" customWidth="1"/>
    <col min="11023" max="11023" width="12.42578125" style="1864" customWidth="1"/>
    <col min="11024" max="11024" width="14.5703125" style="1864" customWidth="1"/>
    <col min="11025" max="11025" width="12.28515625" style="1864" customWidth="1"/>
    <col min="11026" max="11026" width="38.140625" style="1864" customWidth="1"/>
    <col min="11027" max="11027" width="46.85546875" style="1864" customWidth="1"/>
    <col min="11028" max="11030" width="12.7109375" style="1864" customWidth="1"/>
    <col min="11031" max="11031" width="9.28515625" style="1864" customWidth="1"/>
    <col min="11032" max="11032" width="13.5703125" style="1864" customWidth="1"/>
    <col min="11033" max="11033" width="10.28515625" style="1864" customWidth="1"/>
    <col min="11034" max="11034" width="12.85546875" style="1864" customWidth="1"/>
    <col min="11035" max="11035" width="9.140625" style="1864" customWidth="1"/>
    <col min="11036" max="11036" width="9.7109375" style="1864" customWidth="1"/>
    <col min="11037" max="11037" width="9.28515625" style="1864" customWidth="1"/>
    <col min="11038" max="11038" width="9.42578125" style="1864" customWidth="1"/>
    <col min="11039" max="11039" width="10.5703125" style="1864" customWidth="1"/>
    <col min="11040" max="11040" width="12.42578125" style="1864" customWidth="1"/>
    <col min="11041" max="11041" width="14.5703125" style="1864" customWidth="1"/>
    <col min="11042" max="11042" width="12.28515625" style="1864" customWidth="1"/>
    <col min="11043" max="11043" width="25.85546875" style="1864" customWidth="1"/>
    <col min="11044" max="11275" width="0.85546875" style="1864"/>
    <col min="11276" max="11276" width="9.85546875" style="1864" customWidth="1"/>
    <col min="11277" max="11277" width="81.85546875" style="1864" customWidth="1"/>
    <col min="11278" max="11278" width="12.7109375" style="1864" customWidth="1"/>
    <col min="11279" max="11279" width="12.42578125" style="1864" customWidth="1"/>
    <col min="11280" max="11280" width="14.5703125" style="1864" customWidth="1"/>
    <col min="11281" max="11281" width="12.28515625" style="1864" customWidth="1"/>
    <col min="11282" max="11282" width="38.140625" style="1864" customWidth="1"/>
    <col min="11283" max="11283" width="46.85546875" style="1864" customWidth="1"/>
    <col min="11284" max="11286" width="12.7109375" style="1864" customWidth="1"/>
    <col min="11287" max="11287" width="9.28515625" style="1864" customWidth="1"/>
    <col min="11288" max="11288" width="13.5703125" style="1864" customWidth="1"/>
    <col min="11289" max="11289" width="10.28515625" style="1864" customWidth="1"/>
    <col min="11290" max="11290" width="12.85546875" style="1864" customWidth="1"/>
    <col min="11291" max="11291" width="9.140625" style="1864" customWidth="1"/>
    <col min="11292" max="11292" width="9.7109375" style="1864" customWidth="1"/>
    <col min="11293" max="11293" width="9.28515625" style="1864" customWidth="1"/>
    <col min="11294" max="11294" width="9.42578125" style="1864" customWidth="1"/>
    <col min="11295" max="11295" width="10.5703125" style="1864" customWidth="1"/>
    <col min="11296" max="11296" width="12.42578125" style="1864" customWidth="1"/>
    <col min="11297" max="11297" width="14.5703125" style="1864" customWidth="1"/>
    <col min="11298" max="11298" width="12.28515625" style="1864" customWidth="1"/>
    <col min="11299" max="11299" width="25.85546875" style="1864" customWidth="1"/>
    <col min="11300" max="11531" width="0.85546875" style="1864"/>
    <col min="11532" max="11532" width="9.85546875" style="1864" customWidth="1"/>
    <col min="11533" max="11533" width="81.85546875" style="1864" customWidth="1"/>
    <col min="11534" max="11534" width="12.7109375" style="1864" customWidth="1"/>
    <col min="11535" max="11535" width="12.42578125" style="1864" customWidth="1"/>
    <col min="11536" max="11536" width="14.5703125" style="1864" customWidth="1"/>
    <col min="11537" max="11537" width="12.28515625" style="1864" customWidth="1"/>
    <col min="11538" max="11538" width="38.140625" style="1864" customWidth="1"/>
    <col min="11539" max="11539" width="46.85546875" style="1864" customWidth="1"/>
    <col min="11540" max="11542" width="12.7109375" style="1864" customWidth="1"/>
    <col min="11543" max="11543" width="9.28515625" style="1864" customWidth="1"/>
    <col min="11544" max="11544" width="13.5703125" style="1864" customWidth="1"/>
    <col min="11545" max="11545" width="10.28515625" style="1864" customWidth="1"/>
    <col min="11546" max="11546" width="12.85546875" style="1864" customWidth="1"/>
    <col min="11547" max="11547" width="9.140625" style="1864" customWidth="1"/>
    <col min="11548" max="11548" width="9.7109375" style="1864" customWidth="1"/>
    <col min="11549" max="11549" width="9.28515625" style="1864" customWidth="1"/>
    <col min="11550" max="11550" width="9.42578125" style="1864" customWidth="1"/>
    <col min="11551" max="11551" width="10.5703125" style="1864" customWidth="1"/>
    <col min="11552" max="11552" width="12.42578125" style="1864" customWidth="1"/>
    <col min="11553" max="11553" width="14.5703125" style="1864" customWidth="1"/>
    <col min="11554" max="11554" width="12.28515625" style="1864" customWidth="1"/>
    <col min="11555" max="11555" width="25.85546875" style="1864" customWidth="1"/>
    <col min="11556" max="11787" width="0.85546875" style="1864"/>
    <col min="11788" max="11788" width="9.85546875" style="1864" customWidth="1"/>
    <col min="11789" max="11789" width="81.85546875" style="1864" customWidth="1"/>
    <col min="11790" max="11790" width="12.7109375" style="1864" customWidth="1"/>
    <col min="11791" max="11791" width="12.42578125" style="1864" customWidth="1"/>
    <col min="11792" max="11792" width="14.5703125" style="1864" customWidth="1"/>
    <col min="11793" max="11793" width="12.28515625" style="1864" customWidth="1"/>
    <col min="11794" max="11794" width="38.140625" style="1864" customWidth="1"/>
    <col min="11795" max="11795" width="46.85546875" style="1864" customWidth="1"/>
    <col min="11796" max="11798" width="12.7109375" style="1864" customWidth="1"/>
    <col min="11799" max="11799" width="9.28515625" style="1864" customWidth="1"/>
    <col min="11800" max="11800" width="13.5703125" style="1864" customWidth="1"/>
    <col min="11801" max="11801" width="10.28515625" style="1864" customWidth="1"/>
    <col min="11802" max="11802" width="12.85546875" style="1864" customWidth="1"/>
    <col min="11803" max="11803" width="9.140625" style="1864" customWidth="1"/>
    <col min="11804" max="11804" width="9.7109375" style="1864" customWidth="1"/>
    <col min="11805" max="11805" width="9.28515625" style="1864" customWidth="1"/>
    <col min="11806" max="11806" width="9.42578125" style="1864" customWidth="1"/>
    <col min="11807" max="11807" width="10.5703125" style="1864" customWidth="1"/>
    <col min="11808" max="11808" width="12.42578125" style="1864" customWidth="1"/>
    <col min="11809" max="11809" width="14.5703125" style="1864" customWidth="1"/>
    <col min="11810" max="11810" width="12.28515625" style="1864" customWidth="1"/>
    <col min="11811" max="11811" width="25.85546875" style="1864" customWidth="1"/>
    <col min="11812" max="12043" width="0.85546875" style="1864"/>
    <col min="12044" max="12044" width="9.85546875" style="1864" customWidth="1"/>
    <col min="12045" max="12045" width="81.85546875" style="1864" customWidth="1"/>
    <col min="12046" max="12046" width="12.7109375" style="1864" customWidth="1"/>
    <col min="12047" max="12047" width="12.42578125" style="1864" customWidth="1"/>
    <col min="12048" max="12048" width="14.5703125" style="1864" customWidth="1"/>
    <col min="12049" max="12049" width="12.28515625" style="1864" customWidth="1"/>
    <col min="12050" max="12050" width="38.140625" style="1864" customWidth="1"/>
    <col min="12051" max="12051" width="46.85546875" style="1864" customWidth="1"/>
    <col min="12052" max="12054" width="12.7109375" style="1864" customWidth="1"/>
    <col min="12055" max="12055" width="9.28515625" style="1864" customWidth="1"/>
    <col min="12056" max="12056" width="13.5703125" style="1864" customWidth="1"/>
    <col min="12057" max="12057" width="10.28515625" style="1864" customWidth="1"/>
    <col min="12058" max="12058" width="12.85546875" style="1864" customWidth="1"/>
    <col min="12059" max="12059" width="9.140625" style="1864" customWidth="1"/>
    <col min="12060" max="12060" width="9.7109375" style="1864" customWidth="1"/>
    <col min="12061" max="12061" width="9.28515625" style="1864" customWidth="1"/>
    <col min="12062" max="12062" width="9.42578125" style="1864" customWidth="1"/>
    <col min="12063" max="12063" width="10.5703125" style="1864" customWidth="1"/>
    <col min="12064" max="12064" width="12.42578125" style="1864" customWidth="1"/>
    <col min="12065" max="12065" width="14.5703125" style="1864" customWidth="1"/>
    <col min="12066" max="12066" width="12.28515625" style="1864" customWidth="1"/>
    <col min="12067" max="12067" width="25.85546875" style="1864" customWidth="1"/>
    <col min="12068" max="12299" width="0.85546875" style="1864"/>
    <col min="12300" max="12300" width="9.85546875" style="1864" customWidth="1"/>
    <col min="12301" max="12301" width="81.85546875" style="1864" customWidth="1"/>
    <col min="12302" max="12302" width="12.7109375" style="1864" customWidth="1"/>
    <col min="12303" max="12303" width="12.42578125" style="1864" customWidth="1"/>
    <col min="12304" max="12304" width="14.5703125" style="1864" customWidth="1"/>
    <col min="12305" max="12305" width="12.28515625" style="1864" customWidth="1"/>
    <col min="12306" max="12306" width="38.140625" style="1864" customWidth="1"/>
    <col min="12307" max="12307" width="46.85546875" style="1864" customWidth="1"/>
    <col min="12308" max="12310" width="12.7109375" style="1864" customWidth="1"/>
    <col min="12311" max="12311" width="9.28515625" style="1864" customWidth="1"/>
    <col min="12312" max="12312" width="13.5703125" style="1864" customWidth="1"/>
    <col min="12313" max="12313" width="10.28515625" style="1864" customWidth="1"/>
    <col min="12314" max="12314" width="12.85546875" style="1864" customWidth="1"/>
    <col min="12315" max="12315" width="9.140625" style="1864" customWidth="1"/>
    <col min="12316" max="12316" width="9.7109375" style="1864" customWidth="1"/>
    <col min="12317" max="12317" width="9.28515625" style="1864" customWidth="1"/>
    <col min="12318" max="12318" width="9.42578125" style="1864" customWidth="1"/>
    <col min="12319" max="12319" width="10.5703125" style="1864" customWidth="1"/>
    <col min="12320" max="12320" width="12.42578125" style="1864" customWidth="1"/>
    <col min="12321" max="12321" width="14.5703125" style="1864" customWidth="1"/>
    <col min="12322" max="12322" width="12.28515625" style="1864" customWidth="1"/>
    <col min="12323" max="12323" width="25.85546875" style="1864" customWidth="1"/>
    <col min="12324" max="12555" width="0.85546875" style="1864"/>
    <col min="12556" max="12556" width="9.85546875" style="1864" customWidth="1"/>
    <col min="12557" max="12557" width="81.85546875" style="1864" customWidth="1"/>
    <col min="12558" max="12558" width="12.7109375" style="1864" customWidth="1"/>
    <col min="12559" max="12559" width="12.42578125" style="1864" customWidth="1"/>
    <col min="12560" max="12560" width="14.5703125" style="1864" customWidth="1"/>
    <col min="12561" max="12561" width="12.28515625" style="1864" customWidth="1"/>
    <col min="12562" max="12562" width="38.140625" style="1864" customWidth="1"/>
    <col min="12563" max="12563" width="46.85546875" style="1864" customWidth="1"/>
    <col min="12564" max="12566" width="12.7109375" style="1864" customWidth="1"/>
    <col min="12567" max="12567" width="9.28515625" style="1864" customWidth="1"/>
    <col min="12568" max="12568" width="13.5703125" style="1864" customWidth="1"/>
    <col min="12569" max="12569" width="10.28515625" style="1864" customWidth="1"/>
    <col min="12570" max="12570" width="12.85546875" style="1864" customWidth="1"/>
    <col min="12571" max="12571" width="9.140625" style="1864" customWidth="1"/>
    <col min="12572" max="12572" width="9.7109375" style="1864" customWidth="1"/>
    <col min="12573" max="12573" width="9.28515625" style="1864" customWidth="1"/>
    <col min="12574" max="12574" width="9.42578125" style="1864" customWidth="1"/>
    <col min="12575" max="12575" width="10.5703125" style="1864" customWidth="1"/>
    <col min="12576" max="12576" width="12.42578125" style="1864" customWidth="1"/>
    <col min="12577" max="12577" width="14.5703125" style="1864" customWidth="1"/>
    <col min="12578" max="12578" width="12.28515625" style="1864" customWidth="1"/>
    <col min="12579" max="12579" width="25.85546875" style="1864" customWidth="1"/>
    <col min="12580" max="12811" width="0.85546875" style="1864"/>
    <col min="12812" max="12812" width="9.85546875" style="1864" customWidth="1"/>
    <col min="12813" max="12813" width="81.85546875" style="1864" customWidth="1"/>
    <col min="12814" max="12814" width="12.7109375" style="1864" customWidth="1"/>
    <col min="12815" max="12815" width="12.42578125" style="1864" customWidth="1"/>
    <col min="12816" max="12816" width="14.5703125" style="1864" customWidth="1"/>
    <col min="12817" max="12817" width="12.28515625" style="1864" customWidth="1"/>
    <col min="12818" max="12818" width="38.140625" style="1864" customWidth="1"/>
    <col min="12819" max="12819" width="46.85546875" style="1864" customWidth="1"/>
    <col min="12820" max="12822" width="12.7109375" style="1864" customWidth="1"/>
    <col min="12823" max="12823" width="9.28515625" style="1864" customWidth="1"/>
    <col min="12824" max="12824" width="13.5703125" style="1864" customWidth="1"/>
    <col min="12825" max="12825" width="10.28515625" style="1864" customWidth="1"/>
    <col min="12826" max="12826" width="12.85546875" style="1864" customWidth="1"/>
    <col min="12827" max="12827" width="9.140625" style="1864" customWidth="1"/>
    <col min="12828" max="12828" width="9.7109375" style="1864" customWidth="1"/>
    <col min="12829" max="12829" width="9.28515625" style="1864" customWidth="1"/>
    <col min="12830" max="12830" width="9.42578125" style="1864" customWidth="1"/>
    <col min="12831" max="12831" width="10.5703125" style="1864" customWidth="1"/>
    <col min="12832" max="12832" width="12.42578125" style="1864" customWidth="1"/>
    <col min="12833" max="12833" width="14.5703125" style="1864" customWidth="1"/>
    <col min="12834" max="12834" width="12.28515625" style="1864" customWidth="1"/>
    <col min="12835" max="12835" width="25.85546875" style="1864" customWidth="1"/>
    <col min="12836" max="13067" width="0.85546875" style="1864"/>
    <col min="13068" max="13068" width="9.85546875" style="1864" customWidth="1"/>
    <col min="13069" max="13069" width="81.85546875" style="1864" customWidth="1"/>
    <col min="13070" max="13070" width="12.7109375" style="1864" customWidth="1"/>
    <col min="13071" max="13071" width="12.42578125" style="1864" customWidth="1"/>
    <col min="13072" max="13072" width="14.5703125" style="1864" customWidth="1"/>
    <col min="13073" max="13073" width="12.28515625" style="1864" customWidth="1"/>
    <col min="13074" max="13074" width="38.140625" style="1864" customWidth="1"/>
    <col min="13075" max="13075" width="46.85546875" style="1864" customWidth="1"/>
    <col min="13076" max="13078" width="12.7109375" style="1864" customWidth="1"/>
    <col min="13079" max="13079" width="9.28515625" style="1864" customWidth="1"/>
    <col min="13080" max="13080" width="13.5703125" style="1864" customWidth="1"/>
    <col min="13081" max="13081" width="10.28515625" style="1864" customWidth="1"/>
    <col min="13082" max="13082" width="12.85546875" style="1864" customWidth="1"/>
    <col min="13083" max="13083" width="9.140625" style="1864" customWidth="1"/>
    <col min="13084" max="13084" width="9.7109375" style="1864" customWidth="1"/>
    <col min="13085" max="13085" width="9.28515625" style="1864" customWidth="1"/>
    <col min="13086" max="13086" width="9.42578125" style="1864" customWidth="1"/>
    <col min="13087" max="13087" width="10.5703125" style="1864" customWidth="1"/>
    <col min="13088" max="13088" width="12.42578125" style="1864" customWidth="1"/>
    <col min="13089" max="13089" width="14.5703125" style="1864" customWidth="1"/>
    <col min="13090" max="13090" width="12.28515625" style="1864" customWidth="1"/>
    <col min="13091" max="13091" width="25.85546875" style="1864" customWidth="1"/>
    <col min="13092" max="13323" width="0.85546875" style="1864"/>
    <col min="13324" max="13324" width="9.85546875" style="1864" customWidth="1"/>
    <col min="13325" max="13325" width="81.85546875" style="1864" customWidth="1"/>
    <col min="13326" max="13326" width="12.7109375" style="1864" customWidth="1"/>
    <col min="13327" max="13327" width="12.42578125" style="1864" customWidth="1"/>
    <col min="13328" max="13328" width="14.5703125" style="1864" customWidth="1"/>
    <col min="13329" max="13329" width="12.28515625" style="1864" customWidth="1"/>
    <col min="13330" max="13330" width="38.140625" style="1864" customWidth="1"/>
    <col min="13331" max="13331" width="46.85546875" style="1864" customWidth="1"/>
    <col min="13332" max="13334" width="12.7109375" style="1864" customWidth="1"/>
    <col min="13335" max="13335" width="9.28515625" style="1864" customWidth="1"/>
    <col min="13336" max="13336" width="13.5703125" style="1864" customWidth="1"/>
    <col min="13337" max="13337" width="10.28515625" style="1864" customWidth="1"/>
    <col min="13338" max="13338" width="12.85546875" style="1864" customWidth="1"/>
    <col min="13339" max="13339" width="9.140625" style="1864" customWidth="1"/>
    <col min="13340" max="13340" width="9.7109375" style="1864" customWidth="1"/>
    <col min="13341" max="13341" width="9.28515625" style="1864" customWidth="1"/>
    <col min="13342" max="13342" width="9.42578125" style="1864" customWidth="1"/>
    <col min="13343" max="13343" width="10.5703125" style="1864" customWidth="1"/>
    <col min="13344" max="13344" width="12.42578125" style="1864" customWidth="1"/>
    <col min="13345" max="13345" width="14.5703125" style="1864" customWidth="1"/>
    <col min="13346" max="13346" width="12.28515625" style="1864" customWidth="1"/>
    <col min="13347" max="13347" width="25.85546875" style="1864" customWidth="1"/>
    <col min="13348" max="13579" width="0.85546875" style="1864"/>
    <col min="13580" max="13580" width="9.85546875" style="1864" customWidth="1"/>
    <col min="13581" max="13581" width="81.85546875" style="1864" customWidth="1"/>
    <col min="13582" max="13582" width="12.7109375" style="1864" customWidth="1"/>
    <col min="13583" max="13583" width="12.42578125" style="1864" customWidth="1"/>
    <col min="13584" max="13584" width="14.5703125" style="1864" customWidth="1"/>
    <col min="13585" max="13585" width="12.28515625" style="1864" customWidth="1"/>
    <col min="13586" max="13586" width="38.140625" style="1864" customWidth="1"/>
    <col min="13587" max="13587" width="46.85546875" style="1864" customWidth="1"/>
    <col min="13588" max="13590" width="12.7109375" style="1864" customWidth="1"/>
    <col min="13591" max="13591" width="9.28515625" style="1864" customWidth="1"/>
    <col min="13592" max="13592" width="13.5703125" style="1864" customWidth="1"/>
    <col min="13593" max="13593" width="10.28515625" style="1864" customWidth="1"/>
    <col min="13594" max="13594" width="12.85546875" style="1864" customWidth="1"/>
    <col min="13595" max="13595" width="9.140625" style="1864" customWidth="1"/>
    <col min="13596" max="13596" width="9.7109375" style="1864" customWidth="1"/>
    <col min="13597" max="13597" width="9.28515625" style="1864" customWidth="1"/>
    <col min="13598" max="13598" width="9.42578125" style="1864" customWidth="1"/>
    <col min="13599" max="13599" width="10.5703125" style="1864" customWidth="1"/>
    <col min="13600" max="13600" width="12.42578125" style="1864" customWidth="1"/>
    <col min="13601" max="13601" width="14.5703125" style="1864" customWidth="1"/>
    <col min="13602" max="13602" width="12.28515625" style="1864" customWidth="1"/>
    <col min="13603" max="13603" width="25.85546875" style="1864" customWidth="1"/>
    <col min="13604" max="13835" width="0.85546875" style="1864"/>
    <col min="13836" max="13836" width="9.85546875" style="1864" customWidth="1"/>
    <col min="13837" max="13837" width="81.85546875" style="1864" customWidth="1"/>
    <col min="13838" max="13838" width="12.7109375" style="1864" customWidth="1"/>
    <col min="13839" max="13839" width="12.42578125" style="1864" customWidth="1"/>
    <col min="13840" max="13840" width="14.5703125" style="1864" customWidth="1"/>
    <col min="13841" max="13841" width="12.28515625" style="1864" customWidth="1"/>
    <col min="13842" max="13842" width="38.140625" style="1864" customWidth="1"/>
    <col min="13843" max="13843" width="46.85546875" style="1864" customWidth="1"/>
    <col min="13844" max="13846" width="12.7109375" style="1864" customWidth="1"/>
    <col min="13847" max="13847" width="9.28515625" style="1864" customWidth="1"/>
    <col min="13848" max="13848" width="13.5703125" style="1864" customWidth="1"/>
    <col min="13849" max="13849" width="10.28515625" style="1864" customWidth="1"/>
    <col min="13850" max="13850" width="12.85546875" style="1864" customWidth="1"/>
    <col min="13851" max="13851" width="9.140625" style="1864" customWidth="1"/>
    <col min="13852" max="13852" width="9.7109375" style="1864" customWidth="1"/>
    <col min="13853" max="13853" width="9.28515625" style="1864" customWidth="1"/>
    <col min="13854" max="13854" width="9.42578125" style="1864" customWidth="1"/>
    <col min="13855" max="13855" width="10.5703125" style="1864" customWidth="1"/>
    <col min="13856" max="13856" width="12.42578125" style="1864" customWidth="1"/>
    <col min="13857" max="13857" width="14.5703125" style="1864" customWidth="1"/>
    <col min="13858" max="13858" width="12.28515625" style="1864" customWidth="1"/>
    <col min="13859" max="13859" width="25.85546875" style="1864" customWidth="1"/>
    <col min="13860" max="14091" width="0.85546875" style="1864"/>
    <col min="14092" max="14092" width="9.85546875" style="1864" customWidth="1"/>
    <col min="14093" max="14093" width="81.85546875" style="1864" customWidth="1"/>
    <col min="14094" max="14094" width="12.7109375" style="1864" customWidth="1"/>
    <col min="14095" max="14095" width="12.42578125" style="1864" customWidth="1"/>
    <col min="14096" max="14096" width="14.5703125" style="1864" customWidth="1"/>
    <col min="14097" max="14097" width="12.28515625" style="1864" customWidth="1"/>
    <col min="14098" max="14098" width="38.140625" style="1864" customWidth="1"/>
    <col min="14099" max="14099" width="46.85546875" style="1864" customWidth="1"/>
    <col min="14100" max="14102" width="12.7109375" style="1864" customWidth="1"/>
    <col min="14103" max="14103" width="9.28515625" style="1864" customWidth="1"/>
    <col min="14104" max="14104" width="13.5703125" style="1864" customWidth="1"/>
    <col min="14105" max="14105" width="10.28515625" style="1864" customWidth="1"/>
    <col min="14106" max="14106" width="12.85546875" style="1864" customWidth="1"/>
    <col min="14107" max="14107" width="9.140625" style="1864" customWidth="1"/>
    <col min="14108" max="14108" width="9.7109375" style="1864" customWidth="1"/>
    <col min="14109" max="14109" width="9.28515625" style="1864" customWidth="1"/>
    <col min="14110" max="14110" width="9.42578125" style="1864" customWidth="1"/>
    <col min="14111" max="14111" width="10.5703125" style="1864" customWidth="1"/>
    <col min="14112" max="14112" width="12.42578125" style="1864" customWidth="1"/>
    <col min="14113" max="14113" width="14.5703125" style="1864" customWidth="1"/>
    <col min="14114" max="14114" width="12.28515625" style="1864" customWidth="1"/>
    <col min="14115" max="14115" width="25.85546875" style="1864" customWidth="1"/>
    <col min="14116" max="14347" width="0.85546875" style="1864"/>
    <col min="14348" max="14348" width="9.85546875" style="1864" customWidth="1"/>
    <col min="14349" max="14349" width="81.85546875" style="1864" customWidth="1"/>
    <col min="14350" max="14350" width="12.7109375" style="1864" customWidth="1"/>
    <col min="14351" max="14351" width="12.42578125" style="1864" customWidth="1"/>
    <col min="14352" max="14352" width="14.5703125" style="1864" customWidth="1"/>
    <col min="14353" max="14353" width="12.28515625" style="1864" customWidth="1"/>
    <col min="14354" max="14354" width="38.140625" style="1864" customWidth="1"/>
    <col min="14355" max="14355" width="46.85546875" style="1864" customWidth="1"/>
    <col min="14356" max="14358" width="12.7109375" style="1864" customWidth="1"/>
    <col min="14359" max="14359" width="9.28515625" style="1864" customWidth="1"/>
    <col min="14360" max="14360" width="13.5703125" style="1864" customWidth="1"/>
    <col min="14361" max="14361" width="10.28515625" style="1864" customWidth="1"/>
    <col min="14362" max="14362" width="12.85546875" style="1864" customWidth="1"/>
    <col min="14363" max="14363" width="9.140625" style="1864" customWidth="1"/>
    <col min="14364" max="14364" width="9.7109375" style="1864" customWidth="1"/>
    <col min="14365" max="14365" width="9.28515625" style="1864" customWidth="1"/>
    <col min="14366" max="14366" width="9.42578125" style="1864" customWidth="1"/>
    <col min="14367" max="14367" width="10.5703125" style="1864" customWidth="1"/>
    <col min="14368" max="14368" width="12.42578125" style="1864" customWidth="1"/>
    <col min="14369" max="14369" width="14.5703125" style="1864" customWidth="1"/>
    <col min="14370" max="14370" width="12.28515625" style="1864" customWidth="1"/>
    <col min="14371" max="14371" width="25.85546875" style="1864" customWidth="1"/>
    <col min="14372" max="14603" width="0.85546875" style="1864"/>
    <col min="14604" max="14604" width="9.85546875" style="1864" customWidth="1"/>
    <col min="14605" max="14605" width="81.85546875" style="1864" customWidth="1"/>
    <col min="14606" max="14606" width="12.7109375" style="1864" customWidth="1"/>
    <col min="14607" max="14607" width="12.42578125" style="1864" customWidth="1"/>
    <col min="14608" max="14608" width="14.5703125" style="1864" customWidth="1"/>
    <col min="14609" max="14609" width="12.28515625" style="1864" customWidth="1"/>
    <col min="14610" max="14610" width="38.140625" style="1864" customWidth="1"/>
    <col min="14611" max="14611" width="46.85546875" style="1864" customWidth="1"/>
    <col min="14612" max="14614" width="12.7109375" style="1864" customWidth="1"/>
    <col min="14615" max="14615" width="9.28515625" style="1864" customWidth="1"/>
    <col min="14616" max="14616" width="13.5703125" style="1864" customWidth="1"/>
    <col min="14617" max="14617" width="10.28515625" style="1864" customWidth="1"/>
    <col min="14618" max="14618" width="12.85546875" style="1864" customWidth="1"/>
    <col min="14619" max="14619" width="9.140625" style="1864" customWidth="1"/>
    <col min="14620" max="14620" width="9.7109375" style="1864" customWidth="1"/>
    <col min="14621" max="14621" width="9.28515625" style="1864" customWidth="1"/>
    <col min="14622" max="14622" width="9.42578125" style="1864" customWidth="1"/>
    <col min="14623" max="14623" width="10.5703125" style="1864" customWidth="1"/>
    <col min="14624" max="14624" width="12.42578125" style="1864" customWidth="1"/>
    <col min="14625" max="14625" width="14.5703125" style="1864" customWidth="1"/>
    <col min="14626" max="14626" width="12.28515625" style="1864" customWidth="1"/>
    <col min="14627" max="14627" width="25.85546875" style="1864" customWidth="1"/>
    <col min="14628" max="14859" width="0.85546875" style="1864"/>
    <col min="14860" max="14860" width="9.85546875" style="1864" customWidth="1"/>
    <col min="14861" max="14861" width="81.85546875" style="1864" customWidth="1"/>
    <col min="14862" max="14862" width="12.7109375" style="1864" customWidth="1"/>
    <col min="14863" max="14863" width="12.42578125" style="1864" customWidth="1"/>
    <col min="14864" max="14864" width="14.5703125" style="1864" customWidth="1"/>
    <col min="14865" max="14865" width="12.28515625" style="1864" customWidth="1"/>
    <col min="14866" max="14866" width="38.140625" style="1864" customWidth="1"/>
    <col min="14867" max="14867" width="46.85546875" style="1864" customWidth="1"/>
    <col min="14868" max="14870" width="12.7109375" style="1864" customWidth="1"/>
    <col min="14871" max="14871" width="9.28515625" style="1864" customWidth="1"/>
    <col min="14872" max="14872" width="13.5703125" style="1864" customWidth="1"/>
    <col min="14873" max="14873" width="10.28515625" style="1864" customWidth="1"/>
    <col min="14874" max="14874" width="12.85546875" style="1864" customWidth="1"/>
    <col min="14875" max="14875" width="9.140625" style="1864" customWidth="1"/>
    <col min="14876" max="14876" width="9.7109375" style="1864" customWidth="1"/>
    <col min="14877" max="14877" width="9.28515625" style="1864" customWidth="1"/>
    <col min="14878" max="14878" width="9.42578125" style="1864" customWidth="1"/>
    <col min="14879" max="14879" width="10.5703125" style="1864" customWidth="1"/>
    <col min="14880" max="14880" width="12.42578125" style="1864" customWidth="1"/>
    <col min="14881" max="14881" width="14.5703125" style="1864" customWidth="1"/>
    <col min="14882" max="14882" width="12.28515625" style="1864" customWidth="1"/>
    <col min="14883" max="14883" width="25.85546875" style="1864" customWidth="1"/>
    <col min="14884" max="15115" width="0.85546875" style="1864"/>
    <col min="15116" max="15116" width="9.85546875" style="1864" customWidth="1"/>
    <col min="15117" max="15117" width="81.85546875" style="1864" customWidth="1"/>
    <col min="15118" max="15118" width="12.7109375" style="1864" customWidth="1"/>
    <col min="15119" max="15119" width="12.42578125" style="1864" customWidth="1"/>
    <col min="15120" max="15120" width="14.5703125" style="1864" customWidth="1"/>
    <col min="15121" max="15121" width="12.28515625" style="1864" customWidth="1"/>
    <col min="15122" max="15122" width="38.140625" style="1864" customWidth="1"/>
    <col min="15123" max="15123" width="46.85546875" style="1864" customWidth="1"/>
    <col min="15124" max="15126" width="12.7109375" style="1864" customWidth="1"/>
    <col min="15127" max="15127" width="9.28515625" style="1864" customWidth="1"/>
    <col min="15128" max="15128" width="13.5703125" style="1864" customWidth="1"/>
    <col min="15129" max="15129" width="10.28515625" style="1864" customWidth="1"/>
    <col min="15130" max="15130" width="12.85546875" style="1864" customWidth="1"/>
    <col min="15131" max="15131" width="9.140625" style="1864" customWidth="1"/>
    <col min="15132" max="15132" width="9.7109375" style="1864" customWidth="1"/>
    <col min="15133" max="15133" width="9.28515625" style="1864" customWidth="1"/>
    <col min="15134" max="15134" width="9.42578125" style="1864" customWidth="1"/>
    <col min="15135" max="15135" width="10.5703125" style="1864" customWidth="1"/>
    <col min="15136" max="15136" width="12.42578125" style="1864" customWidth="1"/>
    <col min="15137" max="15137" width="14.5703125" style="1864" customWidth="1"/>
    <col min="15138" max="15138" width="12.28515625" style="1864" customWidth="1"/>
    <col min="15139" max="15139" width="25.85546875" style="1864" customWidth="1"/>
    <col min="15140" max="15371" width="0.85546875" style="1864"/>
    <col min="15372" max="15372" width="9.85546875" style="1864" customWidth="1"/>
    <col min="15373" max="15373" width="81.85546875" style="1864" customWidth="1"/>
    <col min="15374" max="15374" width="12.7109375" style="1864" customWidth="1"/>
    <col min="15375" max="15375" width="12.42578125" style="1864" customWidth="1"/>
    <col min="15376" max="15376" width="14.5703125" style="1864" customWidth="1"/>
    <col min="15377" max="15377" width="12.28515625" style="1864" customWidth="1"/>
    <col min="15378" max="15378" width="38.140625" style="1864" customWidth="1"/>
    <col min="15379" max="15379" width="46.85546875" style="1864" customWidth="1"/>
    <col min="15380" max="15382" width="12.7109375" style="1864" customWidth="1"/>
    <col min="15383" max="15383" width="9.28515625" style="1864" customWidth="1"/>
    <col min="15384" max="15384" width="13.5703125" style="1864" customWidth="1"/>
    <col min="15385" max="15385" width="10.28515625" style="1864" customWidth="1"/>
    <col min="15386" max="15386" width="12.85546875" style="1864" customWidth="1"/>
    <col min="15387" max="15387" width="9.140625" style="1864" customWidth="1"/>
    <col min="15388" max="15388" width="9.7109375" style="1864" customWidth="1"/>
    <col min="15389" max="15389" width="9.28515625" style="1864" customWidth="1"/>
    <col min="15390" max="15390" width="9.42578125" style="1864" customWidth="1"/>
    <col min="15391" max="15391" width="10.5703125" style="1864" customWidth="1"/>
    <col min="15392" max="15392" width="12.42578125" style="1864" customWidth="1"/>
    <col min="15393" max="15393" width="14.5703125" style="1864" customWidth="1"/>
    <col min="15394" max="15394" width="12.28515625" style="1864" customWidth="1"/>
    <col min="15395" max="15395" width="25.85546875" style="1864" customWidth="1"/>
    <col min="15396" max="15627" width="0.85546875" style="1864"/>
    <col min="15628" max="15628" width="9.85546875" style="1864" customWidth="1"/>
    <col min="15629" max="15629" width="81.85546875" style="1864" customWidth="1"/>
    <col min="15630" max="15630" width="12.7109375" style="1864" customWidth="1"/>
    <col min="15631" max="15631" width="12.42578125" style="1864" customWidth="1"/>
    <col min="15632" max="15632" width="14.5703125" style="1864" customWidth="1"/>
    <col min="15633" max="15633" width="12.28515625" style="1864" customWidth="1"/>
    <col min="15634" max="15634" width="38.140625" style="1864" customWidth="1"/>
    <col min="15635" max="15635" width="46.85546875" style="1864" customWidth="1"/>
    <col min="15636" max="15638" width="12.7109375" style="1864" customWidth="1"/>
    <col min="15639" max="15639" width="9.28515625" style="1864" customWidth="1"/>
    <col min="15640" max="15640" width="13.5703125" style="1864" customWidth="1"/>
    <col min="15641" max="15641" width="10.28515625" style="1864" customWidth="1"/>
    <col min="15642" max="15642" width="12.85546875" style="1864" customWidth="1"/>
    <col min="15643" max="15643" width="9.140625" style="1864" customWidth="1"/>
    <col min="15644" max="15644" width="9.7109375" style="1864" customWidth="1"/>
    <col min="15645" max="15645" width="9.28515625" style="1864" customWidth="1"/>
    <col min="15646" max="15646" width="9.42578125" style="1864" customWidth="1"/>
    <col min="15647" max="15647" width="10.5703125" style="1864" customWidth="1"/>
    <col min="15648" max="15648" width="12.42578125" style="1864" customWidth="1"/>
    <col min="15649" max="15649" width="14.5703125" style="1864" customWidth="1"/>
    <col min="15650" max="15650" width="12.28515625" style="1864" customWidth="1"/>
    <col min="15651" max="15651" width="25.85546875" style="1864" customWidth="1"/>
    <col min="15652" max="15883" width="0.85546875" style="1864"/>
    <col min="15884" max="15884" width="9.85546875" style="1864" customWidth="1"/>
    <col min="15885" max="15885" width="81.85546875" style="1864" customWidth="1"/>
    <col min="15886" max="15886" width="12.7109375" style="1864" customWidth="1"/>
    <col min="15887" max="15887" width="12.42578125" style="1864" customWidth="1"/>
    <col min="15888" max="15888" width="14.5703125" style="1864" customWidth="1"/>
    <col min="15889" max="15889" width="12.28515625" style="1864" customWidth="1"/>
    <col min="15890" max="15890" width="38.140625" style="1864" customWidth="1"/>
    <col min="15891" max="15891" width="46.85546875" style="1864" customWidth="1"/>
    <col min="15892" max="15894" width="12.7109375" style="1864" customWidth="1"/>
    <col min="15895" max="15895" width="9.28515625" style="1864" customWidth="1"/>
    <col min="15896" max="15896" width="13.5703125" style="1864" customWidth="1"/>
    <col min="15897" max="15897" width="10.28515625" style="1864" customWidth="1"/>
    <col min="15898" max="15898" width="12.85546875" style="1864" customWidth="1"/>
    <col min="15899" max="15899" width="9.140625" style="1864" customWidth="1"/>
    <col min="15900" max="15900" width="9.7109375" style="1864" customWidth="1"/>
    <col min="15901" max="15901" width="9.28515625" style="1864" customWidth="1"/>
    <col min="15902" max="15902" width="9.42578125" style="1864" customWidth="1"/>
    <col min="15903" max="15903" width="10.5703125" style="1864" customWidth="1"/>
    <col min="15904" max="15904" width="12.42578125" style="1864" customWidth="1"/>
    <col min="15905" max="15905" width="14.5703125" style="1864" customWidth="1"/>
    <col min="15906" max="15906" width="12.28515625" style="1864" customWidth="1"/>
    <col min="15907" max="15907" width="25.85546875" style="1864" customWidth="1"/>
    <col min="15908" max="16139" width="0.85546875" style="1864"/>
    <col min="16140" max="16140" width="9.85546875" style="1864" customWidth="1"/>
    <col min="16141" max="16141" width="81.85546875" style="1864" customWidth="1"/>
    <col min="16142" max="16142" width="12.7109375" style="1864" customWidth="1"/>
    <col min="16143" max="16143" width="12.42578125" style="1864" customWidth="1"/>
    <col min="16144" max="16144" width="14.5703125" style="1864" customWidth="1"/>
    <col min="16145" max="16145" width="12.28515625" style="1864" customWidth="1"/>
    <col min="16146" max="16146" width="38.140625" style="1864" customWidth="1"/>
    <col min="16147" max="16147" width="46.85546875" style="1864" customWidth="1"/>
    <col min="16148" max="16150" width="12.7109375" style="1864" customWidth="1"/>
    <col min="16151" max="16151" width="9.28515625" style="1864" customWidth="1"/>
    <col min="16152" max="16152" width="13.5703125" style="1864" customWidth="1"/>
    <col min="16153" max="16153" width="10.28515625" style="1864" customWidth="1"/>
    <col min="16154" max="16154" width="12.85546875" style="1864" customWidth="1"/>
    <col min="16155" max="16155" width="9.140625" style="1864" customWidth="1"/>
    <col min="16156" max="16156" width="9.7109375" style="1864" customWidth="1"/>
    <col min="16157" max="16157" width="9.28515625" style="1864" customWidth="1"/>
    <col min="16158" max="16158" width="9.42578125" style="1864" customWidth="1"/>
    <col min="16159" max="16159" width="10.5703125" style="1864" customWidth="1"/>
    <col min="16160" max="16160" width="12.42578125" style="1864" customWidth="1"/>
    <col min="16161" max="16161" width="14.5703125" style="1864" customWidth="1"/>
    <col min="16162" max="16162" width="12.28515625" style="1864" customWidth="1"/>
    <col min="16163" max="16163" width="25.85546875" style="1864" customWidth="1"/>
    <col min="16164" max="16384" width="0.85546875" style="1864"/>
  </cols>
  <sheetData>
    <row r="1" spans="1:18">
      <c r="A1" s="5020" t="s">
        <v>1525</v>
      </c>
      <c r="B1" s="5021"/>
      <c r="C1" s="5021"/>
      <c r="D1" s="5021"/>
      <c r="E1" s="5021"/>
      <c r="F1" s="5021"/>
      <c r="G1" s="5021"/>
      <c r="H1" s="5021"/>
      <c r="I1" s="5021"/>
      <c r="J1" s="5021"/>
      <c r="K1" s="5021"/>
      <c r="L1" s="5021"/>
      <c r="M1" s="5021"/>
      <c r="N1" s="5021"/>
      <c r="O1" s="5021"/>
      <c r="P1" s="5021"/>
      <c r="Q1" s="5021"/>
      <c r="R1" s="5021"/>
    </row>
    <row r="2" spans="1:18" ht="29.25" customHeight="1">
      <c r="A2" s="5022" t="s">
        <v>965</v>
      </c>
      <c r="B2" s="5022"/>
      <c r="C2" s="5022"/>
      <c r="D2" s="5022"/>
      <c r="E2" s="5022"/>
      <c r="F2" s="5022"/>
      <c r="G2" s="5022"/>
      <c r="H2" s="5022"/>
      <c r="I2" s="5022"/>
      <c r="J2" s="5022"/>
      <c r="K2" s="5022"/>
      <c r="L2" s="5022"/>
      <c r="M2" s="5022"/>
      <c r="N2" s="5022"/>
      <c r="O2" s="5022"/>
      <c r="P2" s="5022"/>
      <c r="Q2" s="5022"/>
      <c r="R2" s="5022"/>
    </row>
    <row r="3" spans="1:18">
      <c r="A3" s="2598"/>
      <c r="B3" s="2599"/>
      <c r="C3" s="2598"/>
      <c r="D3" s="2598"/>
      <c r="E3" s="2598"/>
      <c r="F3" s="2598"/>
      <c r="G3" s="2598"/>
      <c r="H3" s="2598"/>
      <c r="I3" s="2598"/>
      <c r="J3" s="2598"/>
      <c r="K3" s="2598"/>
      <c r="L3" s="2598"/>
      <c r="M3" s="2598"/>
      <c r="N3" s="2598"/>
      <c r="O3" s="2598"/>
      <c r="P3" s="2598"/>
      <c r="Q3" s="2598"/>
      <c r="R3" s="2598"/>
    </row>
    <row r="4" spans="1:18" ht="48.75" customHeight="1">
      <c r="A4" s="5023" t="s">
        <v>908</v>
      </c>
      <c r="B4" s="5023" t="s">
        <v>373</v>
      </c>
      <c r="C4" s="5023" t="s">
        <v>909</v>
      </c>
      <c r="D4" s="5010" t="s">
        <v>1609</v>
      </c>
      <c r="E4" s="5010" t="s">
        <v>1596</v>
      </c>
      <c r="F4" s="5014" t="s">
        <v>1595</v>
      </c>
      <c r="G4" s="5015"/>
      <c r="H4" s="5016"/>
      <c r="I4" s="5024" t="s">
        <v>392</v>
      </c>
      <c r="J4" s="5025"/>
      <c r="K4" s="5026"/>
      <c r="L4" s="5031" t="s">
        <v>1897</v>
      </c>
      <c r="M4" s="5032"/>
      <c r="N4" s="5033"/>
      <c r="O4" s="5029" t="s">
        <v>1900</v>
      </c>
      <c r="P4" s="5030"/>
      <c r="Q4" s="4429" t="s">
        <v>1901</v>
      </c>
      <c r="R4" s="5027" t="s">
        <v>910</v>
      </c>
    </row>
    <row r="5" spans="1:18" ht="31.5" customHeight="1">
      <c r="A5" s="5023"/>
      <c r="B5" s="5023"/>
      <c r="C5" s="5023"/>
      <c r="D5" s="4903"/>
      <c r="E5" s="4903"/>
      <c r="F5" s="5017"/>
      <c r="G5" s="5018"/>
      <c r="H5" s="5019"/>
      <c r="I5" s="2542" t="s">
        <v>832</v>
      </c>
      <c r="J5" s="2542" t="s">
        <v>911</v>
      </c>
      <c r="K5" s="3933" t="s">
        <v>912</v>
      </c>
      <c r="L5" s="4036" t="s">
        <v>598</v>
      </c>
      <c r="M5" s="4036" t="s">
        <v>229</v>
      </c>
      <c r="N5" s="4036" t="s">
        <v>1899</v>
      </c>
      <c r="O5" s="3932" t="s">
        <v>911</v>
      </c>
      <c r="P5" s="3932" t="s">
        <v>912</v>
      </c>
      <c r="Q5" s="4358" t="s">
        <v>912</v>
      </c>
      <c r="R5" s="5028"/>
    </row>
    <row r="6" spans="1:18" s="1870" customFormat="1" ht="21.75" customHeight="1">
      <c r="A6" s="2543"/>
      <c r="B6" s="2544" t="s">
        <v>913</v>
      </c>
      <c r="C6" s="5036" t="s">
        <v>914</v>
      </c>
      <c r="D6" s="5011" t="s">
        <v>914</v>
      </c>
      <c r="E6" s="5011" t="s">
        <v>914</v>
      </c>
      <c r="F6" s="5011" t="s">
        <v>914</v>
      </c>
      <c r="G6" s="5011" t="s">
        <v>914</v>
      </c>
      <c r="H6" s="5011" t="s">
        <v>914</v>
      </c>
      <c r="I6" s="5011" t="s">
        <v>914</v>
      </c>
      <c r="J6" s="2545">
        <v>0.01</v>
      </c>
      <c r="K6" s="2545">
        <v>0.01</v>
      </c>
      <c r="L6" s="5034" t="s">
        <v>914</v>
      </c>
      <c r="M6" s="5034" t="s">
        <v>914</v>
      </c>
      <c r="N6" s="5034" t="s">
        <v>914</v>
      </c>
      <c r="O6" s="2545"/>
      <c r="P6" s="2545">
        <v>0.01</v>
      </c>
      <c r="Q6" s="2545">
        <v>0.01</v>
      </c>
      <c r="R6" s="2546"/>
    </row>
    <row r="7" spans="1:18" s="1870" customFormat="1" ht="21.75" customHeight="1">
      <c r="A7" s="2543"/>
      <c r="B7" s="2544" t="s">
        <v>915</v>
      </c>
      <c r="C7" s="5037"/>
      <c r="D7" s="5012"/>
      <c r="E7" s="5012"/>
      <c r="F7" s="5012"/>
      <c r="G7" s="5012"/>
      <c r="H7" s="5012"/>
      <c r="I7" s="5012"/>
      <c r="J7" s="2547">
        <v>7.0999999999999994E-2</v>
      </c>
      <c r="K7" s="2547">
        <v>5.8000000000000003E-2</v>
      </c>
      <c r="L7" s="5035"/>
      <c r="M7" s="5035"/>
      <c r="N7" s="5035"/>
      <c r="O7" s="2547"/>
      <c r="P7" s="2547">
        <v>5.8000000000000003E-2</v>
      </c>
      <c r="Q7" s="2547">
        <v>3.6999999999999998E-2</v>
      </c>
      <c r="R7" s="2546"/>
    </row>
    <row r="8" spans="1:18" s="1870" customFormat="1" ht="21.75" customHeight="1">
      <c r="A8" s="2543"/>
      <c r="B8" s="2544" t="s">
        <v>916</v>
      </c>
      <c r="C8" s="5038"/>
      <c r="D8" s="5013"/>
      <c r="E8" s="5013"/>
      <c r="F8" s="5013"/>
      <c r="G8" s="5013"/>
      <c r="H8" s="5013"/>
      <c r="I8" s="5013"/>
      <c r="J8" s="2548">
        <v>0</v>
      </c>
      <c r="K8" s="2548">
        <v>0</v>
      </c>
      <c r="L8" s="4903"/>
      <c r="M8" s="4903"/>
      <c r="N8" s="4903"/>
      <c r="O8" s="2548"/>
      <c r="P8" s="2548">
        <v>0</v>
      </c>
      <c r="Q8" s="2548">
        <v>0</v>
      </c>
      <c r="R8" s="2546"/>
    </row>
    <row r="9" spans="1:18" s="1877" customFormat="1" ht="15.75">
      <c r="A9" s="2549">
        <v>1</v>
      </c>
      <c r="B9" s="2550" t="s">
        <v>917</v>
      </c>
      <c r="C9" s="2549" t="s">
        <v>918</v>
      </c>
      <c r="D9" s="2551">
        <f t="shared" ref="D9:O9" si="0">D10+D21+D23+D27</f>
        <v>123199.97643797162</v>
      </c>
      <c r="E9" s="2551">
        <f t="shared" si="0"/>
        <v>115906.66084339833</v>
      </c>
      <c r="F9" s="2551">
        <f t="shared" si="0"/>
        <v>58923.740327763946</v>
      </c>
      <c r="G9" s="2551">
        <f t="shared" si="0"/>
        <v>89291.215527233813</v>
      </c>
      <c r="H9" s="2551">
        <f t="shared" si="0"/>
        <v>120535.93171852248</v>
      </c>
      <c r="I9" s="2551">
        <f t="shared" si="0"/>
        <v>130130.56904144191</v>
      </c>
      <c r="J9" s="2551">
        <f t="shared" si="0"/>
        <v>131526.15692532301</v>
      </c>
      <c r="K9" s="2551">
        <f t="shared" si="0"/>
        <v>129657.98338340767</v>
      </c>
      <c r="L9" s="2551">
        <f t="shared" ref="L9:M9" si="1">L10+L21+L23+L27</f>
        <v>65778.854641499653</v>
      </c>
      <c r="M9" s="2551">
        <f t="shared" si="1"/>
        <v>101071.75809065197</v>
      </c>
      <c r="N9" s="2551">
        <f t="shared" ref="N9" si="2">N10+N21+N23+N27</f>
        <v>134849.7924975577</v>
      </c>
      <c r="O9" s="2551">
        <f t="shared" si="0"/>
        <v>146598.55800793885</v>
      </c>
      <c r="P9" s="2551">
        <f t="shared" ref="P9:Q9" si="3">P10+P21+P23+P27</f>
        <v>141714.07089531628</v>
      </c>
      <c r="Q9" s="2551">
        <f t="shared" si="3"/>
        <v>121150.69244154151</v>
      </c>
      <c r="R9" s="2552"/>
    </row>
    <row r="10" spans="1:18" s="1882" customFormat="1" ht="15.75">
      <c r="A10" s="2553" t="s">
        <v>919</v>
      </c>
      <c r="B10" s="2554" t="s">
        <v>920</v>
      </c>
      <c r="C10" s="2553" t="s">
        <v>918</v>
      </c>
      <c r="D10" s="2555">
        <f>D11+D12+D13</f>
        <v>105513.69792467232</v>
      </c>
      <c r="E10" s="2555">
        <f>E11+E12+E13</f>
        <v>107557.11310743249</v>
      </c>
      <c r="F10" s="2555">
        <f>F11+F12+F13</f>
        <v>54501.566239997286</v>
      </c>
      <c r="G10" s="2555">
        <f>G11+G12+G13</f>
        <v>82833.971259339698</v>
      </c>
      <c r="H10" s="2555">
        <f>H11+H12+H13</f>
        <v>111965.38743329913</v>
      </c>
      <c r="I10" s="2555">
        <f>I11+I12+I13+619.01</f>
        <v>112559.97646089326</v>
      </c>
      <c r="J10" s="2555">
        <f t="shared" ref="J10:P10" si="4">J11+J12+J13</f>
        <v>118241.1505655424</v>
      </c>
      <c r="K10" s="2555">
        <f t="shared" si="4"/>
        <v>121056.41916891406</v>
      </c>
      <c r="L10" s="2555">
        <f t="shared" si="4"/>
        <v>60862.464190782652</v>
      </c>
      <c r="M10" s="2555">
        <f t="shared" si="4"/>
        <v>93310.002539769164</v>
      </c>
      <c r="N10" s="2555">
        <f t="shared" si="4"/>
        <v>124480.61130321775</v>
      </c>
      <c r="O10" s="2555">
        <f t="shared" si="4"/>
        <v>131238.73896548411</v>
      </c>
      <c r="P10" s="2555">
        <f t="shared" si="4"/>
        <v>126360.1378148349</v>
      </c>
      <c r="Q10" s="2555">
        <f t="shared" ref="Q10" si="5">Q11+Q12+Q13</f>
        <v>119298.78807353116</v>
      </c>
      <c r="R10" s="2556"/>
    </row>
    <row r="11" spans="1:18" s="1887" customFormat="1" ht="21.75" customHeight="1">
      <c r="A11" s="2557" t="s">
        <v>921</v>
      </c>
      <c r="B11" s="2558" t="s">
        <v>922</v>
      </c>
      <c r="C11" s="2557" t="s">
        <v>918</v>
      </c>
      <c r="D11" s="2632">
        <f>SUM(вода!AN115+вода!AN116+вода!AN117+вода!AN118+вода!AN119+вода!AN121-D14-D16-'цех вода'!AB18-'ОХР '!AD20-'ОХР '!AD16-'ОХР '!AD23)</f>
        <v>86457.112411653288</v>
      </c>
      <c r="E11" s="2632">
        <f>SUM(вода!BA115+вода!BA116+вода!BA117+вода!BA118+вода!BA119+вода!BA121-E14-E16-'цех вода'!AL18-'ОХР '!AK20-'ОХР '!AK16-'ОХР '!AK23)</f>
        <v>89990.587473508218</v>
      </c>
      <c r="F11" s="2559">
        <f>вода!BM115+вода!BM116+вода!BM117+вода!BM118+вода!BM119+вода!BM121-F14-F16-'цех вода'!AM18-'ОХР '!AY20-'ОХР '!AY16-'ОХР '!AY23</f>
        <v>44984.590758202452</v>
      </c>
      <c r="G11" s="2559">
        <f>вода!BP115+вода!BP116+вода!BP117+вода!BP118+вода!BP119+вода!BP121-G14-G16-'цех вода'!AN18-'ОХР '!BB20-'ОХР '!BB16-'ОХР '!BB23</f>
        <v>70095.386141543102</v>
      </c>
      <c r="H11" s="2559">
        <f>вода!BS115+вода!BS116+вода!BS117+вода!BS118+вода!BS119+вода!BS121-H14-H16-'цех вода'!AO18-'ОХР '!BE20-'ОХР '!BE16-'ОХР '!BE23</f>
        <v>93097.306259757213</v>
      </c>
      <c r="I11" s="2559">
        <f>вода!BI115+вода!BI116+вода!BI117+вода!BI118+вода!BI119+вода!BI121-I14-I16-'цех вода'!AG18-'ОХР '!AS20-'ОХР '!AS16-'ОХР '!AS23</f>
        <v>93024.157639357698</v>
      </c>
      <c r="J11" s="2559">
        <f>I11*(1-J6)*(1+J7)*(1+J8)</f>
        <v>98632.584103434579</v>
      </c>
      <c r="K11" s="2559">
        <f>J11*(1-K6)*(1+K7)*(1+K8)</f>
        <v>103309.74124161946</v>
      </c>
      <c r="L11" s="2559">
        <f>вода!CE115+вода!CE116+вода!CE117+вода!CE118+вода!CE119+вода!CE121-L14-L16-'цех вода'!AV18-'ОХР '!BR20-'ОХР '!BR16-'ОХР '!BR23</f>
        <v>49895.193836644779</v>
      </c>
      <c r="M11" s="2559">
        <f>вода!CH115+вода!CH116+вода!CH117+вода!CH118+вода!CH119+вода!CH121-M14-M16-'цех вода'!AW18-'ОХР '!BU20-'ОХР '!BU16-'ОХР '!BU23</f>
        <v>78369.123320656625</v>
      </c>
      <c r="N11" s="2559">
        <f>вода!CK115+вода!CK116+вода!CK117+вода!CK118+вода!CK119+вода!CK121-N14-N16-'цех вода'!AX18-'ОХР '!BX20-'ОХР '!BX16-'ОХР '!BX23</f>
        <v>104411.02361551949</v>
      </c>
      <c r="O11" s="2632">
        <f>SUM(вода!BW115+вода!BW116+вода!BW117+вода!BW118+вода!BW119+вода!BW121-O14-O16-'цех вода'!AP18-'ОХР '!BH20-'ОХР '!BH16-'ОХР '!BH23)</f>
        <v>108667.40160806992</v>
      </c>
      <c r="P11" s="2559">
        <f>вода!CO115+вода!CO116+вода!CO117+вода!CO118+вода!CO119+вода!CO121-P14-P16-'цех вода'!AY18-'ОХР '!CB20-'ОХР '!CB16-'ОХР '!CB23</f>
        <v>103364.7057220057</v>
      </c>
      <c r="Q11" s="2559">
        <f>вода!CS115+вода!CS116+вода!CS117+вода!CS118+вода!CS119+вода!CS121-Q14-Q16-'цех вода'!AZ18-'ОХР '!CH20-'ОХР '!CH16</f>
        <v>101552.11014623656</v>
      </c>
      <c r="R11" s="2664" t="s">
        <v>1640</v>
      </c>
    </row>
    <row r="12" spans="1:18" s="1887" customFormat="1" ht="33" customHeight="1">
      <c r="A12" s="2557" t="s">
        <v>923</v>
      </c>
      <c r="B12" s="2558" t="s">
        <v>924</v>
      </c>
      <c r="C12" s="2557" t="s">
        <v>918</v>
      </c>
      <c r="D12" s="2632">
        <f>SUM(вода!AN113+'цех вода'!AB18+'ОХР '!AD20+'ОХР '!AD16)</f>
        <v>14266.198444017429</v>
      </c>
      <c r="E12" s="2632">
        <f>SUM(вода!BA113+'цех вода'!AL18+'ОХР '!AK20+'ОХР '!AK16)</f>
        <v>13450.941002375395</v>
      </c>
      <c r="F12" s="2559">
        <f>вода!BM113+'цех вода'!AM18+'ОХР '!AY20+'ОХР '!AY16</f>
        <v>7469.7662812746894</v>
      </c>
      <c r="G12" s="2559">
        <f>вода!BP113+'цех вода'!AN18+'ОХР '!BB20+'ОХР '!BB16</f>
        <v>9674.6732720983255</v>
      </c>
      <c r="H12" s="2559">
        <f>вода!BS113+'цех вода'!AO18+'ОХР '!BE20+'ОХР '!BE16</f>
        <v>14650.721036888652</v>
      </c>
      <c r="I12" s="2559">
        <f>вода!BI113+'цех вода'!AG18+'ОХР '!AS20+'ОХР '!AS16</f>
        <v>13383.894959795218</v>
      </c>
      <c r="J12" s="2559">
        <f>SUM(вода!CA113+'цех вода'!AQ18+'ОХР '!BM20+'ОХР '!BM16)</f>
        <v>13108.642462107813</v>
      </c>
      <c r="K12" s="2559">
        <f>вода!CS113+'цех вода'!AZ18+'ОХР '!CH20+'ОХР '!CH16</f>
        <v>13543.132041565808</v>
      </c>
      <c r="L12" s="2559">
        <f>вода!CE113+'цех вода'!AV18+'ОХР '!BR20+'ОХР '!BR16</f>
        <v>8714.6398533604006</v>
      </c>
      <c r="M12" s="2559">
        <f>вода!CH113+'цех вода'!AW18+'ОХР '!BU20+'ОХР '!BU16</f>
        <v>11596.008917286346</v>
      </c>
      <c r="N12" s="2559">
        <f>вода!CK113+'цех вода'!AX18+'ОХР '!BX20+'ОХР '!BX16</f>
        <v>15609.762360528428</v>
      </c>
      <c r="O12" s="2632">
        <f>SUM(вода!BW113+'цех вода'!AP18+'ОХР '!BH20+'ОХР '!BH16)</f>
        <v>14515.876748884708</v>
      </c>
      <c r="P12" s="2559">
        <f>вода!CO113+'цех вода'!AY18+'ОХР '!CB20+'ОХР '!CB16</f>
        <v>13964.945586600001</v>
      </c>
      <c r="Q12" s="2559">
        <f>вода!CS113+'цех вода'!AZ18+'ОХР '!CH20+'ОХР '!CH16</f>
        <v>13543.132041565808</v>
      </c>
      <c r="R12" s="2664" t="s">
        <v>1641</v>
      </c>
    </row>
    <row r="13" spans="1:18" s="1887" customFormat="1" ht="15.75">
      <c r="A13" s="2557" t="s">
        <v>925</v>
      </c>
      <c r="B13" s="2558" t="s">
        <v>926</v>
      </c>
      <c r="C13" s="2557" t="s">
        <v>918</v>
      </c>
      <c r="D13" s="2559">
        <f t="shared" ref="D13:I13" si="6">D14+D15+D16+D17+D20</f>
        <v>4790.3870690015992</v>
      </c>
      <c r="E13" s="2559">
        <f t="shared" si="6"/>
        <v>4115.5846315488761</v>
      </c>
      <c r="F13" s="2559">
        <f t="shared" si="6"/>
        <v>2047.2092005201473</v>
      </c>
      <c r="G13" s="2559">
        <f t="shared" si="6"/>
        <v>3063.9118456982624</v>
      </c>
      <c r="H13" s="2559">
        <f t="shared" si="6"/>
        <v>4217.3601366532721</v>
      </c>
      <c r="I13" s="2559">
        <f t="shared" si="6"/>
        <v>5532.9138617403496</v>
      </c>
      <c r="J13" s="2559">
        <f t="shared" ref="J13" si="7">J14+J15+J16+J17+J20</f>
        <v>6499.924</v>
      </c>
      <c r="K13" s="2559">
        <f t="shared" ref="K13:P13" si="8">K14+K15+K16+K17+K20</f>
        <v>4203.5458857287831</v>
      </c>
      <c r="L13" s="2559">
        <f t="shared" ref="L13:M13" si="9">L14+L15+L16+L17+L20</f>
        <v>2252.6305007774708</v>
      </c>
      <c r="M13" s="2559">
        <f t="shared" si="9"/>
        <v>3344.8703018261845</v>
      </c>
      <c r="N13" s="2559">
        <f t="shared" ref="N13" si="10">N14+N15+N16+N17+N20</f>
        <v>4459.8253271698341</v>
      </c>
      <c r="O13" s="2559">
        <f>O14+O15+O16+O17+O20</f>
        <v>8055.4606085294663</v>
      </c>
      <c r="P13" s="2559">
        <f t="shared" si="8"/>
        <v>9030.4865062291883</v>
      </c>
      <c r="Q13" s="2559">
        <f t="shared" ref="Q13" si="11">Q14+Q15+Q16+Q17+Q20</f>
        <v>4203.5458857287831</v>
      </c>
      <c r="R13" s="2664"/>
    </row>
    <row r="14" spans="1:18" s="1892" customFormat="1" ht="26.25" customHeight="1">
      <c r="A14" s="2560" t="s">
        <v>927</v>
      </c>
      <c r="B14" s="2561" t="s">
        <v>928</v>
      </c>
      <c r="C14" s="2560" t="s">
        <v>918</v>
      </c>
      <c r="D14" s="2633">
        <f>SUM('цех вода'!AB24)</f>
        <v>26.213227545000002</v>
      </c>
      <c r="E14" s="2633">
        <f>SUM('цех вода'!AL24)</f>
        <v>0</v>
      </c>
      <c r="F14" s="2562">
        <f>'цех вода'!AM24</f>
        <v>0</v>
      </c>
      <c r="G14" s="2562">
        <f>'цех вода'!AN24</f>
        <v>0</v>
      </c>
      <c r="H14" s="2562">
        <f>'цех вода'!AO24</f>
        <v>0</v>
      </c>
      <c r="I14" s="2562">
        <f>'цех вода'!AG24</f>
        <v>27.1</v>
      </c>
      <c r="J14" s="2562">
        <f>SUM('цех вода'!AQ24)</f>
        <v>28.824999999999999</v>
      </c>
      <c r="K14" s="2562">
        <f>'цех вода'!AZ24</f>
        <v>47.51</v>
      </c>
      <c r="L14" s="2562">
        <f>'цех вода'!AV24</f>
        <v>0</v>
      </c>
      <c r="M14" s="2562">
        <f>'цех вода'!AW24</f>
        <v>0</v>
      </c>
      <c r="N14" s="2562">
        <f>'цех вода'!AX24</f>
        <v>0</v>
      </c>
      <c r="O14" s="2633">
        <f>SUM('цех вода'!AP24)</f>
        <v>29.810000000000002</v>
      </c>
      <c r="P14" s="2562">
        <f>'цех вода'!AY24</f>
        <v>30.842750000000002</v>
      </c>
      <c r="Q14" s="2562">
        <f>'цех вода'!AZ24</f>
        <v>47.51</v>
      </c>
      <c r="R14" s="2665" t="s">
        <v>1642</v>
      </c>
    </row>
    <row r="15" spans="1:18" s="1892" customFormat="1" ht="41.25" customHeight="1">
      <c r="A15" s="2560" t="s">
        <v>929</v>
      </c>
      <c r="B15" s="2561" t="s">
        <v>930</v>
      </c>
      <c r="C15" s="2560" t="s">
        <v>918</v>
      </c>
      <c r="D15" s="2633">
        <f>SUM(вода!AN120)</f>
        <v>3186.5738414565994</v>
      </c>
      <c r="E15" s="2633">
        <f>SUM(вода!BA120)</f>
        <v>3990.4446315488758</v>
      </c>
      <c r="F15" s="2562">
        <f>вода!BM120</f>
        <v>1983.1292005201474</v>
      </c>
      <c r="G15" s="2562">
        <f>вода!BP120</f>
        <v>2967.7918456982625</v>
      </c>
      <c r="H15" s="2562">
        <f>вода!BS120</f>
        <v>4089.2001366532722</v>
      </c>
      <c r="I15" s="2562">
        <f>вода!BI120</f>
        <v>3107.8150351902632</v>
      </c>
      <c r="J15" s="2562">
        <f>SUM(вода!CA43)</f>
        <v>3603.174</v>
      </c>
      <c r="K15" s="2562">
        <f>вода!CS120</f>
        <v>3502.9312821041176</v>
      </c>
      <c r="L15" s="2562">
        <f>вода!CE120</f>
        <v>2182.7305007774708</v>
      </c>
      <c r="M15" s="2562">
        <f>вода!CH120</f>
        <v>3240.0103018261843</v>
      </c>
      <c r="N15" s="2562">
        <f>вода!CK120</f>
        <v>4320.0119938365006</v>
      </c>
      <c r="O15" s="2633">
        <f>SUM(вода!BW120)</f>
        <v>3611.0062217704012</v>
      </c>
      <c r="P15" s="2562">
        <f>вода!CO120</f>
        <v>3612.0164393374689</v>
      </c>
      <c r="Q15" s="2562">
        <f>вода!CS120</f>
        <v>3502.9312821041176</v>
      </c>
      <c r="R15" s="2665" t="s">
        <v>10</v>
      </c>
    </row>
    <row r="16" spans="1:18" s="1892" customFormat="1" ht="15.75" customHeight="1">
      <c r="A16" s="2560" t="s">
        <v>931</v>
      </c>
      <c r="B16" s="2561" t="s">
        <v>932</v>
      </c>
      <c r="C16" s="2560" t="s">
        <v>918</v>
      </c>
      <c r="D16" s="2633">
        <f>SUM('цех вода'!AB30+'цех вода'!AB41)</f>
        <v>307.8</v>
      </c>
      <c r="E16" s="2633">
        <f>SUM('цех вода'!AL30+'цех вода'!AL41)</f>
        <v>125.13999999999999</v>
      </c>
      <c r="F16" s="2562">
        <f>'цех вода'!AM30+'цех вода'!AM41</f>
        <v>64.08</v>
      </c>
      <c r="G16" s="2562">
        <f>'цех вода'!AN30+'цех вода'!AN41</f>
        <v>96.12</v>
      </c>
      <c r="H16" s="2562">
        <f>'цех вода'!AO30+'цех вода'!AO41</f>
        <v>128.16</v>
      </c>
      <c r="I16" s="2562">
        <f>'цех вода'!AG30+'цех вода'!AG41</f>
        <v>216.27343999999999</v>
      </c>
      <c r="J16" s="2562">
        <f>SUM('цех вода'!AQ30+'цех вода'!AQ41)</f>
        <v>216.26499999999999</v>
      </c>
      <c r="K16" s="2562">
        <f>'цех вода'!AZ30+'цех вода'!AZ41</f>
        <v>216.26499999999999</v>
      </c>
      <c r="L16" s="2562">
        <f>'цех вода'!AV30+'цех вода'!AV41</f>
        <v>69.900000000000006</v>
      </c>
      <c r="M16" s="2562">
        <f>'цех вода'!AW30+'цех вода'!AW41</f>
        <v>104.86</v>
      </c>
      <c r="N16" s="2562">
        <f>'цех вода'!AX30+'цех вода'!AX41</f>
        <v>139.81333333333333</v>
      </c>
      <c r="O16" s="2633">
        <f>SUM('цех вода'!AP30+'цех вода'!AP41)</f>
        <v>237.90078400000004</v>
      </c>
      <c r="P16" s="2562">
        <f>'цех вода'!AY30+'цех вода'!AY41</f>
        <v>237.89150000000001</v>
      </c>
      <c r="Q16" s="2562">
        <f>'цех вода'!AZ30+'цех вода'!AZ41</f>
        <v>216.26499999999999</v>
      </c>
      <c r="R16" s="2665" t="s">
        <v>1643</v>
      </c>
    </row>
    <row r="17" spans="1:18" s="1892" customFormat="1" ht="32.25" customHeight="1">
      <c r="A17" s="2560" t="s">
        <v>933</v>
      </c>
      <c r="B17" s="2561" t="s">
        <v>934</v>
      </c>
      <c r="C17" s="2560" t="s">
        <v>918</v>
      </c>
      <c r="D17" s="2611">
        <v>0</v>
      </c>
      <c r="E17" s="2611">
        <v>0</v>
      </c>
      <c r="F17" s="2562">
        <f>вода!BM122</f>
        <v>0</v>
      </c>
      <c r="G17" s="2562">
        <f>вода!BP122</f>
        <v>0</v>
      </c>
      <c r="H17" s="2562">
        <f>вода!BS122</f>
        <v>0</v>
      </c>
      <c r="I17" s="2562">
        <f>вода!BI122</f>
        <v>395.92538655008684</v>
      </c>
      <c r="J17" s="2562">
        <f>SUM(вода!CA49)</f>
        <v>397.28</v>
      </c>
      <c r="K17" s="2562">
        <f>вода!CS122</f>
        <v>436.83960362466541</v>
      </c>
      <c r="L17" s="2562">
        <f>вода!CE122</f>
        <v>0</v>
      </c>
      <c r="M17" s="2562">
        <f>вода!CH122</f>
        <v>0</v>
      </c>
      <c r="N17" s="2562">
        <f>вода!CK122</f>
        <v>0</v>
      </c>
      <c r="O17" s="2633">
        <f>SUM(вода!BW122)</f>
        <v>404.91360275906646</v>
      </c>
      <c r="P17" s="2562">
        <f>вода!CO122</f>
        <v>444.98581689171959</v>
      </c>
      <c r="Q17" s="2562">
        <f>вода!CS122</f>
        <v>436.83960362466541</v>
      </c>
      <c r="R17" s="2665" t="s">
        <v>907</v>
      </c>
    </row>
    <row r="18" spans="1:18" s="1892" customFormat="1" ht="15.75" customHeight="1">
      <c r="A18" s="2560" t="s">
        <v>935</v>
      </c>
      <c r="B18" s="2561" t="s">
        <v>936</v>
      </c>
      <c r="C18" s="2560" t="s">
        <v>918</v>
      </c>
      <c r="D18" s="2611"/>
      <c r="E18" s="2611"/>
      <c r="F18" s="2562"/>
      <c r="G18" s="2562"/>
      <c r="H18" s="2562"/>
      <c r="I18" s="2562"/>
      <c r="J18" s="2562"/>
      <c r="K18" s="2562"/>
      <c r="L18" s="2562"/>
      <c r="M18" s="2562"/>
      <c r="N18" s="2562"/>
      <c r="O18" s="2611"/>
      <c r="P18" s="2562"/>
      <c r="Q18" s="2562"/>
      <c r="R18" s="2665"/>
    </row>
    <row r="19" spans="1:18" s="1892" customFormat="1" ht="15.75" customHeight="1">
      <c r="A19" s="2560" t="s">
        <v>937</v>
      </c>
      <c r="B19" s="2561" t="s">
        <v>938</v>
      </c>
      <c r="C19" s="2560" t="s">
        <v>918</v>
      </c>
      <c r="D19" s="2611"/>
      <c r="E19" s="2611"/>
      <c r="F19" s="2562"/>
      <c r="G19" s="2562"/>
      <c r="H19" s="2562"/>
      <c r="I19" s="2562"/>
      <c r="J19" s="2562"/>
      <c r="K19" s="2562"/>
      <c r="L19" s="2562"/>
      <c r="M19" s="2562"/>
      <c r="N19" s="2562"/>
      <c r="O19" s="2611"/>
      <c r="P19" s="2562"/>
      <c r="Q19" s="2562"/>
      <c r="R19" s="2665"/>
    </row>
    <row r="20" spans="1:18" s="1892" customFormat="1" ht="30.75" customHeight="1">
      <c r="A20" s="2560" t="s">
        <v>939</v>
      </c>
      <c r="B20" s="2561" t="s">
        <v>940</v>
      </c>
      <c r="C20" s="2560" t="s">
        <v>918</v>
      </c>
      <c r="D20" s="2633">
        <f>SUM(вода!AN123)</f>
        <v>1269.8</v>
      </c>
      <c r="E20" s="2633">
        <f>SUM(вода!BA123)</f>
        <v>0</v>
      </c>
      <c r="F20" s="2562">
        <f>вода!BM123</f>
        <v>0</v>
      </c>
      <c r="G20" s="2562">
        <f>вода!BP123</f>
        <v>0</v>
      </c>
      <c r="H20" s="2562">
        <f>вода!BS123</f>
        <v>0</v>
      </c>
      <c r="I20" s="2562">
        <f>вода!BI123</f>
        <v>1785.8</v>
      </c>
      <c r="J20" s="2562">
        <f>SUM(вода!CA50)</f>
        <v>2254.38</v>
      </c>
      <c r="K20" s="2562">
        <f>вода!CS123</f>
        <v>0</v>
      </c>
      <c r="L20" s="2562">
        <f>вода!CE123</f>
        <v>0</v>
      </c>
      <c r="M20" s="2562">
        <f>вода!CH123</f>
        <v>0</v>
      </c>
      <c r="N20" s="2562">
        <f>вода!CK123</f>
        <v>0</v>
      </c>
      <c r="O20" s="2633">
        <f>SUM(вода!BW123)</f>
        <v>3771.829999999999</v>
      </c>
      <c r="P20" s="2562">
        <f>вода!CO123</f>
        <v>4704.75</v>
      </c>
      <c r="Q20" s="2562">
        <f>вода!CS123</f>
        <v>0</v>
      </c>
      <c r="R20" s="2665" t="s">
        <v>1644</v>
      </c>
    </row>
    <row r="21" spans="1:18" s="1882" customFormat="1" ht="31.5">
      <c r="A21" s="2553" t="s">
        <v>941</v>
      </c>
      <c r="B21" s="2554" t="s">
        <v>2</v>
      </c>
      <c r="C21" s="2553" t="s">
        <v>918</v>
      </c>
      <c r="D21" s="2634">
        <f>SUM(вода!AN114+'ОХР '!AD23)</f>
        <v>7587.2320162530377</v>
      </c>
      <c r="E21" s="2634">
        <f>SUM(вода!BA114+'ОХР '!AK23)</f>
        <v>8349.5477359658471</v>
      </c>
      <c r="F21" s="2634">
        <f>SUM(вода!BM114+'ОХР '!AY23)</f>
        <v>4422.174087766658</v>
      </c>
      <c r="G21" s="2634">
        <f>SUM(вода!BP114+'ОХР '!BB23)</f>
        <v>6457.2442678941134</v>
      </c>
      <c r="H21" s="2634">
        <f>SUM(вода!BS114+'ОХР '!BE23)</f>
        <v>8570.5442852233573</v>
      </c>
      <c r="I21" s="2555">
        <f>SUM(D21)</f>
        <v>7587.2320162530377</v>
      </c>
      <c r="J21" s="2555">
        <f>SUM(вода!CA114)</f>
        <v>8277.2407919081052</v>
      </c>
      <c r="K21" s="2634">
        <f>SUM(вода!CS114+'ОХР '!CH23)</f>
        <v>8601.5642144936119</v>
      </c>
      <c r="L21" s="2634">
        <f>SUM(вода!CE114+'ОХР '!BR23)</f>
        <v>4916.3904507170009</v>
      </c>
      <c r="M21" s="2634">
        <f>SUM(вода!CH114+'ОХР '!BU23)</f>
        <v>7761.7555508828154</v>
      </c>
      <c r="N21" s="2634">
        <f>SUM(вода!CK114+'ОХР '!BX23)</f>
        <v>10369.181194339946</v>
      </c>
      <c r="O21" s="2634">
        <f>SUM(вода!BW114+'ОХР '!BH23)</f>
        <v>8378.935327790974</v>
      </c>
      <c r="P21" s="2634">
        <f>SUM(вода!CO114+'ОХР '!CB23)</f>
        <v>8605.6439902282364</v>
      </c>
      <c r="Q21" s="2634">
        <f>SUM(вода!CS114)</f>
        <v>8476.8043680103401</v>
      </c>
      <c r="R21" s="2666" t="s">
        <v>1645</v>
      </c>
    </row>
    <row r="22" spans="1:18" s="1897" customFormat="1" ht="15.75">
      <c r="A22" s="2563" t="s">
        <v>202</v>
      </c>
      <c r="B22" s="2564" t="s">
        <v>942</v>
      </c>
      <c r="C22" s="2565" t="s">
        <v>44</v>
      </c>
      <c r="D22" s="2566">
        <f t="shared" ref="D22:I22" si="12">D23/(D10+D21)*100</f>
        <v>3.929233828865228</v>
      </c>
      <c r="E22" s="2566">
        <f t="shared" si="12"/>
        <v>0</v>
      </c>
      <c r="F22" s="4012">
        <f t="shared" si="12"/>
        <v>0</v>
      </c>
      <c r="G22" s="4012">
        <f t="shared" si="12"/>
        <v>0</v>
      </c>
      <c r="H22" s="4012">
        <f t="shared" si="12"/>
        <v>0</v>
      </c>
      <c r="I22" s="2566">
        <f t="shared" si="12"/>
        <v>3.3092737237888401</v>
      </c>
      <c r="J22" s="2566">
        <f t="shared" ref="J22:K22" si="13">J23/(J10+J21)*100</f>
        <v>-0.95277452318714884</v>
      </c>
      <c r="K22" s="4013">
        <f t="shared" si="13"/>
        <v>0</v>
      </c>
      <c r="L22" s="4013">
        <f t="shared" ref="L22:M22" si="14">L23/(L10+L21)*100</f>
        <v>0</v>
      </c>
      <c r="M22" s="4013">
        <f t="shared" si="14"/>
        <v>0</v>
      </c>
      <c r="N22" s="4013">
        <f t="shared" ref="N22" si="15">N23/(N10+N21)*100</f>
        <v>0</v>
      </c>
      <c r="O22" s="4012">
        <f>O23/(O10+O21)*100</f>
        <v>0</v>
      </c>
      <c r="P22" s="4012">
        <f t="shared" ref="P22:Q22" si="16">P23/(P10+P21)*100</f>
        <v>0</v>
      </c>
      <c r="Q22" s="4012">
        <f t="shared" si="16"/>
        <v>-5.1847930214300915</v>
      </c>
      <c r="R22" s="2667"/>
    </row>
    <row r="23" spans="1:18" s="1882" customFormat="1" ht="15.75">
      <c r="A23" s="2553" t="s">
        <v>943</v>
      </c>
      <c r="B23" s="2554" t="s">
        <v>944</v>
      </c>
      <c r="C23" s="2553" t="s">
        <v>918</v>
      </c>
      <c r="D23" s="2555">
        <f t="shared" ref="D23:I23" si="17">D24+D25+D26</f>
        <v>4444</v>
      </c>
      <c r="E23" s="2555">
        <f t="shared" si="17"/>
        <v>0</v>
      </c>
      <c r="F23" s="2555">
        <f t="shared" si="17"/>
        <v>0</v>
      </c>
      <c r="G23" s="2555">
        <f t="shared" si="17"/>
        <v>0</v>
      </c>
      <c r="H23" s="2555">
        <f t="shared" si="17"/>
        <v>0</v>
      </c>
      <c r="I23" s="2555">
        <f t="shared" si="17"/>
        <v>3976</v>
      </c>
      <c r="J23" s="2555">
        <f t="shared" ref="J23:K23" si="18">J24+J25+J26</f>
        <v>-1205.4349999999999</v>
      </c>
      <c r="K23" s="2555">
        <f t="shared" si="18"/>
        <v>0</v>
      </c>
      <c r="L23" s="2555">
        <f t="shared" ref="L23:M23" si="19">L24+L25+L26</f>
        <v>0</v>
      </c>
      <c r="M23" s="2555">
        <f t="shared" si="19"/>
        <v>0</v>
      </c>
      <c r="N23" s="2555">
        <f t="shared" ref="N23" si="20">N24+N25+N26</f>
        <v>0</v>
      </c>
      <c r="O23" s="2555">
        <f>O24+O25+O26</f>
        <v>0</v>
      </c>
      <c r="P23" s="2555">
        <f t="shared" ref="P23:Q23" si="21">P24+P25+P26</f>
        <v>0</v>
      </c>
      <c r="Q23" s="2555">
        <f t="shared" si="21"/>
        <v>-6624.9</v>
      </c>
      <c r="R23" s="2666"/>
    </row>
    <row r="24" spans="1:18" s="1887" customFormat="1" ht="15.75" customHeight="1">
      <c r="A24" s="2557" t="s">
        <v>945</v>
      </c>
      <c r="B24" s="2558" t="s">
        <v>946</v>
      </c>
      <c r="C24" s="2557" t="s">
        <v>918</v>
      </c>
      <c r="D24" s="2632">
        <f>SUM(вода!AN61)</f>
        <v>4444</v>
      </c>
      <c r="E24" s="2632">
        <f>SUM(вода!AO61)</f>
        <v>0</v>
      </c>
      <c r="F24" s="2559">
        <f>вода!BF61</f>
        <v>0</v>
      </c>
      <c r="G24" s="2559">
        <f>вода!BB61</f>
        <v>0</v>
      </c>
      <c r="H24" s="2559">
        <f>вода!BS61</f>
        <v>0</v>
      </c>
      <c r="I24" s="2559">
        <f>вода!BI61</f>
        <v>3976</v>
      </c>
      <c r="J24" s="2559">
        <f>SUM(вода!CA61)</f>
        <v>-1205.4349999999999</v>
      </c>
      <c r="K24" s="2559">
        <v>0</v>
      </c>
      <c r="L24" s="2559">
        <v>0</v>
      </c>
      <c r="M24" s="2559">
        <v>0</v>
      </c>
      <c r="N24" s="2559">
        <v>0</v>
      </c>
      <c r="O24" s="2632">
        <f>SUM(вода!BW61)</f>
        <v>0</v>
      </c>
      <c r="P24" s="2559">
        <f>вода!BX61</f>
        <v>0</v>
      </c>
      <c r="Q24" s="2559">
        <f>SUM(вода!CS134)</f>
        <v>-6624.9</v>
      </c>
      <c r="R24" s="2664" t="s">
        <v>1597</v>
      </c>
    </row>
    <row r="25" spans="1:18" s="1887" customFormat="1" ht="50.25" customHeight="1">
      <c r="A25" s="2557" t="s">
        <v>947</v>
      </c>
      <c r="B25" s="2558" t="s">
        <v>948</v>
      </c>
      <c r="C25" s="2557" t="s">
        <v>918</v>
      </c>
      <c r="D25" s="2610">
        <v>0</v>
      </c>
      <c r="E25" s="2610">
        <v>0</v>
      </c>
      <c r="F25" s="2559"/>
      <c r="G25" s="2559"/>
      <c r="H25" s="2559"/>
      <c r="I25" s="2559"/>
      <c r="J25" s="2559"/>
      <c r="K25" s="2559"/>
      <c r="L25" s="2559"/>
      <c r="M25" s="2559"/>
      <c r="N25" s="2559"/>
      <c r="O25" s="2610">
        <v>0</v>
      </c>
      <c r="P25" s="2559"/>
      <c r="Q25" s="2559"/>
      <c r="R25" s="2664"/>
    </row>
    <row r="26" spans="1:18" s="1887" customFormat="1" ht="15.75" customHeight="1">
      <c r="A26" s="2557" t="s">
        <v>949</v>
      </c>
      <c r="B26" s="2558" t="s">
        <v>950</v>
      </c>
      <c r="C26" s="2557" t="s">
        <v>918</v>
      </c>
      <c r="D26" s="2610">
        <v>0</v>
      </c>
      <c r="E26" s="2610">
        <v>0</v>
      </c>
      <c r="F26" s="2559"/>
      <c r="G26" s="2559"/>
      <c r="H26" s="2559"/>
      <c r="I26" s="2559"/>
      <c r="J26" s="2559"/>
      <c r="K26" s="2559"/>
      <c r="L26" s="2559"/>
      <c r="M26" s="2559"/>
      <c r="N26" s="2559"/>
      <c r="O26" s="2610">
        <v>0</v>
      </c>
      <c r="P26" s="2559"/>
      <c r="Q26" s="2559"/>
      <c r="R26" s="2664"/>
    </row>
    <row r="27" spans="1:18" s="1882" customFormat="1" ht="38.25" customHeight="1">
      <c r="A27" s="2553" t="s">
        <v>203</v>
      </c>
      <c r="B27" s="2554" t="s">
        <v>951</v>
      </c>
      <c r="C27" s="2553" t="s">
        <v>918</v>
      </c>
      <c r="D27" s="2634">
        <f>SUM(вода!AN58)</f>
        <v>5655.0464970462681</v>
      </c>
      <c r="E27" s="2634">
        <f>SUM(вода!ABJ58)</f>
        <v>0</v>
      </c>
      <c r="F27" s="2555">
        <v>0</v>
      </c>
      <c r="G27" s="2555">
        <v>0</v>
      </c>
      <c r="H27" s="2555">
        <v>0</v>
      </c>
      <c r="I27" s="2555">
        <f>вода!BI58</f>
        <v>6007.360564295609</v>
      </c>
      <c r="J27" s="2555">
        <f>(J10+J21-J20)*0.05</f>
        <v>6213.2005678725254</v>
      </c>
      <c r="K27" s="2634">
        <f>SUM(вода!CS58)</f>
        <v>0</v>
      </c>
      <c r="L27" s="2634">
        <v>0</v>
      </c>
      <c r="M27" s="2634">
        <v>0</v>
      </c>
      <c r="N27" s="2634">
        <v>0</v>
      </c>
      <c r="O27" s="2634">
        <f>SUM(вода!BW58)</f>
        <v>6980.8837146637543</v>
      </c>
      <c r="P27" s="2634">
        <f>SUM(вода!CO58)</f>
        <v>6748.2890902531581</v>
      </c>
      <c r="Q27" s="2634">
        <f>SUM(вода!CS58)</f>
        <v>0</v>
      </c>
      <c r="R27" s="2666" t="s">
        <v>1646</v>
      </c>
    </row>
    <row r="28" spans="1:18" s="1882" customFormat="1" ht="27" customHeight="1">
      <c r="A28" s="4440"/>
      <c r="B28" s="4440" t="s">
        <v>1905</v>
      </c>
      <c r="C28" s="4441" t="s">
        <v>918</v>
      </c>
      <c r="D28" s="4441"/>
      <c r="E28" s="4441"/>
      <c r="F28" s="4441"/>
      <c r="G28" s="4441"/>
      <c r="H28" s="4441"/>
      <c r="I28" s="4441"/>
      <c r="J28" s="4441"/>
      <c r="K28" s="4441"/>
      <c r="L28" s="4441"/>
      <c r="M28" s="4441"/>
      <c r="N28" s="4441"/>
      <c r="O28" s="4441"/>
      <c r="P28" s="4441"/>
      <c r="Q28" s="4441"/>
      <c r="R28" s="4441"/>
    </row>
    <row r="29" spans="1:18" s="1882" customFormat="1" ht="27" customHeight="1">
      <c r="A29" s="4442" t="s">
        <v>195</v>
      </c>
      <c r="B29" s="4443" t="s">
        <v>1906</v>
      </c>
      <c r="C29" s="4442" t="s">
        <v>918</v>
      </c>
      <c r="D29" s="4442"/>
      <c r="E29" s="4442"/>
      <c r="F29" s="4442"/>
      <c r="G29" s="4442"/>
      <c r="H29" s="4442"/>
      <c r="I29" s="4442"/>
      <c r="J29" s="4442"/>
      <c r="K29" s="4442"/>
      <c r="L29" s="4442"/>
      <c r="M29" s="4442"/>
      <c r="N29" s="4442"/>
      <c r="O29" s="4442"/>
      <c r="P29" s="4442"/>
      <c r="Q29" s="4487">
        <f>SUM(вода!CS125)</f>
        <v>11446.45</v>
      </c>
      <c r="R29" s="4442"/>
    </row>
    <row r="30" spans="1:18" s="1882" customFormat="1" ht="30.75" customHeight="1">
      <c r="A30" s="4442" t="s">
        <v>955</v>
      </c>
      <c r="B30" s="4443" t="s">
        <v>1907</v>
      </c>
      <c r="C30" s="4442" t="s">
        <v>918</v>
      </c>
      <c r="D30" s="4442"/>
      <c r="E30" s="4442"/>
      <c r="F30" s="4442"/>
      <c r="G30" s="4442"/>
      <c r="H30" s="4442"/>
      <c r="I30" s="4442"/>
      <c r="J30" s="4442"/>
      <c r="K30" s="4442"/>
      <c r="L30" s="4442"/>
      <c r="M30" s="4442"/>
      <c r="N30" s="4442"/>
      <c r="O30" s="4442"/>
      <c r="P30" s="4442"/>
      <c r="Q30" s="4442"/>
      <c r="R30" s="4442"/>
    </row>
    <row r="31" spans="1:18" s="1882" customFormat="1" ht="74.25" customHeight="1">
      <c r="A31" s="4442" t="s">
        <v>961</v>
      </c>
      <c r="B31" s="4444" t="s">
        <v>1908</v>
      </c>
      <c r="C31" s="4442" t="s">
        <v>918</v>
      </c>
      <c r="D31" s="4442"/>
      <c r="E31" s="4442"/>
      <c r="F31" s="4442"/>
      <c r="G31" s="4442"/>
      <c r="H31" s="4442"/>
      <c r="I31" s="4442"/>
      <c r="J31" s="4442"/>
      <c r="K31" s="4442"/>
      <c r="L31" s="4442"/>
      <c r="M31" s="4442"/>
      <c r="N31" s="4442"/>
      <c r="O31" s="4442"/>
      <c r="P31" s="4442"/>
      <c r="Q31" s="4487">
        <f>SUM(вода!CS54)</f>
        <v>-1402.0984566147722</v>
      </c>
      <c r="R31" s="4442"/>
    </row>
    <row r="32" spans="1:18" s="1882" customFormat="1" ht="26.25" customHeight="1">
      <c r="A32" s="4445"/>
      <c r="B32" s="4446" t="s">
        <v>1909</v>
      </c>
      <c r="C32" s="4447" t="s">
        <v>918</v>
      </c>
      <c r="D32" s="4447"/>
      <c r="E32" s="4447"/>
      <c r="F32" s="4447"/>
      <c r="G32" s="4447"/>
      <c r="H32" s="4447"/>
      <c r="I32" s="4447"/>
      <c r="J32" s="4447"/>
      <c r="K32" s="4447"/>
      <c r="L32" s="4447"/>
      <c r="M32" s="4447"/>
      <c r="N32" s="4447"/>
      <c r="O32" s="4447"/>
      <c r="P32" s="4447"/>
      <c r="Q32" s="4486">
        <f>SUM(Q9+Q29+Q30+Q31)</f>
        <v>131195.04398492674</v>
      </c>
      <c r="R32" s="4447"/>
    </row>
    <row r="33" spans="1:18" s="1877" customFormat="1" ht="15.75">
      <c r="A33" s="2549">
        <v>2</v>
      </c>
      <c r="B33" s="2550" t="s">
        <v>952</v>
      </c>
      <c r="C33" s="2549" t="s">
        <v>953</v>
      </c>
      <c r="D33" s="2635">
        <f>SUM(объемы!K49-объемы!K51)</f>
        <v>4006.2700000000004</v>
      </c>
      <c r="E33" s="2635">
        <f>SUM(объемы!R49)</f>
        <v>3762.2000000000003</v>
      </c>
      <c r="F33" s="2551">
        <f>SUM(объемы!AA49-объемы!AA51)</f>
        <v>1821.09</v>
      </c>
      <c r="G33" s="2551">
        <f>SUM(объемы!AB49-объемы!AB51)</f>
        <v>2669.1800000000003</v>
      </c>
      <c r="H33" s="2551">
        <f>SUM(объемы!AC49-объемы!AC51)</f>
        <v>3566.34</v>
      </c>
      <c r="I33" s="2551">
        <f>объемы!U49</f>
        <v>3989.2170000000001</v>
      </c>
      <c r="J33" s="2551">
        <f>SUM(объемы!AE49-объемы!AE51)</f>
        <v>3771</v>
      </c>
      <c r="K33" s="2551">
        <f>SUM(объемы!AJ49-объемы!AJ51)</f>
        <v>3600</v>
      </c>
      <c r="L33" s="2551">
        <f>SUM(объемы!AF49-объемы!AF51)</f>
        <v>1851.08</v>
      </c>
      <c r="M33" s="2551">
        <f>SUM(объемы!AG49-объемы!AG51)</f>
        <v>2706.9900000000002</v>
      </c>
      <c r="N33" s="2551">
        <f>SUM(объемы!AH49-объемы!AH51)</f>
        <v>3600</v>
      </c>
      <c r="O33" s="2641">
        <f>SUM(объемы!AD49-объемы!AD51)</f>
        <v>3771</v>
      </c>
      <c r="P33" s="2551">
        <f>SUM(объемы!AI49-объемы!AI51)</f>
        <v>3700</v>
      </c>
      <c r="Q33" s="2551">
        <f>SUM(объемы!AJ49-объемы!AJ51)</f>
        <v>3600</v>
      </c>
      <c r="R33" s="2552"/>
    </row>
    <row r="34" spans="1:18" s="1877" customFormat="1" ht="15.75">
      <c r="A34" s="2549" t="s">
        <v>196</v>
      </c>
      <c r="B34" s="2567" t="s">
        <v>954</v>
      </c>
      <c r="C34" s="2549" t="s">
        <v>953</v>
      </c>
      <c r="D34" s="2635">
        <f>SUM(объемы!K50)</f>
        <v>2445.422</v>
      </c>
      <c r="E34" s="2635">
        <f>SUM(объемы!R50)</f>
        <v>2377.86</v>
      </c>
      <c r="F34" s="2551">
        <f>объемы!AA50</f>
        <v>1171.8399999999999</v>
      </c>
      <c r="G34" s="2551">
        <f>объемы!AB50</f>
        <v>1744.17</v>
      </c>
      <c r="H34" s="2551">
        <f>объемы!AC50</f>
        <v>2311.15</v>
      </c>
      <c r="I34" s="2551">
        <f>объемы!U50</f>
        <v>2428.56</v>
      </c>
      <c r="J34" s="2551">
        <f>SUM(объемы!AE50)</f>
        <v>2380</v>
      </c>
      <c r="K34" s="2551">
        <f>SUM(объемы!AJ50)</f>
        <v>2360</v>
      </c>
      <c r="L34" s="2551">
        <f>SUM(объемы!AK50)</f>
        <v>0</v>
      </c>
      <c r="M34" s="2551">
        <f>SUM(объемы!AL50)</f>
        <v>0</v>
      </c>
      <c r="N34" s="2551">
        <f>SUM(объемы!AM50)</f>
        <v>0</v>
      </c>
      <c r="O34" s="2641">
        <f>SUM(объемы!AD50)</f>
        <v>2380</v>
      </c>
      <c r="P34" s="2551">
        <f>SUM(объемы!AI50)</f>
        <v>2360</v>
      </c>
      <c r="Q34" s="2551">
        <f>SUM(объемы!AJ50)</f>
        <v>2360</v>
      </c>
      <c r="R34" s="2552"/>
    </row>
    <row r="35" spans="1:18" s="1870" customFormat="1" ht="15.75">
      <c r="A35" s="2568" t="s">
        <v>955</v>
      </c>
      <c r="B35" s="2569" t="s">
        <v>1637</v>
      </c>
      <c r="C35" s="2568" t="s">
        <v>957</v>
      </c>
      <c r="D35" s="2570">
        <f t="shared" ref="D35:O35" si="22">D9/D33</f>
        <v>30.751790677605754</v>
      </c>
      <c r="E35" s="2570">
        <f t="shared" si="22"/>
        <v>30.808213503641042</v>
      </c>
      <c r="F35" s="2570">
        <f t="shared" si="22"/>
        <v>32.356303273184714</v>
      </c>
      <c r="G35" s="2570">
        <f t="shared" si="22"/>
        <v>33.452676674946538</v>
      </c>
      <c r="H35" s="2570">
        <f t="shared" si="22"/>
        <v>33.798216580169722</v>
      </c>
      <c r="I35" s="2570">
        <f t="shared" si="22"/>
        <v>32.620579186703033</v>
      </c>
      <c r="J35" s="2570">
        <f t="shared" si="22"/>
        <v>34.878323236627686</v>
      </c>
      <c r="K35" s="2570">
        <f t="shared" si="22"/>
        <v>36.016106495391021</v>
      </c>
      <c r="L35" s="2570">
        <f t="shared" ref="L35:M35" si="23">L9/L33</f>
        <v>35.535392658069696</v>
      </c>
      <c r="M35" s="2570">
        <f t="shared" si="23"/>
        <v>37.337322299178041</v>
      </c>
      <c r="N35" s="2570">
        <f t="shared" ref="N35" si="24">N9/N33</f>
        <v>37.458275693766026</v>
      </c>
      <c r="O35" s="2934">
        <f t="shared" si="22"/>
        <v>38.875247416584152</v>
      </c>
      <c r="P35" s="2570">
        <f t="shared" ref="P35" si="25">P9/P33</f>
        <v>38.301100241977373</v>
      </c>
      <c r="Q35" s="2570">
        <f>Q32/Q33</f>
        <v>36.443067773590762</v>
      </c>
      <c r="R35" s="2546"/>
    </row>
    <row r="36" spans="1:18" s="1870" customFormat="1" ht="15.75">
      <c r="A36" s="2568"/>
      <c r="B36" s="2571" t="s">
        <v>958</v>
      </c>
      <c r="C36" s="2568" t="s">
        <v>957</v>
      </c>
      <c r="D36" s="2638">
        <f>SUM('ВОДА (СВОД) 2016-2018'!D43)</f>
        <v>30</v>
      </c>
      <c r="E36" s="2638"/>
      <c r="F36" s="2570"/>
      <c r="G36" s="2570"/>
      <c r="H36" s="2570"/>
      <c r="I36" s="2570">
        <f>вода!BI105</f>
        <v>31.52</v>
      </c>
      <c r="J36" s="2570">
        <f>I37+0.001</f>
        <v>33.722158373406067</v>
      </c>
      <c r="K36" s="2570">
        <f>J37</f>
        <v>36.034488099849305</v>
      </c>
      <c r="L36" s="2570"/>
      <c r="M36" s="2570"/>
      <c r="N36" s="2570"/>
      <c r="O36" s="2935">
        <f>SUM(I37)</f>
        <v>33.72115837340607</v>
      </c>
      <c r="P36" s="2570">
        <f>SUM(J37)</f>
        <v>36.034488099849305</v>
      </c>
      <c r="Q36" s="2570">
        <f>SUM(J37)</f>
        <v>36.034488099849305</v>
      </c>
      <c r="R36" s="2546"/>
    </row>
    <row r="37" spans="1:18" s="1870" customFormat="1" ht="15.75">
      <c r="A37" s="2568"/>
      <c r="B37" s="2571" t="s">
        <v>959</v>
      </c>
      <c r="C37" s="2568" t="s">
        <v>957</v>
      </c>
      <c r="D37" s="2638">
        <f>SUM('ВОДА (СВОД) 2016-2018'!D44)</f>
        <v>31.503581355211512</v>
      </c>
      <c r="E37" s="2638"/>
      <c r="F37" s="2570"/>
      <c r="G37" s="2570"/>
      <c r="H37" s="2570"/>
      <c r="I37" s="2570">
        <f t="shared" ref="I37:P37" si="26">I35*2-I36</f>
        <v>33.72115837340607</v>
      </c>
      <c r="J37" s="2570">
        <f t="shared" si="26"/>
        <v>36.034488099849305</v>
      </c>
      <c r="K37" s="2570">
        <f t="shared" si="26"/>
        <v>35.997724890932737</v>
      </c>
      <c r="L37" s="2570"/>
      <c r="M37" s="2570"/>
      <c r="N37" s="2570"/>
      <c r="O37" s="2934">
        <f t="shared" si="26"/>
        <v>44.029336459762234</v>
      </c>
      <c r="P37" s="2570">
        <f t="shared" si="26"/>
        <v>40.567712384105441</v>
      </c>
      <c r="Q37" s="2570">
        <f t="shared" ref="Q37" si="27">Q35*2-Q36</f>
        <v>36.851647447332219</v>
      </c>
      <c r="R37" s="2546"/>
    </row>
    <row r="38" spans="1:18" s="1870" customFormat="1" ht="15.75">
      <c r="A38" s="2568"/>
      <c r="B38" s="2569" t="s">
        <v>960</v>
      </c>
      <c r="C38" s="2568"/>
      <c r="D38" s="2600"/>
      <c r="E38" s="2600"/>
      <c r="F38" s="2570"/>
      <c r="G38" s="2570"/>
      <c r="H38" s="2570"/>
      <c r="I38" s="2570"/>
      <c r="J38" s="2570"/>
      <c r="K38" s="2570"/>
      <c r="L38" s="2570"/>
      <c r="M38" s="2570"/>
      <c r="N38" s="2570"/>
      <c r="O38" s="2600"/>
      <c r="P38" s="2570"/>
      <c r="Q38" s="2570"/>
      <c r="R38" s="2546"/>
    </row>
    <row r="39" spans="1:18" s="1870" customFormat="1" ht="15.75">
      <c r="A39" s="2568"/>
      <c r="B39" s="2571" t="s">
        <v>958</v>
      </c>
      <c r="C39" s="2568" t="s">
        <v>44</v>
      </c>
      <c r="D39" s="2639">
        <v>100</v>
      </c>
      <c r="E39" s="2639"/>
      <c r="F39" s="2570"/>
      <c r="G39" s="2570"/>
      <c r="H39" s="2570"/>
      <c r="I39" s="2570">
        <v>100</v>
      </c>
      <c r="J39" s="2570">
        <f>J36/I37*100</f>
        <v>100.00296549717814</v>
      </c>
      <c r="K39" s="2570">
        <f>K36/J37*100</f>
        <v>100</v>
      </c>
      <c r="L39" s="2570"/>
      <c r="M39" s="2570"/>
      <c r="N39" s="2570"/>
      <c r="O39" s="2570">
        <f>O36/I37*100</f>
        <v>100</v>
      </c>
      <c r="P39" s="2570">
        <f>P36/J37*100</f>
        <v>100</v>
      </c>
      <c r="Q39" s="2570">
        <f>Q36/J37*100</f>
        <v>100</v>
      </c>
      <c r="R39" s="2546"/>
    </row>
    <row r="40" spans="1:18" s="1870" customFormat="1" ht="15.75">
      <c r="A40" s="2568"/>
      <c r="B40" s="2571" t="s">
        <v>959</v>
      </c>
      <c r="C40" s="2568" t="s">
        <v>44</v>
      </c>
      <c r="D40" s="2570">
        <f>D37/D36*100</f>
        <v>105.01193785070504</v>
      </c>
      <c r="E40" s="2570"/>
      <c r="F40" s="2570"/>
      <c r="G40" s="2570"/>
      <c r="H40" s="2570"/>
      <c r="I40" s="2570">
        <f t="shared" ref="I40:P40" si="28">I37/I36*100</f>
        <v>106.98337047400403</v>
      </c>
      <c r="J40" s="2570">
        <f t="shared" si="28"/>
        <v>106.85700393444206</v>
      </c>
      <c r="K40" s="2570">
        <f t="shared" si="28"/>
        <v>99.897977712865796</v>
      </c>
      <c r="L40" s="2570"/>
      <c r="M40" s="2570"/>
      <c r="N40" s="2570"/>
      <c r="O40" s="2570">
        <f t="shared" si="28"/>
        <v>130.56887302686977</v>
      </c>
      <c r="P40" s="2570">
        <f t="shared" si="28"/>
        <v>112.58023777580759</v>
      </c>
      <c r="Q40" s="2570">
        <f t="shared" ref="Q40" si="29">Q37/Q36*100</f>
        <v>102.26771459946542</v>
      </c>
      <c r="R40" s="2546"/>
    </row>
    <row r="41" spans="1:18" ht="9" customHeight="1">
      <c r="A41" s="2572"/>
      <c r="B41" s="2573"/>
      <c r="C41" s="2574"/>
      <c r="D41" s="2574"/>
      <c r="E41" s="2574"/>
      <c r="F41" s="2574"/>
      <c r="G41" s="2574"/>
      <c r="H41" s="2574"/>
      <c r="I41" s="2574"/>
      <c r="J41" s="2574"/>
      <c r="K41" s="2574"/>
      <c r="L41" s="2574"/>
      <c r="M41" s="2574"/>
      <c r="N41" s="2574"/>
      <c r="O41" s="2574"/>
      <c r="P41" s="2574"/>
      <c r="Q41" s="2574"/>
      <c r="R41" s="2575"/>
    </row>
    <row r="42" spans="1:18" ht="15.75">
      <c r="A42" s="2576" t="s">
        <v>961</v>
      </c>
      <c r="B42" s="2577" t="s">
        <v>962</v>
      </c>
      <c r="C42" s="2578"/>
      <c r="D42" s="2612"/>
      <c r="E42" s="2612"/>
      <c r="F42" s="2578"/>
      <c r="G42" s="2578"/>
      <c r="H42" s="2578"/>
      <c r="I42" s="2578"/>
      <c r="J42" s="2578"/>
      <c r="K42" s="2578"/>
      <c r="L42" s="2578"/>
      <c r="M42" s="2578"/>
      <c r="N42" s="2578"/>
      <c r="O42" s="2612"/>
      <c r="P42" s="2578"/>
      <c r="Q42" s="2578"/>
      <c r="R42" s="2578"/>
    </row>
    <row r="43" spans="1:18" ht="15.75">
      <c r="A43" s="2578"/>
      <c r="B43" s="2579" t="s">
        <v>958</v>
      </c>
      <c r="C43" s="2580" t="s">
        <v>963</v>
      </c>
      <c r="D43" s="2640">
        <f>SUM('ВОДА (СВОД) 2016-2018'!D56)</f>
        <v>22.66</v>
      </c>
      <c r="E43" s="2640"/>
      <c r="F43" s="2578"/>
      <c r="G43" s="2578"/>
      <c r="H43" s="2580"/>
      <c r="I43" s="2578">
        <v>25.95</v>
      </c>
      <c r="J43" s="3010">
        <f>I44</f>
        <v>27.796610169491526</v>
      </c>
      <c r="K43" s="3010">
        <f>J44</f>
        <v>28.964099999999998</v>
      </c>
      <c r="L43" s="3010"/>
      <c r="M43" s="3010"/>
      <c r="N43" s="3010"/>
      <c r="O43" s="3010">
        <f>SUM(I44)</f>
        <v>27.796610169491526</v>
      </c>
      <c r="P43" s="3010">
        <f>SUM(J44)</f>
        <v>28.964099999999998</v>
      </c>
      <c r="Q43" s="3010">
        <f>SUM(J44)</f>
        <v>28.964099999999998</v>
      </c>
      <c r="R43" s="2578"/>
    </row>
    <row r="44" spans="1:18" ht="15.75">
      <c r="A44" s="2578"/>
      <c r="B44" s="2579" t="s">
        <v>959</v>
      </c>
      <c r="C44" s="2580" t="s">
        <v>963</v>
      </c>
      <c r="D44" s="2640">
        <f>SUM('ВОДА (СВОД) 2016-2018'!D57)</f>
        <v>25.95</v>
      </c>
      <c r="E44" s="2640"/>
      <c r="F44" s="2581"/>
      <c r="G44" s="2581"/>
      <c r="H44" s="2580"/>
      <c r="I44" s="2581">
        <f>32.8/1.18</f>
        <v>27.796610169491526</v>
      </c>
      <c r="J44" s="2581">
        <v>28.964099999999998</v>
      </c>
      <c r="K44" s="2581">
        <v>31.86</v>
      </c>
      <c r="L44" s="2581"/>
      <c r="M44" s="2581"/>
      <c r="N44" s="2581"/>
      <c r="O44" s="2581">
        <f>O43*1.2</f>
        <v>33.355932203389827</v>
      </c>
      <c r="P44" s="2581">
        <v>31.86</v>
      </c>
      <c r="Q44" s="2581">
        <v>30.3</v>
      </c>
      <c r="R44" s="2578"/>
    </row>
    <row r="45" spans="1:18" ht="15.75">
      <c r="A45" s="2578"/>
      <c r="B45" s="2579" t="s">
        <v>363</v>
      </c>
      <c r="C45" s="2580" t="s">
        <v>44</v>
      </c>
      <c r="D45" s="2578">
        <f>D44/D43*100</f>
        <v>114.51897616946161</v>
      </c>
      <c r="E45" s="2578"/>
      <c r="F45" s="2578"/>
      <c r="G45" s="2580"/>
      <c r="H45" s="2580"/>
      <c r="I45" s="2578">
        <f t="shared" ref="I45:P45" si="30">I44/I43*100</f>
        <v>107.11603148166292</v>
      </c>
      <c r="J45" s="3011">
        <f t="shared" si="30"/>
        <v>104.20011585365853</v>
      </c>
      <c r="K45" s="2581">
        <f t="shared" si="30"/>
        <v>109.99823919956084</v>
      </c>
      <c r="L45" s="2581"/>
      <c r="M45" s="2581"/>
      <c r="N45" s="2581"/>
      <c r="O45" s="2578">
        <f t="shared" si="30"/>
        <v>120</v>
      </c>
      <c r="P45" s="3011">
        <f t="shared" si="30"/>
        <v>109.99823919956084</v>
      </c>
      <c r="Q45" s="3011">
        <f t="shared" ref="Q45" si="31">Q44/Q43*100</f>
        <v>104.61226138564639</v>
      </c>
      <c r="R45" s="2578"/>
    </row>
    <row r="46" spans="1:18" ht="15.75">
      <c r="A46" s="2578"/>
      <c r="B46" s="2577" t="s">
        <v>964</v>
      </c>
      <c r="C46" s="2580" t="s">
        <v>918</v>
      </c>
      <c r="D46" s="2578">
        <f>(D36-D43)*D34/2+(D37-D44)*D34/2</f>
        <v>15765.123752412024</v>
      </c>
      <c r="E46" s="2578"/>
      <c r="F46" s="2578"/>
      <c r="G46" s="2580"/>
      <c r="H46" s="2580"/>
      <c r="I46" s="3012">
        <f t="shared" ref="I46:P46" si="32">(I36-I43)*I34/2+(I37-I44)*I34/2</f>
        <v>13957.599993049353</v>
      </c>
      <c r="J46" s="3011">
        <f t="shared" si="32"/>
        <v>15465.16420147898</v>
      </c>
      <c r="K46" s="2581">
        <f t="shared" si="32"/>
        <v>13225.573329122813</v>
      </c>
      <c r="L46" s="2581"/>
      <c r="M46" s="2581"/>
      <c r="N46" s="2581"/>
      <c r="O46" s="2581">
        <f t="shared" si="32"/>
        <v>19751.563427741472</v>
      </c>
      <c r="P46" s="3011">
        <f t="shared" si="32"/>
        <v>18618.158571066604</v>
      </c>
      <c r="Q46" s="3011">
        <f t="shared" ref="Q46" si="33">(Q36-Q43)*Q34/2+(Q37-Q44)*Q34/2</f>
        <v>16074.001945674201</v>
      </c>
      <c r="R46" s="2578"/>
    </row>
    <row r="47" spans="1:18">
      <c r="C47" s="1910"/>
      <c r="D47" s="1910"/>
      <c r="E47" s="1910"/>
      <c r="F47" s="1910"/>
      <c r="G47" s="1910"/>
      <c r="H47" s="1910"/>
    </row>
  </sheetData>
  <mergeCells count="22">
    <mergeCell ref="L6:L8"/>
    <mergeCell ref="M6:M8"/>
    <mergeCell ref="N6:N8"/>
    <mergeCell ref="H6:H8"/>
    <mergeCell ref="C6:C8"/>
    <mergeCell ref="D6:D8"/>
    <mergeCell ref="I6:I8"/>
    <mergeCell ref="E6:E8"/>
    <mergeCell ref="F6:F8"/>
    <mergeCell ref="G6:G8"/>
    <mergeCell ref="E4:E5"/>
    <mergeCell ref="D4:D5"/>
    <mergeCell ref="O4:P4"/>
    <mergeCell ref="A1:R1"/>
    <mergeCell ref="A2:R2"/>
    <mergeCell ref="A4:A5"/>
    <mergeCell ref="B4:B5"/>
    <mergeCell ref="C4:C5"/>
    <mergeCell ref="I4:K4"/>
    <mergeCell ref="R4:R5"/>
    <mergeCell ref="F4:H5"/>
    <mergeCell ref="L4:N4"/>
  </mergeCells>
  <printOptions horizontalCentered="1" verticalCentered="1"/>
  <pageMargins left="0.11811023622047245" right="0.11811023622047245" top="0.15748031496062992" bottom="0.15748031496062992" header="0.31496062992125984" footer="0.31496062992125984"/>
  <pageSetup paperSize="9" scale="49" orientation="landscape" r:id="rId1"/>
  <colBreaks count="1" manualBreakCount="1">
    <brk id="18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00B0F0"/>
    <pageSetUpPr fitToPage="1"/>
  </sheetPr>
  <dimension ref="A1:S59"/>
  <sheetViews>
    <sheetView zoomScale="98" zoomScaleNormal="98" workbookViewId="0">
      <pane xSplit="2" ySplit="3" topLeftCell="L29" activePane="bottomRight" state="frozen"/>
      <selection pane="topRight" activeCell="C1" sqref="C1"/>
      <selection pane="bottomLeft" activeCell="A4" sqref="A4"/>
      <selection pane="bottomRight" activeCell="Q31" sqref="Q31"/>
    </sheetView>
  </sheetViews>
  <sheetFormatPr defaultRowHeight="12.75"/>
  <cols>
    <col min="1" max="1" width="10" customWidth="1"/>
    <col min="2" max="2" width="81.85546875" customWidth="1"/>
    <col min="3" max="5" width="12.7109375" customWidth="1"/>
    <col min="6" max="7" width="12.7109375" hidden="1" customWidth="1"/>
    <col min="8" max="14" width="12.7109375" customWidth="1"/>
    <col min="15" max="16" width="14" customWidth="1"/>
    <col min="17" max="17" width="16" customWidth="1"/>
    <col min="18" max="18" width="38.140625" customWidth="1"/>
  </cols>
  <sheetData>
    <row r="1" spans="1:19" ht="15">
      <c r="A1" s="5020" t="s">
        <v>1525</v>
      </c>
      <c r="B1" s="5021"/>
      <c r="C1" s="5021"/>
      <c r="D1" s="5021"/>
      <c r="E1" s="5021"/>
      <c r="F1" s="5021"/>
      <c r="G1" s="5021"/>
      <c r="H1" s="5021"/>
      <c r="I1" s="5021"/>
      <c r="J1" s="5021"/>
      <c r="K1" s="5021"/>
      <c r="L1" s="5021"/>
      <c r="M1" s="5021"/>
      <c r="N1" s="5021"/>
      <c r="O1" s="5021"/>
      <c r="P1" s="5021"/>
      <c r="Q1" s="5021"/>
      <c r="R1" s="5021"/>
    </row>
    <row r="2" spans="1:19" ht="18.75">
      <c r="A2" s="5022" t="s">
        <v>1684</v>
      </c>
      <c r="B2" s="5022"/>
      <c r="C2" s="5022"/>
      <c r="D2" s="5022"/>
      <c r="E2" s="5022"/>
      <c r="F2" s="5022"/>
      <c r="G2" s="5022"/>
      <c r="H2" s="5022"/>
      <c r="I2" s="5022"/>
      <c r="J2" s="5022"/>
      <c r="K2" s="5022"/>
      <c r="L2" s="5022"/>
      <c r="M2" s="5022"/>
      <c r="N2" s="5022"/>
      <c r="O2" s="5022"/>
      <c r="P2" s="5022"/>
      <c r="Q2" s="5022"/>
      <c r="R2" s="5022"/>
    </row>
    <row r="3" spans="1:19" ht="15">
      <c r="A3" s="2598"/>
      <c r="B3" s="2599"/>
      <c r="C3" s="2598"/>
      <c r="D3" s="2598"/>
      <c r="E3" s="2598"/>
      <c r="F3" s="2598"/>
      <c r="G3" s="2598"/>
      <c r="H3" s="2598"/>
      <c r="I3" s="2598"/>
      <c r="J3" s="2598"/>
      <c r="K3" s="2598"/>
      <c r="L3" s="2598"/>
      <c r="M3" s="2598"/>
      <c r="N3" s="2598"/>
      <c r="O3" s="2598"/>
      <c r="P3" s="2598"/>
      <c r="Q3" s="2598"/>
      <c r="R3" s="2598"/>
    </row>
    <row r="4" spans="1:19" ht="48.75" customHeight="1">
      <c r="A4" s="5023" t="s">
        <v>908</v>
      </c>
      <c r="B4" s="5023" t="s">
        <v>373</v>
      </c>
      <c r="C4" s="5023" t="s">
        <v>909</v>
      </c>
      <c r="D4" s="5010" t="s">
        <v>1608</v>
      </c>
      <c r="E4" s="5010" t="s">
        <v>1596</v>
      </c>
      <c r="F4" s="5014" t="s">
        <v>1595</v>
      </c>
      <c r="G4" s="5015"/>
      <c r="H4" s="5016"/>
      <c r="I4" s="5024" t="s">
        <v>392</v>
      </c>
      <c r="J4" s="5025"/>
      <c r="K4" s="5026"/>
      <c r="L4" s="5031" t="s">
        <v>1897</v>
      </c>
      <c r="M4" s="5032"/>
      <c r="N4" s="5033"/>
      <c r="O4" s="5029" t="s">
        <v>1900</v>
      </c>
      <c r="P4" s="5030"/>
      <c r="Q4" s="4436" t="s">
        <v>1901</v>
      </c>
      <c r="R4" s="5027" t="s">
        <v>910</v>
      </c>
    </row>
    <row r="5" spans="1:19" ht="31.5" customHeight="1">
      <c r="A5" s="5023"/>
      <c r="B5" s="5023"/>
      <c r="C5" s="5023"/>
      <c r="D5" s="4903"/>
      <c r="E5" s="4903"/>
      <c r="F5" s="5017"/>
      <c r="G5" s="5018"/>
      <c r="H5" s="5019"/>
      <c r="I5" s="2542" t="s">
        <v>832</v>
      </c>
      <c r="J5" s="2542" t="s">
        <v>911</v>
      </c>
      <c r="K5" s="2542" t="s">
        <v>912</v>
      </c>
      <c r="L5" s="4036" t="s">
        <v>598</v>
      </c>
      <c r="M5" s="4036" t="s">
        <v>229</v>
      </c>
      <c r="N5" s="4036" t="s">
        <v>1899</v>
      </c>
      <c r="O5" s="2929" t="s">
        <v>911</v>
      </c>
      <c r="P5" s="2929" t="s">
        <v>912</v>
      </c>
      <c r="Q5" s="4358" t="s">
        <v>912</v>
      </c>
      <c r="R5" s="5028"/>
    </row>
    <row r="6" spans="1:19" ht="21.75" customHeight="1">
      <c r="A6" s="2543"/>
      <c r="B6" s="2544" t="s">
        <v>913</v>
      </c>
      <c r="C6" s="5036" t="s">
        <v>914</v>
      </c>
      <c r="D6" s="5011" t="s">
        <v>914</v>
      </c>
      <c r="E6" s="5011" t="s">
        <v>914</v>
      </c>
      <c r="F6" s="5011" t="s">
        <v>914</v>
      </c>
      <c r="G6" s="5011" t="s">
        <v>914</v>
      </c>
      <c r="H6" s="5011" t="s">
        <v>914</v>
      </c>
      <c r="I6" s="5011" t="s">
        <v>914</v>
      </c>
      <c r="J6" s="2545">
        <v>0.01</v>
      </c>
      <c r="K6" s="2545">
        <v>0.01</v>
      </c>
      <c r="L6" s="5034" t="s">
        <v>914</v>
      </c>
      <c r="M6" s="5034" t="s">
        <v>914</v>
      </c>
      <c r="N6" s="5034" t="s">
        <v>914</v>
      </c>
      <c r="O6" s="2545"/>
      <c r="P6" s="2545">
        <v>0.01</v>
      </c>
      <c r="Q6" s="2545">
        <v>0.01</v>
      </c>
      <c r="R6" s="2652"/>
    </row>
    <row r="7" spans="1:19" ht="21.75" customHeight="1">
      <c r="A7" s="2543"/>
      <c r="B7" s="2544" t="s">
        <v>915</v>
      </c>
      <c r="C7" s="5037"/>
      <c r="D7" s="5012"/>
      <c r="E7" s="5012"/>
      <c r="F7" s="5012"/>
      <c r="G7" s="5012"/>
      <c r="H7" s="5012"/>
      <c r="I7" s="5012"/>
      <c r="J7" s="2547">
        <v>7.0999999999999994E-2</v>
      </c>
      <c r="K7" s="2547">
        <v>5.8000000000000003E-2</v>
      </c>
      <c r="L7" s="5035"/>
      <c r="M7" s="5035"/>
      <c r="N7" s="5035"/>
      <c r="O7" s="2547"/>
      <c r="P7" s="2547">
        <v>5.8000000000000003E-2</v>
      </c>
      <c r="Q7" s="2547">
        <v>3.6999999999999998E-2</v>
      </c>
      <c r="R7" s="2652"/>
    </row>
    <row r="8" spans="1:19" ht="21.75" customHeight="1">
      <c r="A8" s="2543"/>
      <c r="B8" s="2544" t="s">
        <v>916</v>
      </c>
      <c r="C8" s="5038"/>
      <c r="D8" s="5013"/>
      <c r="E8" s="5013"/>
      <c r="F8" s="5013"/>
      <c r="G8" s="5013"/>
      <c r="H8" s="5013"/>
      <c r="I8" s="5013"/>
      <c r="J8" s="2548">
        <v>0</v>
      </c>
      <c r="K8" s="2548">
        <v>0</v>
      </c>
      <c r="L8" s="4903"/>
      <c r="M8" s="4903"/>
      <c r="N8" s="4903"/>
      <c r="O8" s="2548"/>
      <c r="P8" s="2548">
        <v>0</v>
      </c>
      <c r="Q8" s="2548">
        <v>0</v>
      </c>
      <c r="R8" s="2652"/>
    </row>
    <row r="9" spans="1:19" ht="21.75" customHeight="1">
      <c r="A9" s="2549">
        <v>1</v>
      </c>
      <c r="B9" s="2550" t="s">
        <v>1612</v>
      </c>
      <c r="C9" s="2549" t="s">
        <v>918</v>
      </c>
      <c r="D9" s="2551">
        <f t="shared" ref="D9:P9" si="0">D12+D23+D25+D29</f>
        <v>124068.70836400884</v>
      </c>
      <c r="E9" s="2551">
        <f t="shared" si="0"/>
        <v>116214.42000000001</v>
      </c>
      <c r="F9" s="2551">
        <f t="shared" si="0"/>
        <v>58948.359424089991</v>
      </c>
      <c r="G9" s="2551">
        <f t="shared" si="0"/>
        <v>89325.184896190025</v>
      </c>
      <c r="H9" s="2551">
        <f t="shared" si="0"/>
        <v>120577.874</v>
      </c>
      <c r="I9" s="2551">
        <f t="shared" si="0"/>
        <v>129855.54256762774</v>
      </c>
      <c r="J9" s="2551">
        <f t="shared" si="0"/>
        <v>131872.02983875808</v>
      </c>
      <c r="K9" s="2551">
        <f t="shared" si="0"/>
        <v>130023.93960673573</v>
      </c>
      <c r="L9" s="2551">
        <f t="shared" ref="L9:M9" si="1">L12+L23+L25+L29</f>
        <v>65796.292000000001</v>
      </c>
      <c r="M9" s="2551">
        <f t="shared" si="1"/>
        <v>101095.20399999998</v>
      </c>
      <c r="N9" s="2551">
        <f t="shared" ref="N9" si="2">N12+N23+N25+N29</f>
        <v>134881.29909601741</v>
      </c>
      <c r="O9" s="2551">
        <f t="shared" si="0"/>
        <v>146981.7660985697</v>
      </c>
      <c r="P9" s="2551">
        <f t="shared" si="0"/>
        <v>142099.76847411116</v>
      </c>
      <c r="Q9" s="2551">
        <f t="shared" ref="Q9" si="3">Q12+Q23+Q25+Q29</f>
        <v>121517.4905239823</v>
      </c>
      <c r="R9" s="2653"/>
    </row>
    <row r="10" spans="1:19" ht="21.75" customHeight="1">
      <c r="A10" s="2614"/>
      <c r="B10" s="2615" t="s">
        <v>1599</v>
      </c>
      <c r="C10" s="2616" t="s">
        <v>918</v>
      </c>
      <c r="D10" s="2694">
        <f>SUM('Тариф вода 2016-2018 ПЛАН'!D9)</f>
        <v>123199.97643797162</v>
      </c>
      <c r="E10" s="2694">
        <f>SUM(вода!BA62)</f>
        <v>115906.66084339835</v>
      </c>
      <c r="F10" s="2617">
        <f>SUM('Тариф вода 2016-2018 ПЛАН'!F9)</f>
        <v>58923.740327763946</v>
      </c>
      <c r="G10" s="2617">
        <f>SUM('Тариф вода 2016-2018 ПЛАН'!G9)</f>
        <v>89291.215527233813</v>
      </c>
      <c r="H10" s="2617">
        <f>SUM('Тариф вода 2016-2018 ПЛАН'!H9)</f>
        <v>120535.93171852248</v>
      </c>
      <c r="I10" s="2617">
        <f>SUM('Тариф вода 2016-2018 ПЛАН'!I9)</f>
        <v>130130.56904144191</v>
      </c>
      <c r="J10" s="2617">
        <f>SUM('Тариф вода 2016-2018 ПЛАН'!J9)</f>
        <v>131526.15692532301</v>
      </c>
      <c r="K10" s="2617">
        <f>SUM('Тариф вода 2016-2018 ПЛАН'!K9)</f>
        <v>129657.98338340767</v>
      </c>
      <c r="L10" s="2617">
        <f>SUM('Тариф вода 2016-2018 ПЛАН'!L9)</f>
        <v>65778.854641499653</v>
      </c>
      <c r="M10" s="2617">
        <f>SUM('Тариф вода 2016-2018 ПЛАН'!M9)</f>
        <v>101071.75809065197</v>
      </c>
      <c r="N10" s="2617">
        <f>SUM('Тариф вода 2016-2018 ПЛАН'!N9)</f>
        <v>134849.7924975577</v>
      </c>
      <c r="O10" s="2694">
        <f>SUM(вода!BW62)</f>
        <v>146598.55800793885</v>
      </c>
      <c r="P10" s="2922">
        <f>SUM('Тариф вода 2016-2018 ПЛАН'!P9)</f>
        <v>141714.07089531628</v>
      </c>
      <c r="Q10" s="2922">
        <f>SUM('Тариф вода 2016-2018 ПЛАН'!Q9)</f>
        <v>121150.69244154151</v>
      </c>
      <c r="R10" s="2654"/>
    </row>
    <row r="11" spans="1:19" ht="21.75" customHeight="1">
      <c r="A11" s="2614"/>
      <c r="B11" s="2615" t="s">
        <v>1600</v>
      </c>
      <c r="C11" s="2616" t="s">
        <v>918</v>
      </c>
      <c r="D11" s="2694">
        <f>SUM(D9-D10)</f>
        <v>868.73192603721691</v>
      </c>
      <c r="E11" s="2694">
        <f>SUM(E9-E10)</f>
        <v>307.75915660166356</v>
      </c>
      <c r="F11" s="2617">
        <f>SUM('Тариф тех.вода 2016-2018 ПЛАН'!F9)</f>
        <v>24.619096326047917</v>
      </c>
      <c r="G11" s="2617">
        <f>SUM('Тариф тех.вода 2016-2018 ПЛАН'!G9)</f>
        <v>33.969368956207575</v>
      </c>
      <c r="H11" s="2617">
        <f>SUM('Тариф тех.вода 2016-2018 ПЛАН'!H9)</f>
        <v>41.942281477499833</v>
      </c>
      <c r="I11" s="2617">
        <f>SUM('Тариф тех.вода 2016-2018 ПЛАН'!I9)</f>
        <v>343.9835261858193</v>
      </c>
      <c r="J11" s="2617">
        <f>SUM('Тариф тех.вода 2016-2018 ПЛАН'!J9)</f>
        <v>345.87291343504398</v>
      </c>
      <c r="K11" s="2617">
        <f>SUM('Тариф тех.вода 2016-2018 ПЛАН'!K9)</f>
        <v>365.95622332806067</v>
      </c>
      <c r="L11" s="2617">
        <f>SUM('Тариф тех.вода 2016-2018 ПЛАН'!L9)</f>
        <v>17.437358500344963</v>
      </c>
      <c r="M11" s="2617">
        <f>SUM('Тариф тех.вода 2016-2018 ПЛАН'!M9)</f>
        <v>23.445909348019782</v>
      </c>
      <c r="N11" s="2617">
        <f>SUM('Тариф тех.вода 2016-2018 ПЛАН'!N9)</f>
        <v>31.506598459729588</v>
      </c>
      <c r="O11" s="2694">
        <f>SUM(вода!BX62)</f>
        <v>383.20809063088825</v>
      </c>
      <c r="P11" s="2922">
        <f>SUM('Тариф тех.вода 2016-2018 ПЛАН'!P9)</f>
        <v>385.69757879487531</v>
      </c>
      <c r="Q11" s="2922">
        <f>SUM('Тариф тех.вода 2016-2018 ПЛАН'!Q9)</f>
        <v>366.79808244080675</v>
      </c>
      <c r="R11" s="2654"/>
    </row>
    <row r="12" spans="1:19" ht="21.75" customHeight="1">
      <c r="A12" s="2553" t="s">
        <v>919</v>
      </c>
      <c r="B12" s="2554" t="s">
        <v>920</v>
      </c>
      <c r="C12" s="2553" t="s">
        <v>918</v>
      </c>
      <c r="D12" s="2555">
        <f t="shared" ref="D12:P12" si="4">D13+D14+D15</f>
        <v>106206.18058161005</v>
      </c>
      <c r="E12" s="2555">
        <f t="shared" si="4"/>
        <v>107832.41</v>
      </c>
      <c r="F12" s="2555">
        <f t="shared" si="4"/>
        <v>54523.299424089993</v>
      </c>
      <c r="G12" s="2555">
        <f t="shared" si="4"/>
        <v>82864.024896190022</v>
      </c>
      <c r="H12" s="2555">
        <f t="shared" si="4"/>
        <v>112002.51879999999</v>
      </c>
      <c r="I12" s="2555">
        <f t="shared" si="4"/>
        <v>112249.69865857442</v>
      </c>
      <c r="J12" s="2555">
        <f t="shared" si="4"/>
        <v>118567.58427088555</v>
      </c>
      <c r="K12" s="2555">
        <f t="shared" si="4"/>
        <v>121401.27976025245</v>
      </c>
      <c r="L12" s="2555">
        <f t="shared" ref="L12:M12" si="5">L13+L14+L15</f>
        <v>60877.822</v>
      </c>
      <c r="M12" s="2555">
        <f t="shared" si="5"/>
        <v>93330.703999999983</v>
      </c>
      <c r="N12" s="2555">
        <f t="shared" ref="N12" si="6">N13+N14+N15</f>
        <v>124508.45576268408</v>
      </c>
      <c r="O12" s="2555">
        <f t="shared" si="4"/>
        <v>131571.7013795902</v>
      </c>
      <c r="P12" s="2555">
        <f t="shared" si="4"/>
        <v>126708.29368096826</v>
      </c>
      <c r="Q12" s="2555">
        <f t="shared" ref="Q12" si="7">Q13+Q14+Q15</f>
        <v>119644.4905239823</v>
      </c>
      <c r="R12" s="2655"/>
      <c r="S12" t="s">
        <v>1630</v>
      </c>
    </row>
    <row r="13" spans="1:19" ht="21.75" customHeight="1">
      <c r="A13" s="2557" t="s">
        <v>921</v>
      </c>
      <c r="B13" s="2558" t="s">
        <v>922</v>
      </c>
      <c r="C13" s="2557" t="s">
        <v>918</v>
      </c>
      <c r="D13" s="2632">
        <f>SUM(вода!AL115+вода!AL116+вода!AL117+вода!AL118+вода!AL119+вода!AL121-D16-D18-'цех вода'!AB18-'ОХР '!AD20-'ОХР '!AD16-'ОХР '!AD23)</f>
        <v>87043.180585426613</v>
      </c>
      <c r="E13" s="2632">
        <f>SUM(вода!AZ115+вода!AZ116+вода!AZ117+вода!AZ118+вода!AZ119+вода!AZ121-E16-E18-'цех вода'!AL18-'ОХР '!AK20-'ОХР '!AK16-'ОХР '!AK23)</f>
        <v>90228.18</v>
      </c>
      <c r="F13" s="2559">
        <f>SUM('Тариф вода 2016-2018 ПЛАН'!F11+'Тариф тех.вода 2016-2018 ПЛАН'!F11)</f>
        <v>45003.919424089996</v>
      </c>
      <c r="G13" s="2559">
        <f>SUM('Тариф вода 2016-2018 ПЛАН'!G11+'Тариф тех.вода 2016-2018 ПЛАН'!G11)</f>
        <v>70122.284896190016</v>
      </c>
      <c r="H13" s="2559">
        <f>SUM('Тариф вода 2016-2018 ПЛАН'!H11+'Тариф тех.вода 2016-2018 ПЛАН'!H11)</f>
        <v>93130.387899999987</v>
      </c>
      <c r="I13" s="2559">
        <f>SUM('Тариф вода 2016-2018 ПЛАН'!I11+'Тариф тех.вода 2016-2018 ПЛАН'!I11)</f>
        <v>93294.627197168258</v>
      </c>
      <c r="J13" s="2559">
        <f>SUM('Тариф вода 2016-2018 ПЛАН'!J11+'Тариф тех.вода 2016-2018 ПЛАН'!J11)</f>
        <v>98919.360270885547</v>
      </c>
      <c r="K13" s="2559">
        <f>SUM('Тариф вода 2016-2018 ПЛАН'!K11+'Тариф тех.вода 2016-2018 ПЛАН'!K11)</f>
        <v>103610.11633493095</v>
      </c>
      <c r="L13" s="2559">
        <f>SUM('Тариф вода 2016-2018 ПЛАН'!L11+'Тариф тех.вода 2016-2018 ПЛАН'!L11)</f>
        <v>49908.697999999997</v>
      </c>
      <c r="M13" s="2559">
        <f>SUM('Тариф вода 2016-2018 ПЛАН'!M11+'Тариф тех.вода 2016-2018 ПЛАН'!M11)</f>
        <v>78387.37999999999</v>
      </c>
      <c r="N13" s="2559">
        <f>SUM('Тариф вода 2016-2018 ПЛАН'!N11+'Тариф тех.вода 2016-2018 ПЛАН'!N11)</f>
        <v>104435.5904293739</v>
      </c>
      <c r="O13" s="2632">
        <f>SUM(вода!BU115+вода!BU116+вода!BU117+вода!BU118+вода!BU119+вода!BU121-O16-O18-'цех вода'!AP18-'ОХР '!BH20-'ОХР '!BH16-'ОХР '!BH23)</f>
        <v>108963.07300760312</v>
      </c>
      <c r="P13" s="2924">
        <f>SUM('Тариф вода 2016-2018 ПЛАН'!P11+'Тариф тех.вода 2016-2018 ПЛАН'!P11)</f>
        <v>103669.83661798872</v>
      </c>
      <c r="Q13" s="2924">
        <f>SUM('Тариф вода 2016-2018 ПЛАН'!Q11+'Тариф тех.вода 2016-2018 ПЛАН'!Q11)</f>
        <v>101853.3270986608</v>
      </c>
      <c r="R13" s="2662" t="s">
        <v>1640</v>
      </c>
      <c r="S13" t="s">
        <v>1631</v>
      </c>
    </row>
    <row r="14" spans="1:19" ht="30.75" customHeight="1">
      <c r="A14" s="2557" t="s">
        <v>923</v>
      </c>
      <c r="B14" s="2558" t="s">
        <v>924</v>
      </c>
      <c r="C14" s="2557" t="s">
        <v>918</v>
      </c>
      <c r="D14" s="2632">
        <f>SUM(вода!AL113+'цех вода'!AB18+'ОХР '!AD20+'ОХР '!AD16)</f>
        <v>14318.514543780208</v>
      </c>
      <c r="E14" s="2632">
        <f>SUM(вода!AZ113+'цех вода'!AL18+'ОХР '!AK20+'ОХР '!AK16)</f>
        <v>13469.32</v>
      </c>
      <c r="F14" s="2559">
        <f>SUM('Тариф вода 2016-2018 ПЛАН'!F12+'Тариф тех.вода 2016-2018 ПЛАН'!F12)</f>
        <v>7470.5699999999988</v>
      </c>
      <c r="G14" s="2559">
        <f>SUM('Тариф вода 2016-2018 ПЛАН'!G12+'Тариф тех.вода 2016-2018 ПЛАН'!G12)</f>
        <v>9675.66</v>
      </c>
      <c r="H14" s="2559">
        <f>SUM('Тариф вода 2016-2018 ПЛАН'!H12+'Тариф тех.вода 2016-2018 ПЛАН'!H12)</f>
        <v>14652.018900000003</v>
      </c>
      <c r="I14" s="2559">
        <f>SUM('Тариф вода 2016-2018 ПЛАН'!I12+'Тариф тех.вода 2016-2018 ПЛАН'!I12)</f>
        <v>13404.535158963941</v>
      </c>
      <c r="J14" s="2559">
        <f>SUM('Тариф вода 2016-2018 ПЛАН'!J12+'Тариф тех.вода 2016-2018 ПЛАН'!J12)</f>
        <v>13129.57</v>
      </c>
      <c r="K14" s="2559">
        <f>SUM('Тариф вода 2016-2018 ПЛАН'!K12+'Тариф тех.вода 2016-2018 ПЛАН'!K12)</f>
        <v>13566.72640959272</v>
      </c>
      <c r="L14" s="2559">
        <f>SUM('Тариф вода 2016-2018 ПЛАН'!L12+'Тариф тех.вода 2016-2018 ПЛАН'!L12)</f>
        <v>8715.2199999999993</v>
      </c>
      <c r="M14" s="2559">
        <f>SUM('Тариф вода 2016-2018 ПЛАН'!M12+'Тариф тех.вода 2016-2018 ПЛАН'!M12)</f>
        <v>11596.789999999997</v>
      </c>
      <c r="N14" s="2559">
        <f>SUM('Тариф вода 2016-2018 ПЛАН'!N12+'Тариф тех.вода 2016-2018 ПЛАН'!N12)</f>
        <v>15610.819999976851</v>
      </c>
      <c r="O14" s="2632">
        <f>SUM(вода!BU113+'цех вода'!AP18+'ОХР '!BH20+'ОХР '!BH16)</f>
        <v>14535.93145690977</v>
      </c>
      <c r="P14" s="2924">
        <f>SUM('Тариф вода 2016-2018 ПЛАН'!P12+'Тариф тех.вода 2016-2018 ПЛАН'!P12)</f>
        <v>13987.371242100002</v>
      </c>
      <c r="Q14" s="2924">
        <f>SUM('Тариф вода 2016-2018 ПЛАН'!Q12+'Тариф тех.вода 2016-2018 ПЛАН'!Q12)</f>
        <v>13566.72640959272</v>
      </c>
      <c r="R14" s="2662" t="s">
        <v>1641</v>
      </c>
    </row>
    <row r="15" spans="1:19" ht="21.75" customHeight="1">
      <c r="A15" s="2557" t="s">
        <v>925</v>
      </c>
      <c r="B15" s="2558" t="s">
        <v>926</v>
      </c>
      <c r="C15" s="2557" t="s">
        <v>918</v>
      </c>
      <c r="D15" s="2559">
        <f t="shared" ref="D15:I15" si="8">D16+D17+D18+D19+D22</f>
        <v>4844.4854524032326</v>
      </c>
      <c r="E15" s="2559">
        <f t="shared" si="8"/>
        <v>4134.91</v>
      </c>
      <c r="F15" s="2559">
        <f t="shared" si="8"/>
        <v>2048.81</v>
      </c>
      <c r="G15" s="2559">
        <f t="shared" si="8"/>
        <v>3066.08</v>
      </c>
      <c r="H15" s="2559">
        <f t="shared" si="8"/>
        <v>4220.1120000000001</v>
      </c>
      <c r="I15" s="2559">
        <f t="shared" si="8"/>
        <v>5550.5363024422086</v>
      </c>
      <c r="J15" s="2559">
        <f t="shared" ref="J15:K15" si="9">J16+J17+J18+J19+J22</f>
        <v>6518.6539999999995</v>
      </c>
      <c r="K15" s="2559">
        <f t="shared" si="9"/>
        <v>4224.4370157287831</v>
      </c>
      <c r="L15" s="2559">
        <f t="shared" ref="L15:M15" si="10">L16+L17+L18+L19+L22</f>
        <v>2253.904</v>
      </c>
      <c r="M15" s="2559">
        <f t="shared" si="10"/>
        <v>3346.5340000000006</v>
      </c>
      <c r="N15" s="2559">
        <f t="shared" ref="N15" si="11">N16+N17+N18+N19+N22</f>
        <v>4462.0453333333335</v>
      </c>
      <c r="O15" s="2559">
        <f>O16+O17+O18+O19+O22</f>
        <v>8072.6969150772966</v>
      </c>
      <c r="P15" s="2559">
        <f>P16+P17+P18+P19+P22</f>
        <v>9051.0858208795325</v>
      </c>
      <c r="Q15" s="2559">
        <f>Q16+Q17+Q18+Q19+Q22</f>
        <v>4224.4370157287831</v>
      </c>
      <c r="R15" s="2656"/>
    </row>
    <row r="16" spans="1:19" ht="30.75" customHeight="1">
      <c r="A16" s="2560" t="s">
        <v>927</v>
      </c>
      <c r="B16" s="2561" t="s">
        <v>928</v>
      </c>
      <c r="C16" s="2560" t="s">
        <v>918</v>
      </c>
      <c r="D16" s="2633">
        <f>SUM('цех вода'!AB24)</f>
        <v>26.213227545000002</v>
      </c>
      <c r="E16" s="2633">
        <f>SUM('цех вода'!AL24)</f>
        <v>0</v>
      </c>
      <c r="F16" s="2562">
        <f>SUM('Тариф вода 2016-2018 ПЛАН'!F14+'Тариф тех.вода 2016-2018 ПЛАН'!F14)</f>
        <v>0</v>
      </c>
      <c r="G16" s="2562">
        <f>SUM('Тариф вода 2016-2018 ПЛАН'!G14+'Тариф тех.вода 2016-2018 ПЛАН'!G14)</f>
        <v>0</v>
      </c>
      <c r="H16" s="2562">
        <f>SUM('Тариф вода 2016-2018 ПЛАН'!H14+'Тариф тех.вода 2016-2018 ПЛАН'!H14)</f>
        <v>0</v>
      </c>
      <c r="I16" s="2562">
        <f>SUM('Тариф вода 2016-2018 ПЛАН'!I14+'Тариф тех.вода 2016-2018 ПЛАН'!I14)</f>
        <v>27.1</v>
      </c>
      <c r="J16" s="2562">
        <f>SUM('Тариф вода 2016-2018 ПЛАН'!J14+'Тариф тех.вода 2016-2018 ПЛАН'!J14)</f>
        <v>28.824999999999999</v>
      </c>
      <c r="K16" s="2562">
        <f>SUM('Тариф вода 2016-2018 ПЛАН'!K14+'Тариф тех.вода 2016-2018 ПЛАН'!K14)</f>
        <v>47.51</v>
      </c>
      <c r="L16" s="2562">
        <f>SUM('Тариф вода 2016-2018 ПЛАН'!L14+'Тариф тех.вода 2016-2018 ПЛАН'!L14)</f>
        <v>0</v>
      </c>
      <c r="M16" s="2562">
        <f>SUM('Тариф вода 2016-2018 ПЛАН'!M14+'Тариф тех.вода 2016-2018 ПЛАН'!M14)</f>
        <v>0</v>
      </c>
      <c r="N16" s="2562">
        <f>SUM('Тариф вода 2016-2018 ПЛАН'!N14+'Тариф тех.вода 2016-2018 ПЛАН'!N14)</f>
        <v>0</v>
      </c>
      <c r="O16" s="2633">
        <f>SUM('цех вода'!AP24)</f>
        <v>29.810000000000002</v>
      </c>
      <c r="P16" s="2925">
        <f>SUM('Тариф вода 2016-2018 ПЛАН'!P14+'Тариф тех.вода 2016-2018 ПЛАН'!P14)</f>
        <v>30.842750000000002</v>
      </c>
      <c r="Q16" s="2925">
        <f>SUM('Тариф вода 2016-2018 ПЛАН'!Q14+'Тариф тех.вода 2016-2018 ПЛАН'!Q14)</f>
        <v>47.51</v>
      </c>
      <c r="R16" s="2663" t="s">
        <v>1642</v>
      </c>
    </row>
    <row r="17" spans="1:18" ht="41.25" customHeight="1">
      <c r="A17" s="2560" t="s">
        <v>929</v>
      </c>
      <c r="B17" s="2561" t="s">
        <v>930</v>
      </c>
      <c r="C17" s="2560" t="s">
        <v>918</v>
      </c>
      <c r="D17" s="2633">
        <f>SUM(вода!AL120)</f>
        <v>3223.1722248582328</v>
      </c>
      <c r="E17" s="2633">
        <f>SUM(вода!AZ120)</f>
        <v>4009.7699999999995</v>
      </c>
      <c r="F17" s="2562">
        <f>SUM('Тариф вода 2016-2018 ПЛАН'!F15+'Тариф тех.вода 2016-2018 ПЛАН'!F15)</f>
        <v>1984.73</v>
      </c>
      <c r="G17" s="2562">
        <f>SUM('Тариф вода 2016-2018 ПЛАН'!G15+'Тариф тех.вода 2016-2018 ПЛАН'!G15)</f>
        <v>2969.96</v>
      </c>
      <c r="H17" s="2562">
        <f>SUM('Тариф вода 2016-2018 ПЛАН'!H15+'Тариф тех.вода 2016-2018 ПЛАН'!H15)</f>
        <v>4091.9519999999998</v>
      </c>
      <c r="I17" s="2562">
        <f>SUM('Тариф вода 2016-2018 ПЛАН'!I15+'Тариф тех.вода 2016-2018 ПЛАН'!I15)</f>
        <v>3125.4374758921217</v>
      </c>
      <c r="J17" s="2562">
        <f>SUM('Тариф вода 2016-2018 ПЛАН'!J15+'Тариф тех.вода 2016-2018 ПЛАН'!J15)</f>
        <v>3621.904</v>
      </c>
      <c r="K17" s="2562">
        <f>SUM('Тариф вода 2016-2018 ПЛАН'!K15+'Тариф тех.вода 2016-2018 ПЛАН'!K15)</f>
        <v>3523.8224121041176</v>
      </c>
      <c r="L17" s="2562">
        <f>SUM('Тариф вода 2016-2018 ПЛАН'!L15+'Тариф тех.вода 2016-2018 ПЛАН'!L15)</f>
        <v>2184.0039999999999</v>
      </c>
      <c r="M17" s="2562">
        <f>SUM('Тариф вода 2016-2018 ПЛАН'!M15+'Тариф тех.вода 2016-2018 ПЛАН'!M15)</f>
        <v>3241.6740000000004</v>
      </c>
      <c r="N17" s="2562">
        <f>SUM('Тариф вода 2016-2018 ПЛАН'!N15+'Тариф тех.вода 2016-2018 ПЛАН'!N15)</f>
        <v>4322.232</v>
      </c>
      <c r="O17" s="2633">
        <f>SUM(вода!BU120)</f>
        <v>3628.2425283182315</v>
      </c>
      <c r="P17" s="2925">
        <f>SUM('Тариф вода 2016-2018 ПЛАН'!P15+'Тариф тех.вода 2016-2018 ПЛАН'!P15)</f>
        <v>3632.6157539878118</v>
      </c>
      <c r="Q17" s="2925">
        <f>SUM('Тариф вода 2016-2018 ПЛАН'!Q15+'Тариф тех.вода 2016-2018 ПЛАН'!Q15)</f>
        <v>3523.8224121041176</v>
      </c>
      <c r="R17" s="2663" t="s">
        <v>10</v>
      </c>
    </row>
    <row r="18" spans="1:18" ht="21.75" customHeight="1">
      <c r="A18" s="2560" t="s">
        <v>931</v>
      </c>
      <c r="B18" s="2561" t="s">
        <v>932</v>
      </c>
      <c r="C18" s="2560" t="s">
        <v>918</v>
      </c>
      <c r="D18" s="2633">
        <f>SUM('цех вода'!AB30+'цех вода'!AB41)</f>
        <v>307.8</v>
      </c>
      <c r="E18" s="2633">
        <f>SUM('цех вода'!AL30+'цех вода'!AL41)</f>
        <v>125.13999999999999</v>
      </c>
      <c r="F18" s="2562">
        <f>SUM('Тариф вода 2016-2018 ПЛАН'!F16+'Тариф тех.вода 2016-2018 ПЛАН'!F16)</f>
        <v>64.08</v>
      </c>
      <c r="G18" s="2562">
        <f>SUM('Тариф вода 2016-2018 ПЛАН'!G16+'Тариф тех.вода 2016-2018 ПЛАН'!G16)</f>
        <v>96.12</v>
      </c>
      <c r="H18" s="2562">
        <f>SUM('Тариф вода 2016-2018 ПЛАН'!H16+'Тариф тех.вода 2016-2018 ПЛАН'!H16)</f>
        <v>128.16</v>
      </c>
      <c r="I18" s="2562">
        <f>SUM('Тариф вода 2016-2018 ПЛАН'!I16+'Тариф тех.вода 2016-2018 ПЛАН'!I16)</f>
        <v>216.27343999999999</v>
      </c>
      <c r="J18" s="2562">
        <f>SUM('Тариф вода 2016-2018 ПЛАН'!J16+'Тариф тех.вода 2016-2018 ПЛАН'!J16)</f>
        <v>216.26499999999999</v>
      </c>
      <c r="K18" s="2562">
        <f>SUM('Тариф вода 2016-2018 ПЛАН'!K16+'Тариф тех.вода 2016-2018 ПЛАН'!K16)</f>
        <v>216.26499999999999</v>
      </c>
      <c r="L18" s="2562">
        <f>SUM('Тариф вода 2016-2018 ПЛАН'!L16+'Тариф тех.вода 2016-2018 ПЛАН'!L16)</f>
        <v>69.900000000000006</v>
      </c>
      <c r="M18" s="2562">
        <f>SUM('Тариф вода 2016-2018 ПЛАН'!M16+'Тариф тех.вода 2016-2018 ПЛАН'!M16)</f>
        <v>104.86</v>
      </c>
      <c r="N18" s="2562">
        <f>SUM('Тариф вода 2016-2018 ПЛАН'!N16+'Тариф тех.вода 2016-2018 ПЛАН'!N16)</f>
        <v>139.81333333333333</v>
      </c>
      <c r="O18" s="2633">
        <f>SUM('цех вода'!AP30+'цех вода'!AP41)</f>
        <v>237.90078400000004</v>
      </c>
      <c r="P18" s="2925">
        <f>SUM('Тариф вода 2016-2018 ПЛАН'!P16+'Тариф тех.вода 2016-2018 ПЛАН'!P16)</f>
        <v>237.89150000000001</v>
      </c>
      <c r="Q18" s="2925">
        <f>SUM('Тариф вода 2016-2018 ПЛАН'!Q16+'Тариф тех.вода 2016-2018 ПЛАН'!Q16)</f>
        <v>216.26499999999999</v>
      </c>
      <c r="R18" s="2657" t="s">
        <v>1643</v>
      </c>
    </row>
    <row r="19" spans="1:18" ht="30.75" customHeight="1">
      <c r="A19" s="2560" t="s">
        <v>933</v>
      </c>
      <c r="B19" s="2561" t="s">
        <v>934</v>
      </c>
      <c r="C19" s="2560" t="s">
        <v>918</v>
      </c>
      <c r="D19" s="2611">
        <v>0</v>
      </c>
      <c r="E19" s="2611">
        <v>0</v>
      </c>
      <c r="F19" s="2562">
        <f>SUM('Тариф вода 2016-2018 ПЛАН'!F17+'Тариф тех.вода 2016-2018 ПЛАН'!F17)</f>
        <v>0</v>
      </c>
      <c r="G19" s="2562">
        <f>SUM('Тариф вода 2016-2018 ПЛАН'!G17+'Тариф тех.вода 2016-2018 ПЛАН'!G17)</f>
        <v>0</v>
      </c>
      <c r="H19" s="2562">
        <f>SUM('Тариф вода 2016-2018 ПЛАН'!H17+'Тариф тех.вода 2016-2018 ПЛАН'!H17)</f>
        <v>0</v>
      </c>
      <c r="I19" s="2562">
        <f>SUM('Тариф вода 2016-2018 ПЛАН'!I17+'Тариф тех.вода 2016-2018 ПЛАН'!I17)</f>
        <v>395.92538655008684</v>
      </c>
      <c r="J19" s="2562">
        <f>SUM('Тариф вода 2016-2018 ПЛАН'!J17+'Тариф тех.вода 2016-2018 ПЛАН'!J17)</f>
        <v>397.28</v>
      </c>
      <c r="K19" s="2562">
        <f>SUM('Тариф вода 2016-2018 ПЛАН'!K17+'Тариф тех.вода 2016-2018 ПЛАН'!K17)</f>
        <v>436.83960362466541</v>
      </c>
      <c r="L19" s="2562">
        <f>SUM('Тариф вода 2016-2018 ПЛАН'!L17+'Тариф тех.вода 2016-2018 ПЛАН'!L17)</f>
        <v>0</v>
      </c>
      <c r="M19" s="2562">
        <f>SUM('Тариф вода 2016-2018 ПЛАН'!M17+'Тариф тех.вода 2016-2018 ПЛАН'!M17)</f>
        <v>0</v>
      </c>
      <c r="N19" s="2562">
        <f>SUM('Тариф вода 2016-2018 ПЛАН'!N17+'Тариф тех.вода 2016-2018 ПЛАН'!N17)</f>
        <v>0</v>
      </c>
      <c r="O19" s="2633">
        <f>SUM(вода!BU49)</f>
        <v>404.91360275906646</v>
      </c>
      <c r="P19" s="2925">
        <f>SUM('Тариф вода 2016-2018 ПЛАН'!P17+'Тариф тех.вода 2016-2018 ПЛАН'!P17)</f>
        <v>444.98581689171959</v>
      </c>
      <c r="Q19" s="2925">
        <f>SUM('Тариф вода 2016-2018 ПЛАН'!Q17+'Тариф тех.вода 2016-2018 ПЛАН'!Q17)</f>
        <v>436.83960362466541</v>
      </c>
      <c r="R19" s="2663" t="s">
        <v>907</v>
      </c>
    </row>
    <row r="20" spans="1:18" ht="21.75" customHeight="1">
      <c r="A20" s="2560" t="s">
        <v>935</v>
      </c>
      <c r="B20" s="2561" t="s">
        <v>936</v>
      </c>
      <c r="C20" s="2560" t="s">
        <v>918</v>
      </c>
      <c r="D20" s="2611">
        <v>0</v>
      </c>
      <c r="E20" s="2611">
        <v>0</v>
      </c>
      <c r="F20" s="2562">
        <f>SUM('Тариф вода 2016-2018 ПЛАН'!F18+'Тариф тех.вода 2016-2018 ПЛАН'!F18)</f>
        <v>0</v>
      </c>
      <c r="G20" s="2562">
        <f>SUM('Тариф вода 2016-2018 ПЛАН'!G18+'Тариф тех.вода 2016-2018 ПЛАН'!G18)</f>
        <v>0</v>
      </c>
      <c r="H20" s="2562">
        <f>SUM('Тариф вода 2016-2018 ПЛАН'!H18+'Тариф тех.вода 2016-2018 ПЛАН'!H18)</f>
        <v>0</v>
      </c>
      <c r="I20" s="2562">
        <f>SUM('Тариф вода 2016-2018 ПЛАН'!I18+'Тариф тех.вода 2016-2018 ПЛАН'!I18)</f>
        <v>0</v>
      </c>
      <c r="J20" s="2562">
        <f>SUM('Тариф вода 2016-2018 ПЛАН'!J18+'Тариф тех.вода 2016-2018 ПЛАН'!J18)</f>
        <v>0</v>
      </c>
      <c r="K20" s="2562">
        <f>SUM('Тариф вода 2016-2018 ПЛАН'!K18+'Тариф тех.вода 2016-2018 ПЛАН'!K18)</f>
        <v>0</v>
      </c>
      <c r="L20" s="2562">
        <f>SUM('Тариф вода 2016-2018 ПЛАН'!L18+'Тариф тех.вода 2016-2018 ПЛАН'!L18)</f>
        <v>0</v>
      </c>
      <c r="M20" s="2562">
        <f>SUM('Тариф вода 2016-2018 ПЛАН'!M18+'Тариф тех.вода 2016-2018 ПЛАН'!M18)</f>
        <v>0</v>
      </c>
      <c r="N20" s="2562">
        <f>SUM('Тариф вода 2016-2018 ПЛАН'!N18+'Тариф тех.вода 2016-2018 ПЛАН'!N18)</f>
        <v>0</v>
      </c>
      <c r="O20" s="2611">
        <v>0</v>
      </c>
      <c r="P20" s="2925">
        <f>SUM('Тариф вода 2016-2018 ПЛАН'!P18+'Тариф тех.вода 2016-2018 ПЛАН'!P18)</f>
        <v>0</v>
      </c>
      <c r="Q20" s="2925">
        <f>SUM('Тариф вода 2016-2018 ПЛАН'!Q18+'Тариф тех.вода 2016-2018 ПЛАН'!Q18)</f>
        <v>0</v>
      </c>
      <c r="R20" s="2657"/>
    </row>
    <row r="21" spans="1:18" ht="21.75" customHeight="1">
      <c r="A21" s="2560" t="s">
        <v>937</v>
      </c>
      <c r="B21" s="2561" t="s">
        <v>938</v>
      </c>
      <c r="C21" s="2560" t="s">
        <v>918</v>
      </c>
      <c r="D21" s="2611">
        <v>0</v>
      </c>
      <c r="E21" s="2611">
        <v>0</v>
      </c>
      <c r="F21" s="2562">
        <f>SUM('Тариф вода 2016-2018 ПЛАН'!F19+'Тариф тех.вода 2016-2018 ПЛАН'!F19)</f>
        <v>0</v>
      </c>
      <c r="G21" s="2562">
        <f>SUM('Тариф вода 2016-2018 ПЛАН'!G19+'Тариф тех.вода 2016-2018 ПЛАН'!G19)</f>
        <v>0</v>
      </c>
      <c r="H21" s="2562">
        <f>SUM('Тариф вода 2016-2018 ПЛАН'!H19+'Тариф тех.вода 2016-2018 ПЛАН'!H19)</f>
        <v>0</v>
      </c>
      <c r="I21" s="2562">
        <f>SUM('Тариф вода 2016-2018 ПЛАН'!I19+'Тариф тех.вода 2016-2018 ПЛАН'!I19)</f>
        <v>0</v>
      </c>
      <c r="J21" s="2562">
        <f>SUM('Тариф вода 2016-2018 ПЛАН'!J19+'Тариф тех.вода 2016-2018 ПЛАН'!J19)</f>
        <v>0</v>
      </c>
      <c r="K21" s="2562">
        <f>SUM('Тариф вода 2016-2018 ПЛАН'!K19+'Тариф тех.вода 2016-2018 ПЛАН'!K19)</f>
        <v>0</v>
      </c>
      <c r="L21" s="2562">
        <f>SUM('Тариф вода 2016-2018 ПЛАН'!L19+'Тариф тех.вода 2016-2018 ПЛАН'!L19)</f>
        <v>0</v>
      </c>
      <c r="M21" s="2562">
        <f>SUM('Тариф вода 2016-2018 ПЛАН'!M19+'Тариф тех.вода 2016-2018 ПЛАН'!M19)</f>
        <v>0</v>
      </c>
      <c r="N21" s="2562">
        <f>SUM('Тариф вода 2016-2018 ПЛАН'!N19+'Тариф тех.вода 2016-2018 ПЛАН'!N19)</f>
        <v>0</v>
      </c>
      <c r="O21" s="2611">
        <v>0</v>
      </c>
      <c r="P21" s="2925">
        <f>SUM('Тариф вода 2016-2018 ПЛАН'!P19+'Тариф тех.вода 2016-2018 ПЛАН'!P19)</f>
        <v>0</v>
      </c>
      <c r="Q21" s="2925">
        <f>SUM('Тариф вода 2016-2018 ПЛАН'!Q19+'Тариф тех.вода 2016-2018 ПЛАН'!Q19)</f>
        <v>0</v>
      </c>
      <c r="R21" s="2657"/>
    </row>
    <row r="22" spans="1:18" ht="30.75" customHeight="1">
      <c r="A22" s="2560" t="s">
        <v>939</v>
      </c>
      <c r="B22" s="2561" t="s">
        <v>940</v>
      </c>
      <c r="C22" s="2560" t="s">
        <v>918</v>
      </c>
      <c r="D22" s="2633">
        <f>SUM(вода!AL123)</f>
        <v>1287.3</v>
      </c>
      <c r="E22" s="2633">
        <f>SUM(вода!AZ123)</f>
        <v>0</v>
      </c>
      <c r="F22" s="2562">
        <f>SUM('Тариф вода 2016-2018 ПЛАН'!F20+'Тариф тех.вода 2016-2018 ПЛАН'!F20)</f>
        <v>0</v>
      </c>
      <c r="G22" s="2562">
        <f>SUM('Тариф вода 2016-2018 ПЛАН'!G20+'Тариф тех.вода 2016-2018 ПЛАН'!G20)</f>
        <v>0</v>
      </c>
      <c r="H22" s="2562">
        <f>SUM('Тариф вода 2016-2018 ПЛАН'!H20+'Тариф тех.вода 2016-2018 ПЛАН'!H20)</f>
        <v>0</v>
      </c>
      <c r="I22" s="2562">
        <f>SUM('Тариф вода 2016-2018 ПЛАН'!I20+'Тариф тех.вода 2016-2018 ПЛАН'!I20)</f>
        <v>1785.8</v>
      </c>
      <c r="J22" s="2562">
        <f>SUM('Тариф вода 2016-2018 ПЛАН'!J20+'Тариф тех.вода 2016-2018 ПЛАН'!J20)</f>
        <v>2254.38</v>
      </c>
      <c r="K22" s="2562">
        <f>SUM('Тариф вода 2016-2018 ПЛАН'!K20+'Тариф тех.вода 2016-2018 ПЛАН'!K20)</f>
        <v>0</v>
      </c>
      <c r="L22" s="2562">
        <f>SUM('Тариф вода 2016-2018 ПЛАН'!L20+'Тариф тех.вода 2016-2018 ПЛАН'!L20)</f>
        <v>0</v>
      </c>
      <c r="M22" s="2562">
        <f>SUM('Тариф вода 2016-2018 ПЛАН'!M20+'Тариф тех.вода 2016-2018 ПЛАН'!M20)</f>
        <v>0</v>
      </c>
      <c r="N22" s="2562">
        <f>SUM('Тариф вода 2016-2018 ПЛАН'!N20+'Тариф тех.вода 2016-2018 ПЛАН'!N20)</f>
        <v>0</v>
      </c>
      <c r="O22" s="2633">
        <f>SUM(вода!BU123)</f>
        <v>3771.829999999999</v>
      </c>
      <c r="P22" s="2925">
        <f>SUM('Тариф вода 2016-2018 ПЛАН'!P20+'Тариф тех.вода 2016-2018 ПЛАН'!P20)</f>
        <v>4704.75</v>
      </c>
      <c r="Q22" s="2925">
        <f>SUM('Тариф вода 2016-2018 ПЛАН'!Q20+'Тариф тех.вода 2016-2018 ПЛАН'!Q20)</f>
        <v>0</v>
      </c>
      <c r="R22" s="2663" t="s">
        <v>1644</v>
      </c>
    </row>
    <row r="23" spans="1:18" ht="21.75" customHeight="1">
      <c r="A23" s="2553" t="s">
        <v>941</v>
      </c>
      <c r="B23" s="2554" t="s">
        <v>2</v>
      </c>
      <c r="C23" s="2553" t="s">
        <v>918</v>
      </c>
      <c r="D23" s="2634">
        <f>SUM(вода!AL114+'ОХР '!AD23)</f>
        <v>7664.9702412555062</v>
      </c>
      <c r="E23" s="2634">
        <f>SUM(вода!AZ114+'ОХР '!AK23)</f>
        <v>8382.010000000002</v>
      </c>
      <c r="F23" s="2555">
        <f>SUM('Тариф вода 2016-2018 ПЛАН'!F21+'Тариф тех.вода 2016-2018 ПЛАН'!F21)</f>
        <v>4425.0600000000004</v>
      </c>
      <c r="G23" s="2555">
        <f>SUM('Тариф вода 2016-2018 ПЛАН'!G21+'Тариф тех.вода 2016-2018 ПЛАН'!G21)</f>
        <v>6461.1600000000008</v>
      </c>
      <c r="H23" s="2555">
        <f>SUM('Тариф вода 2016-2018 ПЛАН'!H21+'Тариф тех.вода 2016-2018 ПЛАН'!H21)</f>
        <v>8575.3552000000018</v>
      </c>
      <c r="I23" s="2555">
        <f>SUM('Тариф вода 2016-2018 ПЛАН'!I21+'Тариф тех.вода 2016-2018 ПЛАН'!I21)</f>
        <v>7622.4833447577112</v>
      </c>
      <c r="J23" s="2555">
        <f>SUM('Тариф вода 2016-2018 ПЛАН'!J21+'Тариф тех.вода 2016-2018 ПЛАН'!J21)</f>
        <v>8296.68</v>
      </c>
      <c r="K23" s="2555">
        <f>SUM('Тариф вода 2016-2018 ПЛАН'!K21+'Тариф тех.вода 2016-2018 ПЛАН'!K21)</f>
        <v>8622.6598464832732</v>
      </c>
      <c r="L23" s="2555">
        <f>SUM('Тариф вода 2016-2018 ПЛАН'!L21+'Тариф тех.вода 2016-2018 ПЛАН'!L21)</f>
        <v>4918.47</v>
      </c>
      <c r="M23" s="2555">
        <f>SUM('Тариф вода 2016-2018 ПЛАН'!M21+'Тариф тех.вода 2016-2018 ПЛАН'!M21)</f>
        <v>7764.5</v>
      </c>
      <c r="N23" s="2555">
        <f>SUM('Тариф вода 2016-2018 ПЛАН'!N21+'Тариф тех.вода 2016-2018 ПЛАН'!N21)</f>
        <v>10372.843333333334</v>
      </c>
      <c r="O23" s="2634">
        <f>SUM(вода!BU114+'ОХР '!BH23)</f>
        <v>8410.9330000000009</v>
      </c>
      <c r="P23" s="2923">
        <f>SUM('Тариф вода 2016-2018 ПЛАН'!P21+'Тариф тех.вода 2016-2018 ПЛАН'!P21)</f>
        <v>8624.819151518559</v>
      </c>
      <c r="Q23" s="2923">
        <f>SUM('Тариф вода 2016-2018 ПЛАН'!Q21+'Тариф тех.вода 2016-2018 ПЛАН'!Q21)</f>
        <v>8497.9000000000015</v>
      </c>
      <c r="R23" s="2668" t="s">
        <v>1645</v>
      </c>
    </row>
    <row r="24" spans="1:18" ht="21.75" customHeight="1">
      <c r="A24" s="2563" t="s">
        <v>202</v>
      </c>
      <c r="B24" s="2564" t="s">
        <v>942</v>
      </c>
      <c r="C24" s="2585" t="s">
        <v>44</v>
      </c>
      <c r="D24" s="2608">
        <f t="shared" ref="D24:I24" si="12">D25/(D12+D23)*100</f>
        <v>3.9026566148549331</v>
      </c>
      <c r="E24" s="2608">
        <f t="shared" si="12"/>
        <v>0</v>
      </c>
      <c r="F24" s="2608">
        <f t="shared" si="12"/>
        <v>0</v>
      </c>
      <c r="G24" s="2608">
        <f t="shared" si="12"/>
        <v>0</v>
      </c>
      <c r="H24" s="2608">
        <f t="shared" si="12"/>
        <v>0</v>
      </c>
      <c r="I24" s="2608">
        <f t="shared" si="12"/>
        <v>3.3168662933736188</v>
      </c>
      <c r="J24" s="2608">
        <f t="shared" ref="J24:K24" si="13">J25/(J12+J23)*100</f>
        <v>-0.95017695245219558</v>
      </c>
      <c r="K24" s="2587">
        <f t="shared" si="13"/>
        <v>0</v>
      </c>
      <c r="L24" s="2587">
        <f t="shared" ref="L24:M24" si="14">L25/(L12+L23)*100</f>
        <v>0</v>
      </c>
      <c r="M24" s="2587">
        <f t="shared" si="14"/>
        <v>0</v>
      </c>
      <c r="N24" s="2587">
        <f t="shared" ref="N24" si="15">N25/(N12+N23)*100</f>
        <v>0</v>
      </c>
      <c r="O24" s="2608">
        <f>O25/(O12+O23)*100</f>
        <v>0</v>
      </c>
      <c r="P24" s="2608">
        <f>P25/(P12+P23)*100</f>
        <v>0</v>
      </c>
      <c r="Q24" s="2608">
        <f>Q25/(Q12+Q23)*100</f>
        <v>-5.169951936209686</v>
      </c>
      <c r="R24" s="2669"/>
    </row>
    <row r="25" spans="1:18" ht="21.75" customHeight="1">
      <c r="A25" s="2553" t="s">
        <v>943</v>
      </c>
      <c r="B25" s="2554" t="s">
        <v>944</v>
      </c>
      <c r="C25" s="2553" t="s">
        <v>918</v>
      </c>
      <c r="D25" s="2555">
        <f t="shared" ref="D25:I25" si="16">D26+D27+D28</f>
        <v>4444</v>
      </c>
      <c r="E25" s="2555">
        <f t="shared" si="16"/>
        <v>0</v>
      </c>
      <c r="F25" s="2555">
        <f t="shared" si="16"/>
        <v>0</v>
      </c>
      <c r="G25" s="2555">
        <f t="shared" si="16"/>
        <v>0</v>
      </c>
      <c r="H25" s="2555">
        <f t="shared" si="16"/>
        <v>0</v>
      </c>
      <c r="I25" s="2555">
        <f t="shared" si="16"/>
        <v>3976</v>
      </c>
      <c r="J25" s="2555">
        <f t="shared" ref="J25:K25" si="17">J26+J27+J28</f>
        <v>-1205.4349999999999</v>
      </c>
      <c r="K25" s="2555">
        <f t="shared" si="17"/>
        <v>0</v>
      </c>
      <c r="L25" s="2555">
        <f t="shared" ref="L25:M25" si="18">L26+L27+L28</f>
        <v>0</v>
      </c>
      <c r="M25" s="2555">
        <f t="shared" si="18"/>
        <v>0</v>
      </c>
      <c r="N25" s="2555">
        <f t="shared" ref="N25" si="19">N26+N27+N28</f>
        <v>0</v>
      </c>
      <c r="O25" s="2555">
        <f>O26+O27+O28</f>
        <v>0</v>
      </c>
      <c r="P25" s="2555">
        <f>P26+P27+P28</f>
        <v>0</v>
      </c>
      <c r="Q25" s="2555">
        <f>Q26+Q27+Q28</f>
        <v>-6624.9</v>
      </c>
      <c r="R25" s="2668"/>
    </row>
    <row r="26" spans="1:18" ht="21.75" customHeight="1">
      <c r="A26" s="2557" t="s">
        <v>945</v>
      </c>
      <c r="B26" s="2558" t="s">
        <v>946</v>
      </c>
      <c r="C26" s="2557" t="s">
        <v>918</v>
      </c>
      <c r="D26" s="2632">
        <f>SUM(вода!AL61)</f>
        <v>4444</v>
      </c>
      <c r="E26" s="2632">
        <v>0</v>
      </c>
      <c r="F26" s="2559">
        <f>SUM('Тариф вода 2016-2018 ПЛАН'!F24+'Тариф тех.вода 2016-2018 ПЛАН'!F24)</f>
        <v>0</v>
      </c>
      <c r="G26" s="2559">
        <f>SUM('Тариф вода 2016-2018 ПЛАН'!G24+'Тариф тех.вода 2016-2018 ПЛАН'!G24)</f>
        <v>0</v>
      </c>
      <c r="H26" s="2559">
        <f>SUM('Тариф вода 2016-2018 ПЛАН'!H24+'Тариф тех.вода 2016-2018 ПЛАН'!H24)</f>
        <v>0</v>
      </c>
      <c r="I26" s="2559">
        <f>SUM('Тариф вода 2016-2018 ПЛАН'!I24+'Тариф тех.вода 2016-2018 ПЛАН'!I24)</f>
        <v>3976</v>
      </c>
      <c r="J26" s="2559">
        <f>SUM('Тариф вода 2016-2018 ПЛАН'!J24+'Тариф тех.вода 2016-2018 ПЛАН'!J24)</f>
        <v>-1205.4349999999999</v>
      </c>
      <c r="K26" s="2559">
        <f>SUM('Тариф вода 2016-2018 ПЛАН'!K24+'Тариф тех.вода 2016-2018 ПЛАН'!K24)</f>
        <v>0</v>
      </c>
      <c r="L26" s="2559">
        <f>SUM('Тариф вода 2016-2018 ПЛАН'!L24+'Тариф тех.вода 2016-2018 ПЛАН'!L24)</f>
        <v>0</v>
      </c>
      <c r="M26" s="2559">
        <f>SUM('Тариф вода 2016-2018 ПЛАН'!M24+'Тариф тех.вода 2016-2018 ПЛАН'!M24)</f>
        <v>0</v>
      </c>
      <c r="N26" s="2559">
        <f>SUM('Тариф вода 2016-2018 ПЛАН'!N24+'Тариф тех.вода 2016-2018 ПЛАН'!N24)</f>
        <v>0</v>
      </c>
      <c r="O26" s="2632">
        <f>SUM(вода!AT61)</f>
        <v>0</v>
      </c>
      <c r="P26" s="2924">
        <f>SUM('Тариф вода 2016-2018 ПЛАН'!P24+'Тариф тех.вода 2016-2018 ПЛАН'!P24)</f>
        <v>0</v>
      </c>
      <c r="Q26" s="2924">
        <f>SUM('Тариф вода 2016-2018 ПЛАН'!Q24+'Тариф тех.вода 2016-2018 ПЛАН'!Q24)</f>
        <v>-6624.9</v>
      </c>
      <c r="R26" s="2662" t="s">
        <v>1597</v>
      </c>
    </row>
    <row r="27" spans="1:18" ht="50.25" customHeight="1">
      <c r="A27" s="2557" t="s">
        <v>947</v>
      </c>
      <c r="B27" s="2558" t="s">
        <v>948</v>
      </c>
      <c r="C27" s="2557" t="s">
        <v>918</v>
      </c>
      <c r="D27" s="2610">
        <v>0</v>
      </c>
      <c r="E27" s="2610">
        <v>0</v>
      </c>
      <c r="F27" s="2559">
        <f>SUM('Тариф вода 2016-2018 ПЛАН'!F25+'Тариф тех.вода 2016-2018 ПЛАН'!F25)</f>
        <v>0</v>
      </c>
      <c r="G27" s="2559">
        <f>SUM('Тариф вода 2016-2018 ПЛАН'!G25+'Тариф тех.вода 2016-2018 ПЛАН'!G25)</f>
        <v>0</v>
      </c>
      <c r="H27" s="2559">
        <f>SUM('Тариф вода 2016-2018 ПЛАН'!H25+'Тариф тех.вода 2016-2018 ПЛАН'!H25)</f>
        <v>0</v>
      </c>
      <c r="I27" s="2559">
        <f>SUM('Тариф вода 2016-2018 ПЛАН'!I25+'Тариф тех.вода 2016-2018 ПЛАН'!I25)</f>
        <v>0</v>
      </c>
      <c r="J27" s="2559">
        <f>SUM('Тариф вода 2016-2018 ПЛАН'!J25+'Тариф тех.вода 2016-2018 ПЛАН'!J25)</f>
        <v>0</v>
      </c>
      <c r="K27" s="2559">
        <f>SUM('Тариф вода 2016-2018 ПЛАН'!K25+'Тариф тех.вода 2016-2018 ПЛАН'!K25)</f>
        <v>0</v>
      </c>
      <c r="L27" s="2559">
        <f>SUM('Тариф вода 2016-2018 ПЛАН'!L25+'Тариф тех.вода 2016-2018 ПЛАН'!L25)</f>
        <v>0</v>
      </c>
      <c r="M27" s="2559">
        <f>SUM('Тариф вода 2016-2018 ПЛАН'!M25+'Тариф тех.вода 2016-2018 ПЛАН'!M25)</f>
        <v>0</v>
      </c>
      <c r="N27" s="2559">
        <f>SUM('Тариф вода 2016-2018 ПЛАН'!N25+'Тариф тех.вода 2016-2018 ПЛАН'!N25)</f>
        <v>0</v>
      </c>
      <c r="O27" s="2610">
        <v>0</v>
      </c>
      <c r="P27" s="2924">
        <v>0</v>
      </c>
      <c r="Q27" s="2924">
        <v>0</v>
      </c>
      <c r="R27" s="2662"/>
    </row>
    <row r="28" spans="1:18" ht="21.75" customHeight="1">
      <c r="A28" s="2557" t="s">
        <v>949</v>
      </c>
      <c r="B28" s="2558" t="s">
        <v>950</v>
      </c>
      <c r="C28" s="2557" t="s">
        <v>918</v>
      </c>
      <c r="D28" s="2610">
        <v>0</v>
      </c>
      <c r="E28" s="2610">
        <v>0</v>
      </c>
      <c r="F28" s="2559">
        <f>SUM('Тариф вода 2016-2018 ПЛАН'!F26+'Тариф тех.вода 2016-2018 ПЛАН'!F26)</f>
        <v>0</v>
      </c>
      <c r="G28" s="2559">
        <f>SUM('Тариф вода 2016-2018 ПЛАН'!G26+'Тариф тех.вода 2016-2018 ПЛАН'!G26)</f>
        <v>0</v>
      </c>
      <c r="H28" s="2559">
        <f>SUM('Тариф вода 2016-2018 ПЛАН'!H26+'Тариф тех.вода 2016-2018 ПЛАН'!H26)</f>
        <v>0</v>
      </c>
      <c r="I28" s="2559">
        <f>SUM('Тариф вода 2016-2018 ПЛАН'!I26+'Тариф тех.вода 2016-2018 ПЛАН'!I26)</f>
        <v>0</v>
      </c>
      <c r="J28" s="2559">
        <f>SUM('Тариф вода 2016-2018 ПЛАН'!J26+'Тариф тех.вода 2016-2018 ПЛАН'!J26)</f>
        <v>0</v>
      </c>
      <c r="K28" s="2559">
        <f>SUM('Тариф вода 2016-2018 ПЛАН'!K26+'Тариф тех.вода 2016-2018 ПЛАН'!K26)</f>
        <v>0</v>
      </c>
      <c r="L28" s="2559">
        <f>SUM('Тариф вода 2016-2018 ПЛАН'!L26+'Тариф тех.вода 2016-2018 ПЛАН'!L26)</f>
        <v>0</v>
      </c>
      <c r="M28" s="2559">
        <f>SUM('Тариф вода 2016-2018 ПЛАН'!M26+'Тариф тех.вода 2016-2018 ПЛАН'!M26)</f>
        <v>0</v>
      </c>
      <c r="N28" s="2559">
        <f>SUM('Тариф вода 2016-2018 ПЛАН'!N26+'Тариф тех.вода 2016-2018 ПЛАН'!N26)</f>
        <v>0</v>
      </c>
      <c r="O28" s="2610">
        <v>0</v>
      </c>
      <c r="P28" s="2924">
        <v>0</v>
      </c>
      <c r="Q28" s="2924">
        <v>0</v>
      </c>
      <c r="R28" s="2662"/>
    </row>
    <row r="29" spans="1:18" ht="30.75" customHeight="1">
      <c r="A29" s="2553" t="s">
        <v>203</v>
      </c>
      <c r="B29" s="2554" t="s">
        <v>951</v>
      </c>
      <c r="C29" s="2553" t="s">
        <v>918</v>
      </c>
      <c r="D29" s="2634">
        <f>SUM(вода!AL58)</f>
        <v>5753.5575411432783</v>
      </c>
      <c r="E29" s="2634">
        <f>SUM(вода!AZ58)</f>
        <v>0</v>
      </c>
      <c r="F29" s="2555">
        <f>SUM('Тариф вода 2016-2018 ПЛАН'!F27+'Тариф тех.вода 2016-2018 ПЛАН'!F27)</f>
        <v>0</v>
      </c>
      <c r="G29" s="2555">
        <f>SUM('Тариф вода 2016-2018 ПЛАН'!G27+'Тариф тех.вода 2016-2018 ПЛАН'!G27)</f>
        <v>0</v>
      </c>
      <c r="H29" s="2555">
        <f>SUM('Тариф вода 2016-2018 ПЛАН'!H27+'Тариф тех.вода 2016-2018 ПЛАН'!H27)</f>
        <v>0</v>
      </c>
      <c r="I29" s="2555">
        <f>SUM('Тариф вода 2016-2018 ПЛАН'!I27+'Тариф тех.вода 2016-2018 ПЛАН'!I27)</f>
        <v>6007.360564295609</v>
      </c>
      <c r="J29" s="2555">
        <f>SUM('Тариф вода 2016-2018 ПЛАН'!J27+'Тариф тех.вода 2016-2018 ПЛАН'!J27)</f>
        <v>6213.2005678725254</v>
      </c>
      <c r="K29" s="2555">
        <f>SUM('Тариф вода 2016-2018 ПЛАН'!K27+'Тариф тех.вода 2016-2018 ПЛАН'!K27)</f>
        <v>0</v>
      </c>
      <c r="L29" s="2555">
        <f>SUM('Тариф вода 2016-2018 ПЛАН'!L27+'Тариф тех.вода 2016-2018 ПЛАН'!L27)</f>
        <v>0</v>
      </c>
      <c r="M29" s="2555">
        <f>SUM('Тариф вода 2016-2018 ПЛАН'!M27+'Тариф тех.вода 2016-2018 ПЛАН'!M27)</f>
        <v>0</v>
      </c>
      <c r="N29" s="2555">
        <f>SUM('Тариф вода 2016-2018 ПЛАН'!N27+'Тариф тех.вода 2016-2018 ПЛАН'!N27)</f>
        <v>0</v>
      </c>
      <c r="O29" s="2634">
        <f>SUM(вода!BU58)</f>
        <v>6999.1317189795109</v>
      </c>
      <c r="P29" s="2923">
        <f>SUM('Тариф вода 2016-2018 ПЛАН'!P27+'Тариф тех.вода 2016-2018 ПЛАН'!P27)</f>
        <v>6766.6556416243429</v>
      </c>
      <c r="Q29" s="2923">
        <f>SUM('Тариф вода 2016-2018 ПЛАН'!Q27+'Тариф тех.вода 2016-2018 ПЛАН'!Q27)</f>
        <v>0</v>
      </c>
      <c r="R29" s="2668" t="s">
        <v>1646</v>
      </c>
    </row>
    <row r="30" spans="1:18" ht="20.25" customHeight="1">
      <c r="A30" s="4440"/>
      <c r="B30" s="4440" t="s">
        <v>1905</v>
      </c>
      <c r="C30" s="4441" t="s">
        <v>918</v>
      </c>
      <c r="D30" s="4441"/>
      <c r="E30" s="4441"/>
      <c r="F30" s="4441"/>
      <c r="G30" s="4441"/>
      <c r="H30" s="4441"/>
      <c r="I30" s="4441"/>
      <c r="J30" s="4441"/>
      <c r="K30" s="4441"/>
      <c r="L30" s="4441"/>
      <c r="M30" s="4441"/>
      <c r="N30" s="4441"/>
      <c r="O30" s="4441"/>
      <c r="P30" s="4441"/>
      <c r="Q30" s="4441"/>
      <c r="R30" s="4441"/>
    </row>
    <row r="31" spans="1:18" ht="30.75" customHeight="1">
      <c r="A31" s="4442" t="s">
        <v>195</v>
      </c>
      <c r="B31" s="4443" t="s">
        <v>1906</v>
      </c>
      <c r="C31" s="4442" t="s">
        <v>918</v>
      </c>
      <c r="D31" s="4442"/>
      <c r="E31" s="4442"/>
      <c r="F31" s="4442"/>
      <c r="G31" s="4442"/>
      <c r="H31" s="4442"/>
      <c r="I31" s="4442"/>
      <c r="J31" s="4442"/>
      <c r="K31" s="4442"/>
      <c r="L31" s="4442"/>
      <c r="M31" s="4442"/>
      <c r="N31" s="4442"/>
      <c r="O31" s="4442"/>
      <c r="P31" s="4442"/>
      <c r="Q31" s="4487">
        <f>SUM('Тариф тех.вода 2016-2018 ПЛАН'!Q29+'Тариф вода 2016-2018 ПЛАН'!Q29)</f>
        <v>11701.17</v>
      </c>
      <c r="R31" s="4442"/>
    </row>
    <row r="32" spans="1:18" ht="30.75" customHeight="1">
      <c r="A32" s="4442" t="s">
        <v>955</v>
      </c>
      <c r="B32" s="4443" t="s">
        <v>1907</v>
      </c>
      <c r="C32" s="4442" t="s">
        <v>918</v>
      </c>
      <c r="D32" s="4442"/>
      <c r="E32" s="4442"/>
      <c r="F32" s="4442"/>
      <c r="G32" s="4442"/>
      <c r="H32" s="4442"/>
      <c r="I32" s="4442"/>
      <c r="J32" s="4442"/>
      <c r="K32" s="4442"/>
      <c r="L32" s="4442"/>
      <c r="M32" s="4442"/>
      <c r="N32" s="4442"/>
      <c r="O32" s="4442"/>
      <c r="P32" s="4442"/>
      <c r="Q32" s="4487">
        <f>SUM('Тариф тех.вода 2016-2018 ПЛАН'!Q30+'Тариф вода 2016-2018 ПЛАН'!Q30)</f>
        <v>0</v>
      </c>
      <c r="R32" s="4442"/>
    </row>
    <row r="33" spans="1:18" ht="72" customHeight="1">
      <c r="A33" s="4442" t="s">
        <v>961</v>
      </c>
      <c r="B33" s="4444" t="s">
        <v>1908</v>
      </c>
      <c r="C33" s="4442" t="s">
        <v>918</v>
      </c>
      <c r="D33" s="4442"/>
      <c r="E33" s="4442"/>
      <c r="F33" s="4442"/>
      <c r="G33" s="4442"/>
      <c r="H33" s="4442"/>
      <c r="I33" s="4442"/>
      <c r="J33" s="4442"/>
      <c r="K33" s="4442"/>
      <c r="L33" s="4442"/>
      <c r="M33" s="4442"/>
      <c r="N33" s="4442"/>
      <c r="O33" s="4442"/>
      <c r="P33" s="4442"/>
      <c r="Q33" s="4487">
        <f>SUM('Тариф тех.вода 2016-2018 ПЛАН'!Q31+'Тариф вода 2016-2018 ПЛАН'!Q31)</f>
        <v>-1405.8046569334567</v>
      </c>
      <c r="R33" s="4442"/>
    </row>
    <row r="34" spans="1:18" ht="30.75" customHeight="1">
      <c r="A34" s="4445"/>
      <c r="B34" s="4446" t="s">
        <v>1955</v>
      </c>
      <c r="C34" s="4447" t="s">
        <v>918</v>
      </c>
      <c r="D34" s="4447"/>
      <c r="E34" s="4447"/>
      <c r="F34" s="4447"/>
      <c r="G34" s="4447"/>
      <c r="H34" s="4447"/>
      <c r="I34" s="4447"/>
      <c r="J34" s="4447"/>
      <c r="K34" s="4447"/>
      <c r="L34" s="4447"/>
      <c r="M34" s="4447"/>
      <c r="N34" s="4447"/>
      <c r="O34" s="4447"/>
      <c r="P34" s="4447"/>
      <c r="Q34" s="4486">
        <f>SUM(Q9+Q31+Q32+Q33)</f>
        <v>131812.85586704884</v>
      </c>
      <c r="R34" s="4447"/>
    </row>
    <row r="35" spans="1:18" ht="30.75" customHeight="1">
      <c r="A35" s="4445"/>
      <c r="B35" s="4446" t="s">
        <v>1956</v>
      </c>
      <c r="C35" s="4447" t="s">
        <v>918</v>
      </c>
      <c r="D35" s="4447"/>
      <c r="E35" s="4447"/>
      <c r="F35" s="4447"/>
      <c r="G35" s="4447"/>
      <c r="H35" s="4447"/>
      <c r="I35" s="4447"/>
      <c r="J35" s="4447"/>
      <c r="K35" s="4447"/>
      <c r="L35" s="4447"/>
      <c r="M35" s="4447"/>
      <c r="N35" s="4447"/>
      <c r="O35" s="4447"/>
      <c r="P35" s="4447"/>
      <c r="Q35" s="4486">
        <f>SUM('Тариф вода 2016-2018 ПЛАН'!Q32)</f>
        <v>131195.04398492674</v>
      </c>
      <c r="R35" s="4447"/>
    </row>
    <row r="36" spans="1:18" ht="30.75" customHeight="1">
      <c r="A36" s="4445"/>
      <c r="B36" s="4446" t="s">
        <v>1870</v>
      </c>
      <c r="C36" s="4447" t="s">
        <v>918</v>
      </c>
      <c r="D36" s="4447"/>
      <c r="E36" s="4447"/>
      <c r="F36" s="4447"/>
      <c r="G36" s="4447"/>
      <c r="H36" s="4447"/>
      <c r="I36" s="4447"/>
      <c r="J36" s="4447"/>
      <c r="K36" s="4447"/>
      <c r="L36" s="4447"/>
      <c r="M36" s="4447"/>
      <c r="N36" s="4447"/>
      <c r="O36" s="4447"/>
      <c r="P36" s="4447"/>
      <c r="Q36" s="4486">
        <f>SUM('Тариф тех.вода 2016-2018 ПЛАН'!Q32)</f>
        <v>617.81188212212237</v>
      </c>
      <c r="R36" s="4447"/>
    </row>
    <row r="37" spans="1:18" ht="21.75" customHeight="1">
      <c r="A37" s="2549">
        <v>2</v>
      </c>
      <c r="B37" s="2550" t="s">
        <v>1617</v>
      </c>
      <c r="C37" s="2549" t="s">
        <v>953</v>
      </c>
      <c r="D37" s="2635">
        <f>SUM(объемы!K49)</f>
        <v>4052.4000000000005</v>
      </c>
      <c r="E37" s="2635">
        <f>SUM(объемы!R49+объемы!S49)</f>
        <v>3780.42</v>
      </c>
      <c r="F37" s="2551">
        <f>SUM('Тариф вода 2016-2018 ПЛАН'!F33+'Тариф тех.вода 2016-2018 ПЛАН'!F33)</f>
        <v>1822.56</v>
      </c>
      <c r="G37" s="2551">
        <f>SUM('Тариф вода 2016-2018 ПЛАН'!G33+'Тариф тех.вода 2016-2018 ПЛАН'!G33)</f>
        <v>2671.13</v>
      </c>
      <c r="H37" s="2551">
        <f>SUM('Тариф вода 2016-2018 ПЛАН'!H33+'Тариф тех.вода 2016-2018 ПЛАН'!H33)</f>
        <v>3568.7400000000002</v>
      </c>
      <c r="I37" s="2551">
        <f>SUM('Тариф вода 2016-2018 ПЛАН'!I33+'Тариф тех.вода 2016-2018 ПЛАН'!I33)</f>
        <v>4010.6370000000002</v>
      </c>
      <c r="J37" s="2551">
        <f>SUM('Тариф вода 2016-2018 ПЛАН'!J33+'Тариф тех.вода 2016-2018 ПЛАН'!J33)</f>
        <v>3791.3490000000002</v>
      </c>
      <c r="K37" s="2551">
        <f>SUM('Тариф вода 2016-2018 ПЛАН'!K33+'Тариф тех.вода 2016-2018 ПЛАН'!K33)</f>
        <v>3621.42</v>
      </c>
      <c r="L37" s="2551">
        <f>SUM('Тариф вода 2016-2018 ПЛАН'!L33+'Тариф тех.вода 2016-2018 ПЛАН'!L33)</f>
        <v>1852.1599999999999</v>
      </c>
      <c r="M37" s="2551">
        <f>SUM('Тариф вода 2016-2018 ПЛАН'!M33+'Тариф тех.вода 2016-2018 ПЛАН'!M33)</f>
        <v>2708.38</v>
      </c>
      <c r="N37" s="2551">
        <f>SUM('Тариф вода 2016-2018 ПЛАН'!N33+'Тариф тех.вода 2016-2018 ПЛАН'!N33)</f>
        <v>3601.85</v>
      </c>
      <c r="O37" s="2641">
        <f>SUM(объемы!AD49)</f>
        <v>3789</v>
      </c>
      <c r="P37" s="2921">
        <f>SUM('Тариф вода 2016-2018 ПЛАН'!P33+'Тариф тех.вода 2016-2018 ПЛАН'!P33)</f>
        <v>3720</v>
      </c>
      <c r="Q37" s="2921">
        <f>SUM('Тариф вода 2016-2018 ПЛАН'!Q33+'Тариф тех.вода 2016-2018 ПЛАН'!Q33)</f>
        <v>3621.42</v>
      </c>
      <c r="R37" s="2653"/>
    </row>
    <row r="38" spans="1:18" ht="21.75" customHeight="1">
      <c r="A38" s="2604"/>
      <c r="B38" s="2567" t="s">
        <v>1601</v>
      </c>
      <c r="C38" s="2549" t="s">
        <v>953</v>
      </c>
      <c r="D38" s="2635">
        <f>SUM(объемы!K49-объемы!K51)</f>
        <v>4006.2700000000004</v>
      </c>
      <c r="E38" s="2635">
        <f>SUM(объемы!R49)</f>
        <v>3762.2000000000003</v>
      </c>
      <c r="F38" s="2606">
        <f>SUM('Тариф вода 2016-2018 ПЛАН'!F33)</f>
        <v>1821.09</v>
      </c>
      <c r="G38" s="2606">
        <f>SUM('Тариф вода 2016-2018 ПЛАН'!G33)</f>
        <v>2669.1800000000003</v>
      </c>
      <c r="H38" s="2606">
        <f>SUM('Тариф вода 2016-2018 ПЛАН'!H33)</f>
        <v>3566.34</v>
      </c>
      <c r="I38" s="2606">
        <f>SUM('Тариф вода 2016-2018 ПЛАН'!I33)</f>
        <v>3989.2170000000001</v>
      </c>
      <c r="J38" s="2606">
        <f>SUM('Тариф вода 2016-2018 ПЛАН'!J33)</f>
        <v>3771</v>
      </c>
      <c r="K38" s="2606">
        <f>SUM('Тариф вода 2016-2018 ПЛАН'!K33)</f>
        <v>3600</v>
      </c>
      <c r="L38" s="2606">
        <f>SUM('Тариф вода 2016-2018 ПЛАН'!L33)</f>
        <v>1851.08</v>
      </c>
      <c r="M38" s="2606">
        <f>SUM('Тариф вода 2016-2018 ПЛАН'!M33)</f>
        <v>2706.9900000000002</v>
      </c>
      <c r="N38" s="2606">
        <f>SUM('Тариф вода 2016-2018 ПЛАН'!N33)</f>
        <v>3600</v>
      </c>
      <c r="O38" s="2641">
        <f>SUM(объемы!AD49-объемы!AD51)</f>
        <v>3771</v>
      </c>
      <c r="P38" s="2921">
        <f>SUM('Тариф вода 2016-2018 ПЛАН'!P33)</f>
        <v>3700</v>
      </c>
      <c r="Q38" s="2921">
        <f>SUM('Тариф вода 2016-2018 ПЛАН'!Q33)</f>
        <v>3600</v>
      </c>
      <c r="R38" s="2658"/>
    </row>
    <row r="39" spans="1:18" ht="21.75" customHeight="1">
      <c r="A39" s="2549" t="s">
        <v>196</v>
      </c>
      <c r="B39" s="2609" t="s">
        <v>1603</v>
      </c>
      <c r="C39" s="2549" t="s">
        <v>953</v>
      </c>
      <c r="D39" s="2635">
        <f>SUM(объемы!K50)</f>
        <v>2445.422</v>
      </c>
      <c r="E39" s="2635">
        <f>SUM(объемы!R50)</f>
        <v>2377.86</v>
      </c>
      <c r="F39" s="2551">
        <f>SUM('Тариф вода 2016-2018 ПЛАН'!F34+'Тариф тех.вода 2016-2018 ПЛАН'!F34)</f>
        <v>1171.8399999999999</v>
      </c>
      <c r="G39" s="2551">
        <f>SUM('Тариф вода 2016-2018 ПЛАН'!G34+'Тариф тех.вода 2016-2018 ПЛАН'!G34)</f>
        <v>1744.17</v>
      </c>
      <c r="H39" s="2551">
        <f>SUM('Тариф вода 2016-2018 ПЛАН'!H34+'Тариф тех.вода 2016-2018 ПЛАН'!H34)</f>
        <v>2311.15</v>
      </c>
      <c r="I39" s="2551">
        <f>SUM('Тариф вода 2016-2018 ПЛАН'!I34+'Тариф тех.вода 2016-2018 ПЛАН'!I34)</f>
        <v>2428.56</v>
      </c>
      <c r="J39" s="2551">
        <f>SUM('Тариф вода 2016-2018 ПЛАН'!J34+'Тариф тех.вода 2016-2018 ПЛАН'!J34)</f>
        <v>2380</v>
      </c>
      <c r="K39" s="2551">
        <f>SUM('Тариф вода 2016-2018 ПЛАН'!K34+'Тариф тех.вода 2016-2018 ПЛАН'!K34)</f>
        <v>2360</v>
      </c>
      <c r="L39" s="2551">
        <f>SUM('Тариф вода 2016-2018 ПЛАН'!L34+'Тариф тех.вода 2016-2018 ПЛАН'!L34)</f>
        <v>0</v>
      </c>
      <c r="M39" s="2551">
        <f>SUM('Тариф вода 2016-2018 ПЛАН'!M34+'Тариф тех.вода 2016-2018 ПЛАН'!M34)</f>
        <v>0</v>
      </c>
      <c r="N39" s="2551">
        <f>SUM('Тариф вода 2016-2018 ПЛАН'!N34+'Тариф тех.вода 2016-2018 ПЛАН'!N34)</f>
        <v>0</v>
      </c>
      <c r="O39" s="2641">
        <f>SUM(объемы!AD50)</f>
        <v>2380</v>
      </c>
      <c r="P39" s="2921">
        <f>SUM('Тариф вода 2016-2018 ПЛАН'!P34)</f>
        <v>2360</v>
      </c>
      <c r="Q39" s="2921">
        <f>SUM('Тариф вода 2016-2018 ПЛАН'!Q34)</f>
        <v>2360</v>
      </c>
      <c r="R39" s="2653"/>
    </row>
    <row r="40" spans="1:18" ht="21.75" customHeight="1">
      <c r="A40" s="2604"/>
      <c r="B40" s="2567" t="s">
        <v>1602</v>
      </c>
      <c r="C40" s="2549" t="s">
        <v>953</v>
      </c>
      <c r="D40" s="2635">
        <f>SUM(объемы!K51)</f>
        <v>46.13</v>
      </c>
      <c r="E40" s="2635">
        <f>SUM(объемы!S51)</f>
        <v>18.22</v>
      </c>
      <c r="F40" s="2606">
        <f>SUM('Тариф тех.вода 2016-2018 ПЛАН'!F33)</f>
        <v>1.47</v>
      </c>
      <c r="G40" s="2606">
        <f>SUM('Тариф тех.вода 2016-2018 ПЛАН'!G33)</f>
        <v>1.95</v>
      </c>
      <c r="H40" s="2606">
        <f>SUM('Тариф тех.вода 2016-2018 ПЛАН'!H33)</f>
        <v>2.4</v>
      </c>
      <c r="I40" s="2606">
        <f>SUM('Тариф тех.вода 2016-2018 ПЛАН'!I33)</f>
        <v>21.419999999999998</v>
      </c>
      <c r="J40" s="2606">
        <f>SUM('Тариф тех.вода 2016-2018 ПЛАН'!J33)</f>
        <v>20.349</v>
      </c>
      <c r="K40" s="2606">
        <f>SUM('Тариф тех.вода 2016-2018 ПЛАН'!K33)</f>
        <v>21.42</v>
      </c>
      <c r="L40" s="2606">
        <f>SUM('Тариф тех.вода 2016-2018 ПЛАН'!L33)</f>
        <v>1.08</v>
      </c>
      <c r="M40" s="2606">
        <f>SUM('Тариф тех.вода 2016-2018 ПЛАН'!M33)</f>
        <v>1.39</v>
      </c>
      <c r="N40" s="2606">
        <f>SUM('Тариф тех.вода 2016-2018 ПЛАН'!N33)</f>
        <v>1.85</v>
      </c>
      <c r="O40" s="2641">
        <f>SUM(объемы!AD51)</f>
        <v>18</v>
      </c>
      <c r="P40" s="2921">
        <f>SUM('Тариф тех.вода 2016-2018 ПЛАН'!P33)</f>
        <v>20</v>
      </c>
      <c r="Q40" s="2921">
        <f>SUM('Тариф тех.вода 2016-2018 ПЛАН'!Q33)</f>
        <v>21.42</v>
      </c>
      <c r="R40" s="2658"/>
    </row>
    <row r="41" spans="1:18" ht="21.75" customHeight="1">
      <c r="A41" s="2568" t="s">
        <v>955</v>
      </c>
      <c r="B41" s="2569" t="s">
        <v>956</v>
      </c>
      <c r="C41" s="2568" t="s">
        <v>957</v>
      </c>
      <c r="D41" s="2570">
        <f t="shared" ref="D41:P41" si="20">D9/D37</f>
        <v>30.616106101078081</v>
      </c>
      <c r="E41" s="2570">
        <f t="shared" si="20"/>
        <v>30.741139873347407</v>
      </c>
      <c r="F41" s="2570">
        <f t="shared" si="20"/>
        <v>32.343714019889603</v>
      </c>
      <c r="G41" s="2570">
        <f t="shared" si="20"/>
        <v>33.440972508335435</v>
      </c>
      <c r="H41" s="2570">
        <f t="shared" si="20"/>
        <v>33.787239754086876</v>
      </c>
      <c r="I41" s="2570">
        <f t="shared" si="20"/>
        <v>32.377785017100209</v>
      </c>
      <c r="J41" s="2570">
        <f t="shared" si="20"/>
        <v>34.782350513961674</v>
      </c>
      <c r="K41" s="2570">
        <f t="shared" si="20"/>
        <v>35.9041314199225</v>
      </c>
      <c r="L41" s="2570">
        <f t="shared" ref="L41:M41" si="21">L9/L37</f>
        <v>35.524086472011064</v>
      </c>
      <c r="M41" s="2570">
        <f t="shared" si="21"/>
        <v>37.326816768695672</v>
      </c>
      <c r="N41" s="2570">
        <f t="shared" ref="N41" si="22">N9/N37</f>
        <v>37.447783526803562</v>
      </c>
      <c r="O41" s="2570">
        <f t="shared" si="20"/>
        <v>38.791703905666324</v>
      </c>
      <c r="P41" s="2570">
        <f t="shared" si="20"/>
        <v>38.198862493040636</v>
      </c>
      <c r="Q41" s="2570">
        <f>Q34/Q37</f>
        <v>36.398113410498873</v>
      </c>
      <c r="R41" s="2652"/>
    </row>
    <row r="42" spans="1:18" ht="21.75" customHeight="1">
      <c r="A42" s="2600" t="s">
        <v>1604</v>
      </c>
      <c r="B42" s="2601" t="s">
        <v>1598</v>
      </c>
      <c r="C42" s="2568" t="s">
        <v>957</v>
      </c>
      <c r="D42" s="2602">
        <f t="shared" ref="D42:I42" si="23">SUM(D10/D38)</f>
        <v>30.751790677605754</v>
      </c>
      <c r="E42" s="2602">
        <f t="shared" si="23"/>
        <v>30.808213503641046</v>
      </c>
      <c r="F42" s="2602">
        <f t="shared" si="23"/>
        <v>32.356303273184714</v>
      </c>
      <c r="G42" s="2602">
        <f t="shared" si="23"/>
        <v>33.452676674946538</v>
      </c>
      <c r="H42" s="2602">
        <f t="shared" si="23"/>
        <v>33.798216580169722</v>
      </c>
      <c r="I42" s="2602">
        <f t="shared" si="23"/>
        <v>32.620579186703033</v>
      </c>
      <c r="J42" s="2602">
        <f t="shared" ref="J42:K42" si="24">SUM(J10/J38)</f>
        <v>34.878323236627686</v>
      </c>
      <c r="K42" s="2602">
        <f t="shared" si="24"/>
        <v>36.016106495391021</v>
      </c>
      <c r="L42" s="2602">
        <f t="shared" ref="L42:M42" si="25">SUM(L10/L38)</f>
        <v>35.535392658069696</v>
      </c>
      <c r="M42" s="2602">
        <f t="shared" si="25"/>
        <v>37.337322299178041</v>
      </c>
      <c r="N42" s="2602">
        <f t="shared" ref="N42" si="26">SUM(N10/N38)</f>
        <v>37.458275693766026</v>
      </c>
      <c r="O42" s="2602">
        <f>SUM(O10/O38)</f>
        <v>38.875247416584152</v>
      </c>
      <c r="P42" s="2602">
        <f>SUM(P10/P38)</f>
        <v>38.301100241977373</v>
      </c>
      <c r="Q42" s="2602">
        <f>SUM(Q35/Q38)</f>
        <v>36.443067773590762</v>
      </c>
      <c r="R42" s="2659"/>
    </row>
    <row r="43" spans="1:18" ht="21.75" customHeight="1">
      <c r="A43" s="2568"/>
      <c r="B43" s="2571" t="s">
        <v>958</v>
      </c>
      <c r="C43" s="2568" t="s">
        <v>957</v>
      </c>
      <c r="D43" s="2638">
        <f>SUM(вода!AN105)</f>
        <v>30</v>
      </c>
      <c r="E43" s="2638"/>
      <c r="F43" s="2570"/>
      <c r="G43" s="2570"/>
      <c r="H43" s="2570"/>
      <c r="I43" s="2570">
        <f>вода!BI105</f>
        <v>31.52</v>
      </c>
      <c r="J43" s="2570">
        <f>I44</f>
        <v>33.72115837340607</v>
      </c>
      <c r="K43" s="2570">
        <f>J44</f>
        <v>36.034488099849305</v>
      </c>
      <c r="L43" s="2570"/>
      <c r="M43" s="2570"/>
      <c r="N43" s="2570"/>
      <c r="O43" s="2638">
        <f>SUM(I44)</f>
        <v>33.72115837340607</v>
      </c>
      <c r="P43" s="2926">
        <f>SUM(J44)</f>
        <v>36.034488099849305</v>
      </c>
      <c r="Q43" s="2926">
        <f>SUM(J44)</f>
        <v>36.034488099849305</v>
      </c>
      <c r="R43" s="2652"/>
    </row>
    <row r="44" spans="1:18" ht="21.75" customHeight="1">
      <c r="A44" s="2568"/>
      <c r="B44" s="2571" t="s">
        <v>959</v>
      </c>
      <c r="C44" s="2568" t="s">
        <v>957</v>
      </c>
      <c r="D44" s="2638">
        <f>SUM(вода!AO105)</f>
        <v>31.503581355211512</v>
      </c>
      <c r="E44" s="2638"/>
      <c r="F44" s="2570"/>
      <c r="G44" s="2570"/>
      <c r="H44" s="2570"/>
      <c r="I44" s="2570">
        <f>I42*2-I43</f>
        <v>33.72115837340607</v>
      </c>
      <c r="J44" s="2570">
        <f>J42*2-J43-0.001</f>
        <v>36.034488099849305</v>
      </c>
      <c r="K44" s="2570">
        <f t="shared" ref="K44:P44" si="27">K42*2-K43</f>
        <v>35.997724890932737</v>
      </c>
      <c r="L44" s="2570"/>
      <c r="M44" s="2570"/>
      <c r="N44" s="2570"/>
      <c r="O44" s="2570">
        <f t="shared" si="27"/>
        <v>44.029336459762234</v>
      </c>
      <c r="P44" s="2570">
        <f t="shared" si="27"/>
        <v>40.567712384105441</v>
      </c>
      <c r="Q44" s="2570">
        <f t="shared" ref="Q44" si="28">Q42*2-Q43</f>
        <v>36.851647447332219</v>
      </c>
      <c r="R44" s="2652"/>
    </row>
    <row r="45" spans="1:18" ht="21.75" customHeight="1">
      <c r="A45" s="2568"/>
      <c r="B45" s="2569" t="s">
        <v>960</v>
      </c>
      <c r="C45" s="2568"/>
      <c r="D45" s="2600"/>
      <c r="E45" s="2600"/>
      <c r="F45" s="2570"/>
      <c r="G45" s="2570"/>
      <c r="H45" s="2570"/>
      <c r="I45" s="2570"/>
      <c r="J45" s="2570"/>
      <c r="K45" s="2570"/>
      <c r="L45" s="2570"/>
      <c r="M45" s="2570"/>
      <c r="N45" s="2570"/>
      <c r="O45" s="2600"/>
      <c r="P45" s="2926"/>
      <c r="Q45" s="2926"/>
      <c r="R45" s="2652"/>
    </row>
    <row r="46" spans="1:18" ht="21.75" customHeight="1">
      <c r="A46" s="2568"/>
      <c r="B46" s="2571" t="s">
        <v>958</v>
      </c>
      <c r="C46" s="2568" t="s">
        <v>44</v>
      </c>
      <c r="D46" s="2570">
        <f>D43/30*100</f>
        <v>100</v>
      </c>
      <c r="E46" s="2570"/>
      <c r="F46" s="2570"/>
      <c r="G46" s="2570"/>
      <c r="H46" s="2570"/>
      <c r="I46" s="2570">
        <f>I43/31.52*100</f>
        <v>100</v>
      </c>
      <c r="J46" s="2570">
        <f>J43/I44*100</f>
        <v>100</v>
      </c>
      <c r="K46" s="2570">
        <f>K43/J44*100</f>
        <v>100</v>
      </c>
      <c r="L46" s="2570"/>
      <c r="M46" s="2570"/>
      <c r="N46" s="2570"/>
      <c r="O46" s="2570">
        <f>O43/I44*100</f>
        <v>100</v>
      </c>
      <c r="P46" s="2570">
        <f>P43/J44*100</f>
        <v>100</v>
      </c>
      <c r="Q46" s="2570">
        <f>Q43/J44*100</f>
        <v>100</v>
      </c>
      <c r="R46" s="2652"/>
    </row>
    <row r="47" spans="1:18" ht="21.75" customHeight="1">
      <c r="A47" s="2568"/>
      <c r="B47" s="2571" t="s">
        <v>959</v>
      </c>
      <c r="C47" s="2568" t="s">
        <v>44</v>
      </c>
      <c r="D47" s="2570">
        <f>D44/D43*100</f>
        <v>105.01193785070504</v>
      </c>
      <c r="E47" s="2570"/>
      <c r="F47" s="2570"/>
      <c r="G47" s="2570"/>
      <c r="H47" s="2570"/>
      <c r="I47" s="2570">
        <f t="shared" ref="I47:P47" si="29">I44/I43*100</f>
        <v>106.98337047400403</v>
      </c>
      <c r="J47" s="2570">
        <f t="shared" si="29"/>
        <v>106.86017277587838</v>
      </c>
      <c r="K47" s="2570">
        <f t="shared" si="29"/>
        <v>99.897977712865796</v>
      </c>
      <c r="L47" s="2570"/>
      <c r="M47" s="2570"/>
      <c r="N47" s="2570"/>
      <c r="O47" s="2570">
        <f t="shared" si="29"/>
        <v>130.56887302686977</v>
      </c>
      <c r="P47" s="2570">
        <f t="shared" si="29"/>
        <v>112.58023777580759</v>
      </c>
      <c r="Q47" s="2570">
        <f t="shared" ref="Q47" si="30">Q44/Q43*100</f>
        <v>102.26771459946542</v>
      </c>
      <c r="R47" s="2652"/>
    </row>
    <row r="48" spans="1:18" ht="21.75" customHeight="1">
      <c r="A48" s="2600" t="s">
        <v>1605</v>
      </c>
      <c r="B48" s="2601" t="s">
        <v>1607</v>
      </c>
      <c r="C48" s="2568" t="s">
        <v>957</v>
      </c>
      <c r="D48" s="2602">
        <f t="shared" ref="D48:P48" si="31">SUM(D11/D40)</f>
        <v>18.832255062588704</v>
      </c>
      <c r="E48" s="2602">
        <f t="shared" si="31"/>
        <v>16.891281921057278</v>
      </c>
      <c r="F48" s="2602">
        <f t="shared" si="31"/>
        <v>16.747684575542802</v>
      </c>
      <c r="G48" s="2602">
        <f t="shared" si="31"/>
        <v>17.420189208311577</v>
      </c>
      <c r="H48" s="2602">
        <f t="shared" si="31"/>
        <v>17.475950615624932</v>
      </c>
      <c r="I48" s="2602">
        <f t="shared" si="31"/>
        <v>16.058988150598474</v>
      </c>
      <c r="J48" s="2602">
        <f t="shared" si="31"/>
        <v>16.997047198144575</v>
      </c>
      <c r="K48" s="2602">
        <f t="shared" si="31"/>
        <v>17.084791005044849</v>
      </c>
      <c r="L48" s="2602">
        <f t="shared" ref="L48:M48" si="32">SUM(L11/L40)</f>
        <v>16.145702315134223</v>
      </c>
      <c r="M48" s="2602">
        <f t="shared" si="32"/>
        <v>16.867560682028621</v>
      </c>
      <c r="N48" s="2602">
        <f t="shared" ref="N48" si="33">SUM(N11/N40)</f>
        <v>17.030593762015993</v>
      </c>
      <c r="O48" s="2602">
        <f t="shared" si="31"/>
        <v>21.28933836838268</v>
      </c>
      <c r="P48" s="2602">
        <f t="shared" si="31"/>
        <v>19.284878939743766</v>
      </c>
      <c r="Q48" s="2602">
        <f>SUM(Q36/Q40)</f>
        <v>28.842758269006644</v>
      </c>
      <c r="R48" s="2659"/>
    </row>
    <row r="49" spans="1:18" ht="21.75" customHeight="1">
      <c r="A49" s="2568"/>
      <c r="B49" s="2571" t="s">
        <v>958</v>
      </c>
      <c r="C49" s="2568" t="s">
        <v>957</v>
      </c>
      <c r="D49" s="2637">
        <f>SUM('расчет тарифов '!F9)</f>
        <v>18.420000000000002</v>
      </c>
      <c r="E49" s="2637"/>
      <c r="F49" s="2570"/>
      <c r="G49" s="2570"/>
      <c r="H49" s="2570"/>
      <c r="I49" s="2570">
        <v>16.059999999999999</v>
      </c>
      <c r="J49" s="2570">
        <f>I50</f>
        <v>16.057976301196948</v>
      </c>
      <c r="K49" s="2570">
        <f>J50</f>
        <v>17.933118095092201</v>
      </c>
      <c r="L49" s="2570"/>
      <c r="M49" s="2570"/>
      <c r="N49" s="2570"/>
      <c r="O49" s="2637">
        <f>SUM(I50)</f>
        <v>16.057976301196948</v>
      </c>
      <c r="P49" s="2637">
        <f>SUM(J50)</f>
        <v>17.933118095092201</v>
      </c>
      <c r="Q49" s="2637">
        <f>SUM(J50)</f>
        <v>17.933118095092201</v>
      </c>
      <c r="R49" s="2652"/>
    </row>
    <row r="50" spans="1:18" ht="21.75" customHeight="1">
      <c r="A50" s="2568"/>
      <c r="B50" s="2571" t="s">
        <v>959</v>
      </c>
      <c r="C50" s="2568" t="s">
        <v>957</v>
      </c>
      <c r="D50" s="2637">
        <f>SUM('расчет тарифов '!K9)</f>
        <v>20.11</v>
      </c>
      <c r="E50" s="2637"/>
      <c r="F50" s="2570"/>
      <c r="G50" s="2570"/>
      <c r="H50" s="2570"/>
      <c r="I50" s="2570">
        <f>I48*2-I49</f>
        <v>16.057976301196948</v>
      </c>
      <c r="J50" s="2570">
        <f>J48*2-J49-0.003</f>
        <v>17.933118095092201</v>
      </c>
      <c r="K50" s="2570">
        <f t="shared" ref="K50:O50" si="34">K48*2-K49</f>
        <v>16.236463914997497</v>
      </c>
      <c r="L50" s="2570"/>
      <c r="M50" s="2570"/>
      <c r="N50" s="2570"/>
      <c r="O50" s="2570">
        <f t="shared" si="34"/>
        <v>26.520700435568411</v>
      </c>
      <c r="P50" s="2570">
        <f t="shared" ref="P50:Q50" si="35">P48*2-P49</f>
        <v>20.636639784395332</v>
      </c>
      <c r="Q50" s="2570">
        <f t="shared" si="35"/>
        <v>39.752398442921091</v>
      </c>
      <c r="R50" s="2652"/>
    </row>
    <row r="51" spans="1:18" ht="21.75" customHeight="1">
      <c r="A51" s="2568"/>
      <c r="B51" s="2569" t="s">
        <v>960</v>
      </c>
      <c r="C51" s="2568"/>
      <c r="D51" s="2600"/>
      <c r="E51" s="2600"/>
      <c r="F51" s="2570"/>
      <c r="G51" s="2570"/>
      <c r="H51" s="2570"/>
      <c r="I51" s="2570"/>
      <c r="J51" s="2570"/>
      <c r="K51" s="2570"/>
      <c r="L51" s="2570"/>
      <c r="M51" s="2570"/>
      <c r="N51" s="2570"/>
      <c r="O51" s="2600"/>
      <c r="P51" s="2926"/>
      <c r="Q51" s="2926"/>
      <c r="R51" s="2652"/>
    </row>
    <row r="52" spans="1:18" ht="21.75" customHeight="1">
      <c r="A52" s="2568"/>
      <c r="B52" s="2571" t="s">
        <v>958</v>
      </c>
      <c r="C52" s="2568" t="s">
        <v>44</v>
      </c>
      <c r="D52" s="2639">
        <v>100</v>
      </c>
      <c r="E52" s="2639"/>
      <c r="F52" s="2570"/>
      <c r="G52" s="2570"/>
      <c r="H52" s="2570"/>
      <c r="I52" s="2570">
        <v>100</v>
      </c>
      <c r="J52" s="2570">
        <f>J49/I50*100</f>
        <v>100</v>
      </c>
      <c r="K52" s="2570">
        <f>K49/J50*100</f>
        <v>100</v>
      </c>
      <c r="L52" s="2570"/>
      <c r="M52" s="2570"/>
      <c r="N52" s="2570"/>
      <c r="O52" s="2639">
        <v>100</v>
      </c>
      <c r="P52" s="2570">
        <f>P49/J50*100</f>
        <v>100</v>
      </c>
      <c r="Q52" s="2570">
        <f>Q49/J50*100</f>
        <v>100</v>
      </c>
      <c r="R52" s="2652"/>
    </row>
    <row r="53" spans="1:18" ht="21.75" customHeight="1">
      <c r="A53" s="2568"/>
      <c r="B53" s="2571" t="s">
        <v>959</v>
      </c>
      <c r="C53" s="2568" t="s">
        <v>44</v>
      </c>
      <c r="D53" s="2570">
        <f>D50/D49*100</f>
        <v>109.17480998914222</v>
      </c>
      <c r="E53" s="2570"/>
      <c r="F53" s="2570"/>
      <c r="G53" s="2570"/>
      <c r="H53" s="2570"/>
      <c r="I53" s="2570">
        <f t="shared" ref="I53:P53" si="36">I50/I49*100</f>
        <v>99.987399135721972</v>
      </c>
      <c r="J53" s="2570">
        <f t="shared" si="36"/>
        <v>111.67732321136556</v>
      </c>
      <c r="K53" s="2570">
        <f t="shared" si="36"/>
        <v>90.538989532673455</v>
      </c>
      <c r="L53" s="2570"/>
      <c r="M53" s="2570"/>
      <c r="N53" s="2570"/>
      <c r="O53" s="2570">
        <f t="shared" si="36"/>
        <v>165.15593209333346</v>
      </c>
      <c r="P53" s="2570">
        <f t="shared" si="36"/>
        <v>115.07558069359398</v>
      </c>
      <c r="Q53" s="2570">
        <f t="shared" ref="Q53" si="37">Q50/Q49*100</f>
        <v>221.67030982637775</v>
      </c>
      <c r="R53" s="2652"/>
    </row>
    <row r="54" spans="1:18" ht="15">
      <c r="A54" s="2572"/>
      <c r="B54" s="2573"/>
      <c r="C54" s="2574"/>
      <c r="D54" s="2574"/>
      <c r="E54" s="2574"/>
      <c r="F54" s="2574"/>
      <c r="G54" s="2574"/>
      <c r="H54" s="2574"/>
      <c r="I54" s="2574"/>
      <c r="J54" s="2574"/>
      <c r="K54" s="2574"/>
      <c r="L54" s="2574"/>
      <c r="M54" s="2574"/>
      <c r="N54" s="2574"/>
      <c r="O54" s="2574"/>
      <c r="P54" s="2574"/>
      <c r="Q54" s="2574"/>
      <c r="R54" s="2660"/>
    </row>
    <row r="55" spans="1:18" ht="21.75" customHeight="1">
      <c r="A55" s="2576" t="s">
        <v>961</v>
      </c>
      <c r="B55" s="2577" t="s">
        <v>1606</v>
      </c>
      <c r="C55" s="2578"/>
      <c r="D55" s="2612"/>
      <c r="E55" s="2612"/>
      <c r="F55" s="2593"/>
      <c r="G55" s="2593"/>
      <c r="H55" s="2593"/>
      <c r="I55" s="2593"/>
      <c r="J55" s="2593"/>
      <c r="K55" s="2593"/>
      <c r="L55" s="2593"/>
      <c r="M55" s="2593"/>
      <c r="N55" s="2593"/>
      <c r="O55" s="2612"/>
      <c r="P55" s="2930"/>
      <c r="Q55" s="2930"/>
      <c r="R55" s="2661"/>
    </row>
    <row r="56" spans="1:18" ht="21.75" customHeight="1">
      <c r="A56" s="2578"/>
      <c r="B56" s="2579" t="s">
        <v>958</v>
      </c>
      <c r="C56" s="2580" t="s">
        <v>963</v>
      </c>
      <c r="D56" s="2640">
        <v>22.66</v>
      </c>
      <c r="E56" s="2640"/>
      <c r="F56" s="2619"/>
      <c r="G56" s="2619"/>
      <c r="H56" s="2619"/>
      <c r="I56" s="2619">
        <v>25.95</v>
      </c>
      <c r="J56" s="2595">
        <f>I57</f>
        <v>27.796610169491526</v>
      </c>
      <c r="K56" s="2595">
        <f>J57</f>
        <v>28.96</v>
      </c>
      <c r="L56" s="2595"/>
      <c r="M56" s="2595"/>
      <c r="N56" s="2595"/>
      <c r="O56" s="2936">
        <f>SUM(I57)</f>
        <v>27.796610169491526</v>
      </c>
      <c r="P56" s="2936">
        <f>SUM(J57)</f>
        <v>28.96</v>
      </c>
      <c r="Q56" s="2936">
        <f>SUM(J57)</f>
        <v>28.96</v>
      </c>
      <c r="R56" s="2661"/>
    </row>
    <row r="57" spans="1:18" ht="21.75" customHeight="1">
      <c r="A57" s="2578"/>
      <c r="B57" s="2579" t="s">
        <v>959</v>
      </c>
      <c r="C57" s="2580" t="s">
        <v>963</v>
      </c>
      <c r="D57" s="2640">
        <v>25.95</v>
      </c>
      <c r="E57" s="2640"/>
      <c r="F57" s="2595"/>
      <c r="G57" s="2595"/>
      <c r="H57" s="2595"/>
      <c r="I57" s="2595">
        <f>32.8/1.18</f>
        <v>27.796610169491526</v>
      </c>
      <c r="J57" s="2595">
        <v>28.96</v>
      </c>
      <c r="K57" s="2595">
        <v>31.86</v>
      </c>
      <c r="L57" s="2595"/>
      <c r="M57" s="2595"/>
      <c r="N57" s="2595"/>
      <c r="O57" s="2936">
        <f>SUM(O56*1.2)</f>
        <v>33.355932203389827</v>
      </c>
      <c r="P57" s="2936">
        <v>31.86</v>
      </c>
      <c r="Q57" s="2936">
        <v>30.3</v>
      </c>
      <c r="R57" s="2661"/>
    </row>
    <row r="58" spans="1:18" ht="21.75" customHeight="1">
      <c r="A58" s="2578"/>
      <c r="B58" s="2579" t="s">
        <v>363</v>
      </c>
      <c r="C58" s="2580" t="s">
        <v>44</v>
      </c>
      <c r="D58" s="2594">
        <f>D57/D56*100</f>
        <v>114.51897616946161</v>
      </c>
      <c r="E58" s="2594"/>
      <c r="F58" s="2594"/>
      <c r="G58" s="2594"/>
      <c r="H58" s="2594"/>
      <c r="I58" s="2594">
        <f t="shared" ref="I58:P58" si="38">I57/I56*100</f>
        <v>107.11603148166292</v>
      </c>
      <c r="J58" s="2594">
        <f t="shared" si="38"/>
        <v>104.18536585365854</v>
      </c>
      <c r="K58" s="2594">
        <f t="shared" si="38"/>
        <v>110.01381215469613</v>
      </c>
      <c r="L58" s="2594"/>
      <c r="M58" s="2594"/>
      <c r="N58" s="2594"/>
      <c r="O58" s="2594">
        <f t="shared" si="38"/>
        <v>120</v>
      </c>
      <c r="P58" s="2594">
        <f t="shared" si="38"/>
        <v>110.01381215469613</v>
      </c>
      <c r="Q58" s="2594">
        <f t="shared" ref="Q58" si="39">Q57/Q56*100</f>
        <v>104.6270718232044</v>
      </c>
      <c r="R58" s="2661"/>
    </row>
    <row r="59" spans="1:18" ht="21.75" customHeight="1">
      <c r="A59" s="2578"/>
      <c r="B59" s="2577" t="s">
        <v>964</v>
      </c>
      <c r="C59" s="2580" t="s">
        <v>918</v>
      </c>
      <c r="D59" s="2594">
        <f>(D43-D56)*D39/2+(D44-D57)*D39/2</f>
        <v>15765.123752412024</v>
      </c>
      <c r="E59" s="2594"/>
      <c r="F59" s="2594"/>
      <c r="G59" s="2594"/>
      <c r="H59" s="2594"/>
      <c r="I59" s="2594">
        <f t="shared" ref="I59:P59" si="40">(I43-I56)*I39/2+(I44-I57)*I39/2</f>
        <v>13957.599993049353</v>
      </c>
      <c r="J59" s="2594">
        <f t="shared" si="40"/>
        <v>15468.85320147898</v>
      </c>
      <c r="K59" s="2594">
        <f t="shared" si="40"/>
        <v>13230.41132912281</v>
      </c>
      <c r="L59" s="2594"/>
      <c r="M59" s="2594"/>
      <c r="N59" s="2594"/>
      <c r="O59" s="2594">
        <f t="shared" si="40"/>
        <v>19751.563427741472</v>
      </c>
      <c r="P59" s="2594">
        <f t="shared" si="40"/>
        <v>18622.9965710666</v>
      </c>
      <c r="Q59" s="2594">
        <f t="shared" ref="Q59" si="41">(Q43-Q56)*Q39/2+(Q44-Q57)*Q39/2</f>
        <v>16078.839945674197</v>
      </c>
      <c r="R59" s="2661"/>
    </row>
  </sheetData>
  <mergeCells count="22">
    <mergeCell ref="L6:L8"/>
    <mergeCell ref="M6:M8"/>
    <mergeCell ref="N6:N8"/>
    <mergeCell ref="G6:G8"/>
    <mergeCell ref="H6:H8"/>
    <mergeCell ref="I6:I8"/>
    <mergeCell ref="C6:C8"/>
    <mergeCell ref="E6:E8"/>
    <mergeCell ref="F6:F8"/>
    <mergeCell ref="D6:D8"/>
    <mergeCell ref="A1:R1"/>
    <mergeCell ref="A2:R2"/>
    <mergeCell ref="A4:A5"/>
    <mergeCell ref="B4:B5"/>
    <mergeCell ref="C4:C5"/>
    <mergeCell ref="E4:E5"/>
    <mergeCell ref="I4:K4"/>
    <mergeCell ref="R4:R5"/>
    <mergeCell ref="D4:D5"/>
    <mergeCell ref="O4:P4"/>
    <mergeCell ref="F4:H5"/>
    <mergeCell ref="L4:N4"/>
  </mergeCells>
  <printOptions horizontalCentered="1" verticalCentered="1"/>
  <pageMargins left="0.11811023622047245" right="0.11811023622047245" top="0.15748031496062992" bottom="0.15748031496062992" header="0.31496062992125984" footer="0.31496062992125984"/>
  <pageSetup paperSize="9" scale="39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00B0F0"/>
    <pageSetUpPr fitToPage="1"/>
  </sheetPr>
  <dimension ref="A1:R46"/>
  <sheetViews>
    <sheetView zoomScale="98" zoomScaleNormal="98" workbookViewId="0">
      <pane xSplit="2" ySplit="5" topLeftCell="O31" activePane="bottomRight" state="frozen"/>
      <selection pane="topRight" activeCell="C1" sqref="C1"/>
      <selection pane="bottomLeft" activeCell="A6" sqref="A6"/>
      <selection pane="bottomRight" activeCell="Q29" sqref="Q29"/>
    </sheetView>
  </sheetViews>
  <sheetFormatPr defaultRowHeight="12.75"/>
  <cols>
    <col min="1" max="1" width="9.85546875" customWidth="1"/>
    <col min="2" max="2" width="81.85546875" customWidth="1"/>
    <col min="3" max="5" width="12.85546875" customWidth="1"/>
    <col min="6" max="7" width="12.85546875" hidden="1" customWidth="1"/>
    <col min="8" max="14" width="12.85546875" customWidth="1"/>
    <col min="15" max="16" width="14" customWidth="1"/>
    <col min="17" max="17" width="16" customWidth="1"/>
    <col min="18" max="18" width="38.140625" customWidth="1"/>
  </cols>
  <sheetData>
    <row r="1" spans="1:18" ht="15">
      <c r="A1" s="5020" t="s">
        <v>1529</v>
      </c>
      <c r="B1" s="5021"/>
      <c r="C1" s="5021"/>
      <c r="D1" s="5021"/>
      <c r="E1" s="5021"/>
      <c r="F1" s="5021"/>
      <c r="G1" s="5021"/>
      <c r="H1" s="5021"/>
      <c r="I1" s="5021"/>
      <c r="J1" s="5021"/>
      <c r="K1" s="5021"/>
      <c r="L1" s="5021"/>
      <c r="M1" s="5021"/>
      <c r="N1" s="5021"/>
      <c r="O1" s="5021"/>
      <c r="P1" s="5021"/>
      <c r="Q1" s="5021"/>
      <c r="R1" s="5021"/>
    </row>
    <row r="2" spans="1:18" ht="18.75">
      <c r="A2" s="5022" t="s">
        <v>1522</v>
      </c>
      <c r="B2" s="5022"/>
      <c r="C2" s="5022"/>
      <c r="D2" s="5022"/>
      <c r="E2" s="5022"/>
      <c r="F2" s="5022"/>
      <c r="G2" s="5022"/>
      <c r="H2" s="5022"/>
      <c r="I2" s="5022"/>
      <c r="J2" s="5022"/>
      <c r="K2" s="5022"/>
      <c r="L2" s="5022"/>
      <c r="M2" s="5022"/>
      <c r="N2" s="5022"/>
      <c r="O2" s="5022"/>
      <c r="P2" s="5022"/>
      <c r="Q2" s="5022"/>
      <c r="R2" s="5022"/>
    </row>
    <row r="3" spans="1:18" ht="15">
      <c r="A3" s="2598"/>
      <c r="B3" s="2599"/>
      <c r="C3" s="2598"/>
      <c r="D3" s="2598"/>
      <c r="E3" s="2598"/>
      <c r="F3" s="2598"/>
      <c r="G3" s="2598"/>
      <c r="H3" s="2598"/>
      <c r="I3" s="2598"/>
      <c r="J3" s="2598"/>
      <c r="K3" s="2598"/>
      <c r="L3" s="2598"/>
      <c r="M3" s="2598"/>
      <c r="N3" s="2598"/>
      <c r="O3" s="2598"/>
      <c r="P3" s="2598"/>
      <c r="Q3" s="2598"/>
      <c r="R3" s="2598"/>
    </row>
    <row r="4" spans="1:18" ht="48.75" customHeight="1">
      <c r="A4" s="5023" t="s">
        <v>908</v>
      </c>
      <c r="B4" s="5023" t="s">
        <v>373</v>
      </c>
      <c r="C4" s="5023" t="s">
        <v>909</v>
      </c>
      <c r="D4" s="5010" t="s">
        <v>1610</v>
      </c>
      <c r="E4" s="5010" t="s">
        <v>1596</v>
      </c>
      <c r="F4" s="5014" t="s">
        <v>1595</v>
      </c>
      <c r="G4" s="5015"/>
      <c r="H4" s="5016"/>
      <c r="I4" s="5024" t="s">
        <v>392</v>
      </c>
      <c r="J4" s="5025"/>
      <c r="K4" s="5026"/>
      <c r="L4" s="5031" t="s">
        <v>1897</v>
      </c>
      <c r="M4" s="5032"/>
      <c r="N4" s="5033"/>
      <c r="O4" s="5029" t="s">
        <v>1900</v>
      </c>
      <c r="P4" s="5030"/>
      <c r="Q4" s="4436" t="s">
        <v>1901</v>
      </c>
      <c r="R4" s="5027" t="s">
        <v>910</v>
      </c>
    </row>
    <row r="5" spans="1:18" ht="31.5" customHeight="1">
      <c r="A5" s="5023"/>
      <c r="B5" s="5023"/>
      <c r="C5" s="5023"/>
      <c r="D5" s="4903"/>
      <c r="E5" s="4903"/>
      <c r="F5" s="5017"/>
      <c r="G5" s="5018"/>
      <c r="H5" s="5019"/>
      <c r="I5" s="2542" t="s">
        <v>832</v>
      </c>
      <c r="J5" s="2542" t="s">
        <v>911</v>
      </c>
      <c r="K5" s="2542" t="s">
        <v>912</v>
      </c>
      <c r="L5" s="4036" t="s">
        <v>598</v>
      </c>
      <c r="M5" s="4036" t="s">
        <v>229</v>
      </c>
      <c r="N5" s="4036" t="s">
        <v>1899</v>
      </c>
      <c r="O5" s="2929" t="s">
        <v>911</v>
      </c>
      <c r="P5" s="2929" t="s">
        <v>912</v>
      </c>
      <c r="Q5" s="4358" t="s">
        <v>912</v>
      </c>
      <c r="R5" s="5028"/>
    </row>
    <row r="6" spans="1:18" ht="21.75" customHeight="1">
      <c r="A6" s="2543"/>
      <c r="B6" s="2544" t="s">
        <v>913</v>
      </c>
      <c r="C6" s="5036" t="s">
        <v>914</v>
      </c>
      <c r="D6" s="5011" t="s">
        <v>914</v>
      </c>
      <c r="E6" s="5011" t="s">
        <v>914</v>
      </c>
      <c r="F6" s="5011" t="s">
        <v>914</v>
      </c>
      <c r="G6" s="5011" t="s">
        <v>914</v>
      </c>
      <c r="H6" s="5011" t="s">
        <v>914</v>
      </c>
      <c r="I6" s="5011" t="s">
        <v>914</v>
      </c>
      <c r="J6" s="2545">
        <v>0.01</v>
      </c>
      <c r="K6" s="2545">
        <v>0.01</v>
      </c>
      <c r="L6" s="5034" t="s">
        <v>914</v>
      </c>
      <c r="M6" s="5034" t="s">
        <v>914</v>
      </c>
      <c r="N6" s="5034" t="s">
        <v>914</v>
      </c>
      <c r="O6" s="2545"/>
      <c r="P6" s="2545">
        <v>0.01</v>
      </c>
      <c r="Q6" s="2545">
        <v>0.01</v>
      </c>
      <c r="R6" s="2546"/>
    </row>
    <row r="7" spans="1:18" ht="21.75" customHeight="1">
      <c r="A7" s="2543"/>
      <c r="B7" s="2544" t="s">
        <v>915</v>
      </c>
      <c r="C7" s="5037"/>
      <c r="D7" s="5012"/>
      <c r="E7" s="5012"/>
      <c r="F7" s="5012"/>
      <c r="G7" s="5012"/>
      <c r="H7" s="5012"/>
      <c r="I7" s="5012"/>
      <c r="J7" s="2547">
        <v>7.0999999999999994E-2</v>
      </c>
      <c r="K7" s="2547">
        <v>5.8000000000000003E-2</v>
      </c>
      <c r="L7" s="5035"/>
      <c r="M7" s="5035"/>
      <c r="N7" s="5035"/>
      <c r="O7" s="2547"/>
      <c r="P7" s="2547">
        <v>5.8000000000000003E-2</v>
      </c>
      <c r="Q7" s="2547">
        <v>3.6999999999999998E-2</v>
      </c>
      <c r="R7" s="2546"/>
    </row>
    <row r="8" spans="1:18" ht="21.75" customHeight="1">
      <c r="A8" s="2543"/>
      <c r="B8" s="2544" t="s">
        <v>916</v>
      </c>
      <c r="C8" s="5038"/>
      <c r="D8" s="5013"/>
      <c r="E8" s="5013"/>
      <c r="F8" s="5013"/>
      <c r="G8" s="5013"/>
      <c r="H8" s="5013"/>
      <c r="I8" s="5013"/>
      <c r="J8" s="2548">
        <v>0</v>
      </c>
      <c r="K8" s="2548">
        <v>0</v>
      </c>
      <c r="L8" s="4903"/>
      <c r="M8" s="4903"/>
      <c r="N8" s="4903"/>
      <c r="O8" s="2548"/>
      <c r="P8" s="2548">
        <v>0</v>
      </c>
      <c r="Q8" s="2548">
        <v>0</v>
      </c>
      <c r="R8" s="2546"/>
    </row>
    <row r="9" spans="1:18" ht="21.75" customHeight="1">
      <c r="A9" s="2549">
        <v>1</v>
      </c>
      <c r="B9" s="2550" t="s">
        <v>917</v>
      </c>
      <c r="C9" s="2549" t="s">
        <v>918</v>
      </c>
      <c r="D9" s="2551">
        <f t="shared" ref="D9:O9" si="0">D10+D21+D23+D27</f>
        <v>300.90569512808247</v>
      </c>
      <c r="E9" s="2551">
        <f t="shared" si="0"/>
        <v>331.11512110780723</v>
      </c>
      <c r="F9" s="2551">
        <f t="shared" si="0"/>
        <v>161.04102006103977</v>
      </c>
      <c r="G9" s="2551">
        <f t="shared" si="0"/>
        <v>253.69585447067101</v>
      </c>
      <c r="H9" s="2551">
        <f t="shared" si="0"/>
        <v>347.00660684829899</v>
      </c>
      <c r="I9" s="2551">
        <f t="shared" si="0"/>
        <v>265.71743212512052</v>
      </c>
      <c r="J9" s="2551">
        <f t="shared" si="0"/>
        <v>335.23976072043553</v>
      </c>
      <c r="K9" s="2551">
        <f t="shared" si="0"/>
        <v>296.5166048716672</v>
      </c>
      <c r="L9" s="2551">
        <f t="shared" ref="L9:M9" si="1">L10+L21+L23+L27</f>
        <v>149.31683581483804</v>
      </c>
      <c r="M9" s="2551">
        <f t="shared" si="1"/>
        <v>237.52030160576152</v>
      </c>
      <c r="N9" s="2551">
        <f t="shared" ref="N9" si="2">N10+N21+N23+N27</f>
        <v>337.39137953168631</v>
      </c>
      <c r="O9" s="2551">
        <f t="shared" si="0"/>
        <v>355.27523914664215</v>
      </c>
      <c r="P9" s="2551">
        <f t="shared" ref="P9:Q9" si="3">P10+P21+P23+P27</f>
        <v>321.73837981352978</v>
      </c>
      <c r="Q9" s="2551">
        <f t="shared" si="3"/>
        <v>297.19622607925788</v>
      </c>
      <c r="R9" s="2552"/>
    </row>
    <row r="10" spans="1:18" ht="21.75" customHeight="1">
      <c r="A10" s="2553" t="s">
        <v>919</v>
      </c>
      <c r="B10" s="2554" t="s">
        <v>920</v>
      </c>
      <c r="C10" s="2553" t="s">
        <v>918</v>
      </c>
      <c r="D10" s="2555">
        <f t="shared" ref="D10:O10" si="4">D11+D12+D13</f>
        <v>349.08569512808231</v>
      </c>
      <c r="E10" s="2555">
        <f t="shared" si="4"/>
        <v>325.89270524463109</v>
      </c>
      <c r="F10" s="2555">
        <f t="shared" si="4"/>
        <v>159.15642181421367</v>
      </c>
      <c r="G10" s="2555">
        <f t="shared" si="4"/>
        <v>250.7708945164872</v>
      </c>
      <c r="H10" s="2555">
        <f t="shared" si="4"/>
        <v>343.03732865369437</v>
      </c>
      <c r="I10" s="2555">
        <f t="shared" si="4"/>
        <v>260.46529871223726</v>
      </c>
      <c r="J10" s="2555">
        <f t="shared" si="4"/>
        <v>314.15976072043554</v>
      </c>
      <c r="K10" s="2555">
        <f t="shared" si="4"/>
        <v>291.39660487166719</v>
      </c>
      <c r="L10" s="2555">
        <f t="shared" ref="L10:M10" si="5">L11+L12+L13</f>
        <v>147.74428938414854</v>
      </c>
      <c r="M10" s="2555">
        <f t="shared" si="5"/>
        <v>235.08814379157815</v>
      </c>
      <c r="N10" s="2555">
        <f t="shared" ref="N10" si="6">N11+N12+N13</f>
        <v>333.95232576824549</v>
      </c>
      <c r="O10" s="2555">
        <f t="shared" si="4"/>
        <v>333.2408779821526</v>
      </c>
      <c r="P10" s="2555">
        <f t="shared" ref="P10:Q10" si="7">P11+P12+P13</f>
        <v>302.25678832240203</v>
      </c>
      <c r="Q10" s="2555">
        <f t="shared" si="7"/>
        <v>292.07622607925788</v>
      </c>
      <c r="R10" s="2556"/>
    </row>
    <row r="11" spans="1:18" ht="21.75" customHeight="1">
      <c r="A11" s="2557" t="s">
        <v>921</v>
      </c>
      <c r="B11" s="2583" t="s">
        <v>922</v>
      </c>
      <c r="C11" s="2557" t="s">
        <v>918</v>
      </c>
      <c r="D11" s="2559">
        <f>SUM('СТОКИ (СВОД) 2016-2018'!D13-'Тариф стоки 2016-2018 ПЛАН'!D11)</f>
        <v>289.51622723096079</v>
      </c>
      <c r="E11" s="2559">
        <f>SUM('СТОКИ (СВОД) 2016-2018'!E13-'Тариф стоки 2016-2018 ПЛАН'!E11)</f>
        <v>261.36727026900917</v>
      </c>
      <c r="F11" s="2559">
        <f>стоки!BJ80+стоки!BJ81+стоки!BJ82+стоки!BJ83+стоки!BJ84+стоки!BJ86</f>
        <v>123.55732381775022</v>
      </c>
      <c r="G11" s="2559">
        <f>стоки!BM80+стоки!BM81+стоки!BM82+стоки!BM83+стоки!BM84+стоки!BM86</f>
        <v>198.16594098351686</v>
      </c>
      <c r="H11" s="2559">
        <f>стоки!BP80+стоки!BP81+стоки!BP82+стоки!BP83+стоки!BP84+стоки!BP86</f>
        <v>271.1501506129365</v>
      </c>
      <c r="I11" s="2559">
        <f>стоки!BF80+стоки!BF81+стоки!BF82+стоки!BF83+стоки!BF84+стоки!BF86-0.03</f>
        <v>219.71324894173816</v>
      </c>
      <c r="J11" s="2559">
        <f>I11*(1-J6)*(1+J7)*(1+J8)</f>
        <v>232.95976072043553</v>
      </c>
      <c r="K11" s="2559">
        <f>J11*(1-K6)*(1+K7)*(1+K8)</f>
        <v>244.00671257379858</v>
      </c>
      <c r="L11" s="2559">
        <f>стоки!CA80+стоки!CA81+стоки!CA82+стоки!CA83+стоки!CA84+стоки!CA86</f>
        <v>114.83572650997183</v>
      </c>
      <c r="M11" s="2559">
        <f>стоки!CD80+стоки!CD81+стоки!CD82+стоки!CD83+стоки!CD84+стоки!CD86</f>
        <v>183.05176872958782</v>
      </c>
      <c r="N11" s="2559">
        <f>стоки!CG80+стоки!CG81+стоки!CG82+стоки!CG83+стоки!CG84+стоки!CG86</f>
        <v>259.03884189247401</v>
      </c>
      <c r="O11" s="2559">
        <f>SUM('СТОКИ (СВОД) 2016-2018'!O13-'Тариф стоки 2016-2018 ПЛАН'!O11)</f>
        <v>278.99793261146988</v>
      </c>
      <c r="P11" s="2559">
        <f>стоки!CK80+стоки!CK81+стоки!CK82+стоки!CK83+стоки!CK84+стоки!CK86</f>
        <v>248.05586404817751</v>
      </c>
      <c r="Q11" s="2559">
        <f>стоки!CO80+стоки!CO81+стоки!CO82+стоки!CO83+стоки!CO84+стоки!CO86</f>
        <v>244.68633378138924</v>
      </c>
      <c r="R11" s="2662" t="s">
        <v>1640</v>
      </c>
    </row>
    <row r="12" spans="1:18" ht="30.75" customHeight="1">
      <c r="A12" s="2557" t="s">
        <v>923</v>
      </c>
      <c r="B12" s="2583" t="s">
        <v>924</v>
      </c>
      <c r="C12" s="2557" t="s">
        <v>918</v>
      </c>
      <c r="D12" s="2559">
        <f>SUM('СТОКИ (СВОД) 2016-2018'!D14-'Тариф стоки 2016-2018 ПЛАН'!D12)</f>
        <v>50.669467897121649</v>
      </c>
      <c r="E12" s="2559">
        <f>SUM('СТОКИ (СВОД) 2016-2018'!E14-'Тариф стоки 2016-2018 ПЛАН'!E12)</f>
        <v>53.994875247277378</v>
      </c>
      <c r="F12" s="2559">
        <f>стоки!BJ78</f>
        <v>30.517069550171072</v>
      </c>
      <c r="G12" s="2559">
        <f>стоки!BM78</f>
        <v>44.823540431957554</v>
      </c>
      <c r="H12" s="2559">
        <f>стоки!BP78</f>
        <v>62.710373053643707</v>
      </c>
      <c r="I12" s="2559">
        <f>стоки!BF78-0.01</f>
        <v>32.74636046480304</v>
      </c>
      <c r="J12" s="2559">
        <f>SUM(стоки!BX78)</f>
        <v>70.73</v>
      </c>
      <c r="K12" s="2559">
        <f>стоки!CO78</f>
        <v>36.69</v>
      </c>
      <c r="L12" s="2559">
        <f>стоки!CA78</f>
        <v>28.38296969129442</v>
      </c>
      <c r="M12" s="2559">
        <f>стоки!CD78</f>
        <v>45.054751654496613</v>
      </c>
      <c r="N12" s="2559">
        <f>стоки!CG78</f>
        <v>65.041518284373524</v>
      </c>
      <c r="O12" s="2559">
        <f>SUM('СТОКИ (СВОД) 2016-2018'!O14-'Тариф стоки 2016-2018 ПЛАН'!O12)</f>
        <v>43.771263367580104</v>
      </c>
      <c r="P12" s="2559">
        <f>стоки!CK78</f>
        <v>44.581527899999855</v>
      </c>
      <c r="Q12" s="2559">
        <f>стоки!CO78</f>
        <v>36.69</v>
      </c>
      <c r="R12" s="2662" t="s">
        <v>1641</v>
      </c>
    </row>
    <row r="13" spans="1:18" ht="21.75" customHeight="1">
      <c r="A13" s="2557" t="s">
        <v>925</v>
      </c>
      <c r="B13" s="2583" t="s">
        <v>926</v>
      </c>
      <c r="C13" s="2557" t="s">
        <v>918</v>
      </c>
      <c r="D13" s="2559">
        <f t="shared" ref="D13:I13" si="8">D14+D15+D16+D17+D20</f>
        <v>8.8999999999998636</v>
      </c>
      <c r="E13" s="2559">
        <f t="shared" si="8"/>
        <v>10.530559728344542</v>
      </c>
      <c r="F13" s="2559">
        <f t="shared" si="8"/>
        <v>5.0820284462923979</v>
      </c>
      <c r="G13" s="2559">
        <f t="shared" si="8"/>
        <v>7.7814131010127987</v>
      </c>
      <c r="H13" s="2559">
        <f t="shared" si="8"/>
        <v>9.1768049871141457</v>
      </c>
      <c r="I13" s="2559">
        <f t="shared" si="8"/>
        <v>8.0056893056960661</v>
      </c>
      <c r="J13" s="2559">
        <f t="shared" ref="J13:L13" si="9">J14+J15+J16+J17+J20</f>
        <v>10.469999999999999</v>
      </c>
      <c r="K13" s="2559">
        <f t="shared" si="9"/>
        <v>10.699892297868617</v>
      </c>
      <c r="L13" s="2559">
        <f t="shared" si="9"/>
        <v>4.525593182882286</v>
      </c>
      <c r="M13" s="2559">
        <f t="shared" ref="M13:N13" si="10">M14+M15+M16+M17+M20</f>
        <v>6.9816234074937</v>
      </c>
      <c r="N13" s="2559">
        <f t="shared" si="10"/>
        <v>9.8719655913979594</v>
      </c>
      <c r="O13" s="2559">
        <f>O14+O15+O16+O17+O20</f>
        <v>10.471682003102615</v>
      </c>
      <c r="P13" s="2559">
        <f t="shared" ref="P13:Q13" si="11">P14+P15+P16+P17+P20</f>
        <v>9.6193963742246638</v>
      </c>
      <c r="Q13" s="2559">
        <f t="shared" si="11"/>
        <v>10.699892297868617</v>
      </c>
      <c r="R13" s="2656"/>
    </row>
    <row r="14" spans="1:18" ht="30.75" customHeight="1">
      <c r="A14" s="2560" t="s">
        <v>927</v>
      </c>
      <c r="B14" s="2584" t="s">
        <v>928</v>
      </c>
      <c r="C14" s="2560" t="s">
        <v>918</v>
      </c>
      <c r="D14" s="2562">
        <f>SUM('СТОКИ (СВОД) 2016-2018'!D16-'Тариф стоки 2016-2018 ПЛАН'!D14)</f>
        <v>0</v>
      </c>
      <c r="E14" s="2562">
        <f>SUM('СТОКИ (СВОД) 2016-2018'!E16-'Тариф стоки 2016-2018 ПЛАН'!E14)</f>
        <v>0</v>
      </c>
      <c r="F14" s="2562">
        <v>0</v>
      </c>
      <c r="G14" s="2562">
        <v>0</v>
      </c>
      <c r="H14" s="2562">
        <v>0</v>
      </c>
      <c r="I14" s="2562">
        <v>0</v>
      </c>
      <c r="J14" s="2562">
        <f>I14*1.084</f>
        <v>0</v>
      </c>
      <c r="K14" s="2562">
        <f>J14*1.079</f>
        <v>0</v>
      </c>
      <c r="L14" s="2562">
        <v>0</v>
      </c>
      <c r="M14" s="2562">
        <v>0</v>
      </c>
      <c r="N14" s="2562">
        <v>0</v>
      </c>
      <c r="O14" s="2562">
        <f>SUM('СТОКИ (СВОД) 2016-2018'!O16-'Тариф стоки 2016-2018 ПЛАН'!O14)</f>
        <v>0</v>
      </c>
      <c r="P14" s="2562">
        <v>0</v>
      </c>
      <c r="Q14" s="2562">
        <v>0</v>
      </c>
      <c r="R14" s="2663" t="s">
        <v>1642</v>
      </c>
    </row>
    <row r="15" spans="1:18" ht="41.25" customHeight="1">
      <c r="A15" s="2560" t="s">
        <v>929</v>
      </c>
      <c r="B15" s="2584" t="s">
        <v>930</v>
      </c>
      <c r="C15" s="2560" t="s">
        <v>918</v>
      </c>
      <c r="D15" s="2562">
        <f>SUM('СТОКИ (СВОД) 2016-2018'!D17-'Тариф стоки 2016-2018 ПЛАН'!D15)</f>
        <v>0.79999999999995453</v>
      </c>
      <c r="E15" s="2562">
        <f>SUM('СТОКИ (СВОД) 2016-2018'!E17-'Тариф стоки 2016-2018 ПЛАН'!E15)</f>
        <v>10.530559728344542</v>
      </c>
      <c r="F15" s="2562">
        <f>стоки!BJ42</f>
        <v>5.0820284462923979</v>
      </c>
      <c r="G15" s="2562">
        <f>стоки!BM42</f>
        <v>7.7814131010127987</v>
      </c>
      <c r="H15" s="2562">
        <f>стоки!BP42</f>
        <v>9.1768049871141457</v>
      </c>
      <c r="I15" s="2562">
        <f>стоки!BF42</f>
        <v>8.0056893056960661</v>
      </c>
      <c r="J15" s="2562">
        <f>SUM(стоки!BX85)</f>
        <v>10.469999999999999</v>
      </c>
      <c r="K15" s="2562">
        <f>стоки!CO42</f>
        <v>10.699892297868617</v>
      </c>
      <c r="L15" s="2562">
        <f>стоки!CA42</f>
        <v>4.525593182882286</v>
      </c>
      <c r="M15" s="2562">
        <f>стоки!CD42</f>
        <v>6.9816234074937</v>
      </c>
      <c r="N15" s="2562">
        <f>стоки!CG42</f>
        <v>9.8719655913979594</v>
      </c>
      <c r="O15" s="2562">
        <f>SUM('СТОКИ (СВОД) 2016-2018'!O17-'Тариф стоки 2016-2018 ПЛАН'!O15)</f>
        <v>10.471682003102615</v>
      </c>
      <c r="P15" s="2562">
        <f>стоки!CK42</f>
        <v>9.6193963742246638</v>
      </c>
      <c r="Q15" s="2562">
        <f>стоки!CO42</f>
        <v>10.699892297868617</v>
      </c>
      <c r="R15" s="2663" t="s">
        <v>10</v>
      </c>
    </row>
    <row r="16" spans="1:18" ht="21.75" customHeight="1">
      <c r="A16" s="2560" t="s">
        <v>931</v>
      </c>
      <c r="B16" s="2584" t="s">
        <v>932</v>
      </c>
      <c r="C16" s="2560" t="s">
        <v>918</v>
      </c>
      <c r="D16" s="2562">
        <f>SUM('СТОКИ (СВОД) 2016-2018'!D18-'Тариф стоки 2016-2018 ПЛАН'!D16)</f>
        <v>0</v>
      </c>
      <c r="E16" s="2562">
        <f>SUM('СТОКИ (СВОД) 2016-2018'!E18-'Тариф стоки 2016-2018 ПЛАН'!E16)</f>
        <v>0</v>
      </c>
      <c r="F16" s="2562">
        <v>0</v>
      </c>
      <c r="G16" s="2562">
        <v>0</v>
      </c>
      <c r="H16" s="2562">
        <v>0</v>
      </c>
      <c r="I16" s="2562">
        <v>0</v>
      </c>
      <c r="J16" s="2562">
        <f>I16</f>
        <v>0</v>
      </c>
      <c r="K16" s="2562">
        <f>J16</f>
        <v>0</v>
      </c>
      <c r="L16" s="2562">
        <v>0</v>
      </c>
      <c r="M16" s="2562">
        <v>0</v>
      </c>
      <c r="N16" s="2562">
        <v>0</v>
      </c>
      <c r="O16" s="2562">
        <f>SUM('СТОКИ (СВОД) 2016-2018'!O18-'Тариф стоки 2016-2018 ПЛАН'!O16)</f>
        <v>0</v>
      </c>
      <c r="P16" s="2562">
        <v>0</v>
      </c>
      <c r="Q16" s="2562">
        <v>0</v>
      </c>
      <c r="R16" s="2663" t="s">
        <v>1643</v>
      </c>
    </row>
    <row r="17" spans="1:18" ht="30.75" customHeight="1">
      <c r="A17" s="2560" t="s">
        <v>933</v>
      </c>
      <c r="B17" s="2584" t="s">
        <v>934</v>
      </c>
      <c r="C17" s="2560" t="s">
        <v>918</v>
      </c>
      <c r="D17" s="2562">
        <f>SUM('СТОКИ (СВОД) 2016-2018'!D19-'Тариф стоки 2016-2018 ПЛАН'!D17)</f>
        <v>0</v>
      </c>
      <c r="E17" s="2562">
        <f>SUM('СТОКИ (СВОД) 2016-2018'!E19-'Тариф стоки 2016-2018 ПЛАН'!E17)</f>
        <v>0</v>
      </c>
      <c r="F17" s="2562">
        <v>0</v>
      </c>
      <c r="G17" s="2562">
        <v>0</v>
      </c>
      <c r="H17" s="2562">
        <v>0</v>
      </c>
      <c r="I17" s="2562">
        <v>0</v>
      </c>
      <c r="J17" s="2562">
        <v>0</v>
      </c>
      <c r="K17" s="2562">
        <v>0</v>
      </c>
      <c r="L17" s="2562">
        <v>0</v>
      </c>
      <c r="M17" s="2562">
        <v>0</v>
      </c>
      <c r="N17" s="2562">
        <v>0</v>
      </c>
      <c r="O17" s="2562">
        <f>SUM('СТОКИ (СВОД) 2016-2018'!O19-'Тариф стоки 2016-2018 ПЛАН'!O17)</f>
        <v>0</v>
      </c>
      <c r="P17" s="2562">
        <v>0</v>
      </c>
      <c r="Q17" s="2562">
        <v>0</v>
      </c>
      <c r="R17" s="2663" t="s">
        <v>907</v>
      </c>
    </row>
    <row r="18" spans="1:18" ht="21.75" customHeight="1">
      <c r="A18" s="2560" t="s">
        <v>935</v>
      </c>
      <c r="B18" s="2584" t="s">
        <v>936</v>
      </c>
      <c r="C18" s="2560" t="s">
        <v>918</v>
      </c>
      <c r="D18" s="2562">
        <f>SUM('СТОКИ (СВОД) 2016-2018'!D20-'Тариф стоки 2016-2018 ПЛАН'!D18)</f>
        <v>0</v>
      </c>
      <c r="E18" s="2562">
        <f>SUM('СТОКИ (СВОД) 2016-2018'!E20-'Тариф стоки 2016-2018 ПЛАН'!E18)</f>
        <v>0</v>
      </c>
      <c r="F18" s="2562">
        <v>0</v>
      </c>
      <c r="G18" s="2562">
        <v>0</v>
      </c>
      <c r="H18" s="2562">
        <v>0</v>
      </c>
      <c r="I18" s="2562">
        <v>0</v>
      </c>
      <c r="J18" s="2562">
        <v>0</v>
      </c>
      <c r="K18" s="2562">
        <v>0</v>
      </c>
      <c r="L18" s="2562">
        <v>0</v>
      </c>
      <c r="M18" s="2562">
        <v>0</v>
      </c>
      <c r="N18" s="2562">
        <v>0</v>
      </c>
      <c r="O18" s="2562">
        <f>SUM('СТОКИ (СВОД) 2016-2018'!O20-'Тариф стоки 2016-2018 ПЛАН'!O18)</f>
        <v>0</v>
      </c>
      <c r="P18" s="2562">
        <v>0</v>
      </c>
      <c r="Q18" s="2562">
        <v>0</v>
      </c>
      <c r="R18" s="2657"/>
    </row>
    <row r="19" spans="1:18" ht="21.75" customHeight="1">
      <c r="A19" s="2560" t="s">
        <v>937</v>
      </c>
      <c r="B19" s="2584" t="s">
        <v>938</v>
      </c>
      <c r="C19" s="2560" t="s">
        <v>918</v>
      </c>
      <c r="D19" s="2562">
        <f>SUM('СТОКИ (СВОД) 2016-2018'!D21-'Тариф стоки 2016-2018 ПЛАН'!D19)</f>
        <v>0</v>
      </c>
      <c r="E19" s="2562">
        <f>SUM('СТОКИ (СВОД) 2016-2018'!E21-'Тариф стоки 2016-2018 ПЛАН'!E19)</f>
        <v>0</v>
      </c>
      <c r="F19" s="2562">
        <v>0</v>
      </c>
      <c r="G19" s="2562">
        <v>0</v>
      </c>
      <c r="H19" s="2562">
        <v>0</v>
      </c>
      <c r="I19" s="2562">
        <v>0</v>
      </c>
      <c r="J19" s="2562">
        <v>0</v>
      </c>
      <c r="K19" s="2562">
        <v>0</v>
      </c>
      <c r="L19" s="2562">
        <v>0</v>
      </c>
      <c r="M19" s="2562">
        <v>0</v>
      </c>
      <c r="N19" s="2562">
        <v>0</v>
      </c>
      <c r="O19" s="2562">
        <f>SUM('СТОКИ (СВОД) 2016-2018'!O21-'Тариф стоки 2016-2018 ПЛАН'!O19)</f>
        <v>0</v>
      </c>
      <c r="P19" s="2562">
        <v>0</v>
      </c>
      <c r="Q19" s="2562">
        <v>0</v>
      </c>
      <c r="R19" s="2657"/>
    </row>
    <row r="20" spans="1:18" ht="30.75" customHeight="1">
      <c r="A20" s="2560" t="s">
        <v>939</v>
      </c>
      <c r="B20" s="2584" t="s">
        <v>940</v>
      </c>
      <c r="C20" s="2560" t="s">
        <v>918</v>
      </c>
      <c r="D20" s="2562">
        <f>SUM('СТОКИ (СВОД) 2016-2018'!D22-'Тариф стоки 2016-2018 ПЛАН'!D20)</f>
        <v>8.0999999999999091</v>
      </c>
      <c r="E20" s="2562">
        <f>SUM('СТОКИ (СВОД) 2016-2018'!E22-'Тариф стоки 2016-2018 ПЛАН'!E20)</f>
        <v>0</v>
      </c>
      <c r="F20" s="2562">
        <v>0</v>
      </c>
      <c r="G20" s="2562">
        <v>0</v>
      </c>
      <c r="H20" s="2562">
        <v>0</v>
      </c>
      <c r="I20" s="2562">
        <v>0</v>
      </c>
      <c r="J20" s="2562">
        <v>0</v>
      </c>
      <c r="K20" s="2562">
        <v>0</v>
      </c>
      <c r="L20" s="2562">
        <v>0</v>
      </c>
      <c r="M20" s="2562">
        <v>0</v>
      </c>
      <c r="N20" s="2562">
        <v>0</v>
      </c>
      <c r="O20" s="2562">
        <f>SUM('СТОКИ (СВОД) 2016-2018'!O22-'Тариф стоки 2016-2018 ПЛАН'!O20)</f>
        <v>0</v>
      </c>
      <c r="P20" s="2562">
        <v>0</v>
      </c>
      <c r="Q20" s="2562">
        <v>0</v>
      </c>
      <c r="R20" s="2663" t="s">
        <v>1644</v>
      </c>
    </row>
    <row r="21" spans="1:18" ht="21.75" customHeight="1">
      <c r="A21" s="2553" t="s">
        <v>941</v>
      </c>
      <c r="B21" s="2554" t="s">
        <v>2</v>
      </c>
      <c r="C21" s="2553" t="s">
        <v>918</v>
      </c>
      <c r="D21" s="2555">
        <f>SUM('СТОКИ (СВОД) 2016-2018'!D23-'Тариф стоки 2016-2018 ПЛАН'!D21)</f>
        <v>0</v>
      </c>
      <c r="E21" s="2555">
        <f>SUM('СТОКИ (СВОД) 2016-2018'!E23-'Тариф стоки 2016-2018 ПЛАН'!E21)</f>
        <v>5.2224158631761384</v>
      </c>
      <c r="F21" s="2555">
        <f>стоки!BJ79</f>
        <v>1.8845982468261013</v>
      </c>
      <c r="G21" s="2555">
        <f>стоки!BM79</f>
        <v>2.9249599541838052</v>
      </c>
      <c r="H21" s="2555">
        <f>стоки!BP79</f>
        <v>3.9692781946046125</v>
      </c>
      <c r="I21" s="2555">
        <f>стоки!BF79</f>
        <v>5.2521334128832677</v>
      </c>
      <c r="J21" s="2555">
        <f>SUM(стоки!BX79)</f>
        <v>5.12</v>
      </c>
      <c r="K21" s="2555">
        <f>стоки!CO79</f>
        <v>5.12</v>
      </c>
      <c r="L21" s="2555">
        <f>стоки!CA79</f>
        <v>1.5725464306894992</v>
      </c>
      <c r="M21" s="2555">
        <f>стоки!CD79</f>
        <v>2.4321578141833697</v>
      </c>
      <c r="N21" s="2555">
        <f>стоки!CG79</f>
        <v>3.4390537634408247</v>
      </c>
      <c r="O21" s="2555">
        <f>SUM('СТОКИ (СВОД) 2016-2018'!O23-'Тариф стоки 2016-2018 ПЛАН'!O21)</f>
        <v>5.1167328575866122</v>
      </c>
      <c r="P21" s="2555">
        <f>стоки!CK79</f>
        <v>4.1607162619120572</v>
      </c>
      <c r="Q21" s="2555">
        <f>стоки!CO79</f>
        <v>5.12</v>
      </c>
      <c r="R21" s="2668" t="s">
        <v>1645</v>
      </c>
    </row>
    <row r="22" spans="1:18" ht="21.75" customHeight="1">
      <c r="A22" s="2563" t="s">
        <v>202</v>
      </c>
      <c r="B22" s="2564" t="s">
        <v>942</v>
      </c>
      <c r="C22" s="2585" t="s">
        <v>44</v>
      </c>
      <c r="D22" s="2608">
        <f t="shared" ref="D22:I22" si="12">D23/(D10+D21)*100</f>
        <v>0</v>
      </c>
      <c r="E22" s="2608">
        <f t="shared" si="12"/>
        <v>0</v>
      </c>
      <c r="F22" s="2587">
        <f t="shared" si="12"/>
        <v>0</v>
      </c>
      <c r="G22" s="2587">
        <f t="shared" si="12"/>
        <v>0</v>
      </c>
      <c r="H22" s="2587">
        <f t="shared" si="12"/>
        <v>0</v>
      </c>
      <c r="I22" s="2587">
        <f t="shared" si="12"/>
        <v>0</v>
      </c>
      <c r="J22" s="2587">
        <f t="shared" ref="J22:L22" si="13">J23/(J10+J21)*100</f>
        <v>0</v>
      </c>
      <c r="K22" s="2587">
        <f t="shared" si="13"/>
        <v>0</v>
      </c>
      <c r="L22" s="2587">
        <f t="shared" si="13"/>
        <v>0</v>
      </c>
      <c r="M22" s="2587">
        <f t="shared" ref="M22:N22" si="14">M23/(M10+M21)*100</f>
        <v>0</v>
      </c>
      <c r="N22" s="2587">
        <f t="shared" si="14"/>
        <v>0</v>
      </c>
      <c r="O22" s="2608">
        <f>O23/(O10+O21)*100</f>
        <v>-7.4546892109637316E-5</v>
      </c>
      <c r="P22" s="2587">
        <f t="shared" ref="P22:Q22" si="15">P23/(P10+P21)*100</f>
        <v>0</v>
      </c>
      <c r="Q22" s="2587">
        <f t="shared" si="15"/>
        <v>0</v>
      </c>
      <c r="R22" s="2669"/>
    </row>
    <row r="23" spans="1:18" ht="21.75" customHeight="1">
      <c r="A23" s="2553" t="s">
        <v>943</v>
      </c>
      <c r="B23" s="2554" t="s">
        <v>944</v>
      </c>
      <c r="C23" s="2553" t="s">
        <v>918</v>
      </c>
      <c r="D23" s="2555">
        <f t="shared" ref="D23:I23" si="16">D24+D25+D26</f>
        <v>0</v>
      </c>
      <c r="E23" s="2555">
        <f t="shared" si="16"/>
        <v>0</v>
      </c>
      <c r="F23" s="2555">
        <f t="shared" si="16"/>
        <v>0</v>
      </c>
      <c r="G23" s="2555">
        <f t="shared" si="16"/>
        <v>0</v>
      </c>
      <c r="H23" s="2555">
        <f t="shared" si="16"/>
        <v>0</v>
      </c>
      <c r="I23" s="2555">
        <f t="shared" si="16"/>
        <v>0</v>
      </c>
      <c r="J23" s="2555">
        <f t="shared" ref="J23:L23" si="17">J24+J25+J26</f>
        <v>0</v>
      </c>
      <c r="K23" s="2555">
        <f t="shared" si="17"/>
        <v>0</v>
      </c>
      <c r="L23" s="2555">
        <f t="shared" si="17"/>
        <v>0</v>
      </c>
      <c r="M23" s="2555">
        <f t="shared" ref="M23:N23" si="18">M24+M25+M26</f>
        <v>0</v>
      </c>
      <c r="N23" s="2555">
        <f t="shared" si="18"/>
        <v>0</v>
      </c>
      <c r="O23" s="2555">
        <f>O24+O25+O26</f>
        <v>-2.5223508309744685E-4</v>
      </c>
      <c r="P23" s="2555">
        <f t="shared" ref="P23:Q23" si="19">P24+P25+P26</f>
        <v>0</v>
      </c>
      <c r="Q23" s="2555">
        <f t="shared" si="19"/>
        <v>0</v>
      </c>
      <c r="R23" s="2668"/>
    </row>
    <row r="24" spans="1:18" ht="21.75" customHeight="1">
      <c r="A24" s="2557" t="s">
        <v>945</v>
      </c>
      <c r="B24" s="2583" t="s">
        <v>946</v>
      </c>
      <c r="C24" s="2557" t="s">
        <v>918</v>
      </c>
      <c r="D24" s="2559">
        <f>SUM('СТОКИ (СВОД) 2016-2018'!D26-'Тариф стоки 2016-2018 ПЛАН'!D24)</f>
        <v>0</v>
      </c>
      <c r="E24" s="2559">
        <f>SUM('СТОКИ (СВОД) 2016-2018'!E26-'Тариф стоки 2016-2018 ПЛАН'!E24)</f>
        <v>0</v>
      </c>
      <c r="F24" s="2559">
        <v>0</v>
      </c>
      <c r="G24" s="2559">
        <v>0</v>
      </c>
      <c r="H24" s="2559">
        <v>0</v>
      </c>
      <c r="I24" s="2559">
        <v>0</v>
      </c>
      <c r="J24" s="2559">
        <v>0</v>
      </c>
      <c r="K24" s="2559">
        <v>0</v>
      </c>
      <c r="L24" s="2559">
        <v>0</v>
      </c>
      <c r="M24" s="2559">
        <v>0</v>
      </c>
      <c r="N24" s="2559">
        <v>0</v>
      </c>
      <c r="O24" s="2559">
        <f>SUM('СТОКИ (СВОД) 2016-2018'!O26-'Тариф стоки 2016-2018 ПЛАН'!O24)</f>
        <v>-2.5223508309744685E-4</v>
      </c>
      <c r="P24" s="2559">
        <v>0</v>
      </c>
      <c r="Q24" s="2559">
        <v>0</v>
      </c>
      <c r="R24" s="2662" t="s">
        <v>1597</v>
      </c>
    </row>
    <row r="25" spans="1:18" ht="50.25" customHeight="1">
      <c r="A25" s="2557" t="s">
        <v>947</v>
      </c>
      <c r="B25" s="2583" t="s">
        <v>948</v>
      </c>
      <c r="C25" s="2557" t="s">
        <v>918</v>
      </c>
      <c r="D25" s="2559">
        <v>0</v>
      </c>
      <c r="E25" s="2557">
        <v>0</v>
      </c>
      <c r="F25" s="2559">
        <v>0</v>
      </c>
      <c r="G25" s="2559">
        <v>0</v>
      </c>
      <c r="H25" s="2559">
        <v>0</v>
      </c>
      <c r="I25" s="2559">
        <v>0</v>
      </c>
      <c r="J25" s="2559">
        <v>0</v>
      </c>
      <c r="K25" s="2559">
        <v>0</v>
      </c>
      <c r="L25" s="2559">
        <v>0</v>
      </c>
      <c r="M25" s="2559">
        <v>0</v>
      </c>
      <c r="N25" s="2559">
        <v>0</v>
      </c>
      <c r="O25" s="2557">
        <v>0</v>
      </c>
      <c r="P25" s="2559">
        <v>0</v>
      </c>
      <c r="Q25" s="2559">
        <v>0</v>
      </c>
      <c r="R25" s="2662"/>
    </row>
    <row r="26" spans="1:18" ht="21.75" customHeight="1">
      <c r="A26" s="2557" t="s">
        <v>949</v>
      </c>
      <c r="B26" s="2583" t="s">
        <v>950</v>
      </c>
      <c r="C26" s="2557" t="s">
        <v>918</v>
      </c>
      <c r="D26" s="2559">
        <v>0</v>
      </c>
      <c r="E26" s="2557">
        <v>0</v>
      </c>
      <c r="F26" s="2559">
        <v>0</v>
      </c>
      <c r="G26" s="2559">
        <v>0</v>
      </c>
      <c r="H26" s="2559">
        <v>0</v>
      </c>
      <c r="I26" s="2559">
        <v>0</v>
      </c>
      <c r="J26" s="2559">
        <v>0</v>
      </c>
      <c r="K26" s="2559">
        <v>0</v>
      </c>
      <c r="L26" s="2559">
        <v>0</v>
      </c>
      <c r="M26" s="2559">
        <v>0</v>
      </c>
      <c r="N26" s="2559">
        <v>0</v>
      </c>
      <c r="O26" s="2557">
        <v>0</v>
      </c>
      <c r="P26" s="2559">
        <v>0</v>
      </c>
      <c r="Q26" s="2559">
        <v>0</v>
      </c>
      <c r="R26" s="2662"/>
    </row>
    <row r="27" spans="1:18" ht="30.75" customHeight="1">
      <c r="A27" s="2553" t="s">
        <v>203</v>
      </c>
      <c r="B27" s="2554" t="s">
        <v>951</v>
      </c>
      <c r="C27" s="2553" t="s">
        <v>918</v>
      </c>
      <c r="D27" s="2555">
        <f>SUM('СТОКИ (СВОД) 2016-2018'!D29-'Тариф стоки 2016-2018 ПЛАН'!D27)</f>
        <v>-48.179999999999836</v>
      </c>
      <c r="E27" s="2555">
        <f>стоки!AW97</f>
        <v>0</v>
      </c>
      <c r="F27" s="2555">
        <v>0</v>
      </c>
      <c r="G27" s="2555">
        <v>0</v>
      </c>
      <c r="H27" s="2555">
        <v>0</v>
      </c>
      <c r="I27" s="2555">
        <v>0</v>
      </c>
      <c r="J27" s="2555">
        <f>SUM(стоки!BX97)</f>
        <v>15.96</v>
      </c>
      <c r="K27" s="2555">
        <f>SUM(стоки!CO97)</f>
        <v>0</v>
      </c>
      <c r="L27" s="2555">
        <v>0</v>
      </c>
      <c r="M27" s="2555">
        <v>0</v>
      </c>
      <c r="N27" s="2555">
        <v>0</v>
      </c>
      <c r="O27" s="2555">
        <f>SUM('СТОКИ (СВОД) 2016-2018'!O29-'Тариф стоки 2016-2018 ПЛАН'!O27)</f>
        <v>16.917880541986051</v>
      </c>
      <c r="P27" s="2555">
        <f>SUM(стоки!CK97)</f>
        <v>15.320875229215705</v>
      </c>
      <c r="Q27" s="2555">
        <f>SUM(стоки!CO97)</f>
        <v>0</v>
      </c>
      <c r="R27" s="2668" t="s">
        <v>1646</v>
      </c>
    </row>
    <row r="28" spans="1:18" ht="22.5" customHeight="1">
      <c r="A28" s="4440"/>
      <c r="B28" s="4440" t="s">
        <v>1905</v>
      </c>
      <c r="C28" s="4441" t="s">
        <v>918</v>
      </c>
      <c r="D28" s="4441"/>
      <c r="E28" s="4441"/>
      <c r="F28" s="4441"/>
      <c r="G28" s="4441"/>
      <c r="H28" s="4441"/>
      <c r="I28" s="4441"/>
      <c r="J28" s="4441"/>
      <c r="K28" s="4441"/>
      <c r="L28" s="4441"/>
      <c r="M28" s="4441"/>
      <c r="N28" s="4441"/>
      <c r="O28" s="4441"/>
      <c r="P28" s="4441"/>
      <c r="Q28" s="4441"/>
      <c r="R28" s="4441"/>
    </row>
    <row r="29" spans="1:18" ht="30.75" customHeight="1">
      <c r="A29" s="4442" t="s">
        <v>195</v>
      </c>
      <c r="B29" s="4443" t="s">
        <v>1906</v>
      </c>
      <c r="C29" s="4442" t="s">
        <v>918</v>
      </c>
      <c r="D29" s="4442"/>
      <c r="E29" s="4442"/>
      <c r="F29" s="4442"/>
      <c r="G29" s="4442"/>
      <c r="H29" s="4442"/>
      <c r="I29" s="4442"/>
      <c r="J29" s="4442"/>
      <c r="K29" s="4442"/>
      <c r="L29" s="4442"/>
      <c r="M29" s="4442"/>
      <c r="N29" s="4442"/>
      <c r="O29" s="4442"/>
      <c r="P29" s="4442"/>
      <c r="Q29" s="4487">
        <f>SUM(стоки!CO51)</f>
        <v>-27.59</v>
      </c>
      <c r="R29" s="4442"/>
    </row>
    <row r="30" spans="1:18" ht="30.75" customHeight="1">
      <c r="A30" s="4442" t="s">
        <v>955</v>
      </c>
      <c r="B30" s="4443" t="s">
        <v>1907</v>
      </c>
      <c r="C30" s="4442" t="s">
        <v>918</v>
      </c>
      <c r="D30" s="4442"/>
      <c r="E30" s="4442"/>
      <c r="F30" s="4442"/>
      <c r="G30" s="4442"/>
      <c r="H30" s="4442"/>
      <c r="I30" s="4442"/>
      <c r="J30" s="4442"/>
      <c r="K30" s="4442"/>
      <c r="L30" s="4442"/>
      <c r="M30" s="4442"/>
      <c r="N30" s="4442"/>
      <c r="O30" s="4442"/>
      <c r="P30" s="4442"/>
      <c r="Q30" s="4442">
        <v>0</v>
      </c>
      <c r="R30" s="4442"/>
    </row>
    <row r="31" spans="1:18" ht="72" customHeight="1">
      <c r="A31" s="4442" t="s">
        <v>961</v>
      </c>
      <c r="B31" s="4444" t="s">
        <v>1908</v>
      </c>
      <c r="C31" s="4442" t="s">
        <v>918</v>
      </c>
      <c r="D31" s="4442"/>
      <c r="E31" s="4442"/>
      <c r="F31" s="4442"/>
      <c r="G31" s="4442"/>
      <c r="H31" s="4442"/>
      <c r="I31" s="4442"/>
      <c r="J31" s="4442"/>
      <c r="K31" s="4442"/>
      <c r="L31" s="4442"/>
      <c r="M31" s="4442"/>
      <c r="N31" s="4442"/>
      <c r="O31" s="4442"/>
      <c r="P31" s="4442"/>
      <c r="Q31" s="4442">
        <v>0</v>
      </c>
      <c r="R31" s="4442"/>
    </row>
    <row r="32" spans="1:18" ht="30.75" customHeight="1">
      <c r="A32" s="4445"/>
      <c r="B32" s="4446" t="s">
        <v>1909</v>
      </c>
      <c r="C32" s="4447" t="s">
        <v>918</v>
      </c>
      <c r="D32" s="4447"/>
      <c r="E32" s="4447"/>
      <c r="F32" s="4447"/>
      <c r="G32" s="4447"/>
      <c r="H32" s="4447"/>
      <c r="I32" s="4447"/>
      <c r="J32" s="4447"/>
      <c r="K32" s="4447"/>
      <c r="L32" s="4447"/>
      <c r="M32" s="4447"/>
      <c r="N32" s="4447"/>
      <c r="O32" s="4447"/>
      <c r="P32" s="4447"/>
      <c r="Q32" s="4486">
        <f>SUM(Q9+Q29+Q30+Q31)</f>
        <v>269.60622607925791</v>
      </c>
      <c r="R32" s="4447"/>
    </row>
    <row r="33" spans="1:18" ht="21.75" customHeight="1">
      <c r="A33" s="2549">
        <v>2</v>
      </c>
      <c r="B33" s="2550" t="s">
        <v>1616</v>
      </c>
      <c r="C33" s="2549" t="s">
        <v>953</v>
      </c>
      <c r="D33" s="2551">
        <f>SUM(объемы!L61)</f>
        <v>28</v>
      </c>
      <c r="E33" s="2551">
        <f>SUM(объемы!S61)</f>
        <v>23.38</v>
      </c>
      <c r="F33" s="2551">
        <f>объемы!AA61</f>
        <v>10.23</v>
      </c>
      <c r="G33" s="2551">
        <f>объемы!AB61</f>
        <v>15.34</v>
      </c>
      <c r="H33" s="2551">
        <f>объемы!AC61</f>
        <v>20.65</v>
      </c>
      <c r="I33" s="2551">
        <f>объемы!V58</f>
        <v>18.933333333333334</v>
      </c>
      <c r="J33" s="2551">
        <f>SUM(объемы!AE61)</f>
        <v>23</v>
      </c>
      <c r="K33" s="2551">
        <f t="shared" ref="K33:K34" si="20">J33</f>
        <v>23</v>
      </c>
      <c r="L33" s="2551">
        <f>SUM(объемы!AF61)</f>
        <v>9.2899999999999991</v>
      </c>
      <c r="M33" s="2551">
        <f>объемы!AG61</f>
        <v>14.23</v>
      </c>
      <c r="N33" s="2551">
        <f>объемы!AH61</f>
        <v>20</v>
      </c>
      <c r="O33" s="2551">
        <f>SUM(объемы!AD61)</f>
        <v>23</v>
      </c>
      <c r="P33" s="2551">
        <f>SUM(объемы!AI61)</f>
        <v>23</v>
      </c>
      <c r="Q33" s="2551">
        <f>SUM(объемы!AJ61)</f>
        <v>18.93</v>
      </c>
      <c r="R33" s="2552"/>
    </row>
    <row r="34" spans="1:18" ht="21.75" customHeight="1">
      <c r="A34" s="2549" t="s">
        <v>196</v>
      </c>
      <c r="B34" s="2550" t="s">
        <v>954</v>
      </c>
      <c r="C34" s="2549" t="s">
        <v>953</v>
      </c>
      <c r="D34" s="2551">
        <v>0</v>
      </c>
      <c r="E34" s="2693">
        <v>0</v>
      </c>
      <c r="F34" s="2551">
        <v>0</v>
      </c>
      <c r="G34" s="2551">
        <v>0</v>
      </c>
      <c r="H34" s="2551">
        <v>0</v>
      </c>
      <c r="I34" s="2551">
        <v>0</v>
      </c>
      <c r="J34" s="2551">
        <f>I34</f>
        <v>0</v>
      </c>
      <c r="K34" s="2551">
        <f t="shared" si="20"/>
        <v>0</v>
      </c>
      <c r="L34" s="2551">
        <v>0</v>
      </c>
      <c r="M34" s="2551">
        <v>0</v>
      </c>
      <c r="N34" s="2551">
        <v>0</v>
      </c>
      <c r="O34" s="2693">
        <v>0</v>
      </c>
      <c r="P34" s="2551">
        <v>0</v>
      </c>
      <c r="Q34" s="2551">
        <v>0</v>
      </c>
      <c r="R34" s="2552"/>
    </row>
    <row r="35" spans="1:18" ht="21.75" customHeight="1">
      <c r="A35" s="2568" t="s">
        <v>955</v>
      </c>
      <c r="B35" s="2569" t="s">
        <v>1624</v>
      </c>
      <c r="C35" s="2568" t="s">
        <v>957</v>
      </c>
      <c r="D35" s="2570">
        <f t="shared" ref="D35:O35" si="21">D9/D33</f>
        <v>10.746631968860088</v>
      </c>
      <c r="E35" s="2570">
        <f t="shared" si="21"/>
        <v>14.162323400676101</v>
      </c>
      <c r="F35" s="2570">
        <f t="shared" si="21"/>
        <v>15.742035196582577</v>
      </c>
      <c r="G35" s="2570">
        <f t="shared" si="21"/>
        <v>16.538191295350131</v>
      </c>
      <c r="H35" s="2570">
        <f t="shared" si="21"/>
        <v>16.804194036237242</v>
      </c>
      <c r="I35" s="2570">
        <f t="shared" si="21"/>
        <v>14.034371415059182</v>
      </c>
      <c r="J35" s="2570">
        <f t="shared" si="21"/>
        <v>14.575641770453718</v>
      </c>
      <c r="K35" s="2570">
        <f t="shared" si="21"/>
        <v>12.892026298768139</v>
      </c>
      <c r="L35" s="2570">
        <f t="shared" ref="L35:N35" si="22">L9/L33</f>
        <v>16.072856384804957</v>
      </c>
      <c r="M35" s="2570">
        <f t="shared" si="22"/>
        <v>16.691518032730958</v>
      </c>
      <c r="N35" s="2570">
        <f t="shared" si="22"/>
        <v>16.869568976584315</v>
      </c>
      <c r="O35" s="2570">
        <f t="shared" si="21"/>
        <v>15.446749528114877</v>
      </c>
      <c r="P35" s="2570">
        <f t="shared" ref="P35" si="23">P9/P33</f>
        <v>13.988625209283903</v>
      </c>
      <c r="Q35" s="2570">
        <f>Q32/Q33</f>
        <v>14.242272904345374</v>
      </c>
      <c r="R35" s="2546"/>
    </row>
    <row r="36" spans="1:18" ht="21.75" customHeight="1">
      <c r="A36" s="2568"/>
      <c r="B36" s="2569" t="s">
        <v>958</v>
      </c>
      <c r="C36" s="2568" t="s">
        <v>957</v>
      </c>
      <c r="D36" s="2570">
        <v>12.04</v>
      </c>
      <c r="E36" s="2568"/>
      <c r="F36" s="2570"/>
      <c r="G36" s="2568"/>
      <c r="H36" s="2568"/>
      <c r="I36" s="2570">
        <v>13.79</v>
      </c>
      <c r="J36" s="2570">
        <f>I37</f>
        <v>14.278742830118365</v>
      </c>
      <c r="K36" s="2570">
        <f>J37</f>
        <v>14.872540710789071</v>
      </c>
      <c r="L36" s="4109"/>
      <c r="M36" s="4109"/>
      <c r="N36" s="4109"/>
      <c r="O36" s="2932">
        <f>SUM(I37)</f>
        <v>14.278742830118365</v>
      </c>
      <c r="P36" s="2926">
        <f>SUM(J37)</f>
        <v>14.872540710789071</v>
      </c>
      <c r="Q36" s="2926">
        <f>SUM(Q35)</f>
        <v>14.242272904345374</v>
      </c>
      <c r="R36" s="2546"/>
    </row>
    <row r="37" spans="1:18" ht="21.75" customHeight="1">
      <c r="A37" s="2568"/>
      <c r="B37" s="2569" t="s">
        <v>959</v>
      </c>
      <c r="C37" s="2568" t="s">
        <v>957</v>
      </c>
      <c r="D37" s="2570">
        <v>13.79</v>
      </c>
      <c r="E37" s="2568"/>
      <c r="F37" s="2570"/>
      <c r="G37" s="2568"/>
      <c r="H37" s="2568"/>
      <c r="I37" s="2570">
        <f t="shared" ref="I37:P37" si="24">I35*2-I36</f>
        <v>14.278742830118365</v>
      </c>
      <c r="J37" s="2570">
        <f t="shared" si="24"/>
        <v>14.872540710789071</v>
      </c>
      <c r="K37" s="2570">
        <f t="shared" si="24"/>
        <v>10.911511886747206</v>
      </c>
      <c r="L37" s="2568"/>
      <c r="M37" s="2568"/>
      <c r="N37" s="2568"/>
      <c r="O37" s="2570">
        <f t="shared" si="24"/>
        <v>16.614756226111389</v>
      </c>
      <c r="P37" s="2570">
        <f t="shared" si="24"/>
        <v>13.104709707778735</v>
      </c>
      <c r="Q37" s="2570">
        <f t="shared" ref="Q37" si="25">Q35*2-Q36</f>
        <v>14.242272904345374</v>
      </c>
      <c r="R37" s="2546"/>
    </row>
    <row r="38" spans="1:18" ht="21.75" customHeight="1">
      <c r="A38" s="2568"/>
      <c r="B38" s="2569" t="s">
        <v>960</v>
      </c>
      <c r="C38" s="2568"/>
      <c r="D38" s="2570"/>
      <c r="E38" s="2568"/>
      <c r="F38" s="2570"/>
      <c r="G38" s="2568"/>
      <c r="H38" s="2568"/>
      <c r="I38" s="2570"/>
      <c r="J38" s="2570"/>
      <c r="K38" s="2570"/>
      <c r="L38" s="2568"/>
      <c r="M38" s="2568"/>
      <c r="N38" s="2568"/>
      <c r="O38" s="2568"/>
      <c r="P38" s="2926"/>
      <c r="Q38" s="2926"/>
      <c r="R38" s="2546"/>
    </row>
    <row r="39" spans="1:18" ht="21.75" customHeight="1">
      <c r="A39" s="2568"/>
      <c r="B39" s="2569" t="s">
        <v>958</v>
      </c>
      <c r="C39" s="2568" t="s">
        <v>44</v>
      </c>
      <c r="D39" s="2570">
        <v>100</v>
      </c>
      <c r="E39" s="2568"/>
      <c r="F39" s="2570"/>
      <c r="G39" s="2568"/>
      <c r="H39" s="2568"/>
      <c r="I39" s="2570"/>
      <c r="J39" s="2570">
        <f>J36/I37*100</f>
        <v>100</v>
      </c>
      <c r="K39" s="2570">
        <f>K36/J37*100</f>
        <v>100</v>
      </c>
      <c r="L39" s="2568"/>
      <c r="M39" s="2568"/>
      <c r="N39" s="2568"/>
      <c r="O39" s="2570">
        <f>O36/I37*100</f>
        <v>100</v>
      </c>
      <c r="P39" s="2570">
        <f>SUM(P36/J37)*100</f>
        <v>100</v>
      </c>
      <c r="Q39" s="2570">
        <f>SUM(Q36/J37)*100</f>
        <v>95.762204866674338</v>
      </c>
      <c r="R39" s="2546"/>
    </row>
    <row r="40" spans="1:18" ht="21.75" customHeight="1">
      <c r="A40" s="2568"/>
      <c r="B40" s="2569" t="s">
        <v>959</v>
      </c>
      <c r="C40" s="2568" t="s">
        <v>44</v>
      </c>
      <c r="D40" s="2570">
        <f>D37/D36*100</f>
        <v>114.53488372093024</v>
      </c>
      <c r="E40" s="2568"/>
      <c r="F40" s="2570"/>
      <c r="G40" s="2568"/>
      <c r="H40" s="2568"/>
      <c r="I40" s="2570">
        <f t="shared" ref="I40:P40" si="26">I37/I36*100</f>
        <v>103.54418295952404</v>
      </c>
      <c r="J40" s="2570">
        <f t="shared" si="26"/>
        <v>104.15861457647517</v>
      </c>
      <c r="K40" s="2570">
        <f t="shared" si="26"/>
        <v>73.366831524835604</v>
      </c>
      <c r="L40" s="2568"/>
      <c r="M40" s="2568"/>
      <c r="N40" s="2568"/>
      <c r="O40" s="2570">
        <f t="shared" si="26"/>
        <v>116.36007752072987</v>
      </c>
      <c r="P40" s="2570">
        <f t="shared" si="26"/>
        <v>88.113456621921443</v>
      </c>
      <c r="Q40" s="2570">
        <f t="shared" ref="Q40" si="27">Q37/Q36*100</f>
        <v>100</v>
      </c>
      <c r="R40" s="2546"/>
    </row>
    <row r="41" spans="1:18" ht="15.75">
      <c r="A41" s="2588"/>
      <c r="B41" s="2589"/>
      <c r="C41" s="2590"/>
      <c r="D41" s="2590"/>
      <c r="E41" s="2590"/>
      <c r="F41" s="2590"/>
      <c r="G41" s="2596"/>
      <c r="H41" s="2590"/>
      <c r="I41" s="2590"/>
      <c r="J41" s="2590"/>
      <c r="K41" s="2590"/>
      <c r="L41" s="2590"/>
      <c r="M41" s="2590"/>
      <c r="N41" s="2590"/>
      <c r="O41" s="2590"/>
      <c r="P41" s="2590"/>
      <c r="Q41" s="2590"/>
      <c r="R41" s="2591"/>
    </row>
    <row r="42" spans="1:18" ht="21.75" customHeight="1">
      <c r="A42" s="2592" t="s">
        <v>961</v>
      </c>
      <c r="B42" s="2577" t="s">
        <v>1625</v>
      </c>
      <c r="C42" s="2593"/>
      <c r="D42" s="2593"/>
      <c r="E42" s="2593"/>
      <c r="F42" s="2593"/>
      <c r="G42" s="2597"/>
      <c r="H42" s="2593"/>
      <c r="I42" s="2593"/>
      <c r="J42" s="2593"/>
      <c r="K42" s="2593"/>
      <c r="L42" s="2593"/>
      <c r="M42" s="2593"/>
      <c r="N42" s="2593"/>
      <c r="O42" s="2593"/>
      <c r="P42" s="2927"/>
      <c r="Q42" s="2927"/>
      <c r="R42" s="2593"/>
    </row>
    <row r="43" spans="1:18" ht="21.75" customHeight="1">
      <c r="A43" s="2593"/>
      <c r="B43" s="2577" t="s">
        <v>958</v>
      </c>
      <c r="C43" s="2580" t="s">
        <v>963</v>
      </c>
      <c r="D43" s="2594"/>
      <c r="E43" s="2580"/>
      <c r="F43" s="2594"/>
      <c r="G43" s="2580"/>
      <c r="H43" s="2580"/>
      <c r="I43" s="2595">
        <v>13.79</v>
      </c>
      <c r="J43" s="2595">
        <f>I44</f>
        <v>14.278742830118365</v>
      </c>
      <c r="K43" s="2595">
        <f>J44</f>
        <v>14.872540710789071</v>
      </c>
      <c r="L43" s="2580"/>
      <c r="M43" s="2580"/>
      <c r="N43" s="2580"/>
      <c r="O43" s="2595">
        <f>SUM(I44)</f>
        <v>14.278742830118365</v>
      </c>
      <c r="P43" s="2928">
        <f>SUM(P36)</f>
        <v>14.872540710789071</v>
      </c>
      <c r="Q43" s="2928">
        <f>SUM(Q36)</f>
        <v>14.242272904345374</v>
      </c>
      <c r="R43" s="2593"/>
    </row>
    <row r="44" spans="1:18" ht="21.75" customHeight="1">
      <c r="A44" s="2593"/>
      <c r="B44" s="2577" t="s">
        <v>959</v>
      </c>
      <c r="C44" s="2580" t="s">
        <v>963</v>
      </c>
      <c r="D44" s="2594"/>
      <c r="E44" s="2580"/>
      <c r="F44" s="2594"/>
      <c r="G44" s="2580"/>
      <c r="H44" s="2580"/>
      <c r="I44" s="2595">
        <f t="shared" ref="I44:O44" si="28">I37</f>
        <v>14.278742830118365</v>
      </c>
      <c r="J44" s="2595">
        <f t="shared" si="28"/>
        <v>14.872540710789071</v>
      </c>
      <c r="K44" s="2595">
        <f t="shared" si="28"/>
        <v>10.911511886747206</v>
      </c>
      <c r="L44" s="2580"/>
      <c r="M44" s="2580"/>
      <c r="N44" s="2580"/>
      <c r="O44" s="2595">
        <f t="shared" si="28"/>
        <v>16.614756226111389</v>
      </c>
      <c r="P44" s="2928">
        <f>SUM(P37)</f>
        <v>13.104709707778735</v>
      </c>
      <c r="Q44" s="2928">
        <f>SUM(Q37)</f>
        <v>14.242272904345374</v>
      </c>
      <c r="R44" s="2593"/>
    </row>
    <row r="45" spans="1:18" ht="21.75" customHeight="1">
      <c r="A45" s="2593"/>
      <c r="B45" s="2577" t="s">
        <v>363</v>
      </c>
      <c r="C45" s="2580" t="s">
        <v>44</v>
      </c>
      <c r="D45" s="2594"/>
      <c r="E45" s="2580"/>
      <c r="F45" s="2594"/>
      <c r="G45" s="2580"/>
      <c r="H45" s="2580"/>
      <c r="I45" s="2595">
        <f t="shared" ref="I45:P45" si="29">I44/I43*100</f>
        <v>103.54418295952404</v>
      </c>
      <c r="J45" s="2595">
        <f t="shared" si="29"/>
        <v>104.15861457647517</v>
      </c>
      <c r="K45" s="2595">
        <f t="shared" si="29"/>
        <v>73.366831524835604</v>
      </c>
      <c r="L45" s="2580"/>
      <c r="M45" s="2580"/>
      <c r="N45" s="2580"/>
      <c r="O45" s="2595">
        <f t="shared" si="29"/>
        <v>116.36007752072987</v>
      </c>
      <c r="P45" s="2595">
        <f t="shared" si="29"/>
        <v>88.113456621921443</v>
      </c>
      <c r="Q45" s="2595">
        <f t="shared" ref="Q45" si="30">Q44/Q43*100</f>
        <v>100</v>
      </c>
      <c r="R45" s="2593"/>
    </row>
    <row r="46" spans="1:18" ht="21.75" customHeight="1">
      <c r="A46" s="2593"/>
      <c r="B46" s="2577" t="s">
        <v>964</v>
      </c>
      <c r="C46" s="2580" t="s">
        <v>918</v>
      </c>
      <c r="D46" s="2594"/>
      <c r="E46" s="2580"/>
      <c r="F46" s="2593"/>
      <c r="G46" s="2580"/>
      <c r="H46" s="2580"/>
      <c r="I46" s="2619">
        <f t="shared" ref="I46:O46" si="31">(I36-I43)*I34/2+(I37-I44)*I34/2</f>
        <v>0</v>
      </c>
      <c r="J46" s="2619">
        <f t="shared" si="31"/>
        <v>0</v>
      </c>
      <c r="K46" s="2619">
        <f t="shared" si="31"/>
        <v>0</v>
      </c>
      <c r="L46" s="2580"/>
      <c r="M46" s="2580"/>
      <c r="N46" s="2580"/>
      <c r="O46" s="2619">
        <f t="shared" si="31"/>
        <v>0</v>
      </c>
      <c r="P46" s="3021">
        <v>0</v>
      </c>
      <c r="Q46" s="3021">
        <v>0</v>
      </c>
      <c r="R46" s="2593"/>
    </row>
  </sheetData>
  <mergeCells count="22">
    <mergeCell ref="H6:H8"/>
    <mergeCell ref="C6:C8"/>
    <mergeCell ref="I6:I8"/>
    <mergeCell ref="E6:E8"/>
    <mergeCell ref="F6:F8"/>
    <mergeCell ref="G6:G8"/>
    <mergeCell ref="D4:D5"/>
    <mergeCell ref="D6:D8"/>
    <mergeCell ref="F4:H5"/>
    <mergeCell ref="A1:R1"/>
    <mergeCell ref="A2:R2"/>
    <mergeCell ref="A4:A5"/>
    <mergeCell ref="B4:B5"/>
    <mergeCell ref="C4:C5"/>
    <mergeCell ref="I4:K4"/>
    <mergeCell ref="R4:R5"/>
    <mergeCell ref="O4:P4"/>
    <mergeCell ref="L4:N4"/>
    <mergeCell ref="E4:E5"/>
    <mergeCell ref="L6:L8"/>
    <mergeCell ref="M6:M8"/>
    <mergeCell ref="N6:N8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47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33CC"/>
  </sheetPr>
  <dimension ref="A1:BV435"/>
  <sheetViews>
    <sheetView tabSelected="1" zoomScale="80" zoomScaleNormal="80" zoomScalePageLayoutView="9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BW30" sqref="BW30"/>
    </sheetView>
  </sheetViews>
  <sheetFormatPr defaultRowHeight="12.75"/>
  <cols>
    <col min="1" max="1" width="57" customWidth="1"/>
    <col min="2" max="13" width="12.7109375" hidden="1" customWidth="1"/>
    <col min="14" max="14" width="12.140625" hidden="1" customWidth="1"/>
    <col min="15" max="15" width="11.5703125" hidden="1" customWidth="1"/>
    <col min="16" max="27" width="12.7109375" hidden="1" customWidth="1"/>
    <col min="28" max="28" width="11.140625" hidden="1" customWidth="1"/>
    <col min="29" max="29" width="12" hidden="1" customWidth="1"/>
    <col min="30" max="33" width="12.7109375" customWidth="1"/>
    <col min="34" max="34" width="12" customWidth="1"/>
    <col min="35" max="46" width="12.7109375" hidden="1" customWidth="1"/>
    <col min="47" max="48" width="10.7109375" hidden="1" customWidth="1"/>
    <col min="49" max="49" width="12.7109375" hidden="1" customWidth="1"/>
    <col min="50" max="50" width="13.140625" hidden="1" customWidth="1"/>
    <col min="51" max="51" width="12.7109375" hidden="1" customWidth="1"/>
    <col min="52" max="53" width="10.7109375" hidden="1" customWidth="1"/>
    <col min="54" max="65" width="12.7109375" hidden="1" customWidth="1"/>
    <col min="66" max="66" width="11.140625" hidden="1" customWidth="1"/>
    <col min="67" max="67" width="10.7109375" hidden="1" customWidth="1"/>
    <col min="68" max="69" width="14.28515625" hidden="1" customWidth="1"/>
    <col min="70" max="70" width="12.7109375" hidden="1" customWidth="1"/>
    <col min="71" max="71" width="11.140625" hidden="1" customWidth="1"/>
    <col min="72" max="72" width="10.7109375" hidden="1" customWidth="1"/>
  </cols>
  <sheetData>
    <row r="1" spans="1:72" ht="23.25">
      <c r="A1" s="4715" t="s">
        <v>2032</v>
      </c>
      <c r="T1" s="3051"/>
    </row>
    <row r="2" spans="1:72" ht="23.25">
      <c r="A2" s="4715" t="s">
        <v>2034</v>
      </c>
      <c r="T2" s="3051"/>
    </row>
    <row r="3" spans="1:72" ht="23.25">
      <c r="T3" s="3051"/>
    </row>
    <row r="4" spans="1:72" ht="18.75" customHeight="1">
      <c r="A4" s="4769" t="s">
        <v>2026</v>
      </c>
      <c r="B4" s="4770"/>
      <c r="C4" s="4770"/>
      <c r="D4" s="4770"/>
      <c r="E4" s="4771"/>
      <c r="F4" s="4771"/>
      <c r="G4" s="4771"/>
      <c r="H4" s="4771"/>
      <c r="I4" s="4771"/>
      <c r="J4" s="4771"/>
      <c r="K4" s="4771"/>
      <c r="L4" s="4771"/>
      <c r="M4" s="4771"/>
      <c r="N4" s="4771"/>
      <c r="O4" s="4771"/>
      <c r="P4" s="4771"/>
      <c r="Q4" s="4771"/>
      <c r="R4" s="4771"/>
      <c r="S4" s="4771"/>
      <c r="T4" s="4771"/>
      <c r="U4" s="4771"/>
      <c r="V4" s="4771"/>
      <c r="W4" s="4771"/>
      <c r="X4" s="4771"/>
      <c r="Y4" s="4772"/>
      <c r="Z4" s="4772"/>
      <c r="AA4" s="4772"/>
      <c r="AB4" s="4772"/>
      <c r="AC4" s="4772"/>
      <c r="AD4" s="4772"/>
      <c r="AE4" s="4772"/>
      <c r="AF4" s="4772"/>
      <c r="AG4" s="4772"/>
      <c r="AH4" s="4772"/>
      <c r="AI4" s="4772"/>
      <c r="AJ4" s="4772"/>
      <c r="AK4" s="4772"/>
      <c r="AL4" s="4772"/>
      <c r="AM4" s="4772"/>
      <c r="AN4" s="4772"/>
      <c r="AO4" s="4772"/>
      <c r="AP4" s="4772"/>
      <c r="AQ4" s="4772"/>
      <c r="AR4" s="4772"/>
      <c r="AS4" s="4772"/>
      <c r="AT4" s="4772"/>
      <c r="AU4" s="4772"/>
      <c r="AV4" s="4772"/>
      <c r="AW4" s="4772"/>
      <c r="AX4" s="4772"/>
      <c r="AY4" s="4772"/>
      <c r="AZ4" s="4772"/>
      <c r="BA4" s="4772"/>
      <c r="BB4" s="4772"/>
      <c r="BC4" s="4772"/>
      <c r="BD4" s="4772"/>
      <c r="BE4" s="4772"/>
      <c r="BF4" s="4772"/>
      <c r="BG4" s="4772"/>
      <c r="BH4" s="4772"/>
      <c r="BI4" s="4772"/>
      <c r="BJ4" s="4772"/>
      <c r="BK4" s="4772"/>
      <c r="BL4" s="4772"/>
      <c r="BM4" s="4772"/>
      <c r="BN4" s="4772"/>
      <c r="BO4" s="4772"/>
      <c r="BP4" s="4806"/>
      <c r="BQ4" s="4806"/>
      <c r="BR4" s="4772"/>
      <c r="BS4" s="4772"/>
      <c r="BT4" s="4773"/>
    </row>
    <row r="5" spans="1:72" ht="19.5" customHeight="1">
      <c r="A5" s="4895" t="s">
        <v>545</v>
      </c>
      <c r="B5" s="4896" t="s">
        <v>2010</v>
      </c>
      <c r="C5" s="4897"/>
      <c r="D5" s="4897"/>
      <c r="E5" s="4896" t="s">
        <v>2011</v>
      </c>
      <c r="F5" s="4897"/>
      <c r="G5" s="4897"/>
      <c r="H5" s="4896" t="s">
        <v>2012</v>
      </c>
      <c r="I5" s="4897"/>
      <c r="J5" s="4897"/>
      <c r="K5" s="4898" t="s">
        <v>1983</v>
      </c>
      <c r="L5" s="4899"/>
      <c r="M5" s="4899"/>
      <c r="N5" s="4900"/>
      <c r="O5" s="4901"/>
      <c r="P5" s="4896" t="s">
        <v>2013</v>
      </c>
      <c r="Q5" s="4897"/>
      <c r="R5" s="4897"/>
      <c r="S5" s="4896" t="s">
        <v>2014</v>
      </c>
      <c r="T5" s="4897"/>
      <c r="U5" s="4897"/>
      <c r="V5" s="4896" t="s">
        <v>2015</v>
      </c>
      <c r="W5" s="4897"/>
      <c r="X5" s="4897"/>
      <c r="Y5" s="4898" t="s">
        <v>1984</v>
      </c>
      <c r="Z5" s="4899"/>
      <c r="AA5" s="4899"/>
      <c r="AB5" s="4900"/>
      <c r="AC5" s="4901"/>
      <c r="AD5" s="4898" t="s">
        <v>1985</v>
      </c>
      <c r="AE5" s="4899"/>
      <c r="AF5" s="4899"/>
      <c r="AG5" s="4900"/>
      <c r="AH5" s="4901"/>
      <c r="AI5" s="4896" t="s">
        <v>1376</v>
      </c>
      <c r="AJ5" s="4897"/>
      <c r="AK5" s="4897"/>
      <c r="AL5" s="4896" t="s">
        <v>2016</v>
      </c>
      <c r="AM5" s="4897"/>
      <c r="AN5" s="4897"/>
      <c r="AO5" s="4896" t="s">
        <v>2017</v>
      </c>
      <c r="AP5" s="4897"/>
      <c r="AQ5" s="4897"/>
      <c r="AR5" s="4898" t="s">
        <v>1986</v>
      </c>
      <c r="AS5" s="4899"/>
      <c r="AT5" s="4899"/>
      <c r="AU5" s="4900"/>
      <c r="AV5" s="4901"/>
      <c r="AW5" s="4898" t="s">
        <v>1987</v>
      </c>
      <c r="AX5" s="4899"/>
      <c r="AY5" s="4899"/>
      <c r="AZ5" s="4900"/>
      <c r="BA5" s="4901"/>
      <c r="BB5" s="4896" t="s">
        <v>2018</v>
      </c>
      <c r="BC5" s="4897"/>
      <c r="BD5" s="4897"/>
      <c r="BE5" s="4896" t="s">
        <v>2019</v>
      </c>
      <c r="BF5" s="4897"/>
      <c r="BG5" s="4897"/>
      <c r="BH5" s="4896" t="s">
        <v>2020</v>
      </c>
      <c r="BI5" s="4897"/>
      <c r="BJ5" s="4897"/>
      <c r="BK5" s="4898" t="s">
        <v>1988</v>
      </c>
      <c r="BL5" s="4899"/>
      <c r="BM5" s="4899"/>
      <c r="BN5" s="4900"/>
      <c r="BO5" s="4901"/>
      <c r="BP5" s="4905" t="s">
        <v>887</v>
      </c>
      <c r="BQ5" s="4906"/>
      <c r="BR5" s="4906"/>
      <c r="BS5" s="4907"/>
      <c r="BT5" s="4907"/>
    </row>
    <row r="6" spans="1:72" ht="19.5" customHeight="1">
      <c r="A6" s="4895"/>
      <c r="B6" s="4902" t="s">
        <v>1989</v>
      </c>
      <c r="C6" s="4902" t="s">
        <v>1990</v>
      </c>
      <c r="D6" s="4902" t="s">
        <v>2021</v>
      </c>
      <c r="E6" s="4902" t="s">
        <v>1989</v>
      </c>
      <c r="F6" s="4902" t="s">
        <v>1990</v>
      </c>
      <c r="G6" s="4902" t="s">
        <v>2021</v>
      </c>
      <c r="H6" s="4902" t="s">
        <v>1989</v>
      </c>
      <c r="I6" s="4902" t="s">
        <v>1990</v>
      </c>
      <c r="J6" s="4902" t="s">
        <v>2021</v>
      </c>
      <c r="K6" s="4904" t="s">
        <v>1989</v>
      </c>
      <c r="L6" s="4904" t="s">
        <v>1990</v>
      </c>
      <c r="M6" s="4904" t="s">
        <v>2021</v>
      </c>
      <c r="N6" s="4908" t="s">
        <v>2022</v>
      </c>
      <c r="O6" s="4908"/>
      <c r="P6" s="4902" t="s">
        <v>1989</v>
      </c>
      <c r="Q6" s="4902" t="s">
        <v>1990</v>
      </c>
      <c r="R6" s="4902" t="s">
        <v>2021</v>
      </c>
      <c r="S6" s="4902" t="s">
        <v>1989</v>
      </c>
      <c r="T6" s="4902" t="s">
        <v>1990</v>
      </c>
      <c r="U6" s="4902" t="s">
        <v>2021</v>
      </c>
      <c r="V6" s="4902" t="s">
        <v>1989</v>
      </c>
      <c r="W6" s="4902" t="s">
        <v>1990</v>
      </c>
      <c r="X6" s="4902" t="s">
        <v>2021</v>
      </c>
      <c r="Y6" s="4904" t="s">
        <v>1989</v>
      </c>
      <c r="Z6" s="4904" t="s">
        <v>1990</v>
      </c>
      <c r="AA6" s="4904" t="s">
        <v>2021</v>
      </c>
      <c r="AB6" s="4908" t="s">
        <v>2022</v>
      </c>
      <c r="AC6" s="4908"/>
      <c r="AD6" s="4904" t="s">
        <v>1989</v>
      </c>
      <c r="AE6" s="4904" t="s">
        <v>1990</v>
      </c>
      <c r="AF6" s="4904" t="s">
        <v>2021</v>
      </c>
      <c r="AG6" s="4908" t="s">
        <v>2022</v>
      </c>
      <c r="AH6" s="4908"/>
      <c r="AI6" s="4902" t="s">
        <v>1989</v>
      </c>
      <c r="AJ6" s="4902" t="s">
        <v>1990</v>
      </c>
      <c r="AK6" s="4902" t="s">
        <v>2021</v>
      </c>
      <c r="AL6" s="4902" t="s">
        <v>1989</v>
      </c>
      <c r="AM6" s="4902" t="s">
        <v>1990</v>
      </c>
      <c r="AN6" s="4902" t="s">
        <v>2021</v>
      </c>
      <c r="AO6" s="4902" t="s">
        <v>1989</v>
      </c>
      <c r="AP6" s="4902" t="s">
        <v>1990</v>
      </c>
      <c r="AQ6" s="4902" t="s">
        <v>2021</v>
      </c>
      <c r="AR6" s="4904" t="s">
        <v>1989</v>
      </c>
      <c r="AS6" s="4904" t="s">
        <v>1990</v>
      </c>
      <c r="AT6" s="4904" t="s">
        <v>2021</v>
      </c>
      <c r="AU6" s="4908" t="s">
        <v>2022</v>
      </c>
      <c r="AV6" s="4908"/>
      <c r="AW6" s="4904" t="s">
        <v>1989</v>
      </c>
      <c r="AX6" s="4904" t="s">
        <v>1990</v>
      </c>
      <c r="AY6" s="4904" t="s">
        <v>2021</v>
      </c>
      <c r="AZ6" s="4908" t="s">
        <v>2022</v>
      </c>
      <c r="BA6" s="4908"/>
      <c r="BB6" s="4902" t="s">
        <v>1989</v>
      </c>
      <c r="BC6" s="4902" t="s">
        <v>1990</v>
      </c>
      <c r="BD6" s="4902" t="s">
        <v>2021</v>
      </c>
      <c r="BE6" s="4902" t="s">
        <v>1989</v>
      </c>
      <c r="BF6" s="4902" t="s">
        <v>1990</v>
      </c>
      <c r="BG6" s="4902" t="s">
        <v>2021</v>
      </c>
      <c r="BH6" s="4902" t="s">
        <v>1989</v>
      </c>
      <c r="BI6" s="4902" t="s">
        <v>1990</v>
      </c>
      <c r="BJ6" s="4902" t="s">
        <v>2021</v>
      </c>
      <c r="BK6" s="4904" t="s">
        <v>1989</v>
      </c>
      <c r="BL6" s="4904" t="s">
        <v>1990</v>
      </c>
      <c r="BM6" s="4904" t="s">
        <v>2021</v>
      </c>
      <c r="BN6" s="4908" t="s">
        <v>2022</v>
      </c>
      <c r="BO6" s="4908"/>
      <c r="BP6" s="4911" t="s">
        <v>1989</v>
      </c>
      <c r="BQ6" s="4911" t="s">
        <v>1990</v>
      </c>
      <c r="BR6" s="4911" t="s">
        <v>2021</v>
      </c>
      <c r="BS6" s="4908" t="s">
        <v>2022</v>
      </c>
      <c r="BT6" s="4908"/>
    </row>
    <row r="7" spans="1:72" ht="24.75" customHeight="1">
      <c r="A7" s="4895"/>
      <c r="B7" s="4903"/>
      <c r="C7" s="4903"/>
      <c r="D7" s="4903"/>
      <c r="E7" s="4903"/>
      <c r="F7" s="4903"/>
      <c r="G7" s="4903"/>
      <c r="H7" s="4903"/>
      <c r="I7" s="4903"/>
      <c r="J7" s="4903"/>
      <c r="K7" s="4903"/>
      <c r="L7" s="4903"/>
      <c r="M7" s="4903"/>
      <c r="N7" s="4720" t="s">
        <v>2023</v>
      </c>
      <c r="O7" s="4720" t="s">
        <v>44</v>
      </c>
      <c r="P7" s="4903"/>
      <c r="Q7" s="4903"/>
      <c r="R7" s="4903"/>
      <c r="S7" s="4903"/>
      <c r="T7" s="4903"/>
      <c r="U7" s="4903"/>
      <c r="V7" s="4903"/>
      <c r="W7" s="4903"/>
      <c r="X7" s="4903"/>
      <c r="Y7" s="4903"/>
      <c r="Z7" s="4903"/>
      <c r="AA7" s="4903"/>
      <c r="AB7" s="4720" t="s">
        <v>2023</v>
      </c>
      <c r="AC7" s="4720" t="s">
        <v>44</v>
      </c>
      <c r="AD7" s="4903"/>
      <c r="AE7" s="4903"/>
      <c r="AF7" s="4903"/>
      <c r="AG7" s="4720" t="s">
        <v>2023</v>
      </c>
      <c r="AH7" s="4720" t="s">
        <v>44</v>
      </c>
      <c r="AI7" s="4903"/>
      <c r="AJ7" s="4903"/>
      <c r="AK7" s="4903"/>
      <c r="AL7" s="4903"/>
      <c r="AM7" s="4903"/>
      <c r="AN7" s="4903"/>
      <c r="AO7" s="4903"/>
      <c r="AP7" s="4903"/>
      <c r="AQ7" s="4903"/>
      <c r="AR7" s="4903"/>
      <c r="AS7" s="4903"/>
      <c r="AT7" s="4903"/>
      <c r="AU7" s="4720" t="s">
        <v>2023</v>
      </c>
      <c r="AV7" s="4720" t="s">
        <v>44</v>
      </c>
      <c r="AW7" s="4903"/>
      <c r="AX7" s="4903"/>
      <c r="AY7" s="4903"/>
      <c r="AZ7" s="4720" t="s">
        <v>2023</v>
      </c>
      <c r="BA7" s="4720" t="s">
        <v>44</v>
      </c>
      <c r="BB7" s="4903"/>
      <c r="BC7" s="4903"/>
      <c r="BD7" s="4903"/>
      <c r="BE7" s="4903"/>
      <c r="BF7" s="4903"/>
      <c r="BG7" s="4903"/>
      <c r="BH7" s="4903"/>
      <c r="BI7" s="4903"/>
      <c r="BJ7" s="4903"/>
      <c r="BK7" s="4903"/>
      <c r="BL7" s="4903"/>
      <c r="BM7" s="4903"/>
      <c r="BN7" s="4720" t="s">
        <v>2023</v>
      </c>
      <c r="BO7" s="4720" t="s">
        <v>44</v>
      </c>
      <c r="BP7" s="4903"/>
      <c r="BQ7" s="4903"/>
      <c r="BR7" s="4903"/>
      <c r="BS7" s="4720" t="s">
        <v>2023</v>
      </c>
      <c r="BT7" s="4720" t="s">
        <v>44</v>
      </c>
    </row>
    <row r="8" spans="1:72" ht="18.75" customHeight="1">
      <c r="A8" s="4807" t="s">
        <v>1751</v>
      </c>
      <c r="B8" s="4808">
        <f>SUM('Произв. прогр. Стоки (СВОД)'!E12)</f>
        <v>347.17812500000002</v>
      </c>
      <c r="C8" s="4809">
        <f>SUM('ПОЛНАЯ СЕБЕСТОИМОСТЬ СТОКИ 2018'!C7)</f>
        <v>307.29000000000002</v>
      </c>
      <c r="D8" s="4810">
        <v>274.05</v>
      </c>
      <c r="E8" s="4808">
        <f>SUM('Произв. прогр. Стоки (СВОД)'!F12)</f>
        <v>345.15937500000001</v>
      </c>
      <c r="F8" s="4811">
        <f>SUM('ПОЛНАЯ СЕБЕСТОИМОСТЬ СТОКИ 2018'!D7)</f>
        <v>251.1</v>
      </c>
      <c r="G8" s="4812">
        <v>241.64</v>
      </c>
      <c r="H8" s="4808">
        <f>SUM('Произв. прогр. Стоки (СВОД)'!G12)</f>
        <v>345.15937500000001</v>
      </c>
      <c r="I8" s="4811">
        <f>SUM('ПОЛНАЯ СЕБЕСТОИМОСТЬ СТОКИ 2018'!E7)</f>
        <v>279.60000000000002</v>
      </c>
      <c r="J8" s="4812">
        <v>365.25</v>
      </c>
      <c r="K8" s="4758">
        <f t="shared" ref="K8:M12" si="0">SUM(B8+E8+H8)</f>
        <v>1037.496875</v>
      </c>
      <c r="L8" s="4813">
        <f t="shared" si="0"/>
        <v>837.99</v>
      </c>
      <c r="M8" s="4813">
        <f t="shared" si="0"/>
        <v>880.94</v>
      </c>
      <c r="N8" s="4758">
        <f>SUM(L8-K8)</f>
        <v>-199.50687500000004</v>
      </c>
      <c r="O8" s="4758">
        <f>SUM(N8/K8*100)</f>
        <v>-19.229636233844079</v>
      </c>
      <c r="P8" s="4808">
        <f>SUM('Произв. прогр. Стоки (СВОД)'!I12)</f>
        <v>343.14062499999989</v>
      </c>
      <c r="Q8" s="4811">
        <f>SUM('ПОЛНАЯ СЕБЕСТОИМОСТЬ СТОКИ 2018'!H7)</f>
        <v>651.75099999999998</v>
      </c>
      <c r="R8" s="4812">
        <v>511.28</v>
      </c>
      <c r="S8" s="4808">
        <f>SUM('Произв. прогр. Стоки (СВОД)'!J12)</f>
        <v>324.97187499999995</v>
      </c>
      <c r="T8" s="4811">
        <f>SUM('ПОЛНАЯ СЕБЕСТОИМОСТЬ СТОКИ 2018'!I7)</f>
        <v>517.57399999999996</v>
      </c>
      <c r="U8" s="4812">
        <v>386.87</v>
      </c>
      <c r="V8" s="4808">
        <f>SUM('Произв. прогр. Стоки (СВОД)'!K12)</f>
        <v>324.97187499999995</v>
      </c>
      <c r="W8" s="4811">
        <f>SUM('ПОЛНАЯ СЕБЕСТОИМОСТЬ СТОКИ 2018'!J7)</f>
        <v>491.72199999999998</v>
      </c>
      <c r="X8" s="4812">
        <v>422.29</v>
      </c>
      <c r="Y8" s="4758">
        <f t="shared" ref="Y8:AA12" si="1">SUM(P8+S8+V8)</f>
        <v>993.0843749999998</v>
      </c>
      <c r="Z8" s="4813">
        <f>SUM(Q8+T8+W8)</f>
        <v>1661.0469999999998</v>
      </c>
      <c r="AA8" s="4813">
        <f t="shared" si="1"/>
        <v>1320.44</v>
      </c>
      <c r="AB8" s="4758">
        <f>SUM(Z8-Y8)</f>
        <v>667.962625</v>
      </c>
      <c r="AC8" s="4758">
        <f>SUM(AB8/Y8*100)</f>
        <v>67.261417238590639</v>
      </c>
      <c r="AD8" s="4814">
        <f t="shared" ref="AD8:AF12" si="2">SUM(K8+Y8)</f>
        <v>2030.5812499999997</v>
      </c>
      <c r="AE8" s="4814">
        <f t="shared" si="2"/>
        <v>2499.0369999999998</v>
      </c>
      <c r="AF8" s="4814">
        <f t="shared" si="2"/>
        <v>2201.38</v>
      </c>
      <c r="AG8" s="4758">
        <f>SUM(AE8-AD8)</f>
        <v>468.45575000000008</v>
      </c>
      <c r="AH8" s="4758">
        <f>SUM(AG8/AD8*100)</f>
        <v>23.07003228755314</v>
      </c>
      <c r="AI8" s="4808">
        <f>SUM('Произв. прогр. Стоки (СВОД)'!N12)</f>
        <v>324.97187499999995</v>
      </c>
      <c r="AJ8" s="4811">
        <f>SUM('ПОЛНАЯ СЕБЕСТОИМОСТЬ СТОКИ 2018'!P7)</f>
        <v>0</v>
      </c>
      <c r="AK8" s="4812">
        <v>436.89</v>
      </c>
      <c r="AL8" s="4808">
        <f>SUM('Произв. прогр. Стоки (СВОД)'!O12)</f>
        <v>324.97187499999995</v>
      </c>
      <c r="AM8" s="4811">
        <f>SUM('ПОЛНАЯ СЕБЕСТОИМОСТЬ СТОКИ 2018'!Q7)</f>
        <v>0</v>
      </c>
      <c r="AN8" s="4812">
        <v>319.39</v>
      </c>
      <c r="AO8" s="4808">
        <f>SUM('Произв. прогр. Стоки (СВОД)'!P12)</f>
        <v>343.14062499999989</v>
      </c>
      <c r="AP8" s="4811">
        <f>SUM('ПОЛНАЯ СЕБЕСТОИМОСТЬ СТОКИ 2018'!R7)</f>
        <v>0</v>
      </c>
      <c r="AQ8" s="4812">
        <v>342.74</v>
      </c>
      <c r="AR8" s="4758">
        <f t="shared" ref="AR8:AT12" si="3">SUM(AI8+AL8+AO8)</f>
        <v>993.0843749999998</v>
      </c>
      <c r="AS8" s="4813">
        <f t="shared" si="3"/>
        <v>0</v>
      </c>
      <c r="AT8" s="4813">
        <f t="shared" si="3"/>
        <v>1099.02</v>
      </c>
      <c r="AU8" s="4758">
        <f>SUM(AS8-AR8)</f>
        <v>-993.0843749999998</v>
      </c>
      <c r="AV8" s="4758">
        <f>SUM(AU8/AR8*100)</f>
        <v>-100</v>
      </c>
      <c r="AW8" s="4814">
        <f t="shared" ref="AW8:AY12" si="4">SUM(AD8+AR8)</f>
        <v>3023.6656249999996</v>
      </c>
      <c r="AX8" s="4814">
        <f t="shared" si="4"/>
        <v>2499.0369999999998</v>
      </c>
      <c r="AY8" s="4814">
        <f t="shared" si="4"/>
        <v>3300.4</v>
      </c>
      <c r="AZ8" s="4758">
        <f>SUM(AX8-AW8)</f>
        <v>-524.62862499999983</v>
      </c>
      <c r="BA8" s="4758">
        <f>SUM(AZ8/AW8*100)</f>
        <v>-17.350748729036461</v>
      </c>
      <c r="BB8" s="4808">
        <f>SUM('Произв. прогр. Стоки (СВОД)'!S12)</f>
        <v>345.15937500000001</v>
      </c>
      <c r="BC8" s="4811">
        <f>SUM('ПОЛНАЯ СЕБЕСТОИМОСТЬ СТОКИ 2018'!X7)</f>
        <v>0</v>
      </c>
      <c r="BD8" s="4812">
        <v>351.15</v>
      </c>
      <c r="BE8" s="4808">
        <f>SUM('Произв. прогр. Стоки (СВОД)'!T12)</f>
        <v>345.15937500000001</v>
      </c>
      <c r="BF8" s="4808">
        <f>SUM('ПОЛНАЯ СЕБЕСТОИМОСТЬ СТОКИ 2018'!Y7)</f>
        <v>0</v>
      </c>
      <c r="BG8" s="4864">
        <v>375.59399999999999</v>
      </c>
      <c r="BH8" s="4808">
        <f>SUM('Произв. прогр. Стоки (СВОД)'!U12)</f>
        <v>347.17812500000002</v>
      </c>
      <c r="BI8" s="4811">
        <f>SUM('ПОЛНАЯ СЕБЕСТОИМОСТЬ СТОКИ 2018'!Z7)</f>
        <v>0</v>
      </c>
      <c r="BJ8" s="4812">
        <v>332.34</v>
      </c>
      <c r="BK8" s="4758">
        <f t="shared" ref="BK8:BM12" si="5">SUM(BB8+BE8+BH8)</f>
        <v>1037.496875</v>
      </c>
      <c r="BL8" s="4758">
        <f t="shared" si="5"/>
        <v>0</v>
      </c>
      <c r="BM8" s="4758">
        <f t="shared" si="5"/>
        <v>1059.0839999999998</v>
      </c>
      <c r="BN8" s="4758">
        <f>SUM(BL8-BK8)</f>
        <v>-1037.496875</v>
      </c>
      <c r="BO8" s="4758">
        <f>SUM(BN8/BK8*100)</f>
        <v>-100</v>
      </c>
      <c r="BP8" s="4815">
        <f t="shared" ref="BP8:BR9" si="6">SUM(AW8+BK8)</f>
        <v>4061.1624999999995</v>
      </c>
      <c r="BQ8" s="4815">
        <f t="shared" si="6"/>
        <v>2499.0369999999998</v>
      </c>
      <c r="BR8" s="4815">
        <f t="shared" si="6"/>
        <v>4359.4840000000004</v>
      </c>
      <c r="BS8" s="4758">
        <f>SUM(BQ8-BP8)</f>
        <v>-1562.1254999999996</v>
      </c>
      <c r="BT8" s="4758">
        <f>SUM(BS8/BP8*100)</f>
        <v>-38.464983856223427</v>
      </c>
    </row>
    <row r="9" spans="1:72" ht="18.75" customHeight="1">
      <c r="A9" s="4721" t="s">
        <v>1757</v>
      </c>
      <c r="B9" s="4808">
        <f>SUM('Произв. прогр. Стоки (СВОД)'!E13)</f>
        <v>277.74250000000001</v>
      </c>
      <c r="C9" s="4809">
        <f>SUM('ПОЛНАЯ СЕБЕСТОИМОСТЬ СТОКИ 2018'!C8)</f>
        <v>270.68799999999999</v>
      </c>
      <c r="D9" s="4760">
        <f>SUM(D10:D12)</f>
        <v>257.02000000000004</v>
      </c>
      <c r="E9" s="4808">
        <f>SUM('Произв. прогр. Стоки (СВОД)'!F13)</f>
        <v>276.1275</v>
      </c>
      <c r="F9" s="4811">
        <f>SUM('ПОЛНАЯ СЕБЕСТОИМОСТЬ СТОКИ 2018'!D8)</f>
        <v>264.64999999999998</v>
      </c>
      <c r="G9" s="4760">
        <f>SUM(G10:G12)</f>
        <v>271.67999999999995</v>
      </c>
      <c r="H9" s="4808">
        <f>SUM('Произв. прогр. Стоки (СВОД)'!G13)</f>
        <v>276.1275</v>
      </c>
      <c r="I9" s="4811">
        <f>SUM('ПОЛНАЯ СЕБЕСТОИМОСТЬ СТОКИ 2018'!E8)</f>
        <v>261.37</v>
      </c>
      <c r="J9" s="4760">
        <f>SUM(J10:J12)</f>
        <v>261.83000000000004</v>
      </c>
      <c r="K9" s="4761">
        <f t="shared" si="0"/>
        <v>829.99749999999995</v>
      </c>
      <c r="L9" s="4761">
        <f t="shared" si="0"/>
        <v>796.70799999999997</v>
      </c>
      <c r="M9" s="4761">
        <f t="shared" si="0"/>
        <v>790.53000000000009</v>
      </c>
      <c r="N9" s="4758">
        <f t="shared" ref="N9:N12" si="7">SUM(L9-K9)</f>
        <v>-33.289499999999975</v>
      </c>
      <c r="O9" s="4758">
        <f t="shared" ref="O9:O12" si="8">SUM(N9/K9*100)</f>
        <v>-4.010795213238592</v>
      </c>
      <c r="P9" s="4808">
        <f>SUM('Произв. прогр. Стоки (СВОД)'!I13)</f>
        <v>274.51249999999993</v>
      </c>
      <c r="Q9" s="4811">
        <f>SUM('ПОЛНАЯ СЕБЕСТОИМОСТЬ СТОКИ 2018'!H8)</f>
        <v>274.02999999999997</v>
      </c>
      <c r="R9" s="4760">
        <f>SUM(R10:R12)</f>
        <v>285.02999999999997</v>
      </c>
      <c r="S9" s="4808">
        <f>SUM('Произв. прогр. Стоки (СВОД)'!J13)</f>
        <v>259.97749999999996</v>
      </c>
      <c r="T9" s="4811">
        <f>SUM('ПОЛНАЯ СЕБЕСТОИМОСТЬ СТОКИ 2018'!I8)</f>
        <v>261.78999999999996</v>
      </c>
      <c r="U9" s="4760">
        <f>SUM(U10:U12)</f>
        <v>266.5</v>
      </c>
      <c r="V9" s="4808">
        <f>SUM('Произв. прогр. Стоки (СВОД)'!K13)</f>
        <v>259.97749999999996</v>
      </c>
      <c r="W9" s="4811">
        <f>SUM('ПОЛНАЯ СЕБЕСТОИМОСТЬ СТОКИ 2018'!J8)</f>
        <v>281.02999999999997</v>
      </c>
      <c r="X9" s="4760">
        <f>SUM(X10:X12)</f>
        <v>259.78999999999996</v>
      </c>
      <c r="Y9" s="4761">
        <f t="shared" si="1"/>
        <v>794.46749999999986</v>
      </c>
      <c r="Z9" s="4761">
        <f t="shared" si="1"/>
        <v>816.84999999999991</v>
      </c>
      <c r="AA9" s="4761">
        <f t="shared" si="1"/>
        <v>811.31999999999994</v>
      </c>
      <c r="AB9" s="4758">
        <f t="shared" ref="AB9:AB12" si="9">SUM(Z9-Y9)</f>
        <v>22.38250000000005</v>
      </c>
      <c r="AC9" s="4758">
        <f t="shared" ref="AC9:AC12" si="10">SUM(AB9/Y9*100)</f>
        <v>2.8172958616935309</v>
      </c>
      <c r="AD9" s="4761">
        <f t="shared" si="2"/>
        <v>1624.4649999999997</v>
      </c>
      <c r="AE9" s="4761">
        <f t="shared" si="2"/>
        <v>1613.558</v>
      </c>
      <c r="AF9" s="4761">
        <f t="shared" si="2"/>
        <v>1601.85</v>
      </c>
      <c r="AG9" s="4758">
        <f t="shared" ref="AG9:AG12" si="11">SUM(AE9-AD9)</f>
        <v>-10.906999999999698</v>
      </c>
      <c r="AH9" s="4758">
        <f t="shared" ref="AH9:AH12" si="12">SUM(AG9/AD9*100)</f>
        <v>-0.67142105246956385</v>
      </c>
      <c r="AI9" s="4808">
        <f>SUM('Произв. прогр. Стоки (СВОД)'!N13)</f>
        <v>259.97749999999996</v>
      </c>
      <c r="AJ9" s="4811">
        <f>SUM('ПОЛНАЯ СЕБЕСТОИМОСТЬ СТОКИ 2018'!P8)</f>
        <v>0</v>
      </c>
      <c r="AK9" s="4760">
        <f>SUM(AK10:AK12)</f>
        <v>232.16</v>
      </c>
      <c r="AL9" s="4808">
        <f>SUM('Произв. прогр. Стоки (СВОД)'!O13)</f>
        <v>259.97749999999996</v>
      </c>
      <c r="AM9" s="4811">
        <f>SUM('ПОЛНАЯ СЕБЕСТОИМОСТЬ СТОКИ 2018'!Q8)</f>
        <v>0</v>
      </c>
      <c r="AN9" s="4760">
        <f>SUM(AN10:AN12)</f>
        <v>244.42</v>
      </c>
      <c r="AO9" s="4808">
        <f>SUM('Произв. прогр. Стоки (СВОД)'!P13)</f>
        <v>274.51249999999993</v>
      </c>
      <c r="AP9" s="4811">
        <f>SUM('ПОЛНАЯ СЕБЕСТОИМОСТЬ СТОКИ 2018'!R8)</f>
        <v>0</v>
      </c>
      <c r="AQ9" s="4760">
        <f>SUM(AQ10:AQ12)</f>
        <v>260.64999999999998</v>
      </c>
      <c r="AR9" s="4761">
        <f t="shared" si="3"/>
        <v>794.46749999999986</v>
      </c>
      <c r="AS9" s="4761">
        <f t="shared" si="3"/>
        <v>0</v>
      </c>
      <c r="AT9" s="4761">
        <f t="shared" si="3"/>
        <v>737.23</v>
      </c>
      <c r="AU9" s="4758">
        <f t="shared" ref="AU9:AU12" si="13">SUM(AS9-AR9)</f>
        <v>-794.46749999999986</v>
      </c>
      <c r="AV9" s="4758">
        <f t="shared" ref="AV9:AV12" si="14">SUM(AU9/AR9*100)</f>
        <v>-100</v>
      </c>
      <c r="AW9" s="4761">
        <f t="shared" si="4"/>
        <v>2418.9324999999994</v>
      </c>
      <c r="AX9" s="4761">
        <f t="shared" si="4"/>
        <v>1613.558</v>
      </c>
      <c r="AY9" s="4761">
        <f t="shared" si="4"/>
        <v>2339.08</v>
      </c>
      <c r="AZ9" s="4758">
        <f t="shared" ref="AZ9:AZ12" si="15">SUM(AX9-AW9)</f>
        <v>-805.37449999999944</v>
      </c>
      <c r="BA9" s="4758">
        <f t="shared" ref="BA9:BA12" si="16">SUM(AZ9/AW9*100)</f>
        <v>-33.294624798335612</v>
      </c>
      <c r="BB9" s="4808">
        <f>SUM('Произв. прогр. Стоки (СВОД)'!S13)</f>
        <v>276.1275</v>
      </c>
      <c r="BC9" s="4811">
        <f>SUM('ПОЛНАЯ СЕБЕСТОИМОСТЬ СТОКИ 2018'!X8)</f>
        <v>0</v>
      </c>
      <c r="BD9" s="4760">
        <f>SUM(BD10:BD12)</f>
        <v>302.05</v>
      </c>
      <c r="BE9" s="4808">
        <f>SUM('Произв. прогр. Стоки (СВОД)'!T13)</f>
        <v>276.1275</v>
      </c>
      <c r="BF9" s="4808">
        <f>SUM('ПОЛНАЯ СЕБЕСТОИМОСТЬ СТОКИ 2018'!Y8)</f>
        <v>0</v>
      </c>
      <c r="BG9" s="4760">
        <f>SUM(BG10:BG12)</f>
        <v>289.8</v>
      </c>
      <c r="BH9" s="4808">
        <f>SUM('Произв. прогр. Стоки (СВОД)'!U13)</f>
        <v>277.74250000000001</v>
      </c>
      <c r="BI9" s="4811">
        <f>SUM('ПОЛНАЯ СЕБЕСТОИМОСТЬ СТОКИ 2018'!Z8)</f>
        <v>0</v>
      </c>
      <c r="BJ9" s="4760">
        <f>SUM(BJ10:BJ12)</f>
        <v>266.39</v>
      </c>
      <c r="BK9" s="4761">
        <f t="shared" si="5"/>
        <v>829.99749999999995</v>
      </c>
      <c r="BL9" s="4761">
        <f t="shared" si="5"/>
        <v>0</v>
      </c>
      <c r="BM9" s="4761">
        <f t="shared" si="5"/>
        <v>858.24</v>
      </c>
      <c r="BN9" s="4758">
        <f t="shared" ref="BN9:BN12" si="17">SUM(BL9-BK9)</f>
        <v>-829.99749999999995</v>
      </c>
      <c r="BO9" s="4758">
        <f t="shared" ref="BO9:BO12" si="18">SUM(BN9/BK9*100)</f>
        <v>-100</v>
      </c>
      <c r="BP9" s="4761">
        <f t="shared" si="6"/>
        <v>3248.9299999999994</v>
      </c>
      <c r="BQ9" s="4761">
        <f t="shared" si="6"/>
        <v>1613.558</v>
      </c>
      <c r="BR9" s="4761">
        <f t="shared" si="6"/>
        <v>3197.3199999999997</v>
      </c>
      <c r="BS9" s="4758">
        <f t="shared" ref="BS9:BS12" si="19">SUM(BQ9-BP9)</f>
        <v>-1635.3719999999994</v>
      </c>
      <c r="BT9" s="4758">
        <f t="shared" ref="BT9:BT12" si="20">SUM(BS9/BP9*100)</f>
        <v>-50.335710526234777</v>
      </c>
    </row>
    <row r="10" spans="1:72" ht="18.75" customHeight="1">
      <c r="A10" s="4620" t="s">
        <v>264</v>
      </c>
      <c r="B10" s="4816">
        <f>SUM('Произв. прогр. Стоки (СВОД)'!E14)</f>
        <v>194.94000000000003</v>
      </c>
      <c r="C10" s="4817">
        <f>SUM('ПОЛНАЯ СЕБЕСТОИМОСТЬ СТОКИ 2018'!C9)</f>
        <v>209.85</v>
      </c>
      <c r="D10" s="4818">
        <v>194.83</v>
      </c>
      <c r="E10" s="4816">
        <f>SUM('Произв. прогр. Стоки (СВОД)'!F14)</f>
        <v>193.8</v>
      </c>
      <c r="F10" s="4819">
        <f>SUM('ПОЛНАЯ СЕБЕСТОИМОСТЬ СТОКИ 2018'!D9)</f>
        <v>199.96</v>
      </c>
      <c r="G10" s="4738">
        <v>199.7</v>
      </c>
      <c r="H10" s="4816">
        <f>SUM('Произв. прогр. Стоки (СВОД)'!G14)</f>
        <v>193.8</v>
      </c>
      <c r="I10" s="4819">
        <f>SUM('ПОЛНАЯ СЕБЕСТОИМОСТЬ СТОКИ 2018'!E9)</f>
        <v>197.46</v>
      </c>
      <c r="J10" s="4738">
        <v>197.02</v>
      </c>
      <c r="K10" s="4800">
        <f t="shared" si="0"/>
        <v>582.54</v>
      </c>
      <c r="L10" s="4800">
        <f t="shared" si="0"/>
        <v>607.27</v>
      </c>
      <c r="M10" s="4800">
        <f t="shared" si="0"/>
        <v>591.54999999999995</v>
      </c>
      <c r="N10" s="4746">
        <f t="shared" si="7"/>
        <v>24.730000000000018</v>
      </c>
      <c r="O10" s="4746">
        <f t="shared" si="8"/>
        <v>4.2452020462114222</v>
      </c>
      <c r="P10" s="4816">
        <f>SUM('Произв. прогр. Стоки (СВОД)'!I14)</f>
        <v>192.65999999999997</v>
      </c>
      <c r="Q10" s="4819">
        <f>SUM('ПОЛНАЯ СЕБЕСТОИМОСТЬ СТОКИ 2018'!H9)</f>
        <v>206.13</v>
      </c>
      <c r="R10" s="4738">
        <v>219.04</v>
      </c>
      <c r="S10" s="4816">
        <f>SUM('Произв. прогр. Стоки (СВОД)'!J14)</f>
        <v>182.4</v>
      </c>
      <c r="T10" s="4819">
        <f>SUM('ПОЛНАЯ СЕБЕСТОИМОСТЬ СТОКИ 2018'!I9)</f>
        <v>199.51</v>
      </c>
      <c r="U10" s="4738">
        <v>201.74</v>
      </c>
      <c r="V10" s="4816">
        <f>SUM('Произв. прогр. Стоки (СВОД)'!K14)</f>
        <v>182.4</v>
      </c>
      <c r="W10" s="4819">
        <f>SUM('ПОЛНАЯ СЕБЕСТОИМОСТЬ СТОКИ 2018'!J9)</f>
        <v>213.38</v>
      </c>
      <c r="X10" s="4738">
        <v>191.13</v>
      </c>
      <c r="Y10" s="4800">
        <f t="shared" si="1"/>
        <v>557.45999999999992</v>
      </c>
      <c r="Z10" s="4800">
        <f t="shared" si="1"/>
        <v>619.02</v>
      </c>
      <c r="AA10" s="4800">
        <f t="shared" si="1"/>
        <v>611.91</v>
      </c>
      <c r="AB10" s="4746">
        <f t="shared" si="9"/>
        <v>61.560000000000059</v>
      </c>
      <c r="AC10" s="4746">
        <f t="shared" si="10"/>
        <v>11.042944785276086</v>
      </c>
      <c r="AD10" s="4800">
        <f t="shared" si="2"/>
        <v>1140</v>
      </c>
      <c r="AE10" s="4800">
        <f t="shared" si="2"/>
        <v>1226.29</v>
      </c>
      <c r="AF10" s="4800">
        <f t="shared" si="2"/>
        <v>1203.46</v>
      </c>
      <c r="AG10" s="4746">
        <f t="shared" si="11"/>
        <v>86.289999999999964</v>
      </c>
      <c r="AH10" s="4746">
        <f t="shared" si="12"/>
        <v>7.569298245614033</v>
      </c>
      <c r="AI10" s="4816">
        <f>SUM('Произв. прогр. Стоки (СВОД)'!N14)</f>
        <v>182.4</v>
      </c>
      <c r="AJ10" s="4819">
        <f>SUM('ПОЛНАЯ СЕБЕСТОИМОСТЬ СТОКИ 2018'!P9)</f>
        <v>0</v>
      </c>
      <c r="AK10" s="4738">
        <v>176.35</v>
      </c>
      <c r="AL10" s="4816">
        <f>SUM('Произв. прогр. Стоки (СВОД)'!O14)</f>
        <v>182.4</v>
      </c>
      <c r="AM10" s="4819">
        <f>SUM('ПОЛНАЯ СЕБЕСТОИМОСТЬ СТОКИ 2018'!Q9)</f>
        <v>0</v>
      </c>
      <c r="AN10" s="4738">
        <v>187.29</v>
      </c>
      <c r="AO10" s="4816">
        <f>SUM('Произв. прогр. Стоки (СВОД)'!P14)</f>
        <v>192.65999999999997</v>
      </c>
      <c r="AP10" s="4819">
        <f>SUM('ПОЛНАЯ СЕБЕСТОИМОСТЬ СТОКИ 2018'!R9)</f>
        <v>0</v>
      </c>
      <c r="AQ10" s="4738">
        <v>190.12</v>
      </c>
      <c r="AR10" s="4800">
        <f t="shared" si="3"/>
        <v>557.46</v>
      </c>
      <c r="AS10" s="4800">
        <f t="shared" si="3"/>
        <v>0</v>
      </c>
      <c r="AT10" s="4800">
        <f t="shared" si="3"/>
        <v>553.76</v>
      </c>
      <c r="AU10" s="4746">
        <f t="shared" si="13"/>
        <v>-557.46</v>
      </c>
      <c r="AV10" s="4746">
        <f t="shared" si="14"/>
        <v>-100</v>
      </c>
      <c r="AW10" s="4800">
        <f t="shared" si="4"/>
        <v>1697.46</v>
      </c>
      <c r="AX10" s="4800">
        <f t="shared" si="4"/>
        <v>1226.29</v>
      </c>
      <c r="AY10" s="4800">
        <f t="shared" si="4"/>
        <v>1757.22</v>
      </c>
      <c r="AZ10" s="4746">
        <f t="shared" si="15"/>
        <v>-471.17000000000007</v>
      </c>
      <c r="BA10" s="4746">
        <f t="shared" si="16"/>
        <v>-27.757355107042294</v>
      </c>
      <c r="BB10" s="4816">
        <f>SUM('Произв. прогр. Стоки (СВОД)'!S14)</f>
        <v>193.8</v>
      </c>
      <c r="BC10" s="4819">
        <f>SUM('ПОЛНАЯ СЕБЕСТОИМОСТЬ СТОКИ 2018'!X9)</f>
        <v>0</v>
      </c>
      <c r="BD10" s="4738">
        <v>241.25</v>
      </c>
      <c r="BE10" s="4816">
        <f>SUM('Произв. прогр. Стоки (СВОД)'!T14)</f>
        <v>193.8</v>
      </c>
      <c r="BF10" s="4816">
        <f>SUM('ПОЛНАЯ СЕБЕСТОИМОСТЬ СТОКИ 2018'!Y9)</f>
        <v>0</v>
      </c>
      <c r="BG10" s="4738">
        <v>227.14</v>
      </c>
      <c r="BH10" s="4816">
        <f>SUM('Произв. прогр. Стоки (СВОД)'!U14)</f>
        <v>194.94000000000003</v>
      </c>
      <c r="BI10" s="4819">
        <f>SUM('ПОЛНАЯ СЕБЕСТОИМОСТЬ СТОКИ 2018'!Z9)</f>
        <v>0</v>
      </c>
      <c r="BJ10" s="4738">
        <v>195.05</v>
      </c>
      <c r="BK10" s="4800">
        <f t="shared" si="5"/>
        <v>582.54000000000008</v>
      </c>
      <c r="BL10" s="4800">
        <f t="shared" si="5"/>
        <v>0</v>
      </c>
      <c r="BM10" s="4800">
        <f t="shared" si="5"/>
        <v>663.44</v>
      </c>
      <c r="BN10" s="4746">
        <f t="shared" si="17"/>
        <v>-582.54000000000008</v>
      </c>
      <c r="BO10" s="4746">
        <f t="shared" si="18"/>
        <v>-100</v>
      </c>
      <c r="BP10" s="4800">
        <f t="shared" ref="BP10:BR12" si="21">SUM(AW10+BK10)</f>
        <v>2280</v>
      </c>
      <c r="BQ10" s="4800">
        <f t="shared" si="21"/>
        <v>1226.29</v>
      </c>
      <c r="BR10" s="4800">
        <f t="shared" si="21"/>
        <v>2420.66</v>
      </c>
      <c r="BS10" s="4746">
        <f t="shared" si="19"/>
        <v>-1053.71</v>
      </c>
      <c r="BT10" s="4746">
        <f t="shared" si="20"/>
        <v>-46.215350877192982</v>
      </c>
    </row>
    <row r="11" spans="1:72" ht="18.75" customHeight="1">
      <c r="A11" s="4620" t="s">
        <v>1753</v>
      </c>
      <c r="B11" s="4816">
        <f>SUM('Произв. прогр. Стоки (СВОД)'!E15)</f>
        <v>1.5774999999999999</v>
      </c>
      <c r="C11" s="4817">
        <f>SUM('ПОЛНАЯ СЕБЕСТОИМОСТЬ СТОКИ 2018'!C10)</f>
        <v>0.23799999999999999</v>
      </c>
      <c r="D11" s="4818">
        <v>0.31</v>
      </c>
      <c r="E11" s="4816">
        <f>SUM('Произв. прогр. Стоки (СВОД)'!F15)</f>
        <v>1.5774999999999999</v>
      </c>
      <c r="F11" s="4819">
        <f>SUM('ПОЛНАЯ СЕБЕСТОИМОСТЬ СТОКИ 2018'!D10)</f>
        <v>0.19</v>
      </c>
      <c r="G11" s="4738">
        <v>0.32</v>
      </c>
      <c r="H11" s="4816">
        <f>SUM('Произв. прогр. Стоки (СВОД)'!G15)</f>
        <v>1.5774999999999999</v>
      </c>
      <c r="I11" s="4819">
        <f>SUM('ПОЛНАЯ СЕБЕСТОИМОСТЬ СТОКИ 2018'!E10)</f>
        <v>3.68</v>
      </c>
      <c r="J11" s="4738">
        <v>3.77</v>
      </c>
      <c r="K11" s="4800">
        <f t="shared" si="0"/>
        <v>4.7324999999999999</v>
      </c>
      <c r="L11" s="4800">
        <f t="shared" si="0"/>
        <v>4.1080000000000005</v>
      </c>
      <c r="M11" s="4800">
        <f t="shared" si="0"/>
        <v>4.4000000000000004</v>
      </c>
      <c r="N11" s="4746">
        <f t="shared" si="7"/>
        <v>-0.62449999999999939</v>
      </c>
      <c r="O11" s="4746">
        <f t="shared" si="8"/>
        <v>-13.195985208663485</v>
      </c>
      <c r="P11" s="4816">
        <f>SUM('Произв. прогр. Стоки (СВОД)'!I15)</f>
        <v>1.5774999999999999</v>
      </c>
      <c r="Q11" s="4819">
        <f>SUM('ПОЛНАЯ СЕБЕСТОИМОСТЬ СТОКИ 2018'!H10)</f>
        <v>0.26</v>
      </c>
      <c r="R11" s="4738">
        <v>0.43</v>
      </c>
      <c r="S11" s="4816">
        <f>SUM('Произв. прогр. Стоки (СВОД)'!J15)</f>
        <v>1.5774999999999999</v>
      </c>
      <c r="T11" s="4819">
        <f>SUM('ПОЛНАЯ СЕБЕСТОИМОСТЬ СТОКИ 2018'!I10)</f>
        <v>0.59</v>
      </c>
      <c r="U11" s="4738">
        <v>0.39</v>
      </c>
      <c r="V11" s="4816">
        <f>SUM('Произв. прогр. Стоки (СВОД)'!K15)</f>
        <v>1.5774999999999999</v>
      </c>
      <c r="W11" s="4819">
        <f>SUM('ПОЛНАЯ СЕБЕСТОИМОСТЬ СТОКИ 2018'!J10)</f>
        <v>3.75</v>
      </c>
      <c r="X11" s="4738">
        <v>4.07</v>
      </c>
      <c r="Y11" s="4800">
        <f t="shared" si="1"/>
        <v>4.7324999999999999</v>
      </c>
      <c r="Z11" s="4800">
        <f t="shared" si="1"/>
        <v>4.5999999999999996</v>
      </c>
      <c r="AA11" s="4800">
        <f t="shared" si="1"/>
        <v>4.8900000000000006</v>
      </c>
      <c r="AB11" s="4746">
        <f t="shared" si="9"/>
        <v>-0.13250000000000028</v>
      </c>
      <c r="AC11" s="4746">
        <f t="shared" si="10"/>
        <v>-2.7997886951928215</v>
      </c>
      <c r="AD11" s="4800">
        <f t="shared" si="2"/>
        <v>9.4649999999999999</v>
      </c>
      <c r="AE11" s="4800">
        <f t="shared" si="2"/>
        <v>8.7080000000000002</v>
      </c>
      <c r="AF11" s="4800">
        <f t="shared" si="2"/>
        <v>9.2900000000000009</v>
      </c>
      <c r="AG11" s="4746">
        <f t="shared" si="11"/>
        <v>-0.75699999999999967</v>
      </c>
      <c r="AH11" s="4746">
        <f t="shared" si="12"/>
        <v>-7.9978869519281526</v>
      </c>
      <c r="AI11" s="4816">
        <f>SUM('Произв. прогр. Стоки (СВОД)'!N15)</f>
        <v>1.5774999999999999</v>
      </c>
      <c r="AJ11" s="4819">
        <f>SUM('ПОЛНАЯ СЕБЕСТОИМОСТЬ СТОКИ 2018'!P10)</f>
        <v>0</v>
      </c>
      <c r="AK11" s="4738">
        <v>0.46</v>
      </c>
      <c r="AL11" s="4816">
        <f>SUM('Произв. прогр. Стоки (СВОД)'!O15)</f>
        <v>1.5774999999999999</v>
      </c>
      <c r="AM11" s="4819">
        <f>SUM('ПОЛНАЯ СЕБЕСТОИМОСТЬ СТОКИ 2018'!Q10)</f>
        <v>0</v>
      </c>
      <c r="AN11" s="4738">
        <v>0.48</v>
      </c>
      <c r="AO11" s="4816">
        <f>SUM('Произв. прогр. Стоки (СВОД)'!P15)</f>
        <v>1.5774999999999999</v>
      </c>
      <c r="AP11" s="4819">
        <f>SUM('ПОЛНАЯ СЕБЕСТОИМОСТЬ СТОКИ 2018'!R10)</f>
        <v>0</v>
      </c>
      <c r="AQ11" s="4738">
        <v>4</v>
      </c>
      <c r="AR11" s="4800">
        <f t="shared" si="3"/>
        <v>4.7324999999999999</v>
      </c>
      <c r="AS11" s="4800">
        <f t="shared" si="3"/>
        <v>0</v>
      </c>
      <c r="AT11" s="4800">
        <f t="shared" si="3"/>
        <v>4.9399999999999995</v>
      </c>
      <c r="AU11" s="4746">
        <f t="shared" si="13"/>
        <v>-4.7324999999999999</v>
      </c>
      <c r="AV11" s="4746">
        <f t="shared" si="14"/>
        <v>-100</v>
      </c>
      <c r="AW11" s="4800">
        <f t="shared" si="4"/>
        <v>14.1975</v>
      </c>
      <c r="AX11" s="4800">
        <f t="shared" si="4"/>
        <v>8.7080000000000002</v>
      </c>
      <c r="AY11" s="4800">
        <f t="shared" si="4"/>
        <v>14.23</v>
      </c>
      <c r="AZ11" s="4746">
        <f t="shared" si="15"/>
        <v>-5.4894999999999996</v>
      </c>
      <c r="BA11" s="4746">
        <f t="shared" si="16"/>
        <v>-38.665257967952101</v>
      </c>
      <c r="BB11" s="4816">
        <f>SUM('Произв. прогр. Стоки (СВОД)'!S15)</f>
        <v>1.5774999999999999</v>
      </c>
      <c r="BC11" s="4819">
        <f>SUM('ПОЛНАЯ СЕБЕСТОИМОСТЬ СТОКИ 2018'!X10)</f>
        <v>0</v>
      </c>
      <c r="BD11" s="4738">
        <v>0.24</v>
      </c>
      <c r="BE11" s="4816">
        <f>SUM('Произв. прогр. Стоки (СВОД)'!T15)</f>
        <v>1.5774999999999999</v>
      </c>
      <c r="BF11" s="4816">
        <f>SUM('ПОЛНАЯ СЕБЕСТОИМОСТЬ СТОКИ 2018'!Y10)</f>
        <v>0</v>
      </c>
      <c r="BG11" s="4738">
        <v>0.53</v>
      </c>
      <c r="BH11" s="4816">
        <f>SUM('Произв. прогр. Стоки (СВОД)'!U15)</f>
        <v>1.5774999999999999</v>
      </c>
      <c r="BI11" s="4819">
        <f>SUM('ПОЛНАЯ СЕБЕСТОИМОСТЬ СТОКИ 2018'!Z10)</f>
        <v>0</v>
      </c>
      <c r="BJ11" s="4738">
        <v>4.22</v>
      </c>
      <c r="BK11" s="4800">
        <f t="shared" si="5"/>
        <v>4.7324999999999999</v>
      </c>
      <c r="BL11" s="4800">
        <f t="shared" si="5"/>
        <v>0</v>
      </c>
      <c r="BM11" s="4800">
        <f t="shared" si="5"/>
        <v>4.99</v>
      </c>
      <c r="BN11" s="4746">
        <f t="shared" si="17"/>
        <v>-4.7324999999999999</v>
      </c>
      <c r="BO11" s="4746">
        <f t="shared" si="18"/>
        <v>-100</v>
      </c>
      <c r="BP11" s="4800">
        <f t="shared" si="21"/>
        <v>18.93</v>
      </c>
      <c r="BQ11" s="4800">
        <f t="shared" si="21"/>
        <v>8.7080000000000002</v>
      </c>
      <c r="BR11" s="4800">
        <f t="shared" si="21"/>
        <v>19.22</v>
      </c>
      <c r="BS11" s="4746">
        <f t="shared" si="19"/>
        <v>-10.222</v>
      </c>
      <c r="BT11" s="4746">
        <f t="shared" si="20"/>
        <v>-53.998943475964076</v>
      </c>
    </row>
    <row r="12" spans="1:72" ht="18.75" customHeight="1">
      <c r="A12" s="4620" t="s">
        <v>1754</v>
      </c>
      <c r="B12" s="4816">
        <f>SUM('Произв. прогр. Стоки (СВОД)'!E16)</f>
        <v>81.225000000000009</v>
      </c>
      <c r="C12" s="4817">
        <f>SUM('ПОЛНАЯ СЕБЕСТОИМОСТЬ СТОКИ 2018'!C11)</f>
        <v>60.6</v>
      </c>
      <c r="D12" s="4818">
        <v>61.88</v>
      </c>
      <c r="E12" s="4816">
        <f>SUM('Произв. прогр. Стоки (СВОД)'!F16)</f>
        <v>80.75</v>
      </c>
      <c r="F12" s="4819">
        <f>SUM('ПОЛНАЯ СЕБЕСТОИМОСТЬ СТОКИ 2018'!D11)</f>
        <v>64.5</v>
      </c>
      <c r="G12" s="4738">
        <v>71.66</v>
      </c>
      <c r="H12" s="4816">
        <f>SUM('Произв. прогр. Стоки (СВОД)'!G16)</f>
        <v>80.75</v>
      </c>
      <c r="I12" s="4819">
        <f>SUM('ПОЛНАЯ СЕБЕСТОИМОСТЬ СТОКИ 2018'!E11)</f>
        <v>60.23</v>
      </c>
      <c r="J12" s="4738">
        <v>61.04</v>
      </c>
      <c r="K12" s="4800">
        <f t="shared" si="0"/>
        <v>242.72500000000002</v>
      </c>
      <c r="L12" s="4800">
        <f t="shared" si="0"/>
        <v>185.32999999999998</v>
      </c>
      <c r="M12" s="4800">
        <f t="shared" si="0"/>
        <v>194.57999999999998</v>
      </c>
      <c r="N12" s="4746">
        <f t="shared" si="7"/>
        <v>-57.395000000000039</v>
      </c>
      <c r="O12" s="4746">
        <f t="shared" si="8"/>
        <v>-23.646101555258024</v>
      </c>
      <c r="P12" s="4816">
        <f>SUM('Произв. прогр. Стоки (СВОД)'!I16)</f>
        <v>80.274999999999991</v>
      </c>
      <c r="Q12" s="4819">
        <f>SUM('ПОЛНАЯ СЕБЕСТОИМОСТЬ СТОКИ 2018'!H11)</f>
        <v>67.64</v>
      </c>
      <c r="R12" s="4738">
        <v>65.56</v>
      </c>
      <c r="S12" s="4816">
        <f>SUM('Произв. прогр. Стоки (СВОД)'!J16)</f>
        <v>76</v>
      </c>
      <c r="T12" s="4819">
        <f>SUM('ПОЛНАЯ СЕБЕСТОИМОСТЬ СТОКИ 2018'!I11)</f>
        <v>61.69</v>
      </c>
      <c r="U12" s="4738">
        <v>64.37</v>
      </c>
      <c r="V12" s="4816">
        <f>SUM('Произв. прогр. Стоки (СВОД)'!K16)</f>
        <v>76</v>
      </c>
      <c r="W12" s="4819">
        <f>SUM('ПОЛНАЯ СЕБЕСТОИМОСТЬ СТОКИ 2018'!J11)</f>
        <v>63.9</v>
      </c>
      <c r="X12" s="4738">
        <v>64.59</v>
      </c>
      <c r="Y12" s="4800">
        <f t="shared" si="1"/>
        <v>232.27499999999998</v>
      </c>
      <c r="Z12" s="4800">
        <f t="shared" si="1"/>
        <v>193.23</v>
      </c>
      <c r="AA12" s="4800">
        <f t="shared" si="1"/>
        <v>194.52</v>
      </c>
      <c r="AB12" s="4746">
        <f t="shared" si="9"/>
        <v>-39.044999999999987</v>
      </c>
      <c r="AC12" s="4746">
        <f t="shared" si="10"/>
        <v>-16.809815950920242</v>
      </c>
      <c r="AD12" s="4800">
        <f t="shared" si="2"/>
        <v>475</v>
      </c>
      <c r="AE12" s="4800">
        <f t="shared" si="2"/>
        <v>378.55999999999995</v>
      </c>
      <c r="AF12" s="4800">
        <f t="shared" si="2"/>
        <v>389.1</v>
      </c>
      <c r="AG12" s="4746">
        <f t="shared" si="11"/>
        <v>-96.440000000000055</v>
      </c>
      <c r="AH12" s="4746">
        <f t="shared" si="12"/>
        <v>-20.303157894736852</v>
      </c>
      <c r="AI12" s="4816">
        <f>SUM('Произв. прогр. Стоки (СВОД)'!N16)</f>
        <v>76</v>
      </c>
      <c r="AJ12" s="4819">
        <f>SUM('ПОЛНАЯ СЕБЕСТОИМОСТЬ СТОКИ 2018'!P11)</f>
        <v>0</v>
      </c>
      <c r="AK12" s="4738">
        <v>55.35</v>
      </c>
      <c r="AL12" s="4816">
        <f>SUM('Произв. прогр. Стоки (СВОД)'!O16)</f>
        <v>76</v>
      </c>
      <c r="AM12" s="4819">
        <f>SUM('ПОЛНАЯ СЕБЕСТОИМОСТЬ СТОКИ 2018'!Q11)</f>
        <v>0</v>
      </c>
      <c r="AN12" s="4738">
        <v>56.65</v>
      </c>
      <c r="AO12" s="4816">
        <f>SUM('Произв. прогр. Стоки (СВОД)'!P16)</f>
        <v>80.274999999999991</v>
      </c>
      <c r="AP12" s="4819">
        <f>SUM('ПОЛНАЯ СЕБЕСТОИМОСТЬ СТОКИ 2018'!R11)</f>
        <v>0</v>
      </c>
      <c r="AQ12" s="4738">
        <v>66.53</v>
      </c>
      <c r="AR12" s="4800">
        <f t="shared" si="3"/>
        <v>232.27499999999998</v>
      </c>
      <c r="AS12" s="4800">
        <f t="shared" si="3"/>
        <v>0</v>
      </c>
      <c r="AT12" s="4800">
        <f t="shared" si="3"/>
        <v>178.53</v>
      </c>
      <c r="AU12" s="4746">
        <f t="shared" si="13"/>
        <v>-232.27499999999998</v>
      </c>
      <c r="AV12" s="4746">
        <f t="shared" si="14"/>
        <v>-100</v>
      </c>
      <c r="AW12" s="4800">
        <f t="shared" si="4"/>
        <v>707.27499999999998</v>
      </c>
      <c r="AX12" s="4800">
        <f t="shared" si="4"/>
        <v>378.55999999999995</v>
      </c>
      <c r="AY12" s="4800">
        <f t="shared" si="4"/>
        <v>567.63</v>
      </c>
      <c r="AZ12" s="4746">
        <f t="shared" si="15"/>
        <v>-328.71500000000003</v>
      </c>
      <c r="BA12" s="4746">
        <f t="shared" si="16"/>
        <v>-46.476264536425013</v>
      </c>
      <c r="BB12" s="4816">
        <f>SUM('Произв. прогр. Стоки (СВОД)'!S16)</f>
        <v>80.75</v>
      </c>
      <c r="BC12" s="4819">
        <f>SUM('ПОЛНАЯ СЕБЕСТОИМОСТЬ СТОКИ 2018'!X11)</f>
        <v>0</v>
      </c>
      <c r="BD12" s="4738">
        <v>60.56</v>
      </c>
      <c r="BE12" s="4816">
        <f>SUM('Произв. прогр. Стоки (СВОД)'!T16)</f>
        <v>80.75</v>
      </c>
      <c r="BF12" s="4816">
        <f>SUM('ПОЛНАЯ СЕБЕСТОИМОСТЬ СТОКИ 2018'!Y11)</f>
        <v>0</v>
      </c>
      <c r="BG12" s="4738">
        <v>62.13</v>
      </c>
      <c r="BH12" s="4816">
        <f>SUM('Произв. прогр. Стоки (СВОД)'!U16)</f>
        <v>81.225000000000009</v>
      </c>
      <c r="BI12" s="4819">
        <f>SUM('ПОЛНАЯ СЕБЕСТОИМОСТЬ СТОКИ 2018'!Z11)</f>
        <v>0</v>
      </c>
      <c r="BJ12" s="4738">
        <v>67.12</v>
      </c>
      <c r="BK12" s="4800">
        <f t="shared" si="5"/>
        <v>242.72500000000002</v>
      </c>
      <c r="BL12" s="4800">
        <f t="shared" si="5"/>
        <v>0</v>
      </c>
      <c r="BM12" s="4800">
        <f t="shared" si="5"/>
        <v>189.81</v>
      </c>
      <c r="BN12" s="4746">
        <f t="shared" si="17"/>
        <v>-242.72500000000002</v>
      </c>
      <c r="BO12" s="4746">
        <f t="shared" si="18"/>
        <v>-100</v>
      </c>
      <c r="BP12" s="4800">
        <f t="shared" si="21"/>
        <v>950</v>
      </c>
      <c r="BQ12" s="4800">
        <f t="shared" si="21"/>
        <v>378.55999999999995</v>
      </c>
      <c r="BR12" s="4800">
        <f t="shared" si="21"/>
        <v>757.44</v>
      </c>
      <c r="BS12" s="4746">
        <f t="shared" si="19"/>
        <v>-571.44000000000005</v>
      </c>
      <c r="BT12" s="4746">
        <f t="shared" si="20"/>
        <v>-60.151578947368421</v>
      </c>
    </row>
    <row r="13" spans="1:72" ht="18.75" customHeight="1">
      <c r="A13" s="4820" t="s">
        <v>2024</v>
      </c>
      <c r="B13" s="4821"/>
      <c r="C13" s="4821"/>
      <c r="D13" s="4821"/>
      <c r="E13" s="4822"/>
      <c r="F13" s="4822"/>
      <c r="G13" s="4822"/>
      <c r="H13" s="4822"/>
      <c r="I13" s="4822"/>
      <c r="J13" s="4822"/>
      <c r="K13" s="4822"/>
      <c r="L13" s="4822"/>
      <c r="M13" s="4822"/>
      <c r="N13" s="4822"/>
      <c r="O13" s="4822"/>
      <c r="P13" s="4822"/>
      <c r="Q13" s="4822"/>
      <c r="R13" s="4822"/>
      <c r="S13" s="4822"/>
      <c r="T13" s="4822"/>
      <c r="U13" s="4822"/>
      <c r="V13" s="4822"/>
      <c r="W13" s="4822"/>
      <c r="X13" s="4822"/>
      <c r="Y13" s="4822"/>
      <c r="Z13" s="4822"/>
      <c r="AA13" s="4822"/>
      <c r="AB13" s="4822"/>
      <c r="AC13" s="4822"/>
      <c r="AD13" s="4822"/>
      <c r="AE13" s="4822"/>
      <c r="AF13" s="4822"/>
      <c r="AG13" s="4822"/>
      <c r="AH13" s="4822"/>
      <c r="AI13" s="4822"/>
      <c r="AJ13" s="4822"/>
      <c r="AK13" s="4822"/>
      <c r="AL13" s="4822"/>
      <c r="AM13" s="4822"/>
      <c r="AN13" s="4822"/>
      <c r="AO13" s="4822"/>
      <c r="AP13" s="4822"/>
      <c r="AQ13" s="4822"/>
      <c r="AR13" s="4822"/>
      <c r="AS13" s="4822"/>
      <c r="AT13" s="4822"/>
      <c r="AU13" s="4822"/>
      <c r="AV13" s="4822"/>
      <c r="AW13" s="4822"/>
      <c r="AX13" s="4822"/>
      <c r="AY13" s="4822"/>
      <c r="AZ13" s="4822"/>
      <c r="BA13" s="4822"/>
      <c r="BB13" s="4822"/>
      <c r="BC13" s="4822"/>
      <c r="BD13" s="4822"/>
      <c r="BE13" s="4822"/>
      <c r="BF13" s="4822"/>
      <c r="BG13" s="4822"/>
      <c r="BH13" s="4822"/>
      <c r="BI13" s="4822"/>
      <c r="BJ13" s="4822"/>
      <c r="BK13" s="4823"/>
      <c r="BL13" s="4823"/>
      <c r="BM13" s="4823"/>
      <c r="BN13" s="4823"/>
      <c r="BO13" s="4823"/>
      <c r="BP13" s="4823"/>
      <c r="BQ13" s="4823"/>
      <c r="BR13" s="4823"/>
      <c r="BS13" s="4823"/>
      <c r="BT13" s="4773"/>
    </row>
    <row r="14" spans="1:72" ht="18.75" customHeight="1">
      <c r="A14" s="4895" t="s">
        <v>545</v>
      </c>
      <c r="B14" s="4896" t="s">
        <v>2010</v>
      </c>
      <c r="C14" s="4897"/>
      <c r="D14" s="4897"/>
      <c r="E14" s="4896" t="s">
        <v>2011</v>
      </c>
      <c r="F14" s="4897"/>
      <c r="G14" s="4897"/>
      <c r="H14" s="4896" t="s">
        <v>2012</v>
      </c>
      <c r="I14" s="4897"/>
      <c r="J14" s="4897"/>
      <c r="K14" s="4898" t="s">
        <v>1983</v>
      </c>
      <c r="L14" s="4899"/>
      <c r="M14" s="4899"/>
      <c r="N14" s="4900"/>
      <c r="O14" s="4901"/>
      <c r="P14" s="4896" t="s">
        <v>2013</v>
      </c>
      <c r="Q14" s="4897"/>
      <c r="R14" s="4897"/>
      <c r="S14" s="4896" t="s">
        <v>2014</v>
      </c>
      <c r="T14" s="4897"/>
      <c r="U14" s="4897"/>
      <c r="V14" s="4896" t="s">
        <v>2015</v>
      </c>
      <c r="W14" s="4897"/>
      <c r="X14" s="4897"/>
      <c r="Y14" s="4898" t="s">
        <v>1984</v>
      </c>
      <c r="Z14" s="4899"/>
      <c r="AA14" s="4899"/>
      <c r="AB14" s="4900"/>
      <c r="AC14" s="4901"/>
      <c r="AD14" s="4898" t="s">
        <v>1985</v>
      </c>
      <c r="AE14" s="4909"/>
      <c r="AF14" s="4909"/>
      <c r="AG14" s="4909"/>
      <c r="AH14" s="4910"/>
      <c r="AI14" s="4896" t="s">
        <v>1376</v>
      </c>
      <c r="AJ14" s="4897"/>
      <c r="AK14" s="4897"/>
      <c r="AL14" s="4896" t="s">
        <v>2016</v>
      </c>
      <c r="AM14" s="4897"/>
      <c r="AN14" s="4897"/>
      <c r="AO14" s="4896" t="s">
        <v>2017</v>
      </c>
      <c r="AP14" s="4897"/>
      <c r="AQ14" s="4897"/>
      <c r="AR14" s="4898" t="s">
        <v>1986</v>
      </c>
      <c r="AS14" s="4899"/>
      <c r="AT14" s="4899"/>
      <c r="AU14" s="4900"/>
      <c r="AV14" s="4901"/>
      <c r="AW14" s="4898" t="s">
        <v>1987</v>
      </c>
      <c r="AX14" s="4899"/>
      <c r="AY14" s="4899"/>
      <c r="AZ14" s="4900"/>
      <c r="BA14" s="4901"/>
      <c r="BB14" s="4896" t="s">
        <v>2018</v>
      </c>
      <c r="BC14" s="4897"/>
      <c r="BD14" s="4897"/>
      <c r="BE14" s="4896" t="s">
        <v>2019</v>
      </c>
      <c r="BF14" s="4897"/>
      <c r="BG14" s="4897"/>
      <c r="BH14" s="4896" t="s">
        <v>2020</v>
      </c>
      <c r="BI14" s="4897"/>
      <c r="BJ14" s="4897"/>
      <c r="BK14" s="4898" t="s">
        <v>1988</v>
      </c>
      <c r="BL14" s="4899"/>
      <c r="BM14" s="4899"/>
      <c r="BN14" s="4900"/>
      <c r="BO14" s="4901"/>
      <c r="BP14" s="4905" t="s">
        <v>887</v>
      </c>
      <c r="BQ14" s="4906"/>
      <c r="BR14" s="4906"/>
      <c r="BS14" s="4907"/>
      <c r="BT14" s="4907"/>
    </row>
    <row r="15" spans="1:72" ht="18.75" customHeight="1">
      <c r="A15" s="4895"/>
      <c r="B15" s="4902" t="s">
        <v>1989</v>
      </c>
      <c r="C15" s="4902" t="s">
        <v>1990</v>
      </c>
      <c r="D15" s="4902" t="s">
        <v>2021</v>
      </c>
      <c r="E15" s="4902" t="s">
        <v>1989</v>
      </c>
      <c r="F15" s="4902" t="s">
        <v>1990</v>
      </c>
      <c r="G15" s="4902" t="s">
        <v>2021</v>
      </c>
      <c r="H15" s="4902" t="s">
        <v>1989</v>
      </c>
      <c r="I15" s="4902" t="s">
        <v>1990</v>
      </c>
      <c r="J15" s="4902" t="s">
        <v>2021</v>
      </c>
      <c r="K15" s="4904" t="s">
        <v>1989</v>
      </c>
      <c r="L15" s="4904" t="s">
        <v>1990</v>
      </c>
      <c r="M15" s="4904" t="s">
        <v>2021</v>
      </c>
      <c r="N15" s="4908" t="s">
        <v>2022</v>
      </c>
      <c r="O15" s="4908"/>
      <c r="P15" s="4902" t="s">
        <v>1989</v>
      </c>
      <c r="Q15" s="4902" t="s">
        <v>1990</v>
      </c>
      <c r="R15" s="4902" t="s">
        <v>2021</v>
      </c>
      <c r="S15" s="4902" t="s">
        <v>1989</v>
      </c>
      <c r="T15" s="4902" t="s">
        <v>1990</v>
      </c>
      <c r="U15" s="4902" t="s">
        <v>2021</v>
      </c>
      <c r="V15" s="4902" t="s">
        <v>1989</v>
      </c>
      <c r="W15" s="4902" t="s">
        <v>1990</v>
      </c>
      <c r="X15" s="4902" t="s">
        <v>2021</v>
      </c>
      <c r="Y15" s="4904" t="s">
        <v>1989</v>
      </c>
      <c r="Z15" s="4904" t="s">
        <v>1990</v>
      </c>
      <c r="AA15" s="4904" t="s">
        <v>2021</v>
      </c>
      <c r="AB15" s="4908" t="s">
        <v>2022</v>
      </c>
      <c r="AC15" s="4908"/>
      <c r="AD15" s="4904" t="s">
        <v>1989</v>
      </c>
      <c r="AE15" s="4904" t="s">
        <v>1990</v>
      </c>
      <c r="AF15" s="4904" t="s">
        <v>2021</v>
      </c>
      <c r="AG15" s="4908" t="s">
        <v>2022</v>
      </c>
      <c r="AH15" s="4908"/>
      <c r="AI15" s="4902" t="s">
        <v>1989</v>
      </c>
      <c r="AJ15" s="4902" t="s">
        <v>1990</v>
      </c>
      <c r="AK15" s="4902" t="s">
        <v>2021</v>
      </c>
      <c r="AL15" s="4902" t="s">
        <v>1989</v>
      </c>
      <c r="AM15" s="4902" t="s">
        <v>1990</v>
      </c>
      <c r="AN15" s="4902" t="s">
        <v>2021</v>
      </c>
      <c r="AO15" s="4902" t="s">
        <v>1989</v>
      </c>
      <c r="AP15" s="4902" t="s">
        <v>1990</v>
      </c>
      <c r="AQ15" s="4902" t="s">
        <v>2021</v>
      </c>
      <c r="AR15" s="4904" t="s">
        <v>1989</v>
      </c>
      <c r="AS15" s="4904" t="s">
        <v>1990</v>
      </c>
      <c r="AT15" s="4904" t="s">
        <v>2021</v>
      </c>
      <c r="AU15" s="4908" t="s">
        <v>2022</v>
      </c>
      <c r="AV15" s="4908"/>
      <c r="AW15" s="4904" t="s">
        <v>1989</v>
      </c>
      <c r="AX15" s="4904" t="s">
        <v>1990</v>
      </c>
      <c r="AY15" s="4904" t="s">
        <v>2021</v>
      </c>
      <c r="AZ15" s="4908" t="s">
        <v>2022</v>
      </c>
      <c r="BA15" s="4908"/>
      <c r="BB15" s="4902" t="s">
        <v>1989</v>
      </c>
      <c r="BC15" s="4902" t="s">
        <v>1990</v>
      </c>
      <c r="BD15" s="4902" t="s">
        <v>2021</v>
      </c>
      <c r="BE15" s="4902" t="s">
        <v>1989</v>
      </c>
      <c r="BF15" s="4902" t="s">
        <v>1990</v>
      </c>
      <c r="BG15" s="4902" t="s">
        <v>2021</v>
      </c>
      <c r="BH15" s="4902" t="s">
        <v>1989</v>
      </c>
      <c r="BI15" s="4902" t="s">
        <v>1990</v>
      </c>
      <c r="BJ15" s="4902" t="s">
        <v>2021</v>
      </c>
      <c r="BK15" s="4904" t="s">
        <v>1989</v>
      </c>
      <c r="BL15" s="4904" t="s">
        <v>1990</v>
      </c>
      <c r="BM15" s="4904" t="s">
        <v>2021</v>
      </c>
      <c r="BN15" s="4908" t="s">
        <v>2022</v>
      </c>
      <c r="BO15" s="4908"/>
      <c r="BP15" s="4911" t="s">
        <v>1989</v>
      </c>
      <c r="BQ15" s="4911" t="s">
        <v>1990</v>
      </c>
      <c r="BR15" s="4911" t="s">
        <v>2021</v>
      </c>
      <c r="BS15" s="4908" t="s">
        <v>2022</v>
      </c>
      <c r="BT15" s="4908"/>
    </row>
    <row r="16" spans="1:72" ht="24.75" customHeight="1">
      <c r="A16" s="4895"/>
      <c r="B16" s="4903"/>
      <c r="C16" s="4903"/>
      <c r="D16" s="4903"/>
      <c r="E16" s="4903"/>
      <c r="F16" s="4903"/>
      <c r="G16" s="4903"/>
      <c r="H16" s="4903"/>
      <c r="I16" s="4903"/>
      <c r="J16" s="4903"/>
      <c r="K16" s="4903"/>
      <c r="L16" s="4903"/>
      <c r="M16" s="4903"/>
      <c r="N16" s="4720" t="s">
        <v>2023</v>
      </c>
      <c r="O16" s="4720" t="s">
        <v>44</v>
      </c>
      <c r="P16" s="4903"/>
      <c r="Q16" s="4903"/>
      <c r="R16" s="4903"/>
      <c r="S16" s="4903"/>
      <c r="T16" s="4903"/>
      <c r="U16" s="4903"/>
      <c r="V16" s="4903"/>
      <c r="W16" s="4903"/>
      <c r="X16" s="4903"/>
      <c r="Y16" s="4903"/>
      <c r="Z16" s="4903"/>
      <c r="AA16" s="4903"/>
      <c r="AB16" s="4720" t="s">
        <v>2023</v>
      </c>
      <c r="AC16" s="4720" t="s">
        <v>44</v>
      </c>
      <c r="AD16" s="4903"/>
      <c r="AE16" s="4903"/>
      <c r="AF16" s="4903"/>
      <c r="AG16" s="4720" t="s">
        <v>2023</v>
      </c>
      <c r="AH16" s="4720" t="s">
        <v>44</v>
      </c>
      <c r="AI16" s="4903"/>
      <c r="AJ16" s="4903"/>
      <c r="AK16" s="4903"/>
      <c r="AL16" s="4903"/>
      <c r="AM16" s="4903"/>
      <c r="AN16" s="4903"/>
      <c r="AO16" s="4903"/>
      <c r="AP16" s="4903"/>
      <c r="AQ16" s="4903"/>
      <c r="AR16" s="4903"/>
      <c r="AS16" s="4903"/>
      <c r="AT16" s="4903"/>
      <c r="AU16" s="4720" t="s">
        <v>2023</v>
      </c>
      <c r="AV16" s="4720" t="s">
        <v>44</v>
      </c>
      <c r="AW16" s="4903"/>
      <c r="AX16" s="4903"/>
      <c r="AY16" s="4903"/>
      <c r="AZ16" s="4720" t="s">
        <v>2023</v>
      </c>
      <c r="BA16" s="4720" t="s">
        <v>44</v>
      </c>
      <c r="BB16" s="4903"/>
      <c r="BC16" s="4903"/>
      <c r="BD16" s="4903"/>
      <c r="BE16" s="4903"/>
      <c r="BF16" s="4903"/>
      <c r="BG16" s="4903"/>
      <c r="BH16" s="4903"/>
      <c r="BI16" s="4903"/>
      <c r="BJ16" s="4903"/>
      <c r="BK16" s="4903"/>
      <c r="BL16" s="4903"/>
      <c r="BM16" s="4903"/>
      <c r="BN16" s="4720" t="s">
        <v>2023</v>
      </c>
      <c r="BO16" s="4720" t="s">
        <v>44</v>
      </c>
      <c r="BP16" s="4903"/>
      <c r="BQ16" s="4903"/>
      <c r="BR16" s="4903"/>
      <c r="BS16" s="4720" t="s">
        <v>2023</v>
      </c>
      <c r="BT16" s="4720" t="s">
        <v>44</v>
      </c>
    </row>
    <row r="17" spans="1:72" ht="18.75" customHeight="1">
      <c r="A17" s="4620" t="s">
        <v>1713</v>
      </c>
      <c r="B17" s="4795">
        <f>SUM('Произв. прогр. Стоки (СВОД)'!E20)</f>
        <v>4575.2418000000007</v>
      </c>
      <c r="C17" s="4824">
        <v>4924.45</v>
      </c>
      <c r="D17" s="4824">
        <v>4383.74</v>
      </c>
      <c r="E17" s="4795">
        <f>SUM('Произв. прогр. Стоки (СВОД)'!F20)</f>
        <v>4548.4859999999999</v>
      </c>
      <c r="F17" s="4738">
        <v>4692.26</v>
      </c>
      <c r="G17" s="4738">
        <v>4493.32</v>
      </c>
      <c r="H17" s="4795">
        <f>SUM('Произв. прогр. Стоки (СВОД)'!G20)</f>
        <v>4548.4859999999999</v>
      </c>
      <c r="I17" s="4738">
        <v>4633.6400000000003</v>
      </c>
      <c r="J17" s="4738">
        <v>4432.95</v>
      </c>
      <c r="K17" s="4800">
        <f t="shared" ref="K17:M22" si="22">SUM(B17+E17+H17)</f>
        <v>13672.213800000001</v>
      </c>
      <c r="L17" s="4800">
        <f t="shared" si="22"/>
        <v>14250.349999999999</v>
      </c>
      <c r="M17" s="4800">
        <f t="shared" si="22"/>
        <v>13310.009999999998</v>
      </c>
      <c r="N17" s="4746">
        <f t="shared" ref="N17:N23" si="23">SUM(L17-K17)</f>
        <v>578.13619999999719</v>
      </c>
      <c r="O17" s="4746">
        <f t="shared" ref="O17:O23" si="24">SUM(N17/K17*100)</f>
        <v>4.2285485617552085</v>
      </c>
      <c r="P17" s="4795">
        <f>SUM('Произв. прогр. Стоки (СВОД)'!I20)</f>
        <v>4521.7301999999991</v>
      </c>
      <c r="Q17" s="4738">
        <v>4837.08</v>
      </c>
      <c r="R17" s="4738">
        <v>4928.5600000000004</v>
      </c>
      <c r="S17" s="4795">
        <f>SUM('Произв. прогр. Стоки (СВОД)'!J20)</f>
        <v>4280.9279999999999</v>
      </c>
      <c r="T17" s="4738">
        <v>4681.66</v>
      </c>
      <c r="U17" s="4738">
        <v>4539.1499999999996</v>
      </c>
      <c r="V17" s="4795">
        <f>SUM('Произв. прогр. Стоки (СВОД)'!K20)</f>
        <v>4280.9279999999999</v>
      </c>
      <c r="W17" s="4738">
        <v>5007.08</v>
      </c>
      <c r="X17" s="4738">
        <v>4300.2299999999996</v>
      </c>
      <c r="Y17" s="4800">
        <f t="shared" ref="Y17:AA22" si="25">SUM(P17+S17+V17)</f>
        <v>13083.586199999998</v>
      </c>
      <c r="Z17" s="4800">
        <f t="shared" si="25"/>
        <v>14525.82</v>
      </c>
      <c r="AA17" s="4800">
        <f t="shared" si="25"/>
        <v>13767.939999999999</v>
      </c>
      <c r="AB17" s="4746">
        <f t="shared" ref="AB17:AB27" si="26">SUM(Z17-Y17)</f>
        <v>1442.2338000000018</v>
      </c>
      <c r="AC17" s="4746">
        <f t="shared" ref="AC17:AC27" si="27">SUM(AB17/Y17*100)</f>
        <v>11.023230007075599</v>
      </c>
      <c r="AD17" s="4800">
        <f t="shared" ref="AD17:AD22" si="28">SUM(K17+Y17)</f>
        <v>26755.8</v>
      </c>
      <c r="AE17" s="4800">
        <f t="shared" ref="AE17:AF22" si="29">SUM(L17+Z17)</f>
        <v>28776.17</v>
      </c>
      <c r="AF17" s="4800">
        <f t="shared" si="29"/>
        <v>27077.949999999997</v>
      </c>
      <c r="AG17" s="4746">
        <f t="shared" ref="AG17:AG23" si="30">SUM(AE17-AD17)</f>
        <v>2020.369999999999</v>
      </c>
      <c r="AH17" s="4746">
        <f t="shared" ref="AH17:AH23" si="31">SUM(AG17/AD17*100)</f>
        <v>7.5511477885168796</v>
      </c>
      <c r="AI17" s="4795">
        <f>SUM('Произв. прогр. Стоки (СВОД)'!N20)</f>
        <v>4536.2880000000005</v>
      </c>
      <c r="AJ17" s="4738"/>
      <c r="AK17" s="4738">
        <v>4138.2299999999996</v>
      </c>
      <c r="AL17" s="4795">
        <f>SUM('Произв. прогр. Стоки (СВОД)'!O20)</f>
        <v>4536.2880000000005</v>
      </c>
      <c r="AM17" s="4738"/>
      <c r="AN17" s="4738">
        <v>4395.13</v>
      </c>
      <c r="AO17" s="4795">
        <f>SUM('Произв. прогр. Стоки (СВОД)'!P20)</f>
        <v>4791.4541999999992</v>
      </c>
      <c r="AP17" s="4738"/>
      <c r="AQ17" s="4738">
        <v>4461.24</v>
      </c>
      <c r="AR17" s="4800">
        <f t="shared" ref="AR17:AT22" si="32">SUM(AI17+AL17+AO17)</f>
        <v>13864.030200000001</v>
      </c>
      <c r="AS17" s="4800">
        <f t="shared" si="32"/>
        <v>0</v>
      </c>
      <c r="AT17" s="4800">
        <f t="shared" si="32"/>
        <v>12994.6</v>
      </c>
      <c r="AU17" s="4746">
        <f t="shared" ref="AU17:AU27" si="33">SUM(AS17-AR17)</f>
        <v>-13864.030200000001</v>
      </c>
      <c r="AV17" s="4746">
        <f t="shared" ref="AV17:AV27" si="34">SUM(AU17/AR17*100)</f>
        <v>-100</v>
      </c>
      <c r="AW17" s="4800">
        <f t="shared" ref="AW17:AW22" si="35">SUM(AD17+AR17)</f>
        <v>40619.830199999997</v>
      </c>
      <c r="AX17" s="4800">
        <f t="shared" ref="AX17:AY22" si="36">SUM(AE17+AS17)</f>
        <v>28776.17</v>
      </c>
      <c r="AY17" s="4800">
        <f t="shared" si="36"/>
        <v>40072.549999999996</v>
      </c>
      <c r="AZ17" s="4746">
        <f t="shared" ref="AZ17:AZ23" si="37">SUM(AX17-AW17)</f>
        <v>-11843.660199999998</v>
      </c>
      <c r="BA17" s="4746">
        <f t="shared" ref="BA17:BA23" si="38">SUM(AZ17/AW17*100)</f>
        <v>-29.157335571530773</v>
      </c>
      <c r="BB17" s="4795">
        <f>SUM('Произв. прогр. Стоки (СВОД)'!S20)</f>
        <v>4819.8060000000005</v>
      </c>
      <c r="BC17" s="4738"/>
      <c r="BD17" s="4738">
        <v>5661.12</v>
      </c>
      <c r="BE17" s="4795">
        <f>SUM('Произв. прогр. Стоки (СВОД)'!T20)</f>
        <v>4819.8060000000005</v>
      </c>
      <c r="BF17" s="4738"/>
      <c r="BG17" s="4738">
        <v>5329.97</v>
      </c>
      <c r="BH17" s="4795">
        <f>SUM('Произв. прогр. Стоки (СВОД)'!U20)</f>
        <v>4848.1578000000009</v>
      </c>
      <c r="BI17" s="4738"/>
      <c r="BJ17" s="4738">
        <v>4577.05</v>
      </c>
      <c r="BK17" s="4800">
        <f t="shared" ref="BK17:BM22" si="39">SUM(BB17+BE17+BH17)</f>
        <v>14487.769800000002</v>
      </c>
      <c r="BL17" s="4800">
        <f t="shared" si="39"/>
        <v>0</v>
      </c>
      <c r="BM17" s="4800">
        <f t="shared" si="39"/>
        <v>15568.14</v>
      </c>
      <c r="BN17" s="4746">
        <f t="shared" ref="BN17:BN27" si="40">SUM(BL17-BK17)</f>
        <v>-14487.769800000002</v>
      </c>
      <c r="BO17" s="4746">
        <f t="shared" ref="BO17:BO27" si="41">SUM(BN17/BK17*100)</f>
        <v>-100</v>
      </c>
      <c r="BP17" s="4800">
        <f t="shared" ref="BP17:BP22" si="42">SUM(AW17+BK17)</f>
        <v>55107.6</v>
      </c>
      <c r="BQ17" s="4800">
        <f t="shared" ref="BQ17:BR22" si="43">SUM(AX17+BL17)</f>
        <v>28776.17</v>
      </c>
      <c r="BR17" s="4800">
        <f t="shared" si="43"/>
        <v>55640.689999999995</v>
      </c>
      <c r="BS17" s="4746">
        <f t="shared" ref="BS17:BS23" si="44">SUM(BQ17-BP17)</f>
        <v>-26331.43</v>
      </c>
      <c r="BT17" s="4746">
        <f t="shared" ref="BT17:BT23" si="45">SUM(BS17/BP17*100)</f>
        <v>-47.781848601644782</v>
      </c>
    </row>
    <row r="18" spans="1:72" ht="18.75" customHeight="1">
      <c r="A18" s="4620" t="s">
        <v>1714</v>
      </c>
      <c r="B18" s="4795">
        <f>SUM('Произв. прогр. Стоки (СВОД)'!E21)</f>
        <v>617.09288878549978</v>
      </c>
      <c r="C18" s="4824">
        <v>665.24</v>
      </c>
      <c r="D18" s="4824">
        <v>512.41</v>
      </c>
      <c r="E18" s="4795">
        <f>SUM('Произв. прогр. Стоки (СВОД)'!F21)</f>
        <v>613.48415844172484</v>
      </c>
      <c r="F18" s="4738">
        <v>633.87</v>
      </c>
      <c r="G18" s="4738">
        <v>525.22</v>
      </c>
      <c r="H18" s="4795">
        <f>SUM('Произв. прогр. Стоки (СВОД)'!G21)</f>
        <v>613.48415844172484</v>
      </c>
      <c r="I18" s="4738">
        <v>625.95000000000005</v>
      </c>
      <c r="J18" s="4738">
        <v>518.16</v>
      </c>
      <c r="K18" s="4800">
        <f t="shared" si="22"/>
        <v>1844.0612056689497</v>
      </c>
      <c r="L18" s="4800">
        <f t="shared" si="22"/>
        <v>1925.0600000000002</v>
      </c>
      <c r="M18" s="4800">
        <f t="shared" si="22"/>
        <v>1555.79</v>
      </c>
      <c r="N18" s="4746">
        <f t="shared" si="23"/>
        <v>80.998794331050476</v>
      </c>
      <c r="O18" s="4746">
        <f t="shared" si="24"/>
        <v>4.3924135534138866</v>
      </c>
      <c r="P18" s="4795">
        <f>SUM('Произв. прогр. Стоки (СВОД)'!I21)</f>
        <v>609.87542809794991</v>
      </c>
      <c r="Q18" s="4738">
        <v>653.42999999999995</v>
      </c>
      <c r="R18" s="4738">
        <v>576.09</v>
      </c>
      <c r="S18" s="4795">
        <f>SUM('Произв. прогр. Стоки (СВОД)'!J21)</f>
        <v>577.39685500397638</v>
      </c>
      <c r="T18" s="4738">
        <v>632.44000000000005</v>
      </c>
      <c r="U18" s="4738">
        <v>530.58000000000004</v>
      </c>
      <c r="V18" s="4795">
        <f>SUM('Произв. прогр. Стоки (СВОД)'!K21)</f>
        <v>577.39685500397638</v>
      </c>
      <c r="W18" s="4738">
        <v>676.4</v>
      </c>
      <c r="X18" s="4738">
        <v>502.65</v>
      </c>
      <c r="Y18" s="4800">
        <f t="shared" si="25"/>
        <v>1764.6691381059027</v>
      </c>
      <c r="Z18" s="4800">
        <f t="shared" si="25"/>
        <v>1962.27</v>
      </c>
      <c r="AA18" s="4800">
        <f t="shared" si="25"/>
        <v>1609.3200000000002</v>
      </c>
      <c r="AB18" s="4746">
        <f t="shared" si="26"/>
        <v>197.60086189409731</v>
      </c>
      <c r="AC18" s="4746">
        <f t="shared" si="27"/>
        <v>11.197615327833695</v>
      </c>
      <c r="AD18" s="4800">
        <f t="shared" si="28"/>
        <v>3608.7303437748524</v>
      </c>
      <c r="AE18" s="4800">
        <f t="shared" si="29"/>
        <v>3887.33</v>
      </c>
      <c r="AF18" s="4800">
        <f t="shared" si="29"/>
        <v>3165.11</v>
      </c>
      <c r="AG18" s="4746">
        <f t="shared" si="30"/>
        <v>278.59965622514756</v>
      </c>
      <c r="AH18" s="4746">
        <f t="shared" si="31"/>
        <v>7.7201572211051657</v>
      </c>
      <c r="AI18" s="4795">
        <f>SUM('Произв. прогр. Стоки (СВОД)'!N21)</f>
        <v>1785.4551995315212</v>
      </c>
      <c r="AJ18" s="4738"/>
      <c r="AK18" s="4738">
        <v>559.03</v>
      </c>
      <c r="AL18" s="4795">
        <f>SUM('Произв. прогр. Стоки (СВОД)'!O21)</f>
        <v>1785.4551995315212</v>
      </c>
      <c r="AM18" s="4738"/>
      <c r="AN18" s="4738">
        <v>593.73</v>
      </c>
      <c r="AO18" s="4795">
        <f>SUM('Произв. прогр. Стоки (СВОД)'!P21)</f>
        <v>1885.8870545051691</v>
      </c>
      <c r="AP18" s="4738"/>
      <c r="AQ18" s="4738">
        <v>602.66</v>
      </c>
      <c r="AR18" s="4800">
        <f t="shared" si="32"/>
        <v>5456.7974535682115</v>
      </c>
      <c r="AS18" s="4800">
        <f t="shared" si="32"/>
        <v>0</v>
      </c>
      <c r="AT18" s="4800">
        <f t="shared" si="32"/>
        <v>1755.42</v>
      </c>
      <c r="AU18" s="4746">
        <f t="shared" si="33"/>
        <v>-5456.7974535682115</v>
      </c>
      <c r="AV18" s="4746">
        <f t="shared" si="34"/>
        <v>-100</v>
      </c>
      <c r="AW18" s="4800">
        <f t="shared" si="35"/>
        <v>9065.5277973430639</v>
      </c>
      <c r="AX18" s="4800">
        <f t="shared" si="36"/>
        <v>3887.33</v>
      </c>
      <c r="AY18" s="4800">
        <f t="shared" si="36"/>
        <v>4920.5300000000007</v>
      </c>
      <c r="AZ18" s="4746">
        <f t="shared" si="37"/>
        <v>-5178.1977973430639</v>
      </c>
      <c r="BA18" s="4746">
        <f t="shared" si="38"/>
        <v>-57.119650538832353</v>
      </c>
      <c r="BB18" s="4795">
        <f>SUM('Произв. прогр. Стоки (СВОД)'!S21)</f>
        <v>1897.0461495022414</v>
      </c>
      <c r="BC18" s="4738"/>
      <c r="BD18" s="4738">
        <v>764.75</v>
      </c>
      <c r="BE18" s="4795">
        <f>SUM('Произв. прогр. Стоки (СВОД)'!T21)</f>
        <v>1897.0461495022414</v>
      </c>
      <c r="BF18" s="4738"/>
      <c r="BG18" s="4738">
        <v>720.02</v>
      </c>
      <c r="BH18" s="4795">
        <f>SUM('Произв. прогр. Стоки (СВОД)'!U21)</f>
        <v>1908.2052444993135</v>
      </c>
      <c r="BI18" s="4738"/>
      <c r="BJ18" s="4738">
        <v>618.30999999999995</v>
      </c>
      <c r="BK18" s="4800">
        <f t="shared" si="39"/>
        <v>5702.2975435037961</v>
      </c>
      <c r="BL18" s="4800">
        <f t="shared" si="39"/>
        <v>0</v>
      </c>
      <c r="BM18" s="4800">
        <f t="shared" si="39"/>
        <v>2103.08</v>
      </c>
      <c r="BN18" s="4746">
        <f t="shared" si="40"/>
        <v>-5702.2975435037961</v>
      </c>
      <c r="BO18" s="4746">
        <f t="shared" si="41"/>
        <v>-100</v>
      </c>
      <c r="BP18" s="4800">
        <f t="shared" si="42"/>
        <v>14767.825340846859</v>
      </c>
      <c r="BQ18" s="4800">
        <f t="shared" si="43"/>
        <v>3887.33</v>
      </c>
      <c r="BR18" s="4800">
        <f t="shared" si="43"/>
        <v>7023.6100000000006</v>
      </c>
      <c r="BS18" s="4746">
        <f t="shared" si="44"/>
        <v>-10880.495340846859</v>
      </c>
      <c r="BT18" s="4746">
        <f t="shared" si="45"/>
        <v>-73.677031585362172</v>
      </c>
    </row>
    <row r="19" spans="1:72" ht="18.75" customHeight="1">
      <c r="A19" s="4620" t="s">
        <v>2033</v>
      </c>
      <c r="B19" s="4795">
        <f>SUM('Произв. прогр. Стоки (СВОД)'!E22)</f>
        <v>22.467185506604824</v>
      </c>
      <c r="C19" s="4824">
        <v>3.54</v>
      </c>
      <c r="D19" s="4824">
        <v>4.3899999999999997</v>
      </c>
      <c r="E19" s="4795">
        <f>SUM('Произв. прогр. Стоки (СВОД)'!F22)</f>
        <v>22.467185506604824</v>
      </c>
      <c r="F19" s="4738">
        <v>2.84</v>
      </c>
      <c r="G19" s="4738">
        <v>4.55</v>
      </c>
      <c r="H19" s="4795">
        <f>SUM('Произв. прогр. Стоки (СВОД)'!G22)</f>
        <v>22.467185506604824</v>
      </c>
      <c r="I19" s="4738">
        <v>54.71</v>
      </c>
      <c r="J19" s="4738">
        <v>53.82</v>
      </c>
      <c r="K19" s="4800">
        <f t="shared" si="22"/>
        <v>67.401556519814477</v>
      </c>
      <c r="L19" s="4800">
        <f t="shared" si="22"/>
        <v>61.09</v>
      </c>
      <c r="M19" s="4800">
        <f t="shared" si="22"/>
        <v>62.76</v>
      </c>
      <c r="N19" s="4746">
        <f t="shared" si="23"/>
        <v>-6.3115565198144736</v>
      </c>
      <c r="O19" s="4746">
        <f t="shared" si="24"/>
        <v>-9.3641109281490031</v>
      </c>
      <c r="P19" s="4795">
        <f>SUM('Произв. прогр. Стоки (СВОД)'!I22)</f>
        <v>22.467185506604824</v>
      </c>
      <c r="Q19" s="4738">
        <v>1.0900000000000001</v>
      </c>
      <c r="R19" s="4738">
        <v>6.1</v>
      </c>
      <c r="S19" s="4795">
        <f>SUM('Произв. прогр. Стоки (СВОД)'!J22)</f>
        <v>22.467185506604824</v>
      </c>
      <c r="T19" s="4738">
        <v>8.44</v>
      </c>
      <c r="U19" s="4738">
        <v>5.49</v>
      </c>
      <c r="V19" s="4795">
        <f>SUM('Произв. прогр. Стоки (СВОД)'!K22)</f>
        <v>22.467185506604824</v>
      </c>
      <c r="W19" s="4738">
        <v>53.43</v>
      </c>
      <c r="X19" s="4738">
        <v>58.24</v>
      </c>
      <c r="Y19" s="4800">
        <f t="shared" si="25"/>
        <v>67.401556519814477</v>
      </c>
      <c r="Z19" s="4800">
        <f t="shared" si="25"/>
        <v>62.96</v>
      </c>
      <c r="AA19" s="4800">
        <f t="shared" si="25"/>
        <v>69.83</v>
      </c>
      <c r="AB19" s="4746">
        <f t="shared" si="26"/>
        <v>-4.4415565198144762</v>
      </c>
      <c r="AC19" s="4746">
        <f t="shared" si="27"/>
        <v>-6.589694287710941</v>
      </c>
      <c r="AD19" s="4800">
        <f t="shared" si="28"/>
        <v>134.80311303962895</v>
      </c>
      <c r="AE19" s="4800">
        <f t="shared" si="29"/>
        <v>124.05000000000001</v>
      </c>
      <c r="AF19" s="4800">
        <f t="shared" si="29"/>
        <v>132.59</v>
      </c>
      <c r="AG19" s="4746">
        <f t="shared" si="30"/>
        <v>-10.753113039628943</v>
      </c>
      <c r="AH19" s="4746">
        <f t="shared" si="31"/>
        <v>-7.9769026079299667</v>
      </c>
      <c r="AI19" s="4795">
        <f>SUM('Произв. прогр. Стоки (СВОД)'!N22)</f>
        <v>22.467185506604824</v>
      </c>
      <c r="AJ19" s="4738"/>
      <c r="AK19" s="4738">
        <v>6.86</v>
      </c>
      <c r="AL19" s="4795">
        <f>SUM('Произв. прогр. Стоки (СВОД)'!O22)</f>
        <v>22.467185506604824</v>
      </c>
      <c r="AM19" s="4738"/>
      <c r="AN19" s="4738">
        <v>7.14</v>
      </c>
      <c r="AO19" s="4795">
        <f>SUM('Произв. прогр. Стоки (СВОД)'!P22)</f>
        <v>22.467185506604824</v>
      </c>
      <c r="AP19" s="4738"/>
      <c r="AQ19" s="4738">
        <v>59.47</v>
      </c>
      <c r="AR19" s="4800">
        <f t="shared" si="32"/>
        <v>67.401556519814477</v>
      </c>
      <c r="AS19" s="4800">
        <f t="shared" si="32"/>
        <v>0</v>
      </c>
      <c r="AT19" s="4800">
        <f t="shared" si="32"/>
        <v>73.47</v>
      </c>
      <c r="AU19" s="4746">
        <f t="shared" si="33"/>
        <v>-67.401556519814477</v>
      </c>
      <c r="AV19" s="4746">
        <f t="shared" si="34"/>
        <v>-100</v>
      </c>
      <c r="AW19" s="4800">
        <f t="shared" si="35"/>
        <v>202.20466955944343</v>
      </c>
      <c r="AX19" s="4800">
        <f t="shared" si="36"/>
        <v>124.05000000000001</v>
      </c>
      <c r="AY19" s="4800">
        <f t="shared" si="36"/>
        <v>206.06</v>
      </c>
      <c r="AZ19" s="4746">
        <f t="shared" si="37"/>
        <v>-78.15466955944342</v>
      </c>
      <c r="BA19" s="4746">
        <f t="shared" si="38"/>
        <v>-38.651268405286643</v>
      </c>
      <c r="BB19" s="4795">
        <f>SUM('Произв. прогр. Стоки (СВОД)'!S22)</f>
        <v>22.467185506604824</v>
      </c>
      <c r="BC19" s="4738"/>
      <c r="BD19" s="4738">
        <v>3.51</v>
      </c>
      <c r="BE19" s="4795">
        <f>SUM('Произв. прогр. Стоки (СВОД)'!T22)</f>
        <v>22.467185506604824</v>
      </c>
      <c r="BF19" s="4738"/>
      <c r="BG19" s="4738">
        <v>7.96</v>
      </c>
      <c r="BH19" s="4795">
        <f>SUM('Произв. прогр. Стоки (СВОД)'!U22)</f>
        <v>22.467185506604824</v>
      </c>
      <c r="BI19" s="4738"/>
      <c r="BJ19" s="4738">
        <v>62.85</v>
      </c>
      <c r="BK19" s="4800">
        <f t="shared" si="39"/>
        <v>67.401556519814477</v>
      </c>
      <c r="BL19" s="4800">
        <f t="shared" si="39"/>
        <v>0</v>
      </c>
      <c r="BM19" s="4800">
        <f t="shared" si="39"/>
        <v>74.319999999999993</v>
      </c>
      <c r="BN19" s="4746">
        <f t="shared" si="40"/>
        <v>-67.401556519814477</v>
      </c>
      <c r="BO19" s="4746">
        <f t="shared" si="41"/>
        <v>-100</v>
      </c>
      <c r="BP19" s="4800">
        <f t="shared" si="42"/>
        <v>269.60622607925791</v>
      </c>
      <c r="BQ19" s="4800">
        <f t="shared" si="43"/>
        <v>124.05000000000001</v>
      </c>
      <c r="BR19" s="4800">
        <f t="shared" si="43"/>
        <v>280.38</v>
      </c>
      <c r="BS19" s="4746">
        <f t="shared" si="44"/>
        <v>-145.5562260792579</v>
      </c>
      <c r="BT19" s="4746">
        <f t="shared" si="45"/>
        <v>-53.988451303964979</v>
      </c>
    </row>
    <row r="20" spans="1:72" ht="18.75" customHeight="1">
      <c r="A20" s="4620" t="s">
        <v>1715</v>
      </c>
      <c r="B20" s="4795">
        <f>SUM('Произв. прогр. Стоки (СВОД)'!E23)</f>
        <v>2163.4727869939584</v>
      </c>
      <c r="C20" s="4824">
        <v>1614.47</v>
      </c>
      <c r="D20" s="4824">
        <v>1555.09</v>
      </c>
      <c r="E20" s="4795">
        <f>SUM('Произв. прогр. Стоки (СВОД)'!F23)</f>
        <v>2150.8208993507187</v>
      </c>
      <c r="F20" s="4738">
        <v>1718.21</v>
      </c>
      <c r="G20" s="4738">
        <v>1800.71</v>
      </c>
      <c r="H20" s="4795">
        <f>SUM('Произв. прогр. Стоки (СВОД)'!G23)</f>
        <v>2150.8208993507187</v>
      </c>
      <c r="I20" s="4738">
        <v>1604.51</v>
      </c>
      <c r="J20" s="4738">
        <v>1534.09</v>
      </c>
      <c r="K20" s="4800">
        <f t="shared" si="22"/>
        <v>6465.1145856953963</v>
      </c>
      <c r="L20" s="4800">
        <f t="shared" si="22"/>
        <v>4937.1900000000005</v>
      </c>
      <c r="M20" s="4800">
        <f t="shared" si="22"/>
        <v>4889.8900000000003</v>
      </c>
      <c r="N20" s="4746">
        <f t="shared" si="23"/>
        <v>-1527.9245856953958</v>
      </c>
      <c r="O20" s="4746">
        <f t="shared" si="24"/>
        <v>-23.633372084016205</v>
      </c>
      <c r="P20" s="4795">
        <f>SUM('Произв. прогр. Стоки (СВОД)'!I23)</f>
        <v>2138.1690117074791</v>
      </c>
      <c r="Q20" s="4738">
        <v>1801.83</v>
      </c>
      <c r="R20" s="4738">
        <v>1647.49</v>
      </c>
      <c r="S20" s="4795">
        <f>SUM('Произв. прогр. Стоки (СВОД)'!J23)</f>
        <v>2024.3020229183235</v>
      </c>
      <c r="T20" s="4738">
        <v>1643.47</v>
      </c>
      <c r="U20" s="4738">
        <v>1617.6</v>
      </c>
      <c r="V20" s="4795">
        <f>SUM('Произв. прогр. Стоки (СВОД)'!K23)</f>
        <v>2024.3020229183235</v>
      </c>
      <c r="W20" s="4738">
        <v>1702.35</v>
      </c>
      <c r="X20" s="4738">
        <v>1623.11</v>
      </c>
      <c r="Y20" s="4800">
        <f t="shared" si="25"/>
        <v>6186.7730575441255</v>
      </c>
      <c r="Z20" s="4800">
        <f t="shared" si="25"/>
        <v>5147.6499999999996</v>
      </c>
      <c r="AA20" s="4800">
        <f t="shared" si="25"/>
        <v>4888.2</v>
      </c>
      <c r="AB20" s="4746">
        <f t="shared" si="26"/>
        <v>-1039.1230575441259</v>
      </c>
      <c r="AC20" s="4746">
        <f t="shared" si="27"/>
        <v>-16.795881275732647</v>
      </c>
      <c r="AD20" s="4800">
        <f t="shared" si="28"/>
        <v>12651.887643239523</v>
      </c>
      <c r="AE20" s="4800">
        <f t="shared" si="29"/>
        <v>10084.84</v>
      </c>
      <c r="AF20" s="4800">
        <f t="shared" si="29"/>
        <v>9778.09</v>
      </c>
      <c r="AG20" s="4746">
        <f t="shared" si="30"/>
        <v>-2567.0476432395226</v>
      </c>
      <c r="AH20" s="4746">
        <f t="shared" si="31"/>
        <v>-20.289839078765549</v>
      </c>
      <c r="AI20" s="4795">
        <f>SUM('Произв. прогр. Стоки (СВОД)'!N23)</f>
        <v>2634.0596664714672</v>
      </c>
      <c r="AJ20" s="4738"/>
      <c r="AK20" s="4738">
        <v>1474.19</v>
      </c>
      <c r="AL20" s="4795">
        <f>SUM('Произв. прогр. Стоки (СВОД)'!O23)</f>
        <v>2634.0596664714672</v>
      </c>
      <c r="AM20" s="4738"/>
      <c r="AN20" s="4738">
        <v>1509.09</v>
      </c>
      <c r="AO20" s="4795">
        <f>SUM('Произв. прогр. Стоки (СВОД)'!P23)</f>
        <v>2782.225522710487</v>
      </c>
      <c r="AP20" s="4738"/>
      <c r="AQ20" s="4738">
        <v>1771.66</v>
      </c>
      <c r="AR20" s="4800">
        <f t="shared" si="32"/>
        <v>8050.3448556534213</v>
      </c>
      <c r="AS20" s="4800">
        <f t="shared" si="32"/>
        <v>0</v>
      </c>
      <c r="AT20" s="4800">
        <f t="shared" si="32"/>
        <v>4754.9399999999996</v>
      </c>
      <c r="AU20" s="4746">
        <f t="shared" si="33"/>
        <v>-8050.3448556534213</v>
      </c>
      <c r="AV20" s="4746">
        <f t="shared" si="34"/>
        <v>-100</v>
      </c>
      <c r="AW20" s="4800">
        <f t="shared" si="35"/>
        <v>20702.232498892943</v>
      </c>
      <c r="AX20" s="4800">
        <f t="shared" si="36"/>
        <v>10084.84</v>
      </c>
      <c r="AY20" s="4800">
        <f t="shared" si="36"/>
        <v>14533.029999999999</v>
      </c>
      <c r="AZ20" s="4746">
        <f t="shared" si="37"/>
        <v>-10617.392498892943</v>
      </c>
      <c r="BA20" s="4746">
        <f t="shared" si="38"/>
        <v>-51.28621997391204</v>
      </c>
      <c r="BB20" s="4795">
        <f>SUM('Произв. прогр. Стоки (СВОД)'!S23)</f>
        <v>2798.6883956259339</v>
      </c>
      <c r="BC20" s="4738"/>
      <c r="BD20" s="4738">
        <v>1612.34</v>
      </c>
      <c r="BE20" s="4795">
        <f>SUM('Произв. прогр. Стоки (СВОД)'!T23)</f>
        <v>2798.6883956259339</v>
      </c>
      <c r="BF20" s="4738"/>
      <c r="BG20" s="4738">
        <v>1655.04</v>
      </c>
      <c r="BH20" s="4795">
        <f>SUM('Произв. прогр. Стоки (СВОД)'!U23)</f>
        <v>2815.1512685413809</v>
      </c>
      <c r="BI20" s="4738"/>
      <c r="BJ20" s="4738">
        <v>1788</v>
      </c>
      <c r="BK20" s="4800">
        <f t="shared" si="39"/>
        <v>8412.5280597932488</v>
      </c>
      <c r="BL20" s="4800">
        <f t="shared" si="39"/>
        <v>0</v>
      </c>
      <c r="BM20" s="4800">
        <f t="shared" si="39"/>
        <v>5055.38</v>
      </c>
      <c r="BN20" s="4746">
        <f t="shared" si="40"/>
        <v>-8412.5280597932488</v>
      </c>
      <c r="BO20" s="4746">
        <f t="shared" si="41"/>
        <v>-100</v>
      </c>
      <c r="BP20" s="4800">
        <f t="shared" si="42"/>
        <v>29114.76055868619</v>
      </c>
      <c r="BQ20" s="4800">
        <f t="shared" si="43"/>
        <v>10084.84</v>
      </c>
      <c r="BR20" s="4800">
        <f t="shared" si="43"/>
        <v>19588.41</v>
      </c>
      <c r="BS20" s="4746">
        <f t="shared" si="44"/>
        <v>-19029.92055868619</v>
      </c>
      <c r="BT20" s="4746">
        <f t="shared" si="45"/>
        <v>-65.361762190445845</v>
      </c>
    </row>
    <row r="21" spans="1:72" ht="18.75" customHeight="1">
      <c r="A21" s="4721" t="s">
        <v>1718</v>
      </c>
      <c r="B21" s="4794">
        <f>SUM('Произв. прогр. Стоки (СВОД)'!E24)</f>
        <v>7378.2746612860628</v>
      </c>
      <c r="C21" s="4794">
        <f t="shared" ref="C21:J21" si="46">SUM(C17:C20)</f>
        <v>7207.7</v>
      </c>
      <c r="D21" s="4794">
        <f t="shared" si="46"/>
        <v>6455.63</v>
      </c>
      <c r="E21" s="4794">
        <f>SUM('Произв. прогр. Стоки (СВОД)'!F24)</f>
        <v>7335.2582432990475</v>
      </c>
      <c r="F21" s="4794">
        <f t="shared" si="46"/>
        <v>7047.18</v>
      </c>
      <c r="G21" s="4794">
        <f t="shared" si="46"/>
        <v>6823.8</v>
      </c>
      <c r="H21" s="4794">
        <f>SUM('Произв. прогр. Стоки (СВОД)'!G24)</f>
        <v>7335.2582432990475</v>
      </c>
      <c r="I21" s="4794">
        <f t="shared" si="46"/>
        <v>6918.81</v>
      </c>
      <c r="J21" s="4794">
        <f t="shared" si="46"/>
        <v>6539.0199999999995</v>
      </c>
      <c r="K21" s="4761">
        <f t="shared" si="22"/>
        <v>22048.791147884156</v>
      </c>
      <c r="L21" s="4761">
        <f t="shared" si="22"/>
        <v>21173.690000000002</v>
      </c>
      <c r="M21" s="4761">
        <f t="shared" si="22"/>
        <v>19818.45</v>
      </c>
      <c r="N21" s="4758">
        <f t="shared" si="23"/>
        <v>-875.10114788415376</v>
      </c>
      <c r="O21" s="4758">
        <f t="shared" si="24"/>
        <v>-3.9689302783755114</v>
      </c>
      <c r="P21" s="4794">
        <f>SUM('Произв. прогр. Стоки (СВОД)'!I24)</f>
        <v>7292.2418253120322</v>
      </c>
      <c r="Q21" s="4794">
        <f t="shared" ref="Q21:X21" si="47">SUM(Q17:Q20)</f>
        <v>7293.43</v>
      </c>
      <c r="R21" s="4794">
        <f t="shared" si="47"/>
        <v>7158.2400000000007</v>
      </c>
      <c r="S21" s="4794">
        <f>SUM('Произв. прогр. Стоки (СВОД)'!J24)</f>
        <v>6905.0940634289036</v>
      </c>
      <c r="T21" s="4794">
        <f t="shared" si="47"/>
        <v>6966.01</v>
      </c>
      <c r="U21" s="4794">
        <f t="shared" si="47"/>
        <v>6692.82</v>
      </c>
      <c r="V21" s="4794">
        <f>SUM('Произв. прогр. Стоки (СВОД)'!K24)</f>
        <v>6905.0940634289036</v>
      </c>
      <c r="W21" s="4794">
        <f t="shared" si="47"/>
        <v>7439.26</v>
      </c>
      <c r="X21" s="4794">
        <f t="shared" si="47"/>
        <v>6484.2299999999987</v>
      </c>
      <c r="Y21" s="4761">
        <f t="shared" si="25"/>
        <v>21102.429952169841</v>
      </c>
      <c r="Z21" s="4761">
        <f t="shared" si="25"/>
        <v>21698.7</v>
      </c>
      <c r="AA21" s="4761">
        <f t="shared" si="25"/>
        <v>20335.29</v>
      </c>
      <c r="AB21" s="4758">
        <f t="shared" si="26"/>
        <v>596.27004783015946</v>
      </c>
      <c r="AC21" s="4758">
        <f t="shared" si="27"/>
        <v>2.8255989911192594</v>
      </c>
      <c r="AD21" s="4761">
        <f t="shared" si="28"/>
        <v>43151.221100053997</v>
      </c>
      <c r="AE21" s="4761">
        <f>SUM(L21+Z21)</f>
        <v>42872.39</v>
      </c>
      <c r="AF21" s="4761">
        <f t="shared" si="29"/>
        <v>40153.740000000005</v>
      </c>
      <c r="AG21" s="4758">
        <f t="shared" si="30"/>
        <v>-278.83110005399794</v>
      </c>
      <c r="AH21" s="4758">
        <f t="shared" si="31"/>
        <v>-0.64617198064332193</v>
      </c>
      <c r="AI21" s="4794">
        <f>SUM('Произв. прогр. Стоки (СВОД)'!N24)</f>
        <v>8978.270051509593</v>
      </c>
      <c r="AJ21" s="4794">
        <f t="shared" ref="AJ21:AQ21" si="48">SUM(AJ17:AJ20)</f>
        <v>0</v>
      </c>
      <c r="AK21" s="4794">
        <f t="shared" si="48"/>
        <v>6178.3099999999995</v>
      </c>
      <c r="AL21" s="4794">
        <f>SUM('Произв. прогр. Стоки (СВОД)'!O24)</f>
        <v>8978.270051509593</v>
      </c>
      <c r="AM21" s="4794">
        <f t="shared" si="48"/>
        <v>0</v>
      </c>
      <c r="AN21" s="4794">
        <f t="shared" si="48"/>
        <v>6505.0900000000011</v>
      </c>
      <c r="AO21" s="4794">
        <f>SUM('Произв. прогр. Стоки (СВОД)'!P24)</f>
        <v>9482.0339627222602</v>
      </c>
      <c r="AP21" s="4794">
        <f t="shared" si="48"/>
        <v>0</v>
      </c>
      <c r="AQ21" s="4794">
        <f t="shared" si="48"/>
        <v>6895.03</v>
      </c>
      <c r="AR21" s="4761">
        <f t="shared" si="32"/>
        <v>27438.574065741446</v>
      </c>
      <c r="AS21" s="4761">
        <f t="shared" si="32"/>
        <v>0</v>
      </c>
      <c r="AT21" s="4761">
        <f t="shared" si="32"/>
        <v>19578.43</v>
      </c>
      <c r="AU21" s="4758">
        <f t="shared" si="33"/>
        <v>-27438.574065741446</v>
      </c>
      <c r="AV21" s="4758">
        <f t="shared" si="34"/>
        <v>-100</v>
      </c>
      <c r="AW21" s="4761">
        <f t="shared" si="35"/>
        <v>70589.79516579544</v>
      </c>
      <c r="AX21" s="4761">
        <f t="shared" si="36"/>
        <v>42872.39</v>
      </c>
      <c r="AY21" s="4761">
        <f t="shared" si="36"/>
        <v>59732.170000000006</v>
      </c>
      <c r="AZ21" s="4758">
        <f t="shared" si="37"/>
        <v>-27717.405165795441</v>
      </c>
      <c r="BA21" s="4758">
        <f t="shared" si="38"/>
        <v>-39.265456289673459</v>
      </c>
      <c r="BB21" s="4794">
        <f>SUM('Произв. прогр. Стоки (СВОД)'!S24)</f>
        <v>9538.0077306347794</v>
      </c>
      <c r="BC21" s="4794">
        <f>SUM(BC17:BC20)</f>
        <v>0</v>
      </c>
      <c r="BD21" s="4794">
        <f t="shared" ref="BD21:BJ21" si="49">SUM(BD17:BD20)</f>
        <v>8041.72</v>
      </c>
      <c r="BE21" s="4794">
        <f>SUM('Произв. прогр. Стоки (СВОД)'!T24)</f>
        <v>9538.0077306347794</v>
      </c>
      <c r="BF21" s="4794">
        <f t="shared" si="49"/>
        <v>0</v>
      </c>
      <c r="BG21" s="4794">
        <f t="shared" si="49"/>
        <v>7712.99</v>
      </c>
      <c r="BH21" s="4794">
        <f>SUM('Произв. прогр. Стоки (СВОД)'!U24)</f>
        <v>9593.9814985472985</v>
      </c>
      <c r="BI21" s="4794">
        <f t="shared" si="49"/>
        <v>0</v>
      </c>
      <c r="BJ21" s="4794">
        <f t="shared" si="49"/>
        <v>7046.2100000000009</v>
      </c>
      <c r="BK21" s="4761">
        <f t="shared" si="39"/>
        <v>28669.996959816857</v>
      </c>
      <c r="BL21" s="4761">
        <f t="shared" si="39"/>
        <v>0</v>
      </c>
      <c r="BM21" s="4761">
        <f t="shared" si="39"/>
        <v>22800.92</v>
      </c>
      <c r="BN21" s="4758">
        <f t="shared" si="40"/>
        <v>-28669.996959816857</v>
      </c>
      <c r="BO21" s="4758">
        <f t="shared" si="41"/>
        <v>-100</v>
      </c>
      <c r="BP21" s="4761">
        <f t="shared" si="42"/>
        <v>99259.792125612294</v>
      </c>
      <c r="BQ21" s="4761">
        <f t="shared" si="43"/>
        <v>42872.39</v>
      </c>
      <c r="BR21" s="4761">
        <f t="shared" si="43"/>
        <v>82533.09</v>
      </c>
      <c r="BS21" s="4758">
        <f t="shared" si="44"/>
        <v>-56387.402125612294</v>
      </c>
      <c r="BT21" s="4758">
        <f t="shared" si="45"/>
        <v>-56.807898664803361</v>
      </c>
    </row>
    <row r="22" spans="1:72" ht="18.75" customHeight="1">
      <c r="A22" s="4728" t="s">
        <v>1719</v>
      </c>
      <c r="B22" s="4795">
        <f>SUM('Произв. прогр. Стоки (СВОД)'!E25)</f>
        <v>-325.17583333333334</v>
      </c>
      <c r="C22" s="4826"/>
      <c r="D22" s="4826"/>
      <c r="E22" s="4795">
        <f>SUM('Произв. прогр. Стоки (СВОД)'!F25)</f>
        <v>-325.17583333333334</v>
      </c>
      <c r="F22" s="4751"/>
      <c r="G22" s="4751"/>
      <c r="H22" s="4795">
        <f>SUM('Произв. прогр. Стоки (СВОД)'!G25)</f>
        <v>-325.17583333333334</v>
      </c>
      <c r="I22" s="4751"/>
      <c r="J22" s="4751"/>
      <c r="K22" s="4799">
        <f t="shared" si="22"/>
        <v>-975.52750000000003</v>
      </c>
      <c r="L22" s="4799">
        <f t="shared" si="22"/>
        <v>0</v>
      </c>
      <c r="M22" s="4799">
        <f t="shared" si="22"/>
        <v>0</v>
      </c>
      <c r="N22" s="4742">
        <f t="shared" si="23"/>
        <v>975.52750000000003</v>
      </c>
      <c r="O22" s="4742">
        <f t="shared" si="24"/>
        <v>-100</v>
      </c>
      <c r="P22" s="4795">
        <f>SUM('Произв. прогр. Стоки (СВОД)'!I25)</f>
        <v>-325.17583333333334</v>
      </c>
      <c r="Q22" s="4751"/>
      <c r="R22" s="4751"/>
      <c r="S22" s="4795">
        <f>SUM('Произв. прогр. Стоки (СВОД)'!J25)</f>
        <v>-325.17583333333334</v>
      </c>
      <c r="T22" s="4751"/>
      <c r="U22" s="4751"/>
      <c r="V22" s="4795">
        <f>SUM('Произв. прогр. Стоки (СВОД)'!K25)</f>
        <v>-325.17583333333334</v>
      </c>
      <c r="W22" s="4751"/>
      <c r="X22" s="4751"/>
      <c r="Y22" s="4799">
        <f t="shared" si="25"/>
        <v>-975.52750000000003</v>
      </c>
      <c r="Z22" s="4799">
        <f t="shared" si="25"/>
        <v>0</v>
      </c>
      <c r="AA22" s="4799">
        <f t="shared" si="25"/>
        <v>0</v>
      </c>
      <c r="AB22" s="4742">
        <f t="shared" si="26"/>
        <v>975.52750000000003</v>
      </c>
      <c r="AC22" s="4742">
        <f t="shared" si="27"/>
        <v>-100</v>
      </c>
      <c r="AD22" s="4799">
        <f t="shared" si="28"/>
        <v>-1951.0550000000001</v>
      </c>
      <c r="AE22" s="4799">
        <f t="shared" si="29"/>
        <v>0</v>
      </c>
      <c r="AF22" s="4799">
        <f t="shared" si="29"/>
        <v>0</v>
      </c>
      <c r="AG22" s="4742">
        <f t="shared" si="30"/>
        <v>1951.0550000000001</v>
      </c>
      <c r="AH22" s="4742">
        <f t="shared" si="31"/>
        <v>-100</v>
      </c>
      <c r="AI22" s="4795">
        <f>SUM('Произв. прогр. Стоки (СВОД)'!N25)</f>
        <v>-325.17583333333334</v>
      </c>
      <c r="AJ22" s="4751"/>
      <c r="AK22" s="4751"/>
      <c r="AL22" s="4795">
        <f>SUM('Произв. прогр. Стоки (СВОД)'!O25)</f>
        <v>-325.17583333333334</v>
      </c>
      <c r="AM22" s="4751"/>
      <c r="AN22" s="4751"/>
      <c r="AO22" s="4795">
        <f>SUM('Произв. прогр. Стоки (СВОД)'!P25)</f>
        <v>-325.17583333333334</v>
      </c>
      <c r="AP22" s="4751"/>
      <c r="AQ22" s="4751"/>
      <c r="AR22" s="4799">
        <f t="shared" si="32"/>
        <v>-975.52750000000003</v>
      </c>
      <c r="AS22" s="4799">
        <f t="shared" si="32"/>
        <v>0</v>
      </c>
      <c r="AT22" s="4799">
        <f t="shared" si="32"/>
        <v>0</v>
      </c>
      <c r="AU22" s="4742">
        <f t="shared" si="33"/>
        <v>975.52750000000003</v>
      </c>
      <c r="AV22" s="4742">
        <f t="shared" si="34"/>
        <v>-100</v>
      </c>
      <c r="AW22" s="4799">
        <f t="shared" si="35"/>
        <v>-2926.5825</v>
      </c>
      <c r="AX22" s="4799">
        <f t="shared" si="36"/>
        <v>0</v>
      </c>
      <c r="AY22" s="4799">
        <f t="shared" si="36"/>
        <v>0</v>
      </c>
      <c r="AZ22" s="4742">
        <f t="shared" si="37"/>
        <v>2926.5825</v>
      </c>
      <c r="BA22" s="4742">
        <f t="shared" si="38"/>
        <v>-100</v>
      </c>
      <c r="BB22" s="4795">
        <f>SUM('Произв. прогр. Стоки (СВОД)'!S25)</f>
        <v>-325.17583333333334</v>
      </c>
      <c r="BC22" s="4751"/>
      <c r="BD22" s="4751"/>
      <c r="BE22" s="4795">
        <f>SUM('Произв. прогр. Стоки (СВОД)'!T25)</f>
        <v>-325.17583333333334</v>
      </c>
      <c r="BF22" s="4751"/>
      <c r="BG22" s="4751"/>
      <c r="BH22" s="4795">
        <f>SUM('Произв. прогр. Стоки (СВОД)'!U25)</f>
        <v>-325.17583333333334</v>
      </c>
      <c r="BI22" s="4751"/>
      <c r="BJ22" s="4751"/>
      <c r="BK22" s="4799">
        <f t="shared" si="39"/>
        <v>-975.52750000000003</v>
      </c>
      <c r="BL22" s="4799">
        <f t="shared" si="39"/>
        <v>0</v>
      </c>
      <c r="BM22" s="4799">
        <f t="shared" si="39"/>
        <v>0</v>
      </c>
      <c r="BN22" s="4742">
        <f t="shared" si="40"/>
        <v>975.52750000000003</v>
      </c>
      <c r="BO22" s="4742">
        <f t="shared" si="41"/>
        <v>-100</v>
      </c>
      <c r="BP22" s="4799">
        <f t="shared" si="42"/>
        <v>-3902.11</v>
      </c>
      <c r="BQ22" s="4799">
        <f t="shared" si="43"/>
        <v>0</v>
      </c>
      <c r="BR22" s="4799">
        <f t="shared" si="43"/>
        <v>0</v>
      </c>
      <c r="BS22" s="4742">
        <f t="shared" si="44"/>
        <v>3902.11</v>
      </c>
      <c r="BT22" s="4742">
        <f t="shared" si="45"/>
        <v>-100</v>
      </c>
    </row>
    <row r="23" spans="1:72" ht="18.75" customHeight="1">
      <c r="A23" s="4721" t="s">
        <v>1720</v>
      </c>
      <c r="B23" s="4794">
        <f>SUM('Произв. прогр. Стоки (СВОД)'!E26)</f>
        <v>26.565162556274473</v>
      </c>
      <c r="C23" s="4794">
        <f t="shared" ref="C23:BR23" si="50">SUM(C21/C9)</f>
        <v>26.627334791346495</v>
      </c>
      <c r="D23" s="4794">
        <f t="shared" si="50"/>
        <v>25.117228231266047</v>
      </c>
      <c r="E23" s="4794">
        <f>SUM('Произв. прогр. Стоки (СВОД)'!F26)</f>
        <v>26.564750860740229</v>
      </c>
      <c r="F23" s="4794">
        <f t="shared" si="50"/>
        <v>26.628301530323071</v>
      </c>
      <c r="G23" s="4794">
        <f t="shared" si="50"/>
        <v>25.11704946996467</v>
      </c>
      <c r="H23" s="4794">
        <f>SUM('Произв. прогр. Стоки (СВОД)'!G26)</f>
        <v>26.564750860740229</v>
      </c>
      <c r="I23" s="4794">
        <f t="shared" si="50"/>
        <v>26.471324176454836</v>
      </c>
      <c r="J23" s="4794">
        <f t="shared" si="50"/>
        <v>24.974296299125381</v>
      </c>
      <c r="K23" s="4827">
        <f t="shared" si="50"/>
        <v>26.564888626633401</v>
      </c>
      <c r="L23" s="4827">
        <f t="shared" si="50"/>
        <v>26.576474693363192</v>
      </c>
      <c r="M23" s="4827">
        <f t="shared" si="50"/>
        <v>25.069826572046601</v>
      </c>
      <c r="N23" s="4758">
        <f t="shared" si="23"/>
        <v>1.15860667297909E-2</v>
      </c>
      <c r="O23" s="4758">
        <f t="shared" si="24"/>
        <v>4.3614211573147543E-2</v>
      </c>
      <c r="P23" s="4794">
        <f>SUM('Произв. прогр. Стоки (СВОД)'!I26)</f>
        <v>26.56433432106747</v>
      </c>
      <c r="Q23" s="4794">
        <f t="shared" si="50"/>
        <v>26.615443564573226</v>
      </c>
      <c r="R23" s="4794">
        <f t="shared" si="50"/>
        <v>25.113988001263031</v>
      </c>
      <c r="S23" s="4794">
        <f>SUM('Произв. прогр. Стоки (СВОД)'!J26)</f>
        <v>26.560352582161549</v>
      </c>
      <c r="T23" s="4794">
        <f t="shared" si="50"/>
        <v>26.609152374040267</v>
      </c>
      <c r="U23" s="4794">
        <f t="shared" si="50"/>
        <v>25.113771106941837</v>
      </c>
      <c r="V23" s="4794">
        <f>SUM('Произв. прогр. Стоки (СВОД)'!K26)</f>
        <v>26.560352582161549</v>
      </c>
      <c r="W23" s="4794">
        <f t="shared" si="50"/>
        <v>26.471408746397184</v>
      </c>
      <c r="X23" s="4794">
        <f t="shared" si="50"/>
        <v>24.959505754647981</v>
      </c>
      <c r="Y23" s="4827">
        <f t="shared" si="50"/>
        <v>26.561728393131052</v>
      </c>
      <c r="Z23" s="4827">
        <f t="shared" si="50"/>
        <v>26.563873416171884</v>
      </c>
      <c r="AA23" s="4827">
        <f t="shared" si="50"/>
        <v>25.06445052507026</v>
      </c>
      <c r="AB23" s="4758">
        <f t="shared" si="26"/>
        <v>2.1450230408319726E-3</v>
      </c>
      <c r="AC23" s="4758">
        <f t="shared" si="27"/>
        <v>8.0756154459688031E-3</v>
      </c>
      <c r="AD23" s="4827">
        <f t="shared" si="50"/>
        <v>26.563343069905478</v>
      </c>
      <c r="AE23" s="4827">
        <f t="shared" si="50"/>
        <v>26.570095404069765</v>
      </c>
      <c r="AF23" s="4827">
        <f t="shared" si="50"/>
        <v>25.067103661391521</v>
      </c>
      <c r="AG23" s="4758">
        <f t="shared" si="30"/>
        <v>6.7523341642861112E-3</v>
      </c>
      <c r="AH23" s="4758">
        <f t="shared" si="31"/>
        <v>2.541974534800201E-2</v>
      </c>
      <c r="AI23" s="4794">
        <f>SUM('Произв. прогр. Стоки (СВОД)'!N26)</f>
        <v>34.534796478578315</v>
      </c>
      <c r="AJ23" s="4794" t="e">
        <f t="shared" si="50"/>
        <v>#DIV/0!</v>
      </c>
      <c r="AK23" s="4794">
        <f t="shared" si="50"/>
        <v>26.612293246037215</v>
      </c>
      <c r="AL23" s="4794">
        <f>SUM('Произв. прогр. Стоки (СВОД)'!O26)</f>
        <v>34.534796478578315</v>
      </c>
      <c r="AM23" s="4794" t="e">
        <f t="shared" si="50"/>
        <v>#DIV/0!</v>
      </c>
      <c r="AN23" s="4794">
        <f t="shared" si="50"/>
        <v>26.614393257507576</v>
      </c>
      <c r="AO23" s="4794">
        <f>SUM('Произв. прогр. Стоки (СВОД)'!P26)</f>
        <v>34.541355904457035</v>
      </c>
      <c r="AP23" s="4794" t="e">
        <f t="shared" si="50"/>
        <v>#DIV/0!</v>
      </c>
      <c r="AQ23" s="4794">
        <f t="shared" si="50"/>
        <v>26.453213121043547</v>
      </c>
      <c r="AR23" s="4827">
        <f t="shared" si="50"/>
        <v>34.537062958197097</v>
      </c>
      <c r="AS23" s="4827" t="e">
        <f t="shared" si="50"/>
        <v>#DIV/0!</v>
      </c>
      <c r="AT23" s="4827">
        <f t="shared" si="50"/>
        <v>26.556746198608305</v>
      </c>
      <c r="AU23" s="4758" t="e">
        <f t="shared" si="33"/>
        <v>#DIV/0!</v>
      </c>
      <c r="AV23" s="4758" t="e">
        <f t="shared" si="34"/>
        <v>#DIV/0!</v>
      </c>
      <c r="AW23" s="4827">
        <f t="shared" si="50"/>
        <v>29.18220957624715</v>
      </c>
      <c r="AX23" s="4827">
        <f t="shared" si="50"/>
        <v>26.570095404069765</v>
      </c>
      <c r="AY23" s="4827">
        <f t="shared" si="50"/>
        <v>25.536608410144161</v>
      </c>
      <c r="AZ23" s="4758">
        <f t="shared" si="37"/>
        <v>-2.6121141721773853</v>
      </c>
      <c r="BA23" s="4758">
        <f t="shared" si="38"/>
        <v>-8.9510500065201182</v>
      </c>
      <c r="BB23" s="4794">
        <f>SUM('Произв. прогр. Стоки (СВОД)'!S26)</f>
        <v>34.542042102415657</v>
      </c>
      <c r="BC23" s="4794" t="e">
        <f t="shared" si="50"/>
        <v>#DIV/0!</v>
      </c>
      <c r="BD23" s="4794">
        <f t="shared" si="50"/>
        <v>26.623804005959279</v>
      </c>
      <c r="BE23" s="4794">
        <f>SUM('Произв. прогр. Стоки (СВОД)'!T26)</f>
        <v>34.542042102415657</v>
      </c>
      <c r="BF23" s="4794" t="e">
        <f t="shared" si="50"/>
        <v>#DIV/0!</v>
      </c>
      <c r="BG23" s="4794">
        <f t="shared" si="50"/>
        <v>26.614872325741889</v>
      </c>
      <c r="BH23" s="4794">
        <f>SUM('Произв. прогр. Стоки (СВОД)'!U26)</f>
        <v>34.542720320250943</v>
      </c>
      <c r="BI23" s="4794" t="e">
        <f t="shared" si="50"/>
        <v>#DIV/0!</v>
      </c>
      <c r="BJ23" s="4794">
        <f t="shared" si="50"/>
        <v>26.450730132512486</v>
      </c>
      <c r="BK23" s="4827">
        <f t="shared" si="50"/>
        <v>34.542269054806624</v>
      </c>
      <c r="BL23" s="4827" t="e">
        <f t="shared" si="50"/>
        <v>#DIV/0!</v>
      </c>
      <c r="BM23" s="4827">
        <f t="shared" si="50"/>
        <v>26.567067486950034</v>
      </c>
      <c r="BN23" s="4758" t="e">
        <f t="shared" si="40"/>
        <v>#DIV/0!</v>
      </c>
      <c r="BO23" s="4758" t="e">
        <f t="shared" si="41"/>
        <v>#DIV/0!</v>
      </c>
      <c r="BP23" s="4827">
        <f t="shared" si="50"/>
        <v>30.551533004900786</v>
      </c>
      <c r="BQ23" s="4827">
        <f t="shared" si="50"/>
        <v>26.570095404069765</v>
      </c>
      <c r="BR23" s="4827">
        <f t="shared" si="50"/>
        <v>25.813209187694696</v>
      </c>
      <c r="BS23" s="4758">
        <f t="shared" si="44"/>
        <v>-3.9814376008310219</v>
      </c>
      <c r="BT23" s="4758">
        <f t="shared" si="45"/>
        <v>-13.031875029617524</v>
      </c>
    </row>
    <row r="24" spans="1:72" ht="18.75" customHeight="1">
      <c r="A24" s="4797" t="s">
        <v>264</v>
      </c>
      <c r="B24" s="4825">
        <f>SUM('Произв. прогр. Стоки (СВОД)'!E27)</f>
        <v>23.47</v>
      </c>
      <c r="C24" s="4825">
        <f t="shared" ref="C24:D24" si="51">SUM(C17/C10)</f>
        <v>23.466523707410055</v>
      </c>
      <c r="D24" s="4825">
        <f t="shared" si="51"/>
        <v>22.500333624185185</v>
      </c>
      <c r="E24" s="4825">
        <f>SUM('Произв. прогр. Стоки (СВОД)'!F27)</f>
        <v>23.47</v>
      </c>
      <c r="F24" s="4825">
        <f t="shared" ref="F24:G24" si="52">SUM(F17/F10)</f>
        <v>23.46599319863973</v>
      </c>
      <c r="G24" s="4825">
        <f t="shared" si="52"/>
        <v>22.500350525788683</v>
      </c>
      <c r="H24" s="4825">
        <f>SUM('Произв. прогр. Стоки (СВОД)'!G27)</f>
        <v>23.47</v>
      </c>
      <c r="I24" s="4825">
        <f t="shared" ref="I24:J24" si="53">SUM(I17/I10)</f>
        <v>23.466221006786185</v>
      </c>
      <c r="J24" s="4825">
        <f t="shared" si="53"/>
        <v>22.499999999999996</v>
      </c>
      <c r="K24" s="4865">
        <f>SUM(K17/K10)</f>
        <v>23.470000000000002</v>
      </c>
      <c r="L24" s="4865">
        <f t="shared" ref="L24:M24" si="54">SUM(L17/L10)</f>
        <v>23.466250596933818</v>
      </c>
      <c r="M24" s="4865">
        <f t="shared" si="54"/>
        <v>22.50022821401403</v>
      </c>
      <c r="N24" s="4742">
        <f t="shared" ref="N24:N27" si="55">SUM(L24-K24)</f>
        <v>-3.7494030661839872E-3</v>
      </c>
      <c r="O24" s="4742">
        <f t="shared" ref="O24:O27" si="56">SUM(N24/K24*100)</f>
        <v>-1.5975300665462235E-2</v>
      </c>
      <c r="P24" s="4825">
        <f>SUM('Произв. прогр. Стоки (СВОД)'!I27)</f>
        <v>23.47</v>
      </c>
      <c r="Q24" s="4825">
        <f t="shared" ref="Q24:R24" si="57">SUM(Q17/Q10)</f>
        <v>23.466162130694222</v>
      </c>
      <c r="R24" s="4825">
        <f t="shared" si="57"/>
        <v>22.500730460189921</v>
      </c>
      <c r="S24" s="4825">
        <f>SUM('Произв. прогр. Стоки (СВОД)'!J27)</f>
        <v>23.47</v>
      </c>
      <c r="T24" s="4825">
        <f t="shared" ref="T24:U24" si="58">SUM(T17/T10)</f>
        <v>23.465791188411607</v>
      </c>
      <c r="U24" s="4825">
        <f t="shared" si="58"/>
        <v>22.499999999999996</v>
      </c>
      <c r="V24" s="4825">
        <f>SUM('Произв. прогр. Стоки (СВОД)'!K27)</f>
        <v>23.47</v>
      </c>
      <c r="W24" s="4825">
        <f t="shared" ref="W24:X24" si="59">SUM(W17/W10)</f>
        <v>23.465554409972817</v>
      </c>
      <c r="X24" s="4825">
        <f t="shared" si="59"/>
        <v>22.498979752001254</v>
      </c>
      <c r="Y24" s="4865">
        <f>SUM(Y17/Y10)</f>
        <v>23.47</v>
      </c>
      <c r="Z24" s="4865">
        <f t="shared" ref="Z24:AA24" si="60">SUM(Z17/Z10)</f>
        <v>23.465833091014829</v>
      </c>
      <c r="AA24" s="4865">
        <f t="shared" si="60"/>
        <v>22.49994280204605</v>
      </c>
      <c r="AB24" s="4742">
        <f t="shared" si="26"/>
        <v>-4.1669089851694707E-3</v>
      </c>
      <c r="AC24" s="4742">
        <f t="shared" si="27"/>
        <v>-1.7754192523091059E-2</v>
      </c>
      <c r="AD24" s="4865">
        <f>SUM(AD17/AD10)</f>
        <v>23.47</v>
      </c>
      <c r="AE24" s="4865">
        <f t="shared" ref="AE24:AF24" si="61">SUM(AE17/AE10)</f>
        <v>23.46603984375637</v>
      </c>
      <c r="AF24" s="4865">
        <f t="shared" si="61"/>
        <v>22.500083093746362</v>
      </c>
      <c r="AG24" s="4742">
        <f t="shared" ref="AG24:AG27" si="62">SUM(AE24-AD24)</f>
        <v>-3.9601562436288873E-3</v>
      </c>
      <c r="AH24" s="4742">
        <f t="shared" ref="AH24:AH27" si="63">SUM(AG24/AD24*100)</f>
        <v>-1.6873269039748139E-2</v>
      </c>
      <c r="AI24" s="4825">
        <f>SUM('Произв. прогр. Стоки (СВОД)'!N27)</f>
        <v>24.87</v>
      </c>
      <c r="AJ24" s="4825" t="e">
        <f t="shared" ref="AJ24:AK24" si="64">SUM(AJ17/AJ10)</f>
        <v>#DIV/0!</v>
      </c>
      <c r="AK24" s="4825">
        <f t="shared" si="64"/>
        <v>23.46600510348738</v>
      </c>
      <c r="AL24" s="4825">
        <f>SUM('Произв. прогр. Стоки (СВОД)'!O27)</f>
        <v>24.87</v>
      </c>
      <c r="AM24" s="4825" t="e">
        <f t="shared" ref="AM24:AN24" si="65">SUM(AM17/AM10)</f>
        <v>#DIV/0!</v>
      </c>
      <c r="AN24" s="4825">
        <f t="shared" si="65"/>
        <v>23.466976346841797</v>
      </c>
      <c r="AO24" s="4825">
        <f>SUM('Произв. прогр. Стоки (СВОД)'!P27)</f>
        <v>24.87</v>
      </c>
      <c r="AP24" s="4825" t="e">
        <f t="shared" ref="AP24:AQ24" si="66">SUM(AP17/AP10)</f>
        <v>#DIV/0!</v>
      </c>
      <c r="AQ24" s="4825">
        <f t="shared" si="66"/>
        <v>23.465390279823268</v>
      </c>
      <c r="AR24" s="4865">
        <f>SUM(AR17/AR10)</f>
        <v>24.87</v>
      </c>
      <c r="AS24" s="4865" t="e">
        <f t="shared" ref="AS24:AT24" si="67">SUM(AS17/AS10)</f>
        <v>#DIV/0!</v>
      </c>
      <c r="AT24" s="4865">
        <f t="shared" si="67"/>
        <v>23.466122507945681</v>
      </c>
      <c r="AU24" s="4742" t="e">
        <f t="shared" si="33"/>
        <v>#DIV/0!</v>
      </c>
      <c r="AV24" s="4742" t="e">
        <f t="shared" si="34"/>
        <v>#DIV/0!</v>
      </c>
      <c r="AW24" s="4865">
        <f>SUM(AW17/AW10)</f>
        <v>23.929771658831427</v>
      </c>
      <c r="AX24" s="4865">
        <f t="shared" ref="AX24:AY24" si="68">SUM(AX17/AX10)</f>
        <v>23.46603984375637</v>
      </c>
      <c r="AY24" s="4865">
        <f t="shared" si="68"/>
        <v>22.804515086329541</v>
      </c>
      <c r="AZ24" s="4742">
        <f t="shared" ref="AZ24:AZ27" si="69">SUM(AX24-AW24)</f>
        <v>-0.46373181507505734</v>
      </c>
      <c r="BA24" s="4742">
        <f t="shared" ref="BA24:BA27" si="70">SUM(AZ24/AW24*100)</f>
        <v>-1.9378865025814582</v>
      </c>
      <c r="BB24" s="4825">
        <f>SUM('Произв. прогр. Стоки (СВОД)'!S27)</f>
        <v>24.87</v>
      </c>
      <c r="BC24" s="4825" t="e">
        <f t="shared" ref="BC24:BD24" si="71">SUM(BC17/BC10)</f>
        <v>#DIV/0!</v>
      </c>
      <c r="BD24" s="4825">
        <f t="shared" si="71"/>
        <v>23.46578238341969</v>
      </c>
      <c r="BE24" s="4825">
        <f>SUM('Произв. прогр. Стоки (СВОД)'!T27)</f>
        <v>24.87</v>
      </c>
      <c r="BF24" s="4825" t="e">
        <f t="shared" ref="BF24:BG24" si="72">SUM(BF17/BF10)</f>
        <v>#DIV/0!</v>
      </c>
      <c r="BG24" s="4825">
        <f t="shared" si="72"/>
        <v>23.465571893986091</v>
      </c>
      <c r="BH24" s="4825">
        <f>SUM('Произв. прогр. Стоки (СВОД)'!U27)</f>
        <v>24.87</v>
      </c>
      <c r="BI24" s="4825" t="e">
        <f t="shared" ref="BI24:BJ24" si="73">SUM(BI17/BI10)</f>
        <v>#DIV/0!</v>
      </c>
      <c r="BJ24" s="4825">
        <f t="shared" si="73"/>
        <v>23.466034350166623</v>
      </c>
      <c r="BK24" s="4865">
        <f>SUM(BK17/BK10)</f>
        <v>24.87</v>
      </c>
      <c r="BL24" s="4865" t="e">
        <f t="shared" ref="BL24:BM24" si="74">SUM(BL17/BL10)</f>
        <v>#DIV/0!</v>
      </c>
      <c r="BM24" s="4865">
        <f t="shared" si="74"/>
        <v>23.465784396478956</v>
      </c>
      <c r="BN24" s="4742" t="e">
        <f t="shared" si="40"/>
        <v>#DIV/0!</v>
      </c>
      <c r="BO24" s="4742" t="e">
        <f t="shared" si="41"/>
        <v>#DIV/0!</v>
      </c>
      <c r="BP24" s="4865">
        <f>SUM(BP17/BP10)</f>
        <v>24.169999999999998</v>
      </c>
      <c r="BQ24" s="4865">
        <f t="shared" ref="BQ24:BR24" si="75">SUM(BQ17/BQ10)</f>
        <v>23.46603984375637</v>
      </c>
      <c r="BR24" s="4865">
        <f t="shared" si="75"/>
        <v>22.985751819751638</v>
      </c>
      <c r="BS24" s="4742">
        <f t="shared" ref="BS24:BS27" si="76">SUM(BQ24-BP24)</f>
        <v>-0.70396015624362818</v>
      </c>
      <c r="BT24" s="4742">
        <f t="shared" ref="BT24:BT27" si="77">SUM(BS24/BP24*100)</f>
        <v>-2.9125368483393803</v>
      </c>
    </row>
    <row r="25" spans="1:72" ht="18.75" customHeight="1">
      <c r="A25" s="4797" t="s">
        <v>1721</v>
      </c>
      <c r="B25" s="4825">
        <f>SUM('Произв. прогр. Стоки (СВОД)'!E28)</f>
        <v>3.1655529331358352</v>
      </c>
      <c r="C25" s="4825">
        <f t="shared" ref="C25:D25" si="78">SUM(C18/C10)</f>
        <v>3.170073862282583</v>
      </c>
      <c r="D25" s="4825">
        <f t="shared" si="78"/>
        <v>2.6300364420263818</v>
      </c>
      <c r="E25" s="4825">
        <f>SUM('Произв. прогр. Стоки (СВОД)'!F28)</f>
        <v>3.1655529331358352</v>
      </c>
      <c r="F25" s="4825">
        <f t="shared" ref="F25:G25" si="79">SUM(F18/F10)</f>
        <v>3.1699839967993597</v>
      </c>
      <c r="G25" s="4825">
        <f t="shared" si="79"/>
        <v>2.6300450676014022</v>
      </c>
      <c r="H25" s="4825">
        <f>SUM('Произв. прогр. Стоки (СВОД)'!G28)</f>
        <v>3.1655529331358352</v>
      </c>
      <c r="I25" s="4825">
        <f t="shared" ref="I25:J25" si="80">SUM(I18/I10)</f>
        <v>3.1700091157702825</v>
      </c>
      <c r="J25" s="4825">
        <f t="shared" si="80"/>
        <v>2.6299868033702158</v>
      </c>
      <c r="K25" s="4865">
        <f>SUM(K18/K10)</f>
        <v>3.1655529331358356</v>
      </c>
      <c r="L25" s="4865">
        <f t="shared" ref="L25:M25" si="81">SUM(L18/L10)</f>
        <v>3.1700232186671502</v>
      </c>
      <c r="M25" s="4865">
        <f t="shared" si="81"/>
        <v>2.6300228214014032</v>
      </c>
      <c r="N25" s="4742">
        <f t="shared" si="55"/>
        <v>4.4702855313145662E-3</v>
      </c>
      <c r="O25" s="4742">
        <f t="shared" si="56"/>
        <v>0.14121657813778038</v>
      </c>
      <c r="P25" s="4825">
        <f>SUM('Произв. прогр. Стоки (СВОД)'!I28)</f>
        <v>3.1655529331358352</v>
      </c>
      <c r="Q25" s="4825">
        <f t="shared" ref="Q25:R25" si="82">SUM(Q18/Q10)</f>
        <v>3.1699898122544026</v>
      </c>
      <c r="R25" s="4825">
        <f t="shared" si="82"/>
        <v>2.630067567567568</v>
      </c>
      <c r="S25" s="4825">
        <f>SUM('Произв. прогр. Стоки (СВОД)'!J28)</f>
        <v>3.1655529331358352</v>
      </c>
      <c r="T25" s="4825">
        <f t="shared" ref="T25:U25" si="83">SUM(T18/T10)</f>
        <v>3.169966417723423</v>
      </c>
      <c r="U25" s="4825">
        <f t="shared" si="83"/>
        <v>2.6300188361257066</v>
      </c>
      <c r="V25" s="4825">
        <f>SUM('Произв. прогр. Стоки (СВОД)'!K28)</f>
        <v>3.1655529331358352</v>
      </c>
      <c r="W25" s="4825">
        <f t="shared" ref="W25:X25" si="84">SUM(W18/W10)</f>
        <v>3.169931577467429</v>
      </c>
      <c r="X25" s="4825">
        <f t="shared" si="84"/>
        <v>2.6298854183016793</v>
      </c>
      <c r="Y25" s="4865">
        <f>SUM(Y18/Y10)</f>
        <v>3.1655529331358356</v>
      </c>
      <c r="Z25" s="4865">
        <f t="shared" ref="Z25:AA25" si="85">SUM(Z18/Z10)</f>
        <v>3.1699621983134634</v>
      </c>
      <c r="AA25" s="4865">
        <f t="shared" si="85"/>
        <v>2.6299946070500568</v>
      </c>
      <c r="AB25" s="4742">
        <f t="shared" si="26"/>
        <v>4.4092651776277414E-3</v>
      </c>
      <c r="AC25" s="4742">
        <f t="shared" si="27"/>
        <v>0.13928894164027986</v>
      </c>
      <c r="AD25" s="4865">
        <f>SUM(AD18/AD10)</f>
        <v>3.1655529331358356</v>
      </c>
      <c r="AE25" s="4865">
        <f t="shared" ref="AE25:AF25" si="86">SUM(AE18/AE10)</f>
        <v>3.1699924161495243</v>
      </c>
      <c r="AF25" s="4865">
        <f t="shared" si="86"/>
        <v>2.6300084755621294</v>
      </c>
      <c r="AG25" s="4742">
        <f t="shared" si="62"/>
        <v>4.4394830136886831E-3</v>
      </c>
      <c r="AH25" s="4742">
        <f t="shared" si="63"/>
        <v>0.14024352482682628</v>
      </c>
      <c r="AI25" s="4825">
        <f>SUM('Произв. прогр. Стоки (СВОД)'!N28)</f>
        <v>9.7886798219929894</v>
      </c>
      <c r="AJ25" s="4825" t="e">
        <f t="shared" ref="AJ25:AK25" si="87">SUM(AJ18/AJ10)</f>
        <v>#DIV/0!</v>
      </c>
      <c r="AK25" s="4825">
        <f t="shared" si="87"/>
        <v>3.1700028352707683</v>
      </c>
      <c r="AL25" s="4825">
        <f>SUM('Произв. прогр. Стоки (СВОД)'!O28)</f>
        <v>9.7886798219929894</v>
      </c>
      <c r="AM25" s="4825" t="e">
        <f t="shared" ref="AM25:AN25" si="88">SUM(AM18/AM10)</f>
        <v>#DIV/0!</v>
      </c>
      <c r="AN25" s="4825">
        <f t="shared" si="88"/>
        <v>3.1701105237866414</v>
      </c>
      <c r="AO25" s="4825">
        <f>SUM('Произв. прогр. Стоки (СВОД)'!P28)</f>
        <v>9.7886798219929894</v>
      </c>
      <c r="AP25" s="4825" t="e">
        <f t="shared" ref="AP25:AQ25" si="89">SUM(AP18/AP10)</f>
        <v>#DIV/0!</v>
      </c>
      <c r="AQ25" s="4825">
        <f t="shared" si="89"/>
        <v>3.1698926993477801</v>
      </c>
      <c r="AR25" s="4865">
        <f>SUM(AR18/AR10)</f>
        <v>9.7886798219929876</v>
      </c>
      <c r="AS25" s="4865" t="e">
        <f t="shared" ref="AS25:AT25" si="90">SUM(AS18/AS10)</f>
        <v>#DIV/0!</v>
      </c>
      <c r="AT25" s="4865">
        <f t="shared" si="90"/>
        <v>3.1700014446691709</v>
      </c>
      <c r="AU25" s="4742" t="e">
        <f t="shared" si="33"/>
        <v>#DIV/0!</v>
      </c>
      <c r="AV25" s="4742" t="e">
        <f t="shared" si="34"/>
        <v>#DIV/0!</v>
      </c>
      <c r="AW25" s="4865">
        <f>SUM(AW18/AW10)</f>
        <v>5.340642959093624</v>
      </c>
      <c r="AX25" s="4865">
        <f t="shared" ref="AX25:AY25" si="91">SUM(AX18/AX10)</f>
        <v>3.1699924161495243</v>
      </c>
      <c r="AY25" s="4865">
        <f t="shared" si="91"/>
        <v>2.8001786913420066</v>
      </c>
      <c r="AZ25" s="4742">
        <f t="shared" si="69"/>
        <v>-2.1706505429440996</v>
      </c>
      <c r="BA25" s="4742">
        <f t="shared" si="70"/>
        <v>-40.643992859475617</v>
      </c>
      <c r="BB25" s="4825">
        <f>SUM('Произв. прогр. Стоки (СВОД)'!S28)</f>
        <v>9.7886798219929894</v>
      </c>
      <c r="BC25" s="4825" t="e">
        <f t="shared" ref="BC25:BD25" si="92">SUM(BC18/BC10)</f>
        <v>#DIV/0!</v>
      </c>
      <c r="BD25" s="4825">
        <f t="shared" si="92"/>
        <v>3.1699481865284973</v>
      </c>
      <c r="BE25" s="4825">
        <f>SUM('Произв. прогр. Стоки (СВОД)'!T28)</f>
        <v>9.7886798219929894</v>
      </c>
      <c r="BF25" s="4825" t="e">
        <f t="shared" ref="BF25:BG25" si="93">SUM(BF18/BF10)</f>
        <v>#DIV/0!</v>
      </c>
      <c r="BG25" s="4825">
        <f t="shared" si="93"/>
        <v>3.1699392445187993</v>
      </c>
      <c r="BH25" s="4825">
        <f>SUM('Произв. прогр. Стоки (СВОД)'!U28)</f>
        <v>9.7886798219929894</v>
      </c>
      <c r="BI25" s="4825" t="e">
        <f t="shared" ref="BI25:BJ25" si="94">SUM(BI18/BI10)</f>
        <v>#DIV/0!</v>
      </c>
      <c r="BJ25" s="4825">
        <f t="shared" si="94"/>
        <v>3.1700076903358108</v>
      </c>
      <c r="BK25" s="4865">
        <f>SUM(BK18/BK10)</f>
        <v>9.7886798219929876</v>
      </c>
      <c r="BL25" s="4865" t="e">
        <f t="shared" ref="BL25:BM25" si="95">SUM(BL18/BL10)</f>
        <v>#DIV/0!</v>
      </c>
      <c r="BM25" s="4865">
        <f t="shared" si="95"/>
        <v>3.1699626190763293</v>
      </c>
      <c r="BN25" s="4742" t="e">
        <f t="shared" si="40"/>
        <v>#DIV/0!</v>
      </c>
      <c r="BO25" s="4742" t="e">
        <f t="shared" si="41"/>
        <v>#DIV/0!</v>
      </c>
      <c r="BP25" s="4865">
        <f>SUM(BP18/BP10)</f>
        <v>6.4771163775644123</v>
      </c>
      <c r="BQ25" s="4865">
        <f t="shared" ref="BQ25:BR25" si="96">SUM(BQ18/BQ10)</f>
        <v>3.1699924161495243</v>
      </c>
      <c r="BR25" s="4865">
        <f t="shared" si="96"/>
        <v>2.9015268563119152</v>
      </c>
      <c r="BS25" s="4742">
        <f t="shared" si="76"/>
        <v>-3.307123961414888</v>
      </c>
      <c r="BT25" s="4742">
        <f t="shared" si="77"/>
        <v>-51.058584849118681</v>
      </c>
    </row>
    <row r="26" spans="1:72" ht="18.75" customHeight="1">
      <c r="A26" s="4797" t="s">
        <v>1753</v>
      </c>
      <c r="B26" s="4825">
        <f>SUM('Произв. прогр. Стоки (СВОД)'!E29)</f>
        <v>14.242272904345374</v>
      </c>
      <c r="C26" s="4825">
        <f t="shared" ref="C26:D26" si="97">SUM(C19/C11)</f>
        <v>14.873949579831933</v>
      </c>
      <c r="D26" s="4825">
        <f t="shared" si="97"/>
        <v>14.161290322580644</v>
      </c>
      <c r="E26" s="4825">
        <f>SUM('Произв. прогр. Стоки (СВОД)'!F29)</f>
        <v>14.242272904345374</v>
      </c>
      <c r="F26" s="4825">
        <f t="shared" ref="F26:G26" si="98">SUM(F19/F11)</f>
        <v>14.94736842105263</v>
      </c>
      <c r="G26" s="4825">
        <f t="shared" si="98"/>
        <v>14.21875</v>
      </c>
      <c r="H26" s="4825">
        <f>SUM('Произв. прогр. Стоки (СВОД)'!G29)</f>
        <v>14.242272904345374</v>
      </c>
      <c r="I26" s="4825">
        <f t="shared" ref="I26:J26" si="99">SUM(I19/I11)</f>
        <v>14.866847826086957</v>
      </c>
      <c r="J26" s="4825">
        <f t="shared" si="99"/>
        <v>14.275862068965518</v>
      </c>
      <c r="K26" s="4865">
        <f>SUM(K19/K11)</f>
        <v>14.242272904345374</v>
      </c>
      <c r="L26" s="4865">
        <f t="shared" ref="L26:M26" si="100">SUM(L19/L11)</f>
        <v>14.870983446932813</v>
      </c>
      <c r="M26" s="4865">
        <f t="shared" si="100"/>
        <v>14.263636363636362</v>
      </c>
      <c r="N26" s="4742">
        <f t="shared" si="55"/>
        <v>0.62871054258743975</v>
      </c>
      <c r="O26" s="4742">
        <f t="shared" si="56"/>
        <v>4.4143975249597815</v>
      </c>
      <c r="P26" s="4825">
        <f>SUM('Произв. прогр. Стоки (СВОД)'!I29)</f>
        <v>14.242272904345374</v>
      </c>
      <c r="Q26" s="4825">
        <f t="shared" ref="Q26:R26" si="101">SUM(Q19/Q11)</f>
        <v>4.1923076923076925</v>
      </c>
      <c r="R26" s="4825">
        <f t="shared" si="101"/>
        <v>14.186046511627906</v>
      </c>
      <c r="S26" s="4825">
        <f>SUM('Произв. прогр. Стоки (СВОД)'!J29)</f>
        <v>14.242272904345374</v>
      </c>
      <c r="T26" s="4825">
        <f t="shared" ref="T26:U26" si="102">SUM(T19/T11)</f>
        <v>14.305084745762711</v>
      </c>
      <c r="U26" s="4825">
        <f t="shared" si="102"/>
        <v>14.076923076923077</v>
      </c>
      <c r="V26" s="4825">
        <f>SUM('Произв. прогр. Стоки (СВОД)'!K29)</f>
        <v>14.242272904345374</v>
      </c>
      <c r="W26" s="4825">
        <f t="shared" ref="W26:X26" si="103">SUM(W19/W11)</f>
        <v>14.247999999999999</v>
      </c>
      <c r="X26" s="4825">
        <f t="shared" si="103"/>
        <v>14.309582309582309</v>
      </c>
      <c r="Y26" s="4865">
        <f>SUM(Y19/Y11)</f>
        <v>14.242272904345374</v>
      </c>
      <c r="Z26" s="4865">
        <f t="shared" ref="Z26:AA26" si="104">SUM(Z19/Z11)</f>
        <v>13.686956521739132</v>
      </c>
      <c r="AA26" s="4865">
        <f t="shared" si="104"/>
        <v>14.280163599182002</v>
      </c>
      <c r="AB26" s="4742">
        <f t="shared" si="26"/>
        <v>-0.55531638260624128</v>
      </c>
      <c r="AC26" s="4742">
        <f t="shared" si="27"/>
        <v>-3.8990713514330428</v>
      </c>
      <c r="AD26" s="4865">
        <f>SUM(AD19/AD11)</f>
        <v>14.242272904345374</v>
      </c>
      <c r="AE26" s="4865">
        <f t="shared" ref="AE26:AF26" si="105">SUM(AE19/AE11)</f>
        <v>14.24552135966927</v>
      </c>
      <c r="AF26" s="4865">
        <f t="shared" si="105"/>
        <v>14.272335844994616</v>
      </c>
      <c r="AG26" s="4742">
        <f t="shared" si="62"/>
        <v>3.2484553238969482E-3</v>
      </c>
      <c r="AH26" s="4742">
        <f t="shared" si="63"/>
        <v>2.2808545698529845E-2</v>
      </c>
      <c r="AI26" s="4825">
        <f>SUM('Произв. прогр. Стоки (СВОД)'!N29)</f>
        <v>14.242272904345374</v>
      </c>
      <c r="AJ26" s="4825" t="e">
        <f t="shared" ref="AJ26:AK26" si="106">SUM(AJ19/AJ11)</f>
        <v>#DIV/0!</v>
      </c>
      <c r="AK26" s="4825">
        <f t="shared" si="106"/>
        <v>14.913043478260869</v>
      </c>
      <c r="AL26" s="4825">
        <f>SUM('Произв. прогр. Стоки (СВОД)'!O29)</f>
        <v>14.242272904345374</v>
      </c>
      <c r="AM26" s="4825" t="e">
        <f t="shared" ref="AM26:AN26" si="107">SUM(AM19/AM11)</f>
        <v>#DIV/0!</v>
      </c>
      <c r="AN26" s="4825">
        <f t="shared" si="107"/>
        <v>14.875</v>
      </c>
      <c r="AO26" s="4825">
        <f>SUM('Произв. прогр. Стоки (СВОД)'!P29)</f>
        <v>14.242272904345374</v>
      </c>
      <c r="AP26" s="4825" t="e">
        <f t="shared" ref="AP26:AQ26" si="108">SUM(AP19/AP11)</f>
        <v>#DIV/0!</v>
      </c>
      <c r="AQ26" s="4825">
        <f t="shared" si="108"/>
        <v>14.8675</v>
      </c>
      <c r="AR26" s="4865">
        <f>SUM(AR19/AR11)</f>
        <v>14.242272904345374</v>
      </c>
      <c r="AS26" s="4865" t="e">
        <f t="shared" ref="AS26:AT26" si="109">SUM(AS19/AS11)</f>
        <v>#DIV/0!</v>
      </c>
      <c r="AT26" s="4865">
        <f t="shared" si="109"/>
        <v>14.872469635627532</v>
      </c>
      <c r="AU26" s="4742" t="e">
        <f t="shared" si="33"/>
        <v>#DIV/0!</v>
      </c>
      <c r="AV26" s="4742" t="e">
        <f t="shared" si="34"/>
        <v>#DIV/0!</v>
      </c>
      <c r="AW26" s="4865">
        <f>SUM(AW19/AW11)</f>
        <v>14.242272904345374</v>
      </c>
      <c r="AX26" s="4865">
        <f t="shared" ref="AX26:AY26" si="110">SUM(AX19/AX11)</f>
        <v>14.24552135966927</v>
      </c>
      <c r="AY26" s="4865">
        <f t="shared" si="110"/>
        <v>14.480674631061138</v>
      </c>
      <c r="AZ26" s="4742">
        <f t="shared" si="69"/>
        <v>3.2484553238969482E-3</v>
      </c>
      <c r="BA26" s="4742">
        <f t="shared" si="70"/>
        <v>2.2808545698529845E-2</v>
      </c>
      <c r="BB26" s="4825">
        <f>SUM('Произв. прогр. Стоки (СВОД)'!S29)</f>
        <v>14.242272904345374</v>
      </c>
      <c r="BC26" s="4825" t="e">
        <f t="shared" ref="BC26:BD26" si="111">SUM(BC19/BC11)</f>
        <v>#DIV/0!</v>
      </c>
      <c r="BD26" s="4825">
        <f t="shared" si="111"/>
        <v>14.625</v>
      </c>
      <c r="BE26" s="4825">
        <f>SUM('Произв. прогр. Стоки (СВОД)'!T29)</f>
        <v>14.242272904345374</v>
      </c>
      <c r="BF26" s="4825" t="e">
        <f t="shared" ref="BF26:BG26" si="112">SUM(BF19/BF11)</f>
        <v>#DIV/0!</v>
      </c>
      <c r="BG26" s="4825">
        <f t="shared" si="112"/>
        <v>15.018867924528301</v>
      </c>
      <c r="BH26" s="4825">
        <f>SUM('Произв. прогр. Стоки (СВОД)'!U29)</f>
        <v>14.242272904345374</v>
      </c>
      <c r="BI26" s="4825" t="e">
        <f t="shared" ref="BI26:BJ26" si="113">SUM(BI19/BI11)</f>
        <v>#DIV/0!</v>
      </c>
      <c r="BJ26" s="4825">
        <f t="shared" si="113"/>
        <v>14.893364928909953</v>
      </c>
      <c r="BK26" s="4865">
        <f>SUM(BK19/BK11)</f>
        <v>14.242272904345374</v>
      </c>
      <c r="BL26" s="4865" t="e">
        <f t="shared" ref="BL26:BM26" si="114">SUM(BL19/BL11)</f>
        <v>#DIV/0!</v>
      </c>
      <c r="BM26" s="4865">
        <f t="shared" si="114"/>
        <v>14.893787575150299</v>
      </c>
      <c r="BN26" s="4742" t="e">
        <f t="shared" si="40"/>
        <v>#DIV/0!</v>
      </c>
      <c r="BO26" s="4742" t="e">
        <f t="shared" si="41"/>
        <v>#DIV/0!</v>
      </c>
      <c r="BP26" s="4865">
        <f>SUM(BP19/BP11)</f>
        <v>14.242272904345374</v>
      </c>
      <c r="BQ26" s="4865">
        <f t="shared" ref="BQ26:BR26" si="115">SUM(BQ19/BQ11)</f>
        <v>14.24552135966927</v>
      </c>
      <c r="BR26" s="4865">
        <f t="shared" si="115"/>
        <v>14.58792924037461</v>
      </c>
      <c r="BS26" s="4742">
        <f t="shared" si="76"/>
        <v>3.2484553238969482E-3</v>
      </c>
      <c r="BT26" s="4742">
        <f t="shared" si="77"/>
        <v>2.2808545698529845E-2</v>
      </c>
    </row>
    <row r="27" spans="1:72" ht="18.75" customHeight="1">
      <c r="A27" s="4797" t="s">
        <v>265</v>
      </c>
      <c r="B27" s="4825">
        <f>SUM('Произв. прогр. Стоки (СВОД)'!E30)</f>
        <v>26.635552933135834</v>
      </c>
      <c r="C27" s="4825">
        <f t="shared" ref="C27:D27" si="116">SUM(C20/C12)</f>
        <v>26.641419141914191</v>
      </c>
      <c r="D27" s="4825">
        <f t="shared" si="116"/>
        <v>25.130736910148674</v>
      </c>
      <c r="E27" s="4825">
        <f>SUM('Произв. прогр. Стоки (СВОД)'!F30)</f>
        <v>26.635552933135834</v>
      </c>
      <c r="F27" s="4825">
        <f t="shared" ref="F27:G27" si="117">SUM(F20/F12)</f>
        <v>26.63891472868217</v>
      </c>
      <c r="G27" s="4825">
        <f t="shared" si="117"/>
        <v>25.128523583589171</v>
      </c>
      <c r="H27" s="4825">
        <f>SUM('Произв. прогр. Стоки (СВОД)'!G30)</f>
        <v>26.635552933135834</v>
      </c>
      <c r="I27" s="4825">
        <f t="shared" ref="I27:J27" si="118">SUM(I20/I12)</f>
        <v>26.639714428025901</v>
      </c>
      <c r="J27" s="4825">
        <f t="shared" si="118"/>
        <v>25.132536041939712</v>
      </c>
      <c r="K27" s="4865">
        <f>SUM(K20/K12)</f>
        <v>26.635552933135834</v>
      </c>
      <c r="L27" s="4865">
        <f t="shared" ref="L27:M27" si="119">SUM(L20/L12)</f>
        <v>26.639993525063407</v>
      </c>
      <c r="M27" s="4865">
        <f t="shared" si="119"/>
        <v>25.130486175352043</v>
      </c>
      <c r="N27" s="4742">
        <f t="shared" si="55"/>
        <v>4.4405919275725125E-3</v>
      </c>
      <c r="O27" s="4742">
        <f t="shared" si="56"/>
        <v>1.6671671651494854E-2</v>
      </c>
      <c r="P27" s="4825">
        <f>SUM('Произв. прогр. Стоки (СВОД)'!I30)</f>
        <v>26.635552933135834</v>
      </c>
      <c r="Q27" s="4825">
        <f t="shared" ref="Q27:R27" si="120">SUM(Q20/Q12)</f>
        <v>26.638527498521583</v>
      </c>
      <c r="R27" s="4825">
        <f t="shared" si="120"/>
        <v>25.129499694935937</v>
      </c>
      <c r="S27" s="4825">
        <f>SUM('Произв. прогр. Стоки (СВОД)'!J30)</f>
        <v>26.635552933135834</v>
      </c>
      <c r="T27" s="4825">
        <f t="shared" ref="T27:U27" si="121">SUM(T20/T12)</f>
        <v>26.640784568001298</v>
      </c>
      <c r="U27" s="4825">
        <f t="shared" si="121"/>
        <v>25.129718813111694</v>
      </c>
      <c r="V27" s="4825">
        <f>SUM('Произв. прогр. Стоки (СВОД)'!K30)</f>
        <v>26.635552933135834</v>
      </c>
      <c r="W27" s="4825">
        <f t="shared" ref="W27:X27" si="122">SUM(W20/W12)</f>
        <v>26.640845070422536</v>
      </c>
      <c r="X27" s="4825">
        <f t="shared" si="122"/>
        <v>25.129431800588325</v>
      </c>
      <c r="Y27" s="4865">
        <f>SUM(Y20/Y12)</f>
        <v>26.635552933135834</v>
      </c>
      <c r="Z27" s="4865">
        <f t="shared" ref="Z27:AA27" si="123">SUM(Z20/Z12)</f>
        <v>26.640014490503546</v>
      </c>
      <c r="AA27" s="4865">
        <f t="shared" si="123"/>
        <v>25.129549660703269</v>
      </c>
      <c r="AB27" s="4742">
        <f t="shared" si="26"/>
        <v>4.4615573677120324E-3</v>
      </c>
      <c r="AC27" s="4742">
        <f t="shared" si="27"/>
        <v>1.6750383890704417E-2</v>
      </c>
      <c r="AD27" s="4865">
        <f>SUM(AD20/AD12)</f>
        <v>26.635552933135838</v>
      </c>
      <c r="AE27" s="4865">
        <f t="shared" ref="AE27:AF27" si="124">SUM(AE20/AE12)</f>
        <v>26.640004226542693</v>
      </c>
      <c r="AF27" s="4865">
        <f t="shared" si="124"/>
        <v>25.130017990233871</v>
      </c>
      <c r="AG27" s="4742">
        <f t="shared" si="62"/>
        <v>4.4512934068556831E-3</v>
      </c>
      <c r="AH27" s="4742">
        <f t="shared" si="63"/>
        <v>1.6711849076420232E-2</v>
      </c>
      <c r="AI27" s="4825">
        <f>SUM('Произв. прогр. Стоки (СВОД)'!N30)</f>
        <v>34.65867982199299</v>
      </c>
      <c r="AJ27" s="4825" t="e">
        <f t="shared" ref="AJ27:AK27" si="125">SUM(AJ20/AJ12)</f>
        <v>#DIV/0!</v>
      </c>
      <c r="AK27" s="4825">
        <f t="shared" si="125"/>
        <v>26.633965672990062</v>
      </c>
      <c r="AL27" s="4825">
        <f>SUM('Произв. прогр. Стоки (СВОД)'!O30)</f>
        <v>34.65867982199299</v>
      </c>
      <c r="AM27" s="4825" t="e">
        <f t="shared" ref="AM27:AN27" si="126">SUM(AM20/AM12)</f>
        <v>#DIV/0!</v>
      </c>
      <c r="AN27" s="4825">
        <f t="shared" si="126"/>
        <v>26.63883495145631</v>
      </c>
      <c r="AO27" s="4825">
        <f>SUM('Произв. прогр. Стоки (СВОД)'!P30)</f>
        <v>34.65867982199299</v>
      </c>
      <c r="AP27" s="4825" t="e">
        <f t="shared" ref="AP27:AQ27" si="127">SUM(AP20/AP12)</f>
        <v>#DIV/0!</v>
      </c>
      <c r="AQ27" s="4825">
        <f t="shared" si="127"/>
        <v>26.62949045543364</v>
      </c>
      <c r="AR27" s="4865">
        <f>SUM(AR20/AR12)</f>
        <v>34.65867982199299</v>
      </c>
      <c r="AS27" s="4865" t="e">
        <f t="shared" ref="AS27:AT27" si="128">SUM(AS20/AS12)</f>
        <v>#DIV/0!</v>
      </c>
      <c r="AT27" s="4865">
        <f t="shared" si="128"/>
        <v>26.633843051587966</v>
      </c>
      <c r="AU27" s="4742" t="e">
        <f t="shared" si="33"/>
        <v>#DIV/0!</v>
      </c>
      <c r="AV27" s="4742" t="e">
        <f t="shared" si="34"/>
        <v>#DIV/0!</v>
      </c>
      <c r="AW27" s="4865">
        <f>SUM(AW20/AW12)</f>
        <v>29.270414617925056</v>
      </c>
      <c r="AX27" s="4865">
        <f t="shared" ref="AX27:AY27" si="129">SUM(AX20/AX12)</f>
        <v>26.640004226542693</v>
      </c>
      <c r="AY27" s="4865">
        <f t="shared" si="129"/>
        <v>25.602998432077232</v>
      </c>
      <c r="AZ27" s="4742">
        <f t="shared" si="69"/>
        <v>-2.6304103913823624</v>
      </c>
      <c r="BA27" s="4742">
        <f t="shared" si="70"/>
        <v>-8.9865839815316875</v>
      </c>
      <c r="BB27" s="4825">
        <f>SUM('Произв. прогр. Стоки (СВОД)'!S30)</f>
        <v>34.65867982199299</v>
      </c>
      <c r="BC27" s="4825" t="e">
        <f t="shared" ref="BC27:BD27" si="130">SUM(BC20/BC12)</f>
        <v>#DIV/0!</v>
      </c>
      <c r="BD27" s="4825">
        <f t="shared" si="130"/>
        <v>26.623844121532361</v>
      </c>
      <c r="BE27" s="4825">
        <f>SUM('Произв. прогр. Стоки (СВОД)'!T30)</f>
        <v>34.65867982199299</v>
      </c>
      <c r="BF27" s="4825" t="e">
        <f t="shared" ref="BF27:BG27" si="131">SUM(BF20/BF12)</f>
        <v>#DIV/0!</v>
      </c>
      <c r="BG27" s="4825">
        <f t="shared" si="131"/>
        <v>26.63833896668276</v>
      </c>
      <c r="BH27" s="4825">
        <f>SUM('Произв. прогр. Стоки (СВОД)'!U30)</f>
        <v>34.65867982199299</v>
      </c>
      <c r="BI27" s="4825" t="e">
        <f t="shared" ref="BI27:BJ27" si="132">SUM(BI20/BI12)</f>
        <v>#DIV/0!</v>
      </c>
      <c r="BJ27" s="4825">
        <f t="shared" si="132"/>
        <v>26.638855780691298</v>
      </c>
      <c r="BK27" s="4865">
        <f>SUM(BK20/BK12)</f>
        <v>34.65867982199299</v>
      </c>
      <c r="BL27" s="4865" t="e">
        <f t="shared" ref="BL27:BM27" si="133">SUM(BL20/BL12)</f>
        <v>#DIV/0!</v>
      </c>
      <c r="BM27" s="4865">
        <f t="shared" si="133"/>
        <v>26.633897054949689</v>
      </c>
      <c r="BN27" s="4742" t="e">
        <f t="shared" si="40"/>
        <v>#DIV/0!</v>
      </c>
      <c r="BO27" s="4742" t="e">
        <f t="shared" si="41"/>
        <v>#DIV/0!</v>
      </c>
      <c r="BP27" s="4865">
        <f>SUM(BP20/BP12)</f>
        <v>30.647116377564412</v>
      </c>
      <c r="BQ27" s="4865">
        <f t="shared" ref="BQ27:BR27" si="134">SUM(BQ20/BQ12)</f>
        <v>26.640004226542693</v>
      </c>
      <c r="BR27" s="4865">
        <f t="shared" si="134"/>
        <v>25.861335551330797</v>
      </c>
      <c r="BS27" s="4742">
        <f t="shared" si="76"/>
        <v>-4.0071121510217189</v>
      </c>
      <c r="BT27" s="4742">
        <f t="shared" si="77"/>
        <v>-13.075005496945133</v>
      </c>
    </row>
    <row r="28" spans="1:72" ht="18.75" customHeight="1">
      <c r="A28" s="4717" t="s">
        <v>1722</v>
      </c>
      <c r="B28" s="4828"/>
      <c r="C28" s="4828"/>
      <c r="D28" s="4828"/>
      <c r="E28" s="4828"/>
      <c r="F28" s="4828"/>
      <c r="G28" s="4828"/>
      <c r="H28" s="4828"/>
      <c r="I28" s="4828"/>
      <c r="J28" s="4828"/>
      <c r="K28" s="4828"/>
      <c r="L28" s="4828"/>
      <c r="M28" s="4828"/>
      <c r="N28" s="4828"/>
      <c r="O28" s="4828"/>
      <c r="P28" s="4829"/>
      <c r="Q28" s="4829"/>
      <c r="R28" s="4829"/>
      <c r="S28" s="4829"/>
      <c r="T28" s="4829"/>
      <c r="U28" s="4829"/>
      <c r="V28" s="4829"/>
      <c r="W28" s="4829"/>
      <c r="X28" s="4830"/>
      <c r="Y28" s="4822"/>
      <c r="Z28" s="4822"/>
      <c r="AA28" s="4822"/>
      <c r="AB28" s="4822"/>
      <c r="AC28" s="4822"/>
      <c r="AD28" s="4822"/>
      <c r="AE28" s="4822"/>
      <c r="AF28" s="4822"/>
      <c r="AG28" s="4822"/>
      <c r="AH28" s="4822"/>
      <c r="AI28" s="4822"/>
      <c r="AJ28" s="4822"/>
      <c r="AK28" s="4822"/>
      <c r="AL28" s="4822"/>
      <c r="AM28" s="4822"/>
      <c r="AN28" s="4822"/>
      <c r="AO28" s="4822"/>
      <c r="AP28" s="4822"/>
      <c r="AQ28" s="4822"/>
      <c r="AR28" s="4822"/>
      <c r="AS28" s="4822"/>
      <c r="AT28" s="4822"/>
      <c r="AU28" s="4822"/>
      <c r="AV28" s="4822"/>
      <c r="AW28" s="4822"/>
      <c r="AX28" s="4822"/>
      <c r="AY28" s="4822"/>
      <c r="AZ28" s="4822"/>
      <c r="BA28" s="4822"/>
      <c r="BB28" s="4822"/>
      <c r="BC28" s="4822"/>
      <c r="BD28" s="4822"/>
      <c r="BE28" s="4822"/>
      <c r="BF28" s="4822"/>
      <c r="BG28" s="4822"/>
      <c r="BH28" s="4822"/>
      <c r="BI28" s="4822"/>
      <c r="BJ28" s="4822"/>
      <c r="BK28" s="4823"/>
      <c r="BL28" s="4823"/>
      <c r="BM28" s="4823"/>
      <c r="BN28" s="4823"/>
      <c r="BO28" s="4823"/>
      <c r="BP28" s="4823"/>
      <c r="BQ28" s="4823"/>
      <c r="BR28" s="4823"/>
      <c r="BS28" s="4823"/>
      <c r="BT28" s="4773"/>
    </row>
    <row r="29" spans="1:72" ht="19.5" customHeight="1">
      <c r="A29" s="4895" t="s">
        <v>545</v>
      </c>
      <c r="B29" s="4896" t="s">
        <v>2010</v>
      </c>
      <c r="C29" s="4897"/>
      <c r="D29" s="4897"/>
      <c r="E29" s="4896" t="s">
        <v>2011</v>
      </c>
      <c r="F29" s="4897"/>
      <c r="G29" s="4897"/>
      <c r="H29" s="4896" t="s">
        <v>2012</v>
      </c>
      <c r="I29" s="4897"/>
      <c r="J29" s="4897"/>
      <c r="K29" s="4898" t="s">
        <v>1983</v>
      </c>
      <c r="L29" s="4899"/>
      <c r="M29" s="4899"/>
      <c r="N29" s="4900"/>
      <c r="O29" s="4901"/>
      <c r="P29" s="4896" t="s">
        <v>2013</v>
      </c>
      <c r="Q29" s="4897"/>
      <c r="R29" s="4897"/>
      <c r="S29" s="4896" t="s">
        <v>2014</v>
      </c>
      <c r="T29" s="4897"/>
      <c r="U29" s="4897"/>
      <c r="V29" s="4896" t="s">
        <v>2015</v>
      </c>
      <c r="W29" s="4897"/>
      <c r="X29" s="4897"/>
      <c r="Y29" s="4898" t="s">
        <v>1984</v>
      </c>
      <c r="Z29" s="4899"/>
      <c r="AA29" s="4899"/>
      <c r="AB29" s="4900"/>
      <c r="AC29" s="4901"/>
      <c r="AD29" s="4898" t="s">
        <v>1985</v>
      </c>
      <c r="AE29" s="4909"/>
      <c r="AF29" s="4909"/>
      <c r="AG29" s="4909"/>
      <c r="AH29" s="4910"/>
      <c r="AI29" s="4896" t="s">
        <v>1376</v>
      </c>
      <c r="AJ29" s="4897"/>
      <c r="AK29" s="4897"/>
      <c r="AL29" s="4896" t="s">
        <v>2016</v>
      </c>
      <c r="AM29" s="4897"/>
      <c r="AN29" s="4897"/>
      <c r="AO29" s="4896" t="s">
        <v>2017</v>
      </c>
      <c r="AP29" s="4897"/>
      <c r="AQ29" s="4897"/>
      <c r="AR29" s="4898" t="s">
        <v>1986</v>
      </c>
      <c r="AS29" s="4899"/>
      <c r="AT29" s="4899"/>
      <c r="AU29" s="4900"/>
      <c r="AV29" s="4901"/>
      <c r="AW29" s="4898" t="s">
        <v>1987</v>
      </c>
      <c r="AX29" s="4899"/>
      <c r="AY29" s="4899"/>
      <c r="AZ29" s="4900"/>
      <c r="BA29" s="4901"/>
      <c r="BB29" s="4896" t="s">
        <v>2018</v>
      </c>
      <c r="BC29" s="4897"/>
      <c r="BD29" s="4897"/>
      <c r="BE29" s="4896" t="s">
        <v>2019</v>
      </c>
      <c r="BF29" s="4897"/>
      <c r="BG29" s="4897"/>
      <c r="BH29" s="4896" t="s">
        <v>2020</v>
      </c>
      <c r="BI29" s="4897"/>
      <c r="BJ29" s="4897"/>
      <c r="BK29" s="4898" t="s">
        <v>1988</v>
      </c>
      <c r="BL29" s="4899"/>
      <c r="BM29" s="4899"/>
      <c r="BN29" s="4900"/>
      <c r="BO29" s="4901"/>
      <c r="BP29" s="4905" t="s">
        <v>887</v>
      </c>
      <c r="BQ29" s="4906"/>
      <c r="BR29" s="4906"/>
      <c r="BS29" s="4907"/>
      <c r="BT29" s="4907"/>
    </row>
    <row r="30" spans="1:72" ht="19.5" customHeight="1">
      <c r="A30" s="4895"/>
      <c r="B30" s="4902" t="s">
        <v>1989</v>
      </c>
      <c r="C30" s="4902" t="s">
        <v>1990</v>
      </c>
      <c r="D30" s="4902" t="s">
        <v>2021</v>
      </c>
      <c r="E30" s="4902" t="s">
        <v>1989</v>
      </c>
      <c r="F30" s="4902" t="s">
        <v>1990</v>
      </c>
      <c r="G30" s="4902" t="s">
        <v>2021</v>
      </c>
      <c r="H30" s="4902" t="s">
        <v>1989</v>
      </c>
      <c r="I30" s="4902" t="s">
        <v>1990</v>
      </c>
      <c r="J30" s="4902" t="s">
        <v>2021</v>
      </c>
      <c r="K30" s="4904" t="s">
        <v>1989</v>
      </c>
      <c r="L30" s="4904" t="s">
        <v>1990</v>
      </c>
      <c r="M30" s="4904" t="s">
        <v>2021</v>
      </c>
      <c r="N30" s="4908" t="s">
        <v>2022</v>
      </c>
      <c r="O30" s="4908"/>
      <c r="P30" s="4902" t="s">
        <v>1989</v>
      </c>
      <c r="Q30" s="4902" t="s">
        <v>1990</v>
      </c>
      <c r="R30" s="4902" t="s">
        <v>2021</v>
      </c>
      <c r="S30" s="4902" t="s">
        <v>1989</v>
      </c>
      <c r="T30" s="4902" t="s">
        <v>1990</v>
      </c>
      <c r="U30" s="4902" t="s">
        <v>2021</v>
      </c>
      <c r="V30" s="4902" t="s">
        <v>1989</v>
      </c>
      <c r="W30" s="4902" t="s">
        <v>1990</v>
      </c>
      <c r="X30" s="4902" t="s">
        <v>2021</v>
      </c>
      <c r="Y30" s="4904" t="s">
        <v>1989</v>
      </c>
      <c r="Z30" s="4904" t="s">
        <v>1990</v>
      </c>
      <c r="AA30" s="4904" t="s">
        <v>2021</v>
      </c>
      <c r="AB30" s="4908" t="s">
        <v>2022</v>
      </c>
      <c r="AC30" s="4908"/>
      <c r="AD30" s="4904" t="s">
        <v>1989</v>
      </c>
      <c r="AE30" s="4904" t="s">
        <v>1990</v>
      </c>
      <c r="AF30" s="4904" t="s">
        <v>2021</v>
      </c>
      <c r="AG30" s="4908" t="s">
        <v>2022</v>
      </c>
      <c r="AH30" s="4908"/>
      <c r="AI30" s="4902" t="s">
        <v>1989</v>
      </c>
      <c r="AJ30" s="4902" t="s">
        <v>1990</v>
      </c>
      <c r="AK30" s="4902" t="s">
        <v>2021</v>
      </c>
      <c r="AL30" s="4902" t="s">
        <v>1989</v>
      </c>
      <c r="AM30" s="4902" t="s">
        <v>1990</v>
      </c>
      <c r="AN30" s="4902" t="s">
        <v>2021</v>
      </c>
      <c r="AO30" s="4902" t="s">
        <v>1989</v>
      </c>
      <c r="AP30" s="4902" t="s">
        <v>1990</v>
      </c>
      <c r="AQ30" s="4902" t="s">
        <v>2021</v>
      </c>
      <c r="AR30" s="4904" t="s">
        <v>1989</v>
      </c>
      <c r="AS30" s="4904" t="s">
        <v>1990</v>
      </c>
      <c r="AT30" s="4904" t="s">
        <v>2021</v>
      </c>
      <c r="AU30" s="4908" t="s">
        <v>2022</v>
      </c>
      <c r="AV30" s="4908"/>
      <c r="AW30" s="4904" t="s">
        <v>1989</v>
      </c>
      <c r="AX30" s="4904" t="s">
        <v>1990</v>
      </c>
      <c r="AY30" s="4904" t="s">
        <v>2021</v>
      </c>
      <c r="AZ30" s="4908" t="s">
        <v>2022</v>
      </c>
      <c r="BA30" s="4908"/>
      <c r="BB30" s="4902" t="s">
        <v>1989</v>
      </c>
      <c r="BC30" s="4902" t="s">
        <v>1990</v>
      </c>
      <c r="BD30" s="4902" t="s">
        <v>2021</v>
      </c>
      <c r="BE30" s="4902" t="s">
        <v>1989</v>
      </c>
      <c r="BF30" s="4902" t="s">
        <v>1990</v>
      </c>
      <c r="BG30" s="4902" t="s">
        <v>2021</v>
      </c>
      <c r="BH30" s="4902" t="s">
        <v>1989</v>
      </c>
      <c r="BI30" s="4902" t="s">
        <v>1990</v>
      </c>
      <c r="BJ30" s="4902" t="s">
        <v>2021</v>
      </c>
      <c r="BK30" s="4904" t="s">
        <v>1989</v>
      </c>
      <c r="BL30" s="4904" t="s">
        <v>1990</v>
      </c>
      <c r="BM30" s="4904" t="s">
        <v>2021</v>
      </c>
      <c r="BN30" s="4908" t="s">
        <v>2022</v>
      </c>
      <c r="BO30" s="4908"/>
      <c r="BP30" s="4911" t="s">
        <v>1989</v>
      </c>
      <c r="BQ30" s="4911" t="s">
        <v>1990</v>
      </c>
      <c r="BR30" s="4911" t="s">
        <v>2021</v>
      </c>
      <c r="BS30" s="4908" t="s">
        <v>2022</v>
      </c>
      <c r="BT30" s="4908"/>
    </row>
    <row r="31" spans="1:72" ht="24.75" customHeight="1">
      <c r="A31" s="4895"/>
      <c r="B31" s="4903"/>
      <c r="C31" s="4903"/>
      <c r="D31" s="4903"/>
      <c r="E31" s="4903"/>
      <c r="F31" s="4903"/>
      <c r="G31" s="4903"/>
      <c r="H31" s="4903"/>
      <c r="I31" s="4903"/>
      <c r="J31" s="4903"/>
      <c r="K31" s="4903"/>
      <c r="L31" s="4903"/>
      <c r="M31" s="4903"/>
      <c r="N31" s="4720" t="s">
        <v>2023</v>
      </c>
      <c r="O31" s="4720" t="s">
        <v>44</v>
      </c>
      <c r="P31" s="4903"/>
      <c r="Q31" s="4903"/>
      <c r="R31" s="4903"/>
      <c r="S31" s="4903"/>
      <c r="T31" s="4903"/>
      <c r="U31" s="4903"/>
      <c r="V31" s="4903"/>
      <c r="W31" s="4903"/>
      <c r="X31" s="4903"/>
      <c r="Y31" s="4903"/>
      <c r="Z31" s="4903"/>
      <c r="AA31" s="4903"/>
      <c r="AB31" s="4720" t="s">
        <v>2023</v>
      </c>
      <c r="AC31" s="4720" t="s">
        <v>44</v>
      </c>
      <c r="AD31" s="4903"/>
      <c r="AE31" s="4903"/>
      <c r="AF31" s="4903"/>
      <c r="AG31" s="4720" t="s">
        <v>2023</v>
      </c>
      <c r="AH31" s="4720" t="s">
        <v>44</v>
      </c>
      <c r="AI31" s="4903"/>
      <c r="AJ31" s="4903"/>
      <c r="AK31" s="4903"/>
      <c r="AL31" s="4903"/>
      <c r="AM31" s="4903"/>
      <c r="AN31" s="4903"/>
      <c r="AO31" s="4903"/>
      <c r="AP31" s="4903"/>
      <c r="AQ31" s="4903"/>
      <c r="AR31" s="4903"/>
      <c r="AS31" s="4903"/>
      <c r="AT31" s="4903"/>
      <c r="AU31" s="4720" t="s">
        <v>2023</v>
      </c>
      <c r="AV31" s="4720" t="s">
        <v>44</v>
      </c>
      <c r="AW31" s="4903"/>
      <c r="AX31" s="4903"/>
      <c r="AY31" s="4903"/>
      <c r="AZ31" s="4720" t="s">
        <v>2023</v>
      </c>
      <c r="BA31" s="4720" t="s">
        <v>44</v>
      </c>
      <c r="BB31" s="4903"/>
      <c r="BC31" s="4903"/>
      <c r="BD31" s="4903"/>
      <c r="BE31" s="4903"/>
      <c r="BF31" s="4903"/>
      <c r="BG31" s="4903"/>
      <c r="BH31" s="4903"/>
      <c r="BI31" s="4903"/>
      <c r="BJ31" s="4903"/>
      <c r="BK31" s="4903"/>
      <c r="BL31" s="4903"/>
      <c r="BM31" s="4903"/>
      <c r="BN31" s="4720" t="s">
        <v>2023</v>
      </c>
      <c r="BO31" s="4720" t="s">
        <v>44</v>
      </c>
      <c r="BP31" s="4903"/>
      <c r="BQ31" s="4903"/>
      <c r="BR31" s="4903"/>
      <c r="BS31" s="4720" t="s">
        <v>2023</v>
      </c>
      <c r="BT31" s="4720" t="s">
        <v>44</v>
      </c>
    </row>
    <row r="32" spans="1:72" ht="18.75" customHeight="1">
      <c r="A32" s="4753" t="s">
        <v>1</v>
      </c>
      <c r="B32" s="4737">
        <f>SUM('Произв. прогр. Стоки (СВОД)'!E34)</f>
        <v>656.59418528024992</v>
      </c>
      <c r="C32" s="4737">
        <f>SUM('ПОЛНАЯ СЕБЕСТОИМОСТЬ СТОКИ 2018'!C143)</f>
        <v>1000.11</v>
      </c>
      <c r="D32" s="4738">
        <v>927.85</v>
      </c>
      <c r="E32" s="4737">
        <f>SUM('Произв. прогр. Стоки (СВОД)'!F34)</f>
        <v>652.77626181075004</v>
      </c>
      <c r="F32" s="4737">
        <f>SUM('ПОЛНАЯ СЕБЕСТОИМОСТЬ СТОКИ 2018'!D143)</f>
        <v>939.52</v>
      </c>
      <c r="G32" s="4738">
        <v>811.47</v>
      </c>
      <c r="H32" s="4737">
        <f>SUM('Произв. прогр. Стоки (СВОД)'!G34)</f>
        <v>652.77626181075004</v>
      </c>
      <c r="I32" s="4737">
        <f>SUM('ПОЛНАЯ СЕБЕСТОИМОСТЬ СТОКИ 2018'!E143)</f>
        <v>1013.0400000000001</v>
      </c>
      <c r="J32" s="4738">
        <v>932.88</v>
      </c>
      <c r="K32" s="4800">
        <f t="shared" ref="K32:M38" si="135">SUM(B32+E32+H32)</f>
        <v>1962.1467089017501</v>
      </c>
      <c r="L32" s="4800">
        <f t="shared" si="135"/>
        <v>2952.67</v>
      </c>
      <c r="M32" s="4800">
        <f t="shared" si="135"/>
        <v>2672.2000000000003</v>
      </c>
      <c r="N32" s="4746">
        <f t="shared" ref="N32:N74" si="136">SUM(L32-K32)</f>
        <v>990.52329109824996</v>
      </c>
      <c r="O32" s="4746">
        <f t="shared" ref="O32:O74" si="137">SUM(N32/K32*100)</f>
        <v>50.481612134531176</v>
      </c>
      <c r="P32" s="4737">
        <f>SUM('Произв. прогр. Стоки (СВОД)'!I34)</f>
        <v>648.95833834124983</v>
      </c>
      <c r="Q32" s="4737">
        <f>SUM('ПОЛНАЯ СЕБЕСТОИМОСТЬ СТОКИ 2018'!H143)</f>
        <v>1049.06</v>
      </c>
      <c r="R32" s="4738">
        <v>937.9</v>
      </c>
      <c r="S32" s="4737">
        <f>SUM('Произв. прогр. Стоки (СВОД)'!J34)</f>
        <v>614.59702711574994</v>
      </c>
      <c r="T32" s="4737">
        <f>SUM('ПОЛНАЯ СЕБЕСТОИМОСТЬ СТОКИ 2018'!I143)</f>
        <v>1018.6500000000001</v>
      </c>
      <c r="U32" s="4738">
        <v>906.32</v>
      </c>
      <c r="V32" s="4737">
        <f>SUM('Произв. прогр. Стоки (СВОД)'!K34)</f>
        <v>614.59702711574994</v>
      </c>
      <c r="W32" s="4737">
        <f>SUM('ПОЛНАЯ СЕБЕСТОИМОСТЬ СТОКИ 2018'!J143)</f>
        <v>889.43000000000006</v>
      </c>
      <c r="X32" s="4738">
        <v>792.14</v>
      </c>
      <c r="Y32" s="4800">
        <f t="shared" ref="Y32:AA38" si="138">SUM(P32+S32+V32)</f>
        <v>1878.1523925727497</v>
      </c>
      <c r="Z32" s="4800">
        <f t="shared" si="138"/>
        <v>2957.1400000000003</v>
      </c>
      <c r="AA32" s="4800">
        <f t="shared" si="138"/>
        <v>2636.36</v>
      </c>
      <c r="AB32" s="4746">
        <f t="shared" ref="AB32:AB68" si="139">SUM(Z32-Y32)</f>
        <v>1078.9876074272506</v>
      </c>
      <c r="AC32" s="4746">
        <f t="shared" ref="AC32:AC73" si="140">SUM(AB32/Y32*100)</f>
        <v>57.449417400534841</v>
      </c>
      <c r="AD32" s="4800">
        <f t="shared" ref="AD32:AD38" si="141">SUM(K32+Y32)</f>
        <v>3840.2991014744998</v>
      </c>
      <c r="AE32" s="4800">
        <f t="shared" ref="AE32:AF38" si="142">SUM(L32+Z32)</f>
        <v>5909.81</v>
      </c>
      <c r="AF32" s="4831">
        <f t="shared" si="142"/>
        <v>5308.56</v>
      </c>
      <c r="AG32" s="4746">
        <f t="shared" ref="AG32:AG68" si="143">SUM(AE32-AD32)</f>
        <v>2069.5108985255006</v>
      </c>
      <c r="AH32" s="4746">
        <f t="shared" ref="AH32:AH74" si="144">SUM(AG32/AD32*100)</f>
        <v>53.889315489277976</v>
      </c>
      <c r="AI32" s="4737">
        <f>SUM('Произв. прогр. Стоки (СВОД)'!N34)</f>
        <v>657.61881901385254</v>
      </c>
      <c r="AJ32" s="4737">
        <f>SUM('ПОЛНАЯ СЕБЕСТОИМОСТЬ СТОКИ 2018'!P143)</f>
        <v>0</v>
      </c>
      <c r="AK32" s="4738">
        <v>916.07</v>
      </c>
      <c r="AL32" s="4737">
        <f>SUM('Произв. прогр. Стоки (СВОД)'!O34)</f>
        <v>657.61881901385254</v>
      </c>
      <c r="AM32" s="4737">
        <f>SUM('ПОЛНАЯ СЕБЕСТОИМОСТЬ СТОКИ 2018'!Q143)</f>
        <v>0</v>
      </c>
      <c r="AN32" s="4738">
        <v>873.71</v>
      </c>
      <c r="AO32" s="4737">
        <f>SUM('Произв. прогр. Стоки (СВОД)'!P34)</f>
        <v>694.38542202513736</v>
      </c>
      <c r="AP32" s="4737">
        <f>SUM('ПОЛНАЯ СЕБЕСТОИМОСТЬ СТОКИ 2018'!R143)</f>
        <v>0</v>
      </c>
      <c r="AQ32" s="4738">
        <v>920.17</v>
      </c>
      <c r="AR32" s="4800">
        <f t="shared" ref="AR32:AT38" si="145">SUM(AI32+AL32+AO32)</f>
        <v>2009.6230600528424</v>
      </c>
      <c r="AS32" s="4800">
        <f t="shared" si="145"/>
        <v>0</v>
      </c>
      <c r="AT32" s="4800">
        <f t="shared" si="145"/>
        <v>2709.9500000000003</v>
      </c>
      <c r="AU32" s="4746">
        <f t="shared" ref="AU32:AU68" si="146">SUM(AS32-AR32)</f>
        <v>-2009.6230600528424</v>
      </c>
      <c r="AV32" s="4746">
        <f t="shared" ref="AV32:AV70" si="147">SUM(AU32/AR32*100)</f>
        <v>-100</v>
      </c>
      <c r="AW32" s="4800">
        <f t="shared" ref="AW32:AW38" si="148">SUM(AD32+AR32)</f>
        <v>5849.9221615273418</v>
      </c>
      <c r="AX32" s="4800">
        <f t="shared" ref="AX32:AY38" si="149">SUM(AE32+AS32)</f>
        <v>5909.81</v>
      </c>
      <c r="AY32" s="4800">
        <f t="shared" si="149"/>
        <v>8018.51</v>
      </c>
      <c r="AZ32" s="4746">
        <f t="shared" ref="AZ32:AZ68" si="150">SUM(AX32-AW32)</f>
        <v>59.887838472658586</v>
      </c>
      <c r="BA32" s="4746">
        <f t="shared" ref="BA32:BA70" si="151">SUM(AZ32/AW32*100)</f>
        <v>1.02373735613984</v>
      </c>
      <c r="BB32" s="4737">
        <f>SUM('Произв. прогр. Стоки (СВОД)'!S34)</f>
        <v>698.47060013750252</v>
      </c>
      <c r="BC32" s="4737">
        <f>SUM('ПОЛНАЯ СЕБЕСТОИМОСТЬ СТОКИ 2018'!X143)</f>
        <v>0</v>
      </c>
      <c r="BD32" s="4738">
        <v>1075.6400000000001</v>
      </c>
      <c r="BE32" s="4737">
        <f>SUM('Произв. прогр. Стоки (СВОД)'!S34)</f>
        <v>698.47060013750252</v>
      </c>
      <c r="BF32" s="4737">
        <f>SUM('ПОЛНАЯ СЕБЕСТОИМОСТЬ СТОКИ 2018'!Y143)</f>
        <v>0</v>
      </c>
      <c r="BG32" s="4738">
        <v>1023.83</v>
      </c>
      <c r="BH32" s="4737">
        <f>SUM('Произв. прогр. Стоки (СВОД)'!U34)</f>
        <v>702.55577824986767</v>
      </c>
      <c r="BI32" s="4737">
        <f>SUM('ПОЛНАЯ СЕБЕСТОИМОСТЬ СТОКИ 2018'!Z143)</f>
        <v>0</v>
      </c>
      <c r="BJ32" s="4738">
        <v>1087.97</v>
      </c>
      <c r="BK32" s="4800">
        <f t="shared" ref="BK32:BM38" si="152">SUM(BB32+BE32+BH32)</f>
        <v>2099.4969785248727</v>
      </c>
      <c r="BL32" s="4800">
        <f t="shared" si="152"/>
        <v>0</v>
      </c>
      <c r="BM32" s="4800">
        <f t="shared" si="152"/>
        <v>3187.4400000000005</v>
      </c>
      <c r="BN32" s="4746">
        <f t="shared" ref="BN32:BN68" si="153">SUM(BL32-BK32)</f>
        <v>-2099.4969785248727</v>
      </c>
      <c r="BO32" s="4746">
        <f t="shared" ref="BO32:BO74" si="154">SUM(BN32/BK32*100)</f>
        <v>-100</v>
      </c>
      <c r="BP32" s="4800">
        <f t="shared" ref="BP32:BP38" si="155">SUM(AW32+BK32)</f>
        <v>7949.4191400522141</v>
      </c>
      <c r="BQ32" s="4800">
        <f t="shared" ref="BQ32:BR38" si="156">SUM(AX32+BL32)</f>
        <v>5909.81</v>
      </c>
      <c r="BR32" s="4800">
        <f t="shared" si="156"/>
        <v>11205.95</v>
      </c>
      <c r="BS32" s="4746">
        <f t="shared" ref="BS32:BS68" si="157">SUM(BQ32-BP32)</f>
        <v>-2039.6091400522137</v>
      </c>
      <c r="BT32" s="4746">
        <f t="shared" ref="BT32:BT68" si="158">SUM(BS32/BP32*100)</f>
        <v>-25.657335512426094</v>
      </c>
    </row>
    <row r="33" spans="1:72" ht="18.75" customHeight="1">
      <c r="A33" s="4753" t="s">
        <v>2</v>
      </c>
      <c r="B33" s="4737">
        <f>SUM('Произв. прогр. Стоки (СВОД)'!E35)</f>
        <v>419.74</v>
      </c>
      <c r="C33" s="4737">
        <f>SUM('ПОЛНАЯ СЕБЕСТОИМОСТЬ СТОКИ 2018'!C144)</f>
        <v>410.13</v>
      </c>
      <c r="D33" s="4738">
        <v>420.93</v>
      </c>
      <c r="E33" s="4737">
        <f>SUM('Произв. прогр. Стоки (СВОД)'!F35)</f>
        <v>419.74</v>
      </c>
      <c r="F33" s="4737">
        <f>SUM('ПОЛНАЯ СЕБЕСТОИМОСТЬ СТОКИ 2018'!D144)</f>
        <v>395.42</v>
      </c>
      <c r="G33" s="4738">
        <v>420.93</v>
      </c>
      <c r="H33" s="4737">
        <f>SUM('Произв. прогр. Стоки (СВОД)'!G35)</f>
        <v>419.74</v>
      </c>
      <c r="I33" s="4737">
        <f>SUM('ПОЛНАЯ СЕБЕСТОИМОСТЬ СТОКИ 2018'!E144)</f>
        <v>395.42</v>
      </c>
      <c r="J33" s="4738">
        <v>420.93</v>
      </c>
      <c r="K33" s="4800">
        <f t="shared" si="135"/>
        <v>1259.22</v>
      </c>
      <c r="L33" s="4800">
        <f t="shared" si="135"/>
        <v>1200.97</v>
      </c>
      <c r="M33" s="4800">
        <f t="shared" si="135"/>
        <v>1262.79</v>
      </c>
      <c r="N33" s="4746">
        <f t="shared" si="136"/>
        <v>-58.25</v>
      </c>
      <c r="O33" s="4746">
        <f t="shared" si="137"/>
        <v>-4.6258795127142198</v>
      </c>
      <c r="P33" s="4737">
        <f>SUM('Произв. прогр. Стоки (СВОД)'!I35)</f>
        <v>419.74</v>
      </c>
      <c r="Q33" s="4737">
        <f>SUM('ПОЛНАЯ СЕБЕСТОИМОСТЬ СТОКИ 2018'!H144)</f>
        <v>395.42</v>
      </c>
      <c r="R33" s="4738">
        <v>420.95</v>
      </c>
      <c r="S33" s="4737">
        <f>SUM('Произв. прогр. Стоки (СВОД)'!J35)</f>
        <v>419.74</v>
      </c>
      <c r="T33" s="4737">
        <f>SUM('ПОЛНАЯ СЕБЕСТОИМОСТЬ СТОКИ 2018'!I144)</f>
        <v>402.33000000000004</v>
      </c>
      <c r="U33" s="4738">
        <v>421.39</v>
      </c>
      <c r="V33" s="4737">
        <f>SUM('Произв. прогр. Стоки (СВОД)'!K35)</f>
        <v>419.74</v>
      </c>
      <c r="W33" s="4737">
        <f>SUM('ПОЛНАЯ СЕБЕСТОИМОСТЬ СТОКИ 2018'!J144)</f>
        <v>402.92</v>
      </c>
      <c r="X33" s="4738">
        <v>421.39</v>
      </c>
      <c r="Y33" s="4800">
        <f t="shared" si="138"/>
        <v>1259.22</v>
      </c>
      <c r="Z33" s="4800">
        <f t="shared" si="138"/>
        <v>1200.67</v>
      </c>
      <c r="AA33" s="4800">
        <f t="shared" si="138"/>
        <v>1263.73</v>
      </c>
      <c r="AB33" s="4746">
        <f t="shared" si="139"/>
        <v>-58.549999999999955</v>
      </c>
      <c r="AC33" s="4746">
        <f t="shared" si="140"/>
        <v>-4.6497037848827016</v>
      </c>
      <c r="AD33" s="4800">
        <f t="shared" si="141"/>
        <v>2518.44</v>
      </c>
      <c r="AE33" s="4800">
        <f t="shared" si="142"/>
        <v>2401.6400000000003</v>
      </c>
      <c r="AF33" s="4831">
        <f t="shared" si="142"/>
        <v>2526.52</v>
      </c>
      <c r="AG33" s="4746">
        <f t="shared" si="143"/>
        <v>-116.79999999999973</v>
      </c>
      <c r="AH33" s="4746">
        <f t="shared" si="144"/>
        <v>-4.6377916487984523</v>
      </c>
      <c r="AI33" s="4737">
        <f>SUM('Произв. прогр. Стоки (СВОД)'!N35)</f>
        <v>419.74</v>
      </c>
      <c r="AJ33" s="4737">
        <f>SUM('ПОЛНАЯ СЕБЕСТОИМОСТЬ СТОКИ 2018'!P144)</f>
        <v>0</v>
      </c>
      <c r="AK33" s="4738">
        <v>418.76</v>
      </c>
      <c r="AL33" s="4737">
        <f>SUM('Произв. прогр. Стоки (СВОД)'!O35)</f>
        <v>419.74</v>
      </c>
      <c r="AM33" s="4737">
        <f>SUM('ПОЛНАЯ СЕБЕСТОИМОСТЬ СТОКИ 2018'!Q144)</f>
        <v>0</v>
      </c>
      <c r="AN33" s="4738">
        <v>418.12</v>
      </c>
      <c r="AO33" s="4737">
        <f>SUM('Произв. прогр. Стоки (СВОД)'!P35)</f>
        <v>419.74</v>
      </c>
      <c r="AP33" s="4737">
        <f>SUM('ПОЛНАЯ СЕБЕСТОИМОСТЬ СТОКИ 2018'!R144)</f>
        <v>0</v>
      </c>
      <c r="AQ33" s="4738">
        <v>410.72</v>
      </c>
      <c r="AR33" s="4800">
        <f t="shared" si="145"/>
        <v>1259.22</v>
      </c>
      <c r="AS33" s="4800">
        <f t="shared" si="145"/>
        <v>0</v>
      </c>
      <c r="AT33" s="4800">
        <f t="shared" si="145"/>
        <v>1247.5999999999999</v>
      </c>
      <c r="AU33" s="4746">
        <f t="shared" si="146"/>
        <v>-1259.22</v>
      </c>
      <c r="AV33" s="4746">
        <f t="shared" si="147"/>
        <v>-100</v>
      </c>
      <c r="AW33" s="4800">
        <f t="shared" si="148"/>
        <v>3777.66</v>
      </c>
      <c r="AX33" s="4800">
        <f t="shared" si="149"/>
        <v>2401.6400000000003</v>
      </c>
      <c r="AY33" s="4800">
        <f t="shared" si="149"/>
        <v>3774.12</v>
      </c>
      <c r="AZ33" s="4746">
        <f t="shared" si="150"/>
        <v>-1376.0199999999995</v>
      </c>
      <c r="BA33" s="4746">
        <f t="shared" si="151"/>
        <v>-36.425194432532301</v>
      </c>
      <c r="BB33" s="4737">
        <f>SUM('Произв. прогр. Стоки (СВОД)'!S35)</f>
        <v>419.74</v>
      </c>
      <c r="BC33" s="4737">
        <f>SUM('ПОЛНАЯ СЕБЕСТОИМОСТЬ СТОКИ 2018'!X144)</f>
        <v>0</v>
      </c>
      <c r="BD33" s="4738">
        <v>410.72</v>
      </c>
      <c r="BE33" s="4737">
        <f>SUM('Произв. прогр. Стоки (СВОД)'!S35)</f>
        <v>419.74</v>
      </c>
      <c r="BF33" s="4737">
        <f>SUM('ПОЛНАЯ СЕБЕСТОИМОСТЬ СТОКИ 2018'!Y144)</f>
        <v>0</v>
      </c>
      <c r="BG33" s="4738">
        <v>410.72</v>
      </c>
      <c r="BH33" s="4737">
        <f>SUM('Произв. прогр. Стоки (СВОД)'!U35)</f>
        <v>419.74</v>
      </c>
      <c r="BI33" s="4737">
        <f>SUM('ПОЛНАЯ СЕБЕСТОИМОСТЬ СТОКИ 2018'!Z144)</f>
        <v>0</v>
      </c>
      <c r="BJ33" s="4738">
        <v>410.73</v>
      </c>
      <c r="BK33" s="4800">
        <f t="shared" si="152"/>
        <v>1259.22</v>
      </c>
      <c r="BL33" s="4800">
        <f t="shared" si="152"/>
        <v>0</v>
      </c>
      <c r="BM33" s="4800">
        <f t="shared" si="152"/>
        <v>1232.17</v>
      </c>
      <c r="BN33" s="4746">
        <f t="shared" si="153"/>
        <v>-1259.22</v>
      </c>
      <c r="BO33" s="4746">
        <f t="shared" si="154"/>
        <v>-100</v>
      </c>
      <c r="BP33" s="4800">
        <f t="shared" si="155"/>
        <v>5036.88</v>
      </c>
      <c r="BQ33" s="4800">
        <f t="shared" si="156"/>
        <v>2401.6400000000003</v>
      </c>
      <c r="BR33" s="4800">
        <f t="shared" si="156"/>
        <v>5006.29</v>
      </c>
      <c r="BS33" s="4746">
        <f t="shared" si="157"/>
        <v>-2635.24</v>
      </c>
      <c r="BT33" s="4746">
        <f t="shared" si="158"/>
        <v>-52.318895824399227</v>
      </c>
    </row>
    <row r="34" spans="1:72" ht="18.75" customHeight="1">
      <c r="A34" s="4753" t="s">
        <v>2046</v>
      </c>
      <c r="B34" s="4737">
        <f>SUM('Произв. прогр. Стоки (СВОД)'!E36)</f>
        <v>0</v>
      </c>
      <c r="C34" s="4737">
        <f>SUM('ПОЛНАЯ СЕБЕСТОИМОСТЬ СТОКИ 2018'!C145)</f>
        <v>0</v>
      </c>
      <c r="D34" s="4738">
        <v>0</v>
      </c>
      <c r="E34" s="4737">
        <f>SUM('Произв. прогр. Стоки (СВОД)'!F36)</f>
        <v>0</v>
      </c>
      <c r="F34" s="4737">
        <f>SUM('ПОЛНАЯ СЕБЕСТОИМОСТЬ СТОКИ 2018'!D145)</f>
        <v>0</v>
      </c>
      <c r="G34" s="4738">
        <v>0</v>
      </c>
      <c r="H34" s="4737">
        <f>SUM('Произв. прогр. Стоки (СВОД)'!G36)</f>
        <v>0</v>
      </c>
      <c r="I34" s="4737">
        <f>SUM('ПОЛНАЯ СЕБЕСТОИМОСТЬ СТОКИ 2018'!E145)</f>
        <v>0</v>
      </c>
      <c r="J34" s="4738">
        <v>0</v>
      </c>
      <c r="K34" s="4800">
        <f t="shared" si="135"/>
        <v>0</v>
      </c>
      <c r="L34" s="4800">
        <f t="shared" si="135"/>
        <v>0</v>
      </c>
      <c r="M34" s="4800">
        <f t="shared" si="135"/>
        <v>0</v>
      </c>
      <c r="N34" s="4746">
        <f t="shared" si="136"/>
        <v>0</v>
      </c>
      <c r="O34" s="4746" t="e">
        <f t="shared" si="137"/>
        <v>#DIV/0!</v>
      </c>
      <c r="P34" s="4737">
        <f>SUM('Произв. прогр. Стоки (СВОД)'!I36)</f>
        <v>0</v>
      </c>
      <c r="Q34" s="4737">
        <f>SUM('ПОЛНАЯ СЕБЕСТОИМОСТЬ СТОКИ 2018'!H145)</f>
        <v>0</v>
      </c>
      <c r="R34" s="4738">
        <v>0</v>
      </c>
      <c r="S34" s="4737">
        <f>SUM('Произв. прогр. Стоки (СВОД)'!J36)</f>
        <v>0</v>
      </c>
      <c r="T34" s="4737">
        <f>SUM('ПОЛНАЯ СЕБЕСТОИМОСТЬ СТОКИ 2018'!I145)</f>
        <v>0</v>
      </c>
      <c r="U34" s="4738">
        <v>0</v>
      </c>
      <c r="V34" s="4737">
        <f>SUM('Произв. прогр. Стоки (СВОД)'!K36)</f>
        <v>0</v>
      </c>
      <c r="W34" s="4737">
        <f>SUM('ПОЛНАЯ СЕБЕСТОИМОСТЬ СТОКИ 2018'!J145)</f>
        <v>0</v>
      </c>
      <c r="X34" s="4738">
        <v>0</v>
      </c>
      <c r="Y34" s="4800">
        <f t="shared" si="138"/>
        <v>0</v>
      </c>
      <c r="Z34" s="4800">
        <f t="shared" si="138"/>
        <v>0</v>
      </c>
      <c r="AA34" s="4800">
        <f t="shared" si="138"/>
        <v>0</v>
      </c>
      <c r="AB34" s="4746">
        <f t="shared" si="139"/>
        <v>0</v>
      </c>
      <c r="AC34" s="4746" t="e">
        <f t="shared" si="140"/>
        <v>#DIV/0!</v>
      </c>
      <c r="AD34" s="4800">
        <f t="shared" si="141"/>
        <v>0</v>
      </c>
      <c r="AE34" s="4800">
        <f t="shared" si="142"/>
        <v>0</v>
      </c>
      <c r="AF34" s="4831">
        <f t="shared" si="142"/>
        <v>0</v>
      </c>
      <c r="AG34" s="4746">
        <f t="shared" si="143"/>
        <v>0</v>
      </c>
      <c r="AH34" s="4746" t="e">
        <f t="shared" si="144"/>
        <v>#DIV/0!</v>
      </c>
      <c r="AI34" s="4737">
        <f>SUM('Произв. прогр. Стоки (СВОД)'!N36)</f>
        <v>0</v>
      </c>
      <c r="AJ34" s="4737">
        <f>SUM('ПОЛНАЯ СЕБЕСТОИМОСТЬ СТОКИ 2018'!P145)</f>
        <v>0</v>
      </c>
      <c r="AK34" s="4738">
        <v>0</v>
      </c>
      <c r="AL34" s="4737">
        <f>SUM('Произв. прогр. Стоки (СВОД)'!O36)</f>
        <v>0</v>
      </c>
      <c r="AM34" s="4737">
        <f>SUM('ПОЛНАЯ СЕБЕСТОИМОСТЬ СТОКИ 2018'!Q145)</f>
        <v>0</v>
      </c>
      <c r="AN34" s="4738">
        <v>0</v>
      </c>
      <c r="AO34" s="4737">
        <f>SUM('Произв. прогр. Стоки (СВОД)'!P36)</f>
        <v>0</v>
      </c>
      <c r="AP34" s="4737">
        <f>SUM('ПОЛНАЯ СЕБЕСТОИМОСТЬ СТОКИ 2018'!R145)</f>
        <v>0</v>
      </c>
      <c r="AQ34" s="4738">
        <v>0</v>
      </c>
      <c r="AR34" s="4800">
        <f t="shared" si="145"/>
        <v>0</v>
      </c>
      <c r="AS34" s="4800">
        <f t="shared" si="145"/>
        <v>0</v>
      </c>
      <c r="AT34" s="4800">
        <f t="shared" si="145"/>
        <v>0</v>
      </c>
      <c r="AU34" s="4746">
        <f t="shared" si="146"/>
        <v>0</v>
      </c>
      <c r="AV34" s="4746" t="e">
        <f t="shared" si="147"/>
        <v>#DIV/0!</v>
      </c>
      <c r="AW34" s="4800">
        <f t="shared" si="148"/>
        <v>0</v>
      </c>
      <c r="AX34" s="4800">
        <f t="shared" si="149"/>
        <v>0</v>
      </c>
      <c r="AY34" s="4800">
        <f t="shared" si="149"/>
        <v>0</v>
      </c>
      <c r="AZ34" s="4746">
        <f t="shared" si="150"/>
        <v>0</v>
      </c>
      <c r="BA34" s="4746" t="e">
        <f t="shared" si="151"/>
        <v>#DIV/0!</v>
      </c>
      <c r="BB34" s="4737">
        <f>SUM('Произв. прогр. Стоки (СВОД)'!S36)</f>
        <v>0</v>
      </c>
      <c r="BC34" s="4737">
        <f>SUM('ПОЛНАЯ СЕБЕСТОИМОСТЬ СТОКИ 2018'!X145)</f>
        <v>0</v>
      </c>
      <c r="BD34" s="4738">
        <v>0</v>
      </c>
      <c r="BE34" s="4737">
        <f>SUM('Произв. прогр. Стоки (СВОД)'!S36)</f>
        <v>0</v>
      </c>
      <c r="BF34" s="4737">
        <f>SUM('ПОЛНАЯ СЕБЕСТОИМОСТЬ СТОКИ 2018'!Y145)</f>
        <v>0</v>
      </c>
      <c r="BG34" s="4738">
        <v>0</v>
      </c>
      <c r="BH34" s="4737">
        <f>SUM('Произв. прогр. Стоки (СВОД)'!U36)</f>
        <v>0</v>
      </c>
      <c r="BI34" s="4737">
        <f>SUM('ПОЛНАЯ СЕБЕСТОИМОСТЬ СТОКИ 2018'!Z145)</f>
        <v>0</v>
      </c>
      <c r="BJ34" s="4738">
        <v>0</v>
      </c>
      <c r="BK34" s="4800">
        <f t="shared" si="152"/>
        <v>0</v>
      </c>
      <c r="BL34" s="4800">
        <f t="shared" si="152"/>
        <v>0</v>
      </c>
      <c r="BM34" s="4800">
        <f t="shared" si="152"/>
        <v>0</v>
      </c>
      <c r="BN34" s="4746">
        <f t="shared" si="153"/>
        <v>0</v>
      </c>
      <c r="BO34" s="4746" t="e">
        <f t="shared" si="154"/>
        <v>#DIV/0!</v>
      </c>
      <c r="BP34" s="4800">
        <f t="shared" si="155"/>
        <v>0</v>
      </c>
      <c r="BQ34" s="4800">
        <f t="shared" si="156"/>
        <v>0</v>
      </c>
      <c r="BR34" s="4800">
        <f t="shared" si="156"/>
        <v>0</v>
      </c>
      <c r="BS34" s="4746">
        <f t="shared" si="157"/>
        <v>0</v>
      </c>
      <c r="BT34" s="4746" t="e">
        <f t="shared" si="158"/>
        <v>#DIV/0!</v>
      </c>
    </row>
    <row r="35" spans="1:72" ht="18.75" customHeight="1">
      <c r="A35" s="4620" t="s">
        <v>8</v>
      </c>
      <c r="B35" s="4737">
        <f>SUM('Произв. прогр. Стоки (СВОД)'!E37)</f>
        <v>27.194453084210796</v>
      </c>
      <c r="C35" s="4737">
        <f>SUM('ПОЛНАЯ СЕБЕСТОИМОСТЬ СТОКИ 2018'!C146)</f>
        <v>0</v>
      </c>
      <c r="D35" s="4738">
        <v>31.4</v>
      </c>
      <c r="E35" s="4737">
        <f>SUM('Произв. прогр. Стоки (СВОД)'!F37)</f>
        <v>27.194453084210796</v>
      </c>
      <c r="F35" s="4737">
        <f>SUM('ПОЛНАЯ СЕБЕСТОИМОСТЬ СТОКИ 2018'!D146)</f>
        <v>0</v>
      </c>
      <c r="G35" s="4738">
        <v>28.26</v>
      </c>
      <c r="H35" s="4737">
        <f>SUM('Произв. прогр. Стоки (СВОД)'!G37)</f>
        <v>27.194453084210796</v>
      </c>
      <c r="I35" s="4737">
        <f>SUM('ПОЛНАЯ СЕБЕСТОИМОСТЬ СТОКИ 2018'!E146)</f>
        <v>0</v>
      </c>
      <c r="J35" s="4738">
        <v>20.149999999999999</v>
      </c>
      <c r="K35" s="4800">
        <f t="shared" si="135"/>
        <v>81.583359252632391</v>
      </c>
      <c r="L35" s="4800">
        <f t="shared" si="135"/>
        <v>0</v>
      </c>
      <c r="M35" s="4800">
        <f t="shared" si="135"/>
        <v>79.81</v>
      </c>
      <c r="N35" s="4746">
        <f t="shared" si="136"/>
        <v>-81.583359252632391</v>
      </c>
      <c r="O35" s="4746">
        <f t="shared" si="137"/>
        <v>-100</v>
      </c>
      <c r="P35" s="4737">
        <f>SUM('Произв. прогр. Стоки (СВОД)'!I37)</f>
        <v>27.194453084210796</v>
      </c>
      <c r="Q35" s="4737">
        <f>SUM('ПОЛНАЯ СЕБЕСТОИМОСТЬ СТОКИ 2018'!H146)</f>
        <v>0</v>
      </c>
      <c r="R35" s="4738">
        <v>20.67</v>
      </c>
      <c r="S35" s="4737">
        <f>SUM('Произв. прогр. Стоки (СВОД)'!J37)</f>
        <v>27.194453084210796</v>
      </c>
      <c r="T35" s="4737">
        <f>SUM('ПОЛНАЯ СЕБЕСТОИМОСТЬ СТОКИ 2018'!I146)</f>
        <v>9.92</v>
      </c>
      <c r="U35" s="4738">
        <v>89.68</v>
      </c>
      <c r="V35" s="4737">
        <f>SUM('Произв. прогр. Стоки (СВОД)'!K37)</f>
        <v>27.194453084210796</v>
      </c>
      <c r="W35" s="4737">
        <f>SUM('ПОЛНАЯ СЕБЕСТОИМОСТЬ СТОКИ 2018'!J146)</f>
        <v>0</v>
      </c>
      <c r="X35" s="4738">
        <v>70.900000000000006</v>
      </c>
      <c r="Y35" s="4800">
        <f t="shared" si="138"/>
        <v>81.583359252632391</v>
      </c>
      <c r="Z35" s="4800">
        <f t="shared" si="138"/>
        <v>9.92</v>
      </c>
      <c r="AA35" s="4800">
        <f t="shared" si="138"/>
        <v>181.25</v>
      </c>
      <c r="AB35" s="4746">
        <f t="shared" si="139"/>
        <v>-71.663359252632389</v>
      </c>
      <c r="AC35" s="4746">
        <f t="shared" si="140"/>
        <v>-87.840657591358109</v>
      </c>
      <c r="AD35" s="4800">
        <f t="shared" si="141"/>
        <v>163.16671850526478</v>
      </c>
      <c r="AE35" s="4800">
        <f t="shared" si="142"/>
        <v>9.92</v>
      </c>
      <c r="AF35" s="4831">
        <f t="shared" si="142"/>
        <v>261.06</v>
      </c>
      <c r="AG35" s="4746">
        <f t="shared" si="143"/>
        <v>-153.24671850526479</v>
      </c>
      <c r="AH35" s="4746">
        <f t="shared" si="144"/>
        <v>-93.920328795679069</v>
      </c>
      <c r="AI35" s="4737">
        <f>SUM('Произв. прогр. Стоки (СВОД)'!N37)</f>
        <v>27.194453084210796</v>
      </c>
      <c r="AJ35" s="4737">
        <f>SUM('ПОЛНАЯ СЕБЕСТОИМОСТЬ СТОКИ 2018'!P146)</f>
        <v>0</v>
      </c>
      <c r="AK35" s="4738">
        <v>39.31</v>
      </c>
      <c r="AL35" s="4737">
        <f>SUM('Произв. прогр. Стоки (СВОД)'!O37)</f>
        <v>27.194453084210796</v>
      </c>
      <c r="AM35" s="4737">
        <f>SUM('ПОЛНАЯ СЕБЕСТОИМОСТЬ СТОКИ 2018'!Q146)</f>
        <v>0</v>
      </c>
      <c r="AN35" s="4738">
        <v>31.65</v>
      </c>
      <c r="AO35" s="4737">
        <f>SUM('Произв. прогр. Стоки (СВОД)'!P37)</f>
        <v>27.194453084210796</v>
      </c>
      <c r="AP35" s="4737">
        <f>SUM('ПОЛНАЯ СЕБЕСТОИМОСТЬ СТОКИ 2018'!R146)</f>
        <v>0</v>
      </c>
      <c r="AQ35" s="4738">
        <v>83.66</v>
      </c>
      <c r="AR35" s="4800">
        <f t="shared" si="145"/>
        <v>81.583359252632391</v>
      </c>
      <c r="AS35" s="4800">
        <f t="shared" si="145"/>
        <v>0</v>
      </c>
      <c r="AT35" s="4800">
        <f t="shared" si="145"/>
        <v>154.62</v>
      </c>
      <c r="AU35" s="4746">
        <f t="shared" si="146"/>
        <v>-81.583359252632391</v>
      </c>
      <c r="AV35" s="4746">
        <f t="shared" si="147"/>
        <v>-100</v>
      </c>
      <c r="AW35" s="4800">
        <f t="shared" si="148"/>
        <v>244.75007775789717</v>
      </c>
      <c r="AX35" s="4800">
        <f t="shared" si="149"/>
        <v>9.92</v>
      </c>
      <c r="AY35" s="4800">
        <f t="shared" si="149"/>
        <v>415.68</v>
      </c>
      <c r="AZ35" s="4746">
        <f t="shared" si="150"/>
        <v>-234.83007775789719</v>
      </c>
      <c r="BA35" s="4746">
        <f t="shared" si="151"/>
        <v>-95.946885863786036</v>
      </c>
      <c r="BB35" s="4737">
        <f>SUM('Произв. прогр. Стоки (СВОД)'!S37)</f>
        <v>27.194453084210796</v>
      </c>
      <c r="BC35" s="4737">
        <f>SUM('ПОЛНАЯ СЕБЕСТОИМОСТЬ СТОКИ 2018'!X146)</f>
        <v>0</v>
      </c>
      <c r="BD35" s="4738">
        <v>70.16</v>
      </c>
      <c r="BE35" s="4737">
        <f>SUM('Произв. прогр. Стоки (СВОД)'!S37)</f>
        <v>27.194453084210796</v>
      </c>
      <c r="BF35" s="4737">
        <f>SUM('ПОЛНАЯ СЕБЕСТОИМОСТЬ СТОКИ 2018'!Y146)</f>
        <v>0</v>
      </c>
      <c r="BG35" s="4738">
        <v>35.08</v>
      </c>
      <c r="BH35" s="4737">
        <f>SUM('Произв. прогр. Стоки (СВОД)'!U37)</f>
        <v>27.194453084210796</v>
      </c>
      <c r="BI35" s="4737">
        <f>SUM('ПОЛНАЯ СЕБЕСТОИМОСТЬ СТОКИ 2018'!Z146)</f>
        <v>0</v>
      </c>
      <c r="BJ35" s="4738">
        <v>285.76</v>
      </c>
      <c r="BK35" s="4800">
        <f t="shared" si="152"/>
        <v>81.583359252632391</v>
      </c>
      <c r="BL35" s="4800">
        <f t="shared" si="152"/>
        <v>0</v>
      </c>
      <c r="BM35" s="4800">
        <f t="shared" si="152"/>
        <v>391</v>
      </c>
      <c r="BN35" s="4746">
        <f t="shared" si="153"/>
        <v>-81.583359252632391</v>
      </c>
      <c r="BO35" s="4746">
        <f t="shared" si="154"/>
        <v>-100</v>
      </c>
      <c r="BP35" s="4800">
        <f t="shared" si="155"/>
        <v>326.33343701052956</v>
      </c>
      <c r="BQ35" s="4800">
        <f t="shared" si="156"/>
        <v>9.92</v>
      </c>
      <c r="BR35" s="4800">
        <f t="shared" si="156"/>
        <v>806.68000000000006</v>
      </c>
      <c r="BS35" s="4746">
        <f t="shared" si="157"/>
        <v>-316.41343701052955</v>
      </c>
      <c r="BT35" s="4746">
        <f t="shared" si="158"/>
        <v>-96.96016439783952</v>
      </c>
    </row>
    <row r="36" spans="1:72" ht="18.75" customHeight="1">
      <c r="A36" s="4620" t="s">
        <v>3</v>
      </c>
      <c r="B36" s="4737">
        <f>SUM('Произв. прогр. Стоки (СВОД)'!E38)</f>
        <v>28.021684877485498</v>
      </c>
      <c r="C36" s="4737">
        <f>SUM('ПОЛНАЯ СЕБЕСТОИМОСТЬ СТОКИ 2018'!C147)</f>
        <v>44.85</v>
      </c>
      <c r="D36" s="4738">
        <v>62.97</v>
      </c>
      <c r="E36" s="4737">
        <f>SUM('Произв. прогр. Стоки (СВОД)'!F38)</f>
        <v>28.021684877485498</v>
      </c>
      <c r="F36" s="4737">
        <f>SUM('ПОЛНАЯ СЕБЕСТОИМОСТЬ СТОКИ 2018'!D147)</f>
        <v>106.38</v>
      </c>
      <c r="G36" s="4738">
        <v>43.57</v>
      </c>
      <c r="H36" s="4737">
        <f>SUM('Произв. прогр. Стоки (СВОД)'!G38)</f>
        <v>28.021684877485498</v>
      </c>
      <c r="I36" s="4737">
        <f>SUM('ПОЛНАЯ СЕБЕСТОИМОСТЬ СТОКИ 2018'!E147)</f>
        <v>432.35999999999996</v>
      </c>
      <c r="J36" s="4738">
        <v>65.55</v>
      </c>
      <c r="K36" s="4800">
        <f t="shared" si="135"/>
        <v>84.065054632456494</v>
      </c>
      <c r="L36" s="4800">
        <f t="shared" si="135"/>
        <v>583.58999999999992</v>
      </c>
      <c r="M36" s="4800">
        <f t="shared" si="135"/>
        <v>172.08999999999997</v>
      </c>
      <c r="N36" s="4746">
        <f t="shared" si="136"/>
        <v>499.52494536754341</v>
      </c>
      <c r="O36" s="4746">
        <f t="shared" si="137"/>
        <v>594.21236035773995</v>
      </c>
      <c r="P36" s="4737">
        <f>SUM('Произв. прогр. Стоки (СВОД)'!I38)</f>
        <v>28.021684877485498</v>
      </c>
      <c r="Q36" s="4737">
        <f>SUM('ПОЛНАЯ СЕБЕСТОИМОСТЬ СТОКИ 2018'!H147)</f>
        <v>212.99</v>
      </c>
      <c r="R36" s="4738">
        <v>725.17</v>
      </c>
      <c r="S36" s="4737">
        <f>SUM('Произв. прогр. Стоки (СВОД)'!J38)</f>
        <v>28.021684877485498</v>
      </c>
      <c r="T36" s="4737">
        <f>SUM('ПОЛНАЯ СЕБЕСТОИМОСТЬ СТОКИ 2018'!I147)</f>
        <v>80.569999999999993</v>
      </c>
      <c r="U36" s="4738">
        <v>135.47</v>
      </c>
      <c r="V36" s="4737">
        <f>SUM('Произв. прогр. Стоки (СВОД)'!K38)</f>
        <v>28.021684877485498</v>
      </c>
      <c r="W36" s="4737">
        <f>SUM('ПОЛНАЯ СЕБЕСТОИМОСТЬ СТОКИ 2018'!J147)</f>
        <v>248.89999999999998</v>
      </c>
      <c r="X36" s="4738">
        <v>112</v>
      </c>
      <c r="Y36" s="4800">
        <f t="shared" si="138"/>
        <v>84.065054632456494</v>
      </c>
      <c r="Z36" s="4800">
        <f t="shared" si="138"/>
        <v>542.46</v>
      </c>
      <c r="AA36" s="4800">
        <f t="shared" si="138"/>
        <v>972.64</v>
      </c>
      <c r="AB36" s="4746">
        <f t="shared" si="139"/>
        <v>458.39494536754353</v>
      </c>
      <c r="AC36" s="4746">
        <f t="shared" si="140"/>
        <v>545.28596617430003</v>
      </c>
      <c r="AD36" s="4800">
        <f t="shared" si="141"/>
        <v>168.13010926491299</v>
      </c>
      <c r="AE36" s="4800">
        <f t="shared" si="142"/>
        <v>1126.05</v>
      </c>
      <c r="AF36" s="4831">
        <f t="shared" si="142"/>
        <v>1144.73</v>
      </c>
      <c r="AG36" s="4746">
        <f t="shared" si="143"/>
        <v>957.91989073508694</v>
      </c>
      <c r="AH36" s="4746">
        <f t="shared" si="144"/>
        <v>569.74916326601999</v>
      </c>
      <c r="AI36" s="4737">
        <f>SUM('Произв. прогр. Стоки (СВОД)'!N38)</f>
        <v>28.021684877485498</v>
      </c>
      <c r="AJ36" s="4737">
        <f>SUM('ПОЛНАЯ СЕБЕСТОИМОСТЬ СТОКИ 2018'!P147)</f>
        <v>0</v>
      </c>
      <c r="AK36" s="4738">
        <v>53.69</v>
      </c>
      <c r="AL36" s="4737">
        <f>SUM('Произв. прогр. Стоки (СВОД)'!O38)</f>
        <v>28.021684877485498</v>
      </c>
      <c r="AM36" s="4737">
        <f>SUM('ПОЛНАЯ СЕБЕСТОИМОСТЬ СТОКИ 2018'!Q147)</f>
        <v>0</v>
      </c>
      <c r="AN36" s="4738">
        <v>192.29</v>
      </c>
      <c r="AO36" s="4737">
        <f>SUM('Произв. прогр. Стоки (СВОД)'!P38)</f>
        <v>28.021684877485498</v>
      </c>
      <c r="AP36" s="4737">
        <f>SUM('ПОЛНАЯ СЕБЕСТОИМОСТЬ СТОКИ 2018'!R147)</f>
        <v>0</v>
      </c>
      <c r="AQ36" s="4738">
        <v>63.18</v>
      </c>
      <c r="AR36" s="4800">
        <f t="shared" si="145"/>
        <v>84.065054632456494</v>
      </c>
      <c r="AS36" s="4800">
        <f t="shared" si="145"/>
        <v>0</v>
      </c>
      <c r="AT36" s="4800">
        <f t="shared" si="145"/>
        <v>309.15999999999997</v>
      </c>
      <c r="AU36" s="4746">
        <f t="shared" si="146"/>
        <v>-84.065054632456494</v>
      </c>
      <c r="AV36" s="4746">
        <f t="shared" si="147"/>
        <v>-100</v>
      </c>
      <c r="AW36" s="4800">
        <f t="shared" si="148"/>
        <v>252.19516389736947</v>
      </c>
      <c r="AX36" s="4800">
        <f t="shared" si="149"/>
        <v>1126.05</v>
      </c>
      <c r="AY36" s="4800">
        <f t="shared" si="149"/>
        <v>1453.8899999999999</v>
      </c>
      <c r="AZ36" s="4746">
        <f t="shared" si="150"/>
        <v>873.85483610263054</v>
      </c>
      <c r="BA36" s="4746">
        <f t="shared" si="151"/>
        <v>346.49944217734674</v>
      </c>
      <c r="BB36" s="4737">
        <f>SUM('Произв. прогр. Стоки (СВОД)'!S38)</f>
        <v>28.021684877485498</v>
      </c>
      <c r="BC36" s="4737">
        <f>SUM('ПОЛНАЯ СЕБЕСТОИМОСТЬ СТОКИ 2018'!X147)</f>
        <v>0</v>
      </c>
      <c r="BD36" s="4738">
        <v>80.16</v>
      </c>
      <c r="BE36" s="4737">
        <f>SUM('Произв. прогр. Стоки (СВОД)'!S38)</f>
        <v>28.021684877485498</v>
      </c>
      <c r="BF36" s="4737">
        <f>SUM('ПОЛНАЯ СЕБЕСТОИМОСТЬ СТОКИ 2018'!Y147)</f>
        <v>0</v>
      </c>
      <c r="BG36" s="4738">
        <v>14.5</v>
      </c>
      <c r="BH36" s="4737">
        <f>SUM('Произв. прогр. Стоки (СВОД)'!U38)</f>
        <v>28.021684877485498</v>
      </c>
      <c r="BI36" s="4737">
        <f>SUM('ПОЛНАЯ СЕБЕСТОИМОСТЬ СТОКИ 2018'!Z147)</f>
        <v>0</v>
      </c>
      <c r="BJ36" s="4738">
        <v>191.5</v>
      </c>
      <c r="BK36" s="4800">
        <f t="shared" si="152"/>
        <v>84.065054632456494</v>
      </c>
      <c r="BL36" s="4800">
        <f t="shared" si="152"/>
        <v>0</v>
      </c>
      <c r="BM36" s="4800">
        <f t="shared" si="152"/>
        <v>286.15999999999997</v>
      </c>
      <c r="BN36" s="4746">
        <f t="shared" si="153"/>
        <v>-84.065054632456494</v>
      </c>
      <c r="BO36" s="4746">
        <f t="shared" si="154"/>
        <v>-100</v>
      </c>
      <c r="BP36" s="4800">
        <f t="shared" si="155"/>
        <v>336.26021852982598</v>
      </c>
      <c r="BQ36" s="4800">
        <f t="shared" si="156"/>
        <v>1126.05</v>
      </c>
      <c r="BR36" s="4800">
        <f t="shared" si="156"/>
        <v>1740.0499999999997</v>
      </c>
      <c r="BS36" s="4746">
        <f t="shared" si="157"/>
        <v>789.78978147017392</v>
      </c>
      <c r="BT36" s="4746">
        <f t="shared" si="158"/>
        <v>234.87458163301</v>
      </c>
    </row>
    <row r="37" spans="1:72" ht="18.75" customHeight="1">
      <c r="A37" s="4620" t="s">
        <v>4</v>
      </c>
      <c r="B37" s="4737">
        <f>SUM('Произв. прогр. Стоки (СВОД)'!E39)</f>
        <v>2942.4326209754618</v>
      </c>
      <c r="C37" s="4737">
        <f>SUM('ПОЛНАЯ СЕБЕСТОИМОСТЬ СТОКИ 2018'!C148)</f>
        <v>2312.1</v>
      </c>
      <c r="D37" s="4738">
        <v>2616.17</v>
      </c>
      <c r="E37" s="4737">
        <f>SUM('Произв. прогр. Стоки (СВОД)'!F39)</f>
        <v>2942.4326209754618</v>
      </c>
      <c r="F37" s="4737">
        <f>SUM('ПОЛНАЯ СЕБЕСТОИМОСТЬ СТОКИ 2018'!D148)</f>
        <v>2146.3000000000002</v>
      </c>
      <c r="G37" s="4738">
        <v>2191.89</v>
      </c>
      <c r="H37" s="4737">
        <f>SUM('Произв. прогр. Стоки (СВОД)'!G39)</f>
        <v>2942.4326209754618</v>
      </c>
      <c r="I37" s="4737">
        <f>SUM('ПОЛНАЯ СЕБЕСТОИМОСТЬ СТОКИ 2018'!E148)</f>
        <v>2481.3299999999995</v>
      </c>
      <c r="J37" s="4738">
        <v>2835.73</v>
      </c>
      <c r="K37" s="4800">
        <f t="shared" si="135"/>
        <v>8827.2978629263853</v>
      </c>
      <c r="L37" s="4800">
        <f t="shared" si="135"/>
        <v>6939.73</v>
      </c>
      <c r="M37" s="4800">
        <f t="shared" si="135"/>
        <v>7643.7899999999991</v>
      </c>
      <c r="N37" s="4746">
        <f t="shared" si="136"/>
        <v>-1887.5678629263857</v>
      </c>
      <c r="O37" s="4746">
        <f t="shared" si="137"/>
        <v>-21.383303160686911</v>
      </c>
      <c r="P37" s="4737">
        <f>SUM('Произв. прогр. Стоки (СВОД)'!I39)</f>
        <v>2942.4326209754618</v>
      </c>
      <c r="Q37" s="4737">
        <f>SUM('ПОЛНАЯ СЕБЕСТОИМОСТЬ СТОКИ 2018'!H148)</f>
        <v>2417.2700000000004</v>
      </c>
      <c r="R37" s="4738">
        <v>2431.2600000000002</v>
      </c>
      <c r="S37" s="4737">
        <f>SUM('Произв. прогр. Стоки (СВОД)'!J39)</f>
        <v>2942.4326209754618</v>
      </c>
      <c r="T37" s="4737">
        <f>SUM('ПОЛНАЯ СЕБЕСТОИМОСТЬ СТОКИ 2018'!I148)</f>
        <v>2331.17</v>
      </c>
      <c r="U37" s="4738">
        <v>2673</v>
      </c>
      <c r="V37" s="4737">
        <f>SUM('Произв. прогр. Стоки (СВОД)'!K39)</f>
        <v>2942.4326209754618</v>
      </c>
      <c r="W37" s="4737">
        <f>SUM('ПОЛНАЯ СЕБЕСТОИМОСТЬ СТОКИ 2018'!J148)</f>
        <v>2700.42</v>
      </c>
      <c r="X37" s="4738">
        <v>2620.11</v>
      </c>
      <c r="Y37" s="4800">
        <f t="shared" si="138"/>
        <v>8827.2978629263853</v>
      </c>
      <c r="Z37" s="4800">
        <f t="shared" si="138"/>
        <v>7448.8600000000006</v>
      </c>
      <c r="AA37" s="4800">
        <f t="shared" si="138"/>
        <v>7724.3700000000008</v>
      </c>
      <c r="AB37" s="4746">
        <f t="shared" si="139"/>
        <v>-1378.4378629263847</v>
      </c>
      <c r="AC37" s="4746">
        <f t="shared" si="140"/>
        <v>-15.61562648424567</v>
      </c>
      <c r="AD37" s="4800">
        <f t="shared" si="141"/>
        <v>17654.595725852771</v>
      </c>
      <c r="AE37" s="4800">
        <f t="shared" si="142"/>
        <v>14388.59</v>
      </c>
      <c r="AF37" s="4831">
        <f t="shared" si="142"/>
        <v>15368.16</v>
      </c>
      <c r="AG37" s="4746">
        <f t="shared" si="143"/>
        <v>-3266.0057258527704</v>
      </c>
      <c r="AH37" s="4746">
        <f t="shared" si="144"/>
        <v>-18.499464822466287</v>
      </c>
      <c r="AI37" s="4737">
        <f>SUM('Произв. прогр. Стоки (СВОД)'!N39)</f>
        <v>3060.1299258144809</v>
      </c>
      <c r="AJ37" s="4737">
        <f>SUM('ПОЛНАЯ СЕБЕСТОИМОСТЬ СТОКИ 2018'!P148)</f>
        <v>0</v>
      </c>
      <c r="AK37" s="4738">
        <v>2608.71</v>
      </c>
      <c r="AL37" s="4737">
        <f>SUM('Произв. прогр. Стоки (СВОД)'!O39)</f>
        <v>3060.1299258144809</v>
      </c>
      <c r="AM37" s="4737">
        <f>SUM('ПОЛНАЯ СЕБЕСТОИМОСТЬ СТОКИ 2018'!Q148)</f>
        <v>0</v>
      </c>
      <c r="AN37" s="4738">
        <v>2953.54</v>
      </c>
      <c r="AO37" s="4737">
        <f>SUM('Произв. прогр. Стоки (СВОД)'!P39)</f>
        <v>3060.1299258144809</v>
      </c>
      <c r="AP37" s="4737">
        <f>SUM('ПОЛНАЯ СЕБЕСТОИМОСТЬ СТОКИ 2018'!R148)</f>
        <v>0</v>
      </c>
      <c r="AQ37" s="4738">
        <v>2375.83</v>
      </c>
      <c r="AR37" s="4800">
        <f t="shared" si="145"/>
        <v>9180.3897774434427</v>
      </c>
      <c r="AS37" s="4800">
        <f t="shared" si="145"/>
        <v>0</v>
      </c>
      <c r="AT37" s="4800">
        <f t="shared" si="145"/>
        <v>7938.08</v>
      </c>
      <c r="AU37" s="4746">
        <f t="shared" si="146"/>
        <v>-9180.3897774434427</v>
      </c>
      <c r="AV37" s="4746">
        <f t="shared" si="147"/>
        <v>-100</v>
      </c>
      <c r="AW37" s="4800">
        <f t="shared" si="148"/>
        <v>26834.985503296215</v>
      </c>
      <c r="AX37" s="4800">
        <f t="shared" si="149"/>
        <v>14388.59</v>
      </c>
      <c r="AY37" s="4800">
        <f t="shared" si="149"/>
        <v>23306.239999999998</v>
      </c>
      <c r="AZ37" s="4746">
        <f t="shared" si="150"/>
        <v>-12446.395503296215</v>
      </c>
      <c r="BA37" s="4746">
        <f t="shared" si="151"/>
        <v>-46.381226856885725</v>
      </c>
      <c r="BB37" s="4737">
        <f>SUM('Произв. прогр. Стоки (СВОД)'!S39)</f>
        <v>3060.1299258144809</v>
      </c>
      <c r="BC37" s="4737">
        <f>SUM('ПОЛНАЯ СЕБЕСТОИМОСТЬ СТОКИ 2018'!X148)</f>
        <v>0</v>
      </c>
      <c r="BD37" s="4738">
        <v>2126.38</v>
      </c>
      <c r="BE37" s="4737">
        <f>SUM('Произв. прогр. Стоки (СВОД)'!S39)</f>
        <v>3060.1299258144809</v>
      </c>
      <c r="BF37" s="4737">
        <f>SUM('ПОЛНАЯ СЕБЕСТОИМОСТЬ СТОКИ 2018'!Y148)</f>
        <v>0</v>
      </c>
      <c r="BG37" s="4738">
        <v>2418.86</v>
      </c>
      <c r="BH37" s="4737">
        <f>SUM('Произв. прогр. Стоки (СВОД)'!U39)</f>
        <v>3060.1299258144809</v>
      </c>
      <c r="BI37" s="4737">
        <f>SUM('ПОЛНАЯ СЕБЕСТОИМОСТЬ СТОКИ 2018'!Z148)</f>
        <v>0</v>
      </c>
      <c r="BJ37" s="4738">
        <v>2142.5500000000002</v>
      </c>
      <c r="BK37" s="4800">
        <f t="shared" si="152"/>
        <v>9180.3897774434427</v>
      </c>
      <c r="BL37" s="4800">
        <f t="shared" si="152"/>
        <v>0</v>
      </c>
      <c r="BM37" s="4800">
        <f t="shared" si="152"/>
        <v>6687.79</v>
      </c>
      <c r="BN37" s="4746">
        <f t="shared" si="153"/>
        <v>-9180.3897774434427</v>
      </c>
      <c r="BO37" s="4746">
        <f t="shared" si="154"/>
        <v>-100</v>
      </c>
      <c r="BP37" s="4800">
        <f t="shared" si="155"/>
        <v>36015.37528073966</v>
      </c>
      <c r="BQ37" s="4800">
        <f t="shared" si="156"/>
        <v>14388.59</v>
      </c>
      <c r="BR37" s="4800">
        <f t="shared" si="156"/>
        <v>29994.03</v>
      </c>
      <c r="BS37" s="4746">
        <f t="shared" si="157"/>
        <v>-21626.785280739659</v>
      </c>
      <c r="BT37" s="4746">
        <f t="shared" si="158"/>
        <v>-60.048757265914851</v>
      </c>
    </row>
    <row r="38" spans="1:72" ht="18.75" customHeight="1">
      <c r="A38" s="4620" t="s">
        <v>121</v>
      </c>
      <c r="B38" s="4737">
        <f>SUM('Произв. прогр. Стоки (СВОД)'!E40)</f>
        <v>883.16566204666617</v>
      </c>
      <c r="C38" s="4737">
        <f>SUM('ПОЛНАЯ СЕБЕСТОИМОСТЬ СТОКИ 2018'!C149)</f>
        <v>694.69999999999993</v>
      </c>
      <c r="D38" s="4738">
        <v>788.68</v>
      </c>
      <c r="E38" s="4737">
        <f>SUM('Произв. прогр. Стоки (СВОД)'!F40)</f>
        <v>883.16566204666617</v>
      </c>
      <c r="F38" s="4737">
        <f>SUM('ПОЛНАЯ СЕБЕСТОИМОСТЬ СТОКИ 2018'!D149)</f>
        <v>646.15</v>
      </c>
      <c r="G38" s="4738">
        <v>659.09</v>
      </c>
      <c r="H38" s="4737">
        <f>SUM('Произв. прогр. Стоки (СВОД)'!G40)</f>
        <v>883.16566204666617</v>
      </c>
      <c r="I38" s="4737">
        <f>SUM('ПОЛНАЯ СЕБЕСТОИМОСТЬ СТОКИ 2018'!E149)</f>
        <v>743.78</v>
      </c>
      <c r="J38" s="4738">
        <v>847.37</v>
      </c>
      <c r="K38" s="4800">
        <f t="shared" si="135"/>
        <v>2649.4969861399986</v>
      </c>
      <c r="L38" s="4800">
        <f t="shared" si="135"/>
        <v>2084.63</v>
      </c>
      <c r="M38" s="4800">
        <f t="shared" si="135"/>
        <v>2295.14</v>
      </c>
      <c r="N38" s="4746">
        <f t="shared" si="136"/>
        <v>-564.86698613999852</v>
      </c>
      <c r="O38" s="4746">
        <f t="shared" si="137"/>
        <v>-21.319782173556739</v>
      </c>
      <c r="P38" s="4737">
        <f>SUM('Произв. прогр. Стоки (СВОД)'!I40)</f>
        <v>883.16566204666617</v>
      </c>
      <c r="Q38" s="4737">
        <f>SUM('ПОЛНАЯ СЕБЕСТОИМОСТЬ СТОКИ 2018'!H149)</f>
        <v>730.33</v>
      </c>
      <c r="R38" s="4738">
        <v>730.81</v>
      </c>
      <c r="S38" s="4737">
        <f>SUM('Произв. прогр. Стоки (СВОД)'!J40)</f>
        <v>883.16566204666617</v>
      </c>
      <c r="T38" s="4737">
        <f>SUM('ПОЛНАЯ СЕБЕСТОИМОСТЬ СТОКИ 2018'!I149)</f>
        <v>708.93</v>
      </c>
      <c r="U38" s="4738">
        <v>808.53</v>
      </c>
      <c r="V38" s="4737">
        <f>SUM('Произв. прогр. Стоки (СВОД)'!K40)</f>
        <v>883.16566204666617</v>
      </c>
      <c r="W38" s="4737">
        <f>SUM('ПОЛНАЯ СЕБЕСТОИМОСТЬ СТОКИ 2018'!J149)</f>
        <v>819.03</v>
      </c>
      <c r="X38" s="4738">
        <v>795.17</v>
      </c>
      <c r="Y38" s="4800">
        <f t="shared" si="138"/>
        <v>2649.4969861399986</v>
      </c>
      <c r="Z38" s="4800">
        <f t="shared" si="138"/>
        <v>2258.29</v>
      </c>
      <c r="AA38" s="4800">
        <f t="shared" si="138"/>
        <v>2334.5099999999998</v>
      </c>
      <c r="AB38" s="4746">
        <f t="shared" si="139"/>
        <v>-391.20698613999866</v>
      </c>
      <c r="AC38" s="4746">
        <f t="shared" si="140"/>
        <v>-14.765330482973699</v>
      </c>
      <c r="AD38" s="4800">
        <f t="shared" si="141"/>
        <v>5298.9939722799973</v>
      </c>
      <c r="AE38" s="4800">
        <f t="shared" si="142"/>
        <v>4342.92</v>
      </c>
      <c r="AF38" s="4831">
        <f t="shared" si="142"/>
        <v>4629.6499999999996</v>
      </c>
      <c r="AG38" s="4746">
        <f t="shared" si="143"/>
        <v>-956.07397227999718</v>
      </c>
      <c r="AH38" s="4746">
        <f t="shared" si="144"/>
        <v>-18.042556328265221</v>
      </c>
      <c r="AI38" s="4737">
        <f>SUM('Произв. прогр. Стоки (СВОД)'!N40)</f>
        <v>918.49228852853298</v>
      </c>
      <c r="AJ38" s="4737">
        <f>SUM('ПОЛНАЯ СЕБЕСТОИМОСТЬ СТОКИ 2018'!P149)</f>
        <v>0</v>
      </c>
      <c r="AK38" s="4738">
        <v>787.6</v>
      </c>
      <c r="AL38" s="4737">
        <f>SUM('Произв. прогр. Стоки (СВОД)'!O40)</f>
        <v>918.49228852853298</v>
      </c>
      <c r="AM38" s="4737">
        <f>SUM('ПОЛНАЯ СЕБЕСТОИМОСТЬ СТОКИ 2018'!Q149)</f>
        <v>0</v>
      </c>
      <c r="AN38" s="4738">
        <v>893.18</v>
      </c>
      <c r="AO38" s="4737">
        <f>SUM('Произв. прогр. Стоки (СВОД)'!P40)</f>
        <v>918.49228852853298</v>
      </c>
      <c r="AP38" s="4737">
        <f>SUM('ПОЛНАЯ СЕБЕСТОИМОСТЬ СТОКИ 2018'!R149)</f>
        <v>0</v>
      </c>
      <c r="AQ38" s="4738">
        <v>718.28</v>
      </c>
      <c r="AR38" s="4800">
        <f t="shared" si="145"/>
        <v>2755.4768655855987</v>
      </c>
      <c r="AS38" s="4800">
        <f t="shared" si="145"/>
        <v>0</v>
      </c>
      <c r="AT38" s="4800">
        <f t="shared" si="145"/>
        <v>2399.06</v>
      </c>
      <c r="AU38" s="4746">
        <f t="shared" si="146"/>
        <v>-2755.4768655855987</v>
      </c>
      <c r="AV38" s="4746">
        <f t="shared" si="147"/>
        <v>-100</v>
      </c>
      <c r="AW38" s="4800">
        <f t="shared" si="148"/>
        <v>8054.470837865596</v>
      </c>
      <c r="AX38" s="4800">
        <f t="shared" si="149"/>
        <v>4342.92</v>
      </c>
      <c r="AY38" s="4800">
        <f t="shared" si="149"/>
        <v>7028.7099999999991</v>
      </c>
      <c r="AZ38" s="4746">
        <f t="shared" si="150"/>
        <v>-3711.5508378655959</v>
      </c>
      <c r="BA38" s="4746">
        <f t="shared" si="151"/>
        <v>-46.080629163332382</v>
      </c>
      <c r="BB38" s="4737">
        <f>SUM('Произв. прогр. Стоки (СВОД)'!S40)</f>
        <v>918.49228852853298</v>
      </c>
      <c r="BC38" s="4737">
        <f>SUM('ПОЛНАЯ СЕБЕСТОИМОСТЬ СТОКИ 2018'!X149)</f>
        <v>0</v>
      </c>
      <c r="BD38" s="4738">
        <v>633.15</v>
      </c>
      <c r="BE38" s="4737">
        <f>SUM('Произв. прогр. Стоки (СВОД)'!S40)</f>
        <v>918.49228852853298</v>
      </c>
      <c r="BF38" s="4737">
        <f>SUM('ПОЛНАЯ СЕБЕСТОИМОСТЬ СТОКИ 2018'!Y149)</f>
        <v>0</v>
      </c>
      <c r="BG38" s="4738">
        <v>739.85</v>
      </c>
      <c r="BH38" s="4737">
        <f>SUM('Произв. прогр. Стоки (СВОД)'!U40)</f>
        <v>918.49228852853298</v>
      </c>
      <c r="BI38" s="4737">
        <f>SUM('ПОЛНАЯ СЕБЕСТОИМОСТЬ СТОКИ 2018'!Z149)</f>
        <v>0</v>
      </c>
      <c r="BJ38" s="4738">
        <v>636.44000000000005</v>
      </c>
      <c r="BK38" s="4800">
        <f t="shared" si="152"/>
        <v>2755.4768655855987</v>
      </c>
      <c r="BL38" s="4800">
        <f t="shared" si="152"/>
        <v>0</v>
      </c>
      <c r="BM38" s="4800">
        <f t="shared" si="152"/>
        <v>2009.44</v>
      </c>
      <c r="BN38" s="4746">
        <f t="shared" si="153"/>
        <v>-2755.4768655855987</v>
      </c>
      <c r="BO38" s="4746">
        <f t="shared" si="154"/>
        <v>-100</v>
      </c>
      <c r="BP38" s="4800">
        <f t="shared" si="155"/>
        <v>10809.947703451195</v>
      </c>
      <c r="BQ38" s="4800">
        <f t="shared" si="156"/>
        <v>4342.92</v>
      </c>
      <c r="BR38" s="4800">
        <f t="shared" si="156"/>
        <v>9038.15</v>
      </c>
      <c r="BS38" s="4746">
        <f t="shared" si="157"/>
        <v>-6467.0277034511946</v>
      </c>
      <c r="BT38" s="4746">
        <f t="shared" si="158"/>
        <v>-59.824782513855503</v>
      </c>
    </row>
    <row r="39" spans="1:72" ht="18.75" customHeight="1">
      <c r="A39" s="4866" t="s">
        <v>321</v>
      </c>
      <c r="B39" s="4740">
        <f>SUM('Произв. прогр. Стоки (СВОД)'!E41)</f>
        <v>0.30014813448944266</v>
      </c>
      <c r="C39" s="4740">
        <f>SUM('ПОЛНАЯ СЕБЕСТОИМОСТЬ СТОКИ 2018'!C150)</f>
        <v>0.30046278275161109</v>
      </c>
      <c r="D39" s="4740">
        <f t="shared" ref="D39:X39" si="159">SUM(D38/D37)</f>
        <v>0.30146358990432576</v>
      </c>
      <c r="E39" s="4740">
        <f>SUM('Произв. прогр. Стоки (СВОД)'!F41)</f>
        <v>0.30014813448944266</v>
      </c>
      <c r="F39" s="4740">
        <f>SUM('ПОЛНАЯ СЕБЕСТОИМОСТЬ СТОКИ 2018'!D150)</f>
        <v>0.30105297488701482</v>
      </c>
      <c r="G39" s="4740">
        <f t="shared" si="159"/>
        <v>0.30069483413857451</v>
      </c>
      <c r="H39" s="4740">
        <f>SUM('Произв. прогр. Стоки (СВОД)'!G41)</f>
        <v>0.30014813448944266</v>
      </c>
      <c r="I39" s="4740">
        <f>SUM('ПОЛНАЯ СЕБЕСТОИМОСТЬ СТОКИ 2018'!E150)</f>
        <v>0.29975053701039367</v>
      </c>
      <c r="J39" s="4740">
        <f t="shared" si="159"/>
        <v>0.29881899898791492</v>
      </c>
      <c r="K39" s="4741">
        <f t="shared" si="159"/>
        <v>0.30014813448944266</v>
      </c>
      <c r="L39" s="4741">
        <f t="shared" si="159"/>
        <v>0.3003906492039316</v>
      </c>
      <c r="M39" s="4741">
        <f t="shared" si="159"/>
        <v>0.30026204278244173</v>
      </c>
      <c r="N39" s="4731">
        <f t="shared" si="136"/>
        <v>2.4251471448893946E-4</v>
      </c>
      <c r="O39" s="4731">
        <f t="shared" si="137"/>
        <v>8.0798341426129905E-2</v>
      </c>
      <c r="P39" s="4740">
        <f>SUM('Произв. прогр. Стоки (СВОД)'!I41)</f>
        <v>0.30014813448944266</v>
      </c>
      <c r="Q39" s="4740">
        <f>SUM('ПОЛНАЯ СЕБЕСТОИМОСТЬ СТОКИ 2018'!H150)</f>
        <v>0.30213008890194304</v>
      </c>
      <c r="R39" s="4740">
        <f t="shared" si="159"/>
        <v>0.30058899500670427</v>
      </c>
      <c r="S39" s="4740">
        <f>SUM('Произв. прогр. Стоки (СВОД)'!J41)</f>
        <v>0.30014813448944266</v>
      </c>
      <c r="T39" s="4740">
        <f>SUM('ПОЛНАЯ СЕБЕСТОИМОСТЬ СТОКИ 2018'!I150)</f>
        <v>0.30410909543276549</v>
      </c>
      <c r="U39" s="4740">
        <f t="shared" si="159"/>
        <v>0.30248035914702581</v>
      </c>
      <c r="V39" s="4740">
        <f>SUM('Произв. прогр. Стоки (СВОД)'!K41)</f>
        <v>0.30014813448944266</v>
      </c>
      <c r="W39" s="4740">
        <f>SUM('ПОЛНАЯ СЕБЕСТОИМОСТЬ СТОКИ 2018'!J150)</f>
        <v>0.3032972648699091</v>
      </c>
      <c r="X39" s="4740">
        <f t="shared" si="159"/>
        <v>0.30348725816855016</v>
      </c>
      <c r="Y39" s="4741">
        <f t="shared" ref="Y39:BR39" si="160">SUM(Y38/Y37)</f>
        <v>0.30014813448944266</v>
      </c>
      <c r="Z39" s="4741">
        <f t="shared" si="160"/>
        <v>0.30317256600338843</v>
      </c>
      <c r="AA39" s="4741">
        <f t="shared" si="160"/>
        <v>0.30222658935291802</v>
      </c>
      <c r="AB39" s="4731">
        <f t="shared" si="139"/>
        <v>3.0244315139457689E-3</v>
      </c>
      <c r="AC39" s="4731">
        <f t="shared" si="140"/>
        <v>1.0076462807574602</v>
      </c>
      <c r="AD39" s="4741">
        <f t="shared" si="160"/>
        <v>0.30014813448944266</v>
      </c>
      <c r="AE39" s="4741">
        <f t="shared" si="160"/>
        <v>0.30183082567506614</v>
      </c>
      <c r="AF39" s="4832">
        <f t="shared" si="160"/>
        <v>0.30124946642929273</v>
      </c>
      <c r="AG39" s="4731">
        <f t="shared" si="143"/>
        <v>1.682691185623475E-3</v>
      </c>
      <c r="AH39" s="4731">
        <f t="shared" si="144"/>
        <v>0.56062023789878379</v>
      </c>
      <c r="AI39" s="4740">
        <f>SUM('Произв. прогр. Стоки (СВОД)'!N41)</f>
        <v>0.30014813448944266</v>
      </c>
      <c r="AJ39" s="4740" t="e">
        <f>SUM('ПОЛНАЯ СЕБЕСТОИМОСТЬ СТОКИ 2018'!P150)</f>
        <v>#DIV/0!</v>
      </c>
      <c r="AK39" s="4740">
        <f t="shared" si="160"/>
        <v>0.30191167281913284</v>
      </c>
      <c r="AL39" s="4740">
        <f>SUM('Произв. прогр. Стоки (СВОД)'!O41)</f>
        <v>0.30014813448944266</v>
      </c>
      <c r="AM39" s="4740" t="e">
        <f>SUM('ПОЛНАЯ СЕБЕСТОИМОСТЬ СТОКИ 2018'!Q150)</f>
        <v>#DIV/0!</v>
      </c>
      <c r="AN39" s="4740">
        <f t="shared" si="160"/>
        <v>0.30240998936868974</v>
      </c>
      <c r="AO39" s="4740">
        <f>SUM('Произв. прогр. Стоки (СВОД)'!P41)</f>
        <v>0.30014813448944266</v>
      </c>
      <c r="AP39" s="4740" t="e">
        <f>SUM('ПОЛНАЯ СЕБЕСТОИМОСТЬ СТОКИ 2018'!R150)</f>
        <v>#DIV/0!</v>
      </c>
      <c r="AQ39" s="4740">
        <f t="shared" si="160"/>
        <v>0.30232802852055912</v>
      </c>
      <c r="AR39" s="4741">
        <f t="shared" si="160"/>
        <v>0.30014813448944261</v>
      </c>
      <c r="AS39" s="4741" t="e">
        <f t="shared" si="160"/>
        <v>#DIV/0!</v>
      </c>
      <c r="AT39" s="4741">
        <f t="shared" si="160"/>
        <v>0.30222169592647086</v>
      </c>
      <c r="AU39" s="4731" t="e">
        <f t="shared" si="146"/>
        <v>#DIV/0!</v>
      </c>
      <c r="AV39" s="4731" t="e">
        <f t="shared" si="147"/>
        <v>#DIV/0!</v>
      </c>
      <c r="AW39" s="4741">
        <f t="shared" si="160"/>
        <v>0.30014813448944266</v>
      </c>
      <c r="AX39" s="4741">
        <f t="shared" si="160"/>
        <v>0.30183082567506614</v>
      </c>
      <c r="AY39" s="4741">
        <f t="shared" si="160"/>
        <v>0.30158060673879611</v>
      </c>
      <c r="AZ39" s="4731">
        <f t="shared" si="150"/>
        <v>1.682691185623475E-3</v>
      </c>
      <c r="BA39" s="4731">
        <f t="shared" si="151"/>
        <v>0.56062023789878379</v>
      </c>
      <c r="BB39" s="4740">
        <f>SUM('Произв. прогр. Стоки (СВОД)'!S41)</f>
        <v>0.30014813448944266</v>
      </c>
      <c r="BC39" s="4740" t="e">
        <f>SUM('ПОЛНАЯ СЕБЕСТОИМОСТЬ СТОКИ 2018'!X150)</f>
        <v>#DIV/0!</v>
      </c>
      <c r="BD39" s="4740">
        <f t="shared" si="160"/>
        <v>0.29775957260696578</v>
      </c>
      <c r="BE39" s="4740">
        <f>SUM('Произв. прогр. Стоки (СВОД)'!S41)</f>
        <v>0.30014813448944266</v>
      </c>
      <c r="BF39" s="4740" t="e">
        <f>SUM('ПОЛНАЯ СЕБЕСТОИМОСТЬ СТОКИ 2018'!Y150)</f>
        <v>#DIV/0!</v>
      </c>
      <c r="BG39" s="4740">
        <f t="shared" si="160"/>
        <v>0.30586722671010308</v>
      </c>
      <c r="BH39" s="4740">
        <f>SUM('Произв. прогр. Стоки (СВОД)'!U41)</f>
        <v>0.30014813448944266</v>
      </c>
      <c r="BI39" s="4740" t="e">
        <f>SUM('ПОЛНАЯ СЕБЕСТОИМОСТЬ СТОКИ 2018'!Z150)</f>
        <v>#DIV/0!</v>
      </c>
      <c r="BJ39" s="4740">
        <f t="shared" si="160"/>
        <v>0.29704791020046206</v>
      </c>
      <c r="BK39" s="4741">
        <f t="shared" si="160"/>
        <v>0.30014813448944261</v>
      </c>
      <c r="BL39" s="4741" t="e">
        <f t="shared" si="160"/>
        <v>#DIV/0!</v>
      </c>
      <c r="BM39" s="4741">
        <f t="shared" si="160"/>
        <v>0.30046397987975104</v>
      </c>
      <c r="BN39" s="4731" t="e">
        <f t="shared" si="153"/>
        <v>#DIV/0!</v>
      </c>
      <c r="BO39" s="4731" t="e">
        <f t="shared" si="154"/>
        <v>#DIV/0!</v>
      </c>
      <c r="BP39" s="4741">
        <f t="shared" si="160"/>
        <v>0.30014813448944261</v>
      </c>
      <c r="BQ39" s="4741">
        <f t="shared" si="160"/>
        <v>0.30183082567506614</v>
      </c>
      <c r="BR39" s="4741">
        <f t="shared" si="160"/>
        <v>0.30133163166136728</v>
      </c>
      <c r="BS39" s="4731">
        <f t="shared" si="157"/>
        <v>1.6826911856235305E-3</v>
      </c>
      <c r="BT39" s="4731">
        <f t="shared" si="158"/>
        <v>0.56062023789880233</v>
      </c>
    </row>
    <row r="40" spans="1:72" ht="18.75" customHeight="1">
      <c r="A40" s="4790" t="s">
        <v>1745</v>
      </c>
      <c r="B40" s="4737">
        <f>SUM('Произв. прогр. Стоки (СВОД)'!E42)</f>
        <v>991.14016750856365</v>
      </c>
      <c r="C40" s="4737">
        <f>SUM('ПОЛНАЯ СЕБЕСТОИМОСТЬ СТОКИ 2018'!C151)</f>
        <v>923.85</v>
      </c>
      <c r="D40" s="4747">
        <f>SUM(D41:D44)</f>
        <v>943.18</v>
      </c>
      <c r="E40" s="4737">
        <f>SUM('Произв. прогр. Стоки (СВОД)'!F42)</f>
        <v>982.34951140960106</v>
      </c>
      <c r="F40" s="4737">
        <f>SUM('ПОЛНАЯ СЕБЕСТОИМОСТЬ СТОКИ 2018'!D151)</f>
        <v>846.55</v>
      </c>
      <c r="G40" s="4747">
        <f>SUM(G41:G44)</f>
        <v>788.71</v>
      </c>
      <c r="H40" s="4737">
        <f>SUM('Произв. прогр. Стоки (СВОД)'!G42)</f>
        <v>978.54249419382199</v>
      </c>
      <c r="I40" s="4737">
        <f>SUM('ПОЛНАЯ СЕБЕСТОИМОСТЬ СТОКИ 2018'!E151)</f>
        <v>1394.05</v>
      </c>
      <c r="J40" s="4747">
        <f>SUM(J41:J44)</f>
        <v>855.27</v>
      </c>
      <c r="K40" s="4800">
        <f t="shared" ref="K40:M60" si="161">SUM(B40+E40+H40)</f>
        <v>2952.0321731119866</v>
      </c>
      <c r="L40" s="4800">
        <f t="shared" si="161"/>
        <v>3164.45</v>
      </c>
      <c r="M40" s="4800">
        <f t="shared" si="161"/>
        <v>2587.16</v>
      </c>
      <c r="N40" s="4746">
        <f t="shared" si="136"/>
        <v>212.41782688801322</v>
      </c>
      <c r="O40" s="4746">
        <f t="shared" si="137"/>
        <v>7.1956474195227234</v>
      </c>
      <c r="P40" s="4737">
        <f>SUM('Произв. прогр. Стоки (СВОД)'!I42)</f>
        <v>965.45643858724497</v>
      </c>
      <c r="Q40" s="4737">
        <f>SUM('ПОЛНАЯ СЕБЕСТОИМОСТЬ СТОКИ 2018'!H151)</f>
        <v>1098.9100000000001</v>
      </c>
      <c r="R40" s="4747">
        <f>SUM(R41:R44)</f>
        <v>848.01</v>
      </c>
      <c r="S40" s="4737">
        <f>SUM('Произв. прогр. Стоки (СВОД)'!J42)</f>
        <v>941.80853322800567</v>
      </c>
      <c r="T40" s="4737">
        <f>SUM('ПОЛНАЯ СЕБЕСТОИМОСТЬ СТОКИ 2018'!I151)</f>
        <v>1231.5299999999997</v>
      </c>
      <c r="U40" s="4747">
        <f>SUM(U41:U44)</f>
        <v>782.63000000000011</v>
      </c>
      <c r="V40" s="4737">
        <f>SUM('Произв. прогр. Стоки (СВОД)'!K42)</f>
        <v>936.35355700172863</v>
      </c>
      <c r="W40" s="4737">
        <f>SUM('ПОЛНАЯ СЕБЕСТОИМОСТЬ СТОКИ 2018'!J151)</f>
        <v>1148.3599999999999</v>
      </c>
      <c r="X40" s="4747">
        <f>SUM(X41:X44)</f>
        <v>1065.58</v>
      </c>
      <c r="Y40" s="4800">
        <f t="shared" ref="Y40:AA60" si="162">SUM(P40+S40+V40)</f>
        <v>2843.6185288169791</v>
      </c>
      <c r="Z40" s="4800">
        <f t="shared" si="162"/>
        <v>3478.7999999999993</v>
      </c>
      <c r="AA40" s="4800">
        <f t="shared" si="162"/>
        <v>2696.2200000000003</v>
      </c>
      <c r="AB40" s="4746">
        <f t="shared" si="139"/>
        <v>635.18147118302022</v>
      </c>
      <c r="AC40" s="4746">
        <f t="shared" si="140"/>
        <v>22.337084413614107</v>
      </c>
      <c r="AD40" s="4800">
        <f t="shared" ref="AD40:AF60" si="163">SUM(K40+Y40)</f>
        <v>5795.6507019289656</v>
      </c>
      <c r="AE40" s="4800">
        <f t="shared" si="163"/>
        <v>6643.2499999999991</v>
      </c>
      <c r="AF40" s="4831">
        <f t="shared" si="163"/>
        <v>5283.38</v>
      </c>
      <c r="AG40" s="4746">
        <f t="shared" si="143"/>
        <v>847.59929807103345</v>
      </c>
      <c r="AH40" s="4746">
        <f t="shared" si="144"/>
        <v>14.624747792149156</v>
      </c>
      <c r="AI40" s="4737">
        <f>SUM('Произв. прогр. Стоки (СВОД)'!N42)</f>
        <v>965.99289516457577</v>
      </c>
      <c r="AJ40" s="4737">
        <f>SUM('ПОЛНАЯ СЕБЕСТОИМОСТЬ СТОКИ 2018'!P151)</f>
        <v>0</v>
      </c>
      <c r="AK40" s="4747">
        <f>SUM(AK41:AK44)</f>
        <v>692.7299999999999</v>
      </c>
      <c r="AL40" s="4737">
        <f>SUM('Произв. прогр. Стоки (СВОД)'!O42)</f>
        <v>965.1472604167401</v>
      </c>
      <c r="AM40" s="4737">
        <f>SUM('ПОЛНАЯ СЕБЕСТОИМОСТЬ СТОКИ 2018'!Q151)</f>
        <v>0</v>
      </c>
      <c r="AN40" s="4747">
        <f>SUM(AN41:AN44)</f>
        <v>879.81000000000006</v>
      </c>
      <c r="AO40" s="4737">
        <f>SUM('Произв. прогр. Стоки (СВОД)'!P42)</f>
        <v>977.49016628144136</v>
      </c>
      <c r="AP40" s="4737">
        <f>SUM('ПОЛНАЯ СЕБЕСТОИМОСТЬ СТОКИ 2018'!R151)</f>
        <v>0</v>
      </c>
      <c r="AQ40" s="4747">
        <f>SUM(AQ41:AQ44)</f>
        <v>1160.6799999999998</v>
      </c>
      <c r="AR40" s="4800">
        <f t="shared" ref="AR40:AT60" si="164">SUM(AI40+AL40+AO40)</f>
        <v>2908.6303218627572</v>
      </c>
      <c r="AS40" s="4800">
        <f t="shared" si="164"/>
        <v>0</v>
      </c>
      <c r="AT40" s="4800">
        <f t="shared" si="164"/>
        <v>2733.22</v>
      </c>
      <c r="AU40" s="4746">
        <f t="shared" si="146"/>
        <v>-2908.6303218627572</v>
      </c>
      <c r="AV40" s="4746">
        <f t="shared" si="147"/>
        <v>-100</v>
      </c>
      <c r="AW40" s="4800">
        <f t="shared" ref="AW40:AY60" si="165">SUM(AD40+AR40)</f>
        <v>8704.281023791722</v>
      </c>
      <c r="AX40" s="4800">
        <f t="shared" si="165"/>
        <v>6643.2499999999991</v>
      </c>
      <c r="AY40" s="4800">
        <f t="shared" si="165"/>
        <v>8016.6</v>
      </c>
      <c r="AZ40" s="4746">
        <f t="shared" si="150"/>
        <v>-2061.0310237917229</v>
      </c>
      <c r="BA40" s="4746">
        <f t="shared" si="151"/>
        <v>-23.678360316702012</v>
      </c>
      <c r="BB40" s="4737">
        <f>SUM('Произв. прогр. Стоки (СВОД)'!S42)</f>
        <v>996.17196234393123</v>
      </c>
      <c r="BC40" s="4737">
        <f>SUM('ПОЛНАЯ СЕБЕСТОИМОСТЬ СТОКИ 2018'!X151)</f>
        <v>0</v>
      </c>
      <c r="BD40" s="4747">
        <f>SUM(BD41:BD44)</f>
        <v>888.76</v>
      </c>
      <c r="BE40" s="4737">
        <f>SUM('Произв. прогр. Стоки (СВОД)'!T42)</f>
        <v>1005.766937971144</v>
      </c>
      <c r="BF40" s="4737">
        <f>SUM('ПОЛНАЯ СЕБЕСТОИМОСТЬ СТОКИ 2018'!Y151)</f>
        <v>0</v>
      </c>
      <c r="BG40" s="4747">
        <f>SUM(BG41:BG44)</f>
        <v>814.33</v>
      </c>
      <c r="BH40" s="4737">
        <f>SUM('Произв. прогр. Стоки (СВОД)'!U42)</f>
        <v>1017.7370570589987</v>
      </c>
      <c r="BI40" s="4737">
        <f>SUM('ПОЛНАЯ СЕБЕСТОИМОСТЬ СТОКИ 2018'!Z151)</f>
        <v>0</v>
      </c>
      <c r="BJ40" s="4747">
        <f>SUM(BJ41:BJ44)</f>
        <v>1033.5800000000002</v>
      </c>
      <c r="BK40" s="4800">
        <f t="shared" ref="BK40:BM60" si="166">SUM(BB40+BE40+BH40)</f>
        <v>3019.6759573740737</v>
      </c>
      <c r="BL40" s="4800">
        <f t="shared" si="166"/>
        <v>0</v>
      </c>
      <c r="BM40" s="4800">
        <f t="shared" si="166"/>
        <v>2736.67</v>
      </c>
      <c r="BN40" s="4746">
        <f t="shared" si="153"/>
        <v>-3019.6759573740737</v>
      </c>
      <c r="BO40" s="4746">
        <f t="shared" si="154"/>
        <v>-100</v>
      </c>
      <c r="BP40" s="4800">
        <f t="shared" ref="BP40:BR60" si="167">SUM(AW40+BK40)</f>
        <v>11723.956981165797</v>
      </c>
      <c r="BQ40" s="4800">
        <f t="shared" si="167"/>
        <v>6643.2499999999991</v>
      </c>
      <c r="BR40" s="4800">
        <f t="shared" si="167"/>
        <v>10753.27</v>
      </c>
      <c r="BS40" s="4746">
        <f t="shared" si="157"/>
        <v>-5080.7069811657975</v>
      </c>
      <c r="BT40" s="4746">
        <f t="shared" si="158"/>
        <v>-43.336110745952148</v>
      </c>
    </row>
    <row r="41" spans="1:72" ht="18.75" customHeight="1">
      <c r="A41" s="4700" t="s">
        <v>1746</v>
      </c>
      <c r="B41" s="4752">
        <f>SUM('Произв. прогр. Стоки (СВОД)'!E43)</f>
        <v>489.36990497034003</v>
      </c>
      <c r="C41" s="4752">
        <f>SUM('ПОЛНАЯ СЕБЕСТОИМОСТЬ СТОКИ 2018'!C152)</f>
        <v>507.79999999999995</v>
      </c>
      <c r="D41" s="4751">
        <v>527.91999999999996</v>
      </c>
      <c r="E41" s="4752">
        <f>SUM('Произв. прогр. Стоки (СВОД)'!F43)</f>
        <v>489.36990497034003</v>
      </c>
      <c r="F41" s="4752">
        <f>SUM('ПОЛНАЯ СЕБЕСТОИМОСТЬ СТОКИ 2018'!D152)</f>
        <v>418.44000000000005</v>
      </c>
      <c r="G41" s="4751">
        <v>402.18</v>
      </c>
      <c r="H41" s="4752">
        <f>SUM('Произв. прогр. Стоки (СВОД)'!G43)</f>
        <v>489.36990497034003</v>
      </c>
      <c r="I41" s="4752">
        <f>SUM('ПОЛНАЯ СЕБЕСТОИМОСТЬ СТОКИ 2018'!E152)</f>
        <v>454.5</v>
      </c>
      <c r="J41" s="4751">
        <v>361.43</v>
      </c>
      <c r="K41" s="4799">
        <f t="shared" si="161"/>
        <v>1468.1097149110201</v>
      </c>
      <c r="L41" s="4799">
        <f t="shared" si="161"/>
        <v>1380.74</v>
      </c>
      <c r="M41" s="4799">
        <f t="shared" si="161"/>
        <v>1291.53</v>
      </c>
      <c r="N41" s="4742">
        <f t="shared" si="136"/>
        <v>-87.369714911020083</v>
      </c>
      <c r="O41" s="4742">
        <f t="shared" si="137"/>
        <v>-5.951170680477067</v>
      </c>
      <c r="P41" s="4752">
        <f>SUM('Произв. прогр. Стоки (СВОД)'!I43)</f>
        <v>489.36990497034003</v>
      </c>
      <c r="Q41" s="4752">
        <f>SUM('ПОЛНАЯ СЕБЕСТОИМОСТЬ СТОКИ 2018'!H152)</f>
        <v>476.1</v>
      </c>
      <c r="R41" s="4751">
        <v>468.34</v>
      </c>
      <c r="S41" s="4752">
        <f>SUM('Произв. прогр. Стоки (СВОД)'!J43)</f>
        <v>489.36990497034003</v>
      </c>
      <c r="T41" s="4752">
        <f>SUM('ПОЛНАЯ СЕБЕСТОИМОСТЬ СТОКИ 2018'!I152)</f>
        <v>540.41</v>
      </c>
      <c r="U41" s="4751">
        <v>311.8</v>
      </c>
      <c r="V41" s="4752">
        <f>SUM('Произв. прогр. Стоки (СВОД)'!K43)</f>
        <v>489.36990497034003</v>
      </c>
      <c r="W41" s="4752">
        <f>SUM('ПОЛНАЯ СЕБЕСТОИМОСТЬ СТОКИ 2018'!J152)</f>
        <v>481.75</v>
      </c>
      <c r="X41" s="4751">
        <v>452.14</v>
      </c>
      <c r="Y41" s="4799">
        <f t="shared" si="162"/>
        <v>1468.1097149110201</v>
      </c>
      <c r="Z41" s="4799">
        <f t="shared" si="162"/>
        <v>1498.26</v>
      </c>
      <c r="AA41" s="4799">
        <f t="shared" si="162"/>
        <v>1232.28</v>
      </c>
      <c r="AB41" s="4742">
        <f t="shared" si="139"/>
        <v>30.150285088979899</v>
      </c>
      <c r="AC41" s="4742">
        <f t="shared" si="140"/>
        <v>2.0536806468041977</v>
      </c>
      <c r="AD41" s="4799">
        <f t="shared" si="163"/>
        <v>2936.2194298220402</v>
      </c>
      <c r="AE41" s="4799">
        <f t="shared" si="163"/>
        <v>2879</v>
      </c>
      <c r="AF41" s="4833">
        <f t="shared" si="163"/>
        <v>2523.81</v>
      </c>
      <c r="AG41" s="4742">
        <f t="shared" si="143"/>
        <v>-57.219429822040183</v>
      </c>
      <c r="AH41" s="4742">
        <f t="shared" si="144"/>
        <v>-1.9487450168364346</v>
      </c>
      <c r="AI41" s="4752">
        <f>SUM('Произв. прогр. Стоки (СВОД)'!N43)</f>
        <v>511.50391247038414</v>
      </c>
      <c r="AJ41" s="4752">
        <f>SUM('ПОЛНАЯ СЕБЕСТОИМОСТЬ СТОКИ 2018'!P152)</f>
        <v>0</v>
      </c>
      <c r="AK41" s="4751">
        <v>317.58</v>
      </c>
      <c r="AL41" s="4752">
        <f>SUM('Произв. прогр. Стоки (СВОД)'!O43)</f>
        <v>511.50391247038414</v>
      </c>
      <c r="AM41" s="4752">
        <f>SUM('ПОЛНАЯ СЕБЕСТОИМОСТЬ СТОКИ 2018'!Q152)</f>
        <v>0</v>
      </c>
      <c r="AN41" s="4751">
        <v>472.88</v>
      </c>
      <c r="AO41" s="4752">
        <f>SUM('Произв. прогр. Стоки (СВОД)'!P43)</f>
        <v>511.50391247038414</v>
      </c>
      <c r="AP41" s="4752">
        <f>SUM('ПОЛНАЯ СЕБЕСТОИМОСТЬ СТОКИ 2018'!R152)</f>
        <v>0</v>
      </c>
      <c r="AQ41" s="4751">
        <v>446.46</v>
      </c>
      <c r="AR41" s="4799">
        <f t="shared" si="164"/>
        <v>1534.5117374111524</v>
      </c>
      <c r="AS41" s="4799">
        <f t="shared" si="164"/>
        <v>0</v>
      </c>
      <c r="AT41" s="4799">
        <f t="shared" si="164"/>
        <v>1236.92</v>
      </c>
      <c r="AU41" s="4742">
        <f t="shared" si="146"/>
        <v>-1534.5117374111524</v>
      </c>
      <c r="AV41" s="4742">
        <f t="shared" si="147"/>
        <v>-100</v>
      </c>
      <c r="AW41" s="4799">
        <f t="shared" si="165"/>
        <v>4470.7311672331925</v>
      </c>
      <c r="AX41" s="4799">
        <f t="shared" si="165"/>
        <v>2879</v>
      </c>
      <c r="AY41" s="4799">
        <f t="shared" si="165"/>
        <v>3760.73</v>
      </c>
      <c r="AZ41" s="4742">
        <f t="shared" si="150"/>
        <v>-1591.7311672331925</v>
      </c>
      <c r="BA41" s="4742">
        <f t="shared" si="151"/>
        <v>-35.603374653776584</v>
      </c>
      <c r="BB41" s="4752">
        <f>SUM('Произв. прогр. Стоки (СВОД)'!S43)</f>
        <v>511.50391247038414</v>
      </c>
      <c r="BC41" s="4752">
        <f>SUM('ПОЛНАЯ СЕБЕСТОИМОСТЬ СТОКИ 2018'!X152)</f>
        <v>0</v>
      </c>
      <c r="BD41" s="4751">
        <v>367.65</v>
      </c>
      <c r="BE41" s="4752">
        <f>SUM('Произв. прогр. Стоки (СВОД)'!T43)</f>
        <v>511.50391247038414</v>
      </c>
      <c r="BF41" s="4752">
        <f>SUM('ПОЛНАЯ СЕБЕСТОИМОСТЬ СТОКИ 2018'!Y152)</f>
        <v>0</v>
      </c>
      <c r="BG41" s="4751">
        <v>373.36</v>
      </c>
      <c r="BH41" s="4752">
        <f>SUM('Произв. прогр. Стоки (СВОД)'!U43)</f>
        <v>511.50391247038414</v>
      </c>
      <c r="BI41" s="4752">
        <f>SUM('ПОЛНАЯ СЕБЕСТОИМОСТЬ СТОКИ 2018'!Z152)</f>
        <v>0</v>
      </c>
      <c r="BJ41" s="4751">
        <v>413.8</v>
      </c>
      <c r="BK41" s="4799">
        <f t="shared" si="166"/>
        <v>1534.5117374111524</v>
      </c>
      <c r="BL41" s="4799">
        <f t="shared" si="166"/>
        <v>0</v>
      </c>
      <c r="BM41" s="4799">
        <f t="shared" si="166"/>
        <v>1154.81</v>
      </c>
      <c r="BN41" s="4742">
        <f t="shared" si="153"/>
        <v>-1534.5117374111524</v>
      </c>
      <c r="BO41" s="4742">
        <f t="shared" si="154"/>
        <v>-100</v>
      </c>
      <c r="BP41" s="4799">
        <f t="shared" si="167"/>
        <v>6005.2429046443449</v>
      </c>
      <c r="BQ41" s="4799">
        <f t="shared" si="167"/>
        <v>2879</v>
      </c>
      <c r="BR41" s="4799">
        <f t="shared" si="167"/>
        <v>4915.54</v>
      </c>
      <c r="BS41" s="4742">
        <f t="shared" si="157"/>
        <v>-3126.2429046443449</v>
      </c>
      <c r="BT41" s="4742">
        <f t="shared" si="158"/>
        <v>-52.058558734178192</v>
      </c>
    </row>
    <row r="42" spans="1:72" ht="18.75" customHeight="1">
      <c r="A42" s="4700" t="s">
        <v>1747</v>
      </c>
      <c r="B42" s="4752">
        <f>SUM('Произв. прогр. Стоки (СВОД)'!E44)</f>
        <v>147.17117345165803</v>
      </c>
      <c r="C42" s="4752">
        <f>SUM('ПОЛНАЯ СЕБЕСТОИМОСТЬ СТОКИ 2018'!C153)</f>
        <v>153.41</v>
      </c>
      <c r="D42" s="4751">
        <v>159.41</v>
      </c>
      <c r="E42" s="4752">
        <f>SUM('Произв. прогр. Стоки (СВОД)'!F44)</f>
        <v>147.17117345165803</v>
      </c>
      <c r="F42" s="4752">
        <f>SUM('ПОЛНАЯ СЕБЕСТОИМОСТЬ СТОКИ 2018'!D153)</f>
        <v>126.24000000000001</v>
      </c>
      <c r="G42" s="4751">
        <v>121.42</v>
      </c>
      <c r="H42" s="4752">
        <f>SUM('Произв. прогр. Стоки (СВОД)'!G44)</f>
        <v>147.17117345165803</v>
      </c>
      <c r="I42" s="4752">
        <f>SUM('ПОЛНАЯ СЕБЕСТОИМОСТЬ СТОКИ 2018'!E153)</f>
        <v>137.22</v>
      </c>
      <c r="J42" s="4751">
        <v>109.11</v>
      </c>
      <c r="K42" s="4799">
        <f t="shared" si="161"/>
        <v>441.5135203549741</v>
      </c>
      <c r="L42" s="4799">
        <f t="shared" si="161"/>
        <v>416.87</v>
      </c>
      <c r="M42" s="4799">
        <f t="shared" si="161"/>
        <v>389.94</v>
      </c>
      <c r="N42" s="4742">
        <f t="shared" si="136"/>
        <v>-24.6435203549741</v>
      </c>
      <c r="O42" s="4742">
        <f t="shared" si="137"/>
        <v>-5.5816003856826093</v>
      </c>
      <c r="P42" s="4752">
        <f>SUM('Произв. прогр. Стоки (СВОД)'!I44)</f>
        <v>147.17117345165803</v>
      </c>
      <c r="Q42" s="4752">
        <f>SUM('ПОЛНАЯ СЕБЕСТОИМОСТЬ СТОКИ 2018'!H153)</f>
        <v>143.74</v>
      </c>
      <c r="R42" s="4751">
        <v>140.02000000000001</v>
      </c>
      <c r="S42" s="4752">
        <f>SUM('Произв. прогр. Стоки (СВОД)'!J44)</f>
        <v>147.17117345165803</v>
      </c>
      <c r="T42" s="4752">
        <f>SUM('ПОЛНАЯ СЕБЕСТОИМОСТЬ СТОКИ 2018'!I153)</f>
        <v>162.05000000000001</v>
      </c>
      <c r="U42" s="4751">
        <v>94.15</v>
      </c>
      <c r="V42" s="4752">
        <f>SUM('Произв. прогр. Стоки (СВОД)'!K44)</f>
        <v>147.17117345165803</v>
      </c>
      <c r="W42" s="4752">
        <f>SUM('ПОЛНАЯ СЕБЕСТОИМОСТЬ СТОКИ 2018'!J153)</f>
        <v>144.67000000000002</v>
      </c>
      <c r="X42" s="4751">
        <v>136.51</v>
      </c>
      <c r="Y42" s="4799">
        <f t="shared" si="162"/>
        <v>441.5135203549741</v>
      </c>
      <c r="Z42" s="4799">
        <f t="shared" si="162"/>
        <v>450.46000000000004</v>
      </c>
      <c r="AA42" s="4799">
        <f t="shared" si="162"/>
        <v>370.68</v>
      </c>
      <c r="AB42" s="4742">
        <f t="shared" si="139"/>
        <v>8.9464796450259314</v>
      </c>
      <c r="AC42" s="4742">
        <f t="shared" si="140"/>
        <v>2.0263206521587422</v>
      </c>
      <c r="AD42" s="4799">
        <f t="shared" si="163"/>
        <v>883.02704070994821</v>
      </c>
      <c r="AE42" s="4799">
        <f t="shared" si="163"/>
        <v>867.33</v>
      </c>
      <c r="AF42" s="4833">
        <f t="shared" si="163"/>
        <v>760.62</v>
      </c>
      <c r="AG42" s="4742">
        <f t="shared" si="143"/>
        <v>-15.697040709948169</v>
      </c>
      <c r="AH42" s="4742">
        <f t="shared" si="144"/>
        <v>-1.7776398667619338</v>
      </c>
      <c r="AI42" s="4752">
        <f>SUM('Произв. прогр. Стоки (СВОД)'!N44)</f>
        <v>153.83086936662545</v>
      </c>
      <c r="AJ42" s="4752">
        <f>SUM('ПОЛНАЯ СЕБЕСТОИМОСТЬ СТОКИ 2018'!P153)</f>
        <v>0</v>
      </c>
      <c r="AK42" s="4751">
        <v>94.52</v>
      </c>
      <c r="AL42" s="4752">
        <f>SUM('Произв. прогр. Стоки (СВОД)'!O44)</f>
        <v>153.83086936662545</v>
      </c>
      <c r="AM42" s="4752">
        <f>SUM('ПОЛНАЯ СЕБЕСТОИМОСТЬ СТОКИ 2018'!Q153)</f>
        <v>0</v>
      </c>
      <c r="AN42" s="4751">
        <v>141.41999999999999</v>
      </c>
      <c r="AO42" s="4752">
        <f>SUM('Произв. прогр. Стоки (СВОД)'!P44)</f>
        <v>153.83086936662545</v>
      </c>
      <c r="AP42" s="4752">
        <f>SUM('ПОЛНАЯ СЕБЕСТОИМОСТЬ СТОКИ 2018'!R153)</f>
        <v>0</v>
      </c>
      <c r="AQ42" s="4751">
        <v>134.79</v>
      </c>
      <c r="AR42" s="4799">
        <f t="shared" si="164"/>
        <v>461.49260809987635</v>
      </c>
      <c r="AS42" s="4799">
        <f t="shared" si="164"/>
        <v>0</v>
      </c>
      <c r="AT42" s="4799">
        <f t="shared" si="164"/>
        <v>370.73</v>
      </c>
      <c r="AU42" s="4742">
        <f t="shared" si="146"/>
        <v>-461.49260809987635</v>
      </c>
      <c r="AV42" s="4742">
        <f t="shared" si="147"/>
        <v>-100</v>
      </c>
      <c r="AW42" s="4799">
        <f t="shared" si="165"/>
        <v>1344.5196488098245</v>
      </c>
      <c r="AX42" s="4799">
        <f t="shared" si="165"/>
        <v>867.33</v>
      </c>
      <c r="AY42" s="4799">
        <f t="shared" si="165"/>
        <v>1131.3499999999999</v>
      </c>
      <c r="AZ42" s="4742">
        <f t="shared" si="150"/>
        <v>-477.18964880982446</v>
      </c>
      <c r="BA42" s="4742">
        <f t="shared" si="151"/>
        <v>-35.491459662358608</v>
      </c>
      <c r="BB42" s="4752">
        <f>SUM('Произв. прогр. Стоки (СВОД)'!S44)</f>
        <v>153.83086936662545</v>
      </c>
      <c r="BC42" s="4752">
        <f>SUM('ПОЛНАЯ СЕБЕСТОИМОСТЬ СТОКИ 2018'!X153)</f>
        <v>0</v>
      </c>
      <c r="BD42" s="4751">
        <v>110.99</v>
      </c>
      <c r="BE42" s="4752">
        <f>SUM('Произв. прогр. Стоки (СВОД)'!T44)</f>
        <v>153.83086936662545</v>
      </c>
      <c r="BF42" s="4752">
        <f>SUM('ПОЛНАЯ СЕБЕСТОИМОСТЬ СТОКИ 2018'!Y153)</f>
        <v>0</v>
      </c>
      <c r="BG42" s="4751">
        <v>112.72</v>
      </c>
      <c r="BH42" s="4752">
        <f>SUM('Произв. прогр. Стоки (СВОД)'!U44)</f>
        <v>153.83086936662545</v>
      </c>
      <c r="BI42" s="4752">
        <f>SUM('ПОЛНАЯ СЕБЕСТОИМОСТЬ СТОКИ 2018'!Z153)</f>
        <v>0</v>
      </c>
      <c r="BJ42" s="4751">
        <v>124.93</v>
      </c>
      <c r="BK42" s="4799">
        <f t="shared" si="166"/>
        <v>461.49260809987635</v>
      </c>
      <c r="BL42" s="4799">
        <f t="shared" si="166"/>
        <v>0</v>
      </c>
      <c r="BM42" s="4799">
        <f t="shared" si="166"/>
        <v>348.64</v>
      </c>
      <c r="BN42" s="4742">
        <f t="shared" si="153"/>
        <v>-461.49260809987635</v>
      </c>
      <c r="BO42" s="4742">
        <f t="shared" si="154"/>
        <v>-100</v>
      </c>
      <c r="BP42" s="4799">
        <f t="shared" si="167"/>
        <v>1806.0122569097009</v>
      </c>
      <c r="BQ42" s="4799">
        <f t="shared" si="167"/>
        <v>867.33</v>
      </c>
      <c r="BR42" s="4799">
        <f t="shared" si="167"/>
        <v>1479.9899999999998</v>
      </c>
      <c r="BS42" s="4742">
        <f t="shared" si="157"/>
        <v>-938.68225690970087</v>
      </c>
      <c r="BT42" s="4742">
        <f t="shared" si="158"/>
        <v>-51.975408988413875</v>
      </c>
    </row>
    <row r="43" spans="1:72" ht="18.75" customHeight="1">
      <c r="A43" s="4700" t="s">
        <v>31</v>
      </c>
      <c r="B43" s="4752">
        <f>SUM('Произв. прогр. Стоки'!E98)</f>
        <v>73.155040833017424</v>
      </c>
      <c r="C43" s="4752">
        <f>SUM('ПОЛНАЯ СЕБЕСТОИМОСТЬ СТОКИ 2018'!C154)</f>
        <v>66.61</v>
      </c>
      <c r="D43" s="4751">
        <v>57.09</v>
      </c>
      <c r="E43" s="4752">
        <f>SUM('Произв. прогр. Стоки'!F98)</f>
        <v>73.155040833017424</v>
      </c>
      <c r="F43" s="4752">
        <f>SUM('ПОЛНАЯ СЕБЕСТОИМОСТЬ СТОКИ 2018'!D154)</f>
        <v>67.27</v>
      </c>
      <c r="G43" s="4751">
        <v>52.58</v>
      </c>
      <c r="H43" s="4752">
        <f>SUM('Произв. прогр. Стоки'!G98)</f>
        <v>73.155040833017424</v>
      </c>
      <c r="I43" s="4752">
        <f>SUM('ПОЛНАЯ СЕБЕСТОИМОСТЬ СТОКИ 2018'!E154)</f>
        <v>98.11</v>
      </c>
      <c r="J43" s="4751">
        <v>63</v>
      </c>
      <c r="K43" s="4799">
        <f t="shared" si="161"/>
        <v>219.46512249905226</v>
      </c>
      <c r="L43" s="4799">
        <f t="shared" si="161"/>
        <v>231.99</v>
      </c>
      <c r="M43" s="4799">
        <f t="shared" si="161"/>
        <v>172.67000000000002</v>
      </c>
      <c r="N43" s="4742">
        <f t="shared" si="136"/>
        <v>12.524877500947753</v>
      </c>
      <c r="O43" s="4742">
        <f t="shared" si="137"/>
        <v>5.7070013487003344</v>
      </c>
      <c r="P43" s="4752">
        <f>SUM('Произв. прогр. Стоки'!I98)</f>
        <v>73.155040833017424</v>
      </c>
      <c r="Q43" s="4752">
        <f>SUM('ПОЛНАЯ СЕБЕСТОИМОСТЬ СТОКИ 2018'!H154)</f>
        <v>87.14</v>
      </c>
      <c r="R43" s="4751">
        <v>61.5</v>
      </c>
      <c r="S43" s="4752">
        <f>SUM('Произв. прогр. Стоки'!J98)</f>
        <v>73.155040833017424</v>
      </c>
      <c r="T43" s="4752">
        <f>SUM('ПОЛНАЯ СЕБЕСТОИМОСТЬ СТОКИ 2018'!I154)</f>
        <v>93.88</v>
      </c>
      <c r="U43" s="4751">
        <v>88.54</v>
      </c>
      <c r="V43" s="4752">
        <f>SUM('Произв. прогр. Стоки'!K98)</f>
        <v>73.155040833017424</v>
      </c>
      <c r="W43" s="4752">
        <f>SUM('ПОЛНАЯ СЕБЕСТОИМОСТЬ СТОКИ 2018'!J154)</f>
        <v>78.34</v>
      </c>
      <c r="X43" s="4751">
        <v>59.98</v>
      </c>
      <c r="Y43" s="4799">
        <f t="shared" si="162"/>
        <v>219.46512249905226</v>
      </c>
      <c r="Z43" s="4799">
        <f t="shared" si="162"/>
        <v>259.36</v>
      </c>
      <c r="AA43" s="4799">
        <f t="shared" si="162"/>
        <v>210.02</v>
      </c>
      <c r="AB43" s="4742">
        <f t="shared" si="139"/>
        <v>39.894877500947757</v>
      </c>
      <c r="AC43" s="4742">
        <f t="shared" si="140"/>
        <v>18.178231259101334</v>
      </c>
      <c r="AD43" s="4799">
        <f t="shared" si="163"/>
        <v>438.93024499810451</v>
      </c>
      <c r="AE43" s="4799">
        <f t="shared" si="163"/>
        <v>491.35</v>
      </c>
      <c r="AF43" s="4833">
        <f t="shared" si="163"/>
        <v>382.69000000000005</v>
      </c>
      <c r="AG43" s="4742">
        <f t="shared" si="143"/>
        <v>52.41975500189551</v>
      </c>
      <c r="AH43" s="4742">
        <f t="shared" si="144"/>
        <v>11.942616303900836</v>
      </c>
      <c r="AI43" s="4752">
        <f>SUM('Произв. прогр. Стоки'!N98)</f>
        <v>73.155040833017424</v>
      </c>
      <c r="AJ43" s="4752">
        <f>SUM('ПОЛНАЯ СЕБЕСТОИМОСТЬ СТОКИ 2018'!P154)</f>
        <v>0</v>
      </c>
      <c r="AK43" s="4751">
        <v>74.209999999999994</v>
      </c>
      <c r="AL43" s="4752">
        <f>SUM('Произв. прогр. Стоки'!O98)</f>
        <v>73.155040833017424</v>
      </c>
      <c r="AM43" s="4752">
        <f>SUM('ПОЛНАЯ СЕБЕСТОИМОСТЬ СТОКИ 2018'!Q154)</f>
        <v>0</v>
      </c>
      <c r="AN43" s="4751">
        <v>79.180000000000007</v>
      </c>
      <c r="AO43" s="4752">
        <f>SUM('Произв. прогр. Стоки'!S98)</f>
        <v>73.155040833017424</v>
      </c>
      <c r="AP43" s="4752">
        <f>SUM('ПОЛНАЯ СЕБЕСТОИМОСТЬ СТОКИ 2018'!R154)</f>
        <v>0</v>
      </c>
      <c r="AQ43" s="4751">
        <v>64.319999999999993</v>
      </c>
      <c r="AR43" s="4799">
        <f t="shared" si="164"/>
        <v>219.46512249905226</v>
      </c>
      <c r="AS43" s="4799">
        <f t="shared" si="164"/>
        <v>0</v>
      </c>
      <c r="AT43" s="4799">
        <f t="shared" si="164"/>
        <v>217.70999999999998</v>
      </c>
      <c r="AU43" s="4742">
        <f t="shared" si="146"/>
        <v>-219.46512249905226</v>
      </c>
      <c r="AV43" s="4742">
        <f t="shared" si="147"/>
        <v>-100</v>
      </c>
      <c r="AW43" s="4799">
        <f t="shared" si="165"/>
        <v>658.39536749715671</v>
      </c>
      <c r="AX43" s="4799">
        <f t="shared" si="165"/>
        <v>491.35</v>
      </c>
      <c r="AY43" s="4799">
        <f t="shared" si="165"/>
        <v>600.40000000000009</v>
      </c>
      <c r="AZ43" s="4742">
        <f t="shared" si="150"/>
        <v>-167.04536749715669</v>
      </c>
      <c r="BA43" s="4742">
        <f t="shared" si="151"/>
        <v>-25.371589130732769</v>
      </c>
      <c r="BB43" s="4752">
        <f>SUM('Произв. прогр. Стоки'!S98)</f>
        <v>73.155040833017424</v>
      </c>
      <c r="BC43" s="4752">
        <f>SUM('ПОЛНАЯ СЕБЕСТОИМОСТЬ СТОКИ 2018'!X154)</f>
        <v>0</v>
      </c>
      <c r="BD43" s="4751">
        <v>60.41</v>
      </c>
      <c r="BE43" s="4752">
        <f>SUM('Произв. прогр. Стоки'!T98)</f>
        <v>73.155040833017424</v>
      </c>
      <c r="BF43" s="4752">
        <f>SUM('ПОЛНАЯ СЕБЕСТОИМОСТЬ СТОКИ 2018'!Y154)</f>
        <v>0</v>
      </c>
      <c r="BG43" s="4751">
        <v>64.48</v>
      </c>
      <c r="BH43" s="4752">
        <f>SUM('Произв. прогр. Стоки'!U98)</f>
        <v>73.155040833017424</v>
      </c>
      <c r="BI43" s="4752">
        <f>SUM('ПОЛНАЯ СЕБЕСТОИМОСТЬ СТОКИ 2018'!Z154)</f>
        <v>0</v>
      </c>
      <c r="BJ43" s="4751">
        <v>65.44</v>
      </c>
      <c r="BK43" s="4799">
        <f t="shared" si="166"/>
        <v>219.46512249905226</v>
      </c>
      <c r="BL43" s="4799">
        <f t="shared" si="166"/>
        <v>0</v>
      </c>
      <c r="BM43" s="4799">
        <f t="shared" si="166"/>
        <v>190.32999999999998</v>
      </c>
      <c r="BN43" s="4742">
        <f t="shared" si="153"/>
        <v>-219.46512249905226</v>
      </c>
      <c r="BO43" s="4742">
        <f t="shared" si="154"/>
        <v>-100</v>
      </c>
      <c r="BP43" s="4799">
        <f t="shared" si="167"/>
        <v>877.86048999620903</v>
      </c>
      <c r="BQ43" s="4799">
        <f t="shared" si="167"/>
        <v>491.35</v>
      </c>
      <c r="BR43" s="4799">
        <f t="shared" si="167"/>
        <v>790.73</v>
      </c>
      <c r="BS43" s="4742">
        <f t="shared" si="157"/>
        <v>-386.510489996209</v>
      </c>
      <c r="BT43" s="4742">
        <f t="shared" si="158"/>
        <v>-44.028691848049583</v>
      </c>
    </row>
    <row r="44" spans="1:72" ht="18.75" customHeight="1">
      <c r="A44" s="4700" t="s">
        <v>300</v>
      </c>
      <c r="B44" s="4752">
        <f>SUM(B40-B41-B42-B43)</f>
        <v>281.44404825354815</v>
      </c>
      <c r="C44" s="4752">
        <f>SUM('ПОЛНАЯ СЕБЕСТОИМОСТЬ СТОКИ 2018'!C155)</f>
        <v>196.03000000000009</v>
      </c>
      <c r="D44" s="4751">
        <v>198.76</v>
      </c>
      <c r="E44" s="4752">
        <f>SUM(E40-E41-E42-E43)</f>
        <v>272.65339215458556</v>
      </c>
      <c r="F44" s="4752">
        <f>SUM('ПОЛНАЯ СЕБЕСТОИМОСТЬ СТОКИ 2018'!D155)</f>
        <v>234.59999999999991</v>
      </c>
      <c r="G44" s="4751">
        <v>212.53</v>
      </c>
      <c r="H44" s="4752">
        <f>SUM(H40-H41-H42-H43)</f>
        <v>268.84637493880649</v>
      </c>
      <c r="I44" s="4752">
        <f>SUM('ПОЛНАЯ СЕБЕСТОИМОСТЬ СТОКИ 2018'!E155)</f>
        <v>704.21999999999991</v>
      </c>
      <c r="J44" s="4751">
        <v>321.73</v>
      </c>
      <c r="K44" s="4799">
        <f t="shared" si="161"/>
        <v>822.94381534694026</v>
      </c>
      <c r="L44" s="4799">
        <f t="shared" si="161"/>
        <v>1134.8499999999999</v>
      </c>
      <c r="M44" s="4799">
        <f t="shared" si="161"/>
        <v>733.02</v>
      </c>
      <c r="N44" s="4742">
        <f t="shared" si="136"/>
        <v>311.90618465305965</v>
      </c>
      <c r="O44" s="4742">
        <f t="shared" si="137"/>
        <v>37.901273311297061</v>
      </c>
      <c r="P44" s="4752">
        <f>SUM(P40-P41-P42-P43)</f>
        <v>255.76031933222947</v>
      </c>
      <c r="Q44" s="4752">
        <f>SUM('ПОЛНАЯ СЕБЕСТОИМОСТЬ СТОКИ 2018'!H155)</f>
        <v>391.93000000000006</v>
      </c>
      <c r="R44" s="4751">
        <v>178.15</v>
      </c>
      <c r="S44" s="4752">
        <f>SUM(S40-S41-S42-S43)</f>
        <v>232.11241397299017</v>
      </c>
      <c r="T44" s="4752">
        <f>SUM('ПОЛНАЯ СЕБЕСТОИМОСТЬ СТОКИ 2018'!I155)</f>
        <v>435.18999999999971</v>
      </c>
      <c r="U44" s="4751">
        <v>288.14</v>
      </c>
      <c r="V44" s="4752">
        <f>SUM(V40-V41-V42-V43)</f>
        <v>226.65743774671313</v>
      </c>
      <c r="W44" s="4752">
        <f>SUM('ПОЛНАЯ СЕБЕСТОИМОСТЬ СТОКИ 2018'!J155)</f>
        <v>443.5999999999998</v>
      </c>
      <c r="X44" s="4751">
        <v>416.95</v>
      </c>
      <c r="Y44" s="4799">
        <f t="shared" si="162"/>
        <v>714.53017105193271</v>
      </c>
      <c r="Z44" s="4799">
        <f t="shared" si="162"/>
        <v>1270.7199999999996</v>
      </c>
      <c r="AA44" s="4799">
        <f t="shared" si="162"/>
        <v>883.24</v>
      </c>
      <c r="AB44" s="4742">
        <f t="shared" si="139"/>
        <v>556.18982894806686</v>
      </c>
      <c r="AC44" s="4742">
        <f t="shared" si="140"/>
        <v>77.839936154024556</v>
      </c>
      <c r="AD44" s="4799">
        <f t="shared" si="163"/>
        <v>1537.473986398873</v>
      </c>
      <c r="AE44" s="4799">
        <f t="shared" si="163"/>
        <v>2405.5699999999997</v>
      </c>
      <c r="AF44" s="4833">
        <f t="shared" si="163"/>
        <v>1616.26</v>
      </c>
      <c r="AG44" s="4742">
        <f t="shared" si="143"/>
        <v>868.09601360112674</v>
      </c>
      <c r="AH44" s="4742">
        <f t="shared" si="144"/>
        <v>56.462484652141178</v>
      </c>
      <c r="AI44" s="4752">
        <f>SUM(AI40-AI41-AI42-AI43)</f>
        <v>227.50307249454875</v>
      </c>
      <c r="AJ44" s="4752">
        <f>SUM('ПОЛНАЯ СЕБЕСТОИМОСТЬ СТОКИ 2018'!P155)</f>
        <v>0</v>
      </c>
      <c r="AK44" s="4751">
        <v>206.42</v>
      </c>
      <c r="AL44" s="4752">
        <f>SUM(AL40-AL41-AL42-AL43)</f>
        <v>226.65743774671307</v>
      </c>
      <c r="AM44" s="4752">
        <f>SUM('ПОЛНАЯ СЕБЕСТОИМОСТЬ СТОКИ 2018'!Q155)</f>
        <v>0</v>
      </c>
      <c r="AN44" s="4751">
        <v>186.33</v>
      </c>
      <c r="AO44" s="4752">
        <f>SUM(AO40-AO41-AO42-AO43)</f>
        <v>239.00034361141434</v>
      </c>
      <c r="AP44" s="4752">
        <f>SUM('ПОЛНАЯ СЕБЕСТОИМОСТЬ СТОКИ 2018'!R155)</f>
        <v>0</v>
      </c>
      <c r="AQ44" s="4751">
        <v>515.11</v>
      </c>
      <c r="AR44" s="4799">
        <f t="shared" si="164"/>
        <v>693.16085385267615</v>
      </c>
      <c r="AS44" s="4799">
        <f t="shared" si="164"/>
        <v>0</v>
      </c>
      <c r="AT44" s="4799">
        <f t="shared" si="164"/>
        <v>907.86</v>
      </c>
      <c r="AU44" s="4742">
        <f t="shared" si="146"/>
        <v>-693.16085385267615</v>
      </c>
      <c r="AV44" s="4742">
        <f t="shared" si="147"/>
        <v>-100</v>
      </c>
      <c r="AW44" s="4799">
        <f t="shared" si="165"/>
        <v>2230.6348402515491</v>
      </c>
      <c r="AX44" s="4799">
        <f t="shared" si="165"/>
        <v>2405.5699999999997</v>
      </c>
      <c r="AY44" s="4799">
        <f t="shared" si="165"/>
        <v>2524.12</v>
      </c>
      <c r="AZ44" s="4742">
        <f t="shared" si="150"/>
        <v>174.93515974845059</v>
      </c>
      <c r="BA44" s="4742">
        <f t="shared" si="151"/>
        <v>7.8423934115869507</v>
      </c>
      <c r="BB44" s="4752">
        <f>SUM(BB40-BB41-BB42-BB43)</f>
        <v>257.6821396739042</v>
      </c>
      <c r="BC44" s="4752">
        <f>SUM('ПОЛНАЯ СЕБЕСТОИМОСТЬ СТОКИ 2018'!X155)</f>
        <v>0</v>
      </c>
      <c r="BD44" s="4751">
        <v>349.71</v>
      </c>
      <c r="BE44" s="4752">
        <f>SUM(BE40-BE41-BE42-BE43)</f>
        <v>267.27711530111696</v>
      </c>
      <c r="BF44" s="4752">
        <f>SUM('ПОЛНАЯ СЕБЕСТОИМОСТЬ СТОКИ 2018'!Y155)</f>
        <v>0</v>
      </c>
      <c r="BG44" s="4751">
        <v>263.77</v>
      </c>
      <c r="BH44" s="4752">
        <f>SUM(BH40-BH41-BH42-BH43)</f>
        <v>279.24723438897172</v>
      </c>
      <c r="BI44" s="4752">
        <f>SUM('ПОЛНАЯ СЕБЕСТОИМОСТЬ СТОКИ 2018'!Z155)</f>
        <v>0</v>
      </c>
      <c r="BJ44" s="4751">
        <v>429.41</v>
      </c>
      <c r="BK44" s="4799">
        <f t="shared" si="166"/>
        <v>804.20648936399289</v>
      </c>
      <c r="BL44" s="4799">
        <f t="shared" si="166"/>
        <v>0</v>
      </c>
      <c r="BM44" s="4799">
        <f t="shared" si="166"/>
        <v>1042.8900000000001</v>
      </c>
      <c r="BN44" s="4742">
        <f t="shared" si="153"/>
        <v>-804.20648936399289</v>
      </c>
      <c r="BO44" s="4742">
        <f t="shared" si="154"/>
        <v>-100</v>
      </c>
      <c r="BP44" s="4799">
        <f t="shared" si="167"/>
        <v>3034.8413296155422</v>
      </c>
      <c r="BQ44" s="4799">
        <f t="shared" si="167"/>
        <v>2405.5699999999997</v>
      </c>
      <c r="BR44" s="4799">
        <f t="shared" si="167"/>
        <v>3567.01</v>
      </c>
      <c r="BS44" s="4742">
        <f t="shared" si="157"/>
        <v>-629.27132961554253</v>
      </c>
      <c r="BT44" s="4742">
        <f t="shared" si="158"/>
        <v>-20.73490048638752</v>
      </c>
    </row>
    <row r="45" spans="1:72" ht="18.75" customHeight="1">
      <c r="A45" s="4790" t="s">
        <v>1724</v>
      </c>
      <c r="B45" s="4737">
        <f>SUM('Произв. прогр. Стоки (СВОД)'!E46)</f>
        <v>0</v>
      </c>
      <c r="C45" s="4737">
        <f>SUM('ПОЛНАЯ СЕБЕСТОИМОСТЬ СТОКИ 2018'!C156)</f>
        <v>0</v>
      </c>
      <c r="D45" s="4747">
        <f>SUM(D46:D48)</f>
        <v>0</v>
      </c>
      <c r="E45" s="4737">
        <f>SUM('Произв. прогр. Стоки (СВОД)'!F46)</f>
        <v>0</v>
      </c>
      <c r="F45" s="4737">
        <f>SUM('ПОЛНАЯ СЕБЕСТОИМОСТЬ СТОКИ 2018'!D156)</f>
        <v>0</v>
      </c>
      <c r="G45" s="4747">
        <f>SUM(G46:G48)</f>
        <v>0</v>
      </c>
      <c r="H45" s="4737">
        <f>SUM('Произв. прогр. Стоки (СВОД)'!G46)</f>
        <v>378.3660830974635</v>
      </c>
      <c r="I45" s="4737">
        <f>SUM('ПОЛНАЯ СЕБЕСТОИМОСТЬ СТОКИ 2018'!E156)</f>
        <v>10.819999999999999</v>
      </c>
      <c r="J45" s="4747">
        <f>SUM(J46:J48)</f>
        <v>10.78</v>
      </c>
      <c r="K45" s="4800">
        <f t="shared" si="161"/>
        <v>378.3660830974635</v>
      </c>
      <c r="L45" s="4800">
        <f t="shared" si="161"/>
        <v>10.819999999999999</v>
      </c>
      <c r="M45" s="4800">
        <f t="shared" si="161"/>
        <v>10.78</v>
      </c>
      <c r="N45" s="4746">
        <f t="shared" si="136"/>
        <v>-367.54608309746351</v>
      </c>
      <c r="O45" s="4746">
        <f t="shared" si="137"/>
        <v>-97.140335647576308</v>
      </c>
      <c r="P45" s="4737">
        <f>SUM('Произв. прогр. Стоки (СВОД)'!I46)</f>
        <v>0</v>
      </c>
      <c r="Q45" s="4737">
        <f>SUM('ПОЛНАЯ СЕБЕСТОИМОСТЬ СТОКИ 2018'!H156)</f>
        <v>0</v>
      </c>
      <c r="R45" s="4747">
        <f>SUM(R46:R48)</f>
        <v>0</v>
      </c>
      <c r="S45" s="4737">
        <f>SUM('Произв. прогр. Стоки (СВОД)'!J46)</f>
        <v>0</v>
      </c>
      <c r="T45" s="4737">
        <f>SUM('ПОЛНАЯ СЕБЕСТОИМОСТЬ СТОКИ 2018'!I156)</f>
        <v>0</v>
      </c>
      <c r="U45" s="4747">
        <f>SUM(U46:U48)</f>
        <v>0</v>
      </c>
      <c r="V45" s="4737">
        <f>SUM('Произв. прогр. Стоки (СВОД)'!K46)</f>
        <v>378.3660830974635</v>
      </c>
      <c r="W45" s="4737">
        <f>SUM('ПОЛНАЯ СЕБЕСТОИМОСТЬ СТОКИ 2018'!J156)</f>
        <v>10.819999999999999</v>
      </c>
      <c r="X45" s="4747">
        <f>SUM(X46:X48)</f>
        <v>10.79</v>
      </c>
      <c r="Y45" s="4800">
        <f t="shared" si="162"/>
        <v>378.3660830974635</v>
      </c>
      <c r="Z45" s="4800">
        <f t="shared" si="162"/>
        <v>10.819999999999999</v>
      </c>
      <c r="AA45" s="4800">
        <f t="shared" si="162"/>
        <v>10.79</v>
      </c>
      <c r="AB45" s="4746">
        <f t="shared" si="139"/>
        <v>-367.54608309746351</v>
      </c>
      <c r="AC45" s="4746">
        <f t="shared" si="140"/>
        <v>-97.140335647576308</v>
      </c>
      <c r="AD45" s="4800">
        <f t="shared" si="163"/>
        <v>756.732166194927</v>
      </c>
      <c r="AE45" s="4800">
        <f t="shared" si="163"/>
        <v>21.639999999999997</v>
      </c>
      <c r="AF45" s="4831">
        <f t="shared" si="163"/>
        <v>21.57</v>
      </c>
      <c r="AG45" s="4746">
        <f t="shared" si="143"/>
        <v>-735.09216619492702</v>
      </c>
      <c r="AH45" s="4746">
        <f t="shared" si="144"/>
        <v>-97.140335647576308</v>
      </c>
      <c r="AI45" s="4737">
        <f>SUM('Произв. прогр. Стоки (СВОД)'!N46)</f>
        <v>0</v>
      </c>
      <c r="AJ45" s="4737">
        <f>SUM('ПОЛНАЯ СЕБЕСТОИМОСТЬ СТОКИ 2018'!P156)</f>
        <v>0</v>
      </c>
      <c r="AK45" s="4747">
        <f>SUM(AK46:AK48)</f>
        <v>0</v>
      </c>
      <c r="AL45" s="4737">
        <f>SUM('Произв. прогр. Стоки (СВОД)'!O46)</f>
        <v>0</v>
      </c>
      <c r="AM45" s="4737">
        <f>SUM('ПОЛНАЯ СЕБЕСТОИМОСТЬ СТОКИ 2018'!Q156)</f>
        <v>0</v>
      </c>
      <c r="AN45" s="4747">
        <f>SUM(AN46:AN48)</f>
        <v>0</v>
      </c>
      <c r="AO45" s="4737">
        <f>SUM('Произв. прогр. Стоки (СВОД)'!P46)</f>
        <v>378.3660830974635</v>
      </c>
      <c r="AP45" s="4737">
        <f>SUM('ПОЛНАЯ СЕБЕСТОИМОСТЬ СТОКИ 2018'!R156)</f>
        <v>0</v>
      </c>
      <c r="AQ45" s="4747">
        <f>SUM(AQ46:AQ48)</f>
        <v>10.79</v>
      </c>
      <c r="AR45" s="4800">
        <f t="shared" si="164"/>
        <v>378.3660830974635</v>
      </c>
      <c r="AS45" s="4800">
        <f t="shared" si="164"/>
        <v>0</v>
      </c>
      <c r="AT45" s="4800">
        <f t="shared" si="164"/>
        <v>10.79</v>
      </c>
      <c r="AU45" s="4746">
        <f t="shared" si="146"/>
        <v>-378.3660830974635</v>
      </c>
      <c r="AV45" s="4746">
        <f t="shared" si="147"/>
        <v>-100</v>
      </c>
      <c r="AW45" s="4800">
        <f t="shared" si="165"/>
        <v>1135.0982492923904</v>
      </c>
      <c r="AX45" s="4800">
        <f t="shared" si="165"/>
        <v>21.639999999999997</v>
      </c>
      <c r="AY45" s="4800">
        <f t="shared" si="165"/>
        <v>32.36</v>
      </c>
      <c r="AZ45" s="4746">
        <f t="shared" si="150"/>
        <v>-1113.4582492923903</v>
      </c>
      <c r="BA45" s="4746">
        <f t="shared" si="151"/>
        <v>-98.093557098384181</v>
      </c>
      <c r="BB45" s="4737">
        <f>SUM('Произв. прогр. Стоки (СВОД)'!S46)</f>
        <v>0</v>
      </c>
      <c r="BC45" s="4737">
        <f>SUM('ПОЛНАЯ СЕБЕСТОИМОСТЬ СТОКИ 2018'!X156)</f>
        <v>0</v>
      </c>
      <c r="BD45" s="4747">
        <f>SUM(BD46:BD48)</f>
        <v>0</v>
      </c>
      <c r="BE45" s="4737">
        <f>SUM('Произв. прогр. Стоки (СВОД)'!T46)</f>
        <v>0</v>
      </c>
      <c r="BF45" s="4737">
        <f>SUM('ПОЛНАЯ СЕБЕСТОИМОСТЬ СТОКИ 2018'!Y156)</f>
        <v>0</v>
      </c>
      <c r="BG45" s="4747">
        <f>SUM(BG46:BG48)</f>
        <v>0</v>
      </c>
      <c r="BH45" s="4737">
        <f>SUM('Произв. прогр. Стоки (СВОД)'!U46)</f>
        <v>378.3660830974635</v>
      </c>
      <c r="BI45" s="4737">
        <f>SUM('ПОЛНАЯ СЕБЕСТОИМОСТЬ СТОКИ 2018'!Z156)</f>
        <v>0</v>
      </c>
      <c r="BJ45" s="4747">
        <f>SUM(BJ46:BJ48)</f>
        <v>12.16</v>
      </c>
      <c r="BK45" s="4800">
        <f t="shared" si="166"/>
        <v>378.3660830974635</v>
      </c>
      <c r="BL45" s="4800">
        <f t="shared" si="166"/>
        <v>0</v>
      </c>
      <c r="BM45" s="4800">
        <f t="shared" si="166"/>
        <v>12.16</v>
      </c>
      <c r="BN45" s="4746">
        <f t="shared" si="153"/>
        <v>-378.3660830974635</v>
      </c>
      <c r="BO45" s="4746">
        <f t="shared" si="154"/>
        <v>-100</v>
      </c>
      <c r="BP45" s="4800">
        <f t="shared" si="167"/>
        <v>1513.464332389854</v>
      </c>
      <c r="BQ45" s="4800">
        <f t="shared" si="167"/>
        <v>21.639999999999997</v>
      </c>
      <c r="BR45" s="4800">
        <f t="shared" si="167"/>
        <v>44.519999999999996</v>
      </c>
      <c r="BS45" s="4746">
        <f t="shared" si="157"/>
        <v>-1491.8243323898539</v>
      </c>
      <c r="BT45" s="4746">
        <f t="shared" si="158"/>
        <v>-98.57016782378814</v>
      </c>
    </row>
    <row r="46" spans="1:72" ht="37.5" customHeight="1">
      <c r="A46" s="4728" t="s">
        <v>1756</v>
      </c>
      <c r="B46" s="4732">
        <f>SUM('Произв. прогр. Стоки (СВОД)'!E47)</f>
        <v>0</v>
      </c>
      <c r="C46" s="4732">
        <f>SUM('ПОЛНАЯ СЕБЕСТОИМОСТЬ СТОКИ 2018'!C157)</f>
        <v>0</v>
      </c>
      <c r="D46" s="4685"/>
      <c r="E46" s="4732">
        <f>SUM('Произв. прогр. Стоки (СВОД)'!F47)</f>
        <v>0</v>
      </c>
      <c r="F46" s="4732">
        <f>SUM('ПОЛНАЯ СЕБЕСТОИМОСТЬ СТОКИ 2018'!D157)</f>
        <v>0</v>
      </c>
      <c r="G46" s="4685"/>
      <c r="H46" s="4732">
        <f>SUM('Произв. прогр. Стоки (СВОД)'!G47)</f>
        <v>38.183583097463476</v>
      </c>
      <c r="I46" s="4732">
        <f>SUM('ПОЛНАЯ СЕБЕСТОИМОСТЬ СТОКИ 2018'!E157)</f>
        <v>0.04</v>
      </c>
      <c r="J46" s="4685">
        <v>0</v>
      </c>
      <c r="K46" s="4733">
        <f t="shared" si="161"/>
        <v>38.183583097463476</v>
      </c>
      <c r="L46" s="4733">
        <f t="shared" si="161"/>
        <v>0.04</v>
      </c>
      <c r="M46" s="4733">
        <f t="shared" si="161"/>
        <v>0</v>
      </c>
      <c r="N46" s="4867">
        <f t="shared" si="136"/>
        <v>-38.143583097463477</v>
      </c>
      <c r="O46" s="4867">
        <f t="shared" si="137"/>
        <v>-99.895242937526589</v>
      </c>
      <c r="P46" s="4732">
        <f>SUM('Произв. прогр. Стоки (СВОД)'!I47)</f>
        <v>0</v>
      </c>
      <c r="Q46" s="4732">
        <f>SUM('ПОЛНАЯ СЕБЕСТОИМОСТЬ СТОКИ 2018'!H157)</f>
        <v>0</v>
      </c>
      <c r="R46" s="4685">
        <v>0</v>
      </c>
      <c r="S46" s="4732">
        <f>SUM('Произв. прогр. Стоки (СВОД)'!J47)</f>
        <v>0</v>
      </c>
      <c r="T46" s="4732">
        <f>SUM('ПОЛНАЯ СЕБЕСТОИМОСТЬ СТОКИ 2018'!I157)</f>
        <v>0</v>
      </c>
      <c r="U46" s="4685">
        <v>0</v>
      </c>
      <c r="V46" s="4732">
        <f>SUM('Произв. прогр. Стоки (СВОД)'!K47)</f>
        <v>38.183583097463476</v>
      </c>
      <c r="W46" s="4732">
        <f>SUM('ПОЛНАЯ СЕБЕСТОИМОСТЬ СТОКИ 2018'!J157)</f>
        <v>0.04</v>
      </c>
      <c r="X46" s="4685">
        <v>0.01</v>
      </c>
      <c r="Y46" s="4733">
        <f t="shared" si="162"/>
        <v>38.183583097463476</v>
      </c>
      <c r="Z46" s="4733">
        <f t="shared" si="162"/>
        <v>0.04</v>
      </c>
      <c r="AA46" s="4733">
        <f t="shared" si="162"/>
        <v>0.01</v>
      </c>
      <c r="AB46" s="4867">
        <f t="shared" si="139"/>
        <v>-38.143583097463477</v>
      </c>
      <c r="AC46" s="4867">
        <f t="shared" si="140"/>
        <v>-99.895242937526589</v>
      </c>
      <c r="AD46" s="4733">
        <f t="shared" si="163"/>
        <v>76.367166194926952</v>
      </c>
      <c r="AE46" s="4733">
        <f t="shared" si="163"/>
        <v>0.08</v>
      </c>
      <c r="AF46" s="4837">
        <f t="shared" si="163"/>
        <v>0.01</v>
      </c>
      <c r="AG46" s="4867">
        <f t="shared" si="143"/>
        <v>-76.287166194926954</v>
      </c>
      <c r="AH46" s="4867">
        <f t="shared" si="144"/>
        <v>-99.895242937526589</v>
      </c>
      <c r="AI46" s="4732">
        <f>SUM('Произв. прогр. Стоки (СВОД)'!N47)</f>
        <v>0</v>
      </c>
      <c r="AJ46" s="4732">
        <f>SUM('ПОЛНАЯ СЕБЕСТОИМОСТЬ СТОКИ 2018'!P157)</f>
        <v>0</v>
      </c>
      <c r="AK46" s="4685">
        <v>0</v>
      </c>
      <c r="AL46" s="4732">
        <f>SUM('Произв. прогр. Стоки (СВОД)'!O47)</f>
        <v>0</v>
      </c>
      <c r="AM46" s="4732">
        <f>SUM('ПОЛНАЯ СЕБЕСТОИМОСТЬ СТОКИ 2018'!Q157)</f>
        <v>0</v>
      </c>
      <c r="AN46" s="4685">
        <v>0</v>
      </c>
      <c r="AO46" s="4732">
        <f>SUM('Произв. прогр. Стоки (СВОД)'!P47)</f>
        <v>38.183583097463476</v>
      </c>
      <c r="AP46" s="4732">
        <f>SUM('ПОЛНАЯ СЕБЕСТОИМОСТЬ СТОКИ 2018'!R157)</f>
        <v>0</v>
      </c>
      <c r="AQ46" s="4685">
        <v>0.01</v>
      </c>
      <c r="AR46" s="4733">
        <f t="shared" si="164"/>
        <v>38.183583097463476</v>
      </c>
      <c r="AS46" s="4733">
        <f t="shared" si="164"/>
        <v>0</v>
      </c>
      <c r="AT46" s="4733">
        <f t="shared" si="164"/>
        <v>0.01</v>
      </c>
      <c r="AU46" s="4867">
        <f t="shared" si="146"/>
        <v>-38.183583097463476</v>
      </c>
      <c r="AV46" s="4867">
        <f t="shared" si="147"/>
        <v>-100</v>
      </c>
      <c r="AW46" s="4733">
        <f t="shared" si="165"/>
        <v>114.55074929239044</v>
      </c>
      <c r="AX46" s="4733">
        <f t="shared" si="165"/>
        <v>0.08</v>
      </c>
      <c r="AY46" s="4733">
        <f t="shared" si="165"/>
        <v>0.02</v>
      </c>
      <c r="AZ46" s="4867">
        <f t="shared" si="150"/>
        <v>-114.47074929239044</v>
      </c>
      <c r="BA46" s="4867">
        <f t="shared" si="151"/>
        <v>-99.930161958351064</v>
      </c>
      <c r="BB46" s="4732">
        <f>SUM('Произв. прогр. Стоки (СВОД)'!S47)</f>
        <v>0</v>
      </c>
      <c r="BC46" s="4732">
        <f>SUM('ПОЛНАЯ СЕБЕСТОИМОСТЬ СТОКИ 2018'!X157)</f>
        <v>0</v>
      </c>
      <c r="BD46" s="4685">
        <v>0</v>
      </c>
      <c r="BE46" s="4732">
        <f>SUM('Произв. прогр. Стоки (СВОД)'!T47)</f>
        <v>0</v>
      </c>
      <c r="BF46" s="4732">
        <f>SUM('ПОЛНАЯ СЕБЕСТОИМОСТЬ СТОКИ 2018'!Y157)</f>
        <v>0</v>
      </c>
      <c r="BG46" s="4685">
        <v>0</v>
      </c>
      <c r="BH46" s="4732">
        <f>SUM('Произв. прогр. Стоки (СВОД)'!U47)</f>
        <v>38.183583097463476</v>
      </c>
      <c r="BI46" s="4732">
        <f>SUM('ПОЛНАЯ СЕБЕСТОИМОСТЬ СТОКИ 2018'!Z157)</f>
        <v>0</v>
      </c>
      <c r="BJ46" s="4685">
        <v>1.38</v>
      </c>
      <c r="BK46" s="4733">
        <f t="shared" si="166"/>
        <v>38.183583097463476</v>
      </c>
      <c r="BL46" s="4733">
        <f t="shared" si="166"/>
        <v>0</v>
      </c>
      <c r="BM46" s="4733">
        <f t="shared" si="166"/>
        <v>1.38</v>
      </c>
      <c r="BN46" s="4867">
        <f t="shared" si="153"/>
        <v>-38.183583097463476</v>
      </c>
      <c r="BO46" s="4867">
        <f t="shared" si="154"/>
        <v>-100</v>
      </c>
      <c r="BP46" s="4733">
        <f t="shared" si="167"/>
        <v>152.7343323898539</v>
      </c>
      <c r="BQ46" s="4733">
        <f t="shared" si="167"/>
        <v>0.08</v>
      </c>
      <c r="BR46" s="4733">
        <f t="shared" si="167"/>
        <v>1.4</v>
      </c>
      <c r="BS46" s="4867">
        <f t="shared" si="157"/>
        <v>-152.65433238985389</v>
      </c>
      <c r="BT46" s="4867">
        <f t="shared" si="158"/>
        <v>-99.947621468763288</v>
      </c>
    </row>
    <row r="47" spans="1:72" ht="18.75" customHeight="1">
      <c r="A47" s="4728" t="s">
        <v>542</v>
      </c>
      <c r="B47" s="4752">
        <f>SUM('Произв. прогр. Стоки (СВОД)'!E48)</f>
        <v>0</v>
      </c>
      <c r="C47" s="4752">
        <f>SUM('ПОЛНАЯ СЕБЕСТОИМОСТЬ СТОКИ 2018'!C158)</f>
        <v>0</v>
      </c>
      <c r="D47" s="4751"/>
      <c r="E47" s="4752">
        <f>SUM('Произв. прогр. Стоки (СВОД)'!F48)</f>
        <v>0</v>
      </c>
      <c r="F47" s="4752">
        <f>SUM('ПОЛНАЯ СЕБЕСТОИМОСТЬ СТОКИ 2018'!D158)</f>
        <v>0</v>
      </c>
      <c r="G47" s="4751"/>
      <c r="H47" s="4752">
        <f>SUM('Произв. прогр. Стоки (СВОД)'!G48)</f>
        <v>7.4749999999999996</v>
      </c>
      <c r="I47" s="4752">
        <f>SUM('ПОЛНАЯ СЕБЕСТОИМОСТЬ СТОКИ 2018'!E158)</f>
        <v>10.78</v>
      </c>
      <c r="J47" s="4751">
        <v>10.78</v>
      </c>
      <c r="K47" s="4799">
        <f t="shared" si="161"/>
        <v>7.4749999999999996</v>
      </c>
      <c r="L47" s="4799">
        <f t="shared" si="161"/>
        <v>10.78</v>
      </c>
      <c r="M47" s="4799">
        <f t="shared" si="161"/>
        <v>10.78</v>
      </c>
      <c r="N47" s="4742">
        <f t="shared" si="136"/>
        <v>3.3049999999999997</v>
      </c>
      <c r="O47" s="4742">
        <f t="shared" si="137"/>
        <v>44.214046822742475</v>
      </c>
      <c r="P47" s="4752">
        <f>SUM('Произв. прогр. Стоки (СВОД)'!I48)</f>
        <v>0</v>
      </c>
      <c r="Q47" s="4752">
        <f>SUM('ПОЛНАЯ СЕБЕСТОИМОСТЬ СТОКИ 2018'!H158)</f>
        <v>0</v>
      </c>
      <c r="R47" s="4751">
        <v>0</v>
      </c>
      <c r="S47" s="4752">
        <f>SUM('Произв. прогр. Стоки (СВОД)'!J48)</f>
        <v>0</v>
      </c>
      <c r="T47" s="4752">
        <f>SUM('ПОЛНАЯ СЕБЕСТОИМОСТЬ СТОКИ 2018'!I158)</f>
        <v>0</v>
      </c>
      <c r="U47" s="4751">
        <v>0</v>
      </c>
      <c r="V47" s="4752">
        <f>SUM('Произв. прогр. Стоки (СВОД)'!K48)</f>
        <v>7.4749999999999996</v>
      </c>
      <c r="W47" s="4752">
        <f>SUM('ПОЛНАЯ СЕБЕСТОИМОСТЬ СТОКИ 2018'!J158)</f>
        <v>10.78</v>
      </c>
      <c r="X47" s="4751">
        <v>10.78</v>
      </c>
      <c r="Y47" s="4799">
        <f t="shared" si="162"/>
        <v>7.4749999999999996</v>
      </c>
      <c r="Z47" s="4799">
        <f t="shared" si="162"/>
        <v>10.78</v>
      </c>
      <c r="AA47" s="4799">
        <f t="shared" si="162"/>
        <v>10.78</v>
      </c>
      <c r="AB47" s="4742">
        <f t="shared" si="139"/>
        <v>3.3049999999999997</v>
      </c>
      <c r="AC47" s="4742">
        <f t="shared" si="140"/>
        <v>44.214046822742475</v>
      </c>
      <c r="AD47" s="4799">
        <f t="shared" si="163"/>
        <v>14.95</v>
      </c>
      <c r="AE47" s="4799">
        <f t="shared" si="163"/>
        <v>21.56</v>
      </c>
      <c r="AF47" s="4833">
        <f t="shared" si="163"/>
        <v>21.56</v>
      </c>
      <c r="AG47" s="4742">
        <f t="shared" si="143"/>
        <v>6.6099999999999994</v>
      </c>
      <c r="AH47" s="4742">
        <f t="shared" si="144"/>
        <v>44.214046822742475</v>
      </c>
      <c r="AI47" s="4752">
        <f>SUM('Произв. прогр. Стоки (СВОД)'!N48)</f>
        <v>0</v>
      </c>
      <c r="AJ47" s="4752">
        <f>SUM('ПОЛНАЯ СЕБЕСТОИМОСТЬ СТОКИ 2018'!P158)</f>
        <v>0</v>
      </c>
      <c r="AK47" s="4751">
        <v>0</v>
      </c>
      <c r="AL47" s="4752">
        <f>SUM('Произв. прогр. Стоки (СВОД)'!O48)</f>
        <v>0</v>
      </c>
      <c r="AM47" s="4752">
        <f>SUM('ПОЛНАЯ СЕБЕСТОИМОСТЬ СТОКИ 2018'!Q158)</f>
        <v>0</v>
      </c>
      <c r="AN47" s="4751">
        <v>0</v>
      </c>
      <c r="AO47" s="4752">
        <f>SUM('Произв. прогр. Стоки (СВОД)'!P48)</f>
        <v>7.4749999999999996</v>
      </c>
      <c r="AP47" s="4752">
        <f>SUM('ПОЛНАЯ СЕБЕСТОИМОСТЬ СТОКИ 2018'!R158)</f>
        <v>0</v>
      </c>
      <c r="AQ47" s="4751">
        <v>10.78</v>
      </c>
      <c r="AR47" s="4799">
        <f t="shared" si="164"/>
        <v>7.4749999999999996</v>
      </c>
      <c r="AS47" s="4799">
        <f t="shared" si="164"/>
        <v>0</v>
      </c>
      <c r="AT47" s="4799">
        <f t="shared" si="164"/>
        <v>10.78</v>
      </c>
      <c r="AU47" s="4742">
        <f t="shared" si="146"/>
        <v>-7.4749999999999996</v>
      </c>
      <c r="AV47" s="4742">
        <f t="shared" si="147"/>
        <v>-100</v>
      </c>
      <c r="AW47" s="4799">
        <f t="shared" si="165"/>
        <v>22.424999999999997</v>
      </c>
      <c r="AX47" s="4799">
        <f t="shared" si="165"/>
        <v>21.56</v>
      </c>
      <c r="AY47" s="4799">
        <f t="shared" si="165"/>
        <v>32.339999999999996</v>
      </c>
      <c r="AZ47" s="4742">
        <f t="shared" si="150"/>
        <v>-0.86499999999999844</v>
      </c>
      <c r="BA47" s="4742">
        <f t="shared" si="151"/>
        <v>-3.8573021181716767</v>
      </c>
      <c r="BB47" s="4752">
        <f>SUM('Произв. прогр. Стоки (СВОД)'!S48)</f>
        <v>0</v>
      </c>
      <c r="BC47" s="4752">
        <f>SUM('ПОЛНАЯ СЕБЕСТОИМОСТЬ СТОКИ 2018'!X158)</f>
        <v>0</v>
      </c>
      <c r="BD47" s="4751">
        <v>0</v>
      </c>
      <c r="BE47" s="4752">
        <f>SUM('Произв. прогр. Стоки (СВОД)'!T48)</f>
        <v>0</v>
      </c>
      <c r="BF47" s="4752">
        <f>SUM('ПОЛНАЯ СЕБЕСТОИМОСТЬ СТОКИ 2018'!Y158)</f>
        <v>0</v>
      </c>
      <c r="BG47" s="4751">
        <v>0</v>
      </c>
      <c r="BH47" s="4752">
        <f>SUM('Произв. прогр. Стоки (СВОД)'!U48)</f>
        <v>7.4749999999999996</v>
      </c>
      <c r="BI47" s="4752">
        <f>SUM('ПОЛНАЯ СЕБЕСТОИМОСТЬ СТОКИ 2018'!Z158)</f>
        <v>0</v>
      </c>
      <c r="BJ47" s="4751">
        <v>10.78</v>
      </c>
      <c r="BK47" s="4799">
        <f t="shared" si="166"/>
        <v>7.4749999999999996</v>
      </c>
      <c r="BL47" s="4799">
        <f t="shared" si="166"/>
        <v>0</v>
      </c>
      <c r="BM47" s="4799">
        <f t="shared" si="166"/>
        <v>10.78</v>
      </c>
      <c r="BN47" s="4742">
        <f t="shared" si="153"/>
        <v>-7.4749999999999996</v>
      </c>
      <c r="BO47" s="4742">
        <f t="shared" si="154"/>
        <v>-100</v>
      </c>
      <c r="BP47" s="4799">
        <f t="shared" si="167"/>
        <v>29.9</v>
      </c>
      <c r="BQ47" s="4799">
        <f t="shared" si="167"/>
        <v>21.56</v>
      </c>
      <c r="BR47" s="4799">
        <f t="shared" si="167"/>
        <v>43.12</v>
      </c>
      <c r="BS47" s="4742">
        <f t="shared" si="157"/>
        <v>-8.34</v>
      </c>
      <c r="BT47" s="4742">
        <f t="shared" si="158"/>
        <v>-27.892976588628766</v>
      </c>
    </row>
    <row r="48" spans="1:72" ht="18.75" customHeight="1">
      <c r="A48" s="4728" t="s">
        <v>544</v>
      </c>
      <c r="B48" s="4752">
        <f>SUM('Произв. прогр. Стоки (СВОД)'!E49)</f>
        <v>0</v>
      </c>
      <c r="C48" s="4752">
        <f>SUM('ПОЛНАЯ СЕБЕСТОИМОСТЬ СТОКИ 2018'!C159)</f>
        <v>0</v>
      </c>
      <c r="D48" s="4751"/>
      <c r="E48" s="4752">
        <f>SUM('Произв. прогр. Стоки (СВОД)'!F49)</f>
        <v>0</v>
      </c>
      <c r="F48" s="4752">
        <f>SUM('ПОЛНАЯ СЕБЕСТОИМОСТЬ СТОКИ 2018'!D159)</f>
        <v>0</v>
      </c>
      <c r="G48" s="4751"/>
      <c r="H48" s="4752">
        <f>SUM('Произв. прогр. Стоки (СВОД)'!G49)</f>
        <v>332.70750000000004</v>
      </c>
      <c r="I48" s="4752">
        <f>SUM('ПОЛНАЯ СЕБЕСТОИМОСТЬ СТОКИ 2018'!E159)</f>
        <v>0</v>
      </c>
      <c r="J48" s="4751">
        <v>0</v>
      </c>
      <c r="K48" s="4799">
        <f t="shared" si="161"/>
        <v>332.70750000000004</v>
      </c>
      <c r="L48" s="4799">
        <f t="shared" si="161"/>
        <v>0</v>
      </c>
      <c r="M48" s="4799">
        <f t="shared" si="161"/>
        <v>0</v>
      </c>
      <c r="N48" s="4742">
        <f t="shared" si="136"/>
        <v>-332.70750000000004</v>
      </c>
      <c r="O48" s="4742">
        <f t="shared" si="137"/>
        <v>-100</v>
      </c>
      <c r="P48" s="4752">
        <f>SUM('Произв. прогр. Стоки (СВОД)'!I49)</f>
        <v>0</v>
      </c>
      <c r="Q48" s="4752">
        <f>SUM('ПОЛНАЯ СЕБЕСТОИМОСТЬ СТОКИ 2018'!H159)</f>
        <v>0</v>
      </c>
      <c r="R48" s="4751">
        <v>0</v>
      </c>
      <c r="S48" s="4752">
        <f>SUM('Произв. прогр. Стоки (СВОД)'!J49)</f>
        <v>0</v>
      </c>
      <c r="T48" s="4752">
        <f>SUM('ПОЛНАЯ СЕБЕСТОИМОСТЬ СТОКИ 2018'!I159)</f>
        <v>0</v>
      </c>
      <c r="U48" s="4751">
        <v>0</v>
      </c>
      <c r="V48" s="4752">
        <f>SUM('Произв. прогр. Стоки (СВОД)'!K49)</f>
        <v>332.70750000000004</v>
      </c>
      <c r="W48" s="4752">
        <f>SUM('ПОЛНАЯ СЕБЕСТОИМОСТЬ СТОКИ 2018'!J159)</f>
        <v>0</v>
      </c>
      <c r="X48" s="4751">
        <v>0</v>
      </c>
      <c r="Y48" s="4799">
        <f t="shared" si="162"/>
        <v>332.70750000000004</v>
      </c>
      <c r="Z48" s="4799">
        <f t="shared" si="162"/>
        <v>0</v>
      </c>
      <c r="AA48" s="4799">
        <f t="shared" si="162"/>
        <v>0</v>
      </c>
      <c r="AB48" s="4742">
        <f t="shared" si="139"/>
        <v>-332.70750000000004</v>
      </c>
      <c r="AC48" s="4742">
        <f t="shared" si="140"/>
        <v>-100</v>
      </c>
      <c r="AD48" s="4799">
        <f t="shared" si="163"/>
        <v>665.41500000000008</v>
      </c>
      <c r="AE48" s="4799">
        <f t="shared" si="163"/>
        <v>0</v>
      </c>
      <c r="AF48" s="4833">
        <f t="shared" si="163"/>
        <v>0</v>
      </c>
      <c r="AG48" s="4742">
        <f t="shared" si="143"/>
        <v>-665.41500000000008</v>
      </c>
      <c r="AH48" s="4742">
        <f t="shared" si="144"/>
        <v>-100</v>
      </c>
      <c r="AI48" s="4752">
        <f>SUM('Произв. прогр. Стоки (СВОД)'!N49)</f>
        <v>0</v>
      </c>
      <c r="AJ48" s="4752">
        <f>SUM('ПОЛНАЯ СЕБЕСТОИМОСТЬ СТОКИ 2018'!P159)</f>
        <v>0</v>
      </c>
      <c r="AK48" s="4751">
        <v>0</v>
      </c>
      <c r="AL48" s="4752">
        <f>SUM('Произв. прогр. Стоки (СВОД)'!O49)</f>
        <v>0</v>
      </c>
      <c r="AM48" s="4752">
        <f>SUM('ПОЛНАЯ СЕБЕСТОИМОСТЬ СТОКИ 2018'!Q159)</f>
        <v>0</v>
      </c>
      <c r="AN48" s="4751">
        <v>0</v>
      </c>
      <c r="AO48" s="4752">
        <f>SUM('Произв. прогр. Стоки (СВОД)'!P49)</f>
        <v>332.70750000000004</v>
      </c>
      <c r="AP48" s="4752">
        <f>SUM('ПОЛНАЯ СЕБЕСТОИМОСТЬ СТОКИ 2018'!R159)</f>
        <v>0</v>
      </c>
      <c r="AQ48" s="4751">
        <v>0</v>
      </c>
      <c r="AR48" s="4799">
        <f t="shared" si="164"/>
        <v>332.70750000000004</v>
      </c>
      <c r="AS48" s="4799">
        <f t="shared" si="164"/>
        <v>0</v>
      </c>
      <c r="AT48" s="4799">
        <f t="shared" si="164"/>
        <v>0</v>
      </c>
      <c r="AU48" s="4742">
        <f t="shared" si="146"/>
        <v>-332.70750000000004</v>
      </c>
      <c r="AV48" s="4742">
        <f t="shared" si="147"/>
        <v>-100</v>
      </c>
      <c r="AW48" s="4799">
        <f t="shared" si="165"/>
        <v>998.12250000000017</v>
      </c>
      <c r="AX48" s="4799">
        <f t="shared" si="165"/>
        <v>0</v>
      </c>
      <c r="AY48" s="4799">
        <f t="shared" si="165"/>
        <v>0</v>
      </c>
      <c r="AZ48" s="4742">
        <f t="shared" si="150"/>
        <v>-998.12250000000017</v>
      </c>
      <c r="BA48" s="4742">
        <f t="shared" si="151"/>
        <v>-100</v>
      </c>
      <c r="BB48" s="4752">
        <f>SUM('Произв. прогр. Стоки (СВОД)'!S49)</f>
        <v>0</v>
      </c>
      <c r="BC48" s="4752">
        <f>SUM('ПОЛНАЯ СЕБЕСТОИМОСТЬ СТОКИ 2018'!X159)</f>
        <v>0</v>
      </c>
      <c r="BD48" s="4751">
        <v>0</v>
      </c>
      <c r="BE48" s="4752">
        <f>SUM('Произв. прогр. Стоки (СВОД)'!T49)</f>
        <v>0</v>
      </c>
      <c r="BF48" s="4752">
        <f>SUM('ПОЛНАЯ СЕБЕСТОИМОСТЬ СТОКИ 2018'!Y159)</f>
        <v>0</v>
      </c>
      <c r="BG48" s="4751">
        <v>0</v>
      </c>
      <c r="BH48" s="4752">
        <f>SUM('Произв. прогр. Стоки (СВОД)'!U49)</f>
        <v>332.70750000000004</v>
      </c>
      <c r="BI48" s="4752">
        <f>SUM('ПОЛНАЯ СЕБЕСТОИМОСТЬ СТОКИ 2018'!Z159)</f>
        <v>0</v>
      </c>
      <c r="BJ48" s="4751">
        <v>0</v>
      </c>
      <c r="BK48" s="4799">
        <f t="shared" si="166"/>
        <v>332.70750000000004</v>
      </c>
      <c r="BL48" s="4799">
        <f t="shared" si="166"/>
        <v>0</v>
      </c>
      <c r="BM48" s="4799">
        <f t="shared" si="166"/>
        <v>0</v>
      </c>
      <c r="BN48" s="4742">
        <f t="shared" si="153"/>
        <v>-332.70750000000004</v>
      </c>
      <c r="BO48" s="4742">
        <f t="shared" si="154"/>
        <v>-100</v>
      </c>
      <c r="BP48" s="4799">
        <f t="shared" si="167"/>
        <v>1330.8300000000002</v>
      </c>
      <c r="BQ48" s="4799">
        <f t="shared" si="167"/>
        <v>0</v>
      </c>
      <c r="BR48" s="4799">
        <f t="shared" si="167"/>
        <v>0</v>
      </c>
      <c r="BS48" s="4742">
        <f t="shared" si="157"/>
        <v>-1330.8300000000002</v>
      </c>
      <c r="BT48" s="4742">
        <f t="shared" si="158"/>
        <v>-100</v>
      </c>
    </row>
    <row r="49" spans="1:72" ht="18.75" customHeight="1">
      <c r="A49" s="4790" t="s">
        <v>1748</v>
      </c>
      <c r="B49" s="4737">
        <f>SUM('Произв. прогр. Стоки (СВОД)'!E50)</f>
        <v>1245.2921557650441</v>
      </c>
      <c r="C49" s="4737">
        <f>SUM('ПОЛНАЯ СЕБЕСТОИМОСТЬ СТОКИ 2018'!C160)</f>
        <v>851.24</v>
      </c>
      <c r="D49" s="4747">
        <f>SUM(D50:D55)</f>
        <v>816.62999999999988</v>
      </c>
      <c r="E49" s="4737">
        <f>SUM('Произв. прогр. Стоки (СВОД)'!F50)</f>
        <v>1245.2921557650441</v>
      </c>
      <c r="F49" s="4737">
        <f>SUM('ПОЛНАЯ СЕБЕСТОИМОСТЬ СТОКИ 2018'!D160)</f>
        <v>777.77</v>
      </c>
      <c r="G49" s="4747">
        <f>SUM(G50:G55)</f>
        <v>784.6400000000001</v>
      </c>
      <c r="H49" s="4737">
        <f>SUM('Произв. прогр. Стоки (СВОД)'!G50)</f>
        <v>1245.2921557650441</v>
      </c>
      <c r="I49" s="4737">
        <f>SUM('ПОЛНАЯ СЕБЕСТОИМОСТЬ СТОКИ 2018'!E160)</f>
        <v>1131.07</v>
      </c>
      <c r="J49" s="4747">
        <f>SUM(J50:J55)</f>
        <v>816.0200000000001</v>
      </c>
      <c r="K49" s="4800">
        <f t="shared" si="161"/>
        <v>3735.876467295132</v>
      </c>
      <c r="L49" s="4800">
        <f t="shared" si="161"/>
        <v>2760.08</v>
      </c>
      <c r="M49" s="4800">
        <f t="shared" si="161"/>
        <v>2417.29</v>
      </c>
      <c r="N49" s="4746">
        <f t="shared" si="136"/>
        <v>-975.79646729513206</v>
      </c>
      <c r="O49" s="4746">
        <f t="shared" si="137"/>
        <v>-26.119612782636604</v>
      </c>
      <c r="P49" s="4737">
        <f>SUM('Произв. прогр. Стоки (СВОД)'!I50)</f>
        <v>1245.2921557650441</v>
      </c>
      <c r="Q49" s="4737">
        <f>SUM('ПОЛНАЯ СЕБЕСТОИМОСТЬ СТОКИ 2018'!H160)</f>
        <v>833.22</v>
      </c>
      <c r="R49" s="4747">
        <f>SUM(R50:R55)</f>
        <v>750.71</v>
      </c>
      <c r="S49" s="4737">
        <f>SUM('Произв. прогр. Стоки (СВОД)'!J50)</f>
        <v>1245.2921557650441</v>
      </c>
      <c r="T49" s="4737">
        <f>SUM('ПОЛНАЯ СЕБЕСТОИМОСТЬ СТОКИ 2018'!I160)</f>
        <v>678</v>
      </c>
      <c r="U49" s="4747">
        <f>SUM(U50:U55)</f>
        <v>762.30000000000007</v>
      </c>
      <c r="V49" s="4737">
        <f>SUM('Произв. прогр. Стоки (СВОД)'!K50)</f>
        <v>1245.2921557650441</v>
      </c>
      <c r="W49" s="4737">
        <f>SUM('ПОЛНАЯ СЕБЕСТОИМОСТЬ СТОКИ 2018'!J160)</f>
        <v>880.43000000000006</v>
      </c>
      <c r="X49" s="4747">
        <f>SUM(X50:X55)</f>
        <v>888.58</v>
      </c>
      <c r="Y49" s="4800">
        <f t="shared" si="162"/>
        <v>3735.876467295132</v>
      </c>
      <c r="Z49" s="4800">
        <f t="shared" si="162"/>
        <v>2391.65</v>
      </c>
      <c r="AA49" s="4800">
        <f t="shared" si="162"/>
        <v>2401.59</v>
      </c>
      <c r="AB49" s="4746">
        <f t="shared" si="139"/>
        <v>-1344.2264672951319</v>
      </c>
      <c r="AC49" s="4746">
        <f t="shared" si="140"/>
        <v>-35.981555575053193</v>
      </c>
      <c r="AD49" s="4800">
        <f t="shared" si="163"/>
        <v>7471.752934590264</v>
      </c>
      <c r="AE49" s="4800">
        <f t="shared" si="163"/>
        <v>5151.7299999999996</v>
      </c>
      <c r="AF49" s="4831">
        <f t="shared" si="163"/>
        <v>4818.88</v>
      </c>
      <c r="AG49" s="4746">
        <f t="shared" si="143"/>
        <v>-2320.0229345902644</v>
      </c>
      <c r="AH49" s="4746">
        <f t="shared" si="144"/>
        <v>-31.050584178844904</v>
      </c>
      <c r="AI49" s="4737">
        <f>SUM('Произв. прогр. Стоки (СВОД)'!N50)</f>
        <v>1290.4038965712111</v>
      </c>
      <c r="AJ49" s="4737">
        <f>SUM('ПОЛНАЯ СЕБЕСТОИМОСТЬ СТОКИ 2018'!P160)</f>
        <v>0</v>
      </c>
      <c r="AK49" s="4747">
        <f>SUM(AK50:AK55)</f>
        <v>784.13</v>
      </c>
      <c r="AL49" s="4737">
        <f>SUM('Произв. прогр. Стоки (СВОД)'!O50)</f>
        <v>1290.4038965712111</v>
      </c>
      <c r="AM49" s="4737">
        <f>SUM('ПОЛНАЯ СЕБЕСТОИМОСТЬ СТОКИ 2018'!Q160)</f>
        <v>0</v>
      </c>
      <c r="AN49" s="4747">
        <f>SUM(AN50:AN55)</f>
        <v>937.63</v>
      </c>
      <c r="AO49" s="4737">
        <f>SUM('Произв. прогр. Стоки (СВОД)'!P50)</f>
        <v>1290.4038965712111</v>
      </c>
      <c r="AP49" s="4737">
        <f>SUM('ПОЛНАЯ СЕБЕСТОИМОСТЬ СТОКИ 2018'!R160)</f>
        <v>0</v>
      </c>
      <c r="AQ49" s="4747">
        <f>SUM(AQ50:AQ55)</f>
        <v>842.19</v>
      </c>
      <c r="AR49" s="4800">
        <f t="shared" si="164"/>
        <v>3871.2116897136334</v>
      </c>
      <c r="AS49" s="4800">
        <f t="shared" si="164"/>
        <v>0</v>
      </c>
      <c r="AT49" s="4800">
        <f t="shared" si="164"/>
        <v>2563.9499999999998</v>
      </c>
      <c r="AU49" s="4746">
        <f t="shared" si="146"/>
        <v>-3871.2116897136334</v>
      </c>
      <c r="AV49" s="4746">
        <f t="shared" si="147"/>
        <v>-100</v>
      </c>
      <c r="AW49" s="4800">
        <f t="shared" si="165"/>
        <v>11342.964624303897</v>
      </c>
      <c r="AX49" s="4800">
        <f t="shared" si="165"/>
        <v>5151.7299999999996</v>
      </c>
      <c r="AY49" s="4800">
        <f t="shared" si="165"/>
        <v>7382.83</v>
      </c>
      <c r="AZ49" s="4746">
        <f t="shared" si="150"/>
        <v>-6191.2346243038974</v>
      </c>
      <c r="BA49" s="4746">
        <f t="shared" si="151"/>
        <v>-54.582155806413311</v>
      </c>
      <c r="BB49" s="4737">
        <f>SUM('Произв. прогр. Стоки (СВОД)'!S50)</f>
        <v>1290.4038965712111</v>
      </c>
      <c r="BC49" s="4737">
        <f>SUM('ПОЛНАЯ СЕБЕСТОИМОСТЬ СТОКИ 2018'!X160)</f>
        <v>0</v>
      </c>
      <c r="BD49" s="4747">
        <f>SUM(BD50:BD55)</f>
        <v>758.18</v>
      </c>
      <c r="BE49" s="4737">
        <f>SUM('Произв. прогр. Стоки (СВОД)'!T50)</f>
        <v>1290.4038965712111</v>
      </c>
      <c r="BF49" s="4737">
        <f>SUM('ПОЛНАЯ СЕБЕСТОИМОСТЬ СТОКИ 2018'!Y160)</f>
        <v>0</v>
      </c>
      <c r="BG49" s="4747">
        <f>SUM(BG50:BG55)</f>
        <v>855.33999999999992</v>
      </c>
      <c r="BH49" s="4737">
        <f>SUM('Произв. прогр. Стоки (СВОД)'!U50)</f>
        <v>1290.4038965712111</v>
      </c>
      <c r="BI49" s="4737">
        <f>SUM('ПОЛНАЯ СЕБЕСТОИМОСТЬ СТОКИ 2018'!Z160)</f>
        <v>0</v>
      </c>
      <c r="BJ49" s="4747">
        <f>SUM(BJ50:BJ55)</f>
        <v>774.04</v>
      </c>
      <c r="BK49" s="4800">
        <f t="shared" si="166"/>
        <v>3871.2116897136334</v>
      </c>
      <c r="BL49" s="4800">
        <f t="shared" si="166"/>
        <v>0</v>
      </c>
      <c r="BM49" s="4800">
        <f t="shared" si="166"/>
        <v>2387.56</v>
      </c>
      <c r="BN49" s="4746">
        <f t="shared" si="153"/>
        <v>-3871.2116897136334</v>
      </c>
      <c r="BO49" s="4746">
        <f t="shared" si="154"/>
        <v>-100</v>
      </c>
      <c r="BP49" s="4800">
        <f t="shared" si="167"/>
        <v>15214.17631401753</v>
      </c>
      <c r="BQ49" s="4800">
        <f t="shared" si="167"/>
        <v>5151.7299999999996</v>
      </c>
      <c r="BR49" s="4800">
        <f t="shared" si="167"/>
        <v>9770.39</v>
      </c>
      <c r="BS49" s="4746">
        <f t="shared" si="157"/>
        <v>-10062.44631401753</v>
      </c>
      <c r="BT49" s="4746">
        <f t="shared" si="158"/>
        <v>-66.138620365182234</v>
      </c>
    </row>
    <row r="50" spans="1:72" ht="18.75" customHeight="1">
      <c r="A50" s="4700" t="s">
        <v>1727</v>
      </c>
      <c r="B50" s="4752">
        <f>SUM('Произв. прогр. Стоки (СВОД)'!E51)</f>
        <v>881.20637777472723</v>
      </c>
      <c r="C50" s="4752">
        <f>SUM('ПОЛНАЯ СЕБЕСТОИМОСТЬ СТОКИ 2018'!C161)</f>
        <v>529.22</v>
      </c>
      <c r="D50" s="4751">
        <v>549.51</v>
      </c>
      <c r="E50" s="4752">
        <f>SUM('Произв. прогр. Стоки (СВОД)'!F51)</f>
        <v>881.20637777472723</v>
      </c>
      <c r="F50" s="4752">
        <f>SUM('ПОЛНАЯ СЕБЕСТОИМОСТЬ СТОКИ 2018'!D161)</f>
        <v>521.41999999999996</v>
      </c>
      <c r="G50" s="4751">
        <v>528.70000000000005</v>
      </c>
      <c r="H50" s="4752">
        <f>SUM('Произв. прогр. Стоки (СВОД)'!G51)</f>
        <v>881.20637777472723</v>
      </c>
      <c r="I50" s="4752">
        <f>SUM('ПОЛНАЯ СЕБЕСТОИМОСТЬ СТОКИ 2018'!E161)</f>
        <v>570.45000000000005</v>
      </c>
      <c r="J50" s="4751">
        <v>542.70000000000005</v>
      </c>
      <c r="K50" s="4799">
        <f t="shared" si="161"/>
        <v>2643.6191333241818</v>
      </c>
      <c r="L50" s="4799">
        <f t="shared" si="161"/>
        <v>1621.09</v>
      </c>
      <c r="M50" s="4799">
        <f t="shared" si="161"/>
        <v>1620.91</v>
      </c>
      <c r="N50" s="4742">
        <f t="shared" si="136"/>
        <v>-1022.5291333241819</v>
      </c>
      <c r="O50" s="4742">
        <f t="shared" si="137"/>
        <v>-38.679139533931917</v>
      </c>
      <c r="P50" s="4752">
        <f>SUM('Произв. прогр. Стоки (СВОД)'!I51)</f>
        <v>881.20637777472723</v>
      </c>
      <c r="Q50" s="4752">
        <f>SUM('ПОЛНАЯ СЕБЕСТОИМОСТЬ СТОКИ 2018'!H161)</f>
        <v>517.36</v>
      </c>
      <c r="R50" s="4751">
        <v>487.54</v>
      </c>
      <c r="S50" s="4752">
        <f>SUM('Произв. прогр. Стоки (СВОД)'!J51)</f>
        <v>881.20637777472723</v>
      </c>
      <c r="T50" s="4752">
        <f>SUM('ПОЛНАЯ СЕБЕСТОИМОСТЬ СТОКИ 2018'!I161)</f>
        <v>454.78</v>
      </c>
      <c r="U50" s="4751">
        <v>528.74</v>
      </c>
      <c r="V50" s="4752">
        <f>SUM('Произв. прогр. Стоки (СВОД)'!K51)</f>
        <v>881.20637777472723</v>
      </c>
      <c r="W50" s="4752">
        <f>SUM('ПОЛНАЯ СЕБЕСТОИМОСТЬ СТОКИ 2018'!J161)</f>
        <v>605.72</v>
      </c>
      <c r="X50" s="4751">
        <v>605.82000000000005</v>
      </c>
      <c r="Y50" s="4799">
        <f t="shared" si="162"/>
        <v>2643.6191333241818</v>
      </c>
      <c r="Z50" s="4799">
        <f t="shared" si="162"/>
        <v>1577.8600000000001</v>
      </c>
      <c r="AA50" s="4799">
        <f t="shared" si="162"/>
        <v>1622.1</v>
      </c>
      <c r="AB50" s="4742">
        <f t="shared" si="139"/>
        <v>-1065.7591333241817</v>
      </c>
      <c r="AC50" s="4742">
        <f t="shared" si="140"/>
        <v>-40.314397784829836</v>
      </c>
      <c r="AD50" s="4799">
        <f t="shared" si="163"/>
        <v>5287.2382666483636</v>
      </c>
      <c r="AE50" s="4799">
        <f t="shared" si="163"/>
        <v>3198.95</v>
      </c>
      <c r="AF50" s="4833">
        <f t="shared" si="163"/>
        <v>3243.01</v>
      </c>
      <c r="AG50" s="4742">
        <f t="shared" si="143"/>
        <v>-2088.2882666483638</v>
      </c>
      <c r="AH50" s="4742">
        <f t="shared" si="144"/>
        <v>-39.496768659380884</v>
      </c>
      <c r="AI50" s="4752">
        <f>SUM('Произв. прогр. Стоки (СВОД)'!N51)</f>
        <v>916.45463288571636</v>
      </c>
      <c r="AJ50" s="4752">
        <f>SUM('ПОЛНАЯ СЕБЕСТОИМОСТЬ СТОКИ 2018'!P161)</f>
        <v>0</v>
      </c>
      <c r="AK50" s="4751">
        <v>507.46</v>
      </c>
      <c r="AL50" s="4752">
        <f>SUM('Произв. прогр. Стоки (СВОД)'!O51)</f>
        <v>916.45463288571636</v>
      </c>
      <c r="AM50" s="4752">
        <f>SUM('ПОЛНАЯ СЕБЕСТОИМОСТЬ СТОКИ 2018'!Q161)</f>
        <v>0</v>
      </c>
      <c r="AN50" s="4751">
        <v>607.24</v>
      </c>
      <c r="AO50" s="4752">
        <f>SUM('Произв. прогр. Стоки (СВОД)'!P51)</f>
        <v>916.45463288571636</v>
      </c>
      <c r="AP50" s="4752">
        <f>SUM('ПОЛНАЯ СЕБЕСТОИМОСТЬ СТОКИ 2018'!R161)</f>
        <v>0</v>
      </c>
      <c r="AQ50" s="4751">
        <v>500.91</v>
      </c>
      <c r="AR50" s="4799">
        <f t="shared" si="164"/>
        <v>2749.3638986571491</v>
      </c>
      <c r="AS50" s="4799">
        <f t="shared" si="164"/>
        <v>0</v>
      </c>
      <c r="AT50" s="4799">
        <f t="shared" si="164"/>
        <v>1615.6100000000001</v>
      </c>
      <c r="AU50" s="4742">
        <f t="shared" si="146"/>
        <v>-2749.3638986571491</v>
      </c>
      <c r="AV50" s="4742">
        <f t="shared" si="147"/>
        <v>-100</v>
      </c>
      <c r="AW50" s="4799">
        <f t="shared" si="165"/>
        <v>8036.6021653055122</v>
      </c>
      <c r="AX50" s="4799">
        <f t="shared" si="165"/>
        <v>3198.95</v>
      </c>
      <c r="AY50" s="4799">
        <f t="shared" si="165"/>
        <v>4858.6200000000008</v>
      </c>
      <c r="AZ50" s="4742">
        <f t="shared" si="150"/>
        <v>-4837.6521653055124</v>
      </c>
      <c r="BA50" s="4742">
        <f t="shared" si="151"/>
        <v>-60.195242539066363</v>
      </c>
      <c r="BB50" s="4752">
        <f>SUM('Произв. прогр. Стоки (СВОД)'!S51)</f>
        <v>916.45463288571636</v>
      </c>
      <c r="BC50" s="4752">
        <f>SUM('ПОЛНАЯ СЕБЕСТОИМОСТЬ СТОКИ 2018'!X161)</f>
        <v>0</v>
      </c>
      <c r="BD50" s="4751">
        <v>501.01</v>
      </c>
      <c r="BE50" s="4752">
        <f>SUM('Произв. прогр. Стоки (СВОД)'!T51)</f>
        <v>916.45463288571636</v>
      </c>
      <c r="BF50" s="4752">
        <f>SUM('ПОЛНАЯ СЕБЕСТОИМОСТЬ СТОКИ 2018'!Y161)</f>
        <v>0</v>
      </c>
      <c r="BG50" s="4751">
        <v>571.77</v>
      </c>
      <c r="BH50" s="4752">
        <f>SUM('Произв. прогр. Стоки (СВОД)'!U51)</f>
        <v>916.45463288571636</v>
      </c>
      <c r="BI50" s="4752">
        <f>SUM('ПОЛНАЯ СЕБЕСТОИМОСТЬ СТОКИ 2018'!Z161)</f>
        <v>0</v>
      </c>
      <c r="BJ50" s="4751">
        <v>527.78</v>
      </c>
      <c r="BK50" s="4799">
        <f t="shared" si="166"/>
        <v>2749.3638986571491</v>
      </c>
      <c r="BL50" s="4799">
        <f t="shared" si="166"/>
        <v>0</v>
      </c>
      <c r="BM50" s="4799">
        <f t="shared" si="166"/>
        <v>1600.56</v>
      </c>
      <c r="BN50" s="4742">
        <f t="shared" si="153"/>
        <v>-2749.3638986571491</v>
      </c>
      <c r="BO50" s="4742">
        <f t="shared" si="154"/>
        <v>-100</v>
      </c>
      <c r="BP50" s="4799">
        <f t="shared" si="167"/>
        <v>10785.966063962662</v>
      </c>
      <c r="BQ50" s="4799">
        <f t="shared" si="167"/>
        <v>3198.95</v>
      </c>
      <c r="BR50" s="4799">
        <f t="shared" si="167"/>
        <v>6459.18</v>
      </c>
      <c r="BS50" s="4742">
        <f t="shared" si="157"/>
        <v>-7587.016063962662</v>
      </c>
      <c r="BT50" s="4742">
        <f t="shared" si="158"/>
        <v>-70.341553264402393</v>
      </c>
    </row>
    <row r="51" spans="1:72" ht="18.75" customHeight="1">
      <c r="A51" s="4700" t="s">
        <v>1728</v>
      </c>
      <c r="B51" s="4752">
        <f>SUM('Произв. прогр. Стоки (СВОД)'!E52)</f>
        <v>246.5871423794442</v>
      </c>
      <c r="C51" s="4752">
        <f>SUM('ПОЛНАЯ СЕБЕСТОИМОСТЬ СТОКИ 2018'!C162)</f>
        <v>171.87</v>
      </c>
      <c r="D51" s="4751">
        <v>165.46</v>
      </c>
      <c r="E51" s="4752">
        <f>SUM('Произв. прогр. Стоки (СВОД)'!F52)</f>
        <v>246.5871423794442</v>
      </c>
      <c r="F51" s="4752">
        <f>SUM('ПОЛНАЯ СЕБЕСТОИМОСТЬ СТОКИ 2018'!D162)</f>
        <v>157.02000000000001</v>
      </c>
      <c r="G51" s="4751">
        <v>158.62</v>
      </c>
      <c r="H51" s="4752">
        <f>SUM('Произв. прогр. Стоки (СВОД)'!G52)</f>
        <v>246.5871423794442</v>
      </c>
      <c r="I51" s="4752">
        <f>SUM('ПОЛНАЯ СЕБЕСТОИМОСТЬ СТОКИ 2018'!E162)</f>
        <v>174.29</v>
      </c>
      <c r="J51" s="4751">
        <v>163.37</v>
      </c>
      <c r="K51" s="4799">
        <f t="shared" si="161"/>
        <v>739.76142713833258</v>
      </c>
      <c r="L51" s="4799">
        <f t="shared" si="161"/>
        <v>503.17999999999995</v>
      </c>
      <c r="M51" s="4799">
        <f t="shared" si="161"/>
        <v>487.45000000000005</v>
      </c>
      <c r="N51" s="4742">
        <f t="shared" si="136"/>
        <v>-236.58142713833263</v>
      </c>
      <c r="O51" s="4742">
        <f t="shared" si="137"/>
        <v>-31.980773592577815</v>
      </c>
      <c r="P51" s="4752">
        <f>SUM('Произв. прогр. Стоки (СВОД)'!I52)</f>
        <v>246.5871423794442</v>
      </c>
      <c r="Q51" s="4752">
        <f>SUM('ПОЛНАЯ СЕБЕСТОИМОСТЬ СТОКИ 2018'!H162)</f>
        <v>154.93</v>
      </c>
      <c r="R51" s="4751">
        <v>147.22999999999999</v>
      </c>
      <c r="S51" s="4752">
        <f>SUM('Произв. прогр. Стоки (СВОД)'!J52)</f>
        <v>246.5871423794442</v>
      </c>
      <c r="T51" s="4752">
        <f>SUM('ПОЛНАЯ СЕБЕСТОИМОСТЬ СТОКИ 2018'!I162)</f>
        <v>149.57</v>
      </c>
      <c r="U51" s="4751">
        <v>159.63</v>
      </c>
      <c r="V51" s="4752">
        <f>SUM('Произв. прогр. Стоки (СВОД)'!K52)</f>
        <v>246.5871423794442</v>
      </c>
      <c r="W51" s="4752">
        <f>SUM('ПОЛНАЯ СЕБЕСТОИМОСТЬ СТОКИ 2018'!J162)</f>
        <v>183.1</v>
      </c>
      <c r="X51" s="4751">
        <v>180.73</v>
      </c>
      <c r="Y51" s="4799">
        <f t="shared" si="162"/>
        <v>739.76142713833258</v>
      </c>
      <c r="Z51" s="4799">
        <f t="shared" si="162"/>
        <v>487.6</v>
      </c>
      <c r="AA51" s="4799">
        <f t="shared" si="162"/>
        <v>487.59000000000003</v>
      </c>
      <c r="AB51" s="4742">
        <f t="shared" si="139"/>
        <v>-252.16142713833256</v>
      </c>
      <c r="AC51" s="4742">
        <f t="shared" si="140"/>
        <v>-34.086857990661265</v>
      </c>
      <c r="AD51" s="4799">
        <f t="shared" si="163"/>
        <v>1479.5228542766652</v>
      </c>
      <c r="AE51" s="4799">
        <f t="shared" si="163"/>
        <v>990.78</v>
      </c>
      <c r="AF51" s="4833">
        <f t="shared" si="163"/>
        <v>975.04000000000008</v>
      </c>
      <c r="AG51" s="4742">
        <f t="shared" si="143"/>
        <v>-488.74285427666518</v>
      </c>
      <c r="AH51" s="4742">
        <f t="shared" si="144"/>
        <v>-33.033815791619539</v>
      </c>
      <c r="AI51" s="4752">
        <f>SUM('Произв. прогр. Стоки (СВОД)'!N52)</f>
        <v>256.45062807462199</v>
      </c>
      <c r="AJ51" s="4752">
        <f>SUM('ПОЛНАЯ СЕБЕСТОИМОСТЬ СТОКИ 2018'!P162)</f>
        <v>0</v>
      </c>
      <c r="AK51" s="4751">
        <v>151.19999999999999</v>
      </c>
      <c r="AL51" s="4752">
        <f>SUM('Произв. прогр. Стоки (СВОД)'!O52)</f>
        <v>256.45062807462199</v>
      </c>
      <c r="AM51" s="4752">
        <f>SUM('ПОЛНАЯ СЕБЕСТОИМОСТЬ СТОКИ 2018'!Q162)</f>
        <v>0</v>
      </c>
      <c r="AN51" s="4751">
        <v>177.68</v>
      </c>
      <c r="AO51" s="4752">
        <f>SUM('Произв. прогр. Стоки (СВОД)'!P52)</f>
        <v>256.45062807462199</v>
      </c>
      <c r="AP51" s="4752">
        <f>SUM('ПОЛНАЯ СЕБЕСТОИМОСТЬ СТОКИ 2018'!R162)</f>
        <v>0</v>
      </c>
      <c r="AQ51" s="4751">
        <v>161.21</v>
      </c>
      <c r="AR51" s="4799">
        <f t="shared" si="164"/>
        <v>769.35188422386591</v>
      </c>
      <c r="AS51" s="4799">
        <f t="shared" si="164"/>
        <v>0</v>
      </c>
      <c r="AT51" s="4799">
        <f t="shared" si="164"/>
        <v>490.09000000000003</v>
      </c>
      <c r="AU51" s="4742">
        <f t="shared" si="146"/>
        <v>-769.35188422386591</v>
      </c>
      <c r="AV51" s="4742">
        <f t="shared" si="147"/>
        <v>-100</v>
      </c>
      <c r="AW51" s="4799">
        <f t="shared" si="165"/>
        <v>2248.8747385005308</v>
      </c>
      <c r="AX51" s="4799">
        <f t="shared" si="165"/>
        <v>990.78</v>
      </c>
      <c r="AY51" s="4799">
        <f t="shared" si="165"/>
        <v>1465.13</v>
      </c>
      <c r="AZ51" s="4742">
        <f t="shared" si="150"/>
        <v>-1258.0947385005309</v>
      </c>
      <c r="BA51" s="4742">
        <f t="shared" si="151"/>
        <v>-55.943299862907594</v>
      </c>
      <c r="BB51" s="4752">
        <f>SUM('Произв. прогр. Стоки (СВОД)'!S52)</f>
        <v>256.45062807462199</v>
      </c>
      <c r="BC51" s="4752">
        <f>SUM('ПОЛНАЯ СЕБЕСТОИМОСТЬ СТОКИ 2018'!X162)</f>
        <v>0</v>
      </c>
      <c r="BD51" s="4751">
        <v>139.56</v>
      </c>
      <c r="BE51" s="4752">
        <f>SUM('Произв. прогр. Стоки (СВОД)'!T52)</f>
        <v>256.45062807462199</v>
      </c>
      <c r="BF51" s="4752">
        <f>SUM('ПОЛНАЯ СЕБЕСТОИМОСТЬ СТОКИ 2018'!Y162)</f>
        <v>0</v>
      </c>
      <c r="BG51" s="4751">
        <v>156.18</v>
      </c>
      <c r="BH51" s="4752">
        <f>SUM('Произв. прогр. Стоки (СВОД)'!U52)</f>
        <v>256.45062807462199</v>
      </c>
      <c r="BI51" s="4752">
        <f>SUM('ПОЛНАЯ СЕБЕСТОИМОСТЬ СТОКИ 2018'!Z162)</f>
        <v>0</v>
      </c>
      <c r="BJ51" s="4751">
        <v>143.52000000000001</v>
      </c>
      <c r="BK51" s="4799">
        <f t="shared" si="166"/>
        <v>769.35188422386591</v>
      </c>
      <c r="BL51" s="4799">
        <f t="shared" si="166"/>
        <v>0</v>
      </c>
      <c r="BM51" s="4799">
        <f t="shared" si="166"/>
        <v>439.26</v>
      </c>
      <c r="BN51" s="4742">
        <f t="shared" si="153"/>
        <v>-769.35188422386591</v>
      </c>
      <c r="BO51" s="4742">
        <f t="shared" si="154"/>
        <v>-100</v>
      </c>
      <c r="BP51" s="4799">
        <f t="shared" si="167"/>
        <v>3018.2266227243967</v>
      </c>
      <c r="BQ51" s="4799">
        <f t="shared" si="167"/>
        <v>990.78</v>
      </c>
      <c r="BR51" s="4799">
        <f t="shared" si="167"/>
        <v>1904.39</v>
      </c>
      <c r="BS51" s="4742">
        <f t="shared" si="157"/>
        <v>-2027.4466227243968</v>
      </c>
      <c r="BT51" s="4742">
        <f t="shared" si="158"/>
        <v>-67.17343911353899</v>
      </c>
    </row>
    <row r="52" spans="1:72" ht="18.75" customHeight="1">
      <c r="A52" s="4700" t="s">
        <v>285</v>
      </c>
      <c r="B52" s="4752"/>
      <c r="C52" s="4752">
        <f>SUM('ПОЛНАЯ СЕБЕСТОИМОСТЬ СТОКИ 2018'!C163)</f>
        <v>0.09</v>
      </c>
      <c r="D52" s="4751">
        <v>0.01</v>
      </c>
      <c r="E52" s="4752"/>
      <c r="F52" s="4752">
        <f>SUM('ПОЛНАЯ СЕБЕСТОИМОСТЬ СТОКИ 2018'!D163)</f>
        <v>0.08</v>
      </c>
      <c r="G52" s="4751">
        <v>0.01</v>
      </c>
      <c r="H52" s="4752"/>
      <c r="I52" s="4752">
        <f>SUM('ПОЛНАЯ СЕБЕСТОИМОСТЬ СТОКИ 2018'!E163)</f>
        <v>1.86</v>
      </c>
      <c r="J52" s="4751">
        <v>0.02</v>
      </c>
      <c r="K52" s="4799"/>
      <c r="L52" s="4799">
        <f t="shared" si="161"/>
        <v>2.0300000000000002</v>
      </c>
      <c r="M52" s="4799">
        <f t="shared" si="161"/>
        <v>0.04</v>
      </c>
      <c r="N52" s="4742"/>
      <c r="O52" s="4742"/>
      <c r="P52" s="4752"/>
      <c r="Q52" s="4752">
        <f>SUM('ПОЛНАЯ СЕБЕСТОИМОСТЬ СТОКИ 2018'!H163)</f>
        <v>1.82</v>
      </c>
      <c r="R52" s="4751">
        <v>0.01</v>
      </c>
      <c r="S52" s="4752"/>
      <c r="T52" s="4752">
        <f>SUM('ПОЛНАЯ СЕБЕСТОИМОСТЬ СТОКИ 2018'!I163)</f>
        <v>1.85</v>
      </c>
      <c r="U52" s="4751">
        <v>0.01</v>
      </c>
      <c r="V52" s="4752"/>
      <c r="W52" s="4752">
        <f>SUM('ПОЛНАЯ СЕБЕСТОИМОСТЬ СТОКИ 2018'!J163)</f>
        <v>2.1800000000000002</v>
      </c>
      <c r="X52" s="4751">
        <v>0.01</v>
      </c>
      <c r="Y52" s="4799"/>
      <c r="Z52" s="4799">
        <f t="shared" si="162"/>
        <v>5.85</v>
      </c>
      <c r="AA52" s="4799">
        <f t="shared" si="162"/>
        <v>0.03</v>
      </c>
      <c r="AB52" s="4742"/>
      <c r="AC52" s="4742"/>
      <c r="AD52" s="4799"/>
      <c r="AE52" s="4799">
        <f t="shared" si="163"/>
        <v>7.88</v>
      </c>
      <c r="AF52" s="4833">
        <f t="shared" si="163"/>
        <v>7.0000000000000007E-2</v>
      </c>
      <c r="AG52" s="4742"/>
      <c r="AH52" s="4742"/>
      <c r="AI52" s="4752"/>
      <c r="AJ52" s="4752">
        <f>SUM('ПОЛНАЯ СЕБЕСТОИМОСТЬ СТОКИ 2018'!P163)</f>
        <v>0</v>
      </c>
      <c r="AK52" s="4751">
        <v>0.4</v>
      </c>
      <c r="AL52" s="4752"/>
      <c r="AM52" s="4752">
        <f>SUM('ПОЛНАЯ СЕБЕСТОИМОСТЬ СТОКИ 2018'!Q163)</f>
        <v>0</v>
      </c>
      <c r="AN52" s="4751">
        <v>0.01</v>
      </c>
      <c r="AO52" s="4752"/>
      <c r="AP52" s="4752">
        <f>SUM('ПОЛНАЯ СЕБЕСТОИМОСТЬ СТОКИ 2018'!R163)</f>
        <v>0</v>
      </c>
      <c r="AQ52" s="4751">
        <v>0.02</v>
      </c>
      <c r="AR52" s="4799"/>
      <c r="AS52" s="4799">
        <f t="shared" si="164"/>
        <v>0</v>
      </c>
      <c r="AT52" s="4799">
        <f t="shared" si="164"/>
        <v>0.43000000000000005</v>
      </c>
      <c r="AU52" s="4742"/>
      <c r="AV52" s="4742"/>
      <c r="AW52" s="4799"/>
      <c r="AX52" s="4799">
        <f t="shared" si="165"/>
        <v>7.88</v>
      </c>
      <c r="AY52" s="4799">
        <f>SUM(AF52+AT52)</f>
        <v>0.5</v>
      </c>
      <c r="AZ52" s="4742"/>
      <c r="BA52" s="4742"/>
      <c r="BB52" s="4752"/>
      <c r="BC52" s="4752">
        <f>SUM('ПОЛНАЯ СЕБЕСТОИМОСТЬ СТОКИ 2018'!X163)</f>
        <v>0</v>
      </c>
      <c r="BD52" s="4751">
        <v>0.1</v>
      </c>
      <c r="BE52" s="4752"/>
      <c r="BF52" s="4752">
        <f>SUM('ПОЛНАЯ СЕБЕСТОИМОСТЬ СТОКИ 2018'!Y163)</f>
        <v>0</v>
      </c>
      <c r="BG52" s="4751">
        <v>0.05</v>
      </c>
      <c r="BH52" s="4752"/>
      <c r="BI52" s="4752">
        <f>SUM('ПОЛНАЯ СЕБЕСТОИМОСТЬ СТОКИ 2018'!Z163)</f>
        <v>0</v>
      </c>
      <c r="BJ52" s="4751">
        <v>0.09</v>
      </c>
      <c r="BK52" s="4799"/>
      <c r="BL52" s="4799">
        <f t="shared" si="166"/>
        <v>0</v>
      </c>
      <c r="BM52" s="4799">
        <f t="shared" si="166"/>
        <v>0.24000000000000002</v>
      </c>
      <c r="BN52" s="4742"/>
      <c r="BO52" s="4742"/>
      <c r="BP52" s="4799"/>
      <c r="BQ52" s="4799">
        <f t="shared" si="167"/>
        <v>7.88</v>
      </c>
      <c r="BR52" s="4799">
        <f t="shared" si="167"/>
        <v>0.74</v>
      </c>
      <c r="BS52" s="4742"/>
      <c r="BT52" s="4742"/>
    </row>
    <row r="53" spans="1:72" ht="18.75" customHeight="1">
      <c r="A53" s="4700" t="s">
        <v>1997</v>
      </c>
      <c r="B53" s="4752"/>
      <c r="C53" s="4752">
        <f>SUM('ПОЛНАЯ СЕБЕСТОИМОСТЬ СТОКИ 2018'!C164)</f>
        <v>7.03</v>
      </c>
      <c r="D53" s="4751">
        <v>7.8</v>
      </c>
      <c r="E53" s="4752"/>
      <c r="F53" s="4752">
        <f>SUM('ПОЛНАЯ СЕБЕСТОИМОСТЬ СТОКИ 2018'!D164)</f>
        <v>7.45</v>
      </c>
      <c r="G53" s="4751">
        <v>6.35</v>
      </c>
      <c r="H53" s="4752"/>
      <c r="I53" s="4752">
        <f>SUM('ПОЛНАЯ СЕБЕСТОИМОСТЬ СТОКИ 2018'!E164)</f>
        <v>8.15</v>
      </c>
      <c r="J53" s="4751">
        <v>6.08</v>
      </c>
      <c r="K53" s="4799"/>
      <c r="L53" s="4799">
        <f t="shared" si="161"/>
        <v>22.630000000000003</v>
      </c>
      <c r="M53" s="4799">
        <f t="shared" si="161"/>
        <v>20.229999999999997</v>
      </c>
      <c r="N53" s="4742"/>
      <c r="O53" s="4742"/>
      <c r="P53" s="4752"/>
      <c r="Q53" s="4752">
        <f>SUM('ПОЛНАЯ СЕБЕСТОИМОСТЬ СТОКИ 2018'!H164)</f>
        <v>5.7</v>
      </c>
      <c r="R53" s="4751">
        <v>4.45</v>
      </c>
      <c r="S53" s="4752"/>
      <c r="T53" s="4752">
        <f>SUM('ПОЛНАЯ СЕБЕСТОИМОСТЬ СТОКИ 2018'!I164)</f>
        <v>1.62</v>
      </c>
      <c r="U53" s="4751">
        <v>3.11</v>
      </c>
      <c r="V53" s="4752"/>
      <c r="W53" s="4752">
        <f>SUM('ПОЛНАЯ СЕБЕСТОИМОСТЬ СТОКИ 2018'!J164)</f>
        <v>0</v>
      </c>
      <c r="X53" s="4751"/>
      <c r="Y53" s="4799"/>
      <c r="Z53" s="4799">
        <f t="shared" si="162"/>
        <v>7.32</v>
      </c>
      <c r="AA53" s="4799">
        <f>SUM(R53+U53+X53)</f>
        <v>7.5600000000000005</v>
      </c>
      <c r="AB53" s="4742"/>
      <c r="AC53" s="4742"/>
      <c r="AD53" s="4799"/>
      <c r="AE53" s="4799">
        <f t="shared" si="163"/>
        <v>29.950000000000003</v>
      </c>
      <c r="AF53" s="4833">
        <f t="shared" si="163"/>
        <v>27.79</v>
      </c>
      <c r="AG53" s="4742"/>
      <c r="AH53" s="4742"/>
      <c r="AI53" s="4752"/>
      <c r="AJ53" s="4752">
        <f>SUM('ПОЛНАЯ СЕБЕСТОИМОСТЬ СТОКИ 2018'!P164)</f>
        <v>0</v>
      </c>
      <c r="AK53" s="4751">
        <v>0</v>
      </c>
      <c r="AL53" s="4752"/>
      <c r="AM53" s="4752">
        <f>SUM('ПОЛНАЯ СЕБЕСТОИМОСТЬ СТОКИ 2018'!Q164)</f>
        <v>0</v>
      </c>
      <c r="AN53" s="4751">
        <v>0</v>
      </c>
      <c r="AO53" s="4752"/>
      <c r="AP53" s="4752">
        <f>SUM('ПОЛНАЯ СЕБЕСТОИМОСТЬ СТОКИ 2018'!R164)</f>
        <v>0</v>
      </c>
      <c r="AQ53" s="4751">
        <v>1.47</v>
      </c>
      <c r="AR53" s="4799"/>
      <c r="AS53" s="4799">
        <f t="shared" si="164"/>
        <v>0</v>
      </c>
      <c r="AT53" s="4799">
        <f t="shared" si="164"/>
        <v>1.47</v>
      </c>
      <c r="AU53" s="4742"/>
      <c r="AV53" s="4742"/>
      <c r="AW53" s="4799"/>
      <c r="AX53" s="4799">
        <f t="shared" si="165"/>
        <v>29.950000000000003</v>
      </c>
      <c r="AY53" s="4799">
        <f t="shared" si="165"/>
        <v>29.259999999999998</v>
      </c>
      <c r="AZ53" s="4742"/>
      <c r="BA53" s="4742"/>
      <c r="BB53" s="4752"/>
      <c r="BC53" s="4752">
        <f>SUM('ПОЛНАЯ СЕБЕСТОИМОСТЬ СТОКИ 2018'!X164)</f>
        <v>0</v>
      </c>
      <c r="BD53" s="4751">
        <v>4.22</v>
      </c>
      <c r="BE53" s="4752"/>
      <c r="BF53" s="4752">
        <f>SUM('ПОЛНАЯ СЕБЕСТОИМОСТЬ СТОКИ 2018'!Y164)</f>
        <v>0</v>
      </c>
      <c r="BG53" s="4751">
        <v>5.18</v>
      </c>
      <c r="BH53" s="4752"/>
      <c r="BI53" s="4752">
        <f>SUM('ПОЛНАЯ СЕБЕСТОИМОСТЬ СТОКИ 2018'!Z164)</f>
        <v>0</v>
      </c>
      <c r="BJ53" s="4751">
        <v>5.96</v>
      </c>
      <c r="BK53" s="4799"/>
      <c r="BL53" s="4799">
        <f t="shared" si="166"/>
        <v>0</v>
      </c>
      <c r="BM53" s="4799"/>
      <c r="BN53" s="4742"/>
      <c r="BO53" s="4742"/>
      <c r="BP53" s="4799"/>
      <c r="BQ53" s="4799">
        <f t="shared" si="167"/>
        <v>29.950000000000003</v>
      </c>
      <c r="BR53" s="4799"/>
      <c r="BS53" s="4742"/>
      <c r="BT53" s="4742"/>
    </row>
    <row r="54" spans="1:72" ht="18.75" customHeight="1">
      <c r="A54" s="4700" t="s">
        <v>286</v>
      </c>
      <c r="B54" s="4752"/>
      <c r="C54" s="4752">
        <f>SUM('ПОЛНАЯ СЕБЕСТОИМОСТЬ СТОКИ 2018'!C165)</f>
        <v>0</v>
      </c>
      <c r="D54" s="4751">
        <v>4.8099999999999996</v>
      </c>
      <c r="E54" s="4752"/>
      <c r="F54" s="4752">
        <f>SUM('ПОЛНАЯ СЕБЕСТОИМОСТЬ СТОКИ 2018'!D165)</f>
        <v>0</v>
      </c>
      <c r="G54" s="4751">
        <v>4.45</v>
      </c>
      <c r="H54" s="4752"/>
      <c r="I54" s="4752">
        <f>SUM('ПОЛНАЯ СЕБЕСТОИМОСТЬ СТОКИ 2018'!E165)</f>
        <v>0</v>
      </c>
      <c r="J54" s="4751">
        <v>4.76</v>
      </c>
      <c r="K54" s="4799"/>
      <c r="L54" s="4799">
        <f t="shared" si="161"/>
        <v>0</v>
      </c>
      <c r="M54" s="4799">
        <f t="shared" si="161"/>
        <v>14.02</v>
      </c>
      <c r="N54" s="4742"/>
      <c r="O54" s="4742"/>
      <c r="P54" s="4752"/>
      <c r="Q54" s="4752">
        <f>SUM('ПОЛНАЯ СЕБЕСТОИМОСТЬ СТОКИ 2018'!H165)</f>
        <v>0</v>
      </c>
      <c r="R54" s="4751">
        <v>4.57</v>
      </c>
      <c r="S54" s="4752"/>
      <c r="T54" s="4752">
        <f>SUM('ПОЛНАЯ СЕБЕСТОИМОСТЬ СТОКИ 2018'!I165)</f>
        <v>0</v>
      </c>
      <c r="U54" s="4751">
        <v>4.34</v>
      </c>
      <c r="V54" s="4752"/>
      <c r="W54" s="4752">
        <f>SUM('ПОЛНАЯ СЕБЕСТОИМОСТЬ СТОКИ 2018'!J165)</f>
        <v>0</v>
      </c>
      <c r="X54" s="4751">
        <v>4.47</v>
      </c>
      <c r="Y54" s="4799"/>
      <c r="Z54" s="4799">
        <f t="shared" si="162"/>
        <v>0</v>
      </c>
      <c r="AA54" s="4799">
        <f>SUM(R54+U54+X54)</f>
        <v>13.379999999999999</v>
      </c>
      <c r="AB54" s="4742"/>
      <c r="AC54" s="4742"/>
      <c r="AD54" s="4799"/>
      <c r="AE54" s="4799">
        <f t="shared" si="163"/>
        <v>0</v>
      </c>
      <c r="AF54" s="4833">
        <f t="shared" si="163"/>
        <v>27.4</v>
      </c>
      <c r="AG54" s="4742"/>
      <c r="AH54" s="4742"/>
      <c r="AI54" s="4752"/>
      <c r="AJ54" s="4752">
        <f>SUM('ПОЛНАЯ СЕБЕСТОИМОСТЬ СТОКИ 2018'!P165)</f>
        <v>0</v>
      </c>
      <c r="AK54" s="4751">
        <v>4.57</v>
      </c>
      <c r="AL54" s="4752"/>
      <c r="AM54" s="4752">
        <f>SUM('ПОЛНАЯ СЕБЕСТОИМОСТЬ СТОКИ 2018'!Q165)</f>
        <v>0</v>
      </c>
      <c r="AN54" s="4751">
        <v>4.78</v>
      </c>
      <c r="AO54" s="4752"/>
      <c r="AP54" s="4752">
        <f>SUM('ПОЛНАЯ СЕБЕСТОИМОСТЬ СТОКИ 2018'!R165)</f>
        <v>0</v>
      </c>
      <c r="AQ54" s="4751">
        <v>4.45</v>
      </c>
      <c r="AR54" s="4799"/>
      <c r="AS54" s="4799">
        <f t="shared" si="164"/>
        <v>0</v>
      </c>
      <c r="AT54" s="4799">
        <f t="shared" si="164"/>
        <v>13.8</v>
      </c>
      <c r="AU54" s="4742"/>
      <c r="AV54" s="4742"/>
      <c r="AW54" s="4799"/>
      <c r="AX54" s="4799">
        <f t="shared" si="165"/>
        <v>0</v>
      </c>
      <c r="AY54" s="4799">
        <f t="shared" si="165"/>
        <v>41.2</v>
      </c>
      <c r="AZ54" s="4742"/>
      <c r="BA54" s="4742"/>
      <c r="BB54" s="4752"/>
      <c r="BC54" s="4752">
        <f>SUM('ПОЛНАЯ СЕБЕСТОИМОСТЬ СТОКИ 2018'!X165)</f>
        <v>0</v>
      </c>
      <c r="BD54" s="4751">
        <v>4.6399999999999997</v>
      </c>
      <c r="BE54" s="4752"/>
      <c r="BF54" s="4752">
        <f>SUM('ПОЛНАЯ СЕБЕСТОИМОСТЬ СТОКИ 2018'!Y165)</f>
        <v>0</v>
      </c>
      <c r="BG54" s="4751">
        <v>4.7699999999999996</v>
      </c>
      <c r="BH54" s="4752"/>
      <c r="BI54" s="4752">
        <f>SUM('ПОЛНАЯ СЕБЕСТОИМОСТЬ СТОКИ 2018'!Z165)</f>
        <v>0</v>
      </c>
      <c r="BJ54" s="4751">
        <v>4.4000000000000004</v>
      </c>
      <c r="BK54" s="4799"/>
      <c r="BL54" s="4799">
        <f t="shared" si="166"/>
        <v>0</v>
      </c>
      <c r="BM54" s="4799"/>
      <c r="BN54" s="4742"/>
      <c r="BO54" s="4742"/>
      <c r="BP54" s="4799"/>
      <c r="BQ54" s="4799">
        <f t="shared" si="167"/>
        <v>0</v>
      </c>
      <c r="BR54" s="4799"/>
      <c r="BS54" s="4742"/>
      <c r="BT54" s="4742"/>
    </row>
    <row r="55" spans="1:72" ht="18.75" customHeight="1">
      <c r="A55" s="4700" t="s">
        <v>1729</v>
      </c>
      <c r="B55" s="4752">
        <f>SUM('Произв. прогр. Стоки (СВОД)'!E53)</f>
        <v>117.49863561087264</v>
      </c>
      <c r="C55" s="4752">
        <f>SUM('ПОЛНАЯ СЕБЕСТОИМОСТЬ СТОКИ 2018'!C166)</f>
        <v>143.03</v>
      </c>
      <c r="D55" s="4751">
        <v>89.04</v>
      </c>
      <c r="E55" s="4752">
        <f>SUM('Произв. прогр. Стоки (СВОД)'!F53)</f>
        <v>117.49863561087264</v>
      </c>
      <c r="F55" s="4752">
        <f>SUM('ПОЛНАЯ СЕБЕСТОИМОСТЬ СТОКИ 2018'!D166)</f>
        <v>91.8</v>
      </c>
      <c r="G55" s="4751">
        <v>86.51</v>
      </c>
      <c r="H55" s="4752">
        <f>SUM('Произв. прогр. Стоки (СВОД)'!G53)</f>
        <v>117.49863561087264</v>
      </c>
      <c r="I55" s="4752">
        <f>SUM('ПОЛНАЯ СЕБЕСТОИМОСТЬ СТОКИ 2018'!E166)</f>
        <v>376.32</v>
      </c>
      <c r="J55" s="4751">
        <v>99.09</v>
      </c>
      <c r="K55" s="4799">
        <f t="shared" si="161"/>
        <v>352.49590683261795</v>
      </c>
      <c r="L55" s="4799">
        <f t="shared" si="161"/>
        <v>611.15</v>
      </c>
      <c r="M55" s="4799">
        <f t="shared" si="161"/>
        <v>274.64</v>
      </c>
      <c r="N55" s="4742">
        <f t="shared" si="136"/>
        <v>258.65409316738203</v>
      </c>
      <c r="O55" s="4742">
        <f t="shared" si="137"/>
        <v>73.377899758195909</v>
      </c>
      <c r="P55" s="4752">
        <f>SUM('Произв. прогр. Стоки (СВОД)'!I53)</f>
        <v>117.49863561087264</v>
      </c>
      <c r="Q55" s="4752">
        <f>SUM('ПОЛНАЯ СЕБЕСТОИМОСТЬ СТОКИ 2018'!H166)</f>
        <v>153.41</v>
      </c>
      <c r="R55" s="4751">
        <v>106.91</v>
      </c>
      <c r="S55" s="4752">
        <f>SUM('Произв. прогр. Стоки (СВОД)'!J53)</f>
        <v>117.49863561087264</v>
      </c>
      <c r="T55" s="4752">
        <f>SUM('ПОЛНАЯ СЕБЕСТОИМОСТЬ СТОКИ 2018'!I166)</f>
        <v>70.180000000000007</v>
      </c>
      <c r="U55" s="4751">
        <v>66.47</v>
      </c>
      <c r="V55" s="4752">
        <f>SUM('Произв. прогр. Стоки (СВОД)'!K53)</f>
        <v>117.49863561087264</v>
      </c>
      <c r="W55" s="4752">
        <f>SUM('ПОЛНАЯ СЕБЕСТОИМОСТЬ СТОКИ 2018'!J166)</f>
        <v>89.43</v>
      </c>
      <c r="X55" s="4751">
        <v>97.55</v>
      </c>
      <c r="Y55" s="4799">
        <f t="shared" si="162"/>
        <v>352.49590683261795</v>
      </c>
      <c r="Z55" s="4799">
        <f t="shared" si="162"/>
        <v>313.02</v>
      </c>
      <c r="AA55" s="4799">
        <f t="shared" si="162"/>
        <v>270.93</v>
      </c>
      <c r="AB55" s="4742">
        <f t="shared" si="139"/>
        <v>-39.475906832617966</v>
      </c>
      <c r="AC55" s="4742">
        <f t="shared" si="140"/>
        <v>-11.198968858200963</v>
      </c>
      <c r="AD55" s="4799">
        <f t="shared" si="163"/>
        <v>704.9918136652359</v>
      </c>
      <c r="AE55" s="4799">
        <f t="shared" si="163"/>
        <v>924.17</v>
      </c>
      <c r="AF55" s="4833">
        <f t="shared" si="163"/>
        <v>545.56999999999994</v>
      </c>
      <c r="AG55" s="4742">
        <f t="shared" si="143"/>
        <v>219.17818633476406</v>
      </c>
      <c r="AH55" s="4742">
        <f t="shared" si="144"/>
        <v>31.089465449997473</v>
      </c>
      <c r="AI55" s="4752">
        <f>SUM('Произв. прогр. Стоки (СВОД)'!N53)</f>
        <v>117.49863561087278</v>
      </c>
      <c r="AJ55" s="4752">
        <f>SUM('ПОЛНАЯ СЕБЕСТОИМОСТЬ СТОКИ 2018'!P166)</f>
        <v>0</v>
      </c>
      <c r="AK55" s="4751">
        <v>120.5</v>
      </c>
      <c r="AL55" s="4752">
        <f>SUM('Произв. прогр. Стоки (СВОД)'!O53)</f>
        <v>117.49863561087278</v>
      </c>
      <c r="AM55" s="4752">
        <f>SUM('ПОЛНАЯ СЕБЕСТОИМОСТЬ СТОКИ 2018'!Q166)</f>
        <v>0</v>
      </c>
      <c r="AN55" s="4751">
        <v>147.91999999999999</v>
      </c>
      <c r="AO55" s="4752">
        <f>SUM('Произв. прогр. Стоки (СВОД)'!P53)</f>
        <v>117.49863561087278</v>
      </c>
      <c r="AP55" s="4752">
        <f>SUM('ПОЛНАЯ СЕБЕСТОИМОСТЬ СТОКИ 2018'!R166)</f>
        <v>0</v>
      </c>
      <c r="AQ55" s="4751">
        <v>174.13</v>
      </c>
      <c r="AR55" s="4799">
        <f t="shared" si="164"/>
        <v>352.49590683261835</v>
      </c>
      <c r="AS55" s="4799">
        <f t="shared" si="164"/>
        <v>0</v>
      </c>
      <c r="AT55" s="4799">
        <f t="shared" si="164"/>
        <v>442.54999999999995</v>
      </c>
      <c r="AU55" s="4742">
        <f t="shared" si="146"/>
        <v>-352.49590683261835</v>
      </c>
      <c r="AV55" s="4742">
        <f t="shared" si="147"/>
        <v>-100</v>
      </c>
      <c r="AW55" s="4799">
        <f t="shared" si="165"/>
        <v>1057.4877204978543</v>
      </c>
      <c r="AX55" s="4799">
        <f t="shared" si="165"/>
        <v>924.17</v>
      </c>
      <c r="AY55" s="4799">
        <f t="shared" si="165"/>
        <v>988.11999999999989</v>
      </c>
      <c r="AZ55" s="4742">
        <f t="shared" si="150"/>
        <v>-133.31772049785434</v>
      </c>
      <c r="BA55" s="4742">
        <f t="shared" si="151"/>
        <v>-12.607023033335057</v>
      </c>
      <c r="BB55" s="4752">
        <f>SUM('Произв. прогр. Стоки (СВОД)'!S53)</f>
        <v>117.49863561087278</v>
      </c>
      <c r="BC55" s="4752">
        <f>SUM('ПОЛНАЯ СЕБЕСТОИМОСТЬ СТОКИ 2018'!X166)</f>
        <v>0</v>
      </c>
      <c r="BD55" s="4751">
        <v>108.65</v>
      </c>
      <c r="BE55" s="4752">
        <f>SUM('Произв. прогр. Стоки (СВОД)'!T53)</f>
        <v>117.49863561087278</v>
      </c>
      <c r="BF55" s="4752">
        <f>SUM('ПОЛНАЯ СЕБЕСТОИМОСТЬ СТОКИ 2018'!Y166)</f>
        <v>0</v>
      </c>
      <c r="BG55" s="4751">
        <v>117.39</v>
      </c>
      <c r="BH55" s="4752">
        <f>SUM('Произв. прогр. Стоки (СВОД)'!U53)</f>
        <v>117.49863561087278</v>
      </c>
      <c r="BI55" s="4752">
        <f>SUM('ПОЛНАЯ СЕБЕСТОИМОСТЬ СТОКИ 2018'!Z166)</f>
        <v>0</v>
      </c>
      <c r="BJ55" s="4751">
        <v>92.29</v>
      </c>
      <c r="BK55" s="4799">
        <f t="shared" si="166"/>
        <v>352.49590683261835</v>
      </c>
      <c r="BL55" s="4799">
        <f t="shared" si="166"/>
        <v>0</v>
      </c>
      <c r="BM55" s="4799">
        <f t="shared" si="166"/>
        <v>318.33000000000004</v>
      </c>
      <c r="BN55" s="4742">
        <f t="shared" si="153"/>
        <v>-352.49590683261835</v>
      </c>
      <c r="BO55" s="4742">
        <f t="shared" si="154"/>
        <v>-100</v>
      </c>
      <c r="BP55" s="4799">
        <f t="shared" si="167"/>
        <v>1409.9836273304727</v>
      </c>
      <c r="BQ55" s="4799">
        <f t="shared" si="167"/>
        <v>924.17</v>
      </c>
      <c r="BR55" s="4799">
        <f t="shared" si="167"/>
        <v>1306.4499999999998</v>
      </c>
      <c r="BS55" s="4742">
        <f t="shared" si="157"/>
        <v>-485.81362733047274</v>
      </c>
      <c r="BT55" s="4742">
        <f t="shared" si="158"/>
        <v>-34.455267275001304</v>
      </c>
    </row>
    <row r="56" spans="1:72" ht="18.75" customHeight="1">
      <c r="A56" s="4620" t="s">
        <v>1758</v>
      </c>
      <c r="B56" s="4752">
        <f>SUM('Произв. прогр. Стоки (СВОД)'!E54)</f>
        <v>0</v>
      </c>
      <c r="C56" s="4737">
        <f>SUM('ПОЛНАЯ СЕБЕСТОИМОСТЬ СТОКИ 2018'!C167)</f>
        <v>0</v>
      </c>
      <c r="D56" s="4738"/>
      <c r="E56" s="4752">
        <f>SUM('Произв. прогр. Стоки (СВОД)'!F54)</f>
        <v>0</v>
      </c>
      <c r="F56" s="4737">
        <f>SUM('ПОЛНАЯ СЕБЕСТОИМОСТЬ СТОКИ 2018'!D167)</f>
        <v>0</v>
      </c>
      <c r="G56" s="4738"/>
      <c r="H56" s="4752">
        <f>SUM('Произв. прогр. Стоки (СВОД)'!G54)</f>
        <v>0</v>
      </c>
      <c r="I56" s="4737">
        <f>SUM('ПОЛНАЯ СЕБЕСТОИМОСТЬ СТОКИ 2018'!E167)</f>
        <v>0</v>
      </c>
      <c r="J56" s="4738"/>
      <c r="K56" s="4800">
        <f t="shared" si="161"/>
        <v>0</v>
      </c>
      <c r="L56" s="4800">
        <f t="shared" si="161"/>
        <v>0</v>
      </c>
      <c r="M56" s="4800">
        <f t="shared" si="161"/>
        <v>0</v>
      </c>
      <c r="N56" s="4746">
        <f t="shared" si="136"/>
        <v>0</v>
      </c>
      <c r="O56" s="4746" t="e">
        <f t="shared" si="137"/>
        <v>#DIV/0!</v>
      </c>
      <c r="P56" s="4752">
        <f>SUM('Произв. прогр. Стоки (СВОД)'!I54)</f>
        <v>0</v>
      </c>
      <c r="Q56" s="4737">
        <f>SUM('ПОЛНАЯ СЕБЕСТОИМОСТЬ СТОКИ 2018'!H167)</f>
        <v>0</v>
      </c>
      <c r="R56" s="4738">
        <v>0</v>
      </c>
      <c r="S56" s="4752">
        <f>SUM('Произв. прогр. Стоки (СВОД)'!J54)</f>
        <v>0</v>
      </c>
      <c r="T56" s="4737">
        <f>SUM('ПОЛНАЯ СЕБЕСТОИМОСТЬ СТОКИ 2018'!I167)</f>
        <v>0</v>
      </c>
      <c r="U56" s="4738">
        <v>0</v>
      </c>
      <c r="V56" s="4752">
        <f>SUM('Произв. прогр. Стоки (СВОД)'!K54)</f>
        <v>0</v>
      </c>
      <c r="W56" s="4737">
        <f>SUM('ПОЛНАЯ СЕБЕСТОИМОСТЬ СТОКИ 2018'!J167)</f>
        <v>0</v>
      </c>
      <c r="X56" s="4738">
        <v>0</v>
      </c>
      <c r="Y56" s="4800">
        <f t="shared" si="162"/>
        <v>0</v>
      </c>
      <c r="Z56" s="4800">
        <f t="shared" si="162"/>
        <v>0</v>
      </c>
      <c r="AA56" s="4800">
        <f t="shared" si="162"/>
        <v>0</v>
      </c>
      <c r="AB56" s="4746">
        <f t="shared" si="139"/>
        <v>0</v>
      </c>
      <c r="AC56" s="4746" t="e">
        <f t="shared" si="140"/>
        <v>#DIV/0!</v>
      </c>
      <c r="AD56" s="4800">
        <f t="shared" si="163"/>
        <v>0</v>
      </c>
      <c r="AE56" s="4800">
        <f t="shared" si="163"/>
        <v>0</v>
      </c>
      <c r="AF56" s="4831">
        <f t="shared" si="163"/>
        <v>0</v>
      </c>
      <c r="AG56" s="4746">
        <f t="shared" si="143"/>
        <v>0</v>
      </c>
      <c r="AH56" s="4746" t="e">
        <f t="shared" si="144"/>
        <v>#DIV/0!</v>
      </c>
      <c r="AI56" s="4752">
        <f>SUM('Произв. прогр. Стоки (СВОД)'!N54)</f>
        <v>0</v>
      </c>
      <c r="AJ56" s="4737">
        <f>SUM('ПОЛНАЯ СЕБЕСТОИМОСТЬ СТОКИ 2018'!P167)</f>
        <v>0</v>
      </c>
      <c r="AK56" s="4738">
        <v>0</v>
      </c>
      <c r="AL56" s="4752">
        <f>SUM('Произв. прогр. Стоки (СВОД)'!O54)</f>
        <v>0</v>
      </c>
      <c r="AM56" s="4737">
        <f>SUM('ПОЛНАЯ СЕБЕСТОИМОСТЬ СТОКИ 2018'!Q167)</f>
        <v>0</v>
      </c>
      <c r="AN56" s="4738">
        <v>0</v>
      </c>
      <c r="AO56" s="4752">
        <f>SUM('Произв. прогр. Стоки (СВОД)'!P54)</f>
        <v>0</v>
      </c>
      <c r="AP56" s="4737">
        <f>SUM('ПОЛНАЯ СЕБЕСТОИМОСТЬ СТОКИ 2018'!R167)</f>
        <v>0</v>
      </c>
      <c r="AQ56" s="4738">
        <v>0</v>
      </c>
      <c r="AR56" s="4800">
        <f t="shared" si="164"/>
        <v>0</v>
      </c>
      <c r="AS56" s="4800">
        <f t="shared" si="164"/>
        <v>0</v>
      </c>
      <c r="AT56" s="4800">
        <f t="shared" si="164"/>
        <v>0</v>
      </c>
      <c r="AU56" s="4746">
        <f t="shared" si="146"/>
        <v>0</v>
      </c>
      <c r="AV56" s="4746" t="e">
        <f t="shared" si="147"/>
        <v>#DIV/0!</v>
      </c>
      <c r="AW56" s="4800">
        <f t="shared" si="165"/>
        <v>0</v>
      </c>
      <c r="AX56" s="4800">
        <f t="shared" si="165"/>
        <v>0</v>
      </c>
      <c r="AY56" s="4800">
        <f t="shared" si="165"/>
        <v>0</v>
      </c>
      <c r="AZ56" s="4746">
        <f t="shared" si="150"/>
        <v>0</v>
      </c>
      <c r="BA56" s="4746" t="e">
        <f t="shared" si="151"/>
        <v>#DIV/0!</v>
      </c>
      <c r="BB56" s="4752">
        <f>SUM('Произв. прогр. Стоки (СВОД)'!S54)</f>
        <v>0</v>
      </c>
      <c r="BC56" s="4737">
        <f>SUM('ПОЛНАЯ СЕБЕСТОИМОСТЬ СТОКИ 2018'!X167)</f>
        <v>0</v>
      </c>
      <c r="BD56" s="4738">
        <v>0</v>
      </c>
      <c r="BE56" s="4752">
        <f>SUM('Произв. прогр. Стоки (СВОД)'!T54)</f>
        <v>0</v>
      </c>
      <c r="BF56" s="4737">
        <f>SUM('ПОЛНАЯ СЕБЕСТОИМОСТЬ СТОКИ 2018'!Y167)</f>
        <v>0</v>
      </c>
      <c r="BG56" s="4738">
        <v>0</v>
      </c>
      <c r="BH56" s="4752">
        <f>SUM('Произв. прогр. Стоки (СВОД)'!U54)</f>
        <v>0</v>
      </c>
      <c r="BI56" s="4737">
        <f>SUM('ПОЛНАЯ СЕБЕСТОИМОСТЬ СТОКИ 2018'!Z167)</f>
        <v>0</v>
      </c>
      <c r="BJ56" s="4738">
        <v>0</v>
      </c>
      <c r="BK56" s="4800">
        <f t="shared" si="166"/>
        <v>0</v>
      </c>
      <c r="BL56" s="4800">
        <f t="shared" si="166"/>
        <v>0</v>
      </c>
      <c r="BM56" s="4800">
        <f t="shared" si="166"/>
        <v>0</v>
      </c>
      <c r="BN56" s="4746">
        <f t="shared" si="153"/>
        <v>0</v>
      </c>
      <c r="BO56" s="4746" t="e">
        <f t="shared" si="154"/>
        <v>#DIV/0!</v>
      </c>
      <c r="BP56" s="4800">
        <f t="shared" si="167"/>
        <v>0</v>
      </c>
      <c r="BQ56" s="4800">
        <f t="shared" si="167"/>
        <v>0</v>
      </c>
      <c r="BR56" s="4800">
        <f t="shared" si="167"/>
        <v>0</v>
      </c>
      <c r="BS56" s="4746">
        <f t="shared" si="157"/>
        <v>0</v>
      </c>
      <c r="BT56" s="4746" t="e">
        <f t="shared" si="158"/>
        <v>#DIV/0!</v>
      </c>
    </row>
    <row r="57" spans="1:72" ht="18.75" hidden="1" customHeight="1">
      <c r="A57" s="4728" t="s">
        <v>286</v>
      </c>
      <c r="B57" s="4752">
        <f>SUM('Произв. прогр. Стоки (СВОД)'!E55)</f>
        <v>0</v>
      </c>
      <c r="C57" s="4737">
        <f>SUM('ПОЛНАЯ СЕБЕСТОИМОСТЬ СТОКИ 2018'!C168)</f>
        <v>0</v>
      </c>
      <c r="D57" s="4751"/>
      <c r="E57" s="4752">
        <f>SUM('Произв. прогр. Стоки (СВОД)'!F55)</f>
        <v>0</v>
      </c>
      <c r="F57" s="4737">
        <f>SUM('ПОЛНАЯ СЕБЕСТОИМОСТЬ СТОКИ 2018'!D168)</f>
        <v>0</v>
      </c>
      <c r="G57" s="4751"/>
      <c r="H57" s="4752">
        <f>SUM('Произв. прогр. Стоки (СВОД)'!G55)</f>
        <v>0</v>
      </c>
      <c r="I57" s="4737">
        <f>SUM('ПОЛНАЯ СЕБЕСТОИМОСТЬ СТОКИ 2018'!E168)</f>
        <v>0</v>
      </c>
      <c r="J57" s="4751"/>
      <c r="K57" s="4799">
        <f t="shared" si="161"/>
        <v>0</v>
      </c>
      <c r="L57" s="4799">
        <f t="shared" si="161"/>
        <v>0</v>
      </c>
      <c r="M57" s="4799">
        <f t="shared" si="161"/>
        <v>0</v>
      </c>
      <c r="N57" s="4742">
        <f t="shared" si="136"/>
        <v>0</v>
      </c>
      <c r="O57" s="4742" t="e">
        <f t="shared" si="137"/>
        <v>#DIV/0!</v>
      </c>
      <c r="P57" s="4752">
        <f>SUM('Произв. прогр. Стоки (СВОД)'!I55)</f>
        <v>0</v>
      </c>
      <c r="Q57" s="4737">
        <f>SUM('ПОЛНАЯ СЕБЕСТОИМОСТЬ СТОКИ 2018'!H168)</f>
        <v>0</v>
      </c>
      <c r="R57" s="4751">
        <v>0</v>
      </c>
      <c r="S57" s="4752">
        <f>SUM('Произв. прогр. Стоки (СВОД)'!J55)</f>
        <v>0</v>
      </c>
      <c r="T57" s="4737">
        <f>SUM('ПОЛНАЯ СЕБЕСТОИМОСТЬ СТОКИ 2018'!I168)</f>
        <v>0</v>
      </c>
      <c r="U57" s="4751">
        <v>0</v>
      </c>
      <c r="V57" s="4752">
        <f>SUM('Произв. прогр. Стоки (СВОД)'!K55)</f>
        <v>0</v>
      </c>
      <c r="W57" s="4737">
        <f>SUM('ПОЛНАЯ СЕБЕСТОИМОСТЬ СТОКИ 2018'!J168)</f>
        <v>0</v>
      </c>
      <c r="X57" s="4751">
        <v>0</v>
      </c>
      <c r="Y57" s="4799">
        <f t="shared" si="162"/>
        <v>0</v>
      </c>
      <c r="Z57" s="4799">
        <f t="shared" si="162"/>
        <v>0</v>
      </c>
      <c r="AA57" s="4799">
        <f t="shared" si="162"/>
        <v>0</v>
      </c>
      <c r="AB57" s="4742">
        <f t="shared" si="139"/>
        <v>0</v>
      </c>
      <c r="AC57" s="4742" t="e">
        <f t="shared" si="140"/>
        <v>#DIV/0!</v>
      </c>
      <c r="AD57" s="4799">
        <f t="shared" si="163"/>
        <v>0</v>
      </c>
      <c r="AE57" s="4799">
        <f t="shared" si="163"/>
        <v>0</v>
      </c>
      <c r="AF57" s="4833">
        <f t="shared" si="163"/>
        <v>0</v>
      </c>
      <c r="AG57" s="4742">
        <f t="shared" si="143"/>
        <v>0</v>
      </c>
      <c r="AH57" s="4742" t="e">
        <f t="shared" si="144"/>
        <v>#DIV/0!</v>
      </c>
      <c r="AI57" s="4752">
        <f>SUM('Произв. прогр. Стоки (СВОД)'!N55)</f>
        <v>0</v>
      </c>
      <c r="AJ57" s="4737">
        <f>SUM('ПОЛНАЯ СЕБЕСТОИМОСТЬ СТОКИ 2018'!P168)</f>
        <v>0</v>
      </c>
      <c r="AK57" s="4751">
        <v>0</v>
      </c>
      <c r="AL57" s="4752">
        <f>SUM('Произв. прогр. Стоки (СВОД)'!O55)</f>
        <v>0</v>
      </c>
      <c r="AM57" s="4737">
        <f>SUM('ПОЛНАЯ СЕБЕСТОИМОСТЬ СТОКИ 2018'!Q168)</f>
        <v>0</v>
      </c>
      <c r="AN57" s="4751">
        <v>0</v>
      </c>
      <c r="AO57" s="4752">
        <f>SUM('Произв. прогр. Стоки (СВОД)'!P55)</f>
        <v>0</v>
      </c>
      <c r="AP57" s="4737">
        <f>SUM('ПОЛНАЯ СЕБЕСТОИМОСТЬ СТОКИ 2018'!R168)</f>
        <v>0</v>
      </c>
      <c r="AQ57" s="4751">
        <v>0</v>
      </c>
      <c r="AR57" s="4799">
        <f t="shared" si="164"/>
        <v>0</v>
      </c>
      <c r="AS57" s="4799">
        <f t="shared" si="164"/>
        <v>0</v>
      </c>
      <c r="AT57" s="4799">
        <f t="shared" si="164"/>
        <v>0</v>
      </c>
      <c r="AU57" s="4742">
        <f t="shared" si="146"/>
        <v>0</v>
      </c>
      <c r="AV57" s="4742" t="e">
        <f t="shared" si="147"/>
        <v>#DIV/0!</v>
      </c>
      <c r="AW57" s="4799">
        <f t="shared" si="165"/>
        <v>0</v>
      </c>
      <c r="AX57" s="4799">
        <f t="shared" si="165"/>
        <v>0</v>
      </c>
      <c r="AY57" s="4799">
        <f t="shared" si="165"/>
        <v>0</v>
      </c>
      <c r="AZ57" s="4742">
        <f t="shared" si="150"/>
        <v>0</v>
      </c>
      <c r="BA57" s="4742" t="e">
        <f t="shared" si="151"/>
        <v>#DIV/0!</v>
      </c>
      <c r="BB57" s="4752">
        <f>SUM('Произв. прогр. Стоки (СВОД)'!S55)</f>
        <v>0</v>
      </c>
      <c r="BC57" s="4737">
        <f>SUM('ПОЛНАЯ СЕБЕСТОИМОСТЬ СТОКИ 2018'!X168)</f>
        <v>0</v>
      </c>
      <c r="BD57" s="4751">
        <v>0</v>
      </c>
      <c r="BE57" s="4752">
        <f>SUM('Произв. прогр. Стоки (СВОД)'!T55)</f>
        <v>0</v>
      </c>
      <c r="BF57" s="4737">
        <f>SUM('ПОЛНАЯ СЕБЕСТОИМОСТЬ СТОКИ 2018'!Y168)</f>
        <v>0</v>
      </c>
      <c r="BG57" s="4751">
        <v>0</v>
      </c>
      <c r="BH57" s="4752">
        <f>SUM('Произв. прогр. Стоки (СВОД)'!U55)</f>
        <v>0</v>
      </c>
      <c r="BI57" s="4737">
        <f>SUM('ПОЛНАЯ СЕБЕСТОИМОСТЬ СТОКИ 2018'!Z168)</f>
        <v>0</v>
      </c>
      <c r="BJ57" s="4751">
        <v>0</v>
      </c>
      <c r="BK57" s="4799">
        <f t="shared" si="166"/>
        <v>0</v>
      </c>
      <c r="BL57" s="4799">
        <f t="shared" si="166"/>
        <v>0</v>
      </c>
      <c r="BM57" s="4799">
        <f t="shared" si="166"/>
        <v>0</v>
      </c>
      <c r="BN57" s="4742">
        <f t="shared" si="153"/>
        <v>0</v>
      </c>
      <c r="BO57" s="4742" t="e">
        <f t="shared" si="154"/>
        <v>#DIV/0!</v>
      </c>
      <c r="BP57" s="4799">
        <f t="shared" si="167"/>
        <v>0</v>
      </c>
      <c r="BQ57" s="4799">
        <f t="shared" si="167"/>
        <v>0</v>
      </c>
      <c r="BR57" s="4799">
        <f t="shared" si="167"/>
        <v>0</v>
      </c>
      <c r="BS57" s="4742">
        <f t="shared" si="157"/>
        <v>0</v>
      </c>
      <c r="BT57" s="4742" t="e">
        <f t="shared" si="158"/>
        <v>#DIV/0!</v>
      </c>
    </row>
    <row r="58" spans="1:72" ht="18.75" customHeight="1">
      <c r="A58" s="4620" t="s">
        <v>1731</v>
      </c>
      <c r="B58" s="4737">
        <f>SUM('Произв. прогр. Стоки (СВОД)'!E56)</f>
        <v>30.447373288280442</v>
      </c>
      <c r="C58" s="4737">
        <f>SUM('ПОЛНАЯ СЕБЕСТОИМОСТЬ СТОКИ 2018'!C169)</f>
        <v>0</v>
      </c>
      <c r="D58" s="4738"/>
      <c r="E58" s="4737">
        <f>SUM('Произв. прогр. Стоки (СВОД)'!F56)</f>
        <v>30.447373288280442</v>
      </c>
      <c r="F58" s="4737">
        <f>SUM('ПОЛНАЯ СЕБЕСТОИМОСТЬ СТОКИ 2018'!D169)</f>
        <v>0</v>
      </c>
      <c r="G58" s="4738"/>
      <c r="H58" s="4737">
        <f>SUM('Произв. прогр. Стоки (СВОД)'!G56)</f>
        <v>30.447373288280442</v>
      </c>
      <c r="I58" s="4737">
        <f>SUM('ПОЛНАЯ СЕБЕСТОИМОСТЬ СТОКИ 2018'!E169)</f>
        <v>0</v>
      </c>
      <c r="J58" s="4738"/>
      <c r="K58" s="4800">
        <f t="shared" si="161"/>
        <v>91.342119864841322</v>
      </c>
      <c r="L58" s="4800">
        <f t="shared" si="161"/>
        <v>0</v>
      </c>
      <c r="M58" s="4800">
        <f t="shared" si="161"/>
        <v>0</v>
      </c>
      <c r="N58" s="4746">
        <f t="shared" si="136"/>
        <v>-91.342119864841322</v>
      </c>
      <c r="O58" s="4746">
        <f t="shared" si="137"/>
        <v>-100</v>
      </c>
      <c r="P58" s="4737">
        <f>SUM('Произв. прогр. Стоки (СВОД)'!I56)</f>
        <v>30.447373288280442</v>
      </c>
      <c r="Q58" s="4737">
        <f>SUM('ПОЛНАЯ СЕБЕСТОИМОСТЬ СТОКИ 2018'!H169)</f>
        <v>0</v>
      </c>
      <c r="R58" s="4738"/>
      <c r="S58" s="4737">
        <f>SUM('Произв. прогр. Стоки (СВОД)'!J56)</f>
        <v>30.447373288280442</v>
      </c>
      <c r="T58" s="4737">
        <f>SUM('ПОЛНАЯ СЕБЕСТОИМОСТЬ СТОКИ 2018'!I169)</f>
        <v>0</v>
      </c>
      <c r="U58" s="4738">
        <v>0</v>
      </c>
      <c r="V58" s="4737">
        <f>SUM('Произв. прогр. Стоки (СВОД)'!K56)</f>
        <v>30.447373288280442</v>
      </c>
      <c r="W58" s="4737">
        <f>SUM('ПОЛНАЯ СЕБЕСТОИМОСТЬ СТОКИ 2018'!J169)</f>
        <v>0</v>
      </c>
      <c r="X58" s="4738"/>
      <c r="Y58" s="4800">
        <f t="shared" si="162"/>
        <v>91.342119864841322</v>
      </c>
      <c r="Z58" s="4800">
        <f t="shared" si="162"/>
        <v>0</v>
      </c>
      <c r="AA58" s="4800">
        <f t="shared" si="162"/>
        <v>0</v>
      </c>
      <c r="AB58" s="4746">
        <f t="shared" si="139"/>
        <v>-91.342119864841322</v>
      </c>
      <c r="AC58" s="4746">
        <f t="shared" si="140"/>
        <v>-100</v>
      </c>
      <c r="AD58" s="4800">
        <f t="shared" si="163"/>
        <v>182.68423972968264</v>
      </c>
      <c r="AE58" s="4800">
        <f t="shared" si="163"/>
        <v>0</v>
      </c>
      <c r="AF58" s="4831">
        <f t="shared" si="163"/>
        <v>0</v>
      </c>
      <c r="AG58" s="4746">
        <f t="shared" si="143"/>
        <v>-182.68423972968264</v>
      </c>
      <c r="AH58" s="4746">
        <f t="shared" si="144"/>
        <v>-100</v>
      </c>
      <c r="AI58" s="4737">
        <f>SUM('Произв. прогр. Стоки (СВОД)'!N56)</f>
        <v>30.447373288280442</v>
      </c>
      <c r="AJ58" s="4737">
        <f>SUM('ПОЛНАЯ СЕБЕСТОИМОСТЬ СТОКИ 2018'!P169)</f>
        <v>0</v>
      </c>
      <c r="AK58" s="4738">
        <v>0</v>
      </c>
      <c r="AL58" s="4737">
        <f>SUM('Произв. прогр. Стоки (СВОД)'!O56)</f>
        <v>30.447373288280442</v>
      </c>
      <c r="AM58" s="4737">
        <f>SUM('ПОЛНАЯ СЕБЕСТОИМОСТЬ СТОКИ 2018'!Q169)</f>
        <v>0</v>
      </c>
      <c r="AN58" s="4738">
        <v>0</v>
      </c>
      <c r="AO58" s="4737">
        <f>SUM('Произв. прогр. Стоки (СВОД)'!P56)</f>
        <v>30.447373288280442</v>
      </c>
      <c r="AP58" s="4737">
        <f>SUM('ПОЛНАЯ СЕБЕСТОИМОСТЬ СТОКИ 2018'!R169)</f>
        <v>0</v>
      </c>
      <c r="AQ58" s="4738">
        <v>0</v>
      </c>
      <c r="AR58" s="4800">
        <f t="shared" si="164"/>
        <v>91.342119864841322</v>
      </c>
      <c r="AS58" s="4800">
        <f t="shared" si="164"/>
        <v>0</v>
      </c>
      <c r="AT58" s="4800">
        <f t="shared" si="164"/>
        <v>0</v>
      </c>
      <c r="AU58" s="4746">
        <f t="shared" si="146"/>
        <v>-91.342119864841322</v>
      </c>
      <c r="AV58" s="4746">
        <f t="shared" si="147"/>
        <v>-100</v>
      </c>
      <c r="AW58" s="4800">
        <f t="shared" si="165"/>
        <v>274.02635959452397</v>
      </c>
      <c r="AX58" s="4800">
        <f t="shared" si="165"/>
        <v>0</v>
      </c>
      <c r="AY58" s="4800">
        <f t="shared" si="165"/>
        <v>0</v>
      </c>
      <c r="AZ58" s="4746">
        <f t="shared" si="150"/>
        <v>-274.02635959452397</v>
      </c>
      <c r="BA58" s="4746">
        <f t="shared" si="151"/>
        <v>-100</v>
      </c>
      <c r="BB58" s="4737">
        <f>SUM('Произв. прогр. Стоки (СВОД)'!S56)</f>
        <v>30.447373288280442</v>
      </c>
      <c r="BC58" s="4737">
        <f>SUM('ПОЛНАЯ СЕБЕСТОИМОСТЬ СТОКИ 2018'!X169)</f>
        <v>0</v>
      </c>
      <c r="BD58" s="4738">
        <v>0</v>
      </c>
      <c r="BE58" s="4737">
        <f>SUM('Произв. прогр. Стоки (СВОД)'!T56)</f>
        <v>30.447373288280442</v>
      </c>
      <c r="BF58" s="4737">
        <f>SUM('ПОЛНАЯ СЕБЕСТОИМОСТЬ СТОКИ 2018'!Y169)</f>
        <v>0</v>
      </c>
      <c r="BG58" s="4738"/>
      <c r="BH58" s="4737">
        <f>SUM('Произв. прогр. Стоки (СВОД)'!U56)</f>
        <v>30.447373288280442</v>
      </c>
      <c r="BI58" s="4737">
        <f>SUM('ПОЛНАЯ СЕБЕСТОИМОСТЬ СТОКИ 2018'!Z169)</f>
        <v>0</v>
      </c>
      <c r="BJ58" s="4738"/>
      <c r="BK58" s="4800">
        <f t="shared" si="166"/>
        <v>91.342119864841322</v>
      </c>
      <c r="BL58" s="4800">
        <f t="shared" si="166"/>
        <v>0</v>
      </c>
      <c r="BM58" s="4800">
        <f t="shared" si="166"/>
        <v>0</v>
      </c>
      <c r="BN58" s="4746">
        <f t="shared" si="153"/>
        <v>-91.342119864841322</v>
      </c>
      <c r="BO58" s="4746">
        <f t="shared" si="154"/>
        <v>-100</v>
      </c>
      <c r="BP58" s="4800">
        <f t="shared" si="167"/>
        <v>365.36847945936529</v>
      </c>
      <c r="BQ58" s="4800">
        <f t="shared" si="167"/>
        <v>0</v>
      </c>
      <c r="BR58" s="4800">
        <f t="shared" si="167"/>
        <v>0</v>
      </c>
      <c r="BS58" s="4746">
        <f t="shared" si="157"/>
        <v>-365.36847945936529</v>
      </c>
      <c r="BT58" s="4746">
        <f t="shared" si="158"/>
        <v>-100</v>
      </c>
    </row>
    <row r="59" spans="1:72" ht="18.75" customHeight="1">
      <c r="A59" s="4721" t="s">
        <v>12</v>
      </c>
      <c r="B59" s="4760">
        <f>SUM(B32+B33+B35+B36+B37+B38+B40+B45+B49+B56+B58)</f>
        <v>7224.0283028259628</v>
      </c>
      <c r="C59" s="4760">
        <f t="shared" ref="C59:J59" si="168">SUM(C32+C33+C35+C36+C37+C38+C40+C45+C49+C56+C58)</f>
        <v>6236.98</v>
      </c>
      <c r="D59" s="4760">
        <f t="shared" si="168"/>
        <v>6607.81</v>
      </c>
      <c r="E59" s="4760">
        <f t="shared" si="168"/>
        <v>7211.4197232575007</v>
      </c>
      <c r="F59" s="4760">
        <f t="shared" si="168"/>
        <v>5858.09</v>
      </c>
      <c r="G59" s="4760">
        <f t="shared" si="168"/>
        <v>5728.56</v>
      </c>
      <c r="H59" s="4760">
        <f t="shared" si="168"/>
        <v>7585.9787891391843</v>
      </c>
      <c r="I59" s="4760">
        <f t="shared" si="168"/>
        <v>7601.869999999999</v>
      </c>
      <c r="J59" s="4760">
        <f t="shared" si="168"/>
        <v>6804.6799999999994</v>
      </c>
      <c r="K59" s="4761">
        <f t="shared" si="161"/>
        <v>22021.42681522265</v>
      </c>
      <c r="L59" s="4761">
        <f t="shared" si="161"/>
        <v>19696.939999999999</v>
      </c>
      <c r="M59" s="4761">
        <f t="shared" si="161"/>
        <v>19141.05</v>
      </c>
      <c r="N59" s="4758">
        <f t="shared" si="136"/>
        <v>-2324.4868152226518</v>
      </c>
      <c r="O59" s="4758">
        <f t="shared" si="137"/>
        <v>-10.555568604736431</v>
      </c>
      <c r="P59" s="4760">
        <f t="shared" ref="P59:X59" si="169">SUM(P32+P33+P35+P36+P37+P38+P40+P45+P49+P56+P58)</f>
        <v>7190.7087269656449</v>
      </c>
      <c r="Q59" s="4760">
        <f t="shared" si="169"/>
        <v>6737.2000000000007</v>
      </c>
      <c r="R59" s="4760">
        <f t="shared" si="169"/>
        <v>6865.4800000000005</v>
      </c>
      <c r="S59" s="4760">
        <f t="shared" si="169"/>
        <v>7132.6995103809049</v>
      </c>
      <c r="T59" s="4760">
        <f t="shared" si="169"/>
        <v>6461.1</v>
      </c>
      <c r="U59" s="4760">
        <f t="shared" si="169"/>
        <v>6579.3200000000006</v>
      </c>
      <c r="V59" s="4760">
        <f t="shared" si="169"/>
        <v>7505.6106172520913</v>
      </c>
      <c r="W59" s="4760">
        <f t="shared" si="169"/>
        <v>7100.3099999999995</v>
      </c>
      <c r="X59" s="4760">
        <f t="shared" si="169"/>
        <v>6776.66</v>
      </c>
      <c r="Y59" s="4761">
        <f t="shared" si="162"/>
        <v>21829.018854598642</v>
      </c>
      <c r="Z59" s="4761">
        <f t="shared" si="162"/>
        <v>20298.61</v>
      </c>
      <c r="AA59" s="4761">
        <f t="shared" si="162"/>
        <v>20221.46</v>
      </c>
      <c r="AB59" s="4758">
        <f t="shared" si="139"/>
        <v>-1530.4088545986415</v>
      </c>
      <c r="AC59" s="4758">
        <f t="shared" si="140"/>
        <v>-7.0108916245506636</v>
      </c>
      <c r="AD59" s="4761">
        <f t="shared" si="163"/>
        <v>43850.445669821289</v>
      </c>
      <c r="AE59" s="4761">
        <f t="shared" si="163"/>
        <v>39995.550000000003</v>
      </c>
      <c r="AF59" s="4834">
        <f t="shared" si="163"/>
        <v>39362.509999999995</v>
      </c>
      <c r="AG59" s="4758">
        <f t="shared" si="143"/>
        <v>-3854.895669821286</v>
      </c>
      <c r="AH59" s="4758">
        <f t="shared" si="144"/>
        <v>-8.7910068208823215</v>
      </c>
      <c r="AI59" s="4760">
        <f t="shared" ref="AI59:AQ59" si="170">SUM(AI32+AI33+AI35+AI36+AI37+AI38+AI40+AI45+AI49+AI56+AI58)</f>
        <v>7398.0413363426314</v>
      </c>
      <c r="AJ59" s="4760">
        <f t="shared" si="170"/>
        <v>0</v>
      </c>
      <c r="AK59" s="4760">
        <f t="shared" si="170"/>
        <v>6301</v>
      </c>
      <c r="AL59" s="4760">
        <f t="shared" si="170"/>
        <v>7397.1957015947946</v>
      </c>
      <c r="AM59" s="4760">
        <f t="shared" si="170"/>
        <v>0</v>
      </c>
      <c r="AN59" s="4760">
        <f t="shared" si="170"/>
        <v>7179.93</v>
      </c>
      <c r="AO59" s="4760">
        <f t="shared" si="170"/>
        <v>7824.6712935682435</v>
      </c>
      <c r="AP59" s="4760">
        <f t="shared" si="170"/>
        <v>0</v>
      </c>
      <c r="AQ59" s="4760">
        <f t="shared" si="170"/>
        <v>6585.5</v>
      </c>
      <c r="AR59" s="4761">
        <f t="shared" si="164"/>
        <v>22619.908331505671</v>
      </c>
      <c r="AS59" s="4761">
        <f t="shared" si="164"/>
        <v>0</v>
      </c>
      <c r="AT59" s="4761">
        <f t="shared" si="164"/>
        <v>20066.43</v>
      </c>
      <c r="AU59" s="4758">
        <f t="shared" si="146"/>
        <v>-22619.908331505671</v>
      </c>
      <c r="AV59" s="4758">
        <f t="shared" si="147"/>
        <v>-100</v>
      </c>
      <c r="AW59" s="4761">
        <f t="shared" si="165"/>
        <v>66470.354001326952</v>
      </c>
      <c r="AX59" s="4761">
        <f t="shared" si="165"/>
        <v>39995.550000000003</v>
      </c>
      <c r="AY59" s="4761">
        <f t="shared" si="165"/>
        <v>59428.939999999995</v>
      </c>
      <c r="AZ59" s="4758">
        <f t="shared" si="150"/>
        <v>-26474.804001326949</v>
      </c>
      <c r="BA59" s="4758">
        <f t="shared" si="151"/>
        <v>-39.829491506542048</v>
      </c>
      <c r="BB59" s="4760">
        <f t="shared" ref="BB59:BJ59" si="171">SUM(BB32+BB33+BB35+BB36+BB37+BB38+BB40+BB45+BB49+BB56+BB58)</f>
        <v>7469.0721846456354</v>
      </c>
      <c r="BC59" s="4760">
        <f t="shared" si="171"/>
        <v>0</v>
      </c>
      <c r="BD59" s="4760">
        <f t="shared" si="171"/>
        <v>6043.1500000000005</v>
      </c>
      <c r="BE59" s="4760">
        <f t="shared" si="171"/>
        <v>7478.6671602728484</v>
      </c>
      <c r="BF59" s="4760">
        <f t="shared" si="171"/>
        <v>0</v>
      </c>
      <c r="BG59" s="4760">
        <f t="shared" si="171"/>
        <v>6312.51</v>
      </c>
      <c r="BH59" s="4760">
        <f t="shared" si="171"/>
        <v>7873.0885405705312</v>
      </c>
      <c r="BI59" s="4760">
        <f t="shared" si="171"/>
        <v>0</v>
      </c>
      <c r="BJ59" s="4760">
        <f t="shared" si="171"/>
        <v>6574.7300000000005</v>
      </c>
      <c r="BK59" s="4761">
        <f t="shared" si="166"/>
        <v>22820.827885489016</v>
      </c>
      <c r="BL59" s="4761">
        <f t="shared" si="166"/>
        <v>0</v>
      </c>
      <c r="BM59" s="4761">
        <f t="shared" si="166"/>
        <v>18930.39</v>
      </c>
      <c r="BN59" s="4758">
        <f t="shared" si="153"/>
        <v>-22820.827885489016</v>
      </c>
      <c r="BO59" s="4758">
        <f t="shared" si="154"/>
        <v>-100</v>
      </c>
      <c r="BP59" s="4761">
        <f>SUM(AW59+BK59)</f>
        <v>89291.181886815961</v>
      </c>
      <c r="BQ59" s="4761">
        <f t="shared" si="167"/>
        <v>39995.550000000003</v>
      </c>
      <c r="BR59" s="4761">
        <f t="shared" si="167"/>
        <v>78359.329999999987</v>
      </c>
      <c r="BS59" s="4758">
        <f t="shared" si="157"/>
        <v>-49295.631886815958</v>
      </c>
      <c r="BT59" s="4758">
        <f t="shared" si="158"/>
        <v>-55.207726950352487</v>
      </c>
    </row>
    <row r="60" spans="1:72" ht="18.75" customHeight="1">
      <c r="A60" s="4721" t="s">
        <v>13</v>
      </c>
      <c r="B60" s="4760">
        <f>SUM(B9)</f>
        <v>277.74250000000001</v>
      </c>
      <c r="C60" s="4760">
        <f t="shared" ref="C60:J60" si="172">SUM(C9)</f>
        <v>270.68799999999999</v>
      </c>
      <c r="D60" s="4760">
        <f t="shared" si="172"/>
        <v>257.02000000000004</v>
      </c>
      <c r="E60" s="4760">
        <f t="shared" si="172"/>
        <v>276.1275</v>
      </c>
      <c r="F60" s="4760">
        <f t="shared" si="172"/>
        <v>264.64999999999998</v>
      </c>
      <c r="G60" s="4760">
        <f t="shared" si="172"/>
        <v>271.67999999999995</v>
      </c>
      <c r="H60" s="4760">
        <f t="shared" si="172"/>
        <v>276.1275</v>
      </c>
      <c r="I60" s="4760">
        <f t="shared" si="172"/>
        <v>261.37</v>
      </c>
      <c r="J60" s="4760">
        <f t="shared" si="172"/>
        <v>261.83000000000004</v>
      </c>
      <c r="K60" s="4761">
        <f t="shared" si="161"/>
        <v>829.99749999999995</v>
      </c>
      <c r="L60" s="4761">
        <f t="shared" si="161"/>
        <v>796.70799999999997</v>
      </c>
      <c r="M60" s="4761">
        <f t="shared" si="161"/>
        <v>790.53000000000009</v>
      </c>
      <c r="N60" s="4758">
        <f t="shared" si="136"/>
        <v>-33.289499999999975</v>
      </c>
      <c r="O60" s="4758">
        <f t="shared" si="137"/>
        <v>-4.010795213238592</v>
      </c>
      <c r="P60" s="4760">
        <f t="shared" ref="P60:X60" si="173">SUM(P9)</f>
        <v>274.51249999999993</v>
      </c>
      <c r="Q60" s="4760">
        <f t="shared" si="173"/>
        <v>274.02999999999997</v>
      </c>
      <c r="R60" s="4760">
        <f t="shared" si="173"/>
        <v>285.02999999999997</v>
      </c>
      <c r="S60" s="4760">
        <f t="shared" si="173"/>
        <v>259.97749999999996</v>
      </c>
      <c r="T60" s="4760">
        <f t="shared" si="173"/>
        <v>261.78999999999996</v>
      </c>
      <c r="U60" s="4760">
        <f t="shared" si="173"/>
        <v>266.5</v>
      </c>
      <c r="V60" s="4760">
        <f t="shared" si="173"/>
        <v>259.97749999999996</v>
      </c>
      <c r="W60" s="4760">
        <f t="shared" si="173"/>
        <v>281.02999999999997</v>
      </c>
      <c r="X60" s="4760">
        <f t="shared" si="173"/>
        <v>259.78999999999996</v>
      </c>
      <c r="Y60" s="4761">
        <f t="shared" si="162"/>
        <v>794.46749999999986</v>
      </c>
      <c r="Z60" s="4761">
        <f t="shared" si="162"/>
        <v>816.84999999999991</v>
      </c>
      <c r="AA60" s="4761">
        <f t="shared" si="162"/>
        <v>811.31999999999994</v>
      </c>
      <c r="AB60" s="4758">
        <f t="shared" si="139"/>
        <v>22.38250000000005</v>
      </c>
      <c r="AC60" s="4758">
        <f t="shared" si="140"/>
        <v>2.8172958616935309</v>
      </c>
      <c r="AD60" s="4761">
        <f t="shared" si="163"/>
        <v>1624.4649999999997</v>
      </c>
      <c r="AE60" s="4761">
        <f t="shared" si="163"/>
        <v>1613.558</v>
      </c>
      <c r="AF60" s="4834">
        <f t="shared" si="163"/>
        <v>1601.85</v>
      </c>
      <c r="AG60" s="4758">
        <f t="shared" si="143"/>
        <v>-10.906999999999698</v>
      </c>
      <c r="AH60" s="4758">
        <f t="shared" si="144"/>
        <v>-0.67142105246956385</v>
      </c>
      <c r="AI60" s="4760">
        <f t="shared" ref="AI60:AQ60" si="174">SUM(AI9)</f>
        <v>259.97749999999996</v>
      </c>
      <c r="AJ60" s="4760">
        <f t="shared" si="174"/>
        <v>0</v>
      </c>
      <c r="AK60" s="4760">
        <f t="shared" si="174"/>
        <v>232.16</v>
      </c>
      <c r="AL60" s="4760">
        <f t="shared" si="174"/>
        <v>259.97749999999996</v>
      </c>
      <c r="AM60" s="4760">
        <f t="shared" si="174"/>
        <v>0</v>
      </c>
      <c r="AN60" s="4760">
        <f t="shared" si="174"/>
        <v>244.42</v>
      </c>
      <c r="AO60" s="4760">
        <f t="shared" si="174"/>
        <v>274.51249999999993</v>
      </c>
      <c r="AP60" s="4760">
        <f t="shared" si="174"/>
        <v>0</v>
      </c>
      <c r="AQ60" s="4760">
        <f t="shared" si="174"/>
        <v>260.64999999999998</v>
      </c>
      <c r="AR60" s="4761">
        <f t="shared" si="164"/>
        <v>794.46749999999986</v>
      </c>
      <c r="AS60" s="4761">
        <f t="shared" si="164"/>
        <v>0</v>
      </c>
      <c r="AT60" s="4761">
        <f t="shared" si="164"/>
        <v>737.23</v>
      </c>
      <c r="AU60" s="4758">
        <f t="shared" si="146"/>
        <v>-794.46749999999986</v>
      </c>
      <c r="AV60" s="4758">
        <f t="shared" si="147"/>
        <v>-100</v>
      </c>
      <c r="AW60" s="4761">
        <f t="shared" si="165"/>
        <v>2418.9324999999994</v>
      </c>
      <c r="AX60" s="4761">
        <f t="shared" si="165"/>
        <v>1613.558</v>
      </c>
      <c r="AY60" s="4761">
        <f t="shared" si="165"/>
        <v>2339.08</v>
      </c>
      <c r="AZ60" s="4758">
        <f t="shared" si="150"/>
        <v>-805.37449999999944</v>
      </c>
      <c r="BA60" s="4758">
        <f t="shared" si="151"/>
        <v>-33.294624798335612</v>
      </c>
      <c r="BB60" s="4760">
        <f t="shared" ref="BB60:BJ60" si="175">SUM(BB9)</f>
        <v>276.1275</v>
      </c>
      <c r="BC60" s="4760">
        <f t="shared" si="175"/>
        <v>0</v>
      </c>
      <c r="BD60" s="4760">
        <f t="shared" si="175"/>
        <v>302.05</v>
      </c>
      <c r="BE60" s="4760">
        <f t="shared" si="175"/>
        <v>276.1275</v>
      </c>
      <c r="BF60" s="4760">
        <f t="shared" si="175"/>
        <v>0</v>
      </c>
      <c r="BG60" s="4760">
        <f t="shared" si="175"/>
        <v>289.8</v>
      </c>
      <c r="BH60" s="4760">
        <f t="shared" si="175"/>
        <v>277.74250000000001</v>
      </c>
      <c r="BI60" s="4760">
        <f t="shared" si="175"/>
        <v>0</v>
      </c>
      <c r="BJ60" s="4760">
        <f t="shared" si="175"/>
        <v>266.39</v>
      </c>
      <c r="BK60" s="4761">
        <f t="shared" si="166"/>
        <v>829.99749999999995</v>
      </c>
      <c r="BL60" s="4761">
        <f t="shared" si="166"/>
        <v>0</v>
      </c>
      <c r="BM60" s="4761">
        <f t="shared" si="166"/>
        <v>858.24</v>
      </c>
      <c r="BN60" s="4758">
        <f t="shared" si="153"/>
        <v>-829.99749999999995</v>
      </c>
      <c r="BO60" s="4758">
        <f t="shared" si="154"/>
        <v>-100</v>
      </c>
      <c r="BP60" s="4761">
        <f t="shared" si="167"/>
        <v>3248.9299999999994</v>
      </c>
      <c r="BQ60" s="4761">
        <f t="shared" si="167"/>
        <v>1613.558</v>
      </c>
      <c r="BR60" s="4761">
        <f t="shared" si="167"/>
        <v>3197.3199999999997</v>
      </c>
      <c r="BS60" s="4758">
        <f t="shared" si="157"/>
        <v>-1635.3719999999994</v>
      </c>
      <c r="BT60" s="4758">
        <f t="shared" si="158"/>
        <v>-50.335710526234777</v>
      </c>
    </row>
    <row r="61" spans="1:72" ht="18.75" customHeight="1">
      <c r="A61" s="4721" t="s">
        <v>14</v>
      </c>
      <c r="B61" s="4760">
        <f t="shared" ref="B61:M61" si="176">SUM(B59/B60)</f>
        <v>26.009805135425665</v>
      </c>
      <c r="C61" s="4760">
        <f t="shared" si="176"/>
        <v>23.041213500413761</v>
      </c>
      <c r="D61" s="4760">
        <f t="shared" si="176"/>
        <v>25.709322231732937</v>
      </c>
      <c r="E61" s="4760">
        <f t="shared" si="176"/>
        <v>26.116267750432321</v>
      </c>
      <c r="F61" s="4760">
        <f t="shared" si="176"/>
        <v>22.135235216323448</v>
      </c>
      <c r="G61" s="4760">
        <f t="shared" si="176"/>
        <v>21.085689045936402</v>
      </c>
      <c r="H61" s="4760">
        <f t="shared" si="176"/>
        <v>27.472739184395557</v>
      </c>
      <c r="I61" s="4760">
        <f t="shared" si="176"/>
        <v>29.084707502773842</v>
      </c>
      <c r="J61" s="4760">
        <f t="shared" si="176"/>
        <v>25.988924111064424</v>
      </c>
      <c r="K61" s="4761">
        <f t="shared" si="176"/>
        <v>26.53191945183287</v>
      </c>
      <c r="L61" s="4761">
        <f t="shared" si="176"/>
        <v>24.722909773718854</v>
      </c>
      <c r="M61" s="4761">
        <f t="shared" si="176"/>
        <v>24.212933095518192</v>
      </c>
      <c r="N61" s="4758">
        <f t="shared" si="136"/>
        <v>-1.8090096781140161</v>
      </c>
      <c r="O61" s="4758">
        <f t="shared" si="137"/>
        <v>-6.8182389947254523</v>
      </c>
      <c r="P61" s="4760">
        <f t="shared" ref="P61:AA61" si="177">SUM(P59/P60)</f>
        <v>26.194467381141649</v>
      </c>
      <c r="Q61" s="4760">
        <f t="shared" si="177"/>
        <v>24.585629310659421</v>
      </c>
      <c r="R61" s="4760">
        <f t="shared" si="177"/>
        <v>24.086868048977305</v>
      </c>
      <c r="S61" s="4760">
        <f t="shared" si="177"/>
        <v>27.435833910168789</v>
      </c>
      <c r="T61" s="4760">
        <f t="shared" si="177"/>
        <v>24.680469078268846</v>
      </c>
      <c r="U61" s="4760">
        <f t="shared" si="177"/>
        <v>24.687879924953098</v>
      </c>
      <c r="V61" s="4760">
        <f t="shared" si="177"/>
        <v>28.870231528698032</v>
      </c>
      <c r="W61" s="4760">
        <f t="shared" si="177"/>
        <v>25.265309753407109</v>
      </c>
      <c r="X61" s="4760">
        <f t="shared" si="177"/>
        <v>26.085145694599486</v>
      </c>
      <c r="Y61" s="4761">
        <f t="shared" si="177"/>
        <v>27.476289281309363</v>
      </c>
      <c r="Z61" s="4761">
        <f t="shared" si="177"/>
        <v>24.849862275815635</v>
      </c>
      <c r="AA61" s="4761">
        <f t="shared" si="177"/>
        <v>24.924148301533304</v>
      </c>
      <c r="AB61" s="4758">
        <f t="shared" si="139"/>
        <v>-2.6264270054937278</v>
      </c>
      <c r="AC61" s="4758">
        <f t="shared" si="140"/>
        <v>-9.5588854033515531</v>
      </c>
      <c r="AD61" s="4761">
        <f>SUM(AD59/AD60)</f>
        <v>26.99377682487545</v>
      </c>
      <c r="AE61" s="4761">
        <f>SUM(AE59/AE60)</f>
        <v>24.787178397057932</v>
      </c>
      <c r="AF61" s="4761">
        <f>SUM(AF59/AF60)</f>
        <v>24.57315603833068</v>
      </c>
      <c r="AG61" s="4758">
        <f t="shared" si="143"/>
        <v>-2.2065984278175179</v>
      </c>
      <c r="AH61" s="4758">
        <f t="shared" si="144"/>
        <v>-8.174470886875234</v>
      </c>
      <c r="AI61" s="4760">
        <f t="shared" ref="AI61:AT61" si="178">SUM(AI59/AI60)</f>
        <v>28.456467718716553</v>
      </c>
      <c r="AJ61" s="4760" t="e">
        <f t="shared" si="178"/>
        <v>#DIV/0!</v>
      </c>
      <c r="AK61" s="4760">
        <f t="shared" si="178"/>
        <v>27.140764989662301</v>
      </c>
      <c r="AL61" s="4760">
        <f t="shared" si="178"/>
        <v>28.453214995893088</v>
      </c>
      <c r="AM61" s="4760" t="e">
        <f t="shared" si="178"/>
        <v>#DIV/0!</v>
      </c>
      <c r="AN61" s="4760">
        <f t="shared" si="178"/>
        <v>29.375378446935606</v>
      </c>
      <c r="AO61" s="4760">
        <f t="shared" si="178"/>
        <v>28.503879763465218</v>
      </c>
      <c r="AP61" s="4760" t="e">
        <f t="shared" si="178"/>
        <v>#DIV/0!</v>
      </c>
      <c r="AQ61" s="4760">
        <f t="shared" si="178"/>
        <v>25.265681948973722</v>
      </c>
      <c r="AR61" s="4761">
        <f t="shared" si="178"/>
        <v>28.471785606718555</v>
      </c>
      <c r="AS61" s="4761" t="e">
        <f t="shared" si="178"/>
        <v>#DIV/0!</v>
      </c>
      <c r="AT61" s="4761">
        <f t="shared" si="178"/>
        <v>27.218683450212282</v>
      </c>
      <c r="AU61" s="4758" t="e">
        <f t="shared" si="146"/>
        <v>#DIV/0!</v>
      </c>
      <c r="AV61" s="4758" t="e">
        <f t="shared" si="147"/>
        <v>#DIV/0!</v>
      </c>
      <c r="AW61" s="4761">
        <f>SUM(AW59/AW60)</f>
        <v>27.479209941297231</v>
      </c>
      <c r="AX61" s="4761">
        <f>SUM(AX59/AX60)</f>
        <v>24.787178397057932</v>
      </c>
      <c r="AY61" s="4761">
        <f>SUM(AY59/AY60)</f>
        <v>25.406971971886382</v>
      </c>
      <c r="AZ61" s="4758">
        <f t="shared" si="150"/>
        <v>-2.692031544239299</v>
      </c>
      <c r="BA61" s="4758">
        <f t="shared" si="151"/>
        <v>-9.796611874905361</v>
      </c>
      <c r="BB61" s="4760">
        <f t="shared" ref="BB61:BM61" si="179">SUM(BB59/BB60)</f>
        <v>27.049360113156549</v>
      </c>
      <c r="BC61" s="4760" t="e">
        <f t="shared" si="179"/>
        <v>#DIV/0!</v>
      </c>
      <c r="BD61" s="4760">
        <f t="shared" si="179"/>
        <v>20.007118026816752</v>
      </c>
      <c r="BE61" s="4760">
        <f t="shared" si="179"/>
        <v>27.084108465375049</v>
      </c>
      <c r="BF61" s="4760" t="e">
        <f t="shared" si="179"/>
        <v>#DIV/0!</v>
      </c>
      <c r="BG61" s="4760">
        <f t="shared" si="179"/>
        <v>21.782298136645963</v>
      </c>
      <c r="BH61" s="4760">
        <f t="shared" si="179"/>
        <v>28.34671877933889</v>
      </c>
      <c r="BI61" s="4760" t="e">
        <f t="shared" si="179"/>
        <v>#DIV/0!</v>
      </c>
      <c r="BJ61" s="4760">
        <f t="shared" si="179"/>
        <v>24.680843875520857</v>
      </c>
      <c r="BK61" s="4761">
        <f t="shared" si="179"/>
        <v>27.495056172445118</v>
      </c>
      <c r="BL61" s="4761" t="e">
        <f t="shared" si="179"/>
        <v>#DIV/0!</v>
      </c>
      <c r="BM61" s="4761">
        <f t="shared" si="179"/>
        <v>22.057221756152124</v>
      </c>
      <c r="BN61" s="4758" t="e">
        <f t="shared" si="153"/>
        <v>#DIV/0!</v>
      </c>
      <c r="BO61" s="4758" t="e">
        <f t="shared" si="154"/>
        <v>#DIV/0!</v>
      </c>
      <c r="BP61" s="4761">
        <f>SUM(BP59/BP60)</f>
        <v>27.48325814554822</v>
      </c>
      <c r="BQ61" s="4761">
        <f>SUM(BQ59/BQ60)</f>
        <v>24.787178397057932</v>
      </c>
      <c r="BR61" s="4761">
        <f>SUM(BR59/BR60)</f>
        <v>24.507815920833696</v>
      </c>
      <c r="BS61" s="4758">
        <f t="shared" si="157"/>
        <v>-2.6960797484902876</v>
      </c>
      <c r="BT61" s="4758">
        <f t="shared" si="158"/>
        <v>-9.809898572476941</v>
      </c>
    </row>
    <row r="62" spans="1:72" ht="18.75" customHeight="1">
      <c r="A62" s="4721" t="s">
        <v>1909</v>
      </c>
      <c r="B62" s="4760">
        <f>SUM('Произв. прогр. Стоки (СВОД)'!E60)</f>
        <v>1155.8933333333332</v>
      </c>
      <c r="C62" s="4760"/>
      <c r="D62" s="4760"/>
      <c r="E62" s="4760">
        <f>SUM('Произв. прогр. Стоки (СВОД)'!F60)</f>
        <v>1155.8933333333332</v>
      </c>
      <c r="F62" s="4760"/>
      <c r="G62" s="4760"/>
      <c r="H62" s="4760">
        <f>SUM('Произв. прогр. Стоки (СВОД)'!G60)</f>
        <v>1155.8933333333332</v>
      </c>
      <c r="I62" s="4760"/>
      <c r="J62" s="4760"/>
      <c r="K62" s="4800">
        <f t="shared" ref="K62" si="180">SUM(B62+E62+H62)</f>
        <v>3467.6799999999994</v>
      </c>
      <c r="L62" s="4800">
        <f t="shared" ref="L62" si="181">SUM(C62+F62+I62)</f>
        <v>0</v>
      </c>
      <c r="M62" s="4800">
        <f t="shared" ref="M62" si="182">SUM(D62+G62+J62)</f>
        <v>0</v>
      </c>
      <c r="N62" s="4746">
        <f t="shared" ref="N62:N63" si="183">SUM(L62-K62)</f>
        <v>-3467.6799999999994</v>
      </c>
      <c r="O62" s="4746">
        <f t="shared" ref="O62:O63" si="184">SUM(N62/K62*100)</f>
        <v>-100</v>
      </c>
      <c r="P62" s="4760">
        <f>SUM('Произв. прогр. Стоки (СВОД)'!I60)</f>
        <v>1155.8933333333332</v>
      </c>
      <c r="Q62" s="4760"/>
      <c r="R62" s="4760"/>
      <c r="S62" s="4760">
        <f>SUM('Произв. прогр. Стоки (СВОД)'!J60)</f>
        <v>1155.8933333333332</v>
      </c>
      <c r="T62" s="4760"/>
      <c r="U62" s="4760"/>
      <c r="V62" s="4760">
        <f>SUM('Произв. прогр. Стоки (СВОД)'!K60)</f>
        <v>1155.8933333333332</v>
      </c>
      <c r="W62" s="4760"/>
      <c r="X62" s="4760"/>
      <c r="Y62" s="4800">
        <f t="shared" ref="Y62:Y63" si="185">SUM(P62+S62+V62)</f>
        <v>3467.6799999999994</v>
      </c>
      <c r="Z62" s="4800">
        <f t="shared" ref="Z62:Z63" si="186">SUM(Q62+T62+W62)</f>
        <v>0</v>
      </c>
      <c r="AA62" s="4800">
        <f t="shared" ref="AA62:AA63" si="187">SUM(R62+U62+X62)</f>
        <v>0</v>
      </c>
      <c r="AB62" s="4746">
        <f t="shared" ref="AB62:AB63" si="188">SUM(Z62-Y62)</f>
        <v>-3467.6799999999994</v>
      </c>
      <c r="AC62" s="4746">
        <f t="shared" ref="AC62:AC63" si="189">SUM(AB62/Y62*100)</f>
        <v>-100</v>
      </c>
      <c r="AD62" s="4800">
        <f t="shared" ref="AD62:AD63" si="190">SUM(K62+Y62)</f>
        <v>6935.3599999999988</v>
      </c>
      <c r="AE62" s="4800">
        <f t="shared" ref="AE62:AE63" si="191">SUM(L62+Z62)</f>
        <v>0</v>
      </c>
      <c r="AF62" s="4831">
        <f t="shared" ref="AF62:AF63" si="192">SUM(M62+AA62)</f>
        <v>0</v>
      </c>
      <c r="AG62" s="4746">
        <f t="shared" ref="AG62:AG63" si="193">SUM(AE62-AD62)</f>
        <v>-6935.3599999999988</v>
      </c>
      <c r="AH62" s="4746">
        <f t="shared" ref="AH62:AH63" si="194">SUM(AG62/AD62*100)</f>
        <v>-100</v>
      </c>
      <c r="AI62" s="4760">
        <f>SUM('Произв. прогр. Стоки (СВОД)'!N60)</f>
        <v>1155.8933333333332</v>
      </c>
      <c r="AJ62" s="4760"/>
      <c r="AK62" s="4760"/>
      <c r="AL62" s="4760">
        <f>SUM('Произв. прогр. Стоки (СВОД)'!O60)</f>
        <v>1155.8933333333332</v>
      </c>
      <c r="AM62" s="4760"/>
      <c r="AN62" s="4760"/>
      <c r="AO62" s="4760">
        <f>SUM('Произв. прогр. Стоки (СВОД)'!P60)</f>
        <v>1155.8933333333332</v>
      </c>
      <c r="AP62" s="4760"/>
      <c r="AQ62" s="4760"/>
      <c r="AR62" s="4800">
        <f t="shared" ref="AR62:AR63" si="195">SUM(AI62+AL62+AO62)</f>
        <v>3467.6799999999994</v>
      </c>
      <c r="AS62" s="4800">
        <f t="shared" ref="AS62:AS63" si="196">SUM(AJ62+AM62+AP62)</f>
        <v>0</v>
      </c>
      <c r="AT62" s="4800">
        <f t="shared" ref="AT62:AT63" si="197">SUM(AK62+AN62+AQ62)</f>
        <v>0</v>
      </c>
      <c r="AU62" s="4746">
        <f t="shared" ref="AU62:AU63" si="198">SUM(AS62-AR62)</f>
        <v>-3467.6799999999994</v>
      </c>
      <c r="AV62" s="4746">
        <f t="shared" ref="AV62:AV63" si="199">SUM(AU62/AR62*100)</f>
        <v>-100</v>
      </c>
      <c r="AW62" s="4800">
        <f t="shared" ref="AW62:AW63" si="200">SUM(AD62+AR62)</f>
        <v>10403.039999999997</v>
      </c>
      <c r="AX62" s="4800">
        <f t="shared" ref="AX62:AX63" si="201">SUM(AE62+AS62)</f>
        <v>0</v>
      </c>
      <c r="AY62" s="4800">
        <f t="shared" ref="AY62:AY63" si="202">SUM(AF62+AT62)</f>
        <v>0</v>
      </c>
      <c r="AZ62" s="4746">
        <f t="shared" ref="AZ62:AZ63" si="203">SUM(AX62-AW62)</f>
        <v>-10403.039999999997</v>
      </c>
      <c r="BA62" s="4746">
        <f t="shared" ref="BA62:BA63" si="204">SUM(AZ62/AW62*100)</f>
        <v>-100</v>
      </c>
      <c r="BB62" s="4760">
        <f>SUM('Произв. прогр. Стоки (СВОД)'!S60)</f>
        <v>1155.8933333333332</v>
      </c>
      <c r="BC62" s="4760"/>
      <c r="BD62" s="4760"/>
      <c r="BE62" s="4760">
        <f>SUM('Произв. прогр. Стоки (СВОД)'!T60)</f>
        <v>1155.8933333333332</v>
      </c>
      <c r="BF62" s="4760"/>
      <c r="BG62" s="4760"/>
      <c r="BH62" s="4760">
        <f>SUM('Произв. прогр. Стоки (СВОД)'!U60)</f>
        <v>1155.8933333333332</v>
      </c>
      <c r="BI62" s="4760"/>
      <c r="BJ62" s="4760"/>
      <c r="BK62" s="4800">
        <f t="shared" ref="BK62:BK63" si="205">SUM(BB62+BE62+BH62)</f>
        <v>3467.6799999999994</v>
      </c>
      <c r="BL62" s="4800">
        <f t="shared" ref="BL62:BL63" si="206">SUM(BC62+BF62+BI62)</f>
        <v>0</v>
      </c>
      <c r="BM62" s="4800">
        <f t="shared" ref="BM62:BM63" si="207">SUM(BD62+BG62+BJ62)</f>
        <v>0</v>
      </c>
      <c r="BN62" s="4746">
        <f t="shared" ref="BN62:BN63" si="208">SUM(BL62-BK62)</f>
        <v>-3467.6799999999994</v>
      </c>
      <c r="BO62" s="4746">
        <f t="shared" ref="BO62:BO63" si="209">SUM(BN62/BK62*100)</f>
        <v>-100</v>
      </c>
      <c r="BP62" s="4800">
        <f t="shared" ref="BP62:BP63" si="210">SUM(AW62+BK62)</f>
        <v>13870.719999999998</v>
      </c>
      <c r="BQ62" s="4800">
        <f t="shared" ref="BQ62:BQ63" si="211">SUM(AX62+BL62)</f>
        <v>0</v>
      </c>
      <c r="BR62" s="4800">
        <f t="shared" ref="BR62:BR63" si="212">SUM(AY62+BM62)</f>
        <v>0</v>
      </c>
      <c r="BS62" s="4746">
        <f t="shared" ref="BS62:BS63" si="213">SUM(BQ62-BP62)</f>
        <v>-13870.719999999998</v>
      </c>
      <c r="BT62" s="4746">
        <f t="shared" ref="BT62:BT63" si="214">SUM(BS62/BP62*100)</f>
        <v>-100</v>
      </c>
    </row>
    <row r="63" spans="1:72" ht="18.75" customHeight="1">
      <c r="A63" s="4721" t="s">
        <v>1968</v>
      </c>
      <c r="B63" s="4760">
        <f>SUM(B59+B62)</f>
        <v>8379.9216361592953</v>
      </c>
      <c r="C63" s="4760">
        <f t="shared" ref="C63:J63" si="215">SUM(C59+C62)</f>
        <v>6236.98</v>
      </c>
      <c r="D63" s="4760">
        <f t="shared" si="215"/>
        <v>6607.81</v>
      </c>
      <c r="E63" s="4760">
        <f t="shared" si="215"/>
        <v>8367.3130565908341</v>
      </c>
      <c r="F63" s="4760">
        <f t="shared" si="215"/>
        <v>5858.09</v>
      </c>
      <c r="G63" s="4760">
        <f t="shared" si="215"/>
        <v>5728.56</v>
      </c>
      <c r="H63" s="4760">
        <f t="shared" si="215"/>
        <v>8741.8721224725177</v>
      </c>
      <c r="I63" s="4760">
        <f t="shared" si="215"/>
        <v>7601.869999999999</v>
      </c>
      <c r="J63" s="4760">
        <f t="shared" si="215"/>
        <v>6804.6799999999994</v>
      </c>
      <c r="K63" s="4800">
        <f t="shared" ref="K63" si="216">SUM(B63+E63+H63)</f>
        <v>25489.106815222643</v>
      </c>
      <c r="L63" s="4800">
        <f t="shared" ref="L63" si="217">SUM(C63+F63+I63)</f>
        <v>19696.939999999999</v>
      </c>
      <c r="M63" s="4800">
        <f t="shared" ref="M63" si="218">SUM(D63+G63+J63)</f>
        <v>19141.05</v>
      </c>
      <c r="N63" s="4746">
        <f t="shared" si="183"/>
        <v>-5792.1668152226448</v>
      </c>
      <c r="O63" s="4746">
        <f t="shared" si="184"/>
        <v>-22.724087027496147</v>
      </c>
      <c r="P63" s="4760">
        <f t="shared" ref="P63" si="219">SUM(P59+P62)</f>
        <v>8346.6020602989774</v>
      </c>
      <c r="Q63" s="4760">
        <f t="shared" ref="Q63" si="220">SUM(Q59+Q62)</f>
        <v>6737.2000000000007</v>
      </c>
      <c r="R63" s="4760">
        <f t="shared" ref="R63" si="221">SUM(R59+R62)</f>
        <v>6865.4800000000005</v>
      </c>
      <c r="S63" s="4760">
        <f t="shared" ref="S63" si="222">SUM(S59+S62)</f>
        <v>8288.5928437142375</v>
      </c>
      <c r="T63" s="4760">
        <f t="shared" ref="T63" si="223">SUM(T59+T62)</f>
        <v>6461.1</v>
      </c>
      <c r="U63" s="4760">
        <f t="shared" ref="U63" si="224">SUM(U59+U62)</f>
        <v>6579.3200000000006</v>
      </c>
      <c r="V63" s="4760">
        <f t="shared" ref="V63" si="225">SUM(V59+V62)</f>
        <v>8661.5039505854238</v>
      </c>
      <c r="W63" s="4760">
        <f t="shared" ref="W63" si="226">SUM(W59+W62)</f>
        <v>7100.3099999999995</v>
      </c>
      <c r="X63" s="4760">
        <f t="shared" ref="X63" si="227">SUM(X59+X62)</f>
        <v>6776.66</v>
      </c>
      <c r="Y63" s="4800">
        <f t="shared" si="185"/>
        <v>25296.698854598639</v>
      </c>
      <c r="Z63" s="4800">
        <f t="shared" si="186"/>
        <v>20298.61</v>
      </c>
      <c r="AA63" s="4800">
        <f t="shared" si="187"/>
        <v>20221.46</v>
      </c>
      <c r="AB63" s="4746">
        <f t="shared" si="188"/>
        <v>-4998.0888545986381</v>
      </c>
      <c r="AC63" s="4746">
        <f t="shared" si="189"/>
        <v>-19.757869923371622</v>
      </c>
      <c r="AD63" s="4800">
        <f t="shared" si="190"/>
        <v>50785.805669821282</v>
      </c>
      <c r="AE63" s="4800">
        <f t="shared" si="191"/>
        <v>39995.550000000003</v>
      </c>
      <c r="AF63" s="4831">
        <f t="shared" si="192"/>
        <v>39362.509999999995</v>
      </c>
      <c r="AG63" s="4746">
        <f t="shared" si="193"/>
        <v>-10790.255669821279</v>
      </c>
      <c r="AH63" s="4746">
        <f t="shared" si="194"/>
        <v>-21.246597405529062</v>
      </c>
      <c r="AI63" s="4760">
        <f t="shared" ref="AI63" si="228">SUM(AI59+AI62)</f>
        <v>8553.934669675964</v>
      </c>
      <c r="AJ63" s="4760">
        <f t="shared" ref="AJ63" si="229">SUM(AJ59+AJ62)</f>
        <v>0</v>
      </c>
      <c r="AK63" s="4760">
        <f t="shared" ref="AK63" si="230">SUM(AK59+AK62)</f>
        <v>6301</v>
      </c>
      <c r="AL63" s="4760">
        <f t="shared" ref="AL63" si="231">SUM(AL59+AL62)</f>
        <v>8553.0890349281271</v>
      </c>
      <c r="AM63" s="4760">
        <f t="shared" ref="AM63" si="232">SUM(AM59+AM62)</f>
        <v>0</v>
      </c>
      <c r="AN63" s="4760">
        <f t="shared" ref="AN63" si="233">SUM(AN59+AN62)</f>
        <v>7179.93</v>
      </c>
      <c r="AO63" s="4760">
        <f t="shared" ref="AO63" si="234">SUM(AO59+AO62)</f>
        <v>8980.564626901576</v>
      </c>
      <c r="AP63" s="4760">
        <f t="shared" ref="AP63" si="235">SUM(AP59+AP62)</f>
        <v>0</v>
      </c>
      <c r="AQ63" s="4760">
        <f t="shared" ref="AQ63" si="236">SUM(AQ59+AQ62)</f>
        <v>6585.5</v>
      </c>
      <c r="AR63" s="4800">
        <f t="shared" si="195"/>
        <v>26087.588331505671</v>
      </c>
      <c r="AS63" s="4800">
        <f t="shared" si="196"/>
        <v>0</v>
      </c>
      <c r="AT63" s="4800">
        <f t="shared" si="197"/>
        <v>20066.43</v>
      </c>
      <c r="AU63" s="4746">
        <f t="shared" si="198"/>
        <v>-26087.588331505671</v>
      </c>
      <c r="AV63" s="4746">
        <f t="shared" si="199"/>
        <v>-100</v>
      </c>
      <c r="AW63" s="4800">
        <f t="shared" si="200"/>
        <v>76873.39400132696</v>
      </c>
      <c r="AX63" s="4800">
        <f t="shared" si="201"/>
        <v>39995.550000000003</v>
      </c>
      <c r="AY63" s="4800">
        <f t="shared" si="202"/>
        <v>59428.939999999995</v>
      </c>
      <c r="AZ63" s="4746">
        <f t="shared" si="203"/>
        <v>-36877.844001326957</v>
      </c>
      <c r="BA63" s="4746">
        <f t="shared" si="204"/>
        <v>-47.972181377461212</v>
      </c>
      <c r="BB63" s="4760">
        <f t="shared" ref="BB63" si="237">SUM(BB59+BB62)</f>
        <v>8624.9655179789679</v>
      </c>
      <c r="BC63" s="4760">
        <f t="shared" ref="BC63" si="238">SUM(BC59+BC62)</f>
        <v>0</v>
      </c>
      <c r="BD63" s="4760">
        <f t="shared" ref="BD63" si="239">SUM(BD59+BD62)</f>
        <v>6043.1500000000005</v>
      </c>
      <c r="BE63" s="4760">
        <f t="shared" ref="BE63" si="240">SUM(BE59+BE62)</f>
        <v>8634.5604936061809</v>
      </c>
      <c r="BF63" s="4760">
        <f t="shared" ref="BF63" si="241">SUM(BF59+BF62)</f>
        <v>0</v>
      </c>
      <c r="BG63" s="4760">
        <f t="shared" ref="BG63" si="242">SUM(BG59+BG62)</f>
        <v>6312.51</v>
      </c>
      <c r="BH63" s="4760">
        <f t="shared" ref="BH63" si="243">SUM(BH59+BH62)</f>
        <v>9028.9818739038637</v>
      </c>
      <c r="BI63" s="4760">
        <f t="shared" ref="BI63" si="244">SUM(BI59+BI62)</f>
        <v>0</v>
      </c>
      <c r="BJ63" s="4760">
        <f t="shared" ref="BJ63" si="245">SUM(BJ59+BJ62)</f>
        <v>6574.7300000000005</v>
      </c>
      <c r="BK63" s="4800">
        <f t="shared" si="205"/>
        <v>26288.507885489013</v>
      </c>
      <c r="BL63" s="4800">
        <f t="shared" si="206"/>
        <v>0</v>
      </c>
      <c r="BM63" s="4800">
        <f t="shared" si="207"/>
        <v>18930.39</v>
      </c>
      <c r="BN63" s="4746">
        <f t="shared" si="208"/>
        <v>-26288.507885489013</v>
      </c>
      <c r="BO63" s="4746">
        <f t="shared" si="209"/>
        <v>-100</v>
      </c>
      <c r="BP63" s="4800">
        <f t="shared" si="210"/>
        <v>103161.90188681598</v>
      </c>
      <c r="BQ63" s="4800">
        <f t="shared" si="211"/>
        <v>39995.550000000003</v>
      </c>
      <c r="BR63" s="4800">
        <f t="shared" si="212"/>
        <v>78359.329999999987</v>
      </c>
      <c r="BS63" s="4746">
        <f t="shared" si="213"/>
        <v>-63166.351886815974</v>
      </c>
      <c r="BT63" s="4746">
        <f t="shared" si="214"/>
        <v>-61.230309573120223</v>
      </c>
    </row>
    <row r="64" spans="1:72" ht="18.75" customHeight="1">
      <c r="A64" s="4721" t="s">
        <v>1969</v>
      </c>
      <c r="B64" s="4760">
        <f>SUM('Произв. прогр. Стоки (СВОД)'!E66)</f>
        <v>0</v>
      </c>
      <c r="C64" s="4760">
        <f>SUM(C21-C59)</f>
        <v>970.72000000000025</v>
      </c>
      <c r="D64" s="4760">
        <f>SUM(D21-D59)</f>
        <v>-152.18000000000029</v>
      </c>
      <c r="E64" s="4760">
        <f>SUM('Произв. прогр. Стоки (СВОД)'!F66)</f>
        <v>0</v>
      </c>
      <c r="F64" s="4760">
        <f>SUM(F21-F59)</f>
        <v>1189.0900000000001</v>
      </c>
      <c r="G64" s="4760">
        <f>SUM(G21-G59)</f>
        <v>1095.2399999999998</v>
      </c>
      <c r="H64" s="4760">
        <f>SUM('Произв. прогр. Стоки (СВОД)'!G66)</f>
        <v>0</v>
      </c>
      <c r="I64" s="4760">
        <f>SUM(I21-I59)</f>
        <v>-683.05999999999858</v>
      </c>
      <c r="J64" s="4760">
        <f>SUM(J21-J59)</f>
        <v>-265.65999999999985</v>
      </c>
      <c r="K64" s="4761">
        <f t="shared" ref="K64" si="246">SUM(B64+E64+H64)</f>
        <v>0</v>
      </c>
      <c r="L64" s="4761">
        <f t="shared" ref="L64:M65" si="247">SUM(C64+F64+I64)</f>
        <v>1476.7500000000018</v>
      </c>
      <c r="M64" s="4761">
        <f t="shared" si="247"/>
        <v>677.39999999999964</v>
      </c>
      <c r="N64" s="4758">
        <f t="shared" si="136"/>
        <v>1476.7500000000018</v>
      </c>
      <c r="O64" s="4758" t="e">
        <f t="shared" si="137"/>
        <v>#DIV/0!</v>
      </c>
      <c r="P64" s="4760">
        <f>SUM('Произв. прогр. Стоки (СВОД)'!I66)</f>
        <v>0</v>
      </c>
      <c r="Q64" s="4760">
        <f>SUM(Q21-Q59)</f>
        <v>556.22999999999956</v>
      </c>
      <c r="R64" s="4760">
        <f>SUM(R21-R59)</f>
        <v>292.76000000000022</v>
      </c>
      <c r="S64" s="4760">
        <f>SUM('Произв. прогр. Стоки (СВОД)'!J66)</f>
        <v>0</v>
      </c>
      <c r="T64" s="4760">
        <f>SUM(T21-T59)</f>
        <v>504.90999999999985</v>
      </c>
      <c r="U64" s="4760">
        <f>SUM(U21-U59)</f>
        <v>113.49999999999909</v>
      </c>
      <c r="V64" s="4760">
        <f>SUM('Произв. прогр. Стоки (СВОД)'!K66)</f>
        <v>0</v>
      </c>
      <c r="W64" s="4760">
        <f>SUM(W21-W59)</f>
        <v>338.95000000000073</v>
      </c>
      <c r="X64" s="4760">
        <f>SUM(X21-X59)</f>
        <v>-292.4300000000012</v>
      </c>
      <c r="Y64" s="4761">
        <f t="shared" ref="Y64:AA65" si="248">SUM(P64+S64+V64)</f>
        <v>0</v>
      </c>
      <c r="Z64" s="4761">
        <f t="shared" si="248"/>
        <v>1400.0900000000001</v>
      </c>
      <c r="AA64" s="4761">
        <f t="shared" si="248"/>
        <v>113.82999999999811</v>
      </c>
      <c r="AB64" s="4758">
        <f t="shared" si="139"/>
        <v>1400.0900000000001</v>
      </c>
      <c r="AC64" s="4758" t="e">
        <f t="shared" si="140"/>
        <v>#DIV/0!</v>
      </c>
      <c r="AD64" s="4761">
        <f t="shared" ref="AD64:AF65" si="249">SUM(K64+Y64)</f>
        <v>0</v>
      </c>
      <c r="AE64" s="4761">
        <f t="shared" si="249"/>
        <v>2876.840000000002</v>
      </c>
      <c r="AF64" s="4834">
        <f t="shared" si="249"/>
        <v>791.22999999999774</v>
      </c>
      <c r="AG64" s="4758">
        <f t="shared" si="143"/>
        <v>2876.840000000002</v>
      </c>
      <c r="AH64" s="4758" t="e">
        <f t="shared" si="144"/>
        <v>#DIV/0!</v>
      </c>
      <c r="AI64" s="4760">
        <f>SUM('Произв. прогр. Стоки (СВОД)'!N66)</f>
        <v>0</v>
      </c>
      <c r="AJ64" s="4760">
        <f>SUM(AJ21-AJ59)</f>
        <v>0</v>
      </c>
      <c r="AK64" s="4760">
        <f>SUM(AK21-AK59)</f>
        <v>-122.69000000000051</v>
      </c>
      <c r="AL64" s="4760">
        <f>SUM('Произв. прогр. Стоки (СВОД)'!O66)</f>
        <v>0</v>
      </c>
      <c r="AM64" s="4760">
        <f>SUM(AM21-AM59)</f>
        <v>0</v>
      </c>
      <c r="AN64" s="4760">
        <f>SUM(AN21-AN59)</f>
        <v>-674.83999999999924</v>
      </c>
      <c r="AO64" s="4760">
        <f>SUM('Произв. прогр. Стоки (СВОД)'!P66)</f>
        <v>0</v>
      </c>
      <c r="AP64" s="4760">
        <f>SUM(AP21-AP59)</f>
        <v>0</v>
      </c>
      <c r="AQ64" s="4760">
        <f>SUM(AQ21-AQ59)</f>
        <v>309.52999999999975</v>
      </c>
      <c r="AR64" s="4761">
        <f t="shared" ref="AR64:AT65" si="250">SUM(AI64+AL64+AO64)</f>
        <v>0</v>
      </c>
      <c r="AS64" s="4761">
        <f t="shared" si="250"/>
        <v>0</v>
      </c>
      <c r="AT64" s="4761">
        <f t="shared" si="250"/>
        <v>-488</v>
      </c>
      <c r="AU64" s="4758">
        <f t="shared" si="146"/>
        <v>0</v>
      </c>
      <c r="AV64" s="4758" t="e">
        <f t="shared" si="147"/>
        <v>#DIV/0!</v>
      </c>
      <c r="AW64" s="4761">
        <f t="shared" ref="AW64:AY65" si="251">SUM(AD64+AR64)</f>
        <v>0</v>
      </c>
      <c r="AX64" s="4761">
        <f t="shared" si="251"/>
        <v>2876.840000000002</v>
      </c>
      <c r="AY64" s="4761">
        <f t="shared" si="251"/>
        <v>303.22999999999774</v>
      </c>
      <c r="AZ64" s="4758">
        <f t="shared" si="150"/>
        <v>2876.840000000002</v>
      </c>
      <c r="BA64" s="4758" t="e">
        <f t="shared" si="151"/>
        <v>#DIV/0!</v>
      </c>
      <c r="BB64" s="4760">
        <f>SUM('Произв. прогр. Стоки (СВОД)'!S66)</f>
        <v>0</v>
      </c>
      <c r="BC64" s="4760">
        <f>SUM(BC21-BC59)</f>
        <v>0</v>
      </c>
      <c r="BD64" s="4760">
        <f>SUM(BD21-BD59)</f>
        <v>1998.5699999999997</v>
      </c>
      <c r="BE64" s="4760">
        <f>SUM('Произв. прогр. Стоки (СВОД)'!T66)</f>
        <v>0</v>
      </c>
      <c r="BF64" s="4760">
        <f>SUM(BF21-BF59)</f>
        <v>0</v>
      </c>
      <c r="BG64" s="4760">
        <f>SUM(BG21-BG59)</f>
        <v>1400.4799999999996</v>
      </c>
      <c r="BH64" s="4760">
        <f>SUM('Произв. прогр. Стоки (СВОД)'!U66)</f>
        <v>0</v>
      </c>
      <c r="BI64" s="4760">
        <f>SUM(BI21-BI59)</f>
        <v>0</v>
      </c>
      <c r="BJ64" s="4760">
        <f>SUM(BJ21-BJ59)</f>
        <v>471.48000000000047</v>
      </c>
      <c r="BK64" s="4761">
        <f t="shared" ref="BK64:BM65" si="252">SUM(BB64+BE64+BH64)</f>
        <v>0</v>
      </c>
      <c r="BL64" s="4761">
        <f t="shared" si="252"/>
        <v>0</v>
      </c>
      <c r="BM64" s="4761">
        <f t="shared" si="252"/>
        <v>3870.5299999999997</v>
      </c>
      <c r="BN64" s="4758">
        <f t="shared" si="153"/>
        <v>0</v>
      </c>
      <c r="BO64" s="4758" t="e">
        <f t="shared" si="154"/>
        <v>#DIV/0!</v>
      </c>
      <c r="BP64" s="4761">
        <f t="shared" ref="BP64:BR65" si="253">SUM(AW64+BK64)</f>
        <v>0</v>
      </c>
      <c r="BQ64" s="4761">
        <f t="shared" si="253"/>
        <v>2876.840000000002</v>
      </c>
      <c r="BR64" s="4761">
        <f t="shared" si="253"/>
        <v>4173.7599999999975</v>
      </c>
      <c r="BS64" s="4758">
        <f t="shared" si="157"/>
        <v>2876.840000000002</v>
      </c>
      <c r="BT64" s="4758" t="e">
        <f t="shared" si="158"/>
        <v>#DIV/0!</v>
      </c>
    </row>
    <row r="65" spans="1:74" ht="18.75" customHeight="1">
      <c r="A65" s="4721" t="s">
        <v>547</v>
      </c>
      <c r="B65" s="4760">
        <f>SUM(B63+B64)</f>
        <v>8379.9216361592953</v>
      </c>
      <c r="C65" s="4760">
        <f t="shared" ref="C65:J65" si="254">SUM(C63+C64)</f>
        <v>7207.7</v>
      </c>
      <c r="D65" s="4760">
        <f t="shared" si="254"/>
        <v>6455.63</v>
      </c>
      <c r="E65" s="4760">
        <f t="shared" si="254"/>
        <v>8367.3130565908341</v>
      </c>
      <c r="F65" s="4760">
        <f t="shared" si="254"/>
        <v>7047.18</v>
      </c>
      <c r="G65" s="4760">
        <f t="shared" si="254"/>
        <v>6823.8</v>
      </c>
      <c r="H65" s="4760">
        <f t="shared" si="254"/>
        <v>8741.8721224725177</v>
      </c>
      <c r="I65" s="4760">
        <f t="shared" si="254"/>
        <v>6918.81</v>
      </c>
      <c r="J65" s="4760">
        <f t="shared" si="254"/>
        <v>6539.0199999999995</v>
      </c>
      <c r="K65" s="4761">
        <f t="shared" ref="K65" si="255">SUM(B65+E65+H65)</f>
        <v>25489.106815222643</v>
      </c>
      <c r="L65" s="4761">
        <f t="shared" si="247"/>
        <v>21173.690000000002</v>
      </c>
      <c r="M65" s="4761">
        <f t="shared" si="247"/>
        <v>19818.45</v>
      </c>
      <c r="N65" s="4758">
        <f t="shared" si="136"/>
        <v>-4315.4168152226412</v>
      </c>
      <c r="O65" s="4758">
        <f t="shared" si="137"/>
        <v>-16.930435603358926</v>
      </c>
      <c r="P65" s="4760">
        <f t="shared" ref="P65" si="256">SUM(P63+P64)</f>
        <v>8346.6020602989774</v>
      </c>
      <c r="Q65" s="4760">
        <f t="shared" ref="Q65" si="257">SUM(Q63+Q64)</f>
        <v>7293.43</v>
      </c>
      <c r="R65" s="4760">
        <f t="shared" ref="R65" si="258">SUM(R63+R64)</f>
        <v>7158.2400000000007</v>
      </c>
      <c r="S65" s="4760">
        <f t="shared" ref="S65" si="259">SUM(S63+S64)</f>
        <v>8288.5928437142375</v>
      </c>
      <c r="T65" s="4760">
        <f t="shared" ref="T65" si="260">SUM(T63+T64)</f>
        <v>6966.01</v>
      </c>
      <c r="U65" s="4760">
        <f t="shared" ref="U65" si="261">SUM(U63+U64)</f>
        <v>6692.82</v>
      </c>
      <c r="V65" s="4760">
        <f t="shared" ref="V65" si="262">SUM(V63+V64)</f>
        <v>8661.5039505854238</v>
      </c>
      <c r="W65" s="4760">
        <f t="shared" ref="W65" si="263">SUM(W63+W64)</f>
        <v>7439.26</v>
      </c>
      <c r="X65" s="4760">
        <f t="shared" ref="X65" si="264">SUM(X63+X64)</f>
        <v>6484.2299999999987</v>
      </c>
      <c r="Y65" s="4761">
        <f t="shared" si="248"/>
        <v>25296.698854598639</v>
      </c>
      <c r="Z65" s="4761">
        <f t="shared" si="248"/>
        <v>21698.7</v>
      </c>
      <c r="AA65" s="4761">
        <f t="shared" si="248"/>
        <v>20335.29</v>
      </c>
      <c r="AB65" s="4758">
        <f t="shared" si="139"/>
        <v>-3597.998854598638</v>
      </c>
      <c r="AC65" s="4758">
        <f t="shared" si="140"/>
        <v>-14.223195189535826</v>
      </c>
      <c r="AD65" s="4761">
        <f t="shared" si="249"/>
        <v>50785.805669821282</v>
      </c>
      <c r="AE65" s="4761">
        <f t="shared" si="249"/>
        <v>42872.39</v>
      </c>
      <c r="AF65" s="4834">
        <f t="shared" si="249"/>
        <v>40153.740000000005</v>
      </c>
      <c r="AG65" s="4758">
        <f t="shared" si="143"/>
        <v>-7913.4156698212828</v>
      </c>
      <c r="AH65" s="4758">
        <f t="shared" si="144"/>
        <v>-15.581943744812369</v>
      </c>
      <c r="AI65" s="4760">
        <f t="shared" ref="AI65" si="265">SUM(AI63+AI64)</f>
        <v>8553.934669675964</v>
      </c>
      <c r="AJ65" s="4760">
        <f t="shared" ref="AJ65" si="266">SUM(AJ63+AJ64)</f>
        <v>0</v>
      </c>
      <c r="AK65" s="4760">
        <f t="shared" ref="AK65" si="267">SUM(AK63+AK64)</f>
        <v>6178.3099999999995</v>
      </c>
      <c r="AL65" s="4760">
        <f t="shared" ref="AL65" si="268">SUM(AL63+AL64)</f>
        <v>8553.0890349281271</v>
      </c>
      <c r="AM65" s="4760">
        <f t="shared" ref="AM65" si="269">SUM(AM63+AM64)</f>
        <v>0</v>
      </c>
      <c r="AN65" s="4760">
        <f t="shared" ref="AN65" si="270">SUM(AN63+AN64)</f>
        <v>6505.0900000000011</v>
      </c>
      <c r="AO65" s="4760">
        <f t="shared" ref="AO65" si="271">SUM(AO63+AO64)</f>
        <v>8980.564626901576</v>
      </c>
      <c r="AP65" s="4760">
        <f t="shared" ref="AP65" si="272">SUM(AP63+AP64)</f>
        <v>0</v>
      </c>
      <c r="AQ65" s="4760">
        <f t="shared" ref="AQ65" si="273">SUM(AQ63+AQ64)</f>
        <v>6895.03</v>
      </c>
      <c r="AR65" s="4761">
        <f t="shared" si="250"/>
        <v>26087.588331505671</v>
      </c>
      <c r="AS65" s="4761">
        <f t="shared" si="250"/>
        <v>0</v>
      </c>
      <c r="AT65" s="4761">
        <f t="shared" si="250"/>
        <v>19578.43</v>
      </c>
      <c r="AU65" s="4758">
        <f t="shared" si="146"/>
        <v>-26087.588331505671</v>
      </c>
      <c r="AV65" s="4758">
        <f t="shared" si="147"/>
        <v>-100</v>
      </c>
      <c r="AW65" s="4761">
        <f t="shared" si="251"/>
        <v>76873.39400132696</v>
      </c>
      <c r="AX65" s="4761">
        <f t="shared" si="251"/>
        <v>42872.39</v>
      </c>
      <c r="AY65" s="4761">
        <f t="shared" si="251"/>
        <v>59732.170000000006</v>
      </c>
      <c r="AZ65" s="4758">
        <f t="shared" si="150"/>
        <v>-34001.004001326961</v>
      </c>
      <c r="BA65" s="4758">
        <f t="shared" si="151"/>
        <v>-44.229872302425008</v>
      </c>
      <c r="BB65" s="4760">
        <f t="shared" ref="BB65" si="274">SUM(BB63+BB64)</f>
        <v>8624.9655179789679</v>
      </c>
      <c r="BC65" s="4760">
        <f t="shared" ref="BC65" si="275">SUM(BC63+BC64)</f>
        <v>0</v>
      </c>
      <c r="BD65" s="4760">
        <f t="shared" ref="BD65" si="276">SUM(BD63+BD64)</f>
        <v>8041.72</v>
      </c>
      <c r="BE65" s="4760">
        <f t="shared" ref="BE65" si="277">SUM(BE63+BE64)</f>
        <v>8634.5604936061809</v>
      </c>
      <c r="BF65" s="4760">
        <f t="shared" ref="BF65" si="278">SUM(BF63+BF64)</f>
        <v>0</v>
      </c>
      <c r="BG65" s="4760">
        <f t="shared" ref="BG65" si="279">SUM(BG63+BG64)</f>
        <v>7712.99</v>
      </c>
      <c r="BH65" s="4760">
        <f t="shared" ref="BH65" si="280">SUM(BH63+BH64)</f>
        <v>9028.9818739038637</v>
      </c>
      <c r="BI65" s="4760">
        <f t="shared" ref="BI65" si="281">SUM(BI63+BI64)</f>
        <v>0</v>
      </c>
      <c r="BJ65" s="4760">
        <f t="shared" ref="BJ65" si="282">SUM(BJ63+BJ64)</f>
        <v>7046.2100000000009</v>
      </c>
      <c r="BK65" s="4761">
        <f t="shared" si="252"/>
        <v>26288.507885489013</v>
      </c>
      <c r="BL65" s="4761">
        <f t="shared" si="252"/>
        <v>0</v>
      </c>
      <c r="BM65" s="4761">
        <f t="shared" si="252"/>
        <v>22800.92</v>
      </c>
      <c r="BN65" s="4758">
        <f t="shared" si="153"/>
        <v>-26288.507885489013</v>
      </c>
      <c r="BO65" s="4758">
        <f t="shared" si="154"/>
        <v>-100</v>
      </c>
      <c r="BP65" s="4761">
        <f>SUM(AW65+BK65)</f>
        <v>103161.90188681598</v>
      </c>
      <c r="BQ65" s="4761">
        <f t="shared" si="253"/>
        <v>42872.39</v>
      </c>
      <c r="BR65" s="4761">
        <f t="shared" si="253"/>
        <v>82533.09</v>
      </c>
      <c r="BS65" s="4758">
        <f t="shared" si="157"/>
        <v>-60289.511886815977</v>
      </c>
      <c r="BT65" s="4758">
        <f t="shared" si="158"/>
        <v>-58.441644428931319</v>
      </c>
    </row>
    <row r="66" spans="1:74" ht="18.75" hidden="1" customHeight="1">
      <c r="A66" s="4721" t="s">
        <v>70</v>
      </c>
      <c r="B66" s="4760">
        <f>SUM('[19]Произв. прогр. Стоки (СВОД)'!O62)</f>
        <v>0</v>
      </c>
      <c r="C66" s="4022">
        <f>SUM(C65/C60)</f>
        <v>26.627334791346495</v>
      </c>
      <c r="D66" s="4022">
        <f>SUM(D65/D60)</f>
        <v>25.117228231266047</v>
      </c>
      <c r="E66" s="4760">
        <f>SUM('[19]Произв. прогр. Стоки (СВОД)'!P62)</f>
        <v>0</v>
      </c>
      <c r="F66" s="4022"/>
      <c r="G66" s="4022"/>
      <c r="H66" s="4760">
        <f>SUM('[19]Произв. прогр. Стоки (СВОД)'!Q62)</f>
        <v>0</v>
      </c>
      <c r="I66" s="4022"/>
      <c r="J66" s="4022"/>
      <c r="K66" s="4761"/>
      <c r="L66" s="4761">
        <f t="shared" ref="L66" si="283">SUM(I66+J66+K66)</f>
        <v>0</v>
      </c>
      <c r="M66" s="4761">
        <f t="shared" ref="M66" si="284">SUM(H66+L66)</f>
        <v>0</v>
      </c>
      <c r="N66" s="4758">
        <f t="shared" si="136"/>
        <v>0</v>
      </c>
      <c r="O66" s="4758" t="e">
        <f t="shared" si="137"/>
        <v>#DIV/0!</v>
      </c>
      <c r="P66" s="4760">
        <f>SUM('[19]Произв. прогр. Стоки (СВОД)'!S62)</f>
        <v>0</v>
      </c>
      <c r="Q66" s="4022"/>
      <c r="R66" s="4022"/>
      <c r="S66" s="4760">
        <f>SUM('[19]Произв. прогр. Стоки (СВОД)'!T62)</f>
        <v>0</v>
      </c>
      <c r="T66" s="4022">
        <f t="shared" ref="T66" si="285">SUM(M66+S66)</f>
        <v>0</v>
      </c>
      <c r="U66" s="4022"/>
      <c r="V66" s="4760">
        <f>SUM('[19]Произв. прогр. Стоки (СВОД)'!U62)</f>
        <v>0</v>
      </c>
      <c r="W66" s="4022"/>
      <c r="X66" s="4022">
        <f t="shared" ref="X66" si="286">SUM(U66+V66+W66)</f>
        <v>0</v>
      </c>
      <c r="Y66" s="4761"/>
      <c r="Z66" s="4761">
        <f t="shared" ref="Z66" si="287">SUM(W66+X66+Y66)</f>
        <v>0</v>
      </c>
      <c r="AA66" s="4761">
        <f t="shared" ref="AA66" si="288">SUM(V66+Z66)</f>
        <v>0</v>
      </c>
      <c r="AB66" s="4758">
        <f t="shared" si="139"/>
        <v>0</v>
      </c>
      <c r="AC66" s="4758" t="e">
        <f t="shared" si="140"/>
        <v>#DIV/0!</v>
      </c>
      <c r="AD66" s="4835"/>
      <c r="AE66" s="4835"/>
      <c r="AF66" s="4835"/>
      <c r="AG66" s="4758">
        <f t="shared" si="143"/>
        <v>0</v>
      </c>
      <c r="AH66" s="4758" t="e">
        <f t="shared" si="144"/>
        <v>#DIV/0!</v>
      </c>
      <c r="AI66" s="4760">
        <f>SUM('[19]Произв. прогр. Стоки (СВОД)'!X62)</f>
        <v>0</v>
      </c>
      <c r="AJ66" s="4022"/>
      <c r="AK66" s="4022"/>
      <c r="AL66" s="4760">
        <f>SUM('[19]Произв. прогр. Стоки (СВОД)'!Y62)</f>
        <v>0</v>
      </c>
      <c r="AM66" s="4022"/>
      <c r="AN66" s="4022"/>
      <c r="AO66" s="4760">
        <f>SUM('[19]Произв. прогр. Стоки (СВОД)'!Z62)</f>
        <v>0</v>
      </c>
      <c r="AP66" s="4022"/>
      <c r="AQ66" s="4022"/>
      <c r="AR66" s="4761"/>
      <c r="AS66" s="4761">
        <f t="shared" ref="AS66" si="289">SUM(AP66+AQ66+AR66)</f>
        <v>0</v>
      </c>
      <c r="AT66" s="4761">
        <f t="shared" ref="AT66" si="290">SUM(AO66+AS66)</f>
        <v>0</v>
      </c>
      <c r="AU66" s="4758">
        <f t="shared" si="146"/>
        <v>0</v>
      </c>
      <c r="AV66" s="4758" t="e">
        <f t="shared" si="147"/>
        <v>#DIV/0!</v>
      </c>
      <c r="AW66" s="4599"/>
      <c r="AX66" s="4599"/>
      <c r="AY66" s="4599"/>
      <c r="AZ66" s="4758">
        <f t="shared" si="150"/>
        <v>0</v>
      </c>
      <c r="BA66" s="4758" t="e">
        <f t="shared" si="151"/>
        <v>#DIV/0!</v>
      </c>
      <c r="BB66" s="4760">
        <f>SUM('[19]Произв. прогр. Стоки (СВОД)'!AC62)</f>
        <v>0</v>
      </c>
      <c r="BC66" s="4022"/>
      <c r="BD66" s="4022"/>
      <c r="BE66" s="4760">
        <f>SUM('[19]Произв. прогр. Стоки (СВОД)'!AD62)</f>
        <v>0</v>
      </c>
      <c r="BF66" s="4022"/>
      <c r="BG66" s="4022"/>
      <c r="BH66" s="4760">
        <f>SUM('[19]Произв. прогр. Стоки (СВОД)'!AE62)</f>
        <v>0</v>
      </c>
      <c r="BI66" s="4022"/>
      <c r="BJ66" s="4022"/>
      <c r="BK66" s="4761"/>
      <c r="BL66" s="4761">
        <f t="shared" ref="BL66" si="291">SUM(BI66+BJ66+BK66)</f>
        <v>0</v>
      </c>
      <c r="BM66" s="4761">
        <f t="shared" ref="BM66" si="292">SUM(BH66+BL66)</f>
        <v>0</v>
      </c>
      <c r="BN66" s="4758">
        <f t="shared" si="153"/>
        <v>0</v>
      </c>
      <c r="BO66" s="4758" t="e">
        <f t="shared" si="154"/>
        <v>#DIV/0!</v>
      </c>
      <c r="BP66" s="4599"/>
      <c r="BQ66" s="4599"/>
      <c r="BR66" s="4599"/>
      <c r="BS66" s="4758">
        <f t="shared" si="157"/>
        <v>0</v>
      </c>
      <c r="BT66" s="4758" t="e">
        <f t="shared" si="158"/>
        <v>#DIV/0!</v>
      </c>
    </row>
    <row r="67" spans="1:74" ht="18.75" customHeight="1">
      <c r="A67" s="4721" t="s">
        <v>70</v>
      </c>
      <c r="B67" s="4760">
        <f t="shared" ref="B67:BR67" si="293">SUM(B65/B60)</f>
        <v>30.171549676982441</v>
      </c>
      <c r="C67" s="4760">
        <f t="shared" si="293"/>
        <v>26.627334791346495</v>
      </c>
      <c r="D67" s="4760">
        <f t="shared" si="293"/>
        <v>25.117228231266047</v>
      </c>
      <c r="E67" s="4760">
        <f t="shared" si="293"/>
        <v>30.302353284590758</v>
      </c>
      <c r="F67" s="4760">
        <f t="shared" si="293"/>
        <v>26.628301530323071</v>
      </c>
      <c r="G67" s="4760">
        <f t="shared" si="293"/>
        <v>25.11704946996467</v>
      </c>
      <c r="H67" s="4760">
        <f t="shared" si="293"/>
        <v>31.658824718553994</v>
      </c>
      <c r="I67" s="4760">
        <f t="shared" si="293"/>
        <v>26.471324176454836</v>
      </c>
      <c r="J67" s="4760">
        <f t="shared" si="293"/>
        <v>24.974296299125381</v>
      </c>
      <c r="K67" s="4761">
        <f t="shared" si="293"/>
        <v>30.70985974683375</v>
      </c>
      <c r="L67" s="4761">
        <f t="shared" si="293"/>
        <v>26.576474693363192</v>
      </c>
      <c r="M67" s="4761">
        <f t="shared" si="293"/>
        <v>25.069826572046601</v>
      </c>
      <c r="N67" s="4758">
        <f t="shared" si="136"/>
        <v>-4.1333850534705583</v>
      </c>
      <c r="O67" s="4758">
        <f t="shared" si="137"/>
        <v>-13.459472259220325</v>
      </c>
      <c r="P67" s="4760">
        <f t="shared" si="293"/>
        <v>30.405180311639651</v>
      </c>
      <c r="Q67" s="4760">
        <f t="shared" si="293"/>
        <v>26.615443564573226</v>
      </c>
      <c r="R67" s="4760">
        <f t="shared" si="293"/>
        <v>25.113988001263031</v>
      </c>
      <c r="S67" s="4760">
        <f t="shared" si="293"/>
        <v>31.881962261019659</v>
      </c>
      <c r="T67" s="4760">
        <f t="shared" si="293"/>
        <v>26.609152374040267</v>
      </c>
      <c r="U67" s="4760">
        <f t="shared" si="293"/>
        <v>25.113771106941837</v>
      </c>
      <c r="V67" s="4760">
        <f t="shared" si="293"/>
        <v>33.316359879548905</v>
      </c>
      <c r="W67" s="4760">
        <f t="shared" si="293"/>
        <v>26.471408746397184</v>
      </c>
      <c r="X67" s="4760">
        <f t="shared" si="293"/>
        <v>24.959505754647981</v>
      </c>
      <c r="Y67" s="4761">
        <f t="shared" si="293"/>
        <v>31.84107449908101</v>
      </c>
      <c r="Z67" s="4761">
        <f t="shared" si="293"/>
        <v>26.563873416171884</v>
      </c>
      <c r="AA67" s="4761">
        <f t="shared" si="293"/>
        <v>25.06445052507026</v>
      </c>
      <c r="AB67" s="4758">
        <f t="shared" si="139"/>
        <v>-5.2772010829091265</v>
      </c>
      <c r="AC67" s="4758">
        <f t="shared" si="140"/>
        <v>-16.573564698834005</v>
      </c>
      <c r="AD67" s="4761">
        <f t="shared" si="293"/>
        <v>31.263096262351784</v>
      </c>
      <c r="AE67" s="4761">
        <f t="shared" si="293"/>
        <v>26.570095404069765</v>
      </c>
      <c r="AF67" s="4761">
        <f t="shared" si="293"/>
        <v>25.067103661391521</v>
      </c>
      <c r="AG67" s="4758">
        <f t="shared" si="143"/>
        <v>-4.6930008582820193</v>
      </c>
      <c r="AH67" s="4758">
        <f t="shared" si="144"/>
        <v>-15.011311800019984</v>
      </c>
      <c r="AI67" s="4760">
        <f t="shared" si="293"/>
        <v>32.902596069567423</v>
      </c>
      <c r="AJ67" s="4760" t="e">
        <f t="shared" si="293"/>
        <v>#DIV/0!</v>
      </c>
      <c r="AK67" s="4760">
        <f t="shared" si="293"/>
        <v>26.612293246037215</v>
      </c>
      <c r="AL67" s="4760">
        <f t="shared" si="293"/>
        <v>32.899343346743962</v>
      </c>
      <c r="AM67" s="4760" t="e">
        <f t="shared" si="293"/>
        <v>#DIV/0!</v>
      </c>
      <c r="AN67" s="4760">
        <f t="shared" si="293"/>
        <v>26.614393257507576</v>
      </c>
      <c r="AO67" s="4760">
        <f t="shared" si="293"/>
        <v>32.714592693963219</v>
      </c>
      <c r="AP67" s="4760" t="e">
        <f t="shared" si="293"/>
        <v>#DIV/0!</v>
      </c>
      <c r="AQ67" s="4760">
        <f t="shared" si="293"/>
        <v>26.453213121043547</v>
      </c>
      <c r="AR67" s="4761">
        <f t="shared" si="293"/>
        <v>32.836570824490209</v>
      </c>
      <c r="AS67" s="4761" t="e">
        <f t="shared" si="293"/>
        <v>#DIV/0!</v>
      </c>
      <c r="AT67" s="4761">
        <f t="shared" si="293"/>
        <v>26.556746198608305</v>
      </c>
      <c r="AU67" s="4758" t="e">
        <f t="shared" si="146"/>
        <v>#DIV/0!</v>
      </c>
      <c r="AV67" s="4758" t="e">
        <f t="shared" si="147"/>
        <v>#DIV/0!</v>
      </c>
      <c r="AW67" s="4761">
        <f t="shared" si="293"/>
        <v>31.77988389561386</v>
      </c>
      <c r="AX67" s="4761">
        <f t="shared" si="293"/>
        <v>26.570095404069765</v>
      </c>
      <c r="AY67" s="4761">
        <f t="shared" si="293"/>
        <v>25.536608410144161</v>
      </c>
      <c r="AZ67" s="4758">
        <f t="shared" si="150"/>
        <v>-5.2097884915440957</v>
      </c>
      <c r="BA67" s="4758">
        <f t="shared" si="151"/>
        <v>-16.393352816065924</v>
      </c>
      <c r="BB67" s="4760">
        <f t="shared" si="293"/>
        <v>31.235445647314982</v>
      </c>
      <c r="BC67" s="4760" t="e">
        <f t="shared" si="293"/>
        <v>#DIV/0!</v>
      </c>
      <c r="BD67" s="4760">
        <f t="shared" si="293"/>
        <v>26.623804005959279</v>
      </c>
      <c r="BE67" s="4760">
        <f t="shared" si="293"/>
        <v>31.270193999533479</v>
      </c>
      <c r="BF67" s="4760" t="e">
        <f t="shared" si="293"/>
        <v>#DIV/0!</v>
      </c>
      <c r="BG67" s="4760">
        <f t="shared" si="293"/>
        <v>26.614872325741889</v>
      </c>
      <c r="BH67" s="4760">
        <f t="shared" si="293"/>
        <v>32.508463320895665</v>
      </c>
      <c r="BI67" s="4760" t="e">
        <f t="shared" si="293"/>
        <v>#DIV/0!</v>
      </c>
      <c r="BJ67" s="4760">
        <f t="shared" si="293"/>
        <v>26.450730132512486</v>
      </c>
      <c r="BK67" s="4761">
        <f t="shared" si="293"/>
        <v>31.672996467446005</v>
      </c>
      <c r="BL67" s="4761" t="e">
        <f t="shared" si="293"/>
        <v>#DIV/0!</v>
      </c>
      <c r="BM67" s="4761">
        <f t="shared" si="293"/>
        <v>26.567067486950034</v>
      </c>
      <c r="BN67" s="4758" t="e">
        <f t="shared" si="153"/>
        <v>#DIV/0!</v>
      </c>
      <c r="BO67" s="4758" t="e">
        <f t="shared" si="154"/>
        <v>#DIV/0!</v>
      </c>
      <c r="BP67" s="4761">
        <f t="shared" si="293"/>
        <v>31.752577583024564</v>
      </c>
      <c r="BQ67" s="4761">
        <f t="shared" si="293"/>
        <v>26.570095404069765</v>
      </c>
      <c r="BR67" s="4761">
        <f t="shared" si="293"/>
        <v>25.813209187694696</v>
      </c>
      <c r="BS67" s="4758">
        <f t="shared" si="157"/>
        <v>-5.1824821789547997</v>
      </c>
      <c r="BT67" s="4758">
        <f t="shared" si="158"/>
        <v>-16.321453480127666</v>
      </c>
    </row>
    <row r="68" spans="1:74" ht="18.75" customHeight="1">
      <c r="A68" s="4721" t="s">
        <v>326</v>
      </c>
      <c r="B68" s="4760">
        <f>SUM('Произв. прогр. Стоки (СВОД)'!E70)</f>
        <v>-325.17583333333334</v>
      </c>
      <c r="C68" s="4764"/>
      <c r="D68" s="4764"/>
      <c r="E68" s="4760">
        <f>SUM('Произв. прогр. Стоки (СВОД)'!F70)</f>
        <v>-325.17583333333334</v>
      </c>
      <c r="F68" s="4764"/>
      <c r="G68" s="4764"/>
      <c r="H68" s="4760">
        <f>SUM('Произв. прогр. Стоки (СВОД)'!G70)</f>
        <v>-325.17583333333334</v>
      </c>
      <c r="I68" s="4764"/>
      <c r="J68" s="4764"/>
      <c r="K68" s="4761">
        <f t="shared" ref="K68:M69" si="294">SUM(B68+E68+H68)</f>
        <v>-975.52750000000003</v>
      </c>
      <c r="L68" s="4761">
        <f t="shared" si="294"/>
        <v>0</v>
      </c>
      <c r="M68" s="4761">
        <f t="shared" si="294"/>
        <v>0</v>
      </c>
      <c r="N68" s="4758">
        <f t="shared" si="136"/>
        <v>975.52750000000003</v>
      </c>
      <c r="O68" s="4758">
        <f t="shared" si="137"/>
        <v>-100</v>
      </c>
      <c r="P68" s="4760">
        <f>SUM('Произв. прогр. Стоки (СВОД)'!I70)</f>
        <v>-325.17583333333334</v>
      </c>
      <c r="Q68" s="4764"/>
      <c r="R68" s="4764"/>
      <c r="S68" s="4760">
        <f>SUM('Произв. прогр. Стоки (СВОД)'!J70)</f>
        <v>-325.17583333333334</v>
      </c>
      <c r="T68" s="4764"/>
      <c r="U68" s="4764"/>
      <c r="V68" s="4760">
        <f>SUM('Произв. прогр. Стоки (СВОД)'!K70)</f>
        <v>-325.17583333333334</v>
      </c>
      <c r="W68" s="4764"/>
      <c r="X68" s="4764"/>
      <c r="Y68" s="4761">
        <f t="shared" ref="Y68:AA69" si="295">SUM(P68+S68+V68)</f>
        <v>-975.52750000000003</v>
      </c>
      <c r="Z68" s="4761">
        <f t="shared" si="295"/>
        <v>0</v>
      </c>
      <c r="AA68" s="4761">
        <f t="shared" si="295"/>
        <v>0</v>
      </c>
      <c r="AB68" s="4758">
        <f t="shared" si="139"/>
        <v>975.52750000000003</v>
      </c>
      <c r="AC68" s="4758">
        <f t="shared" si="140"/>
        <v>-100</v>
      </c>
      <c r="AD68" s="4761">
        <f t="shared" ref="AD68:AF69" si="296">SUM(K68+Y68)</f>
        <v>-1951.0550000000001</v>
      </c>
      <c r="AE68" s="4761">
        <f t="shared" si="296"/>
        <v>0</v>
      </c>
      <c r="AF68" s="4834">
        <f t="shared" si="296"/>
        <v>0</v>
      </c>
      <c r="AG68" s="4758">
        <f t="shared" si="143"/>
        <v>1951.0550000000001</v>
      </c>
      <c r="AH68" s="4758">
        <f t="shared" si="144"/>
        <v>-100</v>
      </c>
      <c r="AI68" s="4760">
        <f>SUM('Произв. прогр. Стоки (СВОД)'!N70)</f>
        <v>-325.17583333333334</v>
      </c>
      <c r="AJ68" s="4764"/>
      <c r="AK68" s="4764"/>
      <c r="AL68" s="4760">
        <f>SUM('Произв. прогр. Стоки (СВОД)'!O70)</f>
        <v>-325.17583333333334</v>
      </c>
      <c r="AM68" s="4764"/>
      <c r="AN68" s="4764"/>
      <c r="AO68" s="4760">
        <f>SUM('Произв. прогр. Стоки (СВОД)'!P70)</f>
        <v>-325.17583333333334</v>
      </c>
      <c r="AP68" s="4764"/>
      <c r="AQ68" s="4764"/>
      <c r="AR68" s="4761">
        <f t="shared" ref="AR68:AT69" si="297">SUM(AI68+AL68+AO68)</f>
        <v>-975.52750000000003</v>
      </c>
      <c r="AS68" s="4761">
        <f t="shared" si="297"/>
        <v>0</v>
      </c>
      <c r="AT68" s="4761">
        <f t="shared" si="297"/>
        <v>0</v>
      </c>
      <c r="AU68" s="4758">
        <f t="shared" si="146"/>
        <v>975.52750000000003</v>
      </c>
      <c r="AV68" s="4758">
        <f t="shared" si="147"/>
        <v>-100</v>
      </c>
      <c r="AW68" s="4761">
        <f t="shared" ref="AW68:AY69" si="298">SUM(AD68+AR68)</f>
        <v>-2926.5825</v>
      </c>
      <c r="AX68" s="4761">
        <f t="shared" si="298"/>
        <v>0</v>
      </c>
      <c r="AY68" s="4761">
        <f t="shared" si="298"/>
        <v>0</v>
      </c>
      <c r="AZ68" s="4758">
        <f t="shared" si="150"/>
        <v>2926.5825</v>
      </c>
      <c r="BA68" s="4758">
        <f t="shared" si="151"/>
        <v>-100</v>
      </c>
      <c r="BB68" s="4760">
        <f>SUM('Произв. прогр. Стоки (СВОД)'!S70)</f>
        <v>-325.17583333333334</v>
      </c>
      <c r="BC68" s="4764"/>
      <c r="BD68" s="4764"/>
      <c r="BE68" s="4760">
        <f>SUM('Произв. прогр. Стоки (СВОД)'!T70)</f>
        <v>-325.17583333333334</v>
      </c>
      <c r="BF68" s="4764"/>
      <c r="BG68" s="4764"/>
      <c r="BH68" s="4760">
        <f>SUM('Произв. прогр. Стоки (СВОД)'!U70)</f>
        <v>-325.17583333333334</v>
      </c>
      <c r="BI68" s="4022"/>
      <c r="BJ68" s="4764"/>
      <c r="BK68" s="4761">
        <f t="shared" ref="BK68:BM69" si="299">SUM(BB68+BE68+BH68)</f>
        <v>-975.52750000000003</v>
      </c>
      <c r="BL68" s="4761">
        <f t="shared" si="299"/>
        <v>0</v>
      </c>
      <c r="BM68" s="4761">
        <f t="shared" si="299"/>
        <v>0</v>
      </c>
      <c r="BN68" s="4758">
        <f t="shared" si="153"/>
        <v>975.52750000000003</v>
      </c>
      <c r="BO68" s="4758">
        <f t="shared" si="154"/>
        <v>-100</v>
      </c>
      <c r="BP68" s="4761">
        <f t="shared" ref="BP68:BR69" si="300">SUM(AW68+BK68)</f>
        <v>-3902.11</v>
      </c>
      <c r="BQ68" s="4761">
        <f t="shared" si="300"/>
        <v>0</v>
      </c>
      <c r="BR68" s="4761">
        <f t="shared" si="300"/>
        <v>0</v>
      </c>
      <c r="BS68" s="4758">
        <f t="shared" si="157"/>
        <v>3902.11</v>
      </c>
      <c r="BT68" s="4758">
        <f t="shared" si="158"/>
        <v>-100</v>
      </c>
    </row>
    <row r="69" spans="1:74" ht="18.75" customHeight="1">
      <c r="A69" s="4721" t="s">
        <v>2041</v>
      </c>
      <c r="B69" s="4760">
        <f>SUM(B65+B68)</f>
        <v>8054.7458028259616</v>
      </c>
      <c r="C69" s="4760">
        <f t="shared" ref="C69:J69" si="301">SUM(C65+C68)</f>
        <v>7207.7</v>
      </c>
      <c r="D69" s="4760">
        <f t="shared" si="301"/>
        <v>6455.63</v>
      </c>
      <c r="E69" s="4760">
        <f t="shared" si="301"/>
        <v>8042.1372232575004</v>
      </c>
      <c r="F69" s="4760">
        <f t="shared" si="301"/>
        <v>7047.18</v>
      </c>
      <c r="G69" s="4760">
        <f t="shared" si="301"/>
        <v>6823.8</v>
      </c>
      <c r="H69" s="4760">
        <f t="shared" si="301"/>
        <v>8416.696289139185</v>
      </c>
      <c r="I69" s="4760">
        <f t="shared" si="301"/>
        <v>6918.81</v>
      </c>
      <c r="J69" s="4760">
        <f t="shared" si="301"/>
        <v>6539.0199999999995</v>
      </c>
      <c r="K69" s="4761">
        <f t="shared" si="294"/>
        <v>24513.579315222647</v>
      </c>
      <c r="L69" s="4761">
        <f t="shared" si="294"/>
        <v>21173.690000000002</v>
      </c>
      <c r="M69" s="4761">
        <f t="shared" si="294"/>
        <v>19818.45</v>
      </c>
      <c r="N69" s="4758">
        <f t="shared" si="136"/>
        <v>-3339.8893152226447</v>
      </c>
      <c r="O69" s="4758">
        <f t="shared" si="137"/>
        <v>-13.624649718732067</v>
      </c>
      <c r="P69" s="4760">
        <f t="shared" ref="P69" si="302">SUM(P65+P68)</f>
        <v>8021.4262269656438</v>
      </c>
      <c r="Q69" s="4760">
        <f t="shared" ref="Q69" si="303">SUM(Q65+Q68)</f>
        <v>7293.43</v>
      </c>
      <c r="R69" s="4760">
        <f t="shared" ref="R69" si="304">SUM(R65+R68)</f>
        <v>7158.2400000000007</v>
      </c>
      <c r="S69" s="4760">
        <f t="shared" ref="S69" si="305">SUM(S65+S68)</f>
        <v>7963.4170103809038</v>
      </c>
      <c r="T69" s="4760">
        <f t="shared" ref="T69" si="306">SUM(T65+T68)</f>
        <v>6966.01</v>
      </c>
      <c r="U69" s="4760">
        <f t="shared" ref="U69" si="307">SUM(U65+U68)</f>
        <v>6692.82</v>
      </c>
      <c r="V69" s="4760">
        <f t="shared" ref="V69" si="308">SUM(V65+V68)</f>
        <v>8336.328117252091</v>
      </c>
      <c r="W69" s="4760">
        <f t="shared" ref="W69" si="309">SUM(W65+W68)</f>
        <v>7439.26</v>
      </c>
      <c r="X69" s="4760">
        <f t="shared" ref="X69" si="310">SUM(X65+X68)</f>
        <v>6484.2299999999987</v>
      </c>
      <c r="Y69" s="4761">
        <f t="shared" si="295"/>
        <v>24321.171354598639</v>
      </c>
      <c r="Z69" s="4761">
        <f t="shared" si="295"/>
        <v>21698.7</v>
      </c>
      <c r="AA69" s="4761">
        <f t="shared" si="295"/>
        <v>20335.29</v>
      </c>
      <c r="AB69" s="4758">
        <f t="shared" ref="AB69:AB74" si="311">SUM(Z69-Y69)</f>
        <v>-2622.4713545986378</v>
      </c>
      <c r="AC69" s="4758">
        <f t="shared" si="140"/>
        <v>-10.782668796512475</v>
      </c>
      <c r="AD69" s="4761">
        <f t="shared" si="296"/>
        <v>48834.750669821282</v>
      </c>
      <c r="AE69" s="4761">
        <f t="shared" si="296"/>
        <v>42872.39</v>
      </c>
      <c r="AF69" s="4834">
        <f t="shared" si="296"/>
        <v>40153.740000000005</v>
      </c>
      <c r="AG69" s="4758">
        <f t="shared" ref="AG69:AG74" si="312">SUM(AE69-AD69)</f>
        <v>-5962.3606698212825</v>
      </c>
      <c r="AH69" s="4758">
        <f t="shared" si="144"/>
        <v>-12.20925793219188</v>
      </c>
      <c r="AI69" s="4760">
        <f t="shared" ref="AI69" si="313">SUM(AI65+AI68)</f>
        <v>8228.7588363426312</v>
      </c>
      <c r="AJ69" s="4760">
        <f t="shared" ref="AJ69" si="314">SUM(AJ65+AJ68)</f>
        <v>0</v>
      </c>
      <c r="AK69" s="4760">
        <f t="shared" ref="AK69" si="315">SUM(AK65+AK68)</f>
        <v>6178.3099999999995</v>
      </c>
      <c r="AL69" s="4760">
        <f t="shared" ref="AL69" si="316">SUM(AL65+AL68)</f>
        <v>8227.9132015947944</v>
      </c>
      <c r="AM69" s="4760">
        <f t="shared" ref="AM69" si="317">SUM(AM65+AM68)</f>
        <v>0</v>
      </c>
      <c r="AN69" s="4760">
        <f t="shared" ref="AN69" si="318">SUM(AN65+AN68)</f>
        <v>6505.0900000000011</v>
      </c>
      <c r="AO69" s="4760">
        <f t="shared" ref="AO69" si="319">SUM(AO65+AO68)</f>
        <v>8655.3887935682433</v>
      </c>
      <c r="AP69" s="4760">
        <f t="shared" ref="AP69" si="320">SUM(AP65+AP68)</f>
        <v>0</v>
      </c>
      <c r="AQ69" s="4760">
        <f t="shared" ref="AQ69" si="321">SUM(AQ65+AQ68)</f>
        <v>6895.03</v>
      </c>
      <c r="AR69" s="4761">
        <f t="shared" si="297"/>
        <v>25112.060831505667</v>
      </c>
      <c r="AS69" s="4761">
        <f t="shared" si="297"/>
        <v>0</v>
      </c>
      <c r="AT69" s="4761">
        <f t="shared" si="297"/>
        <v>19578.43</v>
      </c>
      <c r="AU69" s="4758">
        <f t="shared" ref="AU69:AU74" si="322">SUM(AS69-AR69)</f>
        <v>-25112.060831505667</v>
      </c>
      <c r="AV69" s="4758">
        <f t="shared" si="147"/>
        <v>-100</v>
      </c>
      <c r="AW69" s="4761">
        <f t="shared" si="298"/>
        <v>73946.811501326942</v>
      </c>
      <c r="AX69" s="4761">
        <f t="shared" si="298"/>
        <v>42872.39</v>
      </c>
      <c r="AY69" s="4761">
        <f t="shared" si="298"/>
        <v>59732.170000000006</v>
      </c>
      <c r="AZ69" s="4758">
        <f t="shared" ref="AZ69:AZ74" si="323">SUM(AX69-AW69)</f>
        <v>-31074.421501326942</v>
      </c>
      <c r="BA69" s="4758">
        <f t="shared" si="151"/>
        <v>-42.022665846477139</v>
      </c>
      <c r="BB69" s="4760">
        <f t="shared" ref="BB69" si="324">SUM(BB65+BB68)</f>
        <v>8299.7896846456351</v>
      </c>
      <c r="BC69" s="4760">
        <f t="shared" ref="BC69" si="325">SUM(BC65+BC68)</f>
        <v>0</v>
      </c>
      <c r="BD69" s="4760">
        <f t="shared" ref="BD69" si="326">SUM(BD65+BD68)</f>
        <v>8041.72</v>
      </c>
      <c r="BE69" s="4760">
        <f t="shared" ref="BE69" si="327">SUM(BE65+BE68)</f>
        <v>8309.3846602728481</v>
      </c>
      <c r="BF69" s="4760">
        <f t="shared" ref="BF69" si="328">SUM(BF65+BF68)</f>
        <v>0</v>
      </c>
      <c r="BG69" s="4760">
        <f t="shared" ref="BG69" si="329">SUM(BG65+BG68)</f>
        <v>7712.99</v>
      </c>
      <c r="BH69" s="4760">
        <f t="shared" ref="BH69" si="330">SUM(BH65+BH68)</f>
        <v>8703.806040570531</v>
      </c>
      <c r="BI69" s="4760">
        <f t="shared" ref="BI69" si="331">SUM(BI65+BI68)</f>
        <v>0</v>
      </c>
      <c r="BJ69" s="4760">
        <f t="shared" ref="BJ69" si="332">SUM(BJ65+BJ68)</f>
        <v>7046.2100000000009</v>
      </c>
      <c r="BK69" s="4761">
        <f t="shared" si="299"/>
        <v>25312.980385489012</v>
      </c>
      <c r="BL69" s="4761">
        <f t="shared" si="299"/>
        <v>0</v>
      </c>
      <c r="BM69" s="4761">
        <f t="shared" si="299"/>
        <v>22800.92</v>
      </c>
      <c r="BN69" s="4758">
        <f t="shared" ref="BN69:BN74" si="333">SUM(BL69-BK69)</f>
        <v>-25312.980385489012</v>
      </c>
      <c r="BO69" s="4758">
        <f t="shared" si="154"/>
        <v>-100</v>
      </c>
      <c r="BP69" s="4761">
        <f>SUM(AW69+BK69)</f>
        <v>99259.791886815947</v>
      </c>
      <c r="BQ69" s="4761">
        <f t="shared" si="300"/>
        <v>42872.39</v>
      </c>
      <c r="BR69" s="4761">
        <f t="shared" si="300"/>
        <v>82533.09</v>
      </c>
      <c r="BS69" s="4758">
        <f t="shared" ref="BS69:BS74" si="334">SUM(BQ69-BP69)</f>
        <v>-56387.401886815947</v>
      </c>
      <c r="BT69" s="4758">
        <f t="shared" ref="BT69:BT74" si="335">SUM(BS69/BP69*100)</f>
        <v>-56.807898560893044</v>
      </c>
    </row>
    <row r="70" spans="1:74" ht="18.75" customHeight="1">
      <c r="A70" s="4721" t="s">
        <v>327</v>
      </c>
      <c r="B70" s="4760">
        <f>SUM(B69/B60)</f>
        <v>29.000767987707899</v>
      </c>
      <c r="C70" s="4760">
        <f t="shared" ref="C70:BR70" si="336">SUM(C69/C60)</f>
        <v>26.627334791346495</v>
      </c>
      <c r="D70" s="4760">
        <f t="shared" si="336"/>
        <v>25.117228231266047</v>
      </c>
      <c r="E70" s="4760">
        <f t="shared" si="336"/>
        <v>29.124723988945327</v>
      </c>
      <c r="F70" s="4760">
        <f t="shared" si="336"/>
        <v>26.628301530323071</v>
      </c>
      <c r="G70" s="4760">
        <f t="shared" si="336"/>
        <v>25.11704946996467</v>
      </c>
      <c r="H70" s="4760">
        <f t="shared" si="336"/>
        <v>30.481195422908566</v>
      </c>
      <c r="I70" s="4760">
        <f t="shared" si="336"/>
        <v>26.471324176454836</v>
      </c>
      <c r="J70" s="4760">
        <f t="shared" si="336"/>
        <v>24.974296299125381</v>
      </c>
      <c r="K70" s="4761">
        <f t="shared" si="336"/>
        <v>29.534521869310026</v>
      </c>
      <c r="L70" s="4761">
        <f t="shared" si="336"/>
        <v>26.576474693363192</v>
      </c>
      <c r="M70" s="4761">
        <f t="shared" si="336"/>
        <v>25.069826572046601</v>
      </c>
      <c r="N70" s="4758">
        <f t="shared" si="136"/>
        <v>-2.9580471759468345</v>
      </c>
      <c r="O70" s="4758">
        <f t="shared" si="137"/>
        <v>-10.015558027437061</v>
      </c>
      <c r="P70" s="4760">
        <f t="shared" si="336"/>
        <v>29.220622838543402</v>
      </c>
      <c r="Q70" s="4760">
        <f t="shared" si="336"/>
        <v>26.615443564573226</v>
      </c>
      <c r="R70" s="4760">
        <f t="shared" si="336"/>
        <v>25.113988001263031</v>
      </c>
      <c r="S70" s="4760">
        <f t="shared" si="336"/>
        <v>30.631177738000037</v>
      </c>
      <c r="T70" s="4760">
        <f t="shared" si="336"/>
        <v>26.609152374040267</v>
      </c>
      <c r="U70" s="4760">
        <f t="shared" si="336"/>
        <v>25.113771106941837</v>
      </c>
      <c r="V70" s="4760">
        <f t="shared" si="336"/>
        <v>32.065575356529287</v>
      </c>
      <c r="W70" s="4760">
        <f t="shared" si="336"/>
        <v>26.471408746397184</v>
      </c>
      <c r="X70" s="4760">
        <f t="shared" si="336"/>
        <v>24.959505754647981</v>
      </c>
      <c r="Y70" s="4761">
        <f t="shared" si="336"/>
        <v>30.613173420685733</v>
      </c>
      <c r="Z70" s="4761">
        <f t="shared" si="336"/>
        <v>26.563873416171884</v>
      </c>
      <c r="AA70" s="4761">
        <f t="shared" si="336"/>
        <v>25.06445052507026</v>
      </c>
      <c r="AB70" s="4758">
        <f t="shared" si="311"/>
        <v>-4.0493000045138494</v>
      </c>
      <c r="AC70" s="4758">
        <f t="shared" si="140"/>
        <v>-13.227312140654071</v>
      </c>
      <c r="AD70" s="4761">
        <f t="shared" si="336"/>
        <v>30.06205161072802</v>
      </c>
      <c r="AE70" s="4761">
        <f t="shared" si="336"/>
        <v>26.570095404069765</v>
      </c>
      <c r="AF70" s="4761">
        <f t="shared" si="336"/>
        <v>25.067103661391521</v>
      </c>
      <c r="AG70" s="4758">
        <f t="shared" si="312"/>
        <v>-3.491956206658255</v>
      </c>
      <c r="AH70" s="4758">
        <f t="shared" si="144"/>
        <v>-11.615827994294662</v>
      </c>
      <c r="AI70" s="4760">
        <f t="shared" si="336"/>
        <v>31.651811546547805</v>
      </c>
      <c r="AJ70" s="4760" t="e">
        <f t="shared" si="336"/>
        <v>#DIV/0!</v>
      </c>
      <c r="AK70" s="4760">
        <f t="shared" si="336"/>
        <v>26.612293246037215</v>
      </c>
      <c r="AL70" s="4760">
        <f t="shared" si="336"/>
        <v>31.648558823724343</v>
      </c>
      <c r="AM70" s="4760" t="e">
        <f t="shared" si="336"/>
        <v>#DIV/0!</v>
      </c>
      <c r="AN70" s="4760">
        <f t="shared" si="336"/>
        <v>26.614393257507576</v>
      </c>
      <c r="AO70" s="4760">
        <f t="shared" si="336"/>
        <v>31.530035220866974</v>
      </c>
      <c r="AP70" s="4760" t="e">
        <f t="shared" si="336"/>
        <v>#DIV/0!</v>
      </c>
      <c r="AQ70" s="4760">
        <f t="shared" si="336"/>
        <v>26.453213121043547</v>
      </c>
      <c r="AR70" s="4761">
        <f t="shared" si="336"/>
        <v>31.608669746094925</v>
      </c>
      <c r="AS70" s="4761" t="e">
        <f t="shared" si="336"/>
        <v>#DIV/0!</v>
      </c>
      <c r="AT70" s="4761">
        <f t="shared" si="336"/>
        <v>26.556746198608305</v>
      </c>
      <c r="AU70" s="4758" t="e">
        <f t="shared" si="322"/>
        <v>#DIV/0!</v>
      </c>
      <c r="AV70" s="4758" t="e">
        <f t="shared" si="147"/>
        <v>#DIV/0!</v>
      </c>
      <c r="AW70" s="4761">
        <f t="shared" si="336"/>
        <v>30.57001859346094</v>
      </c>
      <c r="AX70" s="4761">
        <f t="shared" si="336"/>
        <v>26.570095404069765</v>
      </c>
      <c r="AY70" s="4761">
        <f t="shared" si="336"/>
        <v>25.536608410144161</v>
      </c>
      <c r="AZ70" s="4758">
        <f t="shared" si="323"/>
        <v>-3.9999231893911755</v>
      </c>
      <c r="BA70" s="4758">
        <f t="shared" si="151"/>
        <v>-13.084464365509993</v>
      </c>
      <c r="BB70" s="4760">
        <f t="shared" si="336"/>
        <v>30.057816351669555</v>
      </c>
      <c r="BC70" s="4760" t="e">
        <f t="shared" si="336"/>
        <v>#DIV/0!</v>
      </c>
      <c r="BD70" s="4760">
        <f t="shared" si="336"/>
        <v>26.623804005959279</v>
      </c>
      <c r="BE70" s="4760">
        <f t="shared" si="336"/>
        <v>30.092564703888051</v>
      </c>
      <c r="BF70" s="4760" t="e">
        <f t="shared" si="336"/>
        <v>#DIV/0!</v>
      </c>
      <c r="BG70" s="4760">
        <f t="shared" si="336"/>
        <v>26.614872325741889</v>
      </c>
      <c r="BH70" s="4760">
        <f t="shared" si="336"/>
        <v>31.337681631621127</v>
      </c>
      <c r="BI70" s="4760" t="e">
        <f t="shared" si="336"/>
        <v>#DIV/0!</v>
      </c>
      <c r="BJ70" s="4760">
        <f t="shared" si="336"/>
        <v>26.450730132512486</v>
      </c>
      <c r="BK70" s="4761">
        <f t="shared" si="336"/>
        <v>30.497658589922274</v>
      </c>
      <c r="BL70" s="4761" t="e">
        <f t="shared" si="336"/>
        <v>#DIV/0!</v>
      </c>
      <c r="BM70" s="4761">
        <f t="shared" si="336"/>
        <v>26.567067486950034</v>
      </c>
      <c r="BN70" s="4758" t="e">
        <f t="shared" si="333"/>
        <v>#DIV/0!</v>
      </c>
      <c r="BO70" s="4758" t="e">
        <f t="shared" si="154"/>
        <v>#DIV/0!</v>
      </c>
      <c r="BP70" s="4761">
        <f t="shared" si="336"/>
        <v>30.551532931400789</v>
      </c>
      <c r="BQ70" s="4761">
        <f t="shared" si="336"/>
        <v>26.570095404069765</v>
      </c>
      <c r="BR70" s="4761">
        <f t="shared" si="336"/>
        <v>25.813209187694696</v>
      </c>
      <c r="BS70" s="4758">
        <f t="shared" si="334"/>
        <v>-3.9814375273310247</v>
      </c>
      <c r="BT70" s="4758">
        <f t="shared" si="335"/>
        <v>-13.031874820392117</v>
      </c>
    </row>
    <row r="71" spans="1:74" ht="18.75" customHeight="1">
      <c r="A71" s="4597" t="s">
        <v>1998</v>
      </c>
      <c r="B71" s="4722">
        <f>SUM(B72:B73)</f>
        <v>0</v>
      </c>
      <c r="C71" s="4722">
        <v>0</v>
      </c>
      <c r="D71" s="4722">
        <f t="shared" ref="D71:BH71" si="337">SUM(D72:D73)</f>
        <v>0</v>
      </c>
      <c r="E71" s="4722">
        <f t="shared" si="337"/>
        <v>0</v>
      </c>
      <c r="F71" s="4722">
        <v>0</v>
      </c>
      <c r="G71" s="4722">
        <f t="shared" ref="G71" si="338">SUM(G72:G73)</f>
        <v>0</v>
      </c>
      <c r="H71" s="4722">
        <f t="shared" si="337"/>
        <v>0</v>
      </c>
      <c r="I71" s="4722">
        <v>0</v>
      </c>
      <c r="J71" s="4722">
        <f t="shared" ref="J71" si="339">SUM(J72:J73)</f>
        <v>0</v>
      </c>
      <c r="K71" s="4723">
        <f t="shared" ref="K71:M74" si="340">SUM(B71+E71+H71)</f>
        <v>0</v>
      </c>
      <c r="L71" s="4723">
        <f t="shared" si="340"/>
        <v>0</v>
      </c>
      <c r="M71" s="4723">
        <f t="shared" si="340"/>
        <v>0</v>
      </c>
      <c r="N71" s="4758">
        <f t="shared" si="136"/>
        <v>0</v>
      </c>
      <c r="O71" s="4758" t="e">
        <f t="shared" si="137"/>
        <v>#DIV/0!</v>
      </c>
      <c r="P71" s="4722">
        <f t="shared" si="337"/>
        <v>0</v>
      </c>
      <c r="Q71" s="4722">
        <v>0</v>
      </c>
      <c r="R71" s="4722">
        <f t="shared" ref="R71" si="341">SUM(R72:R73)</f>
        <v>0</v>
      </c>
      <c r="S71" s="4722">
        <f t="shared" si="337"/>
        <v>0</v>
      </c>
      <c r="T71" s="4722">
        <v>0</v>
      </c>
      <c r="U71" s="4722">
        <f t="shared" ref="U71" si="342">SUM(U72:U73)</f>
        <v>0</v>
      </c>
      <c r="V71" s="4722">
        <f t="shared" si="337"/>
        <v>0</v>
      </c>
      <c r="W71" s="4722">
        <v>0</v>
      </c>
      <c r="X71" s="4722">
        <f t="shared" ref="X71" si="343">SUM(X72:X73)</f>
        <v>0</v>
      </c>
      <c r="Y71" s="4723">
        <f t="shared" ref="Y71:AA74" si="344">SUM(P71+S71+V71)</f>
        <v>0</v>
      </c>
      <c r="Z71" s="4723">
        <f t="shared" si="344"/>
        <v>0</v>
      </c>
      <c r="AA71" s="4723">
        <f t="shared" si="344"/>
        <v>0</v>
      </c>
      <c r="AB71" s="4758">
        <f t="shared" si="311"/>
        <v>0</v>
      </c>
      <c r="AC71" s="4758" t="e">
        <f t="shared" si="140"/>
        <v>#DIV/0!</v>
      </c>
      <c r="AD71" s="4723">
        <f t="shared" ref="AD71:AF74" si="345">SUM(K71+Y71)</f>
        <v>0</v>
      </c>
      <c r="AE71" s="4723">
        <f t="shared" si="345"/>
        <v>0</v>
      </c>
      <c r="AF71" s="4836">
        <f t="shared" si="345"/>
        <v>0</v>
      </c>
      <c r="AG71" s="4758">
        <f t="shared" si="312"/>
        <v>0</v>
      </c>
      <c r="AH71" s="4758" t="e">
        <f t="shared" si="144"/>
        <v>#DIV/0!</v>
      </c>
      <c r="AI71" s="4722">
        <f t="shared" si="337"/>
        <v>0</v>
      </c>
      <c r="AJ71" s="4722">
        <v>0</v>
      </c>
      <c r="AK71" s="4722">
        <f t="shared" ref="AK71" si="346">SUM(AK72:AK73)</f>
        <v>0</v>
      </c>
      <c r="AL71" s="4722">
        <f t="shared" si="337"/>
        <v>0</v>
      </c>
      <c r="AM71" s="4722">
        <v>0</v>
      </c>
      <c r="AN71" s="4722">
        <f t="shared" ref="AN71" si="347">SUM(AN72:AN73)</f>
        <v>0</v>
      </c>
      <c r="AO71" s="4722">
        <f t="shared" si="337"/>
        <v>0</v>
      </c>
      <c r="AP71" s="4722">
        <v>0</v>
      </c>
      <c r="AQ71" s="4722">
        <f t="shared" ref="AQ71" si="348">SUM(AQ72:AQ73)</f>
        <v>0</v>
      </c>
      <c r="AR71" s="4723">
        <f t="shared" ref="AR71:AT74" si="349">SUM(AI71+AL71+AO71)</f>
        <v>0</v>
      </c>
      <c r="AS71" s="4723">
        <f t="shared" si="349"/>
        <v>0</v>
      </c>
      <c r="AT71" s="4723">
        <f t="shared" si="349"/>
        <v>0</v>
      </c>
      <c r="AU71" s="4758">
        <f t="shared" si="322"/>
        <v>0</v>
      </c>
      <c r="AV71" s="4758"/>
      <c r="AW71" s="4723">
        <f t="shared" ref="AW71:AY74" si="350">SUM(AD71+AR71)</f>
        <v>0</v>
      </c>
      <c r="AX71" s="4723">
        <f t="shared" si="350"/>
        <v>0</v>
      </c>
      <c r="AY71" s="4723">
        <f t="shared" si="350"/>
        <v>0</v>
      </c>
      <c r="AZ71" s="4758">
        <f t="shared" si="323"/>
        <v>0</v>
      </c>
      <c r="BA71" s="4758"/>
      <c r="BB71" s="4722">
        <f t="shared" si="337"/>
        <v>0</v>
      </c>
      <c r="BC71" s="4722">
        <v>0</v>
      </c>
      <c r="BD71" s="4722">
        <f t="shared" ref="BD71" si="351">SUM(BD72:BD73)</f>
        <v>0</v>
      </c>
      <c r="BE71" s="4722">
        <f t="shared" si="337"/>
        <v>0</v>
      </c>
      <c r="BF71" s="4722">
        <v>0</v>
      </c>
      <c r="BG71" s="4722">
        <f t="shared" ref="BG71" si="352">SUM(BG72:BG73)</f>
        <v>0</v>
      </c>
      <c r="BH71" s="4722">
        <f t="shared" si="337"/>
        <v>0</v>
      </c>
      <c r="BI71" s="4722">
        <v>0</v>
      </c>
      <c r="BJ71" s="4722">
        <f t="shared" ref="BJ71" si="353">SUM(BJ72:BJ73)</f>
        <v>0</v>
      </c>
      <c r="BK71" s="4723">
        <f t="shared" ref="BK71:BM74" si="354">SUM(BB71+BE71+BH71)</f>
        <v>0</v>
      </c>
      <c r="BL71" s="4723">
        <f t="shared" si="354"/>
        <v>0</v>
      </c>
      <c r="BM71" s="4723">
        <f t="shared" si="354"/>
        <v>0</v>
      </c>
      <c r="BN71" s="4758">
        <f t="shared" si="333"/>
        <v>0</v>
      </c>
      <c r="BO71" s="4758" t="e">
        <f t="shared" si="154"/>
        <v>#DIV/0!</v>
      </c>
      <c r="BP71" s="4723">
        <f t="shared" ref="BP71:BR74" si="355">SUM(AW71+BK71)</f>
        <v>0</v>
      </c>
      <c r="BQ71" s="4723">
        <f t="shared" si="355"/>
        <v>0</v>
      </c>
      <c r="BR71" s="4723">
        <f t="shared" si="355"/>
        <v>0</v>
      </c>
      <c r="BS71" s="4758">
        <f t="shared" si="334"/>
        <v>0</v>
      </c>
      <c r="BT71" s="4758" t="e">
        <f t="shared" si="335"/>
        <v>#DIV/0!</v>
      </c>
    </row>
    <row r="72" spans="1:74" ht="18.75" customHeight="1">
      <c r="A72" s="4728" t="s">
        <v>2000</v>
      </c>
      <c r="B72" s="4732">
        <v>0</v>
      </c>
      <c r="C72" s="4732">
        <v>0</v>
      </c>
      <c r="D72" s="4732">
        <v>0</v>
      </c>
      <c r="E72" s="4732">
        <v>0</v>
      </c>
      <c r="F72" s="4732">
        <v>0</v>
      </c>
      <c r="G72" s="4732">
        <v>0</v>
      </c>
      <c r="H72" s="4732">
        <v>0</v>
      </c>
      <c r="I72" s="4732">
        <v>0</v>
      </c>
      <c r="J72" s="4732">
        <v>0</v>
      </c>
      <c r="K72" s="4733">
        <f t="shared" si="340"/>
        <v>0</v>
      </c>
      <c r="L72" s="4733">
        <f t="shared" si="340"/>
        <v>0</v>
      </c>
      <c r="M72" s="4733">
        <f t="shared" si="340"/>
        <v>0</v>
      </c>
      <c r="N72" s="4742">
        <f t="shared" si="136"/>
        <v>0</v>
      </c>
      <c r="O72" s="4742" t="e">
        <f t="shared" si="137"/>
        <v>#DIV/0!</v>
      </c>
      <c r="P72" s="4732">
        <v>0</v>
      </c>
      <c r="Q72" s="4732">
        <v>0</v>
      </c>
      <c r="R72" s="4732">
        <v>0</v>
      </c>
      <c r="S72" s="4732">
        <v>0</v>
      </c>
      <c r="T72" s="4732">
        <v>0</v>
      </c>
      <c r="U72" s="4732">
        <v>0</v>
      </c>
      <c r="V72" s="4732">
        <v>0</v>
      </c>
      <c r="W72" s="4732">
        <v>0</v>
      </c>
      <c r="X72" s="4732">
        <v>0</v>
      </c>
      <c r="Y72" s="4733">
        <f t="shared" si="344"/>
        <v>0</v>
      </c>
      <c r="Z72" s="4733">
        <f t="shared" si="344"/>
        <v>0</v>
      </c>
      <c r="AA72" s="4733">
        <f t="shared" si="344"/>
        <v>0</v>
      </c>
      <c r="AB72" s="4742">
        <f t="shared" si="311"/>
        <v>0</v>
      </c>
      <c r="AC72" s="4742" t="e">
        <f t="shared" si="140"/>
        <v>#DIV/0!</v>
      </c>
      <c r="AD72" s="4733">
        <f t="shared" si="345"/>
        <v>0</v>
      </c>
      <c r="AE72" s="4733">
        <f>SUM(L72+Z72)</f>
        <v>0</v>
      </c>
      <c r="AF72" s="4837">
        <f t="shared" si="345"/>
        <v>0</v>
      </c>
      <c r="AG72" s="4742">
        <f t="shared" si="312"/>
        <v>0</v>
      </c>
      <c r="AH72" s="4742" t="e">
        <f t="shared" si="144"/>
        <v>#DIV/0!</v>
      </c>
      <c r="AI72" s="4732">
        <v>0</v>
      </c>
      <c r="AJ72" s="4732">
        <v>0</v>
      </c>
      <c r="AK72" s="4732">
        <v>0</v>
      </c>
      <c r="AL72" s="4732">
        <v>0</v>
      </c>
      <c r="AM72" s="4732">
        <v>0</v>
      </c>
      <c r="AN72" s="4732">
        <v>0</v>
      </c>
      <c r="AO72" s="4732">
        <v>0</v>
      </c>
      <c r="AP72" s="4732">
        <v>0</v>
      </c>
      <c r="AQ72" s="4732">
        <v>0</v>
      </c>
      <c r="AR72" s="4733">
        <f t="shared" si="349"/>
        <v>0</v>
      </c>
      <c r="AS72" s="4733">
        <f t="shared" si="349"/>
        <v>0</v>
      </c>
      <c r="AT72" s="4733">
        <f t="shared" si="349"/>
        <v>0</v>
      </c>
      <c r="AU72" s="4742">
        <f t="shared" si="322"/>
        <v>0</v>
      </c>
      <c r="AV72" s="4742"/>
      <c r="AW72" s="4733">
        <f t="shared" si="350"/>
        <v>0</v>
      </c>
      <c r="AX72" s="4733">
        <f t="shared" si="350"/>
        <v>0</v>
      </c>
      <c r="AY72" s="4733">
        <f t="shared" si="350"/>
        <v>0</v>
      </c>
      <c r="AZ72" s="4742">
        <f t="shared" si="323"/>
        <v>0</v>
      </c>
      <c r="BA72" s="4742"/>
      <c r="BB72" s="4732">
        <v>0</v>
      </c>
      <c r="BC72" s="4732">
        <v>0</v>
      </c>
      <c r="BD72" s="4732">
        <v>0</v>
      </c>
      <c r="BE72" s="4732">
        <v>0</v>
      </c>
      <c r="BF72" s="4732">
        <v>0</v>
      </c>
      <c r="BG72" s="4732">
        <v>0</v>
      </c>
      <c r="BH72" s="4732">
        <v>0</v>
      </c>
      <c r="BI72" s="4732">
        <v>0</v>
      </c>
      <c r="BJ72" s="4732">
        <v>0</v>
      </c>
      <c r="BK72" s="4733">
        <f t="shared" si="354"/>
        <v>0</v>
      </c>
      <c r="BL72" s="4733">
        <f t="shared" si="354"/>
        <v>0</v>
      </c>
      <c r="BM72" s="4733">
        <f t="shared" si="354"/>
        <v>0</v>
      </c>
      <c r="BN72" s="4742">
        <f t="shared" si="333"/>
        <v>0</v>
      </c>
      <c r="BO72" s="4742" t="e">
        <f t="shared" si="154"/>
        <v>#DIV/0!</v>
      </c>
      <c r="BP72" s="4733">
        <f t="shared" si="355"/>
        <v>0</v>
      </c>
      <c r="BQ72" s="4733">
        <f t="shared" si="355"/>
        <v>0</v>
      </c>
      <c r="BR72" s="4733">
        <f t="shared" si="355"/>
        <v>0</v>
      </c>
      <c r="BS72" s="4742">
        <f t="shared" si="334"/>
        <v>0</v>
      </c>
      <c r="BT72" s="4742" t="e">
        <f t="shared" si="335"/>
        <v>#DIV/0!</v>
      </c>
    </row>
    <row r="73" spans="1:74" ht="18.75" customHeight="1">
      <c r="A73" s="4728" t="s">
        <v>300</v>
      </c>
      <c r="B73" s="4732">
        <v>0</v>
      </c>
      <c r="C73" s="4732">
        <v>0</v>
      </c>
      <c r="D73" s="4732">
        <v>0</v>
      </c>
      <c r="E73" s="4732">
        <v>0</v>
      </c>
      <c r="F73" s="4732">
        <v>0</v>
      </c>
      <c r="G73" s="4732">
        <v>0</v>
      </c>
      <c r="H73" s="4732">
        <v>0</v>
      </c>
      <c r="I73" s="4732">
        <v>0</v>
      </c>
      <c r="J73" s="4732">
        <v>0</v>
      </c>
      <c r="K73" s="4733">
        <f t="shared" si="340"/>
        <v>0</v>
      </c>
      <c r="L73" s="4733">
        <f t="shared" si="340"/>
        <v>0</v>
      </c>
      <c r="M73" s="4733">
        <f t="shared" si="340"/>
        <v>0</v>
      </c>
      <c r="N73" s="4742">
        <f t="shared" si="136"/>
        <v>0</v>
      </c>
      <c r="O73" s="4742" t="e">
        <f t="shared" si="137"/>
        <v>#DIV/0!</v>
      </c>
      <c r="P73" s="4732">
        <v>0</v>
      </c>
      <c r="Q73" s="4732">
        <v>0</v>
      </c>
      <c r="R73" s="4732">
        <v>0</v>
      </c>
      <c r="S73" s="4732">
        <v>0</v>
      </c>
      <c r="T73" s="4732">
        <v>0</v>
      </c>
      <c r="U73" s="4732">
        <v>0</v>
      </c>
      <c r="V73" s="4732">
        <v>0</v>
      </c>
      <c r="W73" s="4732">
        <v>0</v>
      </c>
      <c r="X73" s="4732">
        <v>0</v>
      </c>
      <c r="Y73" s="4733">
        <f t="shared" si="344"/>
        <v>0</v>
      </c>
      <c r="Z73" s="4733">
        <f t="shared" si="344"/>
        <v>0</v>
      </c>
      <c r="AA73" s="4733">
        <f t="shared" si="344"/>
        <v>0</v>
      </c>
      <c r="AB73" s="4742">
        <f t="shared" si="311"/>
        <v>0</v>
      </c>
      <c r="AC73" s="4742" t="e">
        <f t="shared" si="140"/>
        <v>#DIV/0!</v>
      </c>
      <c r="AD73" s="4733">
        <f t="shared" si="345"/>
        <v>0</v>
      </c>
      <c r="AE73" s="4733">
        <f t="shared" si="345"/>
        <v>0</v>
      </c>
      <c r="AF73" s="4837">
        <f t="shared" si="345"/>
        <v>0</v>
      </c>
      <c r="AG73" s="4742">
        <f t="shared" si="312"/>
        <v>0</v>
      </c>
      <c r="AH73" s="4742" t="e">
        <f t="shared" si="144"/>
        <v>#DIV/0!</v>
      </c>
      <c r="AI73" s="4732">
        <v>0</v>
      </c>
      <c r="AJ73" s="4732">
        <v>0</v>
      </c>
      <c r="AK73" s="4732">
        <v>0</v>
      </c>
      <c r="AL73" s="4732">
        <v>0</v>
      </c>
      <c r="AM73" s="4732">
        <v>0</v>
      </c>
      <c r="AN73" s="4732">
        <v>0</v>
      </c>
      <c r="AO73" s="4732">
        <v>0</v>
      </c>
      <c r="AP73" s="4732">
        <v>0</v>
      </c>
      <c r="AQ73" s="4732">
        <v>0</v>
      </c>
      <c r="AR73" s="4733">
        <f t="shared" si="349"/>
        <v>0</v>
      </c>
      <c r="AS73" s="4733">
        <f t="shared" si="349"/>
        <v>0</v>
      </c>
      <c r="AT73" s="4733">
        <f t="shared" si="349"/>
        <v>0</v>
      </c>
      <c r="AU73" s="4742">
        <f t="shared" si="322"/>
        <v>0</v>
      </c>
      <c r="AV73" s="4742"/>
      <c r="AW73" s="4733">
        <f t="shared" si="350"/>
        <v>0</v>
      </c>
      <c r="AX73" s="4733">
        <f t="shared" si="350"/>
        <v>0</v>
      </c>
      <c r="AY73" s="4733">
        <f t="shared" si="350"/>
        <v>0</v>
      </c>
      <c r="AZ73" s="4742">
        <f t="shared" si="323"/>
        <v>0</v>
      </c>
      <c r="BA73" s="4742"/>
      <c r="BB73" s="4732">
        <v>0</v>
      </c>
      <c r="BC73" s="4732">
        <v>0</v>
      </c>
      <c r="BD73" s="4732">
        <v>0</v>
      </c>
      <c r="BE73" s="4732">
        <v>0</v>
      </c>
      <c r="BF73" s="4732">
        <v>0</v>
      </c>
      <c r="BG73" s="4732">
        <v>0</v>
      </c>
      <c r="BH73" s="4732">
        <v>0</v>
      </c>
      <c r="BI73" s="4732">
        <v>0</v>
      </c>
      <c r="BJ73" s="4732">
        <v>0</v>
      </c>
      <c r="BK73" s="4733">
        <f t="shared" si="354"/>
        <v>0</v>
      </c>
      <c r="BL73" s="4733">
        <f t="shared" si="354"/>
        <v>0</v>
      </c>
      <c r="BM73" s="4733">
        <f t="shared" si="354"/>
        <v>0</v>
      </c>
      <c r="BN73" s="4742">
        <f t="shared" si="333"/>
        <v>0</v>
      </c>
      <c r="BO73" s="4742" t="e">
        <f t="shared" si="154"/>
        <v>#DIV/0!</v>
      </c>
      <c r="BP73" s="4733">
        <f t="shared" si="355"/>
        <v>0</v>
      </c>
      <c r="BQ73" s="4733">
        <f t="shared" si="355"/>
        <v>0</v>
      </c>
      <c r="BR73" s="4733">
        <f t="shared" si="355"/>
        <v>0</v>
      </c>
      <c r="BS73" s="4742">
        <f t="shared" si="334"/>
        <v>0</v>
      </c>
      <c r="BT73" s="4742" t="e">
        <f t="shared" si="335"/>
        <v>#DIV/0!</v>
      </c>
    </row>
    <row r="74" spans="1:74" ht="18.75" customHeight="1">
      <c r="A74" s="4597" t="s">
        <v>2001</v>
      </c>
      <c r="B74" s="4760">
        <f t="shared" ref="B74:J74" si="356">SUM(B59+B71)</f>
        <v>7224.0283028259628</v>
      </c>
      <c r="C74" s="4760">
        <f t="shared" si="356"/>
        <v>6236.98</v>
      </c>
      <c r="D74" s="4760">
        <f t="shared" si="356"/>
        <v>6607.81</v>
      </c>
      <c r="E74" s="4760">
        <f t="shared" si="356"/>
        <v>7211.4197232575007</v>
      </c>
      <c r="F74" s="4760">
        <f t="shared" si="356"/>
        <v>5858.09</v>
      </c>
      <c r="G74" s="4760">
        <f t="shared" si="356"/>
        <v>5728.56</v>
      </c>
      <c r="H74" s="4760">
        <f t="shared" si="356"/>
        <v>7585.9787891391843</v>
      </c>
      <c r="I74" s="4760">
        <f t="shared" si="356"/>
        <v>7601.869999999999</v>
      </c>
      <c r="J74" s="4760">
        <f t="shared" si="356"/>
        <v>6804.6799999999994</v>
      </c>
      <c r="K74" s="4723">
        <f t="shared" si="340"/>
        <v>22021.42681522265</v>
      </c>
      <c r="L74" s="4723">
        <f t="shared" si="340"/>
        <v>19696.939999999999</v>
      </c>
      <c r="M74" s="4723">
        <f t="shared" si="340"/>
        <v>19141.05</v>
      </c>
      <c r="N74" s="4758">
        <f t="shared" si="136"/>
        <v>-2324.4868152226518</v>
      </c>
      <c r="O74" s="4758">
        <f t="shared" si="137"/>
        <v>-10.555568604736431</v>
      </c>
      <c r="P74" s="4760">
        <f t="shared" ref="P74:X74" si="357">SUM(P59+P71)</f>
        <v>7190.7087269656449</v>
      </c>
      <c r="Q74" s="4760">
        <f t="shared" si="357"/>
        <v>6737.2000000000007</v>
      </c>
      <c r="R74" s="4760">
        <f t="shared" si="357"/>
        <v>6865.4800000000005</v>
      </c>
      <c r="S74" s="4760">
        <f t="shared" si="357"/>
        <v>7132.6995103809049</v>
      </c>
      <c r="T74" s="4760">
        <f t="shared" si="357"/>
        <v>6461.1</v>
      </c>
      <c r="U74" s="4760">
        <f t="shared" si="357"/>
        <v>6579.3200000000006</v>
      </c>
      <c r="V74" s="4760">
        <f t="shared" si="357"/>
        <v>7505.6106172520913</v>
      </c>
      <c r="W74" s="4760">
        <f t="shared" si="357"/>
        <v>7100.3099999999995</v>
      </c>
      <c r="X74" s="4760">
        <f t="shared" si="357"/>
        <v>6776.66</v>
      </c>
      <c r="Y74" s="4723">
        <f t="shared" si="344"/>
        <v>21829.018854598642</v>
      </c>
      <c r="Z74" s="4723">
        <f t="shared" si="344"/>
        <v>20298.61</v>
      </c>
      <c r="AA74" s="4723">
        <f t="shared" si="344"/>
        <v>20221.46</v>
      </c>
      <c r="AB74" s="4758">
        <f t="shared" si="311"/>
        <v>-1530.4088545986415</v>
      </c>
      <c r="AC74" s="4758">
        <f t="shared" ref="AC74" si="358">SUM(AB74/Y74*100)</f>
        <v>-7.0108916245506636</v>
      </c>
      <c r="AD74" s="4723">
        <f t="shared" si="345"/>
        <v>43850.445669821289</v>
      </c>
      <c r="AE74" s="4723">
        <f t="shared" si="345"/>
        <v>39995.550000000003</v>
      </c>
      <c r="AF74" s="4836">
        <f t="shared" si="345"/>
        <v>39362.509999999995</v>
      </c>
      <c r="AG74" s="4758">
        <f t="shared" si="312"/>
        <v>-3854.895669821286</v>
      </c>
      <c r="AH74" s="4758">
        <f t="shared" si="144"/>
        <v>-8.7910068208823215</v>
      </c>
      <c r="AI74" s="4760">
        <f t="shared" ref="AI74:AQ74" si="359">SUM(AI59+AI71)</f>
        <v>7398.0413363426314</v>
      </c>
      <c r="AJ74" s="4760">
        <f t="shared" si="359"/>
        <v>0</v>
      </c>
      <c r="AK74" s="4760">
        <f t="shared" si="359"/>
        <v>6301</v>
      </c>
      <c r="AL74" s="4760">
        <f t="shared" si="359"/>
        <v>7397.1957015947946</v>
      </c>
      <c r="AM74" s="4760">
        <f t="shared" si="359"/>
        <v>0</v>
      </c>
      <c r="AN74" s="4760">
        <f t="shared" si="359"/>
        <v>7179.93</v>
      </c>
      <c r="AO74" s="4760">
        <f t="shared" si="359"/>
        <v>7824.6712935682435</v>
      </c>
      <c r="AP74" s="4760">
        <f t="shared" si="359"/>
        <v>0</v>
      </c>
      <c r="AQ74" s="4760">
        <f t="shared" si="359"/>
        <v>6585.5</v>
      </c>
      <c r="AR74" s="4723">
        <f t="shared" si="349"/>
        <v>22619.908331505671</v>
      </c>
      <c r="AS74" s="4723">
        <f t="shared" si="349"/>
        <v>0</v>
      </c>
      <c r="AT74" s="4723">
        <f t="shared" si="349"/>
        <v>20066.43</v>
      </c>
      <c r="AU74" s="4758">
        <f t="shared" si="322"/>
        <v>-22619.908331505671</v>
      </c>
      <c r="AV74" s="4758">
        <f t="shared" ref="AV74" si="360">SUM(AU74/AR74*100)</f>
        <v>-100</v>
      </c>
      <c r="AW74" s="4723">
        <f t="shared" si="350"/>
        <v>66470.354001326952</v>
      </c>
      <c r="AX74" s="4723">
        <f t="shared" si="350"/>
        <v>39995.550000000003</v>
      </c>
      <c r="AY74" s="4723">
        <f t="shared" si="350"/>
        <v>59428.939999999995</v>
      </c>
      <c r="AZ74" s="4758">
        <f t="shared" si="323"/>
        <v>-26474.804001326949</v>
      </c>
      <c r="BA74" s="4758">
        <f t="shared" ref="BA74" si="361">SUM(AZ74/AW74*100)</f>
        <v>-39.829491506542048</v>
      </c>
      <c r="BB74" s="4760">
        <f t="shared" ref="BB74:BJ74" si="362">SUM(BB59+BB71)</f>
        <v>7469.0721846456354</v>
      </c>
      <c r="BC74" s="4760">
        <f t="shared" si="362"/>
        <v>0</v>
      </c>
      <c r="BD74" s="4760">
        <f t="shared" si="362"/>
        <v>6043.1500000000005</v>
      </c>
      <c r="BE74" s="4760">
        <f t="shared" si="362"/>
        <v>7478.6671602728484</v>
      </c>
      <c r="BF74" s="4760">
        <f t="shared" si="362"/>
        <v>0</v>
      </c>
      <c r="BG74" s="4760">
        <f t="shared" si="362"/>
        <v>6312.51</v>
      </c>
      <c r="BH74" s="4760">
        <f t="shared" si="362"/>
        <v>7873.0885405705312</v>
      </c>
      <c r="BI74" s="4760">
        <f t="shared" si="362"/>
        <v>0</v>
      </c>
      <c r="BJ74" s="4760">
        <f t="shared" si="362"/>
        <v>6574.7300000000005</v>
      </c>
      <c r="BK74" s="4723">
        <f t="shared" si="354"/>
        <v>22820.827885489016</v>
      </c>
      <c r="BL74" s="4723">
        <f t="shared" si="354"/>
        <v>0</v>
      </c>
      <c r="BM74" s="4723">
        <f t="shared" si="354"/>
        <v>18930.39</v>
      </c>
      <c r="BN74" s="4758">
        <f t="shared" si="333"/>
        <v>-22820.827885489016</v>
      </c>
      <c r="BO74" s="4758">
        <f t="shared" si="154"/>
        <v>-100</v>
      </c>
      <c r="BP74" s="4723">
        <f>SUM(AW74+BK74)+0.01</f>
        <v>89291.191886815956</v>
      </c>
      <c r="BQ74" s="4723">
        <f t="shared" si="355"/>
        <v>39995.550000000003</v>
      </c>
      <c r="BR74" s="4723">
        <f t="shared" si="355"/>
        <v>78359.329999999987</v>
      </c>
      <c r="BS74" s="4758">
        <f t="shared" si="334"/>
        <v>-49295.641886815953</v>
      </c>
      <c r="BT74" s="4758">
        <f t="shared" si="335"/>
        <v>-55.207731966779313</v>
      </c>
    </row>
    <row r="75" spans="1:74" ht="18.75" customHeight="1">
      <c r="A75" s="4838"/>
      <c r="B75" s="4839"/>
      <c r="C75" s="4839"/>
      <c r="D75" s="4839"/>
      <c r="E75" s="4839"/>
      <c r="F75" s="4839"/>
      <c r="G75" s="4839"/>
      <c r="H75" s="4839"/>
      <c r="I75" s="4839"/>
      <c r="J75" s="4839"/>
      <c r="K75" s="4840"/>
      <c r="L75" s="4840"/>
      <c r="M75" s="4840"/>
      <c r="N75" s="4841"/>
      <c r="O75" s="4841"/>
      <c r="P75" s="4839"/>
      <c r="Q75" s="4839"/>
      <c r="R75" s="4839"/>
      <c r="S75" s="4839"/>
      <c r="T75" s="4839"/>
      <c r="U75" s="4839"/>
      <c r="V75" s="4839"/>
      <c r="W75" s="4839"/>
      <c r="X75" s="4839"/>
      <c r="Y75" s="4840"/>
      <c r="Z75" s="4840"/>
      <c r="AA75" s="4840"/>
      <c r="AB75" s="4841"/>
      <c r="AC75" s="4841"/>
      <c r="AD75" s="4840"/>
      <c r="AE75" s="4840"/>
      <c r="AF75" s="4840"/>
      <c r="AG75" s="4841"/>
      <c r="AH75" s="4841"/>
      <c r="AI75" s="4839"/>
      <c r="AJ75" s="4839"/>
      <c r="AK75" s="4839"/>
      <c r="AL75" s="4839"/>
      <c r="AM75" s="4839"/>
      <c r="AN75" s="4839"/>
      <c r="AO75" s="4839"/>
      <c r="AP75" s="4839"/>
      <c r="AQ75" s="4839"/>
      <c r="AR75" s="4840"/>
      <c r="AS75" s="4840"/>
      <c r="AT75" s="4840"/>
      <c r="AU75" s="4841"/>
      <c r="AV75" s="4841"/>
      <c r="AW75" s="4840"/>
      <c r="AX75" s="4840"/>
      <c r="AY75" s="4840"/>
      <c r="AZ75" s="4841"/>
      <c r="BA75" s="4841"/>
      <c r="BB75" s="4839"/>
      <c r="BC75" s="4839"/>
      <c r="BD75" s="4839"/>
      <c r="BE75" s="4839"/>
      <c r="BF75" s="4839"/>
      <c r="BG75" s="4839"/>
      <c r="BH75" s="4839"/>
      <c r="BI75" s="4839"/>
      <c r="BJ75" s="4839"/>
      <c r="BK75" s="4840"/>
      <c r="BL75" s="4840"/>
      <c r="BM75" s="4840"/>
      <c r="BN75" s="4841"/>
      <c r="BO75" s="4841"/>
      <c r="BP75" s="4840"/>
      <c r="BQ75" s="4840"/>
      <c r="BR75" s="4840"/>
      <c r="BS75" s="4841"/>
      <c r="BT75" s="4841"/>
      <c r="BU75" s="618"/>
      <c r="BV75" s="618"/>
    </row>
    <row r="76" spans="1:74" ht="18.75" customHeight="1">
      <c r="A76" s="4880"/>
      <c r="B76" s="4881"/>
      <c r="C76" s="4610"/>
      <c r="D76" s="4610"/>
      <c r="E76" s="4610"/>
      <c r="F76" s="4610"/>
      <c r="G76" s="4610"/>
      <c r="H76" s="4610"/>
      <c r="I76" s="4610"/>
      <c r="J76" s="4610"/>
      <c r="K76" s="4610"/>
      <c r="L76" s="4610"/>
      <c r="M76" s="4610" t="s">
        <v>2047</v>
      </c>
      <c r="N76" s="4610"/>
      <c r="O76" s="4610"/>
      <c r="P76" s="4611"/>
      <c r="Q76" s="4611"/>
      <c r="R76" s="4611"/>
      <c r="S76" s="4611"/>
      <c r="T76" s="4611"/>
      <c r="U76" s="4611"/>
      <c r="V76" s="4611"/>
      <c r="W76" s="4611"/>
      <c r="X76" s="4611"/>
      <c r="Y76" s="4611"/>
      <c r="Z76" s="4611"/>
      <c r="AA76" s="4611"/>
      <c r="AB76" s="4611"/>
      <c r="AC76" s="4611"/>
      <c r="AD76" s="4611"/>
      <c r="AE76" s="4611"/>
      <c r="AF76" s="4611"/>
      <c r="AG76" s="4611"/>
      <c r="AH76" s="4611"/>
      <c r="AI76" s="4611"/>
      <c r="AJ76" s="4611"/>
      <c r="AK76" s="4611"/>
      <c r="AL76" s="4611"/>
      <c r="AM76" s="4611"/>
      <c r="AN76" s="4611"/>
      <c r="AO76" s="4611"/>
      <c r="AP76" s="4611"/>
      <c r="AQ76" s="4611"/>
      <c r="AR76" s="4611"/>
      <c r="AS76" s="4611"/>
      <c r="AT76" s="4611"/>
      <c r="AU76" s="4611"/>
      <c r="AV76" s="4611"/>
      <c r="AW76" s="4611"/>
      <c r="AX76" s="4611"/>
      <c r="AY76" s="4611"/>
      <c r="AZ76" s="4611"/>
      <c r="BA76" s="4611"/>
      <c r="BB76" s="4611"/>
      <c r="BC76" s="4611"/>
      <c r="BD76" s="4611"/>
      <c r="BE76" s="4611"/>
      <c r="BF76" s="4611"/>
      <c r="BG76" s="4611"/>
      <c r="BH76" s="4611"/>
      <c r="BI76" s="4611"/>
      <c r="BJ76" s="4611"/>
      <c r="BK76" s="670"/>
      <c r="BL76" s="670"/>
      <c r="BM76" s="670"/>
      <c r="BN76" s="670"/>
      <c r="BO76" s="670"/>
      <c r="BP76" s="156"/>
      <c r="BQ76" s="156"/>
      <c r="BR76" s="156"/>
      <c r="BS76" s="156"/>
    </row>
    <row r="77" spans="1:74" ht="18.75" customHeight="1">
      <c r="A77" s="3237"/>
      <c r="B77" s="4881"/>
      <c r="C77" s="4610"/>
      <c r="D77" s="4610"/>
      <c r="E77" s="4610"/>
      <c r="F77" s="4610"/>
      <c r="G77" s="4610" t="s">
        <v>1409</v>
      </c>
      <c r="H77" s="4610"/>
      <c r="I77" s="4610"/>
      <c r="J77" s="4610"/>
      <c r="K77" s="4610"/>
      <c r="L77" s="4610"/>
      <c r="M77" s="4610"/>
      <c r="N77" s="4610"/>
      <c r="O77" s="4610"/>
      <c r="P77" s="4611"/>
      <c r="Q77" s="4611"/>
      <c r="R77" s="4611"/>
      <c r="S77" s="4611"/>
      <c r="T77" s="4611"/>
      <c r="U77" s="4611"/>
      <c r="V77" s="4611"/>
      <c r="W77" s="4611"/>
      <c r="X77" s="4611"/>
      <c r="Y77" s="4611"/>
      <c r="Z77" s="4611"/>
      <c r="AA77" s="4611"/>
      <c r="AB77" s="4611"/>
      <c r="AC77" s="4611"/>
      <c r="AD77" s="4611"/>
      <c r="AE77" s="4611"/>
      <c r="AF77" s="4611"/>
      <c r="AG77" s="4611"/>
      <c r="AH77" s="4611"/>
      <c r="AI77" s="4611"/>
      <c r="AJ77" s="4611"/>
      <c r="AK77" s="4611"/>
      <c r="AL77" s="4611"/>
      <c r="AM77" s="4611"/>
      <c r="AN77" s="4611" t="s">
        <v>1744</v>
      </c>
      <c r="AO77" s="4611"/>
      <c r="AP77" s="4611"/>
      <c r="AQ77" s="4611"/>
      <c r="AR77" s="4611"/>
      <c r="AS77" s="4611"/>
      <c r="AT77" s="4611"/>
      <c r="AU77" s="4611"/>
      <c r="AV77" s="4611"/>
      <c r="AW77" s="4611" t="s">
        <v>1744</v>
      </c>
      <c r="AX77" s="4611"/>
      <c r="AY77" s="4611"/>
      <c r="AZ77" s="4611"/>
      <c r="BA77" s="4611"/>
      <c r="BB77" s="4611"/>
      <c r="BC77" s="4611"/>
      <c r="BD77" s="4611"/>
      <c r="BE77" s="4611"/>
      <c r="BF77" s="4611"/>
      <c r="BG77" s="4611"/>
      <c r="BH77" s="4611"/>
      <c r="BI77" s="4611"/>
      <c r="BJ77" s="4611"/>
      <c r="BK77" s="670"/>
      <c r="BL77" s="670"/>
      <c r="BM77" s="670"/>
      <c r="BN77" s="670"/>
      <c r="BO77" s="670"/>
      <c r="BP77" s="156"/>
      <c r="BQ77" s="156"/>
      <c r="BR77" s="156"/>
      <c r="BS77" s="156"/>
    </row>
    <row r="78" spans="1:74" ht="18.75" customHeight="1">
      <c r="A78" s="3237"/>
      <c r="B78" s="4881"/>
      <c r="C78" s="4610"/>
      <c r="D78" s="4610"/>
      <c r="E78" s="4610"/>
      <c r="F78" s="4610"/>
      <c r="G78" s="4610"/>
      <c r="H78" s="4610"/>
      <c r="I78" s="4610"/>
      <c r="J78" s="4610"/>
      <c r="K78" s="4610"/>
      <c r="L78" s="4610"/>
      <c r="M78" s="4610" t="s">
        <v>1409</v>
      </c>
      <c r="N78" s="4610"/>
      <c r="O78" s="4610"/>
      <c r="P78" s="4611"/>
      <c r="Q78" s="4611"/>
      <c r="R78" s="4611"/>
      <c r="S78" s="4611"/>
      <c r="T78" s="4611"/>
      <c r="U78" s="4611"/>
      <c r="V78" s="4611"/>
      <c r="W78" s="4611"/>
      <c r="X78" s="4611"/>
      <c r="Y78" s="4611"/>
      <c r="Z78" s="4611"/>
      <c r="AA78" s="4611"/>
      <c r="AB78" s="4611"/>
      <c r="AC78" s="4611"/>
      <c r="AD78" s="4611"/>
      <c r="AE78" s="4611"/>
      <c r="AF78" s="4611"/>
      <c r="AG78" s="4611"/>
      <c r="AH78" s="4611"/>
      <c r="AI78" s="4611"/>
      <c r="AJ78" s="4611"/>
      <c r="AK78" s="4611"/>
      <c r="AL78" s="4611"/>
      <c r="AM78" s="4611"/>
      <c r="AN78" s="4611"/>
      <c r="AO78" s="4611"/>
      <c r="AP78" s="4611"/>
      <c r="AQ78" s="4611"/>
      <c r="AR78" s="4611"/>
      <c r="AS78" s="4611"/>
      <c r="AT78" s="4611"/>
      <c r="AU78" s="4611"/>
      <c r="AV78" s="4611"/>
      <c r="AW78" s="4611" t="s">
        <v>1409</v>
      </c>
      <c r="AX78" s="4611"/>
      <c r="AY78" s="4611"/>
      <c r="AZ78" s="4611"/>
      <c r="BA78" s="4611"/>
      <c r="BB78" s="4611"/>
      <c r="BC78" s="4611"/>
      <c r="BD78" s="4611"/>
      <c r="BE78" s="4611"/>
      <c r="BF78" s="4611"/>
      <c r="BG78" s="4611"/>
      <c r="BH78" s="4611"/>
      <c r="BI78" s="4611"/>
      <c r="BJ78" s="4611"/>
      <c r="BK78" s="670"/>
      <c r="BL78" s="670"/>
      <c r="BM78" s="670"/>
      <c r="BN78" s="670"/>
      <c r="BO78" s="670"/>
      <c r="BP78" s="156"/>
      <c r="BQ78" s="156"/>
      <c r="BR78" s="156"/>
      <c r="BS78" s="156"/>
    </row>
    <row r="79" spans="1:74" ht="18.75" customHeight="1">
      <c r="A79" s="3237"/>
      <c r="B79" s="4881"/>
      <c r="C79" s="4610"/>
      <c r="D79" s="4610"/>
      <c r="E79" s="4610"/>
      <c r="F79" s="4610"/>
      <c r="G79" s="4610"/>
      <c r="H79" s="4610"/>
      <c r="I79" s="4610"/>
      <c r="J79" s="4610"/>
      <c r="K79" s="4610"/>
      <c r="L79" s="4610"/>
      <c r="M79" s="4610"/>
      <c r="N79" s="4610"/>
      <c r="O79" s="4610"/>
      <c r="P79" s="4611"/>
      <c r="Q79" s="4611"/>
      <c r="R79" s="4611"/>
      <c r="S79" s="4611"/>
      <c r="T79" s="4611"/>
      <c r="U79" s="4611"/>
      <c r="V79" s="4611"/>
      <c r="W79" s="4611"/>
      <c r="X79" s="4611"/>
      <c r="Y79" s="4611"/>
      <c r="Z79" s="4611"/>
      <c r="AA79" s="4611"/>
      <c r="AB79" s="4611"/>
      <c r="AC79" s="4611"/>
      <c r="AD79" s="4611"/>
      <c r="AE79" s="4611"/>
      <c r="AF79" s="4611"/>
      <c r="AG79" s="4611"/>
      <c r="AH79" s="4611"/>
      <c r="AI79" s="4611"/>
      <c r="AJ79" s="4611"/>
      <c r="AK79" s="4611"/>
      <c r="AL79" s="4611"/>
      <c r="AM79" s="4611"/>
      <c r="AN79" s="4611" t="s">
        <v>1409</v>
      </c>
      <c r="AO79" s="4611"/>
      <c r="AP79" s="4611"/>
      <c r="AQ79" s="4611"/>
      <c r="AR79" s="4611"/>
      <c r="AS79" s="4611"/>
      <c r="AT79" s="4611"/>
      <c r="AU79" s="4611"/>
      <c r="AV79" s="4611"/>
      <c r="AW79" s="4611"/>
      <c r="AX79" s="4611"/>
      <c r="AY79" s="4611"/>
      <c r="AZ79" s="4611"/>
      <c r="BA79" s="4611"/>
      <c r="BB79" s="4611"/>
      <c r="BC79" s="4611"/>
      <c r="BD79" s="4611"/>
      <c r="BE79" s="4611"/>
      <c r="BF79" s="4611"/>
      <c r="BG79" s="4611"/>
      <c r="BH79" s="4611"/>
      <c r="BI79" s="4611"/>
      <c r="BJ79" s="4611"/>
      <c r="BK79" s="670"/>
      <c r="BL79" s="670"/>
      <c r="BM79" s="670"/>
      <c r="BN79" s="670"/>
      <c r="BO79" s="670"/>
      <c r="BP79" s="156"/>
      <c r="BQ79" s="156"/>
      <c r="BR79" s="156"/>
      <c r="BS79" s="156"/>
    </row>
    <row r="80" spans="1:74" ht="18.75" customHeight="1">
      <c r="B80" s="4842"/>
      <c r="C80" s="670"/>
      <c r="D80" s="670"/>
      <c r="E80" s="670"/>
      <c r="F80" s="670"/>
      <c r="G80" s="670"/>
      <c r="H80" s="670"/>
      <c r="I80" s="670"/>
      <c r="J80" s="670"/>
      <c r="K80" s="670"/>
      <c r="L80" s="670"/>
      <c r="M80" s="670"/>
      <c r="N80" s="670"/>
      <c r="O80" s="670"/>
      <c r="P80" s="4611"/>
      <c r="Q80" s="4611"/>
      <c r="R80" s="4611"/>
      <c r="S80" s="4611"/>
      <c r="T80" s="4611"/>
      <c r="U80" s="4611"/>
      <c r="V80" s="4611"/>
      <c r="W80" s="4611"/>
      <c r="X80" s="4611"/>
      <c r="Y80" s="4611"/>
      <c r="Z80" s="4611"/>
      <c r="AA80" s="4611"/>
      <c r="AB80" s="4611"/>
      <c r="AC80" s="4611"/>
      <c r="AD80" s="4611"/>
      <c r="AE80" s="4611"/>
      <c r="AF80" s="4611"/>
      <c r="AG80" s="4611"/>
      <c r="AH80" s="4611"/>
      <c r="AI80" s="4611"/>
      <c r="AJ80" s="4611"/>
      <c r="AK80" s="4611"/>
      <c r="AL80" s="4611"/>
      <c r="AM80" s="4611"/>
      <c r="AN80" s="4611"/>
      <c r="AO80" s="4611"/>
      <c r="AP80" s="4611"/>
      <c r="AQ80" s="4611"/>
      <c r="AR80" s="4611"/>
      <c r="AS80" s="4611"/>
      <c r="AT80" s="4611"/>
      <c r="AU80" s="4611"/>
      <c r="AV80" s="4611"/>
      <c r="AW80" s="4611"/>
      <c r="AX80" s="4611"/>
      <c r="AY80" s="4611"/>
      <c r="AZ80" s="4611"/>
      <c r="BA80" s="4611"/>
      <c r="BB80" s="4611"/>
      <c r="BC80" s="4611"/>
      <c r="BD80" s="4611"/>
      <c r="BE80" s="4611"/>
      <c r="BF80" s="4611"/>
      <c r="BG80" s="4611"/>
      <c r="BH80" s="4611"/>
      <c r="BI80" s="4611"/>
      <c r="BJ80" s="4611"/>
      <c r="BK80" s="670"/>
      <c r="BL80" s="670"/>
      <c r="BM80" s="670"/>
      <c r="BN80" s="670"/>
      <c r="BO80" s="670"/>
      <c r="BP80" s="156"/>
      <c r="BQ80" s="156"/>
      <c r="BR80" s="156"/>
      <c r="BS80" s="156"/>
    </row>
    <row r="81" spans="2:71" ht="18.75" customHeight="1">
      <c r="B81" s="4842"/>
      <c r="C81" s="670"/>
      <c r="D81" s="670"/>
      <c r="E81" s="670"/>
      <c r="F81" s="670"/>
      <c r="G81" s="670"/>
      <c r="H81" s="670"/>
      <c r="I81" s="670"/>
      <c r="J81" s="670"/>
      <c r="K81" s="670"/>
      <c r="L81" s="670"/>
      <c r="M81" s="670"/>
      <c r="N81" s="670"/>
      <c r="O81" s="670"/>
      <c r="P81" s="4611"/>
      <c r="Q81" s="4611"/>
      <c r="R81" s="4611"/>
      <c r="S81" s="4611"/>
      <c r="T81" s="4611"/>
      <c r="U81" s="4611"/>
      <c r="V81" s="4611"/>
      <c r="W81" s="4611"/>
      <c r="X81" s="4611"/>
      <c r="Y81" s="4611"/>
      <c r="Z81" s="4611"/>
      <c r="AA81" s="4611"/>
      <c r="AB81" s="4611"/>
      <c r="AC81" s="4611"/>
      <c r="AD81" s="4611"/>
      <c r="AE81" s="4611"/>
      <c r="AF81" s="4611"/>
      <c r="AG81" s="4611"/>
      <c r="AH81" s="4611"/>
      <c r="AI81" s="4611"/>
      <c r="AJ81" s="4611"/>
      <c r="AK81" s="4611"/>
      <c r="AL81" s="4611"/>
      <c r="AM81" s="4611"/>
      <c r="AN81" s="4611"/>
      <c r="AO81" s="4611"/>
      <c r="AP81" s="4611"/>
      <c r="AQ81" s="4611"/>
      <c r="AR81" s="4611"/>
      <c r="AS81" s="4611"/>
      <c r="AT81" s="4611"/>
      <c r="AU81" s="4611"/>
      <c r="AV81" s="4611"/>
      <c r="AW81" s="4611"/>
      <c r="AX81" s="4611"/>
      <c r="AY81" s="4611"/>
      <c r="AZ81" s="4611"/>
      <c r="BA81" s="4611"/>
      <c r="BB81" s="4611"/>
      <c r="BC81" s="4611"/>
      <c r="BD81" s="4611"/>
      <c r="BE81" s="4611"/>
      <c r="BF81" s="4611"/>
      <c r="BG81" s="4611"/>
      <c r="BH81" s="4611"/>
      <c r="BI81" s="4611"/>
      <c r="BJ81" s="4611"/>
      <c r="BK81" s="670"/>
      <c r="BL81" s="670"/>
      <c r="BM81" s="670"/>
      <c r="BN81" s="670"/>
      <c r="BO81" s="670"/>
      <c r="BP81" s="156"/>
      <c r="BQ81" s="156"/>
      <c r="BR81" s="156"/>
      <c r="BS81" s="156"/>
    </row>
    <row r="82" spans="2:71" ht="18.75" customHeight="1">
      <c r="B82" s="4842"/>
      <c r="C82" s="670"/>
      <c r="D82" s="670"/>
      <c r="E82" s="670"/>
      <c r="F82" s="670"/>
      <c r="G82" s="670"/>
      <c r="H82" s="670"/>
      <c r="I82" s="670"/>
      <c r="J82" s="670"/>
      <c r="K82" s="670"/>
      <c r="L82" s="670"/>
      <c r="M82" s="670"/>
      <c r="N82" s="670"/>
      <c r="O82" s="670"/>
      <c r="P82" s="4611"/>
      <c r="Q82" s="4611"/>
      <c r="R82" s="4611"/>
      <c r="S82" s="4611"/>
      <c r="T82" s="4611"/>
      <c r="U82" s="4611"/>
      <c r="V82" s="4611"/>
      <c r="W82" s="4611"/>
      <c r="X82" s="4611"/>
      <c r="Y82" s="4611"/>
      <c r="Z82" s="4611"/>
      <c r="AA82" s="4611"/>
      <c r="AB82" s="4611"/>
      <c r="AC82" s="4611"/>
      <c r="AD82" s="4611"/>
      <c r="AE82" s="4611"/>
      <c r="AF82" s="4611"/>
      <c r="AG82" s="4611"/>
      <c r="AH82" s="4611"/>
      <c r="AI82" s="4611"/>
      <c r="AJ82" s="4611"/>
      <c r="AK82" s="4611"/>
      <c r="AL82" s="4611"/>
      <c r="AM82" s="4611"/>
      <c r="AN82" s="4611"/>
      <c r="AO82" s="4611"/>
      <c r="AP82" s="4611"/>
      <c r="AQ82" s="4611"/>
      <c r="AR82" s="4611"/>
      <c r="AS82" s="4611"/>
      <c r="AT82" s="4611"/>
      <c r="AU82" s="4611"/>
      <c r="AV82" s="4611"/>
      <c r="AW82" s="4611"/>
      <c r="AX82" s="4611"/>
      <c r="AY82" s="4611"/>
      <c r="AZ82" s="4611"/>
      <c r="BA82" s="4611"/>
      <c r="BB82" s="4611"/>
      <c r="BC82" s="4611"/>
      <c r="BD82" s="4611"/>
      <c r="BE82" s="4611"/>
      <c r="BF82" s="4611"/>
      <c r="BG82" s="4611"/>
      <c r="BH82" s="4611"/>
      <c r="BI82" s="4611"/>
      <c r="BJ82" s="4611"/>
      <c r="BK82" s="670"/>
      <c r="BL82" s="670"/>
      <c r="BM82" s="670"/>
      <c r="BN82" s="670"/>
      <c r="BO82" s="670"/>
      <c r="BP82" s="156"/>
      <c r="BQ82" s="156"/>
      <c r="BR82" s="156"/>
      <c r="BS82" s="156"/>
    </row>
    <row r="83" spans="2:71" ht="18.75" customHeight="1">
      <c r="B83" s="4842"/>
      <c r="C83" s="670"/>
      <c r="D83" s="670"/>
      <c r="E83" s="670"/>
      <c r="F83" s="670"/>
      <c r="G83" s="670"/>
      <c r="H83" s="670"/>
      <c r="I83" s="670"/>
      <c r="J83" s="670"/>
      <c r="K83" s="670"/>
      <c r="L83" s="670"/>
      <c r="M83" s="670"/>
      <c r="N83" s="670"/>
      <c r="O83" s="670"/>
      <c r="P83" s="4611"/>
      <c r="Q83" s="4611"/>
      <c r="R83" s="4611"/>
      <c r="S83" s="4611"/>
      <c r="T83" s="4611"/>
      <c r="U83" s="4611"/>
      <c r="V83" s="4611"/>
      <c r="W83" s="4611"/>
      <c r="X83" s="4611"/>
      <c r="Y83" s="4611"/>
      <c r="Z83" s="4611"/>
      <c r="AA83" s="4611"/>
      <c r="AB83" s="4611"/>
      <c r="AC83" s="4611"/>
      <c r="AD83" s="4611"/>
      <c r="AE83" s="4611"/>
      <c r="AF83" s="4611"/>
      <c r="AG83" s="4611"/>
      <c r="AH83" s="4611"/>
      <c r="AI83" s="4611"/>
      <c r="AJ83" s="4611"/>
      <c r="AK83" s="4611"/>
      <c r="AL83" s="4611"/>
      <c r="AM83" s="4611"/>
      <c r="AN83" s="4611"/>
      <c r="AO83" s="4611"/>
      <c r="AP83" s="4611"/>
      <c r="AQ83" s="4611"/>
      <c r="AR83" s="4611"/>
      <c r="AS83" s="4611"/>
      <c r="AT83" s="4611"/>
      <c r="AU83" s="4611"/>
      <c r="AV83" s="4611"/>
      <c r="AW83" s="4611"/>
      <c r="AX83" s="4611"/>
      <c r="AY83" s="4611"/>
      <c r="AZ83" s="4611"/>
      <c r="BA83" s="4611"/>
      <c r="BB83" s="4611"/>
      <c r="BC83" s="4611"/>
      <c r="BD83" s="4611"/>
      <c r="BE83" s="4611"/>
      <c r="BF83" s="4611"/>
      <c r="BG83" s="4611"/>
      <c r="BH83" s="4611"/>
      <c r="BI83" s="4611"/>
      <c r="BJ83" s="4611"/>
      <c r="BK83" s="670"/>
      <c r="BL83" s="670"/>
      <c r="BM83" s="670"/>
      <c r="BN83" s="670"/>
      <c r="BO83" s="670"/>
      <c r="BP83" s="156"/>
      <c r="BQ83" s="156"/>
      <c r="BR83" s="156"/>
      <c r="BS83" s="156"/>
    </row>
    <row r="84" spans="2:71" ht="18.75" customHeight="1">
      <c r="B84" s="4842"/>
      <c r="C84" s="670"/>
      <c r="D84" s="670"/>
      <c r="E84" s="670"/>
      <c r="F84" s="670"/>
      <c r="G84" s="670"/>
      <c r="H84" s="670"/>
      <c r="I84" s="670"/>
      <c r="J84" s="670"/>
      <c r="K84" s="670"/>
      <c r="L84" s="670"/>
      <c r="M84" s="670"/>
      <c r="N84" s="670"/>
      <c r="O84" s="670"/>
      <c r="P84" s="4611"/>
      <c r="Q84" s="4611"/>
      <c r="R84" s="4611"/>
      <c r="S84" s="4611"/>
      <c r="T84" s="4611"/>
      <c r="U84" s="4611"/>
      <c r="V84" s="4611"/>
      <c r="W84" s="4611"/>
      <c r="X84" s="4611"/>
      <c r="Y84" s="4611"/>
      <c r="Z84" s="4611"/>
      <c r="AA84" s="4611"/>
      <c r="AB84" s="4611"/>
      <c r="AC84" s="4611"/>
      <c r="AD84" s="4611"/>
      <c r="AE84" s="4611"/>
      <c r="AF84" s="4611"/>
      <c r="AG84" s="4611"/>
      <c r="AH84" s="4611"/>
      <c r="AI84" s="4611"/>
      <c r="AJ84" s="4611"/>
      <c r="AK84" s="4611"/>
      <c r="AL84" s="4611"/>
      <c r="AM84" s="4611"/>
      <c r="AN84" s="4611"/>
      <c r="AO84" s="4611"/>
      <c r="AP84" s="4611"/>
      <c r="AQ84" s="4611"/>
      <c r="AR84" s="4611"/>
      <c r="AS84" s="4611"/>
      <c r="AT84" s="4611"/>
      <c r="AU84" s="4611"/>
      <c r="AV84" s="4611"/>
      <c r="AW84" s="4611"/>
      <c r="AX84" s="4611"/>
      <c r="AY84" s="4611"/>
      <c r="AZ84" s="4611"/>
      <c r="BA84" s="4611"/>
      <c r="BB84" s="4611"/>
      <c r="BC84" s="4611"/>
      <c r="BD84" s="4611"/>
      <c r="BE84" s="4611"/>
      <c r="BF84" s="4611"/>
      <c r="BG84" s="4611"/>
      <c r="BH84" s="4611"/>
      <c r="BI84" s="4611"/>
      <c r="BJ84" s="4611"/>
      <c r="BK84" s="670"/>
      <c r="BL84" s="670"/>
      <c r="BM84" s="670"/>
      <c r="BN84" s="670"/>
      <c r="BO84" s="670"/>
      <c r="BP84" s="156"/>
      <c r="BQ84" s="156"/>
      <c r="BR84" s="156"/>
      <c r="BS84" s="156"/>
    </row>
    <row r="85" spans="2:71" ht="18.75" customHeight="1">
      <c r="B85" s="4842"/>
      <c r="C85" s="670"/>
      <c r="D85" s="670"/>
      <c r="E85" s="670"/>
      <c r="F85" s="670"/>
      <c r="G85" s="670"/>
      <c r="H85" s="670"/>
      <c r="I85" s="670"/>
      <c r="J85" s="670"/>
      <c r="K85" s="670"/>
      <c r="L85" s="670"/>
      <c r="M85" s="670"/>
      <c r="N85" s="670"/>
      <c r="O85" s="670"/>
      <c r="P85" s="4611"/>
      <c r="Q85" s="4611"/>
      <c r="R85" s="4611"/>
      <c r="S85" s="4611"/>
      <c r="T85" s="4611"/>
      <c r="U85" s="4611"/>
      <c r="V85" s="4611"/>
      <c r="W85" s="4611"/>
      <c r="X85" s="4611"/>
      <c r="Y85" s="4611"/>
      <c r="Z85" s="4611"/>
      <c r="AA85" s="4611"/>
      <c r="AB85" s="4611"/>
      <c r="AC85" s="4611"/>
      <c r="AD85" s="4611"/>
      <c r="AE85" s="4611"/>
      <c r="AF85" s="4611"/>
      <c r="AG85" s="4611"/>
      <c r="AH85" s="4611"/>
      <c r="AI85" s="4611"/>
      <c r="AJ85" s="4611"/>
      <c r="AK85" s="4611"/>
      <c r="AL85" s="4611"/>
      <c r="AM85" s="4611"/>
      <c r="AN85" s="4611"/>
      <c r="AO85" s="4611"/>
      <c r="AP85" s="4611"/>
      <c r="AQ85" s="4611"/>
      <c r="AR85" s="4611"/>
      <c r="AS85" s="4611"/>
      <c r="AT85" s="4611"/>
      <c r="AU85" s="4611"/>
      <c r="AV85" s="4611"/>
      <c r="AW85" s="4611"/>
      <c r="AX85" s="4611"/>
      <c r="AY85" s="4611"/>
      <c r="AZ85" s="4611"/>
      <c r="BA85" s="4611"/>
      <c r="BB85" s="4611"/>
      <c r="BC85" s="4611"/>
      <c r="BD85" s="4611"/>
      <c r="BE85" s="4611"/>
      <c r="BF85" s="4611"/>
      <c r="BG85" s="4611"/>
      <c r="BH85" s="4611"/>
      <c r="BI85" s="4611"/>
      <c r="BJ85" s="4611"/>
      <c r="BK85" s="670"/>
      <c r="BL85" s="670"/>
      <c r="BM85" s="670"/>
      <c r="BN85" s="670"/>
      <c r="BO85" s="670"/>
      <c r="BP85" s="156"/>
      <c r="BQ85" s="156"/>
      <c r="BR85" s="156"/>
      <c r="BS85" s="156"/>
    </row>
    <row r="86" spans="2:71" ht="18.75" customHeight="1">
      <c r="B86" s="4842"/>
      <c r="C86" s="670"/>
      <c r="D86" s="670"/>
      <c r="E86" s="670"/>
      <c r="F86" s="670"/>
      <c r="G86" s="670"/>
      <c r="H86" s="670"/>
      <c r="I86" s="670"/>
      <c r="J86" s="670"/>
      <c r="K86" s="670"/>
      <c r="L86" s="670"/>
      <c r="M86" s="670"/>
      <c r="N86" s="670"/>
      <c r="O86" s="670"/>
      <c r="P86" s="4611"/>
      <c r="Q86" s="4611"/>
      <c r="R86" s="4611"/>
      <c r="S86" s="4611"/>
      <c r="T86" s="4611"/>
      <c r="U86" s="4611"/>
      <c r="V86" s="4611"/>
      <c r="W86" s="4611"/>
      <c r="X86" s="4611"/>
      <c r="Y86" s="4611"/>
      <c r="Z86" s="4611"/>
      <c r="AA86" s="4611"/>
      <c r="AB86" s="4611"/>
      <c r="AC86" s="4611"/>
      <c r="AD86" s="4611"/>
      <c r="AE86" s="4611"/>
      <c r="AF86" s="4611"/>
      <c r="AG86" s="4611"/>
      <c r="AH86" s="4611"/>
      <c r="AI86" s="4611"/>
      <c r="AJ86" s="4611"/>
      <c r="AK86" s="4611"/>
      <c r="AL86" s="4611"/>
      <c r="AM86" s="4611"/>
      <c r="AN86" s="4611"/>
      <c r="AO86" s="4611"/>
      <c r="AP86" s="4611"/>
      <c r="AQ86" s="4611"/>
      <c r="AR86" s="4611"/>
      <c r="AS86" s="4611"/>
      <c r="AT86" s="4611"/>
      <c r="AU86" s="4611"/>
      <c r="AV86" s="4611"/>
      <c r="AW86" s="4611"/>
      <c r="AX86" s="4611"/>
      <c r="AY86" s="4611"/>
      <c r="AZ86" s="4611"/>
      <c r="BA86" s="4611"/>
      <c r="BB86" s="4611"/>
      <c r="BC86" s="4611"/>
      <c r="BD86" s="4611"/>
      <c r="BE86" s="4611"/>
      <c r="BF86" s="4611"/>
      <c r="BG86" s="4611"/>
      <c r="BH86" s="4611"/>
      <c r="BI86" s="4611"/>
      <c r="BJ86" s="4611"/>
      <c r="BK86" s="670"/>
      <c r="BL86" s="670"/>
      <c r="BM86" s="670"/>
      <c r="BN86" s="670"/>
      <c r="BO86" s="670"/>
      <c r="BP86" s="156"/>
      <c r="BQ86" s="156"/>
      <c r="BR86" s="156"/>
      <c r="BS86" s="156"/>
    </row>
    <row r="87" spans="2:71" ht="18.75" customHeight="1">
      <c r="B87" s="4842"/>
      <c r="C87" s="670"/>
      <c r="D87" s="670"/>
      <c r="E87" s="670"/>
      <c r="F87" s="670"/>
      <c r="G87" s="670"/>
      <c r="H87" s="670"/>
      <c r="I87" s="670"/>
      <c r="J87" s="670"/>
      <c r="K87" s="670"/>
      <c r="L87" s="670"/>
      <c r="M87" s="670"/>
      <c r="N87" s="670"/>
      <c r="O87" s="670"/>
      <c r="P87" s="4611"/>
      <c r="Q87" s="4611"/>
      <c r="R87" s="4611"/>
      <c r="S87" s="4611"/>
      <c r="T87" s="4611"/>
      <c r="U87" s="4611"/>
      <c r="V87" s="4611"/>
      <c r="W87" s="4611"/>
      <c r="X87" s="4611"/>
      <c r="Y87" s="4611"/>
      <c r="Z87" s="4611"/>
      <c r="AA87" s="4611"/>
      <c r="AB87" s="4611"/>
      <c r="AC87" s="4611"/>
      <c r="AD87" s="4611"/>
      <c r="AE87" s="4611"/>
      <c r="AF87" s="4611"/>
      <c r="AG87" s="4611"/>
      <c r="AH87" s="4611"/>
      <c r="AI87" s="4611"/>
      <c r="AJ87" s="4611"/>
      <c r="AK87" s="4611"/>
      <c r="AL87" s="4611"/>
      <c r="AM87" s="4611"/>
      <c r="AN87" s="4611"/>
      <c r="AO87" s="4611"/>
      <c r="AP87" s="4611"/>
      <c r="AQ87" s="4611"/>
      <c r="AR87" s="4611"/>
      <c r="AS87" s="4611"/>
      <c r="AT87" s="4611"/>
      <c r="AU87" s="4611"/>
      <c r="AV87" s="4611"/>
      <c r="AW87" s="4611"/>
      <c r="AX87" s="4611"/>
      <c r="AY87" s="4611"/>
      <c r="AZ87" s="4611"/>
      <c r="BA87" s="4611"/>
      <c r="BB87" s="4611"/>
      <c r="BC87" s="4611"/>
      <c r="BD87" s="4611"/>
      <c r="BE87" s="4611"/>
      <c r="BF87" s="4611"/>
      <c r="BG87" s="4611"/>
      <c r="BH87" s="4611"/>
      <c r="BI87" s="4611"/>
      <c r="BJ87" s="4611"/>
      <c r="BK87" s="670"/>
      <c r="BL87" s="670"/>
      <c r="BM87" s="670"/>
      <c r="BN87" s="670"/>
      <c r="BO87" s="670"/>
      <c r="BP87" s="156"/>
      <c r="BQ87" s="156"/>
      <c r="BR87" s="156"/>
      <c r="BS87" s="156"/>
    </row>
    <row r="88" spans="2:71" ht="18.75" customHeight="1">
      <c r="B88" s="4842"/>
      <c r="C88" s="670"/>
      <c r="D88" s="670"/>
      <c r="E88" s="670"/>
      <c r="F88" s="670"/>
      <c r="G88" s="670"/>
      <c r="H88" s="670"/>
      <c r="I88" s="670"/>
      <c r="J88" s="670"/>
      <c r="K88" s="670"/>
      <c r="L88" s="670"/>
      <c r="M88" s="670"/>
      <c r="N88" s="670"/>
      <c r="O88" s="670"/>
      <c r="P88" s="4611"/>
      <c r="Q88" s="4611"/>
      <c r="R88" s="4611"/>
      <c r="S88" s="4611"/>
      <c r="T88" s="4611"/>
      <c r="U88" s="4611"/>
      <c r="V88" s="4611"/>
      <c r="W88" s="4611"/>
      <c r="X88" s="4611"/>
      <c r="Y88" s="4611"/>
      <c r="Z88" s="4611"/>
      <c r="AA88" s="4611"/>
      <c r="AB88" s="4611"/>
      <c r="AC88" s="4611"/>
      <c r="AD88" s="4611"/>
      <c r="AE88" s="4611"/>
      <c r="AF88" s="4611"/>
      <c r="AG88" s="4611"/>
      <c r="AH88" s="4611"/>
      <c r="AI88" s="4611"/>
      <c r="AJ88" s="4611"/>
      <c r="AK88" s="4611"/>
      <c r="AL88" s="4611"/>
      <c r="AM88" s="4611"/>
      <c r="AN88" s="4611"/>
      <c r="AO88" s="4611"/>
      <c r="AP88" s="4611"/>
      <c r="AQ88" s="4611"/>
      <c r="AR88" s="4611"/>
      <c r="AS88" s="4611"/>
      <c r="AT88" s="4611"/>
      <c r="AU88" s="4611"/>
      <c r="AV88" s="4611"/>
      <c r="AW88" s="4611"/>
      <c r="AX88" s="4611"/>
      <c r="AY88" s="4611"/>
      <c r="AZ88" s="4611"/>
      <c r="BA88" s="4611"/>
      <c r="BB88" s="4611"/>
      <c r="BC88" s="4611"/>
      <c r="BD88" s="4611"/>
      <c r="BE88" s="4611"/>
      <c r="BF88" s="4611"/>
      <c r="BG88" s="4611"/>
      <c r="BH88" s="4611"/>
      <c r="BI88" s="4611"/>
      <c r="BJ88" s="4611"/>
      <c r="BK88" s="670"/>
      <c r="BL88" s="670"/>
      <c r="BM88" s="670"/>
      <c r="BN88" s="670"/>
      <c r="BO88" s="670"/>
      <c r="BP88" s="156"/>
      <c r="BQ88" s="156"/>
      <c r="BR88" s="156"/>
      <c r="BS88" s="156"/>
    </row>
    <row r="89" spans="2:71" ht="18.75" customHeight="1">
      <c r="B89" s="4842"/>
      <c r="C89" s="670"/>
      <c r="D89" s="670"/>
      <c r="E89" s="670"/>
      <c r="F89" s="670"/>
      <c r="G89" s="670"/>
      <c r="H89" s="670"/>
      <c r="I89" s="670"/>
      <c r="J89" s="670"/>
      <c r="K89" s="670"/>
      <c r="L89" s="670"/>
      <c r="M89" s="670"/>
      <c r="N89" s="670"/>
      <c r="O89" s="670"/>
      <c r="P89" s="4611"/>
      <c r="Q89" s="4611"/>
      <c r="R89" s="4611"/>
      <c r="S89" s="4611"/>
      <c r="T89" s="4611"/>
      <c r="U89" s="4611"/>
      <c r="V89" s="4611"/>
      <c r="W89" s="4611"/>
      <c r="X89" s="4611"/>
      <c r="Y89" s="4611"/>
      <c r="Z89" s="4611"/>
      <c r="AA89" s="4611"/>
      <c r="AB89" s="4611"/>
      <c r="AC89" s="4611"/>
      <c r="AD89" s="4611"/>
      <c r="AE89" s="4611"/>
      <c r="AF89" s="4611"/>
      <c r="AG89" s="4611"/>
      <c r="AH89" s="4611"/>
      <c r="AI89" s="4611"/>
      <c r="AJ89" s="4611"/>
      <c r="AK89" s="4611"/>
      <c r="AL89" s="4611"/>
      <c r="AM89" s="4611"/>
      <c r="AN89" s="4611"/>
      <c r="AO89" s="4611"/>
      <c r="AP89" s="4611"/>
      <c r="AQ89" s="4611"/>
      <c r="AR89" s="4611"/>
      <c r="AS89" s="4611"/>
      <c r="AT89" s="4611"/>
      <c r="AU89" s="4611"/>
      <c r="AV89" s="4611"/>
      <c r="AW89" s="4611"/>
      <c r="AX89" s="4611"/>
      <c r="AY89" s="4611"/>
      <c r="AZ89" s="4611"/>
      <c r="BA89" s="4611"/>
      <c r="BB89" s="4611"/>
      <c r="BC89" s="4611"/>
      <c r="BD89" s="4611"/>
      <c r="BE89" s="4611"/>
      <c r="BF89" s="4611"/>
      <c r="BG89" s="4611"/>
      <c r="BH89" s="4611"/>
      <c r="BI89" s="4611"/>
      <c r="BJ89" s="4611"/>
      <c r="BK89" s="670"/>
      <c r="BL89" s="670"/>
      <c r="BM89" s="670"/>
      <c r="BN89" s="670"/>
      <c r="BO89" s="670"/>
      <c r="BP89" s="156"/>
      <c r="BQ89" s="156"/>
      <c r="BR89" s="156"/>
      <c r="BS89" s="156"/>
    </row>
    <row r="90" spans="2:71" ht="18.75" customHeight="1">
      <c r="B90" s="4842"/>
      <c r="C90" s="670"/>
      <c r="D90" s="670"/>
      <c r="E90" s="670"/>
      <c r="F90" s="670"/>
      <c r="G90" s="670"/>
      <c r="H90" s="670"/>
      <c r="I90" s="670"/>
      <c r="J90" s="670"/>
      <c r="K90" s="670"/>
      <c r="L90" s="670"/>
      <c r="M90" s="670"/>
      <c r="N90" s="670"/>
      <c r="O90" s="670"/>
      <c r="P90" s="4611"/>
      <c r="Q90" s="4611"/>
      <c r="R90" s="4611"/>
      <c r="S90" s="4611"/>
      <c r="T90" s="4611"/>
      <c r="U90" s="4611"/>
      <c r="V90" s="4611"/>
      <c r="W90" s="4611"/>
      <c r="X90" s="4611"/>
      <c r="Y90" s="4611"/>
      <c r="Z90" s="4611"/>
      <c r="AA90" s="4611"/>
      <c r="AB90" s="4611"/>
      <c r="AC90" s="4611"/>
      <c r="AD90" s="4611"/>
      <c r="AE90" s="4611"/>
      <c r="AF90" s="4611"/>
      <c r="AG90" s="4611"/>
      <c r="AH90" s="4611"/>
      <c r="AI90" s="4611"/>
      <c r="AJ90" s="4611"/>
      <c r="AK90" s="4611"/>
      <c r="AL90" s="4611"/>
      <c r="AM90" s="4611"/>
      <c r="AN90" s="4611"/>
      <c r="AO90" s="4611"/>
      <c r="AP90" s="4611"/>
      <c r="AQ90" s="4611"/>
      <c r="AR90" s="4611"/>
      <c r="AS90" s="4611"/>
      <c r="AT90" s="4611"/>
      <c r="AU90" s="4611"/>
      <c r="AV90" s="4611"/>
      <c r="AW90" s="4611"/>
      <c r="AX90" s="4611"/>
      <c r="AY90" s="4611"/>
      <c r="AZ90" s="4611"/>
      <c r="BA90" s="4611"/>
      <c r="BB90" s="4611"/>
      <c r="BC90" s="4611"/>
      <c r="BD90" s="4611"/>
      <c r="BE90" s="4611"/>
      <c r="BF90" s="4611"/>
      <c r="BG90" s="4611"/>
      <c r="BH90" s="4611"/>
      <c r="BI90" s="4611"/>
      <c r="BJ90" s="4611"/>
      <c r="BK90" s="670"/>
      <c r="BL90" s="670"/>
      <c r="BM90" s="670"/>
      <c r="BN90" s="670"/>
      <c r="BO90" s="670"/>
      <c r="BP90" s="156"/>
      <c r="BQ90" s="156"/>
      <c r="BR90" s="156"/>
      <c r="BS90" s="156"/>
    </row>
    <row r="91" spans="2:71" ht="18.75" customHeight="1">
      <c r="B91" s="670"/>
      <c r="C91" s="670"/>
      <c r="D91" s="670"/>
      <c r="E91" s="670"/>
      <c r="F91" s="670"/>
      <c r="G91" s="670"/>
      <c r="H91" s="670"/>
      <c r="I91" s="670"/>
      <c r="J91" s="670"/>
      <c r="K91" s="670"/>
      <c r="L91" s="670"/>
      <c r="M91" s="670"/>
      <c r="N91" s="670"/>
      <c r="O91" s="670"/>
      <c r="P91" s="4611"/>
      <c r="Q91" s="4611"/>
      <c r="R91" s="4611"/>
      <c r="S91" s="4611"/>
      <c r="T91" s="4611"/>
      <c r="U91" s="4611"/>
      <c r="V91" s="4611"/>
      <c r="W91" s="4611"/>
      <c r="X91" s="4611"/>
      <c r="Y91" s="4611"/>
      <c r="Z91" s="4611"/>
      <c r="AA91" s="4611"/>
      <c r="AB91" s="4611"/>
      <c r="AC91" s="4611"/>
      <c r="AD91" s="4611"/>
      <c r="AE91" s="4611"/>
      <c r="AF91" s="4611"/>
      <c r="AG91" s="4611"/>
      <c r="AH91" s="4611"/>
      <c r="AI91" s="4611"/>
      <c r="AJ91" s="4611"/>
      <c r="AK91" s="4611"/>
      <c r="AL91" s="4611"/>
      <c r="AM91" s="4611"/>
      <c r="AN91" s="4611"/>
      <c r="AO91" s="4611"/>
      <c r="AP91" s="4611"/>
      <c r="AQ91" s="4611"/>
      <c r="AR91" s="4611"/>
      <c r="AS91" s="4611"/>
      <c r="AT91" s="4611"/>
      <c r="AU91" s="4611"/>
      <c r="AV91" s="4611"/>
      <c r="AW91" s="4611"/>
      <c r="AX91" s="4611"/>
      <c r="AY91" s="4611"/>
      <c r="AZ91" s="4611"/>
      <c r="BA91" s="4611"/>
      <c r="BB91" s="4611"/>
      <c r="BC91" s="4611"/>
      <c r="BD91" s="4611"/>
      <c r="BE91" s="4611"/>
      <c r="BF91" s="4611"/>
      <c r="BG91" s="4611"/>
      <c r="BH91" s="4611"/>
      <c r="BI91" s="4611"/>
      <c r="BJ91" s="4611"/>
      <c r="BK91" s="670"/>
      <c r="BL91" s="670"/>
      <c r="BM91" s="670"/>
      <c r="BN91" s="670"/>
      <c r="BO91" s="670"/>
      <c r="BP91" s="156"/>
      <c r="BQ91" s="156"/>
      <c r="BR91" s="156"/>
      <c r="BS91" s="156"/>
    </row>
    <row r="92" spans="2:71" ht="18.75" customHeight="1">
      <c r="B92" s="670"/>
      <c r="C92" s="670"/>
      <c r="D92" s="670"/>
      <c r="E92" s="670"/>
      <c r="F92" s="670"/>
      <c r="G92" s="670"/>
      <c r="H92" s="670"/>
      <c r="I92" s="670"/>
      <c r="J92" s="670"/>
      <c r="K92" s="670"/>
      <c r="L92" s="670"/>
      <c r="M92" s="670"/>
      <c r="N92" s="670"/>
      <c r="O92" s="670"/>
      <c r="P92" s="4611"/>
      <c r="Q92" s="4611"/>
      <c r="R92" s="4611"/>
      <c r="S92" s="4611"/>
      <c r="T92" s="4611"/>
      <c r="U92" s="4611"/>
      <c r="V92" s="4611"/>
      <c r="W92" s="4611"/>
      <c r="X92" s="4611"/>
      <c r="Y92" s="4611"/>
      <c r="Z92" s="4611"/>
      <c r="AA92" s="4611"/>
      <c r="AB92" s="4611"/>
      <c r="AC92" s="4611"/>
      <c r="AD92" s="4611"/>
      <c r="AE92" s="4611"/>
      <c r="AF92" s="4611"/>
      <c r="AG92" s="4611"/>
      <c r="AH92" s="4611"/>
      <c r="AI92" s="4611"/>
      <c r="AJ92" s="4611"/>
      <c r="AK92" s="4611"/>
      <c r="AL92" s="4611"/>
      <c r="AM92" s="4611"/>
      <c r="AN92" s="4611"/>
      <c r="AO92" s="4611"/>
      <c r="AP92" s="4611"/>
      <c r="AQ92" s="4611"/>
      <c r="AR92" s="4611"/>
      <c r="AS92" s="4611"/>
      <c r="AT92" s="4611"/>
      <c r="AU92" s="4611"/>
      <c r="AV92" s="4611"/>
      <c r="AW92" s="4611"/>
      <c r="AX92" s="4611"/>
      <c r="AY92" s="4611"/>
      <c r="AZ92" s="4611"/>
      <c r="BA92" s="4611"/>
      <c r="BB92" s="4611"/>
      <c r="BC92" s="4611"/>
      <c r="BD92" s="4611"/>
      <c r="BE92" s="4611"/>
      <c r="BF92" s="4611"/>
      <c r="BG92" s="4611"/>
      <c r="BH92" s="4611"/>
      <c r="BI92" s="4611"/>
      <c r="BJ92" s="4611"/>
      <c r="BK92" s="670"/>
      <c r="BL92" s="670"/>
      <c r="BM92" s="670"/>
      <c r="BN92" s="670"/>
      <c r="BO92" s="670"/>
      <c r="BP92" s="156"/>
      <c r="BQ92" s="156"/>
      <c r="BR92" s="156"/>
      <c r="BS92" s="156"/>
    </row>
    <row r="93" spans="2:71" ht="18.75" customHeight="1">
      <c r="B93" s="670"/>
      <c r="C93" s="670"/>
      <c r="D93" s="670"/>
      <c r="E93" s="670"/>
      <c r="F93" s="670"/>
      <c r="G93" s="670"/>
      <c r="H93" s="670"/>
      <c r="I93" s="670"/>
      <c r="J93" s="670"/>
      <c r="K93" s="670"/>
      <c r="L93" s="670"/>
      <c r="M93" s="670"/>
      <c r="N93" s="670"/>
      <c r="O93" s="670"/>
      <c r="P93" s="4611"/>
      <c r="Q93" s="4611"/>
      <c r="R93" s="4611"/>
      <c r="S93" s="4611"/>
      <c r="T93" s="4611"/>
      <c r="U93" s="4611"/>
      <c r="V93" s="4611"/>
      <c r="W93" s="4611"/>
      <c r="X93" s="4611"/>
      <c r="Y93" s="4611"/>
      <c r="Z93" s="4611"/>
      <c r="AA93" s="4611"/>
      <c r="AB93" s="4611"/>
      <c r="AC93" s="4611"/>
      <c r="AD93" s="4611"/>
      <c r="AE93" s="4611"/>
      <c r="AF93" s="4611"/>
      <c r="AG93" s="4611"/>
      <c r="AH93" s="4611"/>
      <c r="AI93" s="4611"/>
      <c r="AJ93" s="4611"/>
      <c r="AK93" s="4611"/>
      <c r="AL93" s="4611"/>
      <c r="AM93" s="4611"/>
      <c r="AN93" s="4611"/>
      <c r="AO93" s="4611"/>
      <c r="AP93" s="4611"/>
      <c r="AQ93" s="4611"/>
      <c r="AR93" s="4611"/>
      <c r="AS93" s="4611"/>
      <c r="AT93" s="4611"/>
      <c r="AU93" s="4611"/>
      <c r="AV93" s="4611"/>
      <c r="AW93" s="4611"/>
      <c r="AX93" s="4611"/>
      <c r="AY93" s="4611"/>
      <c r="AZ93" s="4611"/>
      <c r="BA93" s="4611"/>
      <c r="BB93" s="4611"/>
      <c r="BC93" s="4611"/>
      <c r="BD93" s="4611"/>
      <c r="BE93" s="4611"/>
      <c r="BF93" s="4611"/>
      <c r="BG93" s="4611"/>
      <c r="BH93" s="4611"/>
      <c r="BI93" s="4611"/>
      <c r="BJ93" s="4611"/>
      <c r="BK93" s="670"/>
      <c r="BL93" s="670"/>
      <c r="BM93" s="670"/>
      <c r="BN93" s="670"/>
      <c r="BO93" s="670"/>
      <c r="BP93" s="156"/>
      <c r="BQ93" s="156"/>
      <c r="BR93" s="156"/>
      <c r="BS93" s="156"/>
    </row>
    <row r="94" spans="2:71" ht="18.75" customHeight="1">
      <c r="B94" s="670"/>
      <c r="C94" s="670"/>
      <c r="D94" s="670"/>
      <c r="E94" s="670"/>
      <c r="F94" s="670"/>
      <c r="G94" s="670"/>
      <c r="H94" s="670"/>
      <c r="I94" s="670"/>
      <c r="J94" s="670"/>
      <c r="K94" s="670"/>
      <c r="L94" s="670"/>
      <c r="M94" s="670"/>
      <c r="N94" s="670"/>
      <c r="O94" s="670"/>
      <c r="P94" s="4611"/>
      <c r="Q94" s="4611"/>
      <c r="R94" s="4611"/>
      <c r="S94" s="4611"/>
      <c r="T94" s="4611"/>
      <c r="U94" s="4611"/>
      <c r="V94" s="4611"/>
      <c r="W94" s="4611"/>
      <c r="X94" s="4611"/>
      <c r="Y94" s="4611"/>
      <c r="Z94" s="4611"/>
      <c r="AA94" s="4611"/>
      <c r="AB94" s="4611"/>
      <c r="AC94" s="4611"/>
      <c r="AD94" s="4611"/>
      <c r="AE94" s="4611"/>
      <c r="AF94" s="4611"/>
      <c r="AG94" s="4611"/>
      <c r="AH94" s="4611"/>
      <c r="AI94" s="4611"/>
      <c r="AJ94" s="4611"/>
      <c r="AK94" s="4611"/>
      <c r="AL94" s="4611"/>
      <c r="AM94" s="4611"/>
      <c r="AN94" s="4611"/>
      <c r="AO94" s="4611"/>
      <c r="AP94" s="4611"/>
      <c r="AQ94" s="4611"/>
      <c r="AR94" s="4611"/>
      <c r="AS94" s="4611"/>
      <c r="AT94" s="4611"/>
      <c r="AU94" s="4611"/>
      <c r="AV94" s="4611"/>
      <c r="AW94" s="4611"/>
      <c r="AX94" s="4611"/>
      <c r="AY94" s="4611"/>
      <c r="AZ94" s="4611"/>
      <c r="BA94" s="4611"/>
      <c r="BB94" s="4611"/>
      <c r="BC94" s="4611"/>
      <c r="BD94" s="4611"/>
      <c r="BE94" s="4611"/>
      <c r="BF94" s="4611"/>
      <c r="BG94" s="4611"/>
      <c r="BH94" s="4611"/>
      <c r="BI94" s="4611"/>
      <c r="BJ94" s="4611"/>
      <c r="BK94" s="670"/>
      <c r="BL94" s="670"/>
      <c r="BM94" s="670"/>
      <c r="BN94" s="670"/>
      <c r="BO94" s="670"/>
      <c r="BP94" s="156"/>
      <c r="BQ94" s="156"/>
      <c r="BR94" s="156"/>
      <c r="BS94" s="156"/>
    </row>
    <row r="95" spans="2:71" ht="18.75" customHeight="1">
      <c r="B95" s="670"/>
      <c r="C95" s="670"/>
      <c r="D95" s="670"/>
      <c r="E95" s="670"/>
      <c r="F95" s="670"/>
      <c r="G95" s="670"/>
      <c r="H95" s="670"/>
      <c r="I95" s="670"/>
      <c r="J95" s="670"/>
      <c r="K95" s="670"/>
      <c r="L95" s="670"/>
      <c r="M95" s="670"/>
      <c r="N95" s="670"/>
      <c r="O95" s="670"/>
      <c r="P95" s="4611"/>
      <c r="Q95" s="4611"/>
      <c r="R95" s="4611"/>
      <c r="S95" s="4611"/>
      <c r="T95" s="4611"/>
      <c r="U95" s="4611"/>
      <c r="V95" s="4611"/>
      <c r="W95" s="4611"/>
      <c r="X95" s="4611"/>
      <c r="Y95" s="4611"/>
      <c r="Z95" s="4611"/>
      <c r="AA95" s="4611"/>
      <c r="AB95" s="4611"/>
      <c r="AC95" s="4611"/>
      <c r="AD95" s="4611"/>
      <c r="AE95" s="4611"/>
      <c r="AF95" s="4611"/>
      <c r="AG95" s="4611"/>
      <c r="AH95" s="4611"/>
      <c r="AI95" s="4611"/>
      <c r="AJ95" s="4611"/>
      <c r="AK95" s="4611"/>
      <c r="AL95" s="4611"/>
      <c r="AM95" s="4611"/>
      <c r="AN95" s="4611"/>
      <c r="AO95" s="4611"/>
      <c r="AP95" s="4611"/>
      <c r="AQ95" s="4611"/>
      <c r="AR95" s="4611"/>
      <c r="AS95" s="4611"/>
      <c r="AT95" s="4611"/>
      <c r="AU95" s="4611"/>
      <c r="AV95" s="4611"/>
      <c r="AW95" s="4611"/>
      <c r="AX95" s="4611"/>
      <c r="AY95" s="4611"/>
      <c r="AZ95" s="4611"/>
      <c r="BA95" s="4611"/>
      <c r="BB95" s="4611"/>
      <c r="BC95" s="4611"/>
      <c r="BD95" s="4611"/>
      <c r="BE95" s="4611"/>
      <c r="BF95" s="4611"/>
      <c r="BG95" s="4611"/>
      <c r="BH95" s="4611"/>
      <c r="BI95" s="4611"/>
      <c r="BJ95" s="4611"/>
      <c r="BK95" s="670"/>
      <c r="BL95" s="670"/>
      <c r="BM95" s="670"/>
      <c r="BN95" s="670"/>
      <c r="BO95" s="670"/>
      <c r="BP95" s="156"/>
      <c r="BQ95" s="156"/>
      <c r="BR95" s="156"/>
      <c r="BS95" s="156"/>
    </row>
    <row r="96" spans="2:71" ht="18.75" customHeight="1">
      <c r="B96" s="670"/>
      <c r="C96" s="670"/>
      <c r="D96" s="670"/>
      <c r="E96" s="670"/>
      <c r="F96" s="670"/>
      <c r="G96" s="670"/>
      <c r="H96" s="670"/>
      <c r="I96" s="670"/>
      <c r="J96" s="670"/>
      <c r="K96" s="670"/>
      <c r="L96" s="670"/>
      <c r="M96" s="670"/>
      <c r="N96" s="670"/>
      <c r="O96" s="670"/>
      <c r="P96" s="4611"/>
      <c r="Q96" s="4611"/>
      <c r="R96" s="4611"/>
      <c r="S96" s="4611"/>
      <c r="T96" s="4611"/>
      <c r="U96" s="4611"/>
      <c r="V96" s="4611"/>
      <c r="W96" s="4611"/>
      <c r="X96" s="4611"/>
      <c r="Y96" s="4611"/>
      <c r="Z96" s="4611"/>
      <c r="AA96" s="4611"/>
      <c r="AB96" s="4611"/>
      <c r="AC96" s="4611"/>
      <c r="AD96" s="4611"/>
      <c r="AE96" s="4611"/>
      <c r="AF96" s="4611"/>
      <c r="AG96" s="4611"/>
      <c r="AH96" s="4611"/>
      <c r="AI96" s="4611"/>
      <c r="AJ96" s="4611"/>
      <c r="AK96" s="4611"/>
      <c r="AL96" s="4611"/>
      <c r="AM96" s="4611"/>
      <c r="AN96" s="4611"/>
      <c r="AO96" s="4611"/>
      <c r="AP96" s="4611"/>
      <c r="AQ96" s="4611"/>
      <c r="AR96" s="4611"/>
      <c r="AS96" s="4611"/>
      <c r="AT96" s="4611"/>
      <c r="AU96" s="4611"/>
      <c r="AV96" s="4611"/>
      <c r="AW96" s="4611"/>
      <c r="AX96" s="4611"/>
      <c r="AY96" s="4611"/>
      <c r="AZ96" s="4611"/>
      <c r="BA96" s="4611"/>
      <c r="BB96" s="4611"/>
      <c r="BC96" s="4611"/>
      <c r="BD96" s="4611"/>
      <c r="BE96" s="4611"/>
      <c r="BF96" s="4611"/>
      <c r="BG96" s="4611"/>
      <c r="BH96" s="4611"/>
      <c r="BI96" s="4611"/>
      <c r="BJ96" s="4611"/>
      <c r="BK96" s="670"/>
      <c r="BL96" s="670"/>
      <c r="BM96" s="670"/>
      <c r="BN96" s="670"/>
      <c r="BO96" s="670"/>
      <c r="BP96" s="156"/>
      <c r="BQ96" s="156"/>
      <c r="BR96" s="156"/>
      <c r="BS96" s="156"/>
    </row>
    <row r="97" spans="2:71" ht="18.75" customHeight="1">
      <c r="B97" s="670"/>
      <c r="C97" s="670"/>
      <c r="D97" s="670"/>
      <c r="E97" s="670"/>
      <c r="F97" s="670"/>
      <c r="G97" s="670"/>
      <c r="H97" s="670"/>
      <c r="I97" s="670"/>
      <c r="J97" s="670"/>
      <c r="K97" s="670"/>
      <c r="L97" s="670"/>
      <c r="M97" s="670"/>
      <c r="N97" s="670"/>
      <c r="O97" s="670"/>
      <c r="P97" s="4611"/>
      <c r="Q97" s="4611"/>
      <c r="R97" s="4611"/>
      <c r="S97" s="4611"/>
      <c r="T97" s="4611"/>
      <c r="U97" s="4611"/>
      <c r="V97" s="4611"/>
      <c r="W97" s="4611"/>
      <c r="X97" s="4611"/>
      <c r="Y97" s="4611"/>
      <c r="Z97" s="4611"/>
      <c r="AA97" s="4611"/>
      <c r="AB97" s="4611"/>
      <c r="AC97" s="4611"/>
      <c r="AD97" s="4611"/>
      <c r="AE97" s="4611"/>
      <c r="AF97" s="4611"/>
      <c r="AG97" s="4611"/>
      <c r="AH97" s="4611"/>
      <c r="AI97" s="4611"/>
      <c r="AJ97" s="4611"/>
      <c r="AK97" s="4611"/>
      <c r="AL97" s="4611"/>
      <c r="AM97" s="4611"/>
      <c r="AN97" s="4611"/>
      <c r="AO97" s="4611"/>
      <c r="AP97" s="4611"/>
      <c r="AQ97" s="4611"/>
      <c r="AR97" s="4611"/>
      <c r="AS97" s="4611"/>
      <c r="AT97" s="4611"/>
      <c r="AU97" s="4611"/>
      <c r="AV97" s="4611"/>
      <c r="AW97" s="4611"/>
      <c r="AX97" s="4611"/>
      <c r="AY97" s="4611"/>
      <c r="AZ97" s="4611"/>
      <c r="BA97" s="4611"/>
      <c r="BB97" s="4611"/>
      <c r="BC97" s="4611"/>
      <c r="BD97" s="4611"/>
      <c r="BE97" s="4611"/>
      <c r="BF97" s="4611"/>
      <c r="BG97" s="4611"/>
      <c r="BH97" s="4611"/>
      <c r="BI97" s="4611"/>
      <c r="BJ97" s="4611"/>
      <c r="BK97" s="670"/>
      <c r="BL97" s="670"/>
      <c r="BM97" s="670"/>
      <c r="BN97" s="670"/>
      <c r="BO97" s="670"/>
      <c r="BP97" s="156"/>
      <c r="BQ97" s="156"/>
      <c r="BR97" s="156"/>
      <c r="BS97" s="156"/>
    </row>
    <row r="98" spans="2:71" ht="18.75" customHeight="1">
      <c r="B98" s="670"/>
      <c r="C98" s="670"/>
      <c r="D98" s="670"/>
      <c r="E98" s="670"/>
      <c r="F98" s="670"/>
      <c r="G98" s="670"/>
      <c r="H98" s="670"/>
      <c r="I98" s="670"/>
      <c r="J98" s="670"/>
      <c r="K98" s="670"/>
      <c r="L98" s="670"/>
      <c r="M98" s="670"/>
      <c r="N98" s="670"/>
      <c r="O98" s="670"/>
      <c r="P98" s="4611"/>
      <c r="Q98" s="4611"/>
      <c r="R98" s="4611"/>
      <c r="S98" s="4611"/>
      <c r="T98" s="4611"/>
      <c r="U98" s="4611"/>
      <c r="V98" s="4611"/>
      <c r="W98" s="4611"/>
      <c r="X98" s="4611"/>
      <c r="Y98" s="4611"/>
      <c r="Z98" s="4611"/>
      <c r="AA98" s="4611"/>
      <c r="AB98" s="4611"/>
      <c r="AC98" s="4611"/>
      <c r="AD98" s="4611"/>
      <c r="AE98" s="4611"/>
      <c r="AF98" s="4611"/>
      <c r="AG98" s="4611"/>
      <c r="AH98" s="4611"/>
      <c r="AI98" s="4611"/>
      <c r="AJ98" s="4611"/>
      <c r="AK98" s="4611"/>
      <c r="AL98" s="4611"/>
      <c r="AM98" s="4611"/>
      <c r="AN98" s="4611"/>
      <c r="AO98" s="4611"/>
      <c r="AP98" s="4611"/>
      <c r="AQ98" s="4611"/>
      <c r="AR98" s="4611"/>
      <c r="AS98" s="4611"/>
      <c r="AT98" s="4611"/>
      <c r="AU98" s="4611"/>
      <c r="AV98" s="4611"/>
      <c r="AW98" s="4611"/>
      <c r="AX98" s="4611"/>
      <c r="AY98" s="4611"/>
      <c r="AZ98" s="4611"/>
      <c r="BA98" s="4611"/>
      <c r="BB98" s="4611"/>
      <c r="BC98" s="4611"/>
      <c r="BD98" s="4611"/>
      <c r="BE98" s="4611"/>
      <c r="BF98" s="4611"/>
      <c r="BG98" s="4611"/>
      <c r="BH98" s="4611"/>
      <c r="BI98" s="4611"/>
      <c r="BJ98" s="4611"/>
      <c r="BK98" s="670"/>
      <c r="BL98" s="670"/>
      <c r="BM98" s="670"/>
      <c r="BN98" s="670"/>
      <c r="BO98" s="670"/>
      <c r="BP98" s="156"/>
      <c r="BQ98" s="156"/>
      <c r="BR98" s="156"/>
      <c r="BS98" s="156"/>
    </row>
    <row r="99" spans="2:71" ht="18.75" customHeight="1">
      <c r="B99" s="670"/>
      <c r="C99" s="670"/>
      <c r="D99" s="670"/>
      <c r="E99" s="670"/>
      <c r="F99" s="670"/>
      <c r="G99" s="670"/>
      <c r="H99" s="670"/>
      <c r="I99" s="670"/>
      <c r="J99" s="670"/>
      <c r="K99" s="670"/>
      <c r="L99" s="670"/>
      <c r="M99" s="670"/>
      <c r="N99" s="670"/>
      <c r="O99" s="670"/>
      <c r="P99" s="4611"/>
      <c r="Q99" s="4611"/>
      <c r="R99" s="4611"/>
      <c r="S99" s="4611"/>
      <c r="T99" s="4611"/>
      <c r="U99" s="4611"/>
      <c r="V99" s="4611"/>
      <c r="W99" s="4611"/>
      <c r="X99" s="4611"/>
      <c r="Y99" s="4611"/>
      <c r="Z99" s="4611"/>
      <c r="AA99" s="4611"/>
      <c r="AB99" s="4611"/>
      <c r="AC99" s="4611"/>
      <c r="AD99" s="4611"/>
      <c r="AE99" s="4611"/>
      <c r="AF99" s="4611"/>
      <c r="AG99" s="4611"/>
      <c r="AH99" s="4611"/>
      <c r="AI99" s="4611"/>
      <c r="AJ99" s="4611"/>
      <c r="AK99" s="4611"/>
      <c r="AL99" s="4611"/>
      <c r="AM99" s="4611"/>
      <c r="AN99" s="4611"/>
      <c r="AO99" s="4611"/>
      <c r="AP99" s="4611"/>
      <c r="AQ99" s="4611"/>
      <c r="AR99" s="4611"/>
      <c r="AS99" s="4611"/>
      <c r="AT99" s="4611"/>
      <c r="AU99" s="4611"/>
      <c r="AV99" s="4611"/>
      <c r="AW99" s="4611"/>
      <c r="AX99" s="4611"/>
      <c r="AY99" s="4611"/>
      <c r="AZ99" s="4611"/>
      <c r="BA99" s="4611"/>
      <c r="BB99" s="4611"/>
      <c r="BC99" s="4611"/>
      <c r="BD99" s="4611"/>
      <c r="BE99" s="4611"/>
      <c r="BF99" s="4611"/>
      <c r="BG99" s="4611"/>
      <c r="BH99" s="4611"/>
      <c r="BI99" s="4611"/>
      <c r="BJ99" s="4611"/>
      <c r="BK99" s="670"/>
      <c r="BL99" s="670"/>
      <c r="BM99" s="670"/>
      <c r="BN99" s="670"/>
      <c r="BO99" s="670"/>
      <c r="BP99" s="156"/>
      <c r="BQ99" s="156"/>
      <c r="BR99" s="156"/>
      <c r="BS99" s="156"/>
    </row>
    <row r="100" spans="2:71" ht="18.75" customHeight="1">
      <c r="B100" s="670"/>
      <c r="C100" s="670"/>
      <c r="D100" s="670"/>
      <c r="E100" s="670"/>
      <c r="F100" s="670"/>
      <c r="G100" s="670"/>
      <c r="H100" s="670"/>
      <c r="I100" s="670"/>
      <c r="J100" s="670"/>
      <c r="K100" s="670"/>
      <c r="L100" s="670"/>
      <c r="M100" s="670"/>
      <c r="N100" s="670"/>
      <c r="O100" s="670"/>
      <c r="P100" s="4611"/>
      <c r="Q100" s="4611"/>
      <c r="R100" s="4611"/>
      <c r="S100" s="4611"/>
      <c r="T100" s="4611"/>
      <c r="U100" s="4611"/>
      <c r="V100" s="4611"/>
      <c r="W100" s="4611"/>
      <c r="X100" s="4611"/>
      <c r="Y100" s="4611"/>
      <c r="Z100" s="4611"/>
      <c r="AA100" s="4611"/>
      <c r="AB100" s="4611"/>
      <c r="AC100" s="4611"/>
      <c r="AD100" s="4611"/>
      <c r="AE100" s="4611"/>
      <c r="AF100" s="4611"/>
      <c r="AG100" s="4611"/>
      <c r="AH100" s="4611"/>
      <c r="AI100" s="4611"/>
      <c r="AJ100" s="4611"/>
      <c r="AK100" s="4611"/>
      <c r="AL100" s="4611"/>
      <c r="AM100" s="4611"/>
      <c r="AN100" s="4611"/>
      <c r="AO100" s="4611"/>
      <c r="AP100" s="4611"/>
      <c r="AQ100" s="4611"/>
      <c r="AR100" s="4611"/>
      <c r="AS100" s="4611"/>
      <c r="AT100" s="4611"/>
      <c r="AU100" s="4611"/>
      <c r="AV100" s="4611"/>
      <c r="AW100" s="4611"/>
      <c r="AX100" s="4611"/>
      <c r="AY100" s="4611"/>
      <c r="AZ100" s="4611"/>
      <c r="BA100" s="4611"/>
      <c r="BB100" s="4611"/>
      <c r="BC100" s="4611"/>
      <c r="BD100" s="4611"/>
      <c r="BE100" s="4611"/>
      <c r="BF100" s="4611"/>
      <c r="BG100" s="4611"/>
      <c r="BH100" s="4611"/>
      <c r="BI100" s="4611"/>
      <c r="BJ100" s="4611"/>
      <c r="BK100" s="670"/>
      <c r="BL100" s="670"/>
      <c r="BM100" s="670"/>
      <c r="BN100" s="670"/>
      <c r="BO100" s="670"/>
      <c r="BP100" s="156"/>
      <c r="BQ100" s="156"/>
      <c r="BR100" s="156"/>
      <c r="BS100" s="156"/>
    </row>
    <row r="101" spans="2:71" ht="18.75" customHeight="1">
      <c r="B101" s="670"/>
      <c r="C101" s="670"/>
      <c r="D101" s="670"/>
      <c r="E101" s="670"/>
      <c r="F101" s="670"/>
      <c r="G101" s="670"/>
      <c r="H101" s="670"/>
      <c r="I101" s="670"/>
      <c r="J101" s="670"/>
      <c r="K101" s="670"/>
      <c r="L101" s="670"/>
      <c r="M101" s="670"/>
      <c r="N101" s="670"/>
      <c r="O101" s="670"/>
      <c r="P101" s="4611"/>
      <c r="Q101" s="4611"/>
      <c r="R101" s="4611"/>
      <c r="S101" s="4611"/>
      <c r="T101" s="4611"/>
      <c r="U101" s="4611"/>
      <c r="V101" s="4611"/>
      <c r="W101" s="4611"/>
      <c r="X101" s="4611"/>
      <c r="Y101" s="4611"/>
      <c r="Z101" s="4611"/>
      <c r="AA101" s="4611"/>
      <c r="AB101" s="4611"/>
      <c r="AC101" s="4611"/>
      <c r="AD101" s="4611"/>
      <c r="AE101" s="4611"/>
      <c r="AF101" s="4611"/>
      <c r="AG101" s="4611"/>
      <c r="AH101" s="4611"/>
      <c r="AI101" s="4611"/>
      <c r="AJ101" s="4611"/>
      <c r="AK101" s="4611"/>
      <c r="AL101" s="4611"/>
      <c r="AM101" s="4611"/>
      <c r="AN101" s="4611"/>
      <c r="AO101" s="4611"/>
      <c r="AP101" s="4611"/>
      <c r="AQ101" s="4611"/>
      <c r="AR101" s="4611"/>
      <c r="AS101" s="4611"/>
      <c r="AT101" s="4611"/>
      <c r="AU101" s="4611"/>
      <c r="AV101" s="4611"/>
      <c r="AW101" s="4611"/>
      <c r="AX101" s="4611"/>
      <c r="AY101" s="4611"/>
      <c r="AZ101" s="4611"/>
      <c r="BA101" s="4611"/>
      <c r="BB101" s="4611"/>
      <c r="BC101" s="4611"/>
      <c r="BD101" s="4611"/>
      <c r="BE101" s="4611"/>
      <c r="BF101" s="4611"/>
      <c r="BG101" s="4611"/>
      <c r="BH101" s="4611"/>
      <c r="BI101" s="4611"/>
      <c r="BJ101" s="4611"/>
      <c r="BK101" s="670"/>
      <c r="BL101" s="670"/>
      <c r="BM101" s="670"/>
      <c r="BN101" s="670"/>
      <c r="BO101" s="670"/>
      <c r="BP101" s="156"/>
      <c r="BQ101" s="156"/>
      <c r="BR101" s="156"/>
      <c r="BS101" s="156"/>
    </row>
    <row r="102" spans="2:71" ht="18.75" customHeight="1">
      <c r="B102" s="670"/>
      <c r="C102" s="670"/>
      <c r="D102" s="670"/>
      <c r="E102" s="670"/>
      <c r="F102" s="670"/>
      <c r="G102" s="670"/>
      <c r="H102" s="670"/>
      <c r="I102" s="670"/>
      <c r="J102" s="670"/>
      <c r="K102" s="670"/>
      <c r="L102" s="670"/>
      <c r="M102" s="670"/>
      <c r="N102" s="670"/>
      <c r="O102" s="670"/>
      <c r="P102" s="4611"/>
      <c r="Q102" s="4611"/>
      <c r="R102" s="4611"/>
      <c r="S102" s="4611"/>
      <c r="T102" s="4611"/>
      <c r="U102" s="4611"/>
      <c r="V102" s="4611"/>
      <c r="W102" s="4611"/>
      <c r="X102" s="4611"/>
      <c r="Y102" s="4611"/>
      <c r="Z102" s="4611"/>
      <c r="AA102" s="4611"/>
      <c r="AB102" s="4611"/>
      <c r="AC102" s="4611"/>
      <c r="AD102" s="4611"/>
      <c r="AE102" s="4611"/>
      <c r="AF102" s="4611"/>
      <c r="AG102" s="4611"/>
      <c r="AH102" s="4611"/>
      <c r="AI102" s="4611"/>
      <c r="AJ102" s="4611"/>
      <c r="AK102" s="4611"/>
      <c r="AL102" s="4611"/>
      <c r="AM102" s="4611"/>
      <c r="AN102" s="4611"/>
      <c r="AO102" s="4611"/>
      <c r="AP102" s="4611"/>
      <c r="AQ102" s="4611"/>
      <c r="AR102" s="4611"/>
      <c r="AS102" s="4611"/>
      <c r="AT102" s="4611"/>
      <c r="AU102" s="4611"/>
      <c r="AV102" s="4611"/>
      <c r="AW102" s="4611"/>
      <c r="AX102" s="4611"/>
      <c r="AY102" s="4611"/>
      <c r="AZ102" s="4611"/>
      <c r="BA102" s="4611"/>
      <c r="BB102" s="4611"/>
      <c r="BC102" s="4611"/>
      <c r="BD102" s="4611"/>
      <c r="BE102" s="4611"/>
      <c r="BF102" s="4611"/>
      <c r="BG102" s="4611"/>
      <c r="BH102" s="4611"/>
      <c r="BI102" s="4611"/>
      <c r="BJ102" s="4611"/>
      <c r="BK102" s="670"/>
      <c r="BL102" s="670"/>
      <c r="BM102" s="670"/>
      <c r="BN102" s="670"/>
      <c r="BO102" s="670"/>
      <c r="BP102" s="156"/>
      <c r="BQ102" s="156"/>
      <c r="BR102" s="156"/>
      <c r="BS102" s="156"/>
    </row>
    <row r="103" spans="2:71" ht="18.75" customHeight="1">
      <c r="B103" s="670"/>
      <c r="C103" s="670"/>
      <c r="D103" s="670"/>
      <c r="E103" s="670"/>
      <c r="F103" s="670"/>
      <c r="G103" s="670"/>
      <c r="H103" s="670"/>
      <c r="I103" s="670"/>
      <c r="J103" s="670"/>
      <c r="K103" s="670"/>
      <c r="L103" s="670"/>
      <c r="M103" s="670"/>
      <c r="N103" s="670"/>
      <c r="O103" s="670"/>
      <c r="P103" s="4611"/>
      <c r="Q103" s="4611"/>
      <c r="R103" s="4611"/>
      <c r="S103" s="4611"/>
      <c r="T103" s="4611"/>
      <c r="U103" s="4611"/>
      <c r="V103" s="4611"/>
      <c r="W103" s="4611"/>
      <c r="X103" s="4611"/>
      <c r="Y103" s="4611"/>
      <c r="Z103" s="4611"/>
      <c r="AA103" s="4611"/>
      <c r="AB103" s="4611"/>
      <c r="AC103" s="4611"/>
      <c r="AD103" s="4611"/>
      <c r="AE103" s="4611"/>
      <c r="AF103" s="4611"/>
      <c r="AG103" s="4611"/>
      <c r="AH103" s="4611"/>
      <c r="AI103" s="4611"/>
      <c r="AJ103" s="4611"/>
      <c r="AK103" s="4611"/>
      <c r="AL103" s="4611"/>
      <c r="AM103" s="4611"/>
      <c r="AN103" s="4611"/>
      <c r="AO103" s="4611"/>
      <c r="AP103" s="4611"/>
      <c r="AQ103" s="4611"/>
      <c r="AR103" s="4611"/>
      <c r="AS103" s="4611"/>
      <c r="AT103" s="4611"/>
      <c r="AU103" s="4611"/>
      <c r="AV103" s="4611"/>
      <c r="AW103" s="4611"/>
      <c r="AX103" s="4611"/>
      <c r="AY103" s="4611"/>
      <c r="AZ103" s="4611"/>
      <c r="BA103" s="4611"/>
      <c r="BB103" s="4611"/>
      <c r="BC103" s="4611"/>
      <c r="BD103" s="4611"/>
      <c r="BE103" s="4611"/>
      <c r="BF103" s="4611"/>
      <c r="BG103" s="4611"/>
      <c r="BH103" s="4611"/>
      <c r="BI103" s="4611"/>
      <c r="BJ103" s="4611"/>
      <c r="BK103" s="670"/>
      <c r="BL103" s="670"/>
      <c r="BM103" s="670"/>
      <c r="BN103" s="670"/>
      <c r="BO103" s="670"/>
      <c r="BP103" s="156"/>
      <c r="BQ103" s="156"/>
      <c r="BR103" s="156"/>
      <c r="BS103" s="156"/>
    </row>
    <row r="104" spans="2:71" ht="18.75" customHeight="1">
      <c r="B104" s="670"/>
      <c r="C104" s="670"/>
      <c r="D104" s="670"/>
      <c r="E104" s="670"/>
      <c r="F104" s="670"/>
      <c r="G104" s="670"/>
      <c r="H104" s="670"/>
      <c r="I104" s="670"/>
      <c r="J104" s="670"/>
      <c r="K104" s="670"/>
      <c r="L104" s="670"/>
      <c r="M104" s="670"/>
      <c r="N104" s="670"/>
      <c r="O104" s="670"/>
      <c r="P104" s="4611"/>
      <c r="Q104" s="4611"/>
      <c r="R104" s="4611"/>
      <c r="S104" s="4611"/>
      <c r="T104" s="4611"/>
      <c r="U104" s="4611"/>
      <c r="V104" s="4611"/>
      <c r="W104" s="4611"/>
      <c r="X104" s="4611"/>
      <c r="Y104" s="4611"/>
      <c r="Z104" s="4611"/>
      <c r="AA104" s="4611"/>
      <c r="AB104" s="4611"/>
      <c r="AC104" s="4611"/>
      <c r="AD104" s="4611"/>
      <c r="AE104" s="4611"/>
      <c r="AF104" s="4611"/>
      <c r="AG104" s="4611"/>
      <c r="AH104" s="4611"/>
      <c r="AI104" s="4611"/>
      <c r="AJ104" s="4611"/>
      <c r="AK104" s="4611"/>
      <c r="AL104" s="4611"/>
      <c r="AM104" s="4611"/>
      <c r="AN104" s="4611"/>
      <c r="AO104" s="4611"/>
      <c r="AP104" s="4611"/>
      <c r="AQ104" s="4611"/>
      <c r="AR104" s="4611"/>
      <c r="AS104" s="4611"/>
      <c r="AT104" s="4611"/>
      <c r="AU104" s="4611"/>
      <c r="AV104" s="4611"/>
      <c r="AW104" s="4611"/>
      <c r="AX104" s="4611"/>
      <c r="AY104" s="4611"/>
      <c r="AZ104" s="4611"/>
      <c r="BA104" s="4611"/>
      <c r="BB104" s="4611"/>
      <c r="BC104" s="4611"/>
      <c r="BD104" s="4611"/>
      <c r="BE104" s="4611"/>
      <c r="BF104" s="4611"/>
      <c r="BG104" s="4611"/>
      <c r="BH104" s="4611"/>
      <c r="BI104" s="4611"/>
      <c r="BJ104" s="4611"/>
      <c r="BK104" s="670"/>
      <c r="BL104" s="670"/>
      <c r="BM104" s="670"/>
      <c r="BN104" s="670"/>
      <c r="BO104" s="670"/>
      <c r="BP104" s="156"/>
      <c r="BQ104" s="156"/>
      <c r="BR104" s="156"/>
      <c r="BS104" s="156"/>
    </row>
    <row r="105" spans="2:71" ht="18.75" customHeight="1">
      <c r="B105" s="670"/>
      <c r="C105" s="670"/>
      <c r="D105" s="670"/>
      <c r="E105" s="670"/>
      <c r="F105" s="670"/>
      <c r="G105" s="670"/>
      <c r="H105" s="670"/>
      <c r="I105" s="670"/>
      <c r="J105" s="670"/>
      <c r="K105" s="670"/>
      <c r="L105" s="670"/>
      <c r="M105" s="670"/>
      <c r="N105" s="670"/>
      <c r="O105" s="670"/>
      <c r="P105" s="4611"/>
      <c r="Q105" s="4611"/>
      <c r="R105" s="4611"/>
      <c r="S105" s="4611"/>
      <c r="T105" s="4611"/>
      <c r="U105" s="4611"/>
      <c r="V105" s="4611"/>
      <c r="W105" s="4611"/>
      <c r="X105" s="4611"/>
      <c r="Y105" s="4611"/>
      <c r="Z105" s="4611"/>
      <c r="AA105" s="4611"/>
      <c r="AB105" s="4611"/>
      <c r="AC105" s="4611"/>
      <c r="AD105" s="4611"/>
      <c r="AE105" s="4611"/>
      <c r="AF105" s="4611"/>
      <c r="AG105" s="4611"/>
      <c r="AH105" s="4611"/>
      <c r="AI105" s="4611"/>
      <c r="AJ105" s="4611"/>
      <c r="AK105" s="4611"/>
      <c r="AL105" s="4611"/>
      <c r="AM105" s="4611"/>
      <c r="AN105" s="4611"/>
      <c r="AO105" s="4611"/>
      <c r="AP105" s="4611"/>
      <c r="AQ105" s="4611"/>
      <c r="AR105" s="4611"/>
      <c r="AS105" s="4611"/>
      <c r="AT105" s="4611"/>
      <c r="AU105" s="4611"/>
      <c r="AV105" s="4611"/>
      <c r="AW105" s="4611"/>
      <c r="AX105" s="4611"/>
      <c r="AY105" s="4611"/>
      <c r="AZ105" s="4611"/>
      <c r="BA105" s="4611"/>
      <c r="BB105" s="4611"/>
      <c r="BC105" s="4611"/>
      <c r="BD105" s="4611"/>
      <c r="BE105" s="4611"/>
      <c r="BF105" s="4611"/>
      <c r="BG105" s="4611"/>
      <c r="BH105" s="4611"/>
      <c r="BI105" s="4611"/>
      <c r="BJ105" s="4611"/>
      <c r="BK105" s="670"/>
      <c r="BL105" s="670"/>
      <c r="BM105" s="670"/>
      <c r="BN105" s="670"/>
      <c r="BO105" s="670"/>
      <c r="BP105" s="156"/>
      <c r="BQ105" s="156"/>
      <c r="BR105" s="156"/>
      <c r="BS105" s="156"/>
    </row>
    <row r="106" spans="2:71" ht="18.75" customHeight="1">
      <c r="B106" s="156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4843"/>
      <c r="Q106" s="4843"/>
      <c r="R106" s="4843"/>
      <c r="S106" s="4843"/>
      <c r="T106" s="4843"/>
      <c r="U106" s="4843"/>
      <c r="V106" s="4843"/>
      <c r="W106" s="4843"/>
      <c r="X106" s="4843"/>
      <c r="Y106" s="4843"/>
      <c r="Z106" s="4843"/>
      <c r="AA106" s="4843"/>
      <c r="AB106" s="4843"/>
      <c r="AC106" s="4843"/>
      <c r="AD106" s="4843"/>
      <c r="AE106" s="4843"/>
      <c r="AF106" s="4843"/>
      <c r="AG106" s="4843"/>
      <c r="AH106" s="4843"/>
      <c r="AI106" s="4843"/>
      <c r="AJ106" s="4843"/>
      <c r="AK106" s="4843"/>
      <c r="AL106" s="4843"/>
      <c r="AM106" s="4843"/>
      <c r="AN106" s="4843"/>
      <c r="AO106" s="4843"/>
      <c r="AP106" s="4843"/>
      <c r="AQ106" s="4843"/>
      <c r="AR106" s="4843"/>
      <c r="AS106" s="4843"/>
      <c r="AT106" s="4843"/>
      <c r="AU106" s="4843"/>
      <c r="AV106" s="4843"/>
      <c r="AW106" s="4843"/>
      <c r="AX106" s="4843"/>
      <c r="AY106" s="4843"/>
      <c r="AZ106" s="4843"/>
      <c r="BA106" s="4843"/>
      <c r="BB106" s="4843"/>
      <c r="BC106" s="4843"/>
      <c r="BD106" s="4843"/>
      <c r="BE106" s="4843"/>
      <c r="BF106" s="4843"/>
      <c r="BG106" s="4843"/>
      <c r="BH106" s="4843"/>
      <c r="BI106" s="4843"/>
      <c r="BJ106" s="4843"/>
      <c r="BK106" s="156"/>
      <c r="BL106" s="156"/>
      <c r="BM106" s="156"/>
      <c r="BN106" s="156"/>
      <c r="BO106" s="156"/>
      <c r="BP106" s="156"/>
      <c r="BQ106" s="156"/>
      <c r="BR106" s="156"/>
      <c r="BS106" s="156"/>
    </row>
    <row r="107" spans="2:71" ht="18.75" customHeight="1">
      <c r="B107" s="156"/>
      <c r="C107" s="156"/>
      <c r="D107" s="156"/>
      <c r="E107" s="156"/>
      <c r="F107" s="156"/>
      <c r="G107" s="156"/>
      <c r="H107" s="156"/>
      <c r="I107" s="156"/>
      <c r="J107" s="156"/>
      <c r="K107" s="156"/>
      <c r="L107" s="156"/>
      <c r="M107" s="156"/>
      <c r="N107" s="156"/>
      <c r="O107" s="156"/>
      <c r="P107" s="4843"/>
      <c r="Q107" s="4843"/>
      <c r="R107" s="4843"/>
      <c r="S107" s="4843"/>
      <c r="T107" s="4843"/>
      <c r="U107" s="4843"/>
      <c r="V107" s="4843"/>
      <c r="W107" s="4843"/>
      <c r="X107" s="4843"/>
      <c r="Y107" s="4843"/>
      <c r="Z107" s="4843"/>
      <c r="AA107" s="4843"/>
      <c r="AB107" s="4843"/>
      <c r="AC107" s="4843"/>
      <c r="AD107" s="4843"/>
      <c r="AE107" s="4843"/>
      <c r="AF107" s="4843"/>
      <c r="AG107" s="4843"/>
      <c r="AH107" s="4843"/>
      <c r="AI107" s="4843"/>
      <c r="AJ107" s="4843"/>
      <c r="AK107" s="4843"/>
      <c r="AL107" s="4843"/>
      <c r="AM107" s="4843"/>
      <c r="AN107" s="4843"/>
      <c r="AO107" s="4843"/>
      <c r="AP107" s="4843"/>
      <c r="AQ107" s="4843"/>
      <c r="AR107" s="4843"/>
      <c r="AS107" s="4843"/>
      <c r="AT107" s="4843"/>
      <c r="AU107" s="4843"/>
      <c r="AV107" s="4843"/>
      <c r="AW107" s="4843"/>
      <c r="AX107" s="4843"/>
      <c r="AY107" s="4843"/>
      <c r="AZ107" s="4843"/>
      <c r="BA107" s="4843"/>
      <c r="BB107" s="4843"/>
      <c r="BC107" s="4843"/>
      <c r="BD107" s="4843"/>
      <c r="BE107" s="4843"/>
      <c r="BF107" s="4843"/>
      <c r="BG107" s="4843"/>
      <c r="BH107" s="4843"/>
      <c r="BI107" s="4843"/>
      <c r="BJ107" s="4843"/>
      <c r="BK107" s="156"/>
      <c r="BL107" s="156"/>
      <c r="BM107" s="156"/>
      <c r="BN107" s="156"/>
      <c r="BO107" s="156"/>
      <c r="BP107" s="156"/>
      <c r="BQ107" s="156"/>
      <c r="BR107" s="156"/>
      <c r="BS107" s="156"/>
    </row>
    <row r="108" spans="2:71" ht="18.75" customHeight="1">
      <c r="B108" s="156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4843"/>
      <c r="Q108" s="4843"/>
      <c r="R108" s="4843"/>
      <c r="S108" s="4843"/>
      <c r="T108" s="4843"/>
      <c r="U108" s="4843"/>
      <c r="V108" s="4843"/>
      <c r="W108" s="4843"/>
      <c r="X108" s="4843"/>
      <c r="Y108" s="4843"/>
      <c r="Z108" s="4843"/>
      <c r="AA108" s="4843"/>
      <c r="AB108" s="4843"/>
      <c r="AC108" s="4843"/>
      <c r="AD108" s="4843"/>
      <c r="AE108" s="4843"/>
      <c r="AF108" s="4843"/>
      <c r="AG108" s="4843"/>
      <c r="AH108" s="4843"/>
      <c r="AI108" s="4843"/>
      <c r="AJ108" s="4843"/>
      <c r="AK108" s="4843"/>
      <c r="AL108" s="4843"/>
      <c r="AM108" s="4843"/>
      <c r="AN108" s="4843"/>
      <c r="AO108" s="4843"/>
      <c r="AP108" s="4843"/>
      <c r="AQ108" s="4843"/>
      <c r="AR108" s="4843"/>
      <c r="AS108" s="4843"/>
      <c r="AT108" s="4843"/>
      <c r="AU108" s="4843"/>
      <c r="AV108" s="4843"/>
      <c r="AW108" s="4843"/>
      <c r="AX108" s="4843"/>
      <c r="AY108" s="4843"/>
      <c r="AZ108" s="4843"/>
      <c r="BA108" s="4843"/>
      <c r="BB108" s="4843"/>
      <c r="BC108" s="4843"/>
      <c r="BD108" s="4843"/>
      <c r="BE108" s="4843"/>
      <c r="BF108" s="4843"/>
      <c r="BG108" s="4843"/>
      <c r="BH108" s="4843"/>
      <c r="BI108" s="4843"/>
      <c r="BJ108" s="4843"/>
      <c r="BK108" s="156"/>
      <c r="BL108" s="156"/>
      <c r="BM108" s="156"/>
      <c r="BN108" s="156"/>
      <c r="BO108" s="156"/>
      <c r="BP108" s="156"/>
      <c r="BQ108" s="156"/>
      <c r="BR108" s="156"/>
      <c r="BS108" s="156"/>
    </row>
    <row r="109" spans="2:71" ht="18.75" customHeight="1">
      <c r="B109" s="156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4843"/>
      <c r="Q109" s="4843"/>
      <c r="R109" s="4843"/>
      <c r="S109" s="4843"/>
      <c r="T109" s="4843"/>
      <c r="U109" s="4843"/>
      <c r="V109" s="4843"/>
      <c r="W109" s="4843"/>
      <c r="X109" s="4843"/>
      <c r="Y109" s="4843"/>
      <c r="Z109" s="4843"/>
      <c r="AA109" s="4843"/>
      <c r="AB109" s="4843"/>
      <c r="AC109" s="4843"/>
      <c r="AD109" s="4843"/>
      <c r="AE109" s="4843"/>
      <c r="AF109" s="4843"/>
      <c r="AG109" s="4843"/>
      <c r="AH109" s="4843"/>
      <c r="AI109" s="4843"/>
      <c r="AJ109" s="4843"/>
      <c r="AK109" s="4843"/>
      <c r="AL109" s="4843"/>
      <c r="AM109" s="4843"/>
      <c r="AN109" s="4843"/>
      <c r="AO109" s="4843"/>
      <c r="AP109" s="4843"/>
      <c r="AQ109" s="4843"/>
      <c r="AR109" s="4843"/>
      <c r="AS109" s="4843"/>
      <c r="AT109" s="4843"/>
      <c r="AU109" s="4843"/>
      <c r="AV109" s="4843"/>
      <c r="AW109" s="4843"/>
      <c r="AX109" s="4843"/>
      <c r="AY109" s="4843"/>
      <c r="AZ109" s="4843"/>
      <c r="BA109" s="4843"/>
      <c r="BB109" s="4843"/>
      <c r="BC109" s="4843"/>
      <c r="BD109" s="4843"/>
      <c r="BE109" s="4843"/>
      <c r="BF109" s="4843"/>
      <c r="BG109" s="4843"/>
      <c r="BH109" s="4843"/>
      <c r="BI109" s="4843"/>
      <c r="BJ109" s="4843"/>
      <c r="BK109" s="156"/>
      <c r="BL109" s="156"/>
      <c r="BM109" s="156"/>
      <c r="BN109" s="156"/>
      <c r="BO109" s="156"/>
      <c r="BP109" s="156"/>
      <c r="BQ109" s="156"/>
      <c r="BR109" s="156"/>
      <c r="BS109" s="156"/>
    </row>
    <row r="110" spans="2:71" ht="18.75" customHeight="1">
      <c r="B110" s="156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4843"/>
      <c r="Q110" s="4843"/>
      <c r="R110" s="4843"/>
      <c r="S110" s="4843"/>
      <c r="T110" s="4843"/>
      <c r="U110" s="4843"/>
      <c r="V110" s="4843"/>
      <c r="W110" s="4843"/>
      <c r="X110" s="4843"/>
      <c r="Y110" s="4843"/>
      <c r="Z110" s="4843"/>
      <c r="AA110" s="4843"/>
      <c r="AB110" s="4843"/>
      <c r="AC110" s="4843"/>
      <c r="AD110" s="4843"/>
      <c r="AE110" s="4843"/>
      <c r="AF110" s="4843"/>
      <c r="AG110" s="4843"/>
      <c r="AH110" s="4843"/>
      <c r="AI110" s="4843"/>
      <c r="AJ110" s="4843"/>
      <c r="AK110" s="4843"/>
      <c r="AL110" s="4843"/>
      <c r="AM110" s="4843"/>
      <c r="AN110" s="4843"/>
      <c r="AO110" s="4843"/>
      <c r="AP110" s="4843"/>
      <c r="AQ110" s="4843"/>
      <c r="AR110" s="4843"/>
      <c r="AS110" s="4843"/>
      <c r="AT110" s="4843"/>
      <c r="AU110" s="4843"/>
      <c r="AV110" s="4843"/>
      <c r="AW110" s="4843"/>
      <c r="AX110" s="4843"/>
      <c r="AY110" s="4843"/>
      <c r="AZ110" s="4843"/>
      <c r="BA110" s="4843"/>
      <c r="BB110" s="4843"/>
      <c r="BC110" s="4843"/>
      <c r="BD110" s="4843"/>
      <c r="BE110" s="4843"/>
      <c r="BF110" s="4843"/>
      <c r="BG110" s="4843"/>
      <c r="BH110" s="4843"/>
      <c r="BI110" s="4843"/>
      <c r="BJ110" s="4843"/>
      <c r="BK110" s="156"/>
      <c r="BL110" s="156"/>
      <c r="BM110" s="156"/>
      <c r="BN110" s="156"/>
      <c r="BO110" s="156"/>
      <c r="BP110" s="156"/>
      <c r="BQ110" s="156"/>
      <c r="BR110" s="156"/>
      <c r="BS110" s="156"/>
    </row>
    <row r="111" spans="2:71" ht="18.75" customHeight="1">
      <c r="B111" s="156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4843"/>
      <c r="Q111" s="4843"/>
      <c r="R111" s="4843"/>
      <c r="S111" s="4843"/>
      <c r="T111" s="4843"/>
      <c r="U111" s="4843"/>
      <c r="V111" s="4843"/>
      <c r="W111" s="4843"/>
      <c r="X111" s="4843"/>
      <c r="Y111" s="4843"/>
      <c r="Z111" s="4843"/>
      <c r="AA111" s="4843"/>
      <c r="AB111" s="4843"/>
      <c r="AC111" s="4843"/>
      <c r="AD111" s="4843"/>
      <c r="AE111" s="4843"/>
      <c r="AF111" s="4843"/>
      <c r="AG111" s="4843"/>
      <c r="AH111" s="4843"/>
      <c r="AI111" s="4843"/>
      <c r="AJ111" s="4843"/>
      <c r="AK111" s="4843"/>
      <c r="AL111" s="4843"/>
      <c r="AM111" s="4843"/>
      <c r="AN111" s="4843"/>
      <c r="AO111" s="4843"/>
      <c r="AP111" s="4843"/>
      <c r="AQ111" s="4843"/>
      <c r="AR111" s="4843"/>
      <c r="AS111" s="4843"/>
      <c r="AT111" s="4843"/>
      <c r="AU111" s="4843"/>
      <c r="AV111" s="4843"/>
      <c r="AW111" s="4843"/>
      <c r="AX111" s="4843"/>
      <c r="AY111" s="4843"/>
      <c r="AZ111" s="4843"/>
      <c r="BA111" s="4843"/>
      <c r="BB111" s="4843"/>
      <c r="BC111" s="4843"/>
      <c r="BD111" s="4843"/>
      <c r="BE111" s="4843"/>
      <c r="BF111" s="4843"/>
      <c r="BG111" s="4843"/>
      <c r="BH111" s="4843"/>
      <c r="BI111" s="4843"/>
      <c r="BJ111" s="4843"/>
      <c r="BK111" s="156"/>
      <c r="BL111" s="156"/>
      <c r="BM111" s="156"/>
      <c r="BN111" s="156"/>
      <c r="BO111" s="156"/>
      <c r="BP111" s="156"/>
      <c r="BQ111" s="156"/>
      <c r="BR111" s="156"/>
      <c r="BS111" s="156"/>
    </row>
    <row r="112" spans="2:71" ht="18.75" customHeight="1">
      <c r="B112" s="156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4843"/>
      <c r="Q112" s="4843"/>
      <c r="R112" s="4843"/>
      <c r="S112" s="4843"/>
      <c r="T112" s="4843"/>
      <c r="U112" s="4843"/>
      <c r="V112" s="4843"/>
      <c r="W112" s="4843"/>
      <c r="X112" s="4843"/>
      <c r="Y112" s="4843"/>
      <c r="Z112" s="4843"/>
      <c r="AA112" s="4843"/>
      <c r="AB112" s="4843"/>
      <c r="AC112" s="4843"/>
      <c r="AD112" s="4843"/>
      <c r="AE112" s="4843"/>
      <c r="AF112" s="4843"/>
      <c r="AG112" s="4843"/>
      <c r="AH112" s="4843"/>
      <c r="AI112" s="4843"/>
      <c r="AJ112" s="4843"/>
      <c r="AK112" s="4843"/>
      <c r="AL112" s="4843"/>
      <c r="AM112" s="4843"/>
      <c r="AN112" s="4843"/>
      <c r="AO112" s="4843"/>
      <c r="AP112" s="4843"/>
      <c r="AQ112" s="4843"/>
      <c r="AR112" s="4843"/>
      <c r="AS112" s="4843"/>
      <c r="AT112" s="4843"/>
      <c r="AU112" s="4843"/>
      <c r="AV112" s="4843"/>
      <c r="AW112" s="4843"/>
      <c r="AX112" s="4843"/>
      <c r="AY112" s="4843"/>
      <c r="AZ112" s="4843"/>
      <c r="BA112" s="4843"/>
      <c r="BB112" s="4843"/>
      <c r="BC112" s="4843"/>
      <c r="BD112" s="4843"/>
      <c r="BE112" s="4843"/>
      <c r="BF112" s="4843"/>
      <c r="BG112" s="4843"/>
      <c r="BH112" s="4843"/>
      <c r="BI112" s="4843"/>
      <c r="BJ112" s="4843"/>
      <c r="BK112" s="156"/>
      <c r="BL112" s="156"/>
      <c r="BM112" s="156"/>
      <c r="BN112" s="156"/>
      <c r="BO112" s="156"/>
      <c r="BP112" s="156"/>
      <c r="BQ112" s="156"/>
      <c r="BR112" s="156"/>
      <c r="BS112" s="156"/>
    </row>
    <row r="113" spans="2:71" ht="18.75" customHeight="1">
      <c r="B113" s="156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4843"/>
      <c r="Q113" s="4843"/>
      <c r="R113" s="4843"/>
      <c r="S113" s="4843"/>
      <c r="T113" s="4843"/>
      <c r="U113" s="4843"/>
      <c r="V113" s="4843"/>
      <c r="W113" s="4843"/>
      <c r="X113" s="4843"/>
      <c r="Y113" s="4843"/>
      <c r="Z113" s="4843"/>
      <c r="AA113" s="4843"/>
      <c r="AB113" s="4843"/>
      <c r="AC113" s="4843"/>
      <c r="AD113" s="4843"/>
      <c r="AE113" s="4843"/>
      <c r="AF113" s="4843"/>
      <c r="AG113" s="4843"/>
      <c r="AH113" s="4843"/>
      <c r="AI113" s="4843"/>
      <c r="AJ113" s="4843"/>
      <c r="AK113" s="4843"/>
      <c r="AL113" s="4843"/>
      <c r="AM113" s="4843"/>
      <c r="AN113" s="4843"/>
      <c r="AO113" s="4843"/>
      <c r="AP113" s="4843"/>
      <c r="AQ113" s="4843"/>
      <c r="AR113" s="4843"/>
      <c r="AS113" s="4843"/>
      <c r="AT113" s="4843"/>
      <c r="AU113" s="4843"/>
      <c r="AV113" s="4843"/>
      <c r="AW113" s="4843"/>
      <c r="AX113" s="4843"/>
      <c r="AY113" s="4843"/>
      <c r="AZ113" s="4843"/>
      <c r="BA113" s="4843"/>
      <c r="BB113" s="4843"/>
      <c r="BC113" s="4843"/>
      <c r="BD113" s="4843"/>
      <c r="BE113" s="4843"/>
      <c r="BF113" s="4843"/>
      <c r="BG113" s="4843"/>
      <c r="BH113" s="4843"/>
      <c r="BI113" s="4843"/>
      <c r="BJ113" s="4843"/>
      <c r="BK113" s="156"/>
      <c r="BL113" s="156"/>
      <c r="BM113" s="156"/>
      <c r="BN113" s="156"/>
      <c r="BO113" s="156"/>
      <c r="BP113" s="156"/>
      <c r="BQ113" s="156"/>
      <c r="BR113" s="156"/>
      <c r="BS113" s="156"/>
    </row>
    <row r="114" spans="2:71" ht="18.75" customHeight="1">
      <c r="B114" s="156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4843"/>
      <c r="Q114" s="4843"/>
      <c r="R114" s="4843"/>
      <c r="S114" s="4843"/>
      <c r="T114" s="4843"/>
      <c r="U114" s="4843"/>
      <c r="V114" s="4843"/>
      <c r="W114" s="4843"/>
      <c r="X114" s="4843"/>
      <c r="Y114" s="4843"/>
      <c r="Z114" s="4843"/>
      <c r="AA114" s="4843"/>
      <c r="AB114" s="4843"/>
      <c r="AC114" s="4843"/>
      <c r="AD114" s="4843"/>
      <c r="AE114" s="4843"/>
      <c r="AF114" s="4843"/>
      <c r="AG114" s="4843"/>
      <c r="AH114" s="4843"/>
      <c r="AI114" s="4843"/>
      <c r="AJ114" s="4843"/>
      <c r="AK114" s="4843"/>
      <c r="AL114" s="4843"/>
      <c r="AM114" s="4843"/>
      <c r="AN114" s="4843"/>
      <c r="AO114" s="4843"/>
      <c r="AP114" s="4843"/>
      <c r="AQ114" s="4843"/>
      <c r="AR114" s="4843"/>
      <c r="AS114" s="4843"/>
      <c r="AT114" s="4843"/>
      <c r="AU114" s="4843"/>
      <c r="AV114" s="4843"/>
      <c r="AW114" s="4843"/>
      <c r="AX114" s="4843"/>
      <c r="AY114" s="4843"/>
      <c r="AZ114" s="4843"/>
      <c r="BA114" s="4843"/>
      <c r="BB114" s="4843"/>
      <c r="BC114" s="4843"/>
      <c r="BD114" s="4843"/>
      <c r="BE114" s="4843"/>
      <c r="BF114" s="4843"/>
      <c r="BG114" s="4843"/>
      <c r="BH114" s="4843"/>
      <c r="BI114" s="4843"/>
      <c r="BJ114" s="4843"/>
      <c r="BK114" s="156"/>
      <c r="BL114" s="156"/>
      <c r="BM114" s="156"/>
      <c r="BN114" s="156"/>
      <c r="BO114" s="156"/>
      <c r="BP114" s="156"/>
      <c r="BQ114" s="156"/>
      <c r="BR114" s="156"/>
      <c r="BS114" s="156"/>
    </row>
    <row r="115" spans="2:71" ht="18.75" customHeight="1">
      <c r="B115" s="156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4843"/>
      <c r="Q115" s="4843"/>
      <c r="R115" s="4843"/>
      <c r="S115" s="4843"/>
      <c r="T115" s="4843"/>
      <c r="U115" s="4843"/>
      <c r="V115" s="4843"/>
      <c r="W115" s="4843"/>
      <c r="X115" s="4843"/>
      <c r="Y115" s="4843"/>
      <c r="Z115" s="4843"/>
      <c r="AA115" s="4843"/>
      <c r="AB115" s="4843"/>
      <c r="AC115" s="4843"/>
      <c r="AD115" s="4843"/>
      <c r="AE115" s="4843"/>
      <c r="AF115" s="4843"/>
      <c r="AG115" s="4843"/>
      <c r="AH115" s="4843"/>
      <c r="AI115" s="4843"/>
      <c r="AJ115" s="4843"/>
      <c r="AK115" s="4843"/>
      <c r="AL115" s="4843"/>
      <c r="AM115" s="4843"/>
      <c r="AN115" s="4843"/>
      <c r="AO115" s="4843"/>
      <c r="AP115" s="4843"/>
      <c r="AQ115" s="4843"/>
      <c r="AR115" s="4843"/>
      <c r="AS115" s="4843"/>
      <c r="AT115" s="4843"/>
      <c r="AU115" s="4843"/>
      <c r="AV115" s="4843"/>
      <c r="AW115" s="4843"/>
      <c r="AX115" s="4843"/>
      <c r="AY115" s="4843"/>
      <c r="AZ115" s="4843"/>
      <c r="BA115" s="4843"/>
      <c r="BB115" s="4843"/>
      <c r="BC115" s="4843"/>
      <c r="BD115" s="4843"/>
      <c r="BE115" s="4843"/>
      <c r="BF115" s="4843"/>
      <c r="BG115" s="4843"/>
      <c r="BH115" s="4843"/>
      <c r="BI115" s="4843"/>
      <c r="BJ115" s="4843"/>
      <c r="BK115" s="156"/>
      <c r="BL115" s="156"/>
      <c r="BM115" s="156"/>
      <c r="BN115" s="156"/>
      <c r="BO115" s="156"/>
      <c r="BP115" s="156"/>
      <c r="BQ115" s="156"/>
      <c r="BR115" s="156"/>
      <c r="BS115" s="156"/>
    </row>
    <row r="116" spans="2:71" ht="18.75" customHeight="1">
      <c r="B116" s="156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4843"/>
      <c r="Q116" s="4843"/>
      <c r="R116" s="4843"/>
      <c r="S116" s="4843"/>
      <c r="T116" s="4843"/>
      <c r="U116" s="4843"/>
      <c r="V116" s="4843"/>
      <c r="W116" s="4843"/>
      <c r="X116" s="4843"/>
      <c r="Y116" s="4843"/>
      <c r="Z116" s="4843"/>
      <c r="AA116" s="4843"/>
      <c r="AB116" s="4843"/>
      <c r="AC116" s="4843"/>
      <c r="AD116" s="4843"/>
      <c r="AE116" s="4843"/>
      <c r="AF116" s="4843"/>
      <c r="AG116" s="4843"/>
      <c r="AH116" s="4843"/>
      <c r="AI116" s="4843"/>
      <c r="AJ116" s="4843"/>
      <c r="AK116" s="4843"/>
      <c r="AL116" s="4843"/>
      <c r="AM116" s="4843"/>
      <c r="AN116" s="4843"/>
      <c r="AO116" s="4843"/>
      <c r="AP116" s="4843"/>
      <c r="AQ116" s="4843"/>
      <c r="AR116" s="4843"/>
      <c r="AS116" s="4843"/>
      <c r="AT116" s="4843"/>
      <c r="AU116" s="4843"/>
      <c r="AV116" s="4843"/>
      <c r="AW116" s="4843"/>
      <c r="AX116" s="4843"/>
      <c r="AY116" s="4843"/>
      <c r="AZ116" s="4843"/>
      <c r="BA116" s="4843"/>
      <c r="BB116" s="4843"/>
      <c r="BC116" s="4843"/>
      <c r="BD116" s="4843"/>
      <c r="BE116" s="4843"/>
      <c r="BF116" s="4843"/>
      <c r="BG116" s="4843"/>
      <c r="BH116" s="4843"/>
      <c r="BI116" s="4843"/>
      <c r="BJ116" s="4843"/>
      <c r="BK116" s="156"/>
      <c r="BL116" s="156"/>
      <c r="BM116" s="156"/>
      <c r="BN116" s="156"/>
      <c r="BO116" s="156"/>
      <c r="BP116" s="156"/>
      <c r="BQ116" s="156"/>
      <c r="BR116" s="156"/>
      <c r="BS116" s="156"/>
    </row>
    <row r="117" spans="2:71" ht="18.75" customHeight="1">
      <c r="B117" s="156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4843"/>
      <c r="Q117" s="4843"/>
      <c r="R117" s="4843"/>
      <c r="S117" s="4843"/>
      <c r="T117" s="4843"/>
      <c r="U117" s="4843"/>
      <c r="V117" s="4843"/>
      <c r="W117" s="4843"/>
      <c r="X117" s="4843"/>
      <c r="Y117" s="4843"/>
      <c r="Z117" s="4843"/>
      <c r="AA117" s="4843"/>
      <c r="AB117" s="4843"/>
      <c r="AC117" s="4843"/>
      <c r="AD117" s="4843"/>
      <c r="AE117" s="4843"/>
      <c r="AF117" s="4843"/>
      <c r="AG117" s="4843"/>
      <c r="AH117" s="4843"/>
      <c r="AI117" s="4843"/>
      <c r="AJ117" s="4843"/>
      <c r="AK117" s="4843"/>
      <c r="AL117" s="4843"/>
      <c r="AM117" s="4843"/>
      <c r="AN117" s="4843"/>
      <c r="AO117" s="4843"/>
      <c r="AP117" s="4843"/>
      <c r="AQ117" s="4843"/>
      <c r="AR117" s="4843"/>
      <c r="AS117" s="4843"/>
      <c r="AT117" s="4843"/>
      <c r="AU117" s="4843"/>
      <c r="AV117" s="4843"/>
      <c r="AW117" s="4843"/>
      <c r="AX117" s="4843"/>
      <c r="AY117" s="4843"/>
      <c r="AZ117" s="4843"/>
      <c r="BA117" s="4843"/>
      <c r="BB117" s="4843"/>
      <c r="BC117" s="4843"/>
      <c r="BD117" s="4843"/>
      <c r="BE117" s="4843"/>
      <c r="BF117" s="4843"/>
      <c r="BG117" s="4843"/>
      <c r="BH117" s="4843"/>
      <c r="BI117" s="4843"/>
      <c r="BJ117" s="4843"/>
      <c r="BK117" s="156"/>
      <c r="BL117" s="156"/>
      <c r="BM117" s="156"/>
      <c r="BN117" s="156"/>
      <c r="BO117" s="156"/>
      <c r="BP117" s="156"/>
      <c r="BQ117" s="156"/>
      <c r="BR117" s="156"/>
      <c r="BS117" s="156"/>
    </row>
    <row r="118" spans="2:71" ht="18.75" customHeight="1">
      <c r="B118" s="156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4843"/>
      <c r="Q118" s="4843"/>
      <c r="R118" s="4843"/>
      <c r="S118" s="4843"/>
      <c r="T118" s="4843"/>
      <c r="U118" s="4843"/>
      <c r="V118" s="4843"/>
      <c r="W118" s="4843"/>
      <c r="X118" s="4843"/>
      <c r="Y118" s="4843"/>
      <c r="Z118" s="4843"/>
      <c r="AA118" s="4843"/>
      <c r="AB118" s="4843"/>
      <c r="AC118" s="4843"/>
      <c r="AD118" s="4843"/>
      <c r="AE118" s="4843"/>
      <c r="AF118" s="4843"/>
      <c r="AG118" s="4843"/>
      <c r="AH118" s="4843"/>
      <c r="AI118" s="4843"/>
      <c r="AJ118" s="4843"/>
      <c r="AK118" s="4843"/>
      <c r="AL118" s="4843"/>
      <c r="AM118" s="4843"/>
      <c r="AN118" s="4843"/>
      <c r="AO118" s="4843"/>
      <c r="AP118" s="4843"/>
      <c r="AQ118" s="4843"/>
      <c r="AR118" s="4843"/>
      <c r="AS118" s="4843"/>
      <c r="AT118" s="4843"/>
      <c r="AU118" s="4843"/>
      <c r="AV118" s="4843"/>
      <c r="AW118" s="4843"/>
      <c r="AX118" s="4843"/>
      <c r="AY118" s="4843"/>
      <c r="AZ118" s="4843"/>
      <c r="BA118" s="4843"/>
      <c r="BB118" s="4843"/>
      <c r="BC118" s="4843"/>
      <c r="BD118" s="4843"/>
      <c r="BE118" s="4843"/>
      <c r="BF118" s="4843"/>
      <c r="BG118" s="4843"/>
      <c r="BH118" s="4843"/>
      <c r="BI118" s="4843"/>
      <c r="BJ118" s="4843"/>
      <c r="BK118" s="156"/>
      <c r="BL118" s="156"/>
      <c r="BM118" s="156"/>
      <c r="BN118" s="156"/>
      <c r="BO118" s="156"/>
      <c r="BP118" s="156"/>
      <c r="BQ118" s="156"/>
      <c r="BR118" s="156"/>
      <c r="BS118" s="156"/>
    </row>
    <row r="119" spans="2:71" ht="18.75" customHeight="1">
      <c r="B119" s="156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4843"/>
      <c r="Q119" s="4843"/>
      <c r="R119" s="4843"/>
      <c r="S119" s="4843"/>
      <c r="T119" s="4843"/>
      <c r="U119" s="4843"/>
      <c r="V119" s="4843"/>
      <c r="W119" s="4843"/>
      <c r="X119" s="4843"/>
      <c r="Y119" s="4843"/>
      <c r="Z119" s="4843"/>
      <c r="AA119" s="4843"/>
      <c r="AB119" s="4843"/>
      <c r="AC119" s="4843"/>
      <c r="AD119" s="4843"/>
      <c r="AE119" s="4843"/>
      <c r="AF119" s="4843"/>
      <c r="AG119" s="4843"/>
      <c r="AH119" s="4843"/>
      <c r="AI119" s="4843"/>
      <c r="AJ119" s="4843"/>
      <c r="AK119" s="4843"/>
      <c r="AL119" s="4843"/>
      <c r="AM119" s="4843"/>
      <c r="AN119" s="4843"/>
      <c r="AO119" s="4843"/>
      <c r="AP119" s="4843"/>
      <c r="AQ119" s="4843"/>
      <c r="AR119" s="4843"/>
      <c r="AS119" s="4843"/>
      <c r="AT119" s="4843"/>
      <c r="AU119" s="4843"/>
      <c r="AV119" s="4843"/>
      <c r="AW119" s="4843"/>
      <c r="AX119" s="4843"/>
      <c r="AY119" s="4843"/>
      <c r="AZ119" s="4843"/>
      <c r="BA119" s="4843"/>
      <c r="BB119" s="4843"/>
      <c r="BC119" s="4843"/>
      <c r="BD119" s="4843"/>
      <c r="BE119" s="4843"/>
      <c r="BF119" s="4843"/>
      <c r="BG119" s="4843"/>
      <c r="BH119" s="4843"/>
      <c r="BI119" s="4843"/>
      <c r="BJ119" s="4843"/>
      <c r="BK119" s="156"/>
      <c r="BL119" s="156"/>
      <c r="BM119" s="156"/>
      <c r="BN119" s="156"/>
      <c r="BO119" s="156"/>
      <c r="BP119" s="156"/>
      <c r="BQ119" s="156"/>
      <c r="BR119" s="156"/>
      <c r="BS119" s="156"/>
    </row>
    <row r="120" spans="2:71" ht="18.75" customHeight="1">
      <c r="B120" s="156"/>
      <c r="C120" s="156"/>
      <c r="D120" s="156"/>
      <c r="E120" s="156"/>
      <c r="F120" s="156"/>
      <c r="G120" s="156"/>
      <c r="H120" s="156"/>
      <c r="I120" s="156"/>
      <c r="J120" s="156"/>
      <c r="K120" s="156"/>
      <c r="L120" s="156"/>
      <c r="M120" s="156"/>
      <c r="N120" s="156"/>
      <c r="O120" s="156"/>
      <c r="P120" s="4843"/>
      <c r="Q120" s="4843"/>
      <c r="R120" s="4843"/>
      <c r="S120" s="4843"/>
      <c r="T120" s="4843"/>
      <c r="U120" s="4843"/>
      <c r="V120" s="4843"/>
      <c r="W120" s="4843"/>
      <c r="X120" s="4843"/>
      <c r="Y120" s="4843"/>
      <c r="Z120" s="4843"/>
      <c r="AA120" s="4843"/>
      <c r="AB120" s="4843"/>
      <c r="AC120" s="4843"/>
      <c r="AD120" s="4843"/>
      <c r="AE120" s="4843"/>
      <c r="AF120" s="4843"/>
      <c r="AG120" s="4843"/>
      <c r="AH120" s="4843"/>
      <c r="AI120" s="4843"/>
      <c r="AJ120" s="4843"/>
      <c r="AK120" s="4843"/>
      <c r="AL120" s="4843"/>
      <c r="AM120" s="4843"/>
      <c r="AN120" s="4843"/>
      <c r="AO120" s="4843"/>
      <c r="AP120" s="4843"/>
      <c r="AQ120" s="4843"/>
      <c r="AR120" s="4843"/>
      <c r="AS120" s="4843"/>
      <c r="AT120" s="4843"/>
      <c r="AU120" s="4843"/>
      <c r="AV120" s="4843"/>
      <c r="AW120" s="4843"/>
      <c r="AX120" s="4843"/>
      <c r="AY120" s="4843"/>
      <c r="AZ120" s="4843"/>
      <c r="BA120" s="4843"/>
      <c r="BB120" s="4843"/>
      <c r="BC120" s="4843"/>
      <c r="BD120" s="4843"/>
      <c r="BE120" s="4843"/>
      <c r="BF120" s="4843"/>
      <c r="BG120" s="4843"/>
      <c r="BH120" s="4843"/>
      <c r="BI120" s="4843"/>
      <c r="BJ120" s="4843"/>
      <c r="BK120" s="156"/>
      <c r="BL120" s="156"/>
      <c r="BM120" s="156"/>
      <c r="BN120" s="156"/>
      <c r="BO120" s="156"/>
      <c r="BP120" s="156"/>
      <c r="BQ120" s="156"/>
      <c r="BR120" s="156"/>
      <c r="BS120" s="156"/>
    </row>
    <row r="121" spans="2:71" ht="18.75" customHeight="1">
      <c r="B121" s="156"/>
      <c r="C121" s="156"/>
      <c r="D121" s="156"/>
      <c r="E121" s="156"/>
      <c r="F121" s="156"/>
      <c r="G121" s="156"/>
      <c r="H121" s="156"/>
      <c r="I121" s="156"/>
      <c r="J121" s="156"/>
      <c r="K121" s="156"/>
      <c r="L121" s="156"/>
      <c r="M121" s="156"/>
      <c r="N121" s="156"/>
      <c r="O121" s="156"/>
      <c r="P121" s="4843"/>
      <c r="Q121" s="4843"/>
      <c r="R121" s="4843"/>
      <c r="S121" s="4843"/>
      <c r="T121" s="4843"/>
      <c r="U121" s="4843"/>
      <c r="V121" s="4843"/>
      <c r="W121" s="4843"/>
      <c r="X121" s="4843"/>
      <c r="Y121" s="4843"/>
      <c r="Z121" s="4843"/>
      <c r="AA121" s="4843"/>
      <c r="AB121" s="4843"/>
      <c r="AC121" s="4843"/>
      <c r="AD121" s="4843"/>
      <c r="AE121" s="4843"/>
      <c r="AF121" s="4843"/>
      <c r="AG121" s="4843"/>
      <c r="AH121" s="4843"/>
      <c r="AI121" s="4843"/>
      <c r="AJ121" s="4843"/>
      <c r="AK121" s="4843"/>
      <c r="AL121" s="4843"/>
      <c r="AM121" s="4843"/>
      <c r="AN121" s="4843"/>
      <c r="AO121" s="4843"/>
      <c r="AP121" s="4843"/>
      <c r="AQ121" s="4843"/>
      <c r="AR121" s="4843"/>
      <c r="AS121" s="4843"/>
      <c r="AT121" s="4843"/>
      <c r="AU121" s="4843"/>
      <c r="AV121" s="4843"/>
      <c r="AW121" s="4843"/>
      <c r="AX121" s="4843"/>
      <c r="AY121" s="4843"/>
      <c r="AZ121" s="4843"/>
      <c r="BA121" s="4843"/>
      <c r="BB121" s="4843"/>
      <c r="BC121" s="4843"/>
      <c r="BD121" s="4843"/>
      <c r="BE121" s="4843"/>
      <c r="BF121" s="4843"/>
      <c r="BG121" s="4843"/>
      <c r="BH121" s="4843"/>
      <c r="BI121" s="4843"/>
      <c r="BJ121" s="4843"/>
      <c r="BK121" s="156"/>
      <c r="BL121" s="156"/>
      <c r="BM121" s="156"/>
      <c r="BN121" s="156"/>
      <c r="BO121" s="156"/>
      <c r="BP121" s="156"/>
      <c r="BQ121" s="156"/>
      <c r="BR121" s="156"/>
      <c r="BS121" s="156"/>
    </row>
    <row r="122" spans="2:71" ht="18.75" customHeight="1">
      <c r="B122" s="156"/>
      <c r="C122" s="156"/>
      <c r="D122" s="156"/>
      <c r="E122" s="156"/>
      <c r="F122" s="156"/>
      <c r="G122" s="156"/>
      <c r="H122" s="156"/>
      <c r="I122" s="156"/>
      <c r="J122" s="156"/>
      <c r="K122" s="156"/>
      <c r="L122" s="156"/>
      <c r="M122" s="156"/>
      <c r="N122" s="156"/>
      <c r="O122" s="156"/>
      <c r="P122" s="4843"/>
      <c r="Q122" s="4843"/>
      <c r="R122" s="4843"/>
      <c r="S122" s="4843"/>
      <c r="T122" s="4843"/>
      <c r="U122" s="4843"/>
      <c r="V122" s="4843"/>
      <c r="W122" s="4843"/>
      <c r="X122" s="4843"/>
      <c r="Y122" s="4843"/>
      <c r="Z122" s="4843"/>
      <c r="AA122" s="4843"/>
      <c r="AB122" s="4843"/>
      <c r="AC122" s="4843"/>
      <c r="AD122" s="4843"/>
      <c r="AE122" s="4843"/>
      <c r="AF122" s="4843"/>
      <c r="AG122" s="4843"/>
      <c r="AH122" s="4843"/>
      <c r="AI122" s="4843"/>
      <c r="AJ122" s="4843"/>
      <c r="AK122" s="4843"/>
      <c r="AL122" s="4843"/>
      <c r="AM122" s="4843"/>
      <c r="AN122" s="4843"/>
      <c r="AO122" s="4843"/>
      <c r="AP122" s="4843"/>
      <c r="AQ122" s="4843"/>
      <c r="AR122" s="4843"/>
      <c r="AS122" s="4843"/>
      <c r="AT122" s="4843"/>
      <c r="AU122" s="4843"/>
      <c r="AV122" s="4843"/>
      <c r="AW122" s="4843"/>
      <c r="AX122" s="4843"/>
      <c r="AY122" s="4843"/>
      <c r="AZ122" s="4843"/>
      <c r="BA122" s="4843"/>
      <c r="BB122" s="4843"/>
      <c r="BC122" s="4843"/>
      <c r="BD122" s="4843"/>
      <c r="BE122" s="4843"/>
      <c r="BF122" s="4843"/>
      <c r="BG122" s="4843"/>
      <c r="BH122" s="4843"/>
      <c r="BI122" s="4843"/>
      <c r="BJ122" s="4843"/>
      <c r="BK122" s="156"/>
      <c r="BL122" s="156"/>
      <c r="BM122" s="156"/>
      <c r="BN122" s="156"/>
      <c r="BO122" s="156"/>
      <c r="BP122" s="156"/>
      <c r="BQ122" s="156"/>
      <c r="BR122" s="156"/>
      <c r="BS122" s="156"/>
    </row>
    <row r="123" spans="2:71" ht="18.75" customHeight="1">
      <c r="B123" s="156"/>
      <c r="C123" s="156"/>
      <c r="D123" s="156"/>
      <c r="E123" s="156"/>
      <c r="F123" s="156"/>
      <c r="G123" s="156"/>
      <c r="H123" s="156"/>
      <c r="I123" s="156"/>
      <c r="J123" s="156"/>
      <c r="K123" s="156"/>
      <c r="L123" s="156"/>
      <c r="M123" s="156"/>
      <c r="N123" s="156"/>
      <c r="O123" s="156"/>
      <c r="P123" s="4843"/>
      <c r="Q123" s="4843"/>
      <c r="R123" s="4843"/>
      <c r="S123" s="4843"/>
      <c r="T123" s="4843"/>
      <c r="U123" s="4843"/>
      <c r="V123" s="4843"/>
      <c r="W123" s="4843"/>
      <c r="X123" s="4843"/>
      <c r="Y123" s="4843"/>
      <c r="Z123" s="4843"/>
      <c r="AA123" s="4843"/>
      <c r="AB123" s="4843"/>
      <c r="AC123" s="4843"/>
      <c r="AD123" s="4843"/>
      <c r="AE123" s="4843"/>
      <c r="AF123" s="4843"/>
      <c r="AG123" s="4843"/>
      <c r="AH123" s="4843"/>
      <c r="AI123" s="4843"/>
      <c r="AJ123" s="4843"/>
      <c r="AK123" s="4843"/>
      <c r="AL123" s="4843"/>
      <c r="AM123" s="4843"/>
      <c r="AN123" s="4843"/>
      <c r="AO123" s="4843"/>
      <c r="AP123" s="4843"/>
      <c r="AQ123" s="4843"/>
      <c r="AR123" s="4843"/>
      <c r="AS123" s="4843"/>
      <c r="AT123" s="4843"/>
      <c r="AU123" s="4843"/>
      <c r="AV123" s="4843"/>
      <c r="AW123" s="4843"/>
      <c r="AX123" s="4843"/>
      <c r="AY123" s="4843"/>
      <c r="AZ123" s="4843"/>
      <c r="BA123" s="4843"/>
      <c r="BB123" s="4843"/>
      <c r="BC123" s="4843"/>
      <c r="BD123" s="4843"/>
      <c r="BE123" s="4843"/>
      <c r="BF123" s="4843"/>
      <c r="BG123" s="4843"/>
      <c r="BH123" s="4843"/>
      <c r="BI123" s="4843"/>
      <c r="BJ123" s="4843"/>
      <c r="BK123" s="156"/>
      <c r="BL123" s="156"/>
      <c r="BM123" s="156"/>
      <c r="BN123" s="156"/>
      <c r="BO123" s="156"/>
      <c r="BP123" s="156"/>
      <c r="BQ123" s="156"/>
      <c r="BR123" s="156"/>
      <c r="BS123" s="156"/>
    </row>
    <row r="124" spans="2:71" ht="18.75" customHeight="1">
      <c r="B124" s="156"/>
      <c r="C124" s="156"/>
      <c r="D124" s="156"/>
      <c r="E124" s="156"/>
      <c r="F124" s="156"/>
      <c r="G124" s="156"/>
      <c r="H124" s="156"/>
      <c r="I124" s="156"/>
      <c r="J124" s="156"/>
      <c r="K124" s="156"/>
      <c r="L124" s="156"/>
      <c r="M124" s="156"/>
      <c r="N124" s="156"/>
      <c r="O124" s="156"/>
      <c r="P124" s="4843"/>
      <c r="Q124" s="4843"/>
      <c r="R124" s="4843"/>
      <c r="S124" s="4843"/>
      <c r="T124" s="4843"/>
      <c r="U124" s="4843"/>
      <c r="V124" s="4843"/>
      <c r="W124" s="4843"/>
      <c r="X124" s="4843"/>
      <c r="Y124" s="4843"/>
      <c r="Z124" s="4843"/>
      <c r="AA124" s="4843"/>
      <c r="AB124" s="4843"/>
      <c r="AC124" s="4843"/>
      <c r="AD124" s="4843"/>
      <c r="AE124" s="4843"/>
      <c r="AF124" s="4843"/>
      <c r="AG124" s="4843"/>
      <c r="AH124" s="4843"/>
      <c r="AI124" s="4843"/>
      <c r="AJ124" s="4843"/>
      <c r="AK124" s="4843"/>
      <c r="AL124" s="4843"/>
      <c r="AM124" s="4843"/>
      <c r="AN124" s="4843"/>
      <c r="AO124" s="4843"/>
      <c r="AP124" s="4843"/>
      <c r="AQ124" s="4843"/>
      <c r="AR124" s="4843"/>
      <c r="AS124" s="4843"/>
      <c r="AT124" s="4843"/>
      <c r="AU124" s="4843"/>
      <c r="AV124" s="4843"/>
      <c r="AW124" s="4843"/>
      <c r="AX124" s="4843"/>
      <c r="AY124" s="4843"/>
      <c r="AZ124" s="4843"/>
      <c r="BA124" s="4843"/>
      <c r="BB124" s="4843"/>
      <c r="BC124" s="4843"/>
      <c r="BD124" s="4843"/>
      <c r="BE124" s="4843"/>
      <c r="BF124" s="4843"/>
      <c r="BG124" s="4843"/>
      <c r="BH124" s="4843"/>
      <c r="BI124" s="4843"/>
      <c r="BJ124" s="4843"/>
      <c r="BK124" s="156"/>
      <c r="BL124" s="156"/>
      <c r="BM124" s="156"/>
      <c r="BN124" s="156"/>
      <c r="BO124" s="156"/>
      <c r="BP124" s="156"/>
      <c r="BQ124" s="156"/>
      <c r="BR124" s="156"/>
      <c r="BS124" s="156"/>
    </row>
    <row r="125" spans="2:71" ht="18.75" customHeight="1">
      <c r="B125" s="156"/>
      <c r="C125" s="156"/>
      <c r="D125" s="156"/>
      <c r="E125" s="156"/>
      <c r="F125" s="156"/>
      <c r="G125" s="156"/>
      <c r="H125" s="156"/>
      <c r="I125" s="156"/>
      <c r="J125" s="156"/>
      <c r="K125" s="156"/>
      <c r="L125" s="156"/>
      <c r="M125" s="156"/>
      <c r="N125" s="156"/>
      <c r="O125" s="156"/>
      <c r="P125" s="4843"/>
      <c r="Q125" s="4843"/>
      <c r="R125" s="4843"/>
      <c r="S125" s="4843"/>
      <c r="T125" s="4843"/>
      <c r="U125" s="4843"/>
      <c r="V125" s="4843"/>
      <c r="W125" s="4843"/>
      <c r="X125" s="4843"/>
      <c r="Y125" s="4843"/>
      <c r="Z125" s="4843"/>
      <c r="AA125" s="4843"/>
      <c r="AB125" s="4843"/>
      <c r="AC125" s="4843"/>
      <c r="AD125" s="4843"/>
      <c r="AE125" s="4843"/>
      <c r="AF125" s="4843"/>
      <c r="AG125" s="4843"/>
      <c r="AH125" s="4843"/>
      <c r="AI125" s="4843"/>
      <c r="AJ125" s="4843"/>
      <c r="AK125" s="4843"/>
      <c r="AL125" s="4843"/>
      <c r="AM125" s="4843"/>
      <c r="AN125" s="4843"/>
      <c r="AO125" s="4843"/>
      <c r="AP125" s="4843"/>
      <c r="AQ125" s="4843"/>
      <c r="AR125" s="4843"/>
      <c r="AS125" s="4843"/>
      <c r="AT125" s="4843"/>
      <c r="AU125" s="4843"/>
      <c r="AV125" s="4843"/>
      <c r="AW125" s="4843"/>
      <c r="AX125" s="4843"/>
      <c r="AY125" s="4843"/>
      <c r="AZ125" s="4843"/>
      <c r="BA125" s="4843"/>
      <c r="BB125" s="4843"/>
      <c r="BC125" s="4843"/>
      <c r="BD125" s="4843"/>
      <c r="BE125" s="4843"/>
      <c r="BF125" s="4843"/>
      <c r="BG125" s="4843"/>
      <c r="BH125" s="4843"/>
      <c r="BI125" s="4843"/>
      <c r="BJ125" s="4843"/>
      <c r="BK125" s="156"/>
      <c r="BL125" s="156"/>
      <c r="BM125" s="156"/>
      <c r="BN125" s="156"/>
      <c r="BO125" s="156"/>
      <c r="BP125" s="156"/>
      <c r="BQ125" s="156"/>
      <c r="BR125" s="156"/>
      <c r="BS125" s="156"/>
    </row>
    <row r="126" spans="2:71" ht="18.75" customHeight="1">
      <c r="B126" s="156"/>
      <c r="C126" s="156"/>
      <c r="D126" s="156"/>
      <c r="E126" s="156"/>
      <c r="F126" s="156"/>
      <c r="G126" s="156"/>
      <c r="H126" s="156"/>
      <c r="I126" s="156"/>
      <c r="J126" s="156"/>
      <c r="K126" s="156"/>
      <c r="L126" s="156"/>
      <c r="M126" s="156"/>
      <c r="N126" s="156"/>
      <c r="O126" s="156"/>
      <c r="P126" s="4843"/>
      <c r="Q126" s="4843"/>
      <c r="R126" s="4843"/>
      <c r="S126" s="4843"/>
      <c r="T126" s="4843"/>
      <c r="U126" s="4843"/>
      <c r="V126" s="4843"/>
      <c r="W126" s="4843"/>
      <c r="X126" s="4843"/>
      <c r="Y126" s="4843"/>
      <c r="Z126" s="4843"/>
      <c r="AA126" s="4843"/>
      <c r="AB126" s="4843"/>
      <c r="AC126" s="4843"/>
      <c r="AD126" s="4843"/>
      <c r="AE126" s="4843"/>
      <c r="AF126" s="4843"/>
      <c r="AG126" s="4843"/>
      <c r="AH126" s="4843"/>
      <c r="AI126" s="4843"/>
      <c r="AJ126" s="4843"/>
      <c r="AK126" s="4843"/>
      <c r="AL126" s="4843"/>
      <c r="AM126" s="4843"/>
      <c r="AN126" s="4843"/>
      <c r="AO126" s="4843"/>
      <c r="AP126" s="4843"/>
      <c r="AQ126" s="4843"/>
      <c r="AR126" s="4843"/>
      <c r="AS126" s="4843"/>
      <c r="AT126" s="4843"/>
      <c r="AU126" s="4843"/>
      <c r="AV126" s="4843"/>
      <c r="AW126" s="4843"/>
      <c r="AX126" s="4843"/>
      <c r="AY126" s="4843"/>
      <c r="AZ126" s="4843"/>
      <c r="BA126" s="4843"/>
      <c r="BB126" s="4843"/>
      <c r="BC126" s="4843"/>
      <c r="BD126" s="4843"/>
      <c r="BE126" s="4843"/>
      <c r="BF126" s="4843"/>
      <c r="BG126" s="4843"/>
      <c r="BH126" s="4843"/>
      <c r="BI126" s="4843"/>
      <c r="BJ126" s="4843"/>
      <c r="BK126" s="156"/>
      <c r="BL126" s="156"/>
      <c r="BM126" s="156"/>
      <c r="BN126" s="156"/>
      <c r="BO126" s="156"/>
      <c r="BP126" s="156"/>
      <c r="BQ126" s="156"/>
      <c r="BR126" s="156"/>
      <c r="BS126" s="156"/>
    </row>
    <row r="127" spans="2:71" ht="18.75" customHeight="1">
      <c r="B127" s="156"/>
      <c r="C127" s="156"/>
      <c r="D127" s="156"/>
      <c r="E127" s="156"/>
      <c r="F127" s="156"/>
      <c r="G127" s="156"/>
      <c r="H127" s="156"/>
      <c r="I127" s="156"/>
      <c r="J127" s="156"/>
      <c r="K127" s="156"/>
      <c r="L127" s="156"/>
      <c r="M127" s="156"/>
      <c r="N127" s="156"/>
      <c r="O127" s="156"/>
      <c r="P127" s="4843"/>
      <c r="Q127" s="4843"/>
      <c r="R127" s="4843"/>
      <c r="S127" s="4843"/>
      <c r="T127" s="4843"/>
      <c r="U127" s="4843"/>
      <c r="V127" s="4843"/>
      <c r="W127" s="4843"/>
      <c r="X127" s="4843"/>
      <c r="Y127" s="4843"/>
      <c r="Z127" s="4843"/>
      <c r="AA127" s="4843"/>
      <c r="AB127" s="4843"/>
      <c r="AC127" s="4843"/>
      <c r="AD127" s="4843"/>
      <c r="AE127" s="4843"/>
      <c r="AF127" s="4843"/>
      <c r="AG127" s="4843"/>
      <c r="AH127" s="4843"/>
      <c r="AI127" s="4843"/>
      <c r="AJ127" s="4843"/>
      <c r="AK127" s="4843"/>
      <c r="AL127" s="4843"/>
      <c r="AM127" s="4843"/>
      <c r="AN127" s="4843"/>
      <c r="AO127" s="4843"/>
      <c r="AP127" s="4843"/>
      <c r="AQ127" s="4843"/>
      <c r="AR127" s="4843"/>
      <c r="AS127" s="4843"/>
      <c r="AT127" s="4843"/>
      <c r="AU127" s="4843"/>
      <c r="AV127" s="4843"/>
      <c r="AW127" s="4843"/>
      <c r="AX127" s="4843"/>
      <c r="AY127" s="4843"/>
      <c r="AZ127" s="4843"/>
      <c r="BA127" s="4843"/>
      <c r="BB127" s="4843"/>
      <c r="BC127" s="4843"/>
      <c r="BD127" s="4843"/>
      <c r="BE127" s="4843"/>
      <c r="BF127" s="4843"/>
      <c r="BG127" s="4843"/>
      <c r="BH127" s="4843"/>
      <c r="BI127" s="4843"/>
      <c r="BJ127" s="4843"/>
      <c r="BK127" s="156"/>
      <c r="BL127" s="156"/>
      <c r="BM127" s="156"/>
      <c r="BN127" s="156"/>
      <c r="BO127" s="156"/>
      <c r="BP127" s="156"/>
      <c r="BQ127" s="156"/>
      <c r="BR127" s="156"/>
      <c r="BS127" s="156"/>
    </row>
    <row r="128" spans="2:71" ht="18.75" customHeight="1">
      <c r="B128" s="156"/>
      <c r="C128" s="156"/>
      <c r="D128" s="156"/>
      <c r="E128" s="156"/>
      <c r="F128" s="156"/>
      <c r="G128" s="156"/>
      <c r="H128" s="156"/>
      <c r="I128" s="156"/>
      <c r="J128" s="156"/>
      <c r="K128" s="156"/>
      <c r="L128" s="156"/>
      <c r="M128" s="156"/>
      <c r="N128" s="156"/>
      <c r="O128" s="156"/>
      <c r="P128" s="4843"/>
      <c r="Q128" s="4843"/>
      <c r="R128" s="4843"/>
      <c r="S128" s="4843"/>
      <c r="T128" s="4843"/>
      <c r="U128" s="4843"/>
      <c r="V128" s="4843"/>
      <c r="W128" s="4843"/>
      <c r="X128" s="4843"/>
      <c r="Y128" s="4843"/>
      <c r="Z128" s="4843"/>
      <c r="AA128" s="4843"/>
      <c r="AB128" s="4843"/>
      <c r="AC128" s="4843"/>
      <c r="AD128" s="4843"/>
      <c r="AE128" s="4843"/>
      <c r="AF128" s="4843"/>
      <c r="AG128" s="4843"/>
      <c r="AH128" s="4843"/>
      <c r="AI128" s="4843"/>
      <c r="AJ128" s="4843"/>
      <c r="AK128" s="4843"/>
      <c r="AL128" s="4843"/>
      <c r="AM128" s="4843"/>
      <c r="AN128" s="4843"/>
      <c r="AO128" s="4843"/>
      <c r="AP128" s="4843"/>
      <c r="AQ128" s="4843"/>
      <c r="AR128" s="4843"/>
      <c r="AS128" s="4843"/>
      <c r="AT128" s="4843"/>
      <c r="AU128" s="4843"/>
      <c r="AV128" s="4843"/>
      <c r="AW128" s="4843"/>
      <c r="AX128" s="4843"/>
      <c r="AY128" s="4843"/>
      <c r="AZ128" s="4843"/>
      <c r="BA128" s="4843"/>
      <c r="BB128" s="4843"/>
      <c r="BC128" s="4843"/>
      <c r="BD128" s="4843"/>
      <c r="BE128" s="4843"/>
      <c r="BF128" s="4843"/>
      <c r="BG128" s="4843"/>
      <c r="BH128" s="4843"/>
      <c r="BI128" s="4843"/>
      <c r="BJ128" s="4843"/>
      <c r="BK128" s="156"/>
      <c r="BL128" s="156"/>
      <c r="BM128" s="156"/>
      <c r="BN128" s="156"/>
      <c r="BO128" s="156"/>
      <c r="BP128" s="156"/>
      <c r="BQ128" s="156"/>
      <c r="BR128" s="156"/>
      <c r="BS128" s="156"/>
    </row>
    <row r="129" spans="2:71" ht="18.75" customHeight="1">
      <c r="B129" s="156"/>
      <c r="C129" s="156"/>
      <c r="D129" s="156"/>
      <c r="E129" s="156"/>
      <c r="F129" s="156"/>
      <c r="G129" s="156"/>
      <c r="H129" s="156"/>
      <c r="I129" s="156"/>
      <c r="J129" s="156"/>
      <c r="K129" s="156"/>
      <c r="L129" s="156"/>
      <c r="M129" s="156"/>
      <c r="N129" s="156"/>
      <c r="O129" s="156"/>
      <c r="P129" s="4843"/>
      <c r="Q129" s="4843"/>
      <c r="R129" s="4843"/>
      <c r="S129" s="4843"/>
      <c r="T129" s="4843"/>
      <c r="U129" s="4843"/>
      <c r="V129" s="4843"/>
      <c r="W129" s="4843"/>
      <c r="X129" s="4843"/>
      <c r="Y129" s="4843"/>
      <c r="Z129" s="4843"/>
      <c r="AA129" s="4843"/>
      <c r="AB129" s="4843"/>
      <c r="AC129" s="4843"/>
      <c r="AD129" s="4843"/>
      <c r="AE129" s="4843"/>
      <c r="AF129" s="4843"/>
      <c r="AG129" s="4843"/>
      <c r="AH129" s="4843"/>
      <c r="AI129" s="4843"/>
      <c r="AJ129" s="4843"/>
      <c r="AK129" s="4843"/>
      <c r="AL129" s="4843"/>
      <c r="AM129" s="4843"/>
      <c r="AN129" s="4843"/>
      <c r="AO129" s="4843"/>
      <c r="AP129" s="4843"/>
      <c r="AQ129" s="4843"/>
      <c r="AR129" s="4843"/>
      <c r="AS129" s="4843"/>
      <c r="AT129" s="4843"/>
      <c r="AU129" s="4843"/>
      <c r="AV129" s="4843"/>
      <c r="AW129" s="4843"/>
      <c r="AX129" s="4843"/>
      <c r="AY129" s="4843"/>
      <c r="AZ129" s="4843"/>
      <c r="BA129" s="4843"/>
      <c r="BB129" s="4843"/>
      <c r="BC129" s="4843"/>
      <c r="BD129" s="4843"/>
      <c r="BE129" s="4843"/>
      <c r="BF129" s="4843"/>
      <c r="BG129" s="4843"/>
      <c r="BH129" s="4843"/>
      <c r="BI129" s="4843"/>
      <c r="BJ129" s="4843"/>
      <c r="BK129" s="156"/>
      <c r="BL129" s="156"/>
      <c r="BM129" s="156"/>
      <c r="BN129" s="156"/>
      <c r="BO129" s="156"/>
      <c r="BP129" s="156"/>
      <c r="BQ129" s="156"/>
      <c r="BR129" s="156"/>
      <c r="BS129" s="156"/>
    </row>
    <row r="130" spans="2:71" ht="18.75" customHeight="1">
      <c r="B130" s="156"/>
      <c r="C130" s="156"/>
      <c r="D130" s="156"/>
      <c r="E130" s="156"/>
      <c r="F130" s="156"/>
      <c r="G130" s="156"/>
      <c r="H130" s="156"/>
      <c r="I130" s="156"/>
      <c r="J130" s="156"/>
      <c r="K130" s="156"/>
      <c r="L130" s="156"/>
      <c r="M130" s="156"/>
      <c r="N130" s="156"/>
      <c r="O130" s="156"/>
      <c r="P130" s="4843"/>
      <c r="Q130" s="4843"/>
      <c r="R130" s="4843"/>
      <c r="S130" s="4843"/>
      <c r="T130" s="4843"/>
      <c r="U130" s="4843"/>
      <c r="V130" s="4843"/>
      <c r="W130" s="4843"/>
      <c r="X130" s="4843"/>
      <c r="Y130" s="4843"/>
      <c r="Z130" s="4843"/>
      <c r="AA130" s="4843"/>
      <c r="AB130" s="4843"/>
      <c r="AC130" s="4843"/>
      <c r="AD130" s="4843"/>
      <c r="AE130" s="4843"/>
      <c r="AF130" s="4843"/>
      <c r="AG130" s="4843"/>
      <c r="AH130" s="4843"/>
      <c r="AI130" s="4843"/>
      <c r="AJ130" s="4843"/>
      <c r="AK130" s="4843"/>
      <c r="AL130" s="4843"/>
      <c r="AM130" s="4843"/>
      <c r="AN130" s="4843"/>
      <c r="AO130" s="4843"/>
      <c r="AP130" s="4843"/>
      <c r="AQ130" s="4843"/>
      <c r="AR130" s="4843"/>
      <c r="AS130" s="4843"/>
      <c r="AT130" s="4843"/>
      <c r="AU130" s="4843"/>
      <c r="AV130" s="4843"/>
      <c r="AW130" s="4843"/>
      <c r="AX130" s="4843"/>
      <c r="AY130" s="4843"/>
      <c r="AZ130" s="4843"/>
      <c r="BA130" s="4843"/>
      <c r="BB130" s="4843"/>
      <c r="BC130" s="4843"/>
      <c r="BD130" s="4843"/>
      <c r="BE130" s="4843"/>
      <c r="BF130" s="4843"/>
      <c r="BG130" s="4843"/>
      <c r="BH130" s="4843"/>
      <c r="BI130" s="4843"/>
      <c r="BJ130" s="4843"/>
      <c r="BK130" s="156"/>
      <c r="BL130" s="156"/>
      <c r="BM130" s="156"/>
      <c r="BN130" s="156"/>
      <c r="BO130" s="156"/>
      <c r="BP130" s="156"/>
      <c r="BQ130" s="156"/>
      <c r="BR130" s="156"/>
      <c r="BS130" s="156"/>
    </row>
    <row r="131" spans="2:71" ht="18.75" customHeight="1">
      <c r="B131" s="156"/>
      <c r="C131" s="156"/>
      <c r="D131" s="156"/>
      <c r="E131" s="156"/>
      <c r="F131" s="156"/>
      <c r="G131" s="156"/>
      <c r="H131" s="156"/>
      <c r="I131" s="156"/>
      <c r="J131" s="156"/>
      <c r="K131" s="156"/>
      <c r="L131" s="156"/>
      <c r="M131" s="156"/>
      <c r="N131" s="156"/>
      <c r="O131" s="156"/>
      <c r="P131" s="4843"/>
      <c r="Q131" s="4843"/>
      <c r="R131" s="4843"/>
      <c r="S131" s="4843"/>
      <c r="T131" s="4843"/>
      <c r="U131" s="4843"/>
      <c r="V131" s="4843"/>
      <c r="W131" s="4843"/>
      <c r="X131" s="4843"/>
      <c r="Y131" s="4843"/>
      <c r="Z131" s="4843"/>
      <c r="AA131" s="4843"/>
      <c r="AB131" s="4843"/>
      <c r="AC131" s="4843"/>
      <c r="AD131" s="4843"/>
      <c r="AE131" s="4843"/>
      <c r="AF131" s="4843"/>
      <c r="AG131" s="4843"/>
      <c r="AH131" s="4843"/>
      <c r="AI131" s="4843"/>
      <c r="AJ131" s="4843"/>
      <c r="AK131" s="4843"/>
      <c r="AL131" s="4843"/>
      <c r="AM131" s="4843"/>
      <c r="AN131" s="4843"/>
      <c r="AO131" s="4843"/>
      <c r="AP131" s="4843"/>
      <c r="AQ131" s="4843"/>
      <c r="AR131" s="4843"/>
      <c r="AS131" s="4843"/>
      <c r="AT131" s="4843"/>
      <c r="AU131" s="4843"/>
      <c r="AV131" s="4843"/>
      <c r="AW131" s="4843"/>
      <c r="AX131" s="4843"/>
      <c r="AY131" s="4843"/>
      <c r="AZ131" s="4843"/>
      <c r="BA131" s="4843"/>
      <c r="BB131" s="4843"/>
      <c r="BC131" s="4843"/>
      <c r="BD131" s="4843"/>
      <c r="BE131" s="4843"/>
      <c r="BF131" s="4843"/>
      <c r="BG131" s="4843"/>
      <c r="BH131" s="4843"/>
      <c r="BI131" s="4843"/>
      <c r="BJ131" s="4843"/>
      <c r="BK131" s="156"/>
      <c r="BL131" s="156"/>
      <c r="BM131" s="156"/>
      <c r="BN131" s="156"/>
      <c r="BO131" s="156"/>
      <c r="BP131" s="156"/>
      <c r="BQ131" s="156"/>
      <c r="BR131" s="156"/>
      <c r="BS131" s="156"/>
    </row>
    <row r="132" spans="2:71" ht="18.75" customHeight="1">
      <c r="B132" s="156"/>
      <c r="C132" s="156"/>
      <c r="D132" s="156"/>
      <c r="E132" s="156"/>
      <c r="F132" s="156"/>
      <c r="G132" s="156"/>
      <c r="H132" s="156"/>
      <c r="I132" s="156"/>
      <c r="J132" s="156"/>
      <c r="K132" s="156"/>
      <c r="L132" s="156"/>
      <c r="M132" s="156"/>
      <c r="N132" s="156"/>
      <c r="O132" s="156"/>
      <c r="P132" s="4843"/>
      <c r="Q132" s="4843"/>
      <c r="R132" s="4843"/>
      <c r="S132" s="4843"/>
      <c r="T132" s="4843"/>
      <c r="U132" s="4843"/>
      <c r="V132" s="4843"/>
      <c r="W132" s="4843"/>
      <c r="X132" s="4843"/>
      <c r="Y132" s="4843"/>
      <c r="Z132" s="4843"/>
      <c r="AA132" s="4843"/>
      <c r="AB132" s="4843"/>
      <c r="AC132" s="4843"/>
      <c r="AD132" s="4843"/>
      <c r="AE132" s="4843"/>
      <c r="AF132" s="4843"/>
      <c r="AG132" s="4843"/>
      <c r="AH132" s="4843"/>
      <c r="AI132" s="4843"/>
      <c r="AJ132" s="4843"/>
      <c r="AK132" s="4843"/>
      <c r="AL132" s="4843"/>
      <c r="AM132" s="4843"/>
      <c r="AN132" s="4843"/>
      <c r="AO132" s="4843"/>
      <c r="AP132" s="4843"/>
      <c r="AQ132" s="4843"/>
      <c r="AR132" s="4843"/>
      <c r="AS132" s="4843"/>
      <c r="AT132" s="4843"/>
      <c r="AU132" s="4843"/>
      <c r="AV132" s="4843"/>
      <c r="AW132" s="4843"/>
      <c r="AX132" s="4843"/>
      <c r="AY132" s="4843"/>
      <c r="AZ132" s="4843"/>
      <c r="BA132" s="4843"/>
      <c r="BB132" s="4843"/>
      <c r="BC132" s="4843"/>
      <c r="BD132" s="4843"/>
      <c r="BE132" s="4843"/>
      <c r="BF132" s="4843"/>
      <c r="BG132" s="4843"/>
      <c r="BH132" s="4843"/>
      <c r="BI132" s="4843"/>
      <c r="BJ132" s="4843"/>
      <c r="BK132" s="156"/>
      <c r="BL132" s="156"/>
      <c r="BM132" s="156"/>
      <c r="BN132" s="156"/>
      <c r="BO132" s="156"/>
      <c r="BP132" s="156"/>
      <c r="BQ132" s="156"/>
      <c r="BR132" s="156"/>
      <c r="BS132" s="156"/>
    </row>
    <row r="133" spans="2:71" ht="18.75" customHeight="1">
      <c r="B133" s="156"/>
      <c r="C133" s="156"/>
      <c r="D133" s="156"/>
      <c r="E133" s="156"/>
      <c r="F133" s="156"/>
      <c r="G133" s="156"/>
      <c r="H133" s="156"/>
      <c r="I133" s="156"/>
      <c r="J133" s="156"/>
      <c r="K133" s="156"/>
      <c r="L133" s="156"/>
      <c r="M133" s="156"/>
      <c r="N133" s="156"/>
      <c r="O133" s="156"/>
      <c r="P133" s="4843"/>
      <c r="Q133" s="4843"/>
      <c r="R133" s="4843"/>
      <c r="S133" s="4843"/>
      <c r="T133" s="4843"/>
      <c r="U133" s="4843"/>
      <c r="V133" s="4843"/>
      <c r="W133" s="4843"/>
      <c r="X133" s="4843"/>
      <c r="Y133" s="4843"/>
      <c r="Z133" s="4843"/>
      <c r="AA133" s="4843"/>
      <c r="AB133" s="4843"/>
      <c r="AC133" s="4843"/>
      <c r="AD133" s="4843"/>
      <c r="AE133" s="4843"/>
      <c r="AF133" s="4843"/>
      <c r="AG133" s="4843"/>
      <c r="AH133" s="4843"/>
      <c r="AI133" s="4843"/>
      <c r="AJ133" s="4843"/>
      <c r="AK133" s="4843"/>
      <c r="AL133" s="4843"/>
      <c r="AM133" s="4843"/>
      <c r="AN133" s="4843"/>
      <c r="AO133" s="4843"/>
      <c r="AP133" s="4843"/>
      <c r="AQ133" s="4843"/>
      <c r="AR133" s="4843"/>
      <c r="AS133" s="4843"/>
      <c r="AT133" s="4843"/>
      <c r="AU133" s="4843"/>
      <c r="AV133" s="4843"/>
      <c r="AW133" s="4843"/>
      <c r="AX133" s="4843"/>
      <c r="AY133" s="4843"/>
      <c r="AZ133" s="4843"/>
      <c r="BA133" s="4843"/>
      <c r="BB133" s="4843"/>
      <c r="BC133" s="4843"/>
      <c r="BD133" s="4843"/>
      <c r="BE133" s="4843"/>
      <c r="BF133" s="4843"/>
      <c r="BG133" s="4843"/>
      <c r="BH133" s="4843"/>
      <c r="BI133" s="4843"/>
      <c r="BJ133" s="4843"/>
      <c r="BK133" s="156"/>
      <c r="BL133" s="156"/>
      <c r="BM133" s="156"/>
      <c r="BN133" s="156"/>
      <c r="BO133" s="156"/>
      <c r="BP133" s="156"/>
      <c r="BQ133" s="156"/>
      <c r="BR133" s="156"/>
      <c r="BS133" s="156"/>
    </row>
    <row r="134" spans="2:71" ht="18.75" customHeight="1">
      <c r="B134" s="156"/>
      <c r="C134" s="156"/>
      <c r="D134" s="156"/>
      <c r="E134" s="156"/>
      <c r="F134" s="156"/>
      <c r="G134" s="156"/>
      <c r="H134" s="156"/>
      <c r="I134" s="156"/>
      <c r="J134" s="156"/>
      <c r="K134" s="156"/>
      <c r="L134" s="156"/>
      <c r="M134" s="156"/>
      <c r="N134" s="156"/>
      <c r="O134" s="156"/>
      <c r="P134" s="4843"/>
      <c r="Q134" s="4843"/>
      <c r="R134" s="4843"/>
      <c r="S134" s="4843"/>
      <c r="T134" s="4843"/>
      <c r="U134" s="4843"/>
      <c r="V134" s="4843"/>
      <c r="W134" s="4843"/>
      <c r="X134" s="4843"/>
      <c r="Y134" s="4843"/>
      <c r="Z134" s="4843"/>
      <c r="AA134" s="4843"/>
      <c r="AB134" s="4843"/>
      <c r="AC134" s="4843"/>
      <c r="AD134" s="4843"/>
      <c r="AE134" s="4843"/>
      <c r="AF134" s="4843"/>
      <c r="AG134" s="4843"/>
      <c r="AH134" s="4843"/>
      <c r="AI134" s="4843"/>
      <c r="AJ134" s="4843"/>
      <c r="AK134" s="4843"/>
      <c r="AL134" s="4843"/>
      <c r="AM134" s="4843"/>
      <c r="AN134" s="4843"/>
      <c r="AO134" s="4843"/>
      <c r="AP134" s="4843"/>
      <c r="AQ134" s="4843"/>
      <c r="AR134" s="4843"/>
      <c r="AS134" s="4843"/>
      <c r="AT134" s="4843"/>
      <c r="AU134" s="4843"/>
      <c r="AV134" s="4843"/>
      <c r="AW134" s="4843"/>
      <c r="AX134" s="4843"/>
      <c r="AY134" s="4843"/>
      <c r="AZ134" s="4843"/>
      <c r="BA134" s="4843"/>
      <c r="BB134" s="4843"/>
      <c r="BC134" s="4843"/>
      <c r="BD134" s="4843"/>
      <c r="BE134" s="4843"/>
      <c r="BF134" s="4843"/>
      <c r="BG134" s="4843"/>
      <c r="BH134" s="4843"/>
      <c r="BI134" s="4843"/>
      <c r="BJ134" s="4843"/>
      <c r="BK134" s="156"/>
      <c r="BL134" s="156"/>
      <c r="BM134" s="156"/>
      <c r="BN134" s="156"/>
      <c r="BO134" s="156"/>
      <c r="BP134" s="156"/>
      <c r="BQ134" s="156"/>
      <c r="BR134" s="156"/>
      <c r="BS134" s="156"/>
    </row>
    <row r="135" spans="2:71" ht="18.75" customHeight="1">
      <c r="B135" s="156"/>
      <c r="C135" s="156"/>
      <c r="D135" s="156"/>
      <c r="E135" s="156"/>
      <c r="F135" s="156"/>
      <c r="G135" s="156"/>
      <c r="H135" s="156"/>
      <c r="I135" s="156"/>
      <c r="J135" s="156"/>
      <c r="K135" s="156"/>
      <c r="L135" s="156"/>
      <c r="M135" s="156"/>
      <c r="N135" s="156"/>
      <c r="O135" s="156"/>
      <c r="P135" s="4843"/>
      <c r="Q135" s="4843"/>
      <c r="R135" s="4843"/>
      <c r="S135" s="4843"/>
      <c r="T135" s="4843"/>
      <c r="U135" s="4843"/>
      <c r="V135" s="4843"/>
      <c r="W135" s="4843"/>
      <c r="X135" s="4843"/>
      <c r="Y135" s="4843"/>
      <c r="Z135" s="4843"/>
      <c r="AA135" s="4843"/>
      <c r="AB135" s="4843"/>
      <c r="AC135" s="4843"/>
      <c r="AD135" s="4843"/>
      <c r="AE135" s="4843"/>
      <c r="AF135" s="4843"/>
      <c r="AG135" s="4843"/>
      <c r="AH135" s="4843"/>
      <c r="AI135" s="4843"/>
      <c r="AJ135" s="4843"/>
      <c r="AK135" s="4843"/>
      <c r="AL135" s="4843"/>
      <c r="AM135" s="4843"/>
      <c r="AN135" s="4843"/>
      <c r="AO135" s="4843"/>
      <c r="AP135" s="4843"/>
      <c r="AQ135" s="4843"/>
      <c r="AR135" s="4843"/>
      <c r="AS135" s="4843"/>
      <c r="AT135" s="4843"/>
      <c r="AU135" s="4843"/>
      <c r="AV135" s="4843"/>
      <c r="AW135" s="4843"/>
      <c r="AX135" s="4843"/>
      <c r="AY135" s="4843"/>
      <c r="AZ135" s="4843"/>
      <c r="BA135" s="4843"/>
      <c r="BB135" s="4843"/>
      <c r="BC135" s="4843"/>
      <c r="BD135" s="4843"/>
      <c r="BE135" s="4843"/>
      <c r="BF135" s="4843"/>
      <c r="BG135" s="4843"/>
      <c r="BH135" s="4843"/>
      <c r="BI135" s="4843"/>
      <c r="BJ135" s="4843"/>
      <c r="BK135" s="156"/>
      <c r="BL135" s="156"/>
      <c r="BM135" s="156"/>
      <c r="BN135" s="156"/>
      <c r="BO135" s="156"/>
      <c r="BP135" s="156"/>
      <c r="BQ135" s="156"/>
      <c r="BR135" s="156"/>
      <c r="BS135" s="156"/>
    </row>
    <row r="136" spans="2:71" ht="18.75" customHeight="1">
      <c r="B136" s="156"/>
      <c r="C136" s="156"/>
      <c r="D136" s="156"/>
      <c r="E136" s="156"/>
      <c r="F136" s="156"/>
      <c r="G136" s="156"/>
      <c r="H136" s="156"/>
      <c r="I136" s="156"/>
      <c r="J136" s="156"/>
      <c r="K136" s="156"/>
      <c r="L136" s="156"/>
      <c r="M136" s="156"/>
      <c r="N136" s="156"/>
      <c r="O136" s="156"/>
      <c r="P136" s="4843"/>
      <c r="Q136" s="4843"/>
      <c r="R136" s="4843"/>
      <c r="S136" s="4843"/>
      <c r="T136" s="4843"/>
      <c r="U136" s="4843"/>
      <c r="V136" s="4843"/>
      <c r="W136" s="4843"/>
      <c r="X136" s="4843"/>
      <c r="Y136" s="4843"/>
      <c r="Z136" s="4843"/>
      <c r="AA136" s="4843"/>
      <c r="AB136" s="4843"/>
      <c r="AC136" s="4843"/>
      <c r="AD136" s="4843"/>
      <c r="AE136" s="4843"/>
      <c r="AF136" s="4843"/>
      <c r="AG136" s="4843"/>
      <c r="AH136" s="4843"/>
      <c r="AI136" s="4843"/>
      <c r="AJ136" s="4843"/>
      <c r="AK136" s="4843"/>
      <c r="AL136" s="4843"/>
      <c r="AM136" s="4843"/>
      <c r="AN136" s="4843"/>
      <c r="AO136" s="4843"/>
      <c r="AP136" s="4843"/>
      <c r="AQ136" s="4843"/>
      <c r="AR136" s="4843"/>
      <c r="AS136" s="4843"/>
      <c r="AT136" s="4843"/>
      <c r="AU136" s="4843"/>
      <c r="AV136" s="4843"/>
      <c r="AW136" s="4843"/>
      <c r="AX136" s="4843"/>
      <c r="AY136" s="4843"/>
      <c r="AZ136" s="4843"/>
      <c r="BA136" s="4843"/>
      <c r="BB136" s="4843"/>
      <c r="BC136" s="4843"/>
      <c r="BD136" s="4843"/>
      <c r="BE136" s="4843"/>
      <c r="BF136" s="4843"/>
      <c r="BG136" s="4843"/>
      <c r="BH136" s="4843"/>
      <c r="BI136" s="4843"/>
      <c r="BJ136" s="4843"/>
      <c r="BK136" s="156"/>
      <c r="BL136" s="156"/>
      <c r="BM136" s="156"/>
      <c r="BN136" s="156"/>
      <c r="BO136" s="156"/>
      <c r="BP136" s="156"/>
      <c r="BQ136" s="156"/>
      <c r="BR136" s="156"/>
      <c r="BS136" s="156"/>
    </row>
    <row r="137" spans="2:71" ht="18.75" customHeight="1">
      <c r="B137" s="156"/>
      <c r="C137" s="156"/>
      <c r="D137" s="156"/>
      <c r="E137" s="156"/>
      <c r="F137" s="156"/>
      <c r="G137" s="156"/>
      <c r="H137" s="156"/>
      <c r="I137" s="156"/>
      <c r="J137" s="156"/>
      <c r="K137" s="156"/>
      <c r="L137" s="156"/>
      <c r="M137" s="156"/>
      <c r="N137" s="156"/>
      <c r="O137" s="156"/>
      <c r="P137" s="4843"/>
      <c r="Q137" s="4843"/>
      <c r="R137" s="4843"/>
      <c r="S137" s="4843"/>
      <c r="T137" s="4843"/>
      <c r="U137" s="4843"/>
      <c r="V137" s="4843"/>
      <c r="W137" s="4843"/>
      <c r="X137" s="4843"/>
      <c r="Y137" s="4843"/>
      <c r="Z137" s="4843"/>
      <c r="AA137" s="4843"/>
      <c r="AB137" s="4843"/>
      <c r="AC137" s="4843"/>
      <c r="AD137" s="4843"/>
      <c r="AE137" s="4843"/>
      <c r="AF137" s="4843"/>
      <c r="AG137" s="4843"/>
      <c r="AH137" s="4843"/>
      <c r="AI137" s="4843"/>
      <c r="AJ137" s="4843"/>
      <c r="AK137" s="4843"/>
      <c r="AL137" s="4843"/>
      <c r="AM137" s="4843"/>
      <c r="AN137" s="4843"/>
      <c r="AO137" s="4843"/>
      <c r="AP137" s="4843"/>
      <c r="AQ137" s="4843"/>
      <c r="AR137" s="4843"/>
      <c r="AS137" s="4843"/>
      <c r="AT137" s="4843"/>
      <c r="AU137" s="4843"/>
      <c r="AV137" s="4843"/>
      <c r="AW137" s="4843"/>
      <c r="AX137" s="4843"/>
      <c r="AY137" s="4843"/>
      <c r="AZ137" s="4843"/>
      <c r="BA137" s="4843"/>
      <c r="BB137" s="4843"/>
      <c r="BC137" s="4843"/>
      <c r="BD137" s="4843"/>
      <c r="BE137" s="4843"/>
      <c r="BF137" s="4843"/>
      <c r="BG137" s="4843"/>
      <c r="BH137" s="4843"/>
      <c r="BI137" s="4843"/>
      <c r="BJ137" s="4843"/>
      <c r="BK137" s="156"/>
      <c r="BL137" s="156"/>
      <c r="BM137" s="156"/>
      <c r="BN137" s="156"/>
      <c r="BO137" s="156"/>
      <c r="BP137" s="156"/>
      <c r="BQ137" s="156"/>
      <c r="BR137" s="156"/>
      <c r="BS137" s="156"/>
    </row>
    <row r="138" spans="2:71" ht="18.75" customHeight="1">
      <c r="B138" s="156"/>
      <c r="C138" s="156"/>
      <c r="D138" s="156"/>
      <c r="E138" s="156"/>
      <c r="F138" s="156"/>
      <c r="G138" s="156"/>
      <c r="H138" s="156"/>
      <c r="I138" s="156"/>
      <c r="J138" s="156"/>
      <c r="K138" s="156"/>
      <c r="L138" s="156"/>
      <c r="M138" s="156"/>
      <c r="N138" s="156"/>
      <c r="O138" s="156"/>
      <c r="P138" s="4843"/>
      <c r="Q138" s="4843"/>
      <c r="R138" s="4843"/>
      <c r="S138" s="4843"/>
      <c r="T138" s="4843"/>
      <c r="U138" s="4843"/>
      <c r="V138" s="4843"/>
      <c r="W138" s="4843"/>
      <c r="X138" s="4843"/>
      <c r="Y138" s="4843"/>
      <c r="Z138" s="4843"/>
      <c r="AA138" s="4843"/>
      <c r="AB138" s="4843"/>
      <c r="AC138" s="4843"/>
      <c r="AD138" s="4843"/>
      <c r="AE138" s="4843"/>
      <c r="AF138" s="4843"/>
      <c r="AG138" s="4843"/>
      <c r="AH138" s="4843"/>
      <c r="AI138" s="4843"/>
      <c r="AJ138" s="4843"/>
      <c r="AK138" s="4843"/>
      <c r="AL138" s="4843"/>
      <c r="AM138" s="4843"/>
      <c r="AN138" s="4843"/>
      <c r="AO138" s="4843"/>
      <c r="AP138" s="4843"/>
      <c r="AQ138" s="4843"/>
      <c r="AR138" s="4843"/>
      <c r="AS138" s="4843"/>
      <c r="AT138" s="4843"/>
      <c r="AU138" s="4843"/>
      <c r="AV138" s="4843"/>
      <c r="AW138" s="4843"/>
      <c r="AX138" s="4843"/>
      <c r="AY138" s="4843"/>
      <c r="AZ138" s="4843"/>
      <c r="BA138" s="4843"/>
      <c r="BB138" s="4843"/>
      <c r="BC138" s="4843"/>
      <c r="BD138" s="4843"/>
      <c r="BE138" s="4843"/>
      <c r="BF138" s="4843"/>
      <c r="BG138" s="4843"/>
      <c r="BH138" s="4843"/>
      <c r="BI138" s="4843"/>
      <c r="BJ138" s="4843"/>
      <c r="BK138" s="156"/>
      <c r="BL138" s="156"/>
      <c r="BM138" s="156"/>
      <c r="BN138" s="156"/>
      <c r="BO138" s="156"/>
      <c r="BP138" s="156"/>
      <c r="BQ138" s="156"/>
      <c r="BR138" s="156"/>
      <c r="BS138" s="156"/>
    </row>
    <row r="139" spans="2:71" ht="18.75" customHeight="1">
      <c r="B139" s="156"/>
      <c r="C139" s="156"/>
      <c r="D139" s="156"/>
      <c r="E139" s="156"/>
      <c r="F139" s="156"/>
      <c r="G139" s="156"/>
      <c r="H139" s="156"/>
      <c r="I139" s="156"/>
      <c r="J139" s="156"/>
      <c r="K139" s="156"/>
      <c r="L139" s="156"/>
      <c r="M139" s="156"/>
      <c r="N139" s="156"/>
      <c r="O139" s="156"/>
      <c r="P139" s="4843"/>
      <c r="Q139" s="4843"/>
      <c r="R139" s="4843"/>
      <c r="S139" s="4843"/>
      <c r="T139" s="4843"/>
      <c r="U139" s="4843"/>
      <c r="V139" s="4843"/>
      <c r="W139" s="4843"/>
      <c r="X139" s="4843"/>
      <c r="Y139" s="4843"/>
      <c r="Z139" s="4843"/>
      <c r="AA139" s="4843"/>
      <c r="AB139" s="4843"/>
      <c r="AC139" s="4843"/>
      <c r="AD139" s="4843"/>
      <c r="AE139" s="4843"/>
      <c r="AF139" s="4843"/>
      <c r="AG139" s="4843"/>
      <c r="AH139" s="4843"/>
      <c r="AI139" s="4843"/>
      <c r="AJ139" s="4843"/>
      <c r="AK139" s="4843"/>
      <c r="AL139" s="4843"/>
      <c r="AM139" s="4843"/>
      <c r="AN139" s="4843"/>
      <c r="AO139" s="4843"/>
      <c r="AP139" s="4843"/>
      <c r="AQ139" s="4843"/>
      <c r="AR139" s="4843"/>
      <c r="AS139" s="4843"/>
      <c r="AT139" s="4843"/>
      <c r="AU139" s="4843"/>
      <c r="AV139" s="4843"/>
      <c r="AW139" s="4843"/>
      <c r="AX139" s="4843"/>
      <c r="AY139" s="4843"/>
      <c r="AZ139" s="4843"/>
      <c r="BA139" s="4843"/>
      <c r="BB139" s="4843"/>
      <c r="BC139" s="4843"/>
      <c r="BD139" s="4843"/>
      <c r="BE139" s="4843"/>
      <c r="BF139" s="4843"/>
      <c r="BG139" s="4843"/>
      <c r="BH139" s="4843"/>
      <c r="BI139" s="4843"/>
      <c r="BJ139" s="4843"/>
      <c r="BK139" s="156"/>
      <c r="BL139" s="156"/>
      <c r="BM139" s="156"/>
      <c r="BN139" s="156"/>
      <c r="BO139" s="156"/>
      <c r="BP139" s="156"/>
      <c r="BQ139" s="156"/>
      <c r="BR139" s="156"/>
      <c r="BS139" s="156"/>
    </row>
    <row r="140" spans="2:71" ht="18.75" customHeight="1">
      <c r="B140" s="156"/>
      <c r="C140" s="156"/>
      <c r="D140" s="156"/>
      <c r="E140" s="156"/>
      <c r="F140" s="156"/>
      <c r="G140" s="156"/>
      <c r="H140" s="156"/>
      <c r="I140" s="156"/>
      <c r="J140" s="156"/>
      <c r="K140" s="156"/>
      <c r="L140" s="156"/>
      <c r="M140" s="156"/>
      <c r="N140" s="156"/>
      <c r="O140" s="156"/>
      <c r="P140" s="4843"/>
      <c r="Q140" s="4843"/>
      <c r="R140" s="4843"/>
      <c r="S140" s="4843"/>
      <c r="T140" s="4843"/>
      <c r="U140" s="4843"/>
      <c r="V140" s="4843"/>
      <c r="W140" s="4843"/>
      <c r="X140" s="4843"/>
      <c r="Y140" s="4843"/>
      <c r="Z140" s="4843"/>
      <c r="AA140" s="4843"/>
      <c r="AB140" s="4843"/>
      <c r="AC140" s="4843"/>
      <c r="AD140" s="4843"/>
      <c r="AE140" s="4843"/>
      <c r="AF140" s="4843"/>
      <c r="AG140" s="4843"/>
      <c r="AH140" s="4843"/>
      <c r="AI140" s="4843"/>
      <c r="AJ140" s="4843"/>
      <c r="AK140" s="4843"/>
      <c r="AL140" s="4843"/>
      <c r="AM140" s="4843"/>
      <c r="AN140" s="4843"/>
      <c r="AO140" s="4843"/>
      <c r="AP140" s="4843"/>
      <c r="AQ140" s="4843"/>
      <c r="AR140" s="4843"/>
      <c r="AS140" s="4843"/>
      <c r="AT140" s="4843"/>
      <c r="AU140" s="4843"/>
      <c r="AV140" s="4843"/>
      <c r="AW140" s="4843"/>
      <c r="AX140" s="4843"/>
      <c r="AY140" s="4843"/>
      <c r="AZ140" s="4843"/>
      <c r="BA140" s="4843"/>
      <c r="BB140" s="4843"/>
      <c r="BC140" s="4843"/>
      <c r="BD140" s="4843"/>
      <c r="BE140" s="4843"/>
      <c r="BF140" s="4843"/>
      <c r="BG140" s="4843"/>
      <c r="BH140" s="4843"/>
      <c r="BI140" s="4843"/>
      <c r="BJ140" s="4843"/>
      <c r="BK140" s="156"/>
      <c r="BL140" s="156"/>
      <c r="BM140" s="156"/>
      <c r="BN140" s="156"/>
      <c r="BO140" s="156"/>
      <c r="BP140" s="156"/>
      <c r="BQ140" s="156"/>
      <c r="BR140" s="156"/>
      <c r="BS140" s="156"/>
    </row>
    <row r="141" spans="2:71" ht="18.75" customHeight="1">
      <c r="B141" s="156"/>
      <c r="C141" s="156"/>
      <c r="D141" s="156"/>
      <c r="E141" s="156"/>
      <c r="F141" s="156"/>
      <c r="G141" s="156"/>
      <c r="H141" s="156"/>
      <c r="I141" s="156"/>
      <c r="J141" s="156"/>
      <c r="K141" s="156"/>
      <c r="L141" s="156"/>
      <c r="M141" s="156"/>
      <c r="N141" s="156"/>
      <c r="O141" s="156"/>
      <c r="P141" s="4843"/>
      <c r="Q141" s="4843"/>
      <c r="R141" s="4843"/>
      <c r="S141" s="4843"/>
      <c r="T141" s="4843"/>
      <c r="U141" s="4843"/>
      <c r="V141" s="4843"/>
      <c r="W141" s="4843"/>
      <c r="X141" s="4843"/>
      <c r="Y141" s="4843"/>
      <c r="Z141" s="4843"/>
      <c r="AA141" s="4843"/>
      <c r="AB141" s="4843"/>
      <c r="AC141" s="4843"/>
      <c r="AD141" s="4843"/>
      <c r="AE141" s="4843"/>
      <c r="AF141" s="4843"/>
      <c r="AG141" s="4843"/>
      <c r="AH141" s="4843"/>
      <c r="AI141" s="4843"/>
      <c r="AJ141" s="4843"/>
      <c r="AK141" s="4843"/>
      <c r="AL141" s="4843"/>
      <c r="AM141" s="4843"/>
      <c r="AN141" s="4843"/>
      <c r="AO141" s="4843"/>
      <c r="AP141" s="4843"/>
      <c r="AQ141" s="4843"/>
      <c r="AR141" s="4843"/>
      <c r="AS141" s="4843"/>
      <c r="AT141" s="4843"/>
      <c r="AU141" s="4843"/>
      <c r="AV141" s="4843"/>
      <c r="AW141" s="4843"/>
      <c r="AX141" s="4843"/>
      <c r="AY141" s="4843"/>
      <c r="AZ141" s="4843"/>
      <c r="BA141" s="4843"/>
      <c r="BB141" s="4843"/>
      <c r="BC141" s="4843"/>
      <c r="BD141" s="4843"/>
      <c r="BE141" s="4843"/>
      <c r="BF141" s="4843"/>
      <c r="BG141" s="4843"/>
      <c r="BH141" s="4843"/>
      <c r="BI141" s="4843"/>
      <c r="BJ141" s="4843"/>
      <c r="BK141" s="156"/>
      <c r="BL141" s="156"/>
      <c r="BM141" s="156"/>
      <c r="BN141" s="156"/>
      <c r="BO141" s="156"/>
      <c r="BP141" s="156"/>
      <c r="BQ141" s="156"/>
      <c r="BR141" s="156"/>
      <c r="BS141" s="156"/>
    </row>
    <row r="142" spans="2:71" ht="18.75" customHeight="1">
      <c r="B142" s="156"/>
      <c r="C142" s="156"/>
      <c r="D142" s="156"/>
      <c r="E142" s="156"/>
      <c r="F142" s="156"/>
      <c r="G142" s="156"/>
      <c r="H142" s="156"/>
      <c r="I142" s="156"/>
      <c r="J142" s="156"/>
      <c r="K142" s="156"/>
      <c r="L142" s="156"/>
      <c r="M142" s="156"/>
      <c r="N142" s="156"/>
      <c r="O142" s="156"/>
      <c r="P142" s="4843"/>
      <c r="Q142" s="4843"/>
      <c r="R142" s="4843"/>
      <c r="S142" s="4843"/>
      <c r="T142" s="4843"/>
      <c r="U142" s="4843"/>
      <c r="V142" s="4843"/>
      <c r="W142" s="4843"/>
      <c r="X142" s="4843"/>
      <c r="Y142" s="4843"/>
      <c r="Z142" s="4843"/>
      <c r="AA142" s="4843"/>
      <c r="AB142" s="4843"/>
      <c r="AC142" s="4843"/>
      <c r="AD142" s="4843"/>
      <c r="AE142" s="4843"/>
      <c r="AF142" s="4843"/>
      <c r="AG142" s="4843"/>
      <c r="AH142" s="4843"/>
      <c r="AI142" s="4843"/>
      <c r="AJ142" s="4843"/>
      <c r="AK142" s="4843"/>
      <c r="AL142" s="4843"/>
      <c r="AM142" s="4843"/>
      <c r="AN142" s="4843"/>
      <c r="AO142" s="4843"/>
      <c r="AP142" s="4843"/>
      <c r="AQ142" s="4843"/>
      <c r="AR142" s="4843"/>
      <c r="AS142" s="4843"/>
      <c r="AT142" s="4843"/>
      <c r="AU142" s="4843"/>
      <c r="AV142" s="4843"/>
      <c r="AW142" s="4843"/>
      <c r="AX142" s="4843"/>
      <c r="AY142" s="4843"/>
      <c r="AZ142" s="4843"/>
      <c r="BA142" s="4843"/>
      <c r="BB142" s="4843"/>
      <c r="BC142" s="4843"/>
      <c r="BD142" s="4843"/>
      <c r="BE142" s="4843"/>
      <c r="BF142" s="4843"/>
      <c r="BG142" s="4843"/>
      <c r="BH142" s="4843"/>
      <c r="BI142" s="4843"/>
      <c r="BJ142" s="4843"/>
      <c r="BK142" s="156"/>
      <c r="BL142" s="156"/>
      <c r="BM142" s="156"/>
      <c r="BN142" s="156"/>
      <c r="BO142" s="156"/>
      <c r="BP142" s="156"/>
      <c r="BQ142" s="156"/>
      <c r="BR142" s="156"/>
      <c r="BS142" s="156"/>
    </row>
    <row r="143" spans="2:71" ht="18.75" customHeight="1">
      <c r="B143" s="156"/>
      <c r="C143" s="156"/>
      <c r="D143" s="156"/>
      <c r="E143" s="156"/>
      <c r="F143" s="156"/>
      <c r="G143" s="156"/>
      <c r="H143" s="156"/>
      <c r="I143" s="156"/>
      <c r="J143" s="156"/>
      <c r="K143" s="156"/>
      <c r="L143" s="156"/>
      <c r="M143" s="156"/>
      <c r="N143" s="156"/>
      <c r="O143" s="156"/>
      <c r="P143" s="4843"/>
      <c r="Q143" s="4843"/>
      <c r="R143" s="4843"/>
      <c r="S143" s="4843"/>
      <c r="T143" s="4843"/>
      <c r="U143" s="4843"/>
      <c r="V143" s="4843"/>
      <c r="W143" s="4843"/>
      <c r="X143" s="4843"/>
      <c r="Y143" s="4843"/>
      <c r="Z143" s="4843"/>
      <c r="AA143" s="4843"/>
      <c r="AB143" s="4843"/>
      <c r="AC143" s="4843"/>
      <c r="AD143" s="4843"/>
      <c r="AE143" s="4843"/>
      <c r="AF143" s="4843"/>
      <c r="AG143" s="4843"/>
      <c r="AH143" s="4843"/>
      <c r="AI143" s="4843"/>
      <c r="AJ143" s="4843"/>
      <c r="AK143" s="4843"/>
      <c r="AL143" s="4843"/>
      <c r="AM143" s="4843"/>
      <c r="AN143" s="4843"/>
      <c r="AO143" s="4843"/>
      <c r="AP143" s="4843"/>
      <c r="AQ143" s="4843"/>
      <c r="AR143" s="4843"/>
      <c r="AS143" s="4843"/>
      <c r="AT143" s="4843"/>
      <c r="AU143" s="4843"/>
      <c r="AV143" s="4843"/>
      <c r="AW143" s="4843"/>
      <c r="AX143" s="4843"/>
      <c r="AY143" s="4843"/>
      <c r="AZ143" s="4843"/>
      <c r="BA143" s="4843"/>
      <c r="BB143" s="4843"/>
      <c r="BC143" s="4843"/>
      <c r="BD143" s="4843"/>
      <c r="BE143" s="4843"/>
      <c r="BF143" s="4843"/>
      <c r="BG143" s="4843"/>
      <c r="BH143" s="4843"/>
      <c r="BI143" s="4843"/>
      <c r="BJ143" s="4843"/>
      <c r="BK143" s="156"/>
      <c r="BL143" s="156"/>
      <c r="BM143" s="156"/>
      <c r="BN143" s="156"/>
      <c r="BO143" s="156"/>
      <c r="BP143" s="156"/>
      <c r="BQ143" s="156"/>
      <c r="BR143" s="156"/>
      <c r="BS143" s="156"/>
    </row>
    <row r="144" spans="2:71" ht="18.75" customHeight="1">
      <c r="B144" s="156"/>
      <c r="C144" s="156"/>
      <c r="D144" s="156"/>
      <c r="E144" s="156"/>
      <c r="F144" s="156"/>
      <c r="G144" s="156"/>
      <c r="H144" s="156"/>
      <c r="I144" s="156"/>
      <c r="J144" s="156"/>
      <c r="K144" s="156"/>
      <c r="L144" s="156"/>
      <c r="M144" s="156"/>
      <c r="N144" s="156"/>
      <c r="O144" s="156"/>
      <c r="P144" s="4843"/>
      <c r="Q144" s="4843"/>
      <c r="R144" s="4843"/>
      <c r="S144" s="4843"/>
      <c r="T144" s="4843"/>
      <c r="U144" s="4843"/>
      <c r="V144" s="4843"/>
      <c r="W144" s="4843"/>
      <c r="X144" s="4843"/>
      <c r="Y144" s="4843"/>
      <c r="Z144" s="4843"/>
      <c r="AA144" s="4843"/>
      <c r="AB144" s="4843"/>
      <c r="AC144" s="4843"/>
      <c r="AD144" s="4843"/>
      <c r="AE144" s="4843"/>
      <c r="AF144" s="4843"/>
      <c r="AG144" s="4843"/>
      <c r="AH144" s="4843"/>
      <c r="AI144" s="4843"/>
      <c r="AJ144" s="4843"/>
      <c r="AK144" s="4843"/>
      <c r="AL144" s="4843"/>
      <c r="AM144" s="4843"/>
      <c r="AN144" s="4843"/>
      <c r="AO144" s="4843"/>
      <c r="AP144" s="4843"/>
      <c r="AQ144" s="4843"/>
      <c r="AR144" s="4843"/>
      <c r="AS144" s="4843"/>
      <c r="AT144" s="4843"/>
      <c r="AU144" s="4843"/>
      <c r="AV144" s="4843"/>
      <c r="AW144" s="4843"/>
      <c r="AX144" s="4843"/>
      <c r="AY144" s="4843"/>
      <c r="AZ144" s="4843"/>
      <c r="BA144" s="4843"/>
      <c r="BB144" s="4843"/>
      <c r="BC144" s="4843"/>
      <c r="BD144" s="4843"/>
      <c r="BE144" s="4843"/>
      <c r="BF144" s="4843"/>
      <c r="BG144" s="4843"/>
      <c r="BH144" s="4843"/>
      <c r="BI144" s="4843"/>
      <c r="BJ144" s="4843"/>
      <c r="BK144" s="156"/>
      <c r="BL144" s="156"/>
      <c r="BM144" s="156"/>
      <c r="BN144" s="156"/>
      <c r="BO144" s="156"/>
      <c r="BP144" s="156"/>
      <c r="BQ144" s="156"/>
      <c r="BR144" s="156"/>
      <c r="BS144" s="156"/>
    </row>
    <row r="145" spans="2:71" ht="18.75" customHeight="1">
      <c r="B145" s="156"/>
      <c r="C145" s="156"/>
      <c r="D145" s="156"/>
      <c r="E145" s="156"/>
      <c r="F145" s="156"/>
      <c r="G145" s="156"/>
      <c r="H145" s="156"/>
      <c r="I145" s="156"/>
      <c r="J145" s="156"/>
      <c r="K145" s="156"/>
      <c r="L145" s="156"/>
      <c r="M145" s="156"/>
      <c r="N145" s="156"/>
      <c r="O145" s="156"/>
      <c r="P145" s="4843"/>
      <c r="Q145" s="4843"/>
      <c r="R145" s="4843"/>
      <c r="S145" s="4843"/>
      <c r="T145" s="4843"/>
      <c r="U145" s="4843"/>
      <c r="V145" s="4843"/>
      <c r="W145" s="4843"/>
      <c r="X145" s="4843"/>
      <c r="Y145" s="4843"/>
      <c r="Z145" s="4843"/>
      <c r="AA145" s="4843"/>
      <c r="AB145" s="4843"/>
      <c r="AC145" s="4843"/>
      <c r="AD145" s="4843"/>
      <c r="AE145" s="4843"/>
      <c r="AF145" s="4843"/>
      <c r="AG145" s="4843"/>
      <c r="AH145" s="4843"/>
      <c r="AI145" s="4843"/>
      <c r="AJ145" s="4843"/>
      <c r="AK145" s="4843"/>
      <c r="AL145" s="4843"/>
      <c r="AM145" s="4843"/>
      <c r="AN145" s="4843"/>
      <c r="AO145" s="4843"/>
      <c r="AP145" s="4843"/>
      <c r="AQ145" s="4843"/>
      <c r="AR145" s="4843"/>
      <c r="AS145" s="4843"/>
      <c r="AT145" s="4843"/>
      <c r="AU145" s="4843"/>
      <c r="AV145" s="4843"/>
      <c r="AW145" s="4843"/>
      <c r="AX145" s="4843"/>
      <c r="AY145" s="4843"/>
      <c r="AZ145" s="4843"/>
      <c r="BA145" s="4843"/>
      <c r="BB145" s="4843"/>
      <c r="BC145" s="4843"/>
      <c r="BD145" s="4843"/>
      <c r="BE145" s="4843"/>
      <c r="BF145" s="4843"/>
      <c r="BG145" s="4843"/>
      <c r="BH145" s="4843"/>
      <c r="BI145" s="4843"/>
      <c r="BJ145" s="4843"/>
      <c r="BK145" s="156"/>
      <c r="BL145" s="156"/>
      <c r="BM145" s="156"/>
      <c r="BN145" s="156"/>
      <c r="BO145" s="156"/>
      <c r="BP145" s="156"/>
      <c r="BQ145" s="156"/>
      <c r="BR145" s="156"/>
      <c r="BS145" s="156"/>
    </row>
    <row r="146" spans="2:71" ht="18.75" customHeight="1">
      <c r="B146" s="156"/>
      <c r="C146" s="156"/>
      <c r="D146" s="156"/>
      <c r="E146" s="156"/>
      <c r="F146" s="156"/>
      <c r="G146" s="156"/>
      <c r="H146" s="156"/>
      <c r="I146" s="156"/>
      <c r="J146" s="156"/>
      <c r="K146" s="156"/>
      <c r="L146" s="156"/>
      <c r="M146" s="156"/>
      <c r="N146" s="156"/>
      <c r="O146" s="156"/>
      <c r="P146" s="4843"/>
      <c r="Q146" s="4843"/>
      <c r="R146" s="4843"/>
      <c r="S146" s="4843"/>
      <c r="T146" s="4843"/>
      <c r="U146" s="4843"/>
      <c r="V146" s="4843"/>
      <c r="W146" s="4843"/>
      <c r="X146" s="4843"/>
      <c r="Y146" s="4843"/>
      <c r="Z146" s="4843"/>
      <c r="AA146" s="4843"/>
      <c r="AB146" s="4843"/>
      <c r="AC146" s="4843"/>
      <c r="AD146" s="4843"/>
      <c r="AE146" s="4843"/>
      <c r="AF146" s="4843"/>
      <c r="AG146" s="4843"/>
      <c r="AH146" s="4843"/>
      <c r="AI146" s="4843"/>
      <c r="AJ146" s="4843"/>
      <c r="AK146" s="4843"/>
      <c r="AL146" s="4843"/>
      <c r="AM146" s="4843"/>
      <c r="AN146" s="4843"/>
      <c r="AO146" s="4843"/>
      <c r="AP146" s="4843"/>
      <c r="AQ146" s="4843"/>
      <c r="AR146" s="4843"/>
      <c r="AS146" s="4843"/>
      <c r="AT146" s="4843"/>
      <c r="AU146" s="4843"/>
      <c r="AV146" s="4843"/>
      <c r="AW146" s="4843"/>
      <c r="AX146" s="4843"/>
      <c r="AY146" s="4843"/>
      <c r="AZ146" s="4843"/>
      <c r="BA146" s="4843"/>
      <c r="BB146" s="4843"/>
      <c r="BC146" s="4843"/>
      <c r="BD146" s="4843"/>
      <c r="BE146" s="4843"/>
      <c r="BF146" s="4843"/>
      <c r="BG146" s="4843"/>
      <c r="BH146" s="4843"/>
      <c r="BI146" s="4843"/>
      <c r="BJ146" s="4843"/>
      <c r="BK146" s="156"/>
      <c r="BL146" s="156"/>
      <c r="BM146" s="156"/>
      <c r="BN146" s="156"/>
      <c r="BO146" s="156"/>
      <c r="BP146" s="156"/>
      <c r="BQ146" s="156"/>
      <c r="BR146" s="156"/>
      <c r="BS146" s="156"/>
    </row>
    <row r="147" spans="2:71" ht="18.75" customHeight="1">
      <c r="B147" s="156"/>
      <c r="C147" s="156"/>
      <c r="D147" s="156"/>
      <c r="E147" s="156"/>
      <c r="F147" s="156"/>
      <c r="G147" s="156"/>
      <c r="H147" s="156"/>
      <c r="I147" s="156"/>
      <c r="J147" s="156"/>
      <c r="K147" s="156"/>
      <c r="L147" s="156"/>
      <c r="M147" s="156"/>
      <c r="N147" s="156"/>
      <c r="O147" s="156"/>
      <c r="P147" s="4843"/>
      <c r="Q147" s="4843"/>
      <c r="R147" s="4843"/>
      <c r="S147" s="4843"/>
      <c r="T147" s="4843"/>
      <c r="U147" s="4843"/>
      <c r="V147" s="4843"/>
      <c r="W147" s="4843"/>
      <c r="X147" s="4843"/>
      <c r="Y147" s="4843"/>
      <c r="Z147" s="4843"/>
      <c r="AA147" s="4843"/>
      <c r="AB147" s="4843"/>
      <c r="AC147" s="4843"/>
      <c r="AD147" s="4843"/>
      <c r="AE147" s="4843"/>
      <c r="AF147" s="4843"/>
      <c r="AG147" s="4843"/>
      <c r="AH147" s="4843"/>
      <c r="AI147" s="4843"/>
      <c r="AJ147" s="4843"/>
      <c r="AK147" s="4843"/>
      <c r="AL147" s="4843"/>
      <c r="AM147" s="4843"/>
      <c r="AN147" s="4843"/>
      <c r="AO147" s="4843"/>
      <c r="AP147" s="4843"/>
      <c r="AQ147" s="4843"/>
      <c r="AR147" s="4843"/>
      <c r="AS147" s="4843"/>
      <c r="AT147" s="4843"/>
      <c r="AU147" s="4843"/>
      <c r="AV147" s="4843"/>
      <c r="AW147" s="4843"/>
      <c r="AX147" s="4843"/>
      <c r="AY147" s="4843"/>
      <c r="AZ147" s="4843"/>
      <c r="BA147" s="4843"/>
      <c r="BB147" s="4843"/>
      <c r="BC147" s="4843"/>
      <c r="BD147" s="4843"/>
      <c r="BE147" s="4843"/>
      <c r="BF147" s="4843"/>
      <c r="BG147" s="4843"/>
      <c r="BH147" s="4843"/>
      <c r="BI147" s="4843"/>
      <c r="BJ147" s="4843"/>
      <c r="BK147" s="156"/>
      <c r="BL147" s="156"/>
      <c r="BM147" s="156"/>
      <c r="BN147" s="156"/>
      <c r="BO147" s="156"/>
      <c r="BP147" s="156"/>
      <c r="BQ147" s="156"/>
      <c r="BR147" s="156"/>
      <c r="BS147" s="156"/>
    </row>
    <row r="148" spans="2:71" ht="18.75" customHeight="1">
      <c r="B148" s="156"/>
      <c r="C148" s="156"/>
      <c r="D148" s="156"/>
      <c r="E148" s="156"/>
      <c r="F148" s="156"/>
      <c r="G148" s="156"/>
      <c r="H148" s="156"/>
      <c r="I148" s="156"/>
      <c r="J148" s="156"/>
      <c r="K148" s="156"/>
      <c r="L148" s="156"/>
      <c r="M148" s="156"/>
      <c r="N148" s="156"/>
      <c r="O148" s="156"/>
      <c r="P148" s="4843"/>
      <c r="Q148" s="4843"/>
      <c r="R148" s="4843"/>
      <c r="S148" s="4843"/>
      <c r="T148" s="4843"/>
      <c r="U148" s="4843"/>
      <c r="V148" s="4843"/>
      <c r="W148" s="4843"/>
      <c r="X148" s="4843"/>
      <c r="Y148" s="4843"/>
      <c r="Z148" s="4843"/>
      <c r="AA148" s="4843"/>
      <c r="AB148" s="4843"/>
      <c r="AC148" s="4843"/>
      <c r="AD148" s="4843"/>
      <c r="AE148" s="4843"/>
      <c r="AF148" s="4843"/>
      <c r="AG148" s="4843"/>
      <c r="AH148" s="4843"/>
      <c r="AI148" s="4843"/>
      <c r="AJ148" s="4843"/>
      <c r="AK148" s="4843"/>
      <c r="AL148" s="4843"/>
      <c r="AM148" s="4843"/>
      <c r="AN148" s="4843"/>
      <c r="AO148" s="4843"/>
      <c r="AP148" s="4843"/>
      <c r="AQ148" s="4843"/>
      <c r="AR148" s="4843"/>
      <c r="AS148" s="4843"/>
      <c r="AT148" s="4843"/>
      <c r="AU148" s="4843"/>
      <c r="AV148" s="4843"/>
      <c r="AW148" s="4843"/>
      <c r="AX148" s="4843"/>
      <c r="AY148" s="4843"/>
      <c r="AZ148" s="4843"/>
      <c r="BA148" s="4843"/>
      <c r="BB148" s="4843"/>
      <c r="BC148" s="4843"/>
      <c r="BD148" s="4843"/>
      <c r="BE148" s="4843"/>
      <c r="BF148" s="4843"/>
      <c r="BG148" s="4843"/>
      <c r="BH148" s="4843"/>
      <c r="BI148" s="4843"/>
      <c r="BJ148" s="4843"/>
      <c r="BK148" s="156"/>
      <c r="BL148" s="156"/>
      <c r="BM148" s="156"/>
      <c r="BN148" s="156"/>
      <c r="BO148" s="156"/>
      <c r="BP148" s="156"/>
      <c r="BQ148" s="156"/>
      <c r="BR148" s="156"/>
      <c r="BS148" s="156"/>
    </row>
    <row r="149" spans="2:71" ht="18.75" customHeight="1">
      <c r="P149" s="430"/>
      <c r="Q149" s="430"/>
      <c r="R149" s="430"/>
      <c r="S149" s="430"/>
      <c r="T149" s="430"/>
      <c r="U149" s="430"/>
      <c r="V149" s="430"/>
      <c r="W149" s="430"/>
      <c r="X149" s="430"/>
      <c r="Y149" s="430"/>
      <c r="Z149" s="430"/>
      <c r="AA149" s="430"/>
      <c r="AB149" s="430"/>
      <c r="AC149" s="430"/>
      <c r="AD149" s="430"/>
      <c r="AE149" s="430"/>
      <c r="AF149" s="430"/>
      <c r="AG149" s="430"/>
      <c r="AH149" s="430"/>
      <c r="AI149" s="430"/>
      <c r="AJ149" s="430"/>
      <c r="AK149" s="430"/>
      <c r="AL149" s="430"/>
      <c r="AM149" s="430"/>
      <c r="AN149" s="430"/>
      <c r="AO149" s="430"/>
      <c r="AP149" s="430"/>
      <c r="AQ149" s="430"/>
      <c r="AR149" s="430"/>
      <c r="AS149" s="430"/>
      <c r="AT149" s="430"/>
      <c r="AU149" s="430"/>
      <c r="AV149" s="430"/>
      <c r="AW149" s="430"/>
      <c r="AX149" s="430"/>
      <c r="AY149" s="430"/>
      <c r="AZ149" s="430"/>
      <c r="BA149" s="430"/>
      <c r="BB149" s="430"/>
      <c r="BC149" s="430"/>
      <c r="BD149" s="430"/>
      <c r="BE149" s="430"/>
      <c r="BF149" s="430"/>
      <c r="BG149" s="430"/>
      <c r="BH149" s="430"/>
      <c r="BI149" s="430"/>
      <c r="BJ149" s="430"/>
    </row>
    <row r="150" spans="2:71" ht="18.75" customHeight="1">
      <c r="P150" s="430"/>
      <c r="Q150" s="430"/>
      <c r="R150" s="430"/>
      <c r="S150" s="430"/>
      <c r="T150" s="430"/>
      <c r="U150" s="430"/>
      <c r="V150" s="430"/>
      <c r="W150" s="430"/>
      <c r="X150" s="430"/>
      <c r="Y150" s="430"/>
      <c r="Z150" s="430"/>
      <c r="AA150" s="430"/>
      <c r="AB150" s="430"/>
      <c r="AC150" s="430"/>
      <c r="AD150" s="430"/>
      <c r="AE150" s="430"/>
      <c r="AF150" s="430"/>
      <c r="AG150" s="430"/>
      <c r="AH150" s="430"/>
      <c r="AI150" s="430"/>
      <c r="AJ150" s="430"/>
      <c r="AK150" s="430"/>
      <c r="AL150" s="430"/>
      <c r="AM150" s="430"/>
      <c r="AN150" s="430"/>
      <c r="AO150" s="430"/>
      <c r="AP150" s="430"/>
      <c r="AQ150" s="430"/>
      <c r="AR150" s="430"/>
      <c r="AS150" s="430"/>
      <c r="AT150" s="430"/>
      <c r="AU150" s="430"/>
      <c r="AV150" s="430"/>
      <c r="AW150" s="430"/>
      <c r="AX150" s="430"/>
      <c r="AY150" s="430"/>
      <c r="AZ150" s="430"/>
      <c r="BA150" s="430"/>
      <c r="BB150" s="430"/>
      <c r="BC150" s="430"/>
      <c r="BD150" s="430"/>
      <c r="BE150" s="430"/>
      <c r="BF150" s="430"/>
      <c r="BG150" s="430"/>
      <c r="BH150" s="430"/>
      <c r="BI150" s="430"/>
      <c r="BJ150" s="430"/>
    </row>
    <row r="151" spans="2:71" ht="18.75" customHeight="1">
      <c r="P151" s="430"/>
      <c r="Q151" s="430"/>
      <c r="R151" s="430"/>
      <c r="S151" s="430"/>
      <c r="T151" s="430"/>
      <c r="U151" s="430"/>
      <c r="V151" s="430"/>
      <c r="W151" s="430"/>
      <c r="X151" s="430"/>
      <c r="Y151" s="430"/>
      <c r="Z151" s="430"/>
      <c r="AA151" s="430"/>
      <c r="AB151" s="430"/>
      <c r="AC151" s="430"/>
      <c r="AD151" s="430"/>
      <c r="AE151" s="430"/>
      <c r="AF151" s="430"/>
      <c r="AG151" s="430"/>
      <c r="AH151" s="430"/>
      <c r="AI151" s="430"/>
      <c r="AJ151" s="430"/>
      <c r="AK151" s="430"/>
      <c r="AL151" s="430"/>
      <c r="AM151" s="430"/>
      <c r="AN151" s="430"/>
      <c r="AO151" s="430"/>
      <c r="AP151" s="430"/>
      <c r="AQ151" s="430"/>
      <c r="AR151" s="430"/>
      <c r="AS151" s="430"/>
      <c r="AT151" s="430"/>
      <c r="AU151" s="430"/>
      <c r="AV151" s="430"/>
      <c r="AW151" s="430"/>
      <c r="AX151" s="430"/>
      <c r="AY151" s="430"/>
      <c r="AZ151" s="430"/>
      <c r="BA151" s="430"/>
      <c r="BB151" s="430"/>
      <c r="BC151" s="430"/>
      <c r="BD151" s="430"/>
      <c r="BE151" s="430"/>
      <c r="BF151" s="430"/>
      <c r="BG151" s="430"/>
      <c r="BH151" s="430"/>
      <c r="BI151" s="430"/>
      <c r="BJ151" s="430"/>
    </row>
    <row r="152" spans="2:71" ht="18.75" customHeight="1">
      <c r="P152" s="430"/>
      <c r="Q152" s="430"/>
      <c r="R152" s="430"/>
      <c r="S152" s="430"/>
      <c r="T152" s="430"/>
      <c r="U152" s="430"/>
      <c r="V152" s="430"/>
      <c r="W152" s="430"/>
      <c r="X152" s="430"/>
      <c r="Y152" s="430"/>
      <c r="Z152" s="430"/>
      <c r="AA152" s="430"/>
      <c r="AB152" s="430"/>
      <c r="AC152" s="430"/>
      <c r="AD152" s="430"/>
      <c r="AE152" s="430"/>
      <c r="AF152" s="430"/>
      <c r="AG152" s="430"/>
      <c r="AH152" s="430"/>
      <c r="AI152" s="430"/>
      <c r="AJ152" s="430"/>
      <c r="AK152" s="430"/>
      <c r="AL152" s="430"/>
      <c r="AM152" s="430"/>
      <c r="AN152" s="430"/>
      <c r="AO152" s="430"/>
      <c r="AP152" s="430"/>
      <c r="AQ152" s="430"/>
      <c r="AR152" s="430"/>
      <c r="AS152" s="430"/>
      <c r="AT152" s="430"/>
      <c r="AU152" s="430"/>
      <c r="AV152" s="430"/>
      <c r="AW152" s="430"/>
      <c r="AX152" s="430"/>
      <c r="AY152" s="430"/>
      <c r="AZ152" s="430"/>
      <c r="BA152" s="430"/>
      <c r="BB152" s="430"/>
      <c r="BC152" s="430"/>
      <c r="BD152" s="430"/>
      <c r="BE152" s="430"/>
      <c r="BF152" s="430"/>
      <c r="BG152" s="430"/>
      <c r="BH152" s="430"/>
      <c r="BI152" s="430"/>
      <c r="BJ152" s="430"/>
    </row>
    <row r="153" spans="2:71" ht="18.75" customHeight="1">
      <c r="P153" s="430"/>
      <c r="Q153" s="430"/>
      <c r="R153" s="430"/>
      <c r="S153" s="430"/>
      <c r="T153" s="430"/>
      <c r="U153" s="430"/>
      <c r="V153" s="430"/>
      <c r="W153" s="430"/>
      <c r="X153" s="430"/>
      <c r="Y153" s="430"/>
      <c r="Z153" s="430"/>
      <c r="AA153" s="430"/>
      <c r="AB153" s="430"/>
      <c r="AC153" s="430"/>
      <c r="AD153" s="430"/>
      <c r="AE153" s="430"/>
      <c r="AF153" s="430"/>
      <c r="AG153" s="430"/>
      <c r="AH153" s="430"/>
      <c r="AI153" s="430"/>
      <c r="AJ153" s="430"/>
      <c r="AK153" s="430"/>
      <c r="AL153" s="430"/>
      <c r="AM153" s="430"/>
      <c r="AN153" s="430"/>
      <c r="AO153" s="430"/>
      <c r="AP153" s="430"/>
      <c r="AQ153" s="430"/>
      <c r="AR153" s="430"/>
      <c r="AS153" s="430"/>
      <c r="AT153" s="430"/>
      <c r="AU153" s="430"/>
      <c r="AV153" s="430"/>
      <c r="AW153" s="430"/>
      <c r="AX153" s="430"/>
      <c r="AY153" s="430"/>
      <c r="AZ153" s="430"/>
      <c r="BA153" s="430"/>
      <c r="BB153" s="430"/>
      <c r="BC153" s="430"/>
      <c r="BD153" s="430"/>
      <c r="BE153" s="430"/>
      <c r="BF153" s="430"/>
      <c r="BG153" s="430"/>
      <c r="BH153" s="430"/>
      <c r="BI153" s="430"/>
      <c r="BJ153" s="430"/>
    </row>
    <row r="154" spans="2:71" ht="18.75" customHeight="1">
      <c r="P154" s="430"/>
      <c r="Q154" s="430"/>
      <c r="R154" s="430"/>
      <c r="S154" s="430"/>
      <c r="T154" s="430"/>
      <c r="U154" s="430"/>
      <c r="V154" s="430"/>
      <c r="W154" s="430"/>
      <c r="X154" s="430"/>
      <c r="Y154" s="430"/>
      <c r="Z154" s="430"/>
      <c r="AA154" s="430"/>
      <c r="AB154" s="430"/>
      <c r="AC154" s="430"/>
      <c r="AD154" s="430"/>
      <c r="AE154" s="430"/>
      <c r="AF154" s="430"/>
      <c r="AG154" s="430"/>
      <c r="AH154" s="430"/>
      <c r="AI154" s="430"/>
      <c r="AJ154" s="430"/>
      <c r="AK154" s="430"/>
      <c r="AL154" s="430"/>
      <c r="AM154" s="430"/>
      <c r="AN154" s="430"/>
      <c r="AO154" s="430"/>
      <c r="AP154" s="430"/>
      <c r="AQ154" s="430"/>
      <c r="AR154" s="430"/>
      <c r="AS154" s="430"/>
      <c r="AT154" s="430"/>
      <c r="AU154" s="430"/>
      <c r="AV154" s="430"/>
      <c r="AW154" s="430"/>
      <c r="AX154" s="430"/>
      <c r="AY154" s="430"/>
      <c r="AZ154" s="430"/>
      <c r="BA154" s="430"/>
      <c r="BB154" s="430"/>
      <c r="BC154" s="430"/>
      <c r="BD154" s="430"/>
      <c r="BE154" s="430"/>
      <c r="BF154" s="430"/>
      <c r="BG154" s="430"/>
      <c r="BH154" s="430"/>
      <c r="BI154" s="430"/>
      <c r="BJ154" s="430"/>
    </row>
    <row r="155" spans="2:71" ht="18.75" customHeight="1">
      <c r="P155" s="430"/>
      <c r="Q155" s="430"/>
      <c r="R155" s="430"/>
      <c r="S155" s="430"/>
      <c r="T155" s="430"/>
      <c r="U155" s="430"/>
      <c r="V155" s="430"/>
      <c r="W155" s="430"/>
      <c r="X155" s="430"/>
      <c r="Y155" s="430"/>
      <c r="Z155" s="430"/>
      <c r="AA155" s="430"/>
      <c r="AB155" s="430"/>
      <c r="AC155" s="430"/>
      <c r="AD155" s="430"/>
      <c r="AE155" s="430"/>
      <c r="AF155" s="430"/>
      <c r="AG155" s="430"/>
      <c r="AH155" s="430"/>
      <c r="AI155" s="430"/>
      <c r="AJ155" s="430"/>
      <c r="AK155" s="430"/>
      <c r="AL155" s="430"/>
      <c r="AM155" s="430"/>
      <c r="AN155" s="430"/>
      <c r="AO155" s="430"/>
      <c r="AP155" s="430"/>
      <c r="AQ155" s="430"/>
      <c r="AR155" s="430"/>
      <c r="AS155" s="430"/>
      <c r="AT155" s="430"/>
      <c r="AU155" s="430"/>
      <c r="AV155" s="430"/>
      <c r="AW155" s="430"/>
      <c r="AX155" s="430"/>
      <c r="AY155" s="430"/>
      <c r="AZ155" s="430"/>
      <c r="BA155" s="430"/>
      <c r="BB155" s="430"/>
      <c r="BC155" s="430"/>
      <c r="BD155" s="430"/>
      <c r="BE155" s="430"/>
      <c r="BF155" s="430"/>
      <c r="BG155" s="430"/>
      <c r="BH155" s="430"/>
      <c r="BI155" s="430"/>
      <c r="BJ155" s="430"/>
    </row>
    <row r="156" spans="2:71" ht="18.75" customHeight="1">
      <c r="P156" s="430"/>
      <c r="Q156" s="430"/>
      <c r="R156" s="430"/>
      <c r="S156" s="430"/>
      <c r="T156" s="430"/>
      <c r="U156" s="430"/>
      <c r="V156" s="430"/>
      <c r="W156" s="430"/>
      <c r="X156" s="430"/>
      <c r="Y156" s="430"/>
      <c r="Z156" s="430"/>
      <c r="AA156" s="430"/>
      <c r="AB156" s="430"/>
      <c r="AC156" s="430"/>
      <c r="AD156" s="430"/>
      <c r="AE156" s="430"/>
      <c r="AF156" s="430"/>
      <c r="AG156" s="430"/>
      <c r="AH156" s="430"/>
      <c r="AI156" s="430"/>
      <c r="AJ156" s="430"/>
      <c r="AK156" s="430"/>
      <c r="AL156" s="430"/>
      <c r="AM156" s="430"/>
      <c r="AN156" s="430"/>
      <c r="AO156" s="430"/>
      <c r="AP156" s="430"/>
      <c r="AQ156" s="430"/>
      <c r="AR156" s="430"/>
      <c r="AS156" s="430"/>
      <c r="AT156" s="430"/>
      <c r="AU156" s="430"/>
      <c r="AV156" s="430"/>
      <c r="AW156" s="430"/>
      <c r="AX156" s="430"/>
      <c r="AY156" s="430"/>
      <c r="AZ156" s="430"/>
      <c r="BA156" s="430"/>
      <c r="BB156" s="430"/>
      <c r="BC156" s="430"/>
      <c r="BD156" s="430"/>
      <c r="BE156" s="430"/>
      <c r="BF156" s="430"/>
      <c r="BG156" s="430"/>
      <c r="BH156" s="430"/>
      <c r="BI156" s="430"/>
      <c r="BJ156" s="430"/>
    </row>
    <row r="157" spans="2:71" ht="18.75" customHeight="1">
      <c r="P157" s="430"/>
      <c r="Q157" s="430"/>
      <c r="R157" s="430"/>
      <c r="S157" s="430"/>
      <c r="T157" s="430"/>
      <c r="U157" s="430"/>
      <c r="V157" s="430"/>
      <c r="W157" s="430"/>
      <c r="X157" s="430"/>
      <c r="Y157" s="430"/>
      <c r="Z157" s="430"/>
      <c r="AA157" s="430"/>
      <c r="AB157" s="430"/>
      <c r="AC157" s="430"/>
      <c r="AD157" s="430"/>
      <c r="AE157" s="430"/>
      <c r="AF157" s="430"/>
      <c r="AG157" s="430"/>
      <c r="AH157" s="430"/>
      <c r="AI157" s="430"/>
      <c r="AJ157" s="430"/>
      <c r="AK157" s="430"/>
      <c r="AL157" s="430"/>
      <c r="AM157" s="430"/>
      <c r="AN157" s="430"/>
      <c r="AO157" s="430"/>
      <c r="AP157" s="430"/>
      <c r="AQ157" s="430"/>
      <c r="AR157" s="430"/>
      <c r="AS157" s="430"/>
      <c r="AT157" s="430"/>
      <c r="AU157" s="430"/>
      <c r="AV157" s="430"/>
      <c r="AW157" s="430"/>
      <c r="AX157" s="430"/>
      <c r="AY157" s="430"/>
      <c r="AZ157" s="430"/>
      <c r="BA157" s="430"/>
      <c r="BB157" s="430"/>
      <c r="BC157" s="430"/>
      <c r="BD157" s="430"/>
      <c r="BE157" s="430"/>
      <c r="BF157" s="430"/>
      <c r="BG157" s="430"/>
      <c r="BH157" s="430"/>
      <c r="BI157" s="430"/>
      <c r="BJ157" s="430"/>
    </row>
    <row r="158" spans="2:71" ht="18.75" customHeight="1">
      <c r="P158" s="430"/>
      <c r="Q158" s="430"/>
      <c r="R158" s="430"/>
      <c r="S158" s="430"/>
      <c r="T158" s="430"/>
      <c r="U158" s="430"/>
      <c r="V158" s="430"/>
      <c r="W158" s="430"/>
      <c r="X158" s="430"/>
      <c r="Y158" s="430"/>
      <c r="Z158" s="430"/>
      <c r="AA158" s="430"/>
      <c r="AB158" s="430"/>
      <c r="AC158" s="430"/>
      <c r="AD158" s="430"/>
      <c r="AE158" s="430"/>
      <c r="AF158" s="430"/>
      <c r="AG158" s="430"/>
      <c r="AH158" s="430"/>
      <c r="AI158" s="430"/>
      <c r="AJ158" s="430"/>
      <c r="AK158" s="430"/>
      <c r="AL158" s="430"/>
      <c r="AM158" s="430"/>
      <c r="AN158" s="430"/>
      <c r="AO158" s="430"/>
      <c r="AP158" s="430"/>
      <c r="AQ158" s="430"/>
      <c r="AR158" s="430"/>
      <c r="AS158" s="430"/>
      <c r="AT158" s="430"/>
      <c r="AU158" s="430"/>
      <c r="AV158" s="430"/>
      <c r="AW158" s="430"/>
      <c r="AX158" s="430"/>
      <c r="AY158" s="430"/>
      <c r="AZ158" s="430"/>
      <c r="BA158" s="430"/>
      <c r="BB158" s="430"/>
      <c r="BC158" s="430"/>
      <c r="BD158" s="430"/>
      <c r="BE158" s="430"/>
      <c r="BF158" s="430"/>
      <c r="BG158" s="430"/>
      <c r="BH158" s="430"/>
      <c r="BI158" s="430"/>
      <c r="BJ158" s="430"/>
    </row>
    <row r="159" spans="2:71" ht="18.75" customHeight="1">
      <c r="P159" s="430"/>
      <c r="Q159" s="430"/>
      <c r="R159" s="430"/>
      <c r="S159" s="430"/>
      <c r="T159" s="430"/>
      <c r="U159" s="430"/>
      <c r="V159" s="430"/>
      <c r="W159" s="430"/>
      <c r="X159" s="430"/>
      <c r="Y159" s="430"/>
      <c r="Z159" s="430"/>
      <c r="AA159" s="430"/>
      <c r="AB159" s="430"/>
      <c r="AC159" s="430"/>
      <c r="AD159" s="430"/>
      <c r="AE159" s="430"/>
      <c r="AF159" s="430"/>
      <c r="AG159" s="430"/>
      <c r="AH159" s="430"/>
      <c r="AI159" s="430"/>
      <c r="AJ159" s="430"/>
      <c r="AK159" s="430"/>
      <c r="AL159" s="430"/>
      <c r="AM159" s="430"/>
      <c r="AN159" s="430"/>
      <c r="AO159" s="430"/>
      <c r="AP159" s="430"/>
      <c r="AQ159" s="430"/>
      <c r="AR159" s="430"/>
      <c r="AS159" s="430"/>
      <c r="AT159" s="430"/>
      <c r="AU159" s="430"/>
      <c r="AV159" s="430"/>
      <c r="AW159" s="430"/>
      <c r="AX159" s="430"/>
      <c r="AY159" s="430"/>
      <c r="AZ159" s="430"/>
      <c r="BA159" s="430"/>
      <c r="BB159" s="430"/>
      <c r="BC159" s="430"/>
      <c r="BD159" s="430"/>
      <c r="BE159" s="430"/>
      <c r="BF159" s="430"/>
      <c r="BG159" s="430"/>
      <c r="BH159" s="430"/>
      <c r="BI159" s="430"/>
      <c r="BJ159" s="430"/>
    </row>
    <row r="160" spans="2:71" ht="18.75" customHeight="1">
      <c r="P160" s="430"/>
      <c r="Q160" s="430"/>
      <c r="R160" s="430"/>
      <c r="S160" s="430"/>
      <c r="T160" s="430"/>
      <c r="U160" s="430"/>
      <c r="V160" s="430"/>
      <c r="W160" s="430"/>
      <c r="X160" s="430"/>
      <c r="Y160" s="430"/>
      <c r="Z160" s="430"/>
      <c r="AA160" s="430"/>
      <c r="AB160" s="430"/>
      <c r="AC160" s="430"/>
      <c r="AD160" s="430"/>
      <c r="AE160" s="430"/>
      <c r="AF160" s="430"/>
      <c r="AG160" s="430"/>
      <c r="AH160" s="430"/>
      <c r="AI160" s="430"/>
      <c r="AJ160" s="430"/>
      <c r="AK160" s="430"/>
      <c r="AL160" s="430"/>
      <c r="AM160" s="430"/>
      <c r="AN160" s="430"/>
      <c r="AO160" s="430"/>
      <c r="AP160" s="430"/>
      <c r="AQ160" s="430"/>
      <c r="AR160" s="430"/>
      <c r="AS160" s="430"/>
      <c r="AT160" s="430"/>
      <c r="AU160" s="430"/>
      <c r="AV160" s="430"/>
      <c r="AW160" s="430"/>
      <c r="AX160" s="430"/>
      <c r="AY160" s="430"/>
      <c r="AZ160" s="430"/>
      <c r="BA160" s="430"/>
      <c r="BB160" s="430"/>
      <c r="BC160" s="430"/>
      <c r="BD160" s="430"/>
      <c r="BE160" s="430"/>
      <c r="BF160" s="430"/>
      <c r="BG160" s="430"/>
      <c r="BH160" s="430"/>
      <c r="BI160" s="430"/>
      <c r="BJ160" s="430"/>
    </row>
    <row r="161" spans="16:62" ht="18.75" customHeight="1">
      <c r="P161" s="430"/>
      <c r="Q161" s="430"/>
      <c r="R161" s="430"/>
      <c r="S161" s="430"/>
      <c r="T161" s="430"/>
      <c r="U161" s="430"/>
      <c r="V161" s="430"/>
      <c r="W161" s="430"/>
      <c r="X161" s="430"/>
      <c r="Y161" s="430"/>
      <c r="Z161" s="430"/>
      <c r="AA161" s="430"/>
      <c r="AB161" s="430"/>
      <c r="AC161" s="430"/>
      <c r="AD161" s="430"/>
      <c r="AE161" s="430"/>
      <c r="AF161" s="430"/>
      <c r="AG161" s="430"/>
      <c r="AH161" s="430"/>
      <c r="AI161" s="430"/>
      <c r="AJ161" s="430"/>
      <c r="AK161" s="430"/>
      <c r="AL161" s="430"/>
      <c r="AM161" s="430"/>
      <c r="AN161" s="430"/>
      <c r="AO161" s="430"/>
      <c r="AP161" s="430"/>
      <c r="AQ161" s="430"/>
      <c r="AR161" s="430"/>
      <c r="AS161" s="430"/>
      <c r="AT161" s="430"/>
      <c r="AU161" s="430"/>
      <c r="AV161" s="430"/>
      <c r="AW161" s="430"/>
      <c r="AX161" s="430"/>
      <c r="AY161" s="430"/>
      <c r="AZ161" s="430"/>
      <c r="BA161" s="430"/>
      <c r="BB161" s="430"/>
      <c r="BC161" s="430"/>
      <c r="BD161" s="430"/>
      <c r="BE161" s="430"/>
      <c r="BF161" s="430"/>
      <c r="BG161" s="430"/>
      <c r="BH161" s="430"/>
      <c r="BI161" s="430"/>
      <c r="BJ161" s="430"/>
    </row>
    <row r="162" spans="16:62" ht="18.75" customHeight="1">
      <c r="P162" s="430"/>
      <c r="Q162" s="430"/>
      <c r="R162" s="430"/>
      <c r="S162" s="430"/>
      <c r="T162" s="430"/>
      <c r="U162" s="430"/>
      <c r="V162" s="430"/>
      <c r="W162" s="430"/>
      <c r="X162" s="430"/>
      <c r="Y162" s="430"/>
      <c r="Z162" s="430"/>
      <c r="AA162" s="430"/>
      <c r="AB162" s="430"/>
      <c r="AC162" s="430"/>
      <c r="AD162" s="430"/>
      <c r="AE162" s="430"/>
      <c r="AF162" s="430"/>
      <c r="AG162" s="430"/>
      <c r="AH162" s="430"/>
      <c r="AI162" s="430"/>
      <c r="AJ162" s="430"/>
      <c r="AK162" s="430"/>
      <c r="AL162" s="430"/>
      <c r="AM162" s="430"/>
      <c r="AN162" s="430"/>
      <c r="AO162" s="430"/>
      <c r="AP162" s="430"/>
      <c r="AQ162" s="430"/>
      <c r="AR162" s="430"/>
      <c r="AS162" s="430"/>
      <c r="AT162" s="430"/>
      <c r="AU162" s="430"/>
      <c r="AV162" s="430"/>
      <c r="AW162" s="430"/>
      <c r="AX162" s="430"/>
      <c r="AY162" s="430"/>
      <c r="AZ162" s="430"/>
      <c r="BA162" s="430"/>
      <c r="BB162" s="430"/>
      <c r="BC162" s="430"/>
      <c r="BD162" s="430"/>
      <c r="BE162" s="430"/>
      <c r="BF162" s="430"/>
      <c r="BG162" s="430"/>
      <c r="BH162" s="430"/>
      <c r="BI162" s="430"/>
      <c r="BJ162" s="430"/>
    </row>
    <row r="163" spans="16:62" ht="18.75" customHeight="1">
      <c r="P163" s="430"/>
      <c r="Q163" s="430"/>
      <c r="R163" s="430"/>
      <c r="S163" s="430"/>
      <c r="T163" s="430"/>
      <c r="U163" s="430"/>
      <c r="V163" s="430"/>
      <c r="W163" s="430"/>
      <c r="X163" s="430"/>
      <c r="Y163" s="430"/>
      <c r="Z163" s="430"/>
      <c r="AA163" s="430"/>
      <c r="AB163" s="430"/>
      <c r="AC163" s="430"/>
      <c r="AD163" s="430"/>
      <c r="AE163" s="430"/>
      <c r="AF163" s="430"/>
      <c r="AG163" s="430"/>
      <c r="AH163" s="430"/>
      <c r="AI163" s="430"/>
      <c r="AJ163" s="430"/>
      <c r="AK163" s="430"/>
      <c r="AL163" s="430"/>
      <c r="AM163" s="430"/>
      <c r="AN163" s="430"/>
      <c r="AO163" s="430"/>
      <c r="AP163" s="430"/>
      <c r="AQ163" s="430"/>
      <c r="AR163" s="430"/>
      <c r="AS163" s="430"/>
      <c r="AT163" s="430"/>
      <c r="AU163" s="430"/>
      <c r="AV163" s="430"/>
      <c r="AW163" s="430"/>
      <c r="AX163" s="430"/>
      <c r="AY163" s="430"/>
      <c r="AZ163" s="430"/>
      <c r="BA163" s="430"/>
      <c r="BB163" s="430"/>
      <c r="BC163" s="430"/>
      <c r="BD163" s="430"/>
      <c r="BE163" s="430"/>
      <c r="BF163" s="430"/>
      <c r="BG163" s="430"/>
      <c r="BH163" s="430"/>
      <c r="BI163" s="430"/>
      <c r="BJ163" s="430"/>
    </row>
    <row r="164" spans="16:62" ht="18.75" customHeight="1">
      <c r="P164" s="430"/>
      <c r="Q164" s="430"/>
      <c r="R164" s="430"/>
      <c r="S164" s="430"/>
      <c r="T164" s="430"/>
      <c r="U164" s="430"/>
      <c r="V164" s="430"/>
      <c r="W164" s="430"/>
      <c r="X164" s="430"/>
      <c r="Y164" s="430"/>
      <c r="Z164" s="430"/>
      <c r="AA164" s="430"/>
      <c r="AB164" s="430"/>
      <c r="AC164" s="430"/>
      <c r="AD164" s="430"/>
      <c r="AE164" s="430"/>
      <c r="AF164" s="430"/>
      <c r="AG164" s="430"/>
      <c r="AH164" s="430"/>
      <c r="AI164" s="430"/>
      <c r="AJ164" s="430"/>
      <c r="AK164" s="430"/>
      <c r="AL164" s="430"/>
      <c r="AM164" s="430"/>
      <c r="AN164" s="430"/>
      <c r="AO164" s="430"/>
      <c r="AP164" s="430"/>
      <c r="AQ164" s="430"/>
      <c r="AR164" s="430"/>
      <c r="AS164" s="430"/>
      <c r="AT164" s="430"/>
      <c r="AU164" s="430"/>
      <c r="AV164" s="430"/>
      <c r="AW164" s="430"/>
      <c r="AX164" s="430"/>
      <c r="AY164" s="430"/>
      <c r="AZ164" s="430"/>
      <c r="BA164" s="430"/>
      <c r="BB164" s="430"/>
      <c r="BC164" s="430"/>
      <c r="BD164" s="430"/>
      <c r="BE164" s="430"/>
      <c r="BF164" s="430"/>
      <c r="BG164" s="430"/>
      <c r="BH164" s="430"/>
      <c r="BI164" s="430"/>
      <c r="BJ164" s="430"/>
    </row>
    <row r="165" spans="16:62" ht="18.75" customHeight="1">
      <c r="P165" s="430"/>
      <c r="Q165" s="430"/>
      <c r="R165" s="430"/>
      <c r="S165" s="430"/>
      <c r="T165" s="430"/>
      <c r="U165" s="430"/>
      <c r="V165" s="430"/>
      <c r="W165" s="430"/>
      <c r="X165" s="430"/>
      <c r="Y165" s="430"/>
      <c r="Z165" s="430"/>
      <c r="AA165" s="430"/>
      <c r="AB165" s="430"/>
      <c r="AC165" s="430"/>
      <c r="AD165" s="430"/>
      <c r="AE165" s="430"/>
      <c r="AF165" s="430"/>
      <c r="AG165" s="430"/>
      <c r="AH165" s="430"/>
      <c r="AI165" s="430"/>
      <c r="AJ165" s="430"/>
      <c r="AK165" s="430"/>
      <c r="AL165" s="430"/>
      <c r="AM165" s="430"/>
      <c r="AN165" s="430"/>
      <c r="AO165" s="430"/>
      <c r="AP165" s="430"/>
      <c r="AQ165" s="430"/>
      <c r="AR165" s="430"/>
      <c r="AS165" s="430"/>
      <c r="AT165" s="430"/>
      <c r="AU165" s="430"/>
      <c r="AV165" s="430"/>
      <c r="AW165" s="430"/>
      <c r="AX165" s="430"/>
      <c r="AY165" s="430"/>
      <c r="AZ165" s="430"/>
      <c r="BA165" s="430"/>
      <c r="BB165" s="430"/>
      <c r="BC165" s="430"/>
      <c r="BD165" s="430"/>
      <c r="BE165" s="430"/>
      <c r="BF165" s="430"/>
      <c r="BG165" s="430"/>
      <c r="BH165" s="430"/>
      <c r="BI165" s="430"/>
      <c r="BJ165" s="430"/>
    </row>
    <row r="166" spans="16:62" ht="18.75" customHeight="1">
      <c r="P166" s="430"/>
      <c r="Q166" s="430"/>
      <c r="R166" s="430"/>
      <c r="S166" s="430"/>
      <c r="T166" s="430"/>
      <c r="U166" s="430"/>
      <c r="V166" s="430"/>
      <c r="W166" s="430"/>
      <c r="X166" s="430"/>
      <c r="Y166" s="430"/>
      <c r="Z166" s="430"/>
      <c r="AA166" s="430"/>
      <c r="AB166" s="430"/>
      <c r="AC166" s="430"/>
      <c r="AD166" s="430"/>
      <c r="AE166" s="430"/>
      <c r="AF166" s="430"/>
      <c r="AG166" s="430"/>
      <c r="AH166" s="430"/>
      <c r="AI166" s="430"/>
      <c r="AJ166" s="430"/>
      <c r="AK166" s="430"/>
      <c r="AL166" s="430"/>
      <c r="AM166" s="430"/>
      <c r="AN166" s="430"/>
      <c r="AO166" s="430"/>
      <c r="AP166" s="430"/>
      <c r="AQ166" s="430"/>
      <c r="AR166" s="430"/>
      <c r="AS166" s="430"/>
      <c r="AT166" s="430"/>
      <c r="AU166" s="430"/>
      <c r="AV166" s="430"/>
      <c r="AW166" s="430"/>
      <c r="AX166" s="430"/>
      <c r="AY166" s="430"/>
      <c r="AZ166" s="430"/>
      <c r="BA166" s="430"/>
      <c r="BB166" s="430"/>
      <c r="BC166" s="430"/>
      <c r="BD166" s="430"/>
      <c r="BE166" s="430"/>
      <c r="BF166" s="430"/>
      <c r="BG166" s="430"/>
      <c r="BH166" s="430"/>
      <c r="BI166" s="430"/>
      <c r="BJ166" s="430"/>
    </row>
    <row r="167" spans="16:62" ht="18.75" customHeight="1">
      <c r="P167" s="430"/>
      <c r="Q167" s="430"/>
      <c r="R167" s="430"/>
      <c r="S167" s="430"/>
      <c r="T167" s="430"/>
      <c r="U167" s="430"/>
      <c r="V167" s="430"/>
      <c r="W167" s="430"/>
      <c r="X167" s="430"/>
      <c r="Y167" s="430"/>
      <c r="Z167" s="430"/>
      <c r="AA167" s="430"/>
      <c r="AB167" s="430"/>
      <c r="AC167" s="430"/>
      <c r="AD167" s="430"/>
      <c r="AE167" s="430"/>
      <c r="AF167" s="430"/>
      <c r="AG167" s="430"/>
      <c r="AH167" s="430"/>
      <c r="AI167" s="430"/>
      <c r="AJ167" s="430"/>
      <c r="AK167" s="430"/>
      <c r="AL167" s="430"/>
      <c r="AM167" s="430"/>
      <c r="AN167" s="430"/>
      <c r="AO167" s="430"/>
      <c r="AP167" s="430"/>
      <c r="AQ167" s="430"/>
      <c r="AR167" s="430"/>
      <c r="AS167" s="430"/>
      <c r="AT167" s="430"/>
      <c r="AU167" s="430"/>
      <c r="AV167" s="430"/>
      <c r="AW167" s="430"/>
      <c r="AX167" s="430"/>
      <c r="AY167" s="430"/>
      <c r="AZ167" s="430"/>
      <c r="BA167" s="430"/>
      <c r="BB167" s="430"/>
      <c r="BC167" s="430"/>
      <c r="BD167" s="430"/>
      <c r="BE167" s="430"/>
      <c r="BF167" s="430"/>
      <c r="BG167" s="430"/>
      <c r="BH167" s="430"/>
      <c r="BI167" s="430"/>
      <c r="BJ167" s="430"/>
    </row>
    <row r="168" spans="16:62" ht="18.75" customHeight="1">
      <c r="P168" s="430"/>
      <c r="Q168" s="430"/>
      <c r="R168" s="430"/>
      <c r="S168" s="430"/>
      <c r="T168" s="430"/>
      <c r="U168" s="430"/>
      <c r="V168" s="430"/>
      <c r="W168" s="430"/>
      <c r="X168" s="430"/>
      <c r="Y168" s="430"/>
      <c r="Z168" s="430"/>
      <c r="AA168" s="430"/>
      <c r="AB168" s="430"/>
      <c r="AC168" s="430"/>
      <c r="AD168" s="430"/>
      <c r="AE168" s="430"/>
      <c r="AF168" s="430"/>
      <c r="AG168" s="430"/>
      <c r="AH168" s="430"/>
      <c r="AI168" s="430"/>
      <c r="AJ168" s="430"/>
      <c r="AK168" s="430"/>
      <c r="AL168" s="430"/>
      <c r="AM168" s="430"/>
      <c r="AN168" s="430"/>
      <c r="AO168" s="430"/>
      <c r="AP168" s="430"/>
      <c r="AQ168" s="430"/>
      <c r="AR168" s="430"/>
      <c r="AS168" s="430"/>
      <c r="AT168" s="430"/>
      <c r="AU168" s="430"/>
      <c r="AV168" s="430"/>
      <c r="AW168" s="430"/>
      <c r="AX168" s="430"/>
      <c r="AY168" s="430"/>
      <c r="AZ168" s="430"/>
      <c r="BA168" s="430"/>
      <c r="BB168" s="430"/>
      <c r="BC168" s="430"/>
      <c r="BD168" s="430"/>
      <c r="BE168" s="430"/>
      <c r="BF168" s="430"/>
      <c r="BG168" s="430"/>
      <c r="BH168" s="430"/>
      <c r="BI168" s="430"/>
      <c r="BJ168" s="430"/>
    </row>
    <row r="169" spans="16:62" ht="18.75" customHeight="1">
      <c r="P169" s="430"/>
      <c r="Q169" s="430"/>
      <c r="R169" s="430"/>
      <c r="S169" s="430"/>
      <c r="T169" s="430"/>
      <c r="U169" s="430"/>
      <c r="V169" s="430"/>
      <c r="W169" s="430"/>
      <c r="X169" s="430"/>
      <c r="Y169" s="430"/>
      <c r="Z169" s="430"/>
      <c r="AA169" s="430"/>
      <c r="AB169" s="430"/>
      <c r="AC169" s="430"/>
      <c r="AD169" s="430"/>
      <c r="AE169" s="430"/>
      <c r="AF169" s="430"/>
      <c r="AG169" s="430"/>
      <c r="AH169" s="430"/>
      <c r="AI169" s="430"/>
      <c r="AJ169" s="430"/>
      <c r="AK169" s="430"/>
      <c r="AL169" s="430"/>
      <c r="AM169" s="430"/>
      <c r="AN169" s="430"/>
      <c r="AO169" s="430"/>
      <c r="AP169" s="430"/>
      <c r="AQ169" s="430"/>
      <c r="AR169" s="430"/>
      <c r="AS169" s="430"/>
      <c r="AT169" s="430"/>
      <c r="AU169" s="430"/>
      <c r="AV169" s="430"/>
      <c r="AW169" s="430"/>
      <c r="AX169" s="430"/>
      <c r="AY169" s="430"/>
      <c r="AZ169" s="430"/>
      <c r="BA169" s="430"/>
      <c r="BB169" s="430"/>
      <c r="BC169" s="430"/>
      <c r="BD169" s="430"/>
      <c r="BE169" s="430"/>
      <c r="BF169" s="430"/>
      <c r="BG169" s="430"/>
      <c r="BH169" s="430"/>
      <c r="BI169" s="430"/>
      <c r="BJ169" s="430"/>
    </row>
    <row r="170" spans="16:62" ht="18.75" customHeight="1"/>
    <row r="171" spans="16:62" ht="18.75" customHeight="1"/>
    <row r="172" spans="16:62" ht="18.75" customHeight="1"/>
    <row r="173" spans="16:62" ht="18.75" customHeight="1"/>
    <row r="174" spans="16:62" ht="18.75" customHeight="1"/>
    <row r="175" spans="16:62" ht="18.75" customHeight="1"/>
    <row r="176" spans="16:62" ht="18.75" customHeight="1"/>
    <row r="177" ht="18.75" customHeight="1"/>
    <row r="178" ht="18.75" customHeight="1"/>
    <row r="179" ht="18.75" customHeight="1"/>
    <row r="180" ht="18.75" customHeight="1"/>
    <row r="181" ht="18.75" customHeight="1"/>
    <row r="182" ht="18.75" customHeight="1"/>
    <row r="183" ht="18.75" customHeight="1"/>
    <row r="184" ht="18.75" customHeight="1"/>
    <row r="185" ht="18.75" customHeight="1"/>
    <row r="186" ht="18.75" customHeight="1"/>
    <row r="187" ht="18.75" customHeight="1"/>
    <row r="188" ht="18.75" customHeight="1"/>
    <row r="189" ht="18.75" customHeight="1"/>
    <row r="190" ht="18.75" customHeight="1"/>
    <row r="191" ht="18.75" customHeight="1"/>
    <row r="192" ht="18.75" customHeight="1"/>
    <row r="193" ht="18.75" customHeight="1"/>
    <row r="194" ht="18.75" customHeight="1"/>
    <row r="195" ht="18.75" customHeight="1"/>
    <row r="196" ht="18.75" customHeight="1"/>
    <row r="197" ht="18.75" customHeight="1"/>
    <row r="198" ht="18.75" customHeight="1"/>
    <row r="199" ht="18.75" customHeight="1"/>
    <row r="200" ht="18.75" customHeight="1"/>
    <row r="201" ht="18.75" customHeight="1"/>
    <row r="202" ht="18.75" customHeight="1"/>
    <row r="203" ht="18.75" customHeight="1"/>
    <row r="204" ht="18.75" customHeight="1"/>
    <row r="205" ht="18.75" customHeight="1"/>
    <row r="206" ht="18.75" customHeight="1"/>
    <row r="207" ht="18.75" customHeight="1"/>
    <row r="208" ht="18.75" customHeight="1"/>
    <row r="209" ht="18.75" customHeight="1"/>
    <row r="210" ht="18.75" customHeight="1"/>
    <row r="211" ht="18.75" customHeight="1"/>
    <row r="212" ht="18.75" customHeight="1"/>
    <row r="213" ht="18.75" customHeight="1"/>
    <row r="214" ht="18.75" customHeight="1"/>
    <row r="215" ht="18.75" customHeight="1"/>
    <row r="216" ht="18.75" customHeight="1"/>
    <row r="217" ht="18.75" customHeight="1"/>
    <row r="218" ht="18.75" customHeight="1"/>
    <row r="219" ht="18.75" customHeight="1"/>
    <row r="220" ht="18.75" customHeight="1"/>
    <row r="221" ht="18.75" customHeight="1"/>
    <row r="222" ht="18.75" customHeight="1"/>
    <row r="223" ht="18.75" customHeight="1"/>
    <row r="224" ht="18.75" customHeight="1"/>
    <row r="225" ht="18.75" customHeight="1"/>
    <row r="226" ht="18.75" customHeight="1"/>
    <row r="227" ht="18.75" customHeight="1"/>
    <row r="228" ht="18.75" customHeight="1"/>
    <row r="229" ht="18.75" customHeight="1"/>
    <row r="230" ht="18.75" customHeight="1"/>
    <row r="231" ht="18.75" customHeight="1"/>
    <row r="232" ht="18.75" customHeight="1"/>
    <row r="233" ht="18.75" customHeight="1"/>
    <row r="234" ht="18.75" customHeight="1"/>
    <row r="235" ht="18.75" customHeight="1"/>
    <row r="236" ht="18.75" customHeight="1"/>
    <row r="237" ht="18.75" customHeight="1"/>
    <row r="238" ht="18.75" customHeight="1"/>
    <row r="239" ht="18.75" customHeight="1"/>
    <row r="240" ht="18.75" customHeight="1"/>
    <row r="241" ht="18.75" customHeight="1"/>
    <row r="242" ht="18.75" customHeight="1"/>
    <row r="243" ht="18.75" customHeight="1"/>
    <row r="244" ht="18.75" customHeight="1"/>
    <row r="245" ht="18.75" customHeight="1"/>
    <row r="246" ht="18.75" customHeight="1"/>
    <row r="247" ht="18.75" customHeight="1"/>
    <row r="248" ht="18.75" customHeight="1"/>
    <row r="249" ht="18.75" customHeight="1"/>
    <row r="250" ht="18.75" customHeight="1"/>
    <row r="251" ht="18.75" customHeight="1"/>
    <row r="252" ht="18.75" customHeight="1"/>
    <row r="253" ht="18.75" customHeight="1"/>
    <row r="254" ht="18.75" customHeight="1"/>
    <row r="255" ht="18.75" customHeight="1"/>
    <row r="256" ht="18.75" customHeight="1"/>
    <row r="257" ht="18.75" customHeight="1"/>
    <row r="258" ht="18.75" customHeight="1"/>
    <row r="259" ht="18.75" customHeight="1"/>
    <row r="260" ht="18.75" customHeight="1"/>
    <row r="261" ht="18.75" customHeight="1"/>
    <row r="262" ht="18.75" customHeight="1"/>
    <row r="263" ht="18.75" customHeight="1"/>
    <row r="264" ht="18.75" customHeight="1"/>
    <row r="265" ht="18.75" customHeight="1"/>
    <row r="266" ht="18.75" customHeight="1"/>
    <row r="267" ht="18.75" customHeight="1"/>
    <row r="268" ht="18.75" customHeight="1"/>
    <row r="269" ht="18.75" customHeight="1"/>
    <row r="270" ht="18.75" customHeight="1"/>
    <row r="271" ht="18.75" customHeight="1"/>
    <row r="272" ht="18.75" customHeight="1"/>
    <row r="273" ht="18.75" customHeight="1"/>
    <row r="274" ht="18.75" customHeight="1"/>
    <row r="275" ht="18.75" customHeight="1"/>
    <row r="276" ht="18.75" customHeight="1"/>
    <row r="277" ht="18.75" customHeight="1"/>
    <row r="278" ht="18.75" customHeight="1"/>
    <row r="279" ht="18.75" customHeight="1"/>
    <row r="280" ht="18.75" customHeight="1"/>
    <row r="281" ht="18.75" customHeight="1"/>
    <row r="282" ht="18.75" customHeight="1"/>
    <row r="283" ht="18.75" customHeight="1"/>
    <row r="284" ht="18.75" customHeight="1"/>
    <row r="285" ht="18.75" customHeight="1"/>
    <row r="286" ht="18.75" customHeight="1"/>
    <row r="287" ht="18.75" customHeight="1"/>
    <row r="288" ht="18.75" customHeight="1"/>
    <row r="289" ht="18.75" customHeight="1"/>
    <row r="290" ht="18.75" customHeight="1"/>
    <row r="291" ht="18.75" customHeight="1"/>
    <row r="292" ht="18.75" customHeight="1"/>
    <row r="293" ht="18.75" customHeight="1"/>
    <row r="294" ht="18.75" customHeight="1"/>
    <row r="295" ht="18.75" customHeight="1"/>
    <row r="296" ht="18.75" customHeight="1"/>
    <row r="297" ht="18.75" customHeight="1"/>
    <row r="298" ht="18.75" customHeight="1"/>
    <row r="299" ht="18.75" customHeight="1"/>
    <row r="300" ht="18.75" customHeight="1"/>
    <row r="301" ht="18.75" customHeight="1"/>
    <row r="302" ht="18.75" customHeight="1"/>
    <row r="303" ht="18.75" customHeight="1"/>
    <row r="304" ht="18.75" customHeight="1"/>
    <row r="305" ht="18.75" customHeight="1"/>
    <row r="306" ht="18.75" customHeight="1"/>
    <row r="307" ht="18.75" customHeight="1"/>
    <row r="308" ht="18.75" customHeight="1"/>
    <row r="309" ht="18.75" customHeight="1"/>
    <row r="310" ht="18.75" customHeight="1"/>
    <row r="311" ht="18.75" customHeight="1"/>
    <row r="312" ht="18.75" customHeight="1"/>
    <row r="313" ht="18.75" customHeight="1"/>
    <row r="314" ht="18.75" customHeight="1"/>
    <row r="315" ht="18.75" customHeight="1"/>
    <row r="316" ht="18.75" customHeight="1"/>
    <row r="317" ht="18.75" customHeight="1"/>
    <row r="318" ht="18.75" customHeight="1"/>
    <row r="319" ht="18.75" customHeight="1"/>
    <row r="320" ht="18.75" customHeight="1"/>
    <row r="321" ht="18.75" customHeight="1"/>
    <row r="322" ht="18.75" customHeight="1"/>
    <row r="323" ht="18.75" customHeight="1"/>
    <row r="324" ht="18.75" customHeight="1"/>
    <row r="325" ht="18.75" customHeight="1"/>
    <row r="326" ht="18.75" customHeight="1"/>
    <row r="327" ht="18.75" customHeight="1"/>
    <row r="328" ht="18.75" customHeight="1"/>
    <row r="329" ht="18.75" customHeight="1"/>
    <row r="330" ht="18.75" customHeight="1"/>
    <row r="331" ht="18.75" customHeight="1"/>
    <row r="332" ht="18.75" customHeight="1"/>
    <row r="333" ht="18.75" customHeight="1"/>
    <row r="334" ht="18.75" customHeight="1"/>
    <row r="335" ht="18.75" customHeight="1"/>
    <row r="336" ht="18.75" customHeight="1"/>
    <row r="337" ht="18.75" customHeight="1"/>
    <row r="338" ht="18.75" customHeight="1"/>
    <row r="339" ht="18.75" customHeight="1"/>
    <row r="340" ht="18.75" customHeight="1"/>
    <row r="341" ht="18.75" customHeight="1"/>
    <row r="342" ht="18.75" customHeight="1"/>
    <row r="343" ht="18.75" customHeight="1"/>
    <row r="344" ht="18.75" customHeight="1"/>
    <row r="345" ht="18.75" customHeight="1"/>
    <row r="346" ht="18.75" customHeight="1"/>
    <row r="347" ht="18.75" customHeight="1"/>
    <row r="348" ht="18.75" customHeight="1"/>
    <row r="349" ht="18.75" customHeight="1"/>
    <row r="350" ht="18.75" customHeight="1"/>
    <row r="351" ht="18.75" customHeight="1"/>
    <row r="352" ht="18.75" customHeight="1"/>
    <row r="353" ht="18.75" customHeight="1"/>
    <row r="354" ht="18.75" customHeight="1"/>
    <row r="355" ht="18.75" customHeight="1"/>
    <row r="356" ht="18.75" customHeight="1"/>
    <row r="357" ht="18.75" customHeight="1"/>
    <row r="358" ht="18.75" customHeight="1"/>
    <row r="359" ht="18.75" customHeight="1"/>
    <row r="360" ht="18.75" customHeight="1"/>
    <row r="361" ht="18.75" customHeight="1"/>
    <row r="362" ht="18.75" customHeight="1"/>
    <row r="363" ht="18.75" customHeight="1"/>
    <row r="364" ht="18.75" customHeight="1"/>
    <row r="365" ht="18.75" customHeight="1"/>
    <row r="366" ht="18.75" customHeight="1"/>
    <row r="367" ht="18.75" customHeight="1"/>
    <row r="368" ht="18.75" customHeight="1"/>
    <row r="369" ht="18.75" customHeight="1"/>
    <row r="370" ht="18.75" customHeight="1"/>
    <row r="371" ht="18.75" customHeight="1"/>
    <row r="372" ht="18.75" customHeight="1"/>
    <row r="373" ht="18.75" customHeight="1"/>
    <row r="374" ht="18.75" customHeight="1"/>
    <row r="375" ht="18.75" customHeight="1"/>
    <row r="376" ht="18.75" customHeight="1"/>
    <row r="377" ht="18.75" customHeight="1"/>
    <row r="378" ht="18.75" customHeight="1"/>
    <row r="379" ht="18.75" customHeight="1"/>
    <row r="380" ht="18.75" customHeight="1"/>
    <row r="381" ht="18.75" customHeight="1"/>
    <row r="382" ht="18.75" customHeight="1"/>
    <row r="383" ht="18.75" customHeight="1"/>
    <row r="384" ht="18.75" customHeight="1"/>
    <row r="385" ht="18.75" customHeight="1"/>
    <row r="386" ht="18.75" customHeight="1"/>
    <row r="387" ht="18.75" customHeight="1"/>
    <row r="388" ht="18.75" customHeight="1"/>
    <row r="389" ht="18.75" customHeight="1"/>
    <row r="390" ht="18.75" customHeight="1"/>
    <row r="391" ht="18.75" customHeight="1"/>
    <row r="392" ht="18.75" customHeight="1"/>
    <row r="393" ht="18.75" customHeight="1"/>
    <row r="394" ht="18.75" customHeight="1"/>
    <row r="395" ht="18.75" customHeight="1"/>
    <row r="396" ht="18.75" customHeight="1"/>
    <row r="397" ht="18.75" customHeight="1"/>
    <row r="398" ht="18.75" customHeight="1"/>
    <row r="399" ht="18.75" customHeight="1"/>
    <row r="400" ht="18.75" customHeight="1"/>
    <row r="401" ht="18.75" customHeight="1"/>
    <row r="402" ht="18.75" customHeight="1"/>
    <row r="403" ht="18.75" customHeight="1"/>
    <row r="404" ht="18.75" customHeight="1"/>
    <row r="405" ht="18.75" customHeight="1"/>
    <row r="406" ht="18.75" customHeight="1"/>
    <row r="407" ht="18.75" customHeight="1"/>
    <row r="408" ht="18.75" customHeight="1"/>
    <row r="409" ht="18.75" customHeight="1"/>
    <row r="410" ht="18.75" customHeight="1"/>
    <row r="411" ht="18.75" customHeight="1"/>
    <row r="412" ht="18.75" customHeight="1"/>
    <row r="413" ht="18.75" customHeight="1"/>
    <row r="414" ht="18.75" customHeight="1"/>
    <row r="415" ht="18.75" customHeight="1"/>
    <row r="416" ht="18.75" customHeight="1"/>
    <row r="417" ht="18.75" customHeight="1"/>
    <row r="418" ht="18.75" customHeight="1"/>
    <row r="419" ht="18.75" customHeight="1"/>
    <row r="420" ht="18.75" customHeight="1"/>
    <row r="421" ht="18.75" customHeight="1"/>
    <row r="422" ht="18.75" customHeight="1"/>
    <row r="423" ht="18.75" customHeight="1"/>
    <row r="424" ht="18.75" customHeight="1"/>
    <row r="425" ht="18.75" customHeight="1"/>
    <row r="426" ht="18.75" customHeight="1"/>
    <row r="427" ht="18.75" customHeight="1"/>
    <row r="428" ht="18.75" customHeight="1"/>
    <row r="429" ht="18.75" customHeight="1"/>
    <row r="430" ht="18.75" customHeight="1"/>
    <row r="431" ht="18.75" customHeight="1"/>
    <row r="432" ht="18.75" customHeight="1"/>
    <row r="433" ht="18.75" customHeight="1"/>
    <row r="434" ht="18.75" customHeight="1"/>
    <row r="435" ht="18.75" customHeight="1"/>
  </sheetData>
  <mergeCells count="252">
    <mergeCell ref="BP30:BP31"/>
    <mergeCell ref="BQ30:BQ31"/>
    <mergeCell ref="BR30:BR31"/>
    <mergeCell ref="BS30:BT30"/>
    <mergeCell ref="BI30:BI31"/>
    <mergeCell ref="BJ30:BJ31"/>
    <mergeCell ref="BK30:BK31"/>
    <mergeCell ref="BL30:BL31"/>
    <mergeCell ref="BM30:BM31"/>
    <mergeCell ref="BN30:BO30"/>
    <mergeCell ref="BC30:BC31"/>
    <mergeCell ref="BD30:BD31"/>
    <mergeCell ref="BE30:BE31"/>
    <mergeCell ref="BF30:BF31"/>
    <mergeCell ref="BG30:BG31"/>
    <mergeCell ref="BH30:BH31"/>
    <mergeCell ref="AU30:AV30"/>
    <mergeCell ref="AW30:AW31"/>
    <mergeCell ref="AX30:AX31"/>
    <mergeCell ref="AY30:AY31"/>
    <mergeCell ref="AZ30:BA30"/>
    <mergeCell ref="BB30:BB31"/>
    <mergeCell ref="AO30:AO31"/>
    <mergeCell ref="AP30:AP31"/>
    <mergeCell ref="AQ30:AQ31"/>
    <mergeCell ref="AR30:AR31"/>
    <mergeCell ref="AS30:AS31"/>
    <mergeCell ref="AT30:AT31"/>
    <mergeCell ref="AI30:AI31"/>
    <mergeCell ref="AJ30:AJ31"/>
    <mergeCell ref="AK30:AK31"/>
    <mergeCell ref="AL30:AL31"/>
    <mergeCell ref="AM30:AM31"/>
    <mergeCell ref="AN30:AN31"/>
    <mergeCell ref="AE30:AE31"/>
    <mergeCell ref="AF30:AF31"/>
    <mergeCell ref="AG30:AH30"/>
    <mergeCell ref="U30:U31"/>
    <mergeCell ref="V30:V31"/>
    <mergeCell ref="W30:W31"/>
    <mergeCell ref="X30:X31"/>
    <mergeCell ref="Y30:Y31"/>
    <mergeCell ref="Z30:Z31"/>
    <mergeCell ref="B30:B31"/>
    <mergeCell ref="C30:C31"/>
    <mergeCell ref="D30:D31"/>
    <mergeCell ref="E30:E31"/>
    <mergeCell ref="F30:F31"/>
    <mergeCell ref="G30:G31"/>
    <mergeCell ref="AW29:BA29"/>
    <mergeCell ref="BB29:BD29"/>
    <mergeCell ref="BE29:BG29"/>
    <mergeCell ref="N30:O30"/>
    <mergeCell ref="P30:P31"/>
    <mergeCell ref="Q30:Q31"/>
    <mergeCell ref="R30:R31"/>
    <mergeCell ref="S30:S31"/>
    <mergeCell ref="T30:T31"/>
    <mergeCell ref="H30:H31"/>
    <mergeCell ref="I30:I31"/>
    <mergeCell ref="J30:J31"/>
    <mergeCell ref="K30:K31"/>
    <mergeCell ref="L30:L31"/>
    <mergeCell ref="M30:M31"/>
    <mergeCell ref="AA30:AA31"/>
    <mergeCell ref="AB30:AC30"/>
    <mergeCell ref="AD30:AD31"/>
    <mergeCell ref="BH29:BJ29"/>
    <mergeCell ref="BK29:BO29"/>
    <mergeCell ref="BP29:BT29"/>
    <mergeCell ref="Y29:AC29"/>
    <mergeCell ref="AD29:AH29"/>
    <mergeCell ref="AI29:AK29"/>
    <mergeCell ref="AL29:AN29"/>
    <mergeCell ref="AO29:AQ29"/>
    <mergeCell ref="AR29:AV29"/>
    <mergeCell ref="BR15:BR16"/>
    <mergeCell ref="BS15:BT15"/>
    <mergeCell ref="A29:A31"/>
    <mergeCell ref="B29:D29"/>
    <mergeCell ref="E29:G29"/>
    <mergeCell ref="H29:J29"/>
    <mergeCell ref="K29:O29"/>
    <mergeCell ref="P29:R29"/>
    <mergeCell ref="S29:U29"/>
    <mergeCell ref="V29:X29"/>
    <mergeCell ref="BK15:BK16"/>
    <mergeCell ref="BL15:BL16"/>
    <mergeCell ref="BM15:BM16"/>
    <mergeCell ref="BN15:BO15"/>
    <mergeCell ref="BP15:BP16"/>
    <mergeCell ref="BQ15:BQ16"/>
    <mergeCell ref="BE15:BE16"/>
    <mergeCell ref="BF15:BF16"/>
    <mergeCell ref="BG15:BG16"/>
    <mergeCell ref="BH15:BH16"/>
    <mergeCell ref="BI15:BI16"/>
    <mergeCell ref="BJ15:BJ16"/>
    <mergeCell ref="AX15:AX16"/>
    <mergeCell ref="AY15:AY16"/>
    <mergeCell ref="AZ15:BA15"/>
    <mergeCell ref="BB15:BB16"/>
    <mergeCell ref="BC15:BC16"/>
    <mergeCell ref="BD15:BD16"/>
    <mergeCell ref="AQ15:AQ16"/>
    <mergeCell ref="AR15:AR16"/>
    <mergeCell ref="AS15:AS16"/>
    <mergeCell ref="AT15:AT16"/>
    <mergeCell ref="AU15:AV15"/>
    <mergeCell ref="AW15:AW16"/>
    <mergeCell ref="AK15:AK16"/>
    <mergeCell ref="AL15:AL16"/>
    <mergeCell ref="AM15:AM16"/>
    <mergeCell ref="AN15:AN16"/>
    <mergeCell ref="AO15:AO16"/>
    <mergeCell ref="AP15:AP16"/>
    <mergeCell ref="AD15:AD16"/>
    <mergeCell ref="AE15:AE16"/>
    <mergeCell ref="AF15:AF16"/>
    <mergeCell ref="AG15:AH15"/>
    <mergeCell ref="AI15:AI16"/>
    <mergeCell ref="AJ15:AJ16"/>
    <mergeCell ref="W15:W16"/>
    <mergeCell ref="X15:X16"/>
    <mergeCell ref="Y15:Y16"/>
    <mergeCell ref="Z15:Z16"/>
    <mergeCell ref="AA15:AA16"/>
    <mergeCell ref="AB15:AC15"/>
    <mergeCell ref="Q15:Q16"/>
    <mergeCell ref="R15:R16"/>
    <mergeCell ref="S15:S16"/>
    <mergeCell ref="T15:T16"/>
    <mergeCell ref="U15:U16"/>
    <mergeCell ref="V15:V16"/>
    <mergeCell ref="J15:J16"/>
    <mergeCell ref="K15:K16"/>
    <mergeCell ref="L15:L16"/>
    <mergeCell ref="M15:M16"/>
    <mergeCell ref="N15:O15"/>
    <mergeCell ref="P15:P16"/>
    <mergeCell ref="BK14:BO14"/>
    <mergeCell ref="BP14:BT14"/>
    <mergeCell ref="B15:B16"/>
    <mergeCell ref="C15:C16"/>
    <mergeCell ref="D15:D16"/>
    <mergeCell ref="E15:E16"/>
    <mergeCell ref="F15:F16"/>
    <mergeCell ref="G15:G16"/>
    <mergeCell ref="H15:H16"/>
    <mergeCell ref="I15:I16"/>
    <mergeCell ref="AO14:AQ14"/>
    <mergeCell ref="AR14:AV14"/>
    <mergeCell ref="AW14:BA14"/>
    <mergeCell ref="BB14:BD14"/>
    <mergeCell ref="BE14:BG14"/>
    <mergeCell ref="BH14:BJ14"/>
    <mergeCell ref="S14:U14"/>
    <mergeCell ref="V14:X14"/>
    <mergeCell ref="Y14:AC14"/>
    <mergeCell ref="AD14:AH14"/>
    <mergeCell ref="AI14:AK14"/>
    <mergeCell ref="AL14:AN14"/>
    <mergeCell ref="BP6:BP7"/>
    <mergeCell ref="BQ6:BQ7"/>
    <mergeCell ref="BR6:BR7"/>
    <mergeCell ref="BS6:BT6"/>
    <mergeCell ref="A14:A16"/>
    <mergeCell ref="B14:D14"/>
    <mergeCell ref="E14:G14"/>
    <mergeCell ref="H14:J14"/>
    <mergeCell ref="K14:O14"/>
    <mergeCell ref="P14:R14"/>
    <mergeCell ref="BI6:BI7"/>
    <mergeCell ref="BJ6:BJ7"/>
    <mergeCell ref="BK6:BK7"/>
    <mergeCell ref="BL6:BL7"/>
    <mergeCell ref="BM6:BM7"/>
    <mergeCell ref="BN6:BO6"/>
    <mergeCell ref="BC6:BC7"/>
    <mergeCell ref="BD6:BD7"/>
    <mergeCell ref="BE6:BE7"/>
    <mergeCell ref="BF6:BF7"/>
    <mergeCell ref="BG6:BG7"/>
    <mergeCell ref="BH6:BH7"/>
    <mergeCell ref="AU6:AV6"/>
    <mergeCell ref="AW6:AW7"/>
    <mergeCell ref="AX6:AX7"/>
    <mergeCell ref="AY6:AY7"/>
    <mergeCell ref="AZ6:BA6"/>
    <mergeCell ref="BB6:BB7"/>
    <mergeCell ref="AO6:AO7"/>
    <mergeCell ref="AP6:AP7"/>
    <mergeCell ref="AQ6:AQ7"/>
    <mergeCell ref="AR6:AR7"/>
    <mergeCell ref="AS6:AS7"/>
    <mergeCell ref="AT6:AT7"/>
    <mergeCell ref="AI6:AI7"/>
    <mergeCell ref="AJ6:AJ7"/>
    <mergeCell ref="AK6:AK7"/>
    <mergeCell ref="AL6:AL7"/>
    <mergeCell ref="AM6:AM7"/>
    <mergeCell ref="AN6:AN7"/>
    <mergeCell ref="AA6:AA7"/>
    <mergeCell ref="AB6:AC6"/>
    <mergeCell ref="AD6:AD7"/>
    <mergeCell ref="AE6:AE7"/>
    <mergeCell ref="AF6:AF7"/>
    <mergeCell ref="AG6:AH6"/>
    <mergeCell ref="W6:W7"/>
    <mergeCell ref="X6:X7"/>
    <mergeCell ref="Y6:Y7"/>
    <mergeCell ref="Z6:Z7"/>
    <mergeCell ref="N6:O6"/>
    <mergeCell ref="P6:P7"/>
    <mergeCell ref="Q6:Q7"/>
    <mergeCell ref="R6:R7"/>
    <mergeCell ref="S6:S7"/>
    <mergeCell ref="T6:T7"/>
    <mergeCell ref="BK5:BO5"/>
    <mergeCell ref="BP5:BT5"/>
    <mergeCell ref="B6:B7"/>
    <mergeCell ref="C6:C7"/>
    <mergeCell ref="D6:D7"/>
    <mergeCell ref="E6:E7"/>
    <mergeCell ref="F6:F7"/>
    <mergeCell ref="G6:G7"/>
    <mergeCell ref="H6:H7"/>
    <mergeCell ref="I6:I7"/>
    <mergeCell ref="AO5:AQ5"/>
    <mergeCell ref="AR5:AV5"/>
    <mergeCell ref="AW5:BA5"/>
    <mergeCell ref="BB5:BD5"/>
    <mergeCell ref="BE5:BG5"/>
    <mergeCell ref="BH5:BJ5"/>
    <mergeCell ref="S5:U5"/>
    <mergeCell ref="V5:X5"/>
    <mergeCell ref="Y5:AC5"/>
    <mergeCell ref="AD5:AH5"/>
    <mergeCell ref="AI5:AK5"/>
    <mergeCell ref="AL5:AN5"/>
    <mergeCell ref="U6:U7"/>
    <mergeCell ref="V6:V7"/>
    <mergeCell ref="A5:A7"/>
    <mergeCell ref="B5:D5"/>
    <mergeCell ref="E5:G5"/>
    <mergeCell ref="H5:J5"/>
    <mergeCell ref="K5:O5"/>
    <mergeCell ref="P5:R5"/>
    <mergeCell ref="J6:J7"/>
    <mergeCell ref="K6:K7"/>
    <mergeCell ref="L6:L7"/>
    <mergeCell ref="M6:M7"/>
  </mergeCells>
  <printOptions horizontalCentered="1"/>
  <pageMargins left="0.39370078740157483" right="0" top="0.19685039370078741" bottom="0.19685039370078741" header="0.11811023622047245" footer="0.11811023622047245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00B0F0"/>
    <pageSetUpPr fitToPage="1"/>
  </sheetPr>
  <dimension ref="A1:T47"/>
  <sheetViews>
    <sheetView zoomScale="98" zoomScaleNormal="98" workbookViewId="0">
      <pane xSplit="2" ySplit="5" topLeftCell="N36" activePane="bottomRight" state="frozen"/>
      <selection pane="topRight" activeCell="C1" sqref="C1"/>
      <selection pane="bottomLeft" activeCell="A6" sqref="A6"/>
      <selection pane="bottomRight" activeCell="Q45" sqref="Q45"/>
    </sheetView>
  </sheetViews>
  <sheetFormatPr defaultRowHeight="12.75"/>
  <cols>
    <col min="1" max="1" width="9.85546875" customWidth="1"/>
    <col min="2" max="2" width="81.85546875" customWidth="1"/>
    <col min="3" max="5" width="12.7109375" customWidth="1"/>
    <col min="6" max="7" width="12.7109375" hidden="1" customWidth="1"/>
    <col min="8" max="8" width="12.7109375" customWidth="1"/>
    <col min="9" max="9" width="13" customWidth="1"/>
    <col min="10" max="14" width="12.7109375" customWidth="1"/>
    <col min="15" max="16" width="14" customWidth="1"/>
    <col min="17" max="17" width="16" customWidth="1"/>
    <col min="18" max="18" width="38.140625" customWidth="1"/>
  </cols>
  <sheetData>
    <row r="1" spans="1:18" ht="15">
      <c r="A1" s="5020" t="s">
        <v>1528</v>
      </c>
      <c r="B1" s="5021"/>
      <c r="C1" s="5021"/>
      <c r="D1" s="5021"/>
      <c r="E1" s="5021"/>
      <c r="F1" s="5021"/>
      <c r="G1" s="5021"/>
      <c r="H1" s="5021"/>
      <c r="I1" s="5021"/>
      <c r="J1" s="5021"/>
      <c r="K1" s="5021"/>
      <c r="L1" s="5021"/>
      <c r="M1" s="5021"/>
      <c r="N1" s="5021"/>
      <c r="O1" s="5021"/>
      <c r="P1" s="5021"/>
      <c r="Q1" s="5021"/>
      <c r="R1" s="5021"/>
    </row>
    <row r="2" spans="1:18" ht="18.75">
      <c r="A2" s="5022" t="s">
        <v>1002</v>
      </c>
      <c r="B2" s="5022"/>
      <c r="C2" s="5022"/>
      <c r="D2" s="5022"/>
      <c r="E2" s="5022"/>
      <c r="F2" s="5022"/>
      <c r="G2" s="5022"/>
      <c r="H2" s="5022"/>
      <c r="I2" s="5022"/>
      <c r="J2" s="5022"/>
      <c r="K2" s="5022"/>
      <c r="L2" s="5022"/>
      <c r="M2" s="5022"/>
      <c r="N2" s="5022"/>
      <c r="O2" s="5022"/>
      <c r="P2" s="5022"/>
      <c r="Q2" s="5022"/>
      <c r="R2" s="5022"/>
    </row>
    <row r="3" spans="1:18" ht="15">
      <c r="A3" s="2598"/>
      <c r="B3" s="2599"/>
      <c r="C3" s="2598"/>
      <c r="D3" s="2598"/>
      <c r="E3" s="2598"/>
      <c r="F3" s="2598"/>
      <c r="G3" s="2598"/>
      <c r="H3" s="2598"/>
      <c r="I3" s="2598"/>
      <c r="J3" s="2598"/>
      <c r="K3" s="2598"/>
      <c r="L3" s="2598"/>
      <c r="M3" s="2598"/>
      <c r="N3" s="2598"/>
      <c r="O3" s="2598"/>
      <c r="P3" s="2598"/>
      <c r="Q3" s="2598"/>
      <c r="R3" s="2598"/>
    </row>
    <row r="4" spans="1:18" ht="48.75" customHeight="1">
      <c r="A4" s="5023" t="s">
        <v>908</v>
      </c>
      <c r="B4" s="5023" t="s">
        <v>373</v>
      </c>
      <c r="C4" s="5023" t="s">
        <v>909</v>
      </c>
      <c r="D4" s="5010" t="s">
        <v>1610</v>
      </c>
      <c r="E4" s="5010" t="s">
        <v>1596</v>
      </c>
      <c r="F4" s="5014" t="s">
        <v>1595</v>
      </c>
      <c r="G4" s="5015"/>
      <c r="H4" s="5016"/>
      <c r="I4" s="5024" t="s">
        <v>392</v>
      </c>
      <c r="J4" s="5025"/>
      <c r="K4" s="5026"/>
      <c r="L4" s="5031" t="s">
        <v>1897</v>
      </c>
      <c r="M4" s="5032"/>
      <c r="N4" s="5033"/>
      <c r="O4" s="5029" t="s">
        <v>1900</v>
      </c>
      <c r="P4" s="5030"/>
      <c r="Q4" s="4552" t="s">
        <v>1901</v>
      </c>
      <c r="R4" s="5027" t="s">
        <v>910</v>
      </c>
    </row>
    <row r="5" spans="1:18" ht="35.25" customHeight="1">
      <c r="A5" s="5023"/>
      <c r="B5" s="5023"/>
      <c r="C5" s="5023"/>
      <c r="D5" s="4903"/>
      <c r="E5" s="4903"/>
      <c r="F5" s="5017"/>
      <c r="G5" s="5018"/>
      <c r="H5" s="5019"/>
      <c r="I5" s="2542" t="s">
        <v>832</v>
      </c>
      <c r="J5" s="2542" t="s">
        <v>911</v>
      </c>
      <c r="K5" s="2542" t="s">
        <v>912</v>
      </c>
      <c r="L5" s="4036" t="s">
        <v>598</v>
      </c>
      <c r="M5" s="4036" t="s">
        <v>229</v>
      </c>
      <c r="N5" s="4036" t="s">
        <v>1899</v>
      </c>
      <c r="O5" s="2929" t="s">
        <v>911</v>
      </c>
      <c r="P5" s="2929" t="s">
        <v>912</v>
      </c>
      <c r="Q5" s="4358" t="s">
        <v>912</v>
      </c>
      <c r="R5" s="5028"/>
    </row>
    <row r="6" spans="1:18" ht="21.75" customHeight="1">
      <c r="A6" s="2543"/>
      <c r="B6" s="2544" t="s">
        <v>913</v>
      </c>
      <c r="C6" s="5036" t="s">
        <v>914</v>
      </c>
      <c r="D6" s="5011" t="s">
        <v>914</v>
      </c>
      <c r="E6" s="5011" t="s">
        <v>914</v>
      </c>
      <c r="F6" s="5011" t="s">
        <v>914</v>
      </c>
      <c r="G6" s="5011" t="s">
        <v>914</v>
      </c>
      <c r="H6" s="5011" t="s">
        <v>914</v>
      </c>
      <c r="I6" s="5011" t="s">
        <v>914</v>
      </c>
      <c r="J6" s="2545">
        <v>0.01</v>
      </c>
      <c r="K6" s="2545">
        <v>0.01</v>
      </c>
      <c r="L6" s="5034" t="s">
        <v>914</v>
      </c>
      <c r="M6" s="5034" t="s">
        <v>914</v>
      </c>
      <c r="N6" s="5034" t="s">
        <v>914</v>
      </c>
      <c r="O6" s="2545"/>
      <c r="P6" s="2545">
        <v>0.01</v>
      </c>
      <c r="Q6" s="2545">
        <v>0.01</v>
      </c>
      <c r="R6" s="2546"/>
    </row>
    <row r="7" spans="1:18" ht="21.75" customHeight="1">
      <c r="A7" s="2543"/>
      <c r="B7" s="2544" t="s">
        <v>915</v>
      </c>
      <c r="C7" s="5037"/>
      <c r="D7" s="5012"/>
      <c r="E7" s="5012"/>
      <c r="F7" s="5012"/>
      <c r="G7" s="5012"/>
      <c r="H7" s="5012"/>
      <c r="I7" s="5012"/>
      <c r="J7" s="2547">
        <v>7.0999999999999994E-2</v>
      </c>
      <c r="K7" s="2547">
        <v>5.8000000000000003E-2</v>
      </c>
      <c r="L7" s="5035"/>
      <c r="M7" s="5035"/>
      <c r="N7" s="5035"/>
      <c r="O7" s="2547"/>
      <c r="P7" s="2547">
        <v>5.8000000000000003E-2</v>
      </c>
      <c r="Q7" s="2547">
        <v>3.6999999999999998E-2</v>
      </c>
      <c r="R7" s="2546"/>
    </row>
    <row r="8" spans="1:18" ht="21.75" customHeight="1">
      <c r="A8" s="2543"/>
      <c r="B8" s="2544" t="s">
        <v>916</v>
      </c>
      <c r="C8" s="5038"/>
      <c r="D8" s="5013"/>
      <c r="E8" s="5013"/>
      <c r="F8" s="5013"/>
      <c r="G8" s="5013"/>
      <c r="H8" s="5013"/>
      <c r="I8" s="5013"/>
      <c r="J8" s="2548">
        <v>0</v>
      </c>
      <c r="K8" s="2548">
        <v>0</v>
      </c>
      <c r="L8" s="4903"/>
      <c r="M8" s="4903"/>
      <c r="N8" s="4903"/>
      <c r="O8" s="2548"/>
      <c r="P8" s="2548">
        <v>0</v>
      </c>
      <c r="Q8" s="2548">
        <v>0</v>
      </c>
      <c r="R8" s="2546"/>
    </row>
    <row r="9" spans="1:18" ht="21.75" customHeight="1">
      <c r="A9" s="2549">
        <v>1</v>
      </c>
      <c r="B9" s="2550" t="s">
        <v>917</v>
      </c>
      <c r="C9" s="2549" t="s">
        <v>918</v>
      </c>
      <c r="D9" s="2551">
        <f t="shared" ref="D9:O9" si="0">D10+D21+D23+D27</f>
        <v>88531.310327153653</v>
      </c>
      <c r="E9" s="2551">
        <f t="shared" si="0"/>
        <v>73012.944878892187</v>
      </c>
      <c r="F9" s="2551">
        <f t="shared" si="0"/>
        <v>38508.235329938972</v>
      </c>
      <c r="G9" s="2551">
        <f t="shared" si="0"/>
        <v>59435.119734529319</v>
      </c>
      <c r="H9" s="2551">
        <f t="shared" si="0"/>
        <v>81207.195393151706</v>
      </c>
      <c r="I9" s="2551">
        <f t="shared" si="0"/>
        <v>85119.685094018467</v>
      </c>
      <c r="J9" s="2551">
        <f t="shared" si="0"/>
        <v>89936.605020277697</v>
      </c>
      <c r="K9" s="2551">
        <f t="shared" si="0"/>
        <v>89006.362186723622</v>
      </c>
      <c r="L9" s="2551">
        <f t="shared" ref="L9:M9" si="1">L10+L21+L23+L27</f>
        <v>39971.938164185165</v>
      </c>
      <c r="M9" s="2551">
        <f t="shared" si="1"/>
        <v>60306.745698394232</v>
      </c>
      <c r="N9" s="2551">
        <f t="shared" ref="N9" si="2">N10+N21+N23+N27</f>
        <v>80590.424606879882</v>
      </c>
      <c r="O9" s="2551">
        <f t="shared" si="0"/>
        <v>89683.202079086361</v>
      </c>
      <c r="P9" s="2551">
        <f t="shared" ref="P9" si="3">P10+P21+P23+P27</f>
        <v>92263.466652782023</v>
      </c>
      <c r="Q9" s="2551">
        <f>Q10+Q21+Q23+Q27+Q28</f>
        <v>90326.575899533054</v>
      </c>
      <c r="R9" s="2552"/>
    </row>
    <row r="10" spans="1:18" ht="21.75" customHeight="1">
      <c r="A10" s="2553" t="s">
        <v>919</v>
      </c>
      <c r="B10" s="2554" t="s">
        <v>920</v>
      </c>
      <c r="C10" s="2553" t="s">
        <v>918</v>
      </c>
      <c r="D10" s="2555">
        <f t="shared" ref="D10:O10" si="4">D11+D12+D13</f>
        <v>75957.163043722088</v>
      </c>
      <c r="E10" s="2555">
        <f t="shared" si="4"/>
        <v>67775.327294755363</v>
      </c>
      <c r="F10" s="2555">
        <f t="shared" si="4"/>
        <v>35977.819928185796</v>
      </c>
      <c r="G10" s="2555">
        <f t="shared" si="4"/>
        <v>55636.784694483504</v>
      </c>
      <c r="H10" s="2555">
        <f t="shared" si="4"/>
        <v>76120.459871346306</v>
      </c>
      <c r="I10" s="2555">
        <f t="shared" si="4"/>
        <v>76161.409824975068</v>
      </c>
      <c r="J10" s="2555">
        <f t="shared" si="4"/>
        <v>80478.319543121615</v>
      </c>
      <c r="K10" s="2555">
        <f t="shared" si="4"/>
        <v>83849.842340240357</v>
      </c>
      <c r="L10" s="2555">
        <f t="shared" ref="L10:M10" si="5">L11+L12+L13</f>
        <v>37318.850710615858</v>
      </c>
      <c r="M10" s="2555">
        <f t="shared" si="5"/>
        <v>56322.007856208416</v>
      </c>
      <c r="N10" s="2555">
        <f t="shared" ref="N10" si="6">N11+N12+N13</f>
        <v>75263.743660643318</v>
      </c>
      <c r="O10" s="2555">
        <f t="shared" si="4"/>
        <v>80154.592901287382</v>
      </c>
      <c r="P10" s="2555">
        <f t="shared" ref="P10:Q10" si="7">P11+P12+P13</f>
        <v>82710.329805488131</v>
      </c>
      <c r="Q10" s="2555">
        <f t="shared" si="7"/>
        <v>83962.225899533063</v>
      </c>
      <c r="R10" s="2556"/>
    </row>
    <row r="11" spans="1:18" ht="21.75" customHeight="1">
      <c r="A11" s="2557" t="s">
        <v>921</v>
      </c>
      <c r="B11" s="2583" t="s">
        <v>922</v>
      </c>
      <c r="C11" s="2557" t="s">
        <v>918</v>
      </c>
      <c r="D11" s="2559">
        <f>стоки!AK80+стоки!AK81+стоки!AK82+стоки!AK84+стоки!AK83+стоки!AK86-D14-D16-'цех стоки'!AC19-'ОХР '!AE20-'ОХР '!AE16-'ОХР '!AE23</f>
        <v>63991.725327425418</v>
      </c>
      <c r="E11" s="2559">
        <f>стоки!AW80+стоки!AW81+стоки!AW82+стоки!AW84+стоки!AW83+стоки!AW86-E14-E16-'цех стоки'!AM19-'ОХР '!AL20-'ОХР '!AL16-'ОХР '!AL23</f>
        <v>56507.612729730987</v>
      </c>
      <c r="F11" s="2559">
        <f>стоки!BI80+стоки!BI81+стоки!BI82+стоки!BI84+стоки!BI83+стоки!BI86-F14-F16-'цех стоки'!AN19-'ОХР '!AZ20-'ОХР '!AZ16-'ОХР '!AZ23</f>
        <v>29454.489026182258</v>
      </c>
      <c r="G11" s="2559">
        <f>стоки!BL80+стоки!BL81+стоки!BL82+стоки!BL84+стоки!BL83+стоки!BL86-G14-G16-'цех стоки'!AO19-'ОХР '!BC20-'ОХР '!BC16-'ОХР '!BC23</f>
        <v>46347.159648016474</v>
      </c>
      <c r="H11" s="2559">
        <f>стоки!BO80+стоки!BO81+стоки!BO82+стоки!BO84+стоки!BO83+стоки!BO86-H14-H16-'цех стоки'!AP19-'ОХР '!BF20-'ОХР '!BF16-'ОХР '!BF23</f>
        <v>61981.597949387062</v>
      </c>
      <c r="I11" s="2559">
        <f>стоки!BE80+стоки!BE81+стоки!BE82+стоки!BE84+стоки!BE83+стоки!BE86-I14-I16-'цех стоки'!AH19-'ОХР '!AT20-'ОХР '!AT16-'ОХР '!AT23+0.03</f>
        <v>65769.171399448838</v>
      </c>
      <c r="J11" s="2559">
        <f>I11*(1-J6)*(1+J7)*(1+J8)</f>
        <v>69734.394743121607</v>
      </c>
      <c r="K11" s="2559">
        <f>J11*(1-K6)*(1+K7)*(1+K8)</f>
        <v>73041.199741840435</v>
      </c>
      <c r="L11" s="2559">
        <f>стоки!BZ80+стоки!BZ81+стоки!BZ82+стоки!BZ84+стоки!BZ83+стоки!BZ86-L14-L16-'цех стоки'!AT19-'ОХР '!BS20-'ОХР '!BS16-'ОХР '!BS23</f>
        <v>30942.193273490033</v>
      </c>
      <c r="M11" s="2559">
        <f>стоки!CC80+стоки!CC81+стоки!CC82+стоки!CC84+стоки!CC83+стоки!CC86-M14-M16-'цех стоки'!AU19-'ОХР '!BV20-'ОХР '!BV16-'ОХР '!BV23</f>
        <v>46833.348231270407</v>
      </c>
      <c r="N11" s="2559">
        <f>стоки!CF80+стоки!CF81+стоки!CF82+стоки!CF84+стоки!CF83+стоки!CF86-N14-N16-'цех стоки'!AV19-'ОХР '!BY20-'ОХР '!BY16-'ОХР '!BY23</f>
        <v>62401.809405774184</v>
      </c>
      <c r="O11" s="2559">
        <f>стоки!BS80+стоки!BS81+стоки!BS82+стоки!BS84+стоки!BS83+стоки!BS86-O14-O16-'цех стоки'!AQ19-'ОХР '!BI20-'ОХР '!BI16-'ОХР '!BI23</f>
        <v>68913.059401107195</v>
      </c>
      <c r="P11" s="2559">
        <f>стоки!CJ80+стоки!CJ81+стоки!CJ82+стоки!CJ84+стоки!CJ83+стоки!CJ86-P14-P16-'цех стоки'!AW19-'ОХР '!CB20-'ОХР '!CB16-'ОХР '!CB23</f>
        <v>70471.245031766419</v>
      </c>
      <c r="Q11" s="2559">
        <f>стоки!CN80+стоки!CN81+стоки!CN82+стоки!CN84+стоки!CN83+стоки!CN86-Q14-Q16-'цех стоки'!AX19-'ОХР '!CI20-'ОХР '!CI16</f>
        <v>73245.799301133142</v>
      </c>
      <c r="R11" s="2662" t="s">
        <v>1640</v>
      </c>
    </row>
    <row r="12" spans="1:18" ht="30.75" customHeight="1">
      <c r="A12" s="2557" t="s">
        <v>923</v>
      </c>
      <c r="B12" s="2583" t="s">
        <v>924</v>
      </c>
      <c r="C12" s="2557" t="s">
        <v>918</v>
      </c>
      <c r="D12" s="2559">
        <f>стоки!AK78+'цех стоки'!AC19+'ОХР '!AE20+'ОХР '!AE16</f>
        <v>7909.2388162966727</v>
      </c>
      <c r="E12" s="2559">
        <f>стоки!AW78+'цех стоки'!AM19+'ОХР '!AL20+'ОХР '!AL16</f>
        <v>9124.3151247527239</v>
      </c>
      <c r="F12" s="2559">
        <f>стоки!BI78+'цех стоки'!AN19+'ОХР '!AZ20+'ОХР '!AZ16</f>
        <v>5292.5629304498289</v>
      </c>
      <c r="G12" s="2559">
        <f>стоки!BL78+'цех стоки'!AO19+'ОХР '!BC20+'ОХР '!BC16</f>
        <v>7435.5664595680428</v>
      </c>
      <c r="H12" s="2559">
        <f>стоки!BO78+'цех стоки'!AP19+'ОХР '!BF20+'ОХР '!BF16</f>
        <v>10316.000726946357</v>
      </c>
      <c r="I12" s="2559">
        <f>стоки!BE78+'цех стоки'!AH19+'ОХР '!AT20+'ОХР '!AT16</f>
        <v>7932.8598693269896</v>
      </c>
      <c r="J12" s="2559">
        <f>SUM(стоки!BW78+'цех стоки'!AR19+'ОХР '!BN20+'ОХР '!BN16)+0.01</f>
        <v>7843.1100000000006</v>
      </c>
      <c r="K12" s="2559">
        <f>стоки!CN78+'цех стоки'!AX19+'ОХР '!CH20+'ОХР '!CH16</f>
        <v>8350.8656788485714</v>
      </c>
      <c r="L12" s="2559">
        <f>стоки!BZ78+'цех стоки'!AT19+'ОХР '!BS20+'ОХР '!BS16</f>
        <v>5517.8970303087062</v>
      </c>
      <c r="M12" s="2559">
        <f>стоки!CC78+'цех стоки'!AU19+'ОХР '!BV20+'ОХР '!BV16</f>
        <v>8223.6052483455023</v>
      </c>
      <c r="N12" s="2559">
        <f>стоки!CF78+'цех стоки'!AV19+'ОХР '!BY20+'ОХР '!BY16</f>
        <v>11175.75822046053</v>
      </c>
      <c r="O12" s="2559">
        <f>стоки!BS78+'цех стоки'!AQ19+'ОХР '!BI20+'ОХР '!BI16</f>
        <v>8194.4569323407577</v>
      </c>
      <c r="P12" s="2559">
        <f>стоки!CJ78+'цех стоки'!AW19+'ОХР '!CB20+'ОХР '!CB16</f>
        <v>8338.8850308199999</v>
      </c>
      <c r="Q12" s="2559">
        <f>стоки!CN78+'цех стоки'!AX19+'ОХР '!CI20+'ОХР '!CI16</f>
        <v>8258.6496788485711</v>
      </c>
      <c r="R12" s="2662" t="s">
        <v>1641</v>
      </c>
    </row>
    <row r="13" spans="1:18" ht="21.75" customHeight="1">
      <c r="A13" s="2557" t="s">
        <v>925</v>
      </c>
      <c r="B13" s="2583" t="s">
        <v>926</v>
      </c>
      <c r="C13" s="2557" t="s">
        <v>918</v>
      </c>
      <c r="D13" s="2559">
        <f t="shared" ref="D13:I13" si="8">D14+D15+D16+D17+D20</f>
        <v>4056.1989000000003</v>
      </c>
      <c r="E13" s="2559">
        <f t="shared" si="8"/>
        <v>2143.3994402716553</v>
      </c>
      <c r="F13" s="2559">
        <f t="shared" si="8"/>
        <v>1230.7679715537076</v>
      </c>
      <c r="G13" s="2559">
        <f t="shared" si="8"/>
        <v>1854.0585868989872</v>
      </c>
      <c r="H13" s="2559">
        <f t="shared" si="8"/>
        <v>3822.8611950128861</v>
      </c>
      <c r="I13" s="2559">
        <f t="shared" si="8"/>
        <v>2459.3785561992449</v>
      </c>
      <c r="J13" s="2559">
        <f t="shared" ref="J13:L13" si="9">J14+J15+J16+J17+J20</f>
        <v>2900.8148000000001</v>
      </c>
      <c r="K13" s="2559">
        <f t="shared" si="9"/>
        <v>2457.7769195513501</v>
      </c>
      <c r="L13" s="2559">
        <f t="shared" si="9"/>
        <v>858.76040681711788</v>
      </c>
      <c r="M13" s="2559">
        <f t="shared" ref="M13:N13" si="10">M14+M15+M16+M17+M20</f>
        <v>1265.0543765925065</v>
      </c>
      <c r="N13" s="2559">
        <f t="shared" si="10"/>
        <v>1686.1760344086019</v>
      </c>
      <c r="O13" s="2559">
        <f>O14+O15+O16+O17+O20</f>
        <v>3047.0765678394264</v>
      </c>
      <c r="P13" s="2559">
        <f t="shared" ref="P13:Q13" si="11">P14+P15+P16+P17+P20</f>
        <v>3900.1997429017047</v>
      </c>
      <c r="Q13" s="2559">
        <f t="shared" si="11"/>
        <v>2457.7769195513501</v>
      </c>
      <c r="R13" s="2656"/>
    </row>
    <row r="14" spans="1:18" ht="30.75" customHeight="1">
      <c r="A14" s="2560" t="s">
        <v>927</v>
      </c>
      <c r="B14" s="2584" t="s">
        <v>928</v>
      </c>
      <c r="C14" s="2560" t="s">
        <v>918</v>
      </c>
      <c r="D14" s="2562">
        <f>'цех стоки'!AC38</f>
        <v>494.19090000000006</v>
      </c>
      <c r="E14" s="2562">
        <f>'цех стоки'!AM38</f>
        <v>206.8</v>
      </c>
      <c r="F14" s="2562">
        <f>'цех стоки'!AN38</f>
        <v>61.43</v>
      </c>
      <c r="G14" s="2562">
        <f>'цех стоки'!AO38</f>
        <v>61.43</v>
      </c>
      <c r="H14" s="2562">
        <f>'цех стоки'!AP38</f>
        <v>61.43</v>
      </c>
      <c r="I14" s="2562">
        <f>'цех стоки'!AH38</f>
        <v>318.05</v>
      </c>
      <c r="J14" s="2562">
        <f>SUM('цех стоки'!AR38)</f>
        <v>338.21</v>
      </c>
      <c r="K14" s="2562">
        <f>'цех стоки'!AX38</f>
        <v>437.59</v>
      </c>
      <c r="L14" s="2562">
        <f>'цех стоки'!AT38</f>
        <v>0</v>
      </c>
      <c r="M14" s="2562">
        <f>'цех стоки'!AU38</f>
        <v>0</v>
      </c>
      <c r="N14" s="2562">
        <f>'цех стоки'!AV38</f>
        <v>0</v>
      </c>
      <c r="O14" s="2562">
        <f>'цех стоки'!AQ38</f>
        <v>349.85500000000002</v>
      </c>
      <c r="P14" s="2562">
        <f>'цех стоки'!AW38</f>
        <v>372.03100000000001</v>
      </c>
      <c r="Q14" s="2562">
        <f>'цех стоки'!AX38</f>
        <v>437.59</v>
      </c>
      <c r="R14" s="2663" t="s">
        <v>1642</v>
      </c>
    </row>
    <row r="15" spans="1:18" ht="40.5" customHeight="1">
      <c r="A15" s="2560" t="s">
        <v>929</v>
      </c>
      <c r="B15" s="2584" t="s">
        <v>930</v>
      </c>
      <c r="C15" s="2560" t="s">
        <v>918</v>
      </c>
      <c r="D15" s="2562">
        <f>стоки!AK85</f>
        <v>1927.04</v>
      </c>
      <c r="E15" s="2562">
        <f>стоки!AW85</f>
        <v>1783.5694402716554</v>
      </c>
      <c r="F15" s="2562">
        <f>стоки!BI85</f>
        <v>1090.4379715537075</v>
      </c>
      <c r="G15" s="2562">
        <f>стоки!BL85</f>
        <v>1674.2785868989872</v>
      </c>
      <c r="H15" s="2562">
        <f>стоки!BO85</f>
        <v>3603.6311950128861</v>
      </c>
      <c r="I15" s="2562">
        <f>стоки!BE85</f>
        <v>1676.7689960276371</v>
      </c>
      <c r="J15" s="2562">
        <f>SUM(стоки!BW85)</f>
        <v>1783.5700000000002</v>
      </c>
      <c r="K15" s="2562">
        <f>стоки!CN85</f>
        <v>1502.7644400919853</v>
      </c>
      <c r="L15" s="2562">
        <f>стоки!BZ85</f>
        <v>775.82040681711783</v>
      </c>
      <c r="M15" s="2562">
        <f>стоки!CC85</f>
        <v>1140.6543765925064</v>
      </c>
      <c r="N15" s="2562">
        <f>стоки!CF85</f>
        <v>1520.3093677419354</v>
      </c>
      <c r="O15" s="2562">
        <f>стоки!BS85</f>
        <v>1805.2396699968972</v>
      </c>
      <c r="P15" s="2562">
        <f>стоки!CJ85</f>
        <v>1699.2078386411599</v>
      </c>
      <c r="Q15" s="2562">
        <f>стоки!CN85</f>
        <v>1502.7644400919853</v>
      </c>
      <c r="R15" s="2663" t="s">
        <v>10</v>
      </c>
    </row>
    <row r="16" spans="1:18" ht="21.75" customHeight="1">
      <c r="A16" s="2560" t="s">
        <v>931</v>
      </c>
      <c r="B16" s="2584" t="s">
        <v>932</v>
      </c>
      <c r="C16" s="2560" t="s">
        <v>918</v>
      </c>
      <c r="D16" s="2562">
        <f>'цех стоки'!AC43+'цех стоки'!AC29</f>
        <v>184.66800000000001</v>
      </c>
      <c r="E16" s="2562">
        <f>'цех стоки'!AM43+'цех стоки'!AM29</f>
        <v>153.03</v>
      </c>
      <c r="F16" s="2562">
        <f>'цех стоки'!AN43+'цех стоки'!AN29</f>
        <v>78.900000000000006</v>
      </c>
      <c r="G16" s="2562">
        <f>'цех стоки'!AO43+'цех стоки'!AO29</f>
        <v>118.35</v>
      </c>
      <c r="H16" s="2562">
        <f>'цех стоки'!AP43+'цех стоки'!AP29</f>
        <v>157.80000000000001</v>
      </c>
      <c r="I16" s="2562">
        <f>'цех стоки'!AH43+'цех стоки'!AH29</f>
        <v>152.0548</v>
      </c>
      <c r="J16" s="2562">
        <f>I16</f>
        <v>152.0548</v>
      </c>
      <c r="K16" s="2562">
        <f>'цех стоки'!AX43+'цех стоки'!AX29</f>
        <v>152.054</v>
      </c>
      <c r="L16" s="2562">
        <f>'цех стоки'!AT43+'цех стоки'!AT29</f>
        <v>82.94</v>
      </c>
      <c r="M16" s="2562">
        <f>'цех стоки'!AU43+'цех стоки'!AU29</f>
        <v>124.4</v>
      </c>
      <c r="N16" s="2562">
        <f>'цех стоки'!AV43+'цех стоки'!AV29</f>
        <v>165.86666666666667</v>
      </c>
      <c r="O16" s="2562">
        <f>'цех стоки'!AQ43+'цех стоки'!AQ29</f>
        <v>176.80014</v>
      </c>
      <c r="P16" s="2562">
        <f>'цех стоки'!AW43+'цех стоки'!AW29</f>
        <v>167.25500000000002</v>
      </c>
      <c r="Q16" s="2562">
        <f>'цех стоки'!AX43+'цех стоки'!AX29</f>
        <v>152.054</v>
      </c>
      <c r="R16" s="2663" t="s">
        <v>1643</v>
      </c>
    </row>
    <row r="17" spans="1:20" ht="30.75" customHeight="1">
      <c r="A17" s="2560" t="s">
        <v>933</v>
      </c>
      <c r="B17" s="2584" t="s">
        <v>934</v>
      </c>
      <c r="C17" s="2560" t="s">
        <v>918</v>
      </c>
      <c r="D17" s="2562">
        <f>стоки!AK87</f>
        <v>0</v>
      </c>
      <c r="E17" s="2562">
        <f>стоки!AW87</f>
        <v>0</v>
      </c>
      <c r="F17" s="2562">
        <f>стоки!BI87</f>
        <v>0</v>
      </c>
      <c r="G17" s="2562">
        <f>стоки!BL87</f>
        <v>0</v>
      </c>
      <c r="H17" s="2562">
        <f>стоки!BO87</f>
        <v>0</v>
      </c>
      <c r="I17" s="2562">
        <f>стоки!BE87</f>
        <v>286.40476017160813</v>
      </c>
      <c r="J17" s="2562">
        <f>SUM(стоки!BW87)</f>
        <v>265.39999999999998</v>
      </c>
      <c r="K17" s="2562">
        <f>стоки!CN87</f>
        <v>365.36847945936529</v>
      </c>
      <c r="L17" s="2562">
        <f>стоки!BZ87</f>
        <v>0</v>
      </c>
      <c r="M17" s="2562">
        <f>стоки!CC87</f>
        <v>0</v>
      </c>
      <c r="N17" s="2562">
        <f>стоки!CF87</f>
        <v>0</v>
      </c>
      <c r="O17" s="2562">
        <f>стоки!BS87</f>
        <v>353.60175784252925</v>
      </c>
      <c r="P17" s="2562">
        <f>стоки!CJ87</f>
        <v>370.50590426054475</v>
      </c>
      <c r="Q17" s="2562">
        <f>стоки!CN87</f>
        <v>365.36847945936529</v>
      </c>
      <c r="R17" s="2663" t="s">
        <v>907</v>
      </c>
    </row>
    <row r="18" spans="1:20" ht="21.75" customHeight="1">
      <c r="A18" s="2560" t="s">
        <v>935</v>
      </c>
      <c r="B18" s="2584" t="s">
        <v>936</v>
      </c>
      <c r="C18" s="2560" t="s">
        <v>918</v>
      </c>
      <c r="D18" s="2562">
        <v>0</v>
      </c>
      <c r="E18" s="2560">
        <v>0</v>
      </c>
      <c r="F18" s="2562">
        <v>0</v>
      </c>
      <c r="G18" s="2562">
        <v>0</v>
      </c>
      <c r="H18" s="2562">
        <v>0</v>
      </c>
      <c r="I18" s="2562">
        <v>0</v>
      </c>
      <c r="J18" s="2562">
        <v>0</v>
      </c>
      <c r="K18" s="2562">
        <v>0</v>
      </c>
      <c r="L18" s="2562">
        <v>0</v>
      </c>
      <c r="M18" s="2562">
        <v>0</v>
      </c>
      <c r="N18" s="2562">
        <v>0</v>
      </c>
      <c r="O18" s="2560">
        <v>0</v>
      </c>
      <c r="P18" s="2562">
        <v>0</v>
      </c>
      <c r="Q18" s="2562">
        <v>0</v>
      </c>
      <c r="R18" s="2657"/>
    </row>
    <row r="19" spans="1:20" ht="21.75" customHeight="1">
      <c r="A19" s="2560" t="s">
        <v>937</v>
      </c>
      <c r="B19" s="2584" t="s">
        <v>938</v>
      </c>
      <c r="C19" s="2560" t="s">
        <v>918</v>
      </c>
      <c r="D19" s="2562">
        <v>0</v>
      </c>
      <c r="E19" s="2560">
        <v>0</v>
      </c>
      <c r="F19" s="2562">
        <v>0</v>
      </c>
      <c r="G19" s="2562">
        <v>0</v>
      </c>
      <c r="H19" s="2562">
        <v>0</v>
      </c>
      <c r="I19" s="2562">
        <v>0</v>
      </c>
      <c r="J19" s="2562">
        <v>0</v>
      </c>
      <c r="K19" s="2562">
        <v>0</v>
      </c>
      <c r="L19" s="2562">
        <v>0</v>
      </c>
      <c r="M19" s="2562">
        <v>0</v>
      </c>
      <c r="N19" s="2562">
        <v>0</v>
      </c>
      <c r="O19" s="2560">
        <v>0</v>
      </c>
      <c r="P19" s="2562">
        <v>0</v>
      </c>
      <c r="Q19" s="2562">
        <v>0</v>
      </c>
      <c r="R19" s="2657"/>
    </row>
    <row r="20" spans="1:20" ht="30.75" customHeight="1">
      <c r="A20" s="2560" t="s">
        <v>939</v>
      </c>
      <c r="B20" s="2584" t="s">
        <v>940</v>
      </c>
      <c r="C20" s="2560" t="s">
        <v>918</v>
      </c>
      <c r="D20" s="2562">
        <f>стоки!AK88</f>
        <v>1450.3</v>
      </c>
      <c r="E20" s="2562">
        <f>стоки!AW88</f>
        <v>0</v>
      </c>
      <c r="F20" s="2562">
        <f>стоки!BI88</f>
        <v>0</v>
      </c>
      <c r="G20" s="2562">
        <f>стоки!BL88</f>
        <v>0</v>
      </c>
      <c r="H20" s="2562">
        <f>стоки!BO88</f>
        <v>0</v>
      </c>
      <c r="I20" s="2562">
        <f>стоки!BE88</f>
        <v>26.100000000000009</v>
      </c>
      <c r="J20" s="2562">
        <f>SUM(стоки!BW48)</f>
        <v>361.57999999999993</v>
      </c>
      <c r="K20" s="2562">
        <f>стоки!CN88</f>
        <v>0</v>
      </c>
      <c r="L20" s="2562">
        <f>стоки!BZ88</f>
        <v>0</v>
      </c>
      <c r="M20" s="2562">
        <f>стоки!CC88</f>
        <v>0</v>
      </c>
      <c r="N20" s="2562">
        <f>стоки!CF88</f>
        <v>0</v>
      </c>
      <c r="O20" s="2562">
        <f>стоки!BS88</f>
        <v>361.57999999999993</v>
      </c>
      <c r="P20" s="2562">
        <f>стоки!CJ88</f>
        <v>1291.2</v>
      </c>
      <c r="Q20" s="2562">
        <f>стоки!CK88</f>
        <v>0</v>
      </c>
      <c r="R20" s="2663" t="s">
        <v>1644</v>
      </c>
    </row>
    <row r="21" spans="1:20" ht="15.75">
      <c r="A21" s="2553" t="s">
        <v>941</v>
      </c>
      <c r="B21" s="2554" t="s">
        <v>2</v>
      </c>
      <c r="C21" s="2553" t="s">
        <v>918</v>
      </c>
      <c r="D21" s="2555">
        <f>стоки!AK79+'ОХР '!AE23</f>
        <v>4899.5801249956648</v>
      </c>
      <c r="E21" s="2555">
        <f>стоки!AW79+'ОХР '!AL23</f>
        <v>5237.617584136824</v>
      </c>
      <c r="F21" s="2555">
        <f>стоки!BI79+'ОХР '!AZ23</f>
        <v>2530.4154017531737</v>
      </c>
      <c r="G21" s="2555">
        <f>стоки!BL79+'ОХР '!BC23</f>
        <v>3798.3350400458162</v>
      </c>
      <c r="H21" s="2555">
        <f>стоки!BO79+'ОХР '!BF23</f>
        <v>5086.7355218053963</v>
      </c>
      <c r="I21" s="2555">
        <f>стоки!BE79+'ОХР '!AT23</f>
        <v>4904.1012169472751</v>
      </c>
      <c r="J21" s="2555">
        <f>SUM(стоки!BW79)</f>
        <v>5175.59</v>
      </c>
      <c r="K21" s="2555">
        <f>стоки!CN79+'ОХР '!CH23</f>
        <v>5156.519846483272</v>
      </c>
      <c r="L21" s="2555">
        <f>стоки!BZ79+'ОХР '!BS23</f>
        <v>2653.0874535693106</v>
      </c>
      <c r="M21" s="2555">
        <f>стоки!CC79+'ОХР '!BV23</f>
        <v>3984.737842185817</v>
      </c>
      <c r="N21" s="2555">
        <f>стоки!CF79+'ОХР '!BY23</f>
        <v>5326.68094623656</v>
      </c>
      <c r="O21" s="2555">
        <f>стоки!BS79+'ОХР '!BI23</f>
        <v>5257.980267142414</v>
      </c>
      <c r="P21" s="2555">
        <f>стоки!CJ79+'ОХР '!CB23</f>
        <v>5159.6384352566474</v>
      </c>
      <c r="Q21" s="2555">
        <f>стоки!CN79</f>
        <v>5031.76</v>
      </c>
      <c r="R21" s="2668" t="s">
        <v>1645</v>
      </c>
      <c r="T21" t="s">
        <v>1957</v>
      </c>
    </row>
    <row r="22" spans="1:20" ht="21.75" customHeight="1">
      <c r="A22" s="2563" t="s">
        <v>202</v>
      </c>
      <c r="B22" s="2564" t="s">
        <v>942</v>
      </c>
      <c r="C22" s="2585" t="s">
        <v>44</v>
      </c>
      <c r="D22" s="2608">
        <f t="shared" ref="D22:I22" si="12">D23/(D10+D21)*100</f>
        <v>4.4128663363978324</v>
      </c>
      <c r="E22" s="2608">
        <f t="shared" si="12"/>
        <v>0</v>
      </c>
      <c r="F22" s="2608">
        <f t="shared" si="12"/>
        <v>0</v>
      </c>
      <c r="G22" s="2608">
        <f t="shared" si="12"/>
        <v>0</v>
      </c>
      <c r="H22" s="2608">
        <f t="shared" si="12"/>
        <v>0</v>
      </c>
      <c r="I22" s="4015">
        <f t="shared" si="12"/>
        <v>1.1102131947759789E-3</v>
      </c>
      <c r="J22" s="2587">
        <f t="shared" ref="J22:L22" si="13">J23/(J10+J21)*100</f>
        <v>0</v>
      </c>
      <c r="K22" s="2587">
        <f t="shared" si="13"/>
        <v>0</v>
      </c>
      <c r="L22" s="2608">
        <f t="shared" si="13"/>
        <v>0</v>
      </c>
      <c r="M22" s="2608">
        <f t="shared" ref="M22:N22" si="14">M23/(M10+M21)*100</f>
        <v>0</v>
      </c>
      <c r="N22" s="2608">
        <f t="shared" si="14"/>
        <v>0</v>
      </c>
      <c r="O22" s="2608">
        <f>O23/(O10+O21)*100</f>
        <v>2.95313762061764E-7</v>
      </c>
      <c r="P22" s="2608">
        <f t="shared" ref="P22:Q22" si="15">P23/(P10+P21)*100</f>
        <v>0</v>
      </c>
      <c r="Q22" s="2608">
        <f t="shared" si="15"/>
        <v>-4.384689550151359</v>
      </c>
      <c r="R22" s="2669"/>
    </row>
    <row r="23" spans="1:20" ht="21.75" customHeight="1">
      <c r="A23" s="2553" t="s">
        <v>943</v>
      </c>
      <c r="B23" s="2554" t="s">
        <v>944</v>
      </c>
      <c r="C23" s="2553" t="s">
        <v>918</v>
      </c>
      <c r="D23" s="2555">
        <f t="shared" ref="D23:I23" si="16">D24+D25+D26</f>
        <v>3568.1</v>
      </c>
      <c r="E23" s="2555">
        <f t="shared" si="16"/>
        <v>0</v>
      </c>
      <c r="F23" s="2555">
        <f t="shared" si="16"/>
        <v>0</v>
      </c>
      <c r="G23" s="2555">
        <f t="shared" si="16"/>
        <v>0</v>
      </c>
      <c r="H23" s="2555">
        <f t="shared" si="16"/>
        <v>0</v>
      </c>
      <c r="I23" s="2555">
        <f t="shared" si="16"/>
        <v>0.9</v>
      </c>
      <c r="J23" s="2555">
        <f t="shared" ref="J23:L23" si="17">J24+J25+J26</f>
        <v>0</v>
      </c>
      <c r="K23" s="2555">
        <f t="shared" si="17"/>
        <v>0</v>
      </c>
      <c r="L23" s="2555">
        <f t="shared" si="17"/>
        <v>0</v>
      </c>
      <c r="M23" s="2555">
        <f t="shared" ref="M23:N23" si="18">M24+M25+M26</f>
        <v>0</v>
      </c>
      <c r="N23" s="2555">
        <f t="shared" si="18"/>
        <v>0</v>
      </c>
      <c r="O23" s="2555">
        <f>O24+O25+O26</f>
        <v>2.5223508309744685E-4</v>
      </c>
      <c r="P23" s="2555">
        <f t="shared" ref="P23:Q23" si="19">P24+P25+P26</f>
        <v>0</v>
      </c>
      <c r="Q23" s="2555">
        <f t="shared" si="19"/>
        <v>-3902.11</v>
      </c>
      <c r="R23" s="2668"/>
    </row>
    <row r="24" spans="1:20" ht="21.75" customHeight="1">
      <c r="A24" s="2557" t="s">
        <v>945</v>
      </c>
      <c r="B24" s="2583" t="s">
        <v>946</v>
      </c>
      <c r="C24" s="2557" t="s">
        <v>918</v>
      </c>
      <c r="D24" s="2559">
        <f>стоки!AK100</f>
        <v>3568.1</v>
      </c>
      <c r="E24" s="2559">
        <f>стоки!AW100</f>
        <v>0</v>
      </c>
      <c r="F24" s="2559">
        <f>стоки!BI100</f>
        <v>0</v>
      </c>
      <c r="G24" s="2559">
        <f>стоки!BL100</f>
        <v>0</v>
      </c>
      <c r="H24" s="2559">
        <f>стоки!BO100</f>
        <v>0</v>
      </c>
      <c r="I24" s="2559">
        <f>стоки!BE100</f>
        <v>0.9</v>
      </c>
      <c r="J24" s="2559">
        <v>0</v>
      </c>
      <c r="K24" s="2559">
        <v>0</v>
      </c>
      <c r="L24" s="2559">
        <f>стоки!BZ100</f>
        <v>0</v>
      </c>
      <c r="M24" s="2559">
        <f>стоки!CC100</f>
        <v>0</v>
      </c>
      <c r="N24" s="2559">
        <f>стоки!CF100</f>
        <v>0</v>
      </c>
      <c r="O24" s="2559">
        <f>стоки!BD100</f>
        <v>2.5223508309744685E-4</v>
      </c>
      <c r="P24" s="2559">
        <f>стоки!BT100</f>
        <v>0</v>
      </c>
      <c r="Q24" s="2559">
        <f>SUM(стоки!CN100)</f>
        <v>-3902.11</v>
      </c>
      <c r="R24" s="2662" t="s">
        <v>1597</v>
      </c>
    </row>
    <row r="25" spans="1:20" ht="30.75" customHeight="1">
      <c r="A25" s="2557" t="s">
        <v>947</v>
      </c>
      <c r="B25" s="2583" t="s">
        <v>948</v>
      </c>
      <c r="C25" s="2557" t="s">
        <v>918</v>
      </c>
      <c r="D25" s="2559">
        <v>0</v>
      </c>
      <c r="E25" s="2557">
        <v>0</v>
      </c>
      <c r="F25" s="2559">
        <v>0</v>
      </c>
      <c r="G25" s="2559">
        <v>0</v>
      </c>
      <c r="H25" s="2559">
        <v>0</v>
      </c>
      <c r="I25" s="2559">
        <v>0</v>
      </c>
      <c r="J25" s="2559">
        <v>0</v>
      </c>
      <c r="K25" s="2559">
        <v>0</v>
      </c>
      <c r="L25" s="2559">
        <v>0</v>
      </c>
      <c r="M25" s="2559">
        <v>0</v>
      </c>
      <c r="N25" s="2559">
        <v>0</v>
      </c>
      <c r="O25" s="2557">
        <v>0</v>
      </c>
      <c r="P25" s="2559">
        <v>0</v>
      </c>
      <c r="Q25" s="2559">
        <v>0</v>
      </c>
      <c r="R25" s="2662"/>
    </row>
    <row r="26" spans="1:20" ht="21.75" customHeight="1">
      <c r="A26" s="2557" t="s">
        <v>949</v>
      </c>
      <c r="B26" s="2583" t="s">
        <v>950</v>
      </c>
      <c r="C26" s="2557" t="s">
        <v>918</v>
      </c>
      <c r="D26" s="2559">
        <v>0</v>
      </c>
      <c r="E26" s="2557">
        <v>0</v>
      </c>
      <c r="F26" s="2559">
        <v>0</v>
      </c>
      <c r="G26" s="2559">
        <v>0</v>
      </c>
      <c r="H26" s="2559">
        <v>0</v>
      </c>
      <c r="I26" s="2559">
        <v>0</v>
      </c>
      <c r="J26" s="2559">
        <v>0</v>
      </c>
      <c r="K26" s="2559">
        <v>0</v>
      </c>
      <c r="L26" s="2559">
        <v>0</v>
      </c>
      <c r="M26" s="2559">
        <v>0</v>
      </c>
      <c r="N26" s="2559">
        <v>0</v>
      </c>
      <c r="O26" s="2557">
        <v>0</v>
      </c>
      <c r="P26" s="2559">
        <v>0</v>
      </c>
      <c r="Q26" s="2559">
        <v>0</v>
      </c>
      <c r="R26" s="2662"/>
    </row>
    <row r="27" spans="1:20" ht="30.75" customHeight="1">
      <c r="A27" s="2553" t="s">
        <v>203</v>
      </c>
      <c r="B27" s="2554" t="s">
        <v>951</v>
      </c>
      <c r="C27" s="2553" t="s">
        <v>918</v>
      </c>
      <c r="D27" s="2555">
        <f>стоки!AK97</f>
        <v>4106.4671584358875</v>
      </c>
      <c r="E27" s="2555">
        <f>стоки!AW97</f>
        <v>0</v>
      </c>
      <c r="F27" s="2555">
        <f>стоки!BI97</f>
        <v>0</v>
      </c>
      <c r="G27" s="2555">
        <f>стоки!BL97</f>
        <v>0</v>
      </c>
      <c r="H27" s="2555">
        <f>стоки!BO97</f>
        <v>0</v>
      </c>
      <c r="I27" s="2555">
        <f>стоки!BE97</f>
        <v>4053.2740520961179</v>
      </c>
      <c r="J27" s="2555">
        <f>(J10+J21)*0.05</f>
        <v>4282.6954771560804</v>
      </c>
      <c r="K27" s="2555">
        <f>стоки!CN97</f>
        <v>0</v>
      </c>
      <c r="L27" s="2555">
        <f>стоки!BZ97</f>
        <v>0</v>
      </c>
      <c r="M27" s="2555">
        <f>стоки!CC97</f>
        <v>0</v>
      </c>
      <c r="N27" s="2555">
        <f>стоки!CF97</f>
        <v>0</v>
      </c>
      <c r="O27" s="2555">
        <f>стоки!BS97</f>
        <v>4270.6286584214895</v>
      </c>
      <c r="P27" s="2555">
        <f>стоки!CJ97</f>
        <v>4393.4984120372392</v>
      </c>
      <c r="Q27" s="2555">
        <f>стоки!CN97</f>
        <v>0</v>
      </c>
      <c r="R27" s="2668" t="s">
        <v>1646</v>
      </c>
    </row>
    <row r="28" spans="1:20" ht="30.75" customHeight="1">
      <c r="A28" s="3017" t="s">
        <v>1703</v>
      </c>
      <c r="B28" s="3018" t="s">
        <v>1700</v>
      </c>
      <c r="C28" s="2553" t="s">
        <v>918</v>
      </c>
      <c r="D28" s="3019"/>
      <c r="E28" s="3019"/>
      <c r="F28" s="3019"/>
      <c r="G28" s="3019"/>
      <c r="H28" s="3019"/>
      <c r="I28" s="3019"/>
      <c r="J28" s="3019">
        <v>-5234.7</v>
      </c>
      <c r="K28" s="3019">
        <v>5234.7</v>
      </c>
      <c r="L28" s="3019"/>
      <c r="M28" s="3019"/>
      <c r="N28" s="3019"/>
      <c r="O28" s="3019"/>
      <c r="P28" s="3019">
        <v>5234.7</v>
      </c>
      <c r="Q28" s="3019">
        <f>SUM(стоки!CN50)</f>
        <v>5234.7</v>
      </c>
      <c r="R28" s="3020"/>
    </row>
    <row r="29" spans="1:20" ht="30.75" customHeight="1">
      <c r="A29" s="4440"/>
      <c r="B29" s="4440" t="s">
        <v>1905</v>
      </c>
      <c r="C29" s="4441" t="s">
        <v>918</v>
      </c>
      <c r="D29" s="4441"/>
      <c r="E29" s="4441"/>
      <c r="F29" s="4441"/>
      <c r="G29" s="4441"/>
      <c r="H29" s="4441"/>
      <c r="I29" s="4441"/>
      <c r="J29" s="4441"/>
      <c r="K29" s="4441"/>
      <c r="L29" s="4441"/>
      <c r="M29" s="4441"/>
      <c r="N29" s="4441"/>
      <c r="O29" s="4441"/>
      <c r="P29" s="4441"/>
      <c r="Q29" s="4441"/>
      <c r="R29" s="4441"/>
    </row>
    <row r="30" spans="1:20" ht="30.75" customHeight="1">
      <c r="A30" s="4442" t="s">
        <v>195</v>
      </c>
      <c r="B30" s="4443" t="s">
        <v>1906</v>
      </c>
      <c r="C30" s="4442" t="s">
        <v>918</v>
      </c>
      <c r="D30" s="4442"/>
      <c r="E30" s="4442"/>
      <c r="F30" s="4442"/>
      <c r="G30" s="4442"/>
      <c r="H30" s="4442"/>
      <c r="I30" s="4442"/>
      <c r="J30" s="4442"/>
      <c r="K30" s="4442"/>
      <c r="L30" s="4442"/>
      <c r="M30" s="4442"/>
      <c r="N30" s="4442"/>
      <c r="O30" s="4442"/>
      <c r="P30" s="4442"/>
      <c r="Q30" s="4487">
        <f>SUM(стоки!CN51)</f>
        <v>9580.73</v>
      </c>
      <c r="R30" s="4442"/>
    </row>
    <row r="31" spans="1:20" ht="30.75" customHeight="1">
      <c r="A31" s="4442" t="s">
        <v>955</v>
      </c>
      <c r="B31" s="4443" t="s">
        <v>1907</v>
      </c>
      <c r="C31" s="4442" t="s">
        <v>918</v>
      </c>
      <c r="D31" s="4442"/>
      <c r="E31" s="4442"/>
      <c r="F31" s="4442"/>
      <c r="G31" s="4442"/>
      <c r="H31" s="4442"/>
      <c r="I31" s="4442"/>
      <c r="J31" s="4442"/>
      <c r="K31" s="4442"/>
      <c r="L31" s="4442"/>
      <c r="M31" s="4442"/>
      <c r="N31" s="4442"/>
      <c r="O31" s="4442"/>
      <c r="P31" s="4442"/>
      <c r="Q31" s="4442">
        <v>0</v>
      </c>
      <c r="R31" s="4442"/>
    </row>
    <row r="32" spans="1:20" ht="70.5" customHeight="1">
      <c r="A32" s="4442" t="s">
        <v>961</v>
      </c>
      <c r="B32" s="4444" t="s">
        <v>1908</v>
      </c>
      <c r="C32" s="4442" t="s">
        <v>918</v>
      </c>
      <c r="D32" s="4442"/>
      <c r="E32" s="4442"/>
      <c r="F32" s="4442"/>
      <c r="G32" s="4442"/>
      <c r="H32" s="4442"/>
      <c r="I32" s="4442"/>
      <c r="J32" s="4442"/>
      <c r="K32" s="4442"/>
      <c r="L32" s="4442"/>
      <c r="M32" s="4442"/>
      <c r="N32" s="4442"/>
      <c r="O32" s="4442"/>
      <c r="P32" s="4442"/>
      <c r="Q32" s="4487">
        <f>SUM(стоки!CN53)</f>
        <v>-917.12</v>
      </c>
      <c r="R32" s="4442"/>
    </row>
    <row r="33" spans="1:18" ht="30.75" customHeight="1">
      <c r="A33" s="4445"/>
      <c r="B33" s="4446" t="s">
        <v>1909</v>
      </c>
      <c r="C33" s="4447" t="s">
        <v>918</v>
      </c>
      <c r="D33" s="4447"/>
      <c r="E33" s="4447"/>
      <c r="F33" s="4447"/>
      <c r="G33" s="4447"/>
      <c r="H33" s="4447"/>
      <c r="I33" s="4447"/>
      <c r="J33" s="4447"/>
      <c r="K33" s="4447"/>
      <c r="L33" s="4447"/>
      <c r="M33" s="4447"/>
      <c r="N33" s="4447"/>
      <c r="O33" s="4447"/>
      <c r="P33" s="4447"/>
      <c r="Q33" s="4486">
        <f>SUM(Q9+Q30+Q31+Q32)</f>
        <v>98990.185899533055</v>
      </c>
      <c r="R33" s="4447"/>
    </row>
    <row r="34" spans="1:18" ht="21.75" customHeight="1">
      <c r="A34" s="2549">
        <v>2</v>
      </c>
      <c r="B34" s="2550" t="s">
        <v>1615</v>
      </c>
      <c r="C34" s="2549" t="s">
        <v>953</v>
      </c>
      <c r="D34" s="2551">
        <f>SUM(объемы!K59+объемы!K60)</f>
        <v>3644.7</v>
      </c>
      <c r="E34" s="2693">
        <f>SUM(объемы!R58)</f>
        <v>3186.5699999999997</v>
      </c>
      <c r="F34" s="2551">
        <f>SUM(объемы!AA58-объемы!AA61)</f>
        <v>1567.48</v>
      </c>
      <c r="G34" s="2551">
        <f>SUM(объемы!AB58-объемы!AB61)</f>
        <v>2289.52</v>
      </c>
      <c r="H34" s="2551">
        <f>SUM(объемы!AC58-объемы!AC61)</f>
        <v>3040.84</v>
      </c>
      <c r="I34" s="2551">
        <f>объемы!U58</f>
        <v>3445</v>
      </c>
      <c r="J34" s="2551">
        <f>SUM(объемы!AE59+объемы!AE60)</f>
        <v>3272.75</v>
      </c>
      <c r="K34" s="2551">
        <f>SUM(объемы!AJ58-объемы!AJ61)</f>
        <v>3230</v>
      </c>
      <c r="L34" s="2551">
        <f>SUM(объемы!AF58-объемы!AF61)</f>
        <v>1592.56</v>
      </c>
      <c r="M34" s="2551">
        <f>SUM(объемы!AG58-объемы!AG61)</f>
        <v>2324.85</v>
      </c>
      <c r="N34" s="2551">
        <f>SUM(объемы!AH58-объемы!AH61)</f>
        <v>3080</v>
      </c>
      <c r="O34" s="2693">
        <f>SUM(объемы!AD58-объемы!AD61)</f>
        <v>3200</v>
      </c>
      <c r="P34" s="2551">
        <f>SUM(объемы!AJ58-объемы!AJ61)</f>
        <v>3230</v>
      </c>
      <c r="Q34" s="4394">
        <f>SUM(объемы!AJ58-объемы!AJ61)</f>
        <v>3230</v>
      </c>
      <c r="R34" s="2552"/>
    </row>
    <row r="35" spans="1:18" ht="21.75" customHeight="1">
      <c r="A35" s="2549" t="s">
        <v>196</v>
      </c>
      <c r="B35" s="2550" t="s">
        <v>954</v>
      </c>
      <c r="C35" s="2549" t="s">
        <v>953</v>
      </c>
      <c r="D35" s="2551">
        <f>SUM(объемы!K59)</f>
        <v>2600</v>
      </c>
      <c r="E35" s="2693">
        <f>SUM(объемы!R59)</f>
        <v>2289.52</v>
      </c>
      <c r="F35" s="2551">
        <f>SUM(объемы!AA59)</f>
        <v>1148.96</v>
      </c>
      <c r="G35" s="2551">
        <f>SUM(объемы!AB59)</f>
        <v>1686.35</v>
      </c>
      <c r="H35" s="2551">
        <f>SUM(объемы!AC59)</f>
        <v>2239.89</v>
      </c>
      <c r="I35" s="2551">
        <f>объемы!U59</f>
        <v>2448</v>
      </c>
      <c r="J35" s="2551">
        <f>SUM(объемы!AE59)</f>
        <v>2300</v>
      </c>
      <c r="K35" s="2551">
        <f>SUM(объемы!AJ59)</f>
        <v>2280</v>
      </c>
      <c r="L35" s="2551">
        <f>SUM(объемы!AF59)</f>
        <v>1203.46</v>
      </c>
      <c r="M35" s="2551">
        <f>SUM(объемы!AG59)</f>
        <v>1757.22</v>
      </c>
      <c r="N35" s="2551">
        <f>SUM(объемы!AH59)</f>
        <v>2280</v>
      </c>
      <c r="O35" s="2693">
        <f>SUM(объемы!AD59)</f>
        <v>2300</v>
      </c>
      <c r="P35" s="2551">
        <f>SUM(объемы!AJ59)</f>
        <v>2280</v>
      </c>
      <c r="Q35" s="4394">
        <f>SUM(объемы!AJ59)</f>
        <v>2280</v>
      </c>
      <c r="R35" s="2552"/>
    </row>
    <row r="36" spans="1:18" ht="21.75" customHeight="1">
      <c r="A36" s="2568" t="s">
        <v>955</v>
      </c>
      <c r="B36" s="2569" t="s">
        <v>1622</v>
      </c>
      <c r="C36" s="2568" t="s">
        <v>957</v>
      </c>
      <c r="D36" s="2570">
        <f t="shared" ref="D36:I36" si="20">D9/D34</f>
        <v>24.290424541705395</v>
      </c>
      <c r="E36" s="2570">
        <f t="shared" si="20"/>
        <v>22.912707042020791</v>
      </c>
      <c r="F36" s="2570">
        <f t="shared" si="20"/>
        <v>24.566970761948461</v>
      </c>
      <c r="G36" s="2570">
        <f t="shared" si="20"/>
        <v>25.959642079793721</v>
      </c>
      <c r="H36" s="2570">
        <f t="shared" si="20"/>
        <v>26.705514066228972</v>
      </c>
      <c r="I36" s="2570">
        <f t="shared" si="20"/>
        <v>24.708181449642517</v>
      </c>
      <c r="J36" s="2570">
        <f>(J9+J28)/J34</f>
        <v>25.880957916210434</v>
      </c>
      <c r="K36" s="2570">
        <f>(K9+K28)/K34</f>
        <v>29.176799438614122</v>
      </c>
      <c r="L36" s="2570">
        <f t="shared" ref="L36:M36" si="21">L9/L34</f>
        <v>25.099172504762876</v>
      </c>
      <c r="M36" s="2570">
        <f t="shared" si="21"/>
        <v>25.940058798801743</v>
      </c>
      <c r="N36" s="2570">
        <f t="shared" ref="N36" si="22">N9/N34</f>
        <v>26.165722274961002</v>
      </c>
      <c r="O36" s="2570">
        <f>O9/O34</f>
        <v>28.026000649714486</v>
      </c>
      <c r="P36" s="2570">
        <f>(P9+P28)/P34</f>
        <v>30.185190914174001</v>
      </c>
      <c r="Q36" s="2570">
        <f>(Q33/Q34)</f>
        <v>30.647116377564412</v>
      </c>
      <c r="R36" s="2546"/>
    </row>
    <row r="37" spans="1:18" ht="21.75" customHeight="1">
      <c r="A37" s="2568"/>
      <c r="B37" s="2569" t="s">
        <v>958</v>
      </c>
      <c r="C37" s="2568" t="s">
        <v>957</v>
      </c>
      <c r="D37" s="2570">
        <v>24.29</v>
      </c>
      <c r="E37" s="2568"/>
      <c r="F37" s="2570"/>
      <c r="G37" s="2568"/>
      <c r="H37" s="2568"/>
      <c r="I37" s="2570">
        <v>24.29</v>
      </c>
      <c r="J37" s="2570">
        <f>I38</f>
        <v>25.126362899285034</v>
      </c>
      <c r="K37" s="2570">
        <f>J38</f>
        <v>26.635552933135834</v>
      </c>
      <c r="L37" s="2568"/>
      <c r="M37" s="2568"/>
      <c r="N37" s="2568"/>
      <c r="O37" s="2932">
        <f>SUM(I38)</f>
        <v>25.126362899285034</v>
      </c>
      <c r="P37" s="2926">
        <f>SUM(J38)</f>
        <v>26.635552933135834</v>
      </c>
      <c r="Q37" s="2926">
        <f>SUM(J38)</f>
        <v>26.635552933135834</v>
      </c>
      <c r="R37" s="2546"/>
    </row>
    <row r="38" spans="1:18" ht="21.75" customHeight="1">
      <c r="A38" s="2568"/>
      <c r="B38" s="2569" t="s">
        <v>959</v>
      </c>
      <c r="C38" s="2568" t="s">
        <v>957</v>
      </c>
      <c r="D38" s="2570">
        <f>D36*2-D37</f>
        <v>24.290849083410791</v>
      </c>
      <c r="E38" s="2568"/>
      <c r="F38" s="2570"/>
      <c r="G38" s="2568"/>
      <c r="H38" s="2568"/>
      <c r="I38" s="2570">
        <f t="shared" ref="I38:P38" si="23">I36*2-I37</f>
        <v>25.126362899285034</v>
      </c>
      <c r="J38" s="2570">
        <f t="shared" si="23"/>
        <v>26.635552933135834</v>
      </c>
      <c r="K38" s="2570">
        <f t="shared" si="23"/>
        <v>31.71804594409241</v>
      </c>
      <c r="L38" s="2568"/>
      <c r="M38" s="2568"/>
      <c r="N38" s="2568"/>
      <c r="O38" s="2570">
        <f t="shared" si="23"/>
        <v>30.925638400143939</v>
      </c>
      <c r="P38" s="2570">
        <f t="shared" si="23"/>
        <v>33.734828895212168</v>
      </c>
      <c r="Q38" s="2570">
        <f t="shared" ref="Q38" si="24">Q36*2-Q37</f>
        <v>34.65867982199299</v>
      </c>
      <c r="R38" s="2546"/>
    </row>
    <row r="39" spans="1:18" ht="21.75" customHeight="1">
      <c r="A39" s="2568"/>
      <c r="B39" s="2569" t="s">
        <v>960</v>
      </c>
      <c r="C39" s="2568"/>
      <c r="D39" s="2570"/>
      <c r="E39" s="2568"/>
      <c r="F39" s="2570"/>
      <c r="G39" s="2568"/>
      <c r="H39" s="2568"/>
      <c r="I39" s="2570"/>
      <c r="J39" s="2570"/>
      <c r="K39" s="2570"/>
      <c r="L39" s="2568"/>
      <c r="M39" s="2568"/>
      <c r="N39" s="2568"/>
      <c r="O39" s="2568"/>
      <c r="P39" s="2926"/>
      <c r="Q39" s="2926"/>
      <c r="R39" s="2546"/>
    </row>
    <row r="40" spans="1:18" ht="21.75" customHeight="1">
      <c r="A40" s="2568"/>
      <c r="B40" s="2569" t="s">
        <v>958</v>
      </c>
      <c r="C40" s="2568" t="s">
        <v>44</v>
      </c>
      <c r="D40" s="2570">
        <v>100</v>
      </c>
      <c r="E40" s="2568"/>
      <c r="F40" s="2570"/>
      <c r="G40" s="2568"/>
      <c r="H40" s="2568"/>
      <c r="I40" s="2570"/>
      <c r="J40" s="2570">
        <f>J37/I38*100</f>
        <v>100</v>
      </c>
      <c r="K40" s="2570">
        <f>K37/J38*100</f>
        <v>100</v>
      </c>
      <c r="L40" s="2568"/>
      <c r="M40" s="2568"/>
      <c r="N40" s="2568"/>
      <c r="O40" s="2570">
        <f>O37/I38*100</f>
        <v>100</v>
      </c>
      <c r="P40" s="2570">
        <f>P37/J38*100</f>
        <v>100</v>
      </c>
      <c r="Q40" s="2570">
        <f>Q37/J38*100</f>
        <v>100</v>
      </c>
      <c r="R40" s="2546"/>
    </row>
    <row r="41" spans="1:18" ht="21.75" customHeight="1">
      <c r="A41" s="2568"/>
      <c r="B41" s="2569" t="s">
        <v>959</v>
      </c>
      <c r="C41" s="2568" t="s">
        <v>44</v>
      </c>
      <c r="D41" s="2570">
        <f>D38/D37*100</f>
        <v>100.00349560893697</v>
      </c>
      <c r="E41" s="2568"/>
      <c r="F41" s="2570"/>
      <c r="G41" s="2568"/>
      <c r="H41" s="2568"/>
      <c r="I41" s="2570">
        <f t="shared" ref="I41:P41" si="25">I38/I37*100</f>
        <v>103.44323960183218</v>
      </c>
      <c r="J41" s="2570">
        <f t="shared" si="25"/>
        <v>106.0064006871991</v>
      </c>
      <c r="K41" s="2570">
        <f t="shared" si="25"/>
        <v>119.08161254889409</v>
      </c>
      <c r="L41" s="2568"/>
      <c r="M41" s="2568"/>
      <c r="N41" s="2568"/>
      <c r="O41" s="2570">
        <f t="shared" si="25"/>
        <v>123.08044154302937</v>
      </c>
      <c r="P41" s="2570">
        <f t="shared" si="25"/>
        <v>126.65338309250758</v>
      </c>
      <c r="Q41" s="2570">
        <f t="shared" ref="Q41" si="26">Q38/Q37*100</f>
        <v>130.12187097822934</v>
      </c>
      <c r="R41" s="2546"/>
    </row>
    <row r="42" spans="1:18" ht="15">
      <c r="A42" s="2588"/>
      <c r="B42" s="2589"/>
      <c r="C42" s="2590"/>
      <c r="D42" s="2590"/>
      <c r="E42" s="2590"/>
      <c r="F42" s="2590"/>
      <c r="G42" s="2590"/>
      <c r="H42" s="2590"/>
      <c r="I42" s="2590"/>
      <c r="J42" s="2590"/>
      <c r="K42" s="2590"/>
      <c r="L42" s="2590"/>
      <c r="M42" s="2590"/>
      <c r="N42" s="2590"/>
      <c r="O42" s="2590"/>
      <c r="P42" s="2590"/>
      <c r="Q42" s="2590"/>
      <c r="R42" s="2591"/>
    </row>
    <row r="43" spans="1:18" ht="21.75" customHeight="1">
      <c r="A43" s="2592" t="s">
        <v>961</v>
      </c>
      <c r="B43" s="2577" t="s">
        <v>1623</v>
      </c>
      <c r="C43" s="2593"/>
      <c r="D43" s="2593"/>
      <c r="E43" s="2593"/>
      <c r="F43" s="2593"/>
      <c r="G43" s="2593"/>
      <c r="H43" s="2593"/>
      <c r="I43" s="2593"/>
      <c r="J43" s="2593"/>
      <c r="K43" s="2593"/>
      <c r="L43" s="2593"/>
      <c r="M43" s="2593"/>
      <c r="N43" s="2593"/>
      <c r="O43" s="2593"/>
      <c r="P43" s="2927"/>
      <c r="Q43" s="2927"/>
      <c r="R43" s="2593"/>
    </row>
    <row r="44" spans="1:18" ht="21.75" customHeight="1">
      <c r="A44" s="2593"/>
      <c r="B44" s="2577" t="s">
        <v>958</v>
      </c>
      <c r="C44" s="2580" t="s">
        <v>963</v>
      </c>
      <c r="D44" s="2594">
        <v>18.350000000000001</v>
      </c>
      <c r="E44" s="2580"/>
      <c r="F44" s="2594"/>
      <c r="G44" s="2580"/>
      <c r="H44" s="2580"/>
      <c r="I44" s="2595">
        <v>21.01</v>
      </c>
      <c r="J44" s="2595">
        <f>I45</f>
        <v>22.500000000000004</v>
      </c>
      <c r="K44" s="2595">
        <f>J45</f>
        <v>23.47</v>
      </c>
      <c r="L44" s="2580"/>
      <c r="M44" s="2580"/>
      <c r="N44" s="2580"/>
      <c r="O44" s="2933">
        <f>SUM(I45)</f>
        <v>22.500000000000004</v>
      </c>
      <c r="P44" s="2933">
        <f>SUM(J45)</f>
        <v>23.47</v>
      </c>
      <c r="Q44" s="2933">
        <f>SUM(J45)</f>
        <v>23.47</v>
      </c>
      <c r="R44" s="2593"/>
    </row>
    <row r="45" spans="1:18" ht="21.75" customHeight="1">
      <c r="A45" s="2593"/>
      <c r="B45" s="2577" t="s">
        <v>959</v>
      </c>
      <c r="C45" s="2580" t="s">
        <v>963</v>
      </c>
      <c r="D45" s="2594">
        <v>21.01</v>
      </c>
      <c r="E45" s="2580"/>
      <c r="F45" s="2594"/>
      <c r="G45" s="2580"/>
      <c r="H45" s="2580"/>
      <c r="I45" s="2595">
        <f>26.55/1.18</f>
        <v>22.500000000000004</v>
      </c>
      <c r="J45" s="2595">
        <v>23.47</v>
      </c>
      <c r="K45" s="2595">
        <v>25.82</v>
      </c>
      <c r="L45" s="2580"/>
      <c r="M45" s="2580"/>
      <c r="N45" s="2580"/>
      <c r="O45" s="2933">
        <f>SUM(O44*1.2)</f>
        <v>27.000000000000004</v>
      </c>
      <c r="P45" s="2933">
        <v>25.82</v>
      </c>
      <c r="Q45" s="2933">
        <v>24.87</v>
      </c>
      <c r="R45" s="2593"/>
    </row>
    <row r="46" spans="1:18" ht="21.75" customHeight="1">
      <c r="A46" s="2593"/>
      <c r="B46" s="2577" t="s">
        <v>363</v>
      </c>
      <c r="C46" s="2580" t="s">
        <v>44</v>
      </c>
      <c r="D46" s="2594">
        <f>D45/D44*100</f>
        <v>114.49591280653951</v>
      </c>
      <c r="E46" s="2580"/>
      <c r="F46" s="2593"/>
      <c r="G46" s="2580"/>
      <c r="H46" s="2580"/>
      <c r="I46" s="4016">
        <f t="shared" ref="I46:P46" si="27">I45/I44*100</f>
        <v>107.09186101856261</v>
      </c>
      <c r="J46" s="4016">
        <f t="shared" si="27"/>
        <v>104.31111111111109</v>
      </c>
      <c r="K46" s="2594">
        <f t="shared" si="27"/>
        <v>110.012782275245</v>
      </c>
      <c r="L46" s="2580"/>
      <c r="M46" s="2580"/>
      <c r="N46" s="2580"/>
      <c r="O46" s="2594">
        <f t="shared" si="27"/>
        <v>120</v>
      </c>
      <c r="P46" s="2594">
        <f t="shared" si="27"/>
        <v>110.012782275245</v>
      </c>
      <c r="Q46" s="2594">
        <f t="shared" ref="Q46" si="28">Q45/Q44*100</f>
        <v>105.96506178099703</v>
      </c>
      <c r="R46" s="2593"/>
    </row>
    <row r="47" spans="1:18" ht="21.75" customHeight="1">
      <c r="A47" s="2593"/>
      <c r="B47" s="2577" t="s">
        <v>964</v>
      </c>
      <c r="C47" s="2580" t="s">
        <v>918</v>
      </c>
      <c r="D47" s="2594">
        <f>(D37-D44)*D35/2+(D38-D45)*D35/2</f>
        <v>11987.103808434023</v>
      </c>
      <c r="E47" s="2580"/>
      <c r="F47" s="2593"/>
      <c r="G47" s="2580"/>
      <c r="H47" s="2580"/>
      <c r="I47" s="2594">
        <f t="shared" ref="I47:P47" si="29">(I37-I44)*I35/2+(I38-I45)*I35/2</f>
        <v>7229.3881887248754</v>
      </c>
      <c r="J47" s="2594">
        <f t="shared" si="29"/>
        <v>6660.7032072839957</v>
      </c>
      <c r="K47" s="2594">
        <f t="shared" si="29"/>
        <v>10332.502720040198</v>
      </c>
      <c r="L47" s="2580"/>
      <c r="M47" s="2580"/>
      <c r="N47" s="2580"/>
      <c r="O47" s="2594">
        <f t="shared" si="29"/>
        <v>7534.80149434331</v>
      </c>
      <c r="P47" s="2594">
        <f t="shared" si="29"/>
        <v>12631.635284316722</v>
      </c>
      <c r="Q47" s="2594">
        <f t="shared" ref="Q47" si="30">(Q37-Q44)*Q35/2+(Q38-Q45)*Q35/2</f>
        <v>14767.825340846861</v>
      </c>
      <c r="R47" s="2593"/>
    </row>
  </sheetData>
  <mergeCells count="22">
    <mergeCell ref="H6:H8"/>
    <mergeCell ref="C6:C8"/>
    <mergeCell ref="I6:I8"/>
    <mergeCell ref="E6:E8"/>
    <mergeCell ref="F6:F8"/>
    <mergeCell ref="G6:G8"/>
    <mergeCell ref="D4:D5"/>
    <mergeCell ref="D6:D8"/>
    <mergeCell ref="A1:R1"/>
    <mergeCell ref="A2:R2"/>
    <mergeCell ref="A4:A5"/>
    <mergeCell ref="B4:B5"/>
    <mergeCell ref="C4:C5"/>
    <mergeCell ref="I4:K4"/>
    <mergeCell ref="R4:R5"/>
    <mergeCell ref="O4:P4"/>
    <mergeCell ref="F4:H5"/>
    <mergeCell ref="L4:N4"/>
    <mergeCell ref="E4:E5"/>
    <mergeCell ref="L6:L8"/>
    <mergeCell ref="M6:M8"/>
    <mergeCell ref="N6:N8"/>
  </mergeCells>
  <printOptions horizontalCentered="1" verticalCentered="1"/>
  <pageMargins left="0.11811023622047245" right="0.11811023622047245" top="0.15748031496062992" bottom="0.15748031496062992" header="0.31496062992125984" footer="0.31496062992125984"/>
  <pageSetup paperSize="9" scale="48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00B0F0"/>
    <pageSetUpPr fitToPage="1"/>
  </sheetPr>
  <dimension ref="A1:S65"/>
  <sheetViews>
    <sheetView zoomScale="84" zoomScaleNormal="84" workbookViewId="0">
      <pane xSplit="2" ySplit="5" topLeftCell="J21" activePane="bottomRight" state="frozen"/>
      <selection pane="topRight" activeCell="C1" sqref="C1"/>
      <selection pane="bottomLeft" activeCell="A6" sqref="A6"/>
      <selection pane="bottomRight" activeCell="Q68" sqref="Q68"/>
    </sheetView>
  </sheetViews>
  <sheetFormatPr defaultRowHeight="12.75"/>
  <cols>
    <col min="1" max="1" width="10" customWidth="1"/>
    <col min="2" max="2" width="81.85546875" customWidth="1"/>
    <col min="3" max="5" width="12.7109375" customWidth="1"/>
    <col min="6" max="7" width="12.7109375" hidden="1" customWidth="1"/>
    <col min="8" max="8" width="12.7109375" customWidth="1"/>
    <col min="9" max="9" width="13.28515625" customWidth="1"/>
    <col min="10" max="14" width="12.7109375" customWidth="1"/>
    <col min="15" max="16" width="14" customWidth="1"/>
    <col min="17" max="17" width="16" customWidth="1"/>
    <col min="18" max="18" width="38.140625" customWidth="1"/>
  </cols>
  <sheetData>
    <row r="1" spans="1:19" ht="15">
      <c r="A1" s="5020" t="s">
        <v>1528</v>
      </c>
      <c r="B1" s="5021"/>
      <c r="C1" s="5021"/>
      <c r="D1" s="5021"/>
      <c r="E1" s="5021"/>
      <c r="F1" s="5021"/>
      <c r="G1" s="5021"/>
      <c r="H1" s="5021"/>
      <c r="I1" s="5021"/>
      <c r="J1" s="5021"/>
      <c r="K1" s="5021"/>
      <c r="L1" s="5021"/>
      <c r="M1" s="5021"/>
      <c r="N1" s="5021"/>
      <c r="O1" s="5021"/>
      <c r="P1" s="5021"/>
      <c r="Q1" s="5021"/>
      <c r="R1" s="5021"/>
    </row>
    <row r="2" spans="1:19" ht="18.75">
      <c r="A2" s="5022" t="s">
        <v>1683</v>
      </c>
      <c r="B2" s="5022"/>
      <c r="C2" s="5022"/>
      <c r="D2" s="5022"/>
      <c r="E2" s="5022"/>
      <c r="F2" s="5022"/>
      <c r="G2" s="5022"/>
      <c r="H2" s="5022"/>
      <c r="I2" s="5022"/>
      <c r="J2" s="5022"/>
      <c r="K2" s="5022"/>
      <c r="L2" s="5022"/>
      <c r="M2" s="5022"/>
      <c r="N2" s="5022"/>
      <c r="O2" s="5022"/>
      <c r="P2" s="5022"/>
      <c r="Q2" s="5022"/>
      <c r="R2" s="5022"/>
    </row>
    <row r="3" spans="1:19" ht="15">
      <c r="A3" s="2598"/>
      <c r="B3" s="2599"/>
      <c r="C3" s="2598"/>
      <c r="D3" s="2598"/>
      <c r="E3" s="2598"/>
      <c r="F3" s="2598"/>
      <c r="G3" s="2598"/>
      <c r="H3" s="2598"/>
      <c r="I3" s="2598"/>
      <c r="J3" s="2598"/>
      <c r="K3" s="2598"/>
      <c r="L3" s="2598"/>
      <c r="M3" s="2598"/>
      <c r="N3" s="2598"/>
      <c r="O3" s="2598"/>
      <c r="P3" s="2598"/>
      <c r="Q3" s="2598"/>
      <c r="R3" s="2598"/>
    </row>
    <row r="4" spans="1:19" ht="49.5" customHeight="1">
      <c r="A4" s="5023" t="s">
        <v>908</v>
      </c>
      <c r="B4" s="5023" t="s">
        <v>373</v>
      </c>
      <c r="C4" s="5023" t="s">
        <v>909</v>
      </c>
      <c r="D4" s="5010" t="s">
        <v>1609</v>
      </c>
      <c r="E4" s="5010" t="s">
        <v>1596</v>
      </c>
      <c r="F4" s="5014" t="s">
        <v>1595</v>
      </c>
      <c r="G4" s="5015"/>
      <c r="H4" s="5016"/>
      <c r="I4" s="5024" t="s">
        <v>392</v>
      </c>
      <c r="J4" s="5025"/>
      <c r="K4" s="5026"/>
      <c r="L4" s="5031" t="s">
        <v>1897</v>
      </c>
      <c r="M4" s="5032"/>
      <c r="N4" s="5033"/>
      <c r="O4" s="5039" t="s">
        <v>1900</v>
      </c>
      <c r="P4" s="5040"/>
      <c r="Q4" s="4552" t="s">
        <v>1901</v>
      </c>
      <c r="R4" s="5027" t="s">
        <v>910</v>
      </c>
    </row>
    <row r="5" spans="1:19" ht="31.5" customHeight="1">
      <c r="A5" s="5023"/>
      <c r="B5" s="5023"/>
      <c r="C5" s="5023"/>
      <c r="D5" s="4903"/>
      <c r="E5" s="4903"/>
      <c r="F5" s="5017"/>
      <c r="G5" s="5018"/>
      <c r="H5" s="5019"/>
      <c r="I5" s="2542" t="s">
        <v>832</v>
      </c>
      <c r="J5" s="2542" t="s">
        <v>911</v>
      </c>
      <c r="K5" s="2542" t="s">
        <v>912</v>
      </c>
      <c r="L5" s="4036" t="s">
        <v>598</v>
      </c>
      <c r="M5" s="4036" t="s">
        <v>229</v>
      </c>
      <c r="N5" s="4036" t="s">
        <v>1899</v>
      </c>
      <c r="O5" s="2929" t="s">
        <v>911</v>
      </c>
      <c r="P5" s="2929" t="s">
        <v>912</v>
      </c>
      <c r="Q5" s="4358" t="s">
        <v>912</v>
      </c>
      <c r="R5" s="5028"/>
    </row>
    <row r="6" spans="1:19" ht="21.75" customHeight="1">
      <c r="A6" s="2543"/>
      <c r="B6" s="2544" t="s">
        <v>913</v>
      </c>
      <c r="C6" s="5036" t="s">
        <v>914</v>
      </c>
      <c r="D6" s="5011" t="s">
        <v>914</v>
      </c>
      <c r="E6" s="5011" t="s">
        <v>914</v>
      </c>
      <c r="F6" s="5011" t="s">
        <v>914</v>
      </c>
      <c r="G6" s="5011" t="s">
        <v>914</v>
      </c>
      <c r="H6" s="5011" t="s">
        <v>914</v>
      </c>
      <c r="I6" s="5011" t="s">
        <v>914</v>
      </c>
      <c r="J6" s="2545">
        <v>0.01</v>
      </c>
      <c r="K6" s="2545">
        <v>0.01</v>
      </c>
      <c r="L6" s="5034" t="s">
        <v>914</v>
      </c>
      <c r="M6" s="5034" t="s">
        <v>914</v>
      </c>
      <c r="N6" s="5034" t="s">
        <v>914</v>
      </c>
      <c r="O6" s="2545"/>
      <c r="P6" s="2918"/>
      <c r="Q6" s="2545">
        <v>0.01</v>
      </c>
      <c r="R6" s="2546"/>
    </row>
    <row r="7" spans="1:19" ht="21.75" customHeight="1">
      <c r="A7" s="2543"/>
      <c r="B7" s="2544" t="s">
        <v>915</v>
      </c>
      <c r="C7" s="5037"/>
      <c r="D7" s="5012"/>
      <c r="E7" s="5012"/>
      <c r="F7" s="5012"/>
      <c r="G7" s="5012"/>
      <c r="H7" s="5012"/>
      <c r="I7" s="5012"/>
      <c r="J7" s="2547">
        <v>7.0999999999999994E-2</v>
      </c>
      <c r="K7" s="2547">
        <v>5.8000000000000003E-2</v>
      </c>
      <c r="L7" s="5035"/>
      <c r="M7" s="5035"/>
      <c r="N7" s="5035"/>
      <c r="O7" s="2547"/>
      <c r="P7" s="2919"/>
      <c r="Q7" s="2547">
        <v>3.6999999999999998E-2</v>
      </c>
      <c r="R7" s="2546"/>
    </row>
    <row r="8" spans="1:19" ht="21.75" customHeight="1">
      <c r="A8" s="2543"/>
      <c r="B8" s="2544" t="s">
        <v>916</v>
      </c>
      <c r="C8" s="5038"/>
      <c r="D8" s="5013"/>
      <c r="E8" s="5013"/>
      <c r="F8" s="5013"/>
      <c r="G8" s="5013"/>
      <c r="H8" s="5013"/>
      <c r="I8" s="5013"/>
      <c r="J8" s="2548">
        <v>0</v>
      </c>
      <c r="K8" s="2548">
        <v>0</v>
      </c>
      <c r="L8" s="4903"/>
      <c r="M8" s="4903"/>
      <c r="N8" s="4903"/>
      <c r="O8" s="2548"/>
      <c r="P8" s="2920"/>
      <c r="Q8" s="2548">
        <v>0</v>
      </c>
      <c r="R8" s="2546"/>
    </row>
    <row r="9" spans="1:19" ht="21.75" customHeight="1">
      <c r="A9" s="2549">
        <v>1</v>
      </c>
      <c r="B9" s="2550" t="s">
        <v>1612</v>
      </c>
      <c r="C9" s="2549" t="s">
        <v>918</v>
      </c>
      <c r="D9" s="2551">
        <f t="shared" ref="D9:P9" si="0">D12+D23+D25+D29</f>
        <v>88832.216022281747</v>
      </c>
      <c r="E9" s="2551">
        <f t="shared" si="0"/>
        <v>73344.059999999983</v>
      </c>
      <c r="F9" s="2551">
        <f t="shared" si="0"/>
        <v>38669.276350000007</v>
      </c>
      <c r="G9" s="2551">
        <f t="shared" si="0"/>
        <v>59688.815588999991</v>
      </c>
      <c r="H9" s="2551">
        <f t="shared" si="0"/>
        <v>81554.202000000005</v>
      </c>
      <c r="I9" s="2551">
        <f t="shared" si="0"/>
        <v>85385.402526143604</v>
      </c>
      <c r="J9" s="2551">
        <f>J12+J23+J25+J29+0.01</f>
        <v>90271.85478099811</v>
      </c>
      <c r="K9" s="2551">
        <f t="shared" si="0"/>
        <v>89302.8787915953</v>
      </c>
      <c r="L9" s="2551">
        <f t="shared" ref="L9:M9" si="1">L12+L23+L25+L29</f>
        <v>40121.255000000005</v>
      </c>
      <c r="M9" s="2551">
        <f t="shared" si="1"/>
        <v>60544.265999999996</v>
      </c>
      <c r="N9" s="2551">
        <f t="shared" ref="N9" si="2">N12+N23+N25+N29</f>
        <v>80927.815986411544</v>
      </c>
      <c r="O9" s="2551">
        <f t="shared" si="0"/>
        <v>90038.477318232995</v>
      </c>
      <c r="P9" s="2551">
        <f t="shared" si="0"/>
        <v>92585.205032595535</v>
      </c>
      <c r="Q9" s="2551">
        <f>Q12+Q23+Q25+Q29+Q30</f>
        <v>90623.772125612319</v>
      </c>
      <c r="R9" s="2552"/>
    </row>
    <row r="10" spans="1:19" ht="21.75" customHeight="1">
      <c r="A10" s="2614"/>
      <c r="B10" s="2615" t="s">
        <v>1613</v>
      </c>
      <c r="C10" s="2549" t="s">
        <v>918</v>
      </c>
      <c r="D10" s="2617">
        <f>SUM(стоки!AK66)</f>
        <v>88531.310327153638</v>
      </c>
      <c r="E10" s="2694">
        <f>SUM(стоки!AW66)</f>
        <v>73012.944878892187</v>
      </c>
      <c r="F10" s="2617">
        <f>SUM('Тариф стоки 2016-2018 ПЛАН'!F9)</f>
        <v>38508.235329938972</v>
      </c>
      <c r="G10" s="2617">
        <f>SUM('Тариф стоки 2016-2018 ПЛАН'!G9)</f>
        <v>59435.119734529319</v>
      </c>
      <c r="H10" s="2617">
        <f>SUM('Тариф стоки 2016-2018 ПЛАН'!H9)</f>
        <v>81207.195393151706</v>
      </c>
      <c r="I10" s="2617">
        <f>SUM('Тариф стоки 2016-2018 ПЛАН'!I9)</f>
        <v>85119.685094018467</v>
      </c>
      <c r="J10" s="2617">
        <f>SUM('Тариф стоки 2016-2018 ПЛАН'!J9)</f>
        <v>89936.605020277697</v>
      </c>
      <c r="K10" s="2617">
        <f>SUM('Тариф стоки 2016-2018 ПЛАН'!K9)</f>
        <v>89006.362186723622</v>
      </c>
      <c r="L10" s="2617">
        <f>SUM('Тариф стоки 2016-2018 ПЛАН'!L9)</f>
        <v>39971.938164185165</v>
      </c>
      <c r="M10" s="2617">
        <f>SUM('Тариф стоки 2016-2018 ПЛАН'!M9)</f>
        <v>60306.745698394232</v>
      </c>
      <c r="N10" s="2617">
        <f>SUM('Тариф стоки 2016-2018 ПЛАН'!N9)</f>
        <v>80590.424606879882</v>
      </c>
      <c r="O10" s="2617">
        <f>SUM(стоки!BS66)</f>
        <v>89683.201826851277</v>
      </c>
      <c r="P10" s="2922">
        <f>SUM('Тариф стоки 2016-2018 ПЛАН'!P9)</f>
        <v>92263.466652782023</v>
      </c>
      <c r="Q10" s="2922">
        <f>SUM('Тариф стоки 2016-2018 ПЛАН'!Q9)</f>
        <v>90326.575899533054</v>
      </c>
      <c r="R10" s="2618"/>
    </row>
    <row r="11" spans="1:19" ht="21.75" customHeight="1">
      <c r="A11" s="2614"/>
      <c r="B11" s="2615" t="s">
        <v>1614</v>
      </c>
      <c r="C11" s="2549" t="s">
        <v>918</v>
      </c>
      <c r="D11" s="2617">
        <f>SUM(стоки!AL66)</f>
        <v>300.90569512807247</v>
      </c>
      <c r="E11" s="2694">
        <f>SUM(стоки!AX66)</f>
        <v>331.11512110780814</v>
      </c>
      <c r="F11" s="2617">
        <f>SUM('Тариф очистка 2016-2018 ПЛАН'!F9)</f>
        <v>161.04102006103977</v>
      </c>
      <c r="G11" s="2617">
        <f>SUM('Тариф очистка 2016-2018 ПЛАН'!G9)</f>
        <v>253.69585447067101</v>
      </c>
      <c r="H11" s="2617">
        <f>SUM('Тариф очистка 2016-2018 ПЛАН'!H9)</f>
        <v>347.00660684829899</v>
      </c>
      <c r="I11" s="2617">
        <f>SUM('Тариф очистка 2016-2018 ПЛАН'!I9)</f>
        <v>265.71743212512052</v>
      </c>
      <c r="J11" s="2617">
        <f>SUM('Тариф очистка 2016-2018 ПЛАН'!J9)</f>
        <v>335.23976072043553</v>
      </c>
      <c r="K11" s="2617">
        <f>SUM('Тариф очистка 2016-2018 ПЛАН'!K9)</f>
        <v>296.5166048716672</v>
      </c>
      <c r="L11" s="2617">
        <f>SUM('Тариф очистка 2016-2018 ПЛАН'!L9)</f>
        <v>149.31683581483804</v>
      </c>
      <c r="M11" s="2617">
        <f>SUM('Тариф очистка 2016-2018 ПЛАН'!M9)</f>
        <v>237.52030160576152</v>
      </c>
      <c r="N11" s="2617">
        <f>SUM('Тариф очистка 2016-2018 ПЛАН'!N9)</f>
        <v>337.39137953168631</v>
      </c>
      <c r="O11" s="2617">
        <f>SUM(стоки!BT66)</f>
        <v>355.27549138171457</v>
      </c>
      <c r="P11" s="2922">
        <f>SUM('Тариф очистка 2016-2018 ПЛАН'!P9)</f>
        <v>321.73837981352978</v>
      </c>
      <c r="Q11" s="2922">
        <f>SUM('Тариф очистка 2016-2018 ПЛАН'!Q9)</f>
        <v>297.19622607925788</v>
      </c>
      <c r="R11" s="2618"/>
    </row>
    <row r="12" spans="1:19" ht="21.75" customHeight="1">
      <c r="A12" s="2553" t="s">
        <v>919</v>
      </c>
      <c r="B12" s="2554" t="s">
        <v>920</v>
      </c>
      <c r="C12" s="2553" t="s">
        <v>918</v>
      </c>
      <c r="D12" s="2555">
        <f t="shared" ref="D12:P12" si="3">D13+D14+D15</f>
        <v>76306.248738850176</v>
      </c>
      <c r="E12" s="2555">
        <f t="shared" si="3"/>
        <v>68101.219999999987</v>
      </c>
      <c r="F12" s="2555">
        <f t="shared" si="3"/>
        <v>36136.976350000004</v>
      </c>
      <c r="G12" s="2555">
        <f t="shared" si="3"/>
        <v>55887.555588999989</v>
      </c>
      <c r="H12" s="2555">
        <f t="shared" si="3"/>
        <v>76463.497199999998</v>
      </c>
      <c r="I12" s="2555">
        <f t="shared" si="3"/>
        <v>76421.875123687321</v>
      </c>
      <c r="J12" s="2555">
        <f t="shared" si="3"/>
        <v>80792.479303842032</v>
      </c>
      <c r="K12" s="2555">
        <f t="shared" si="3"/>
        <v>84141.238945112025</v>
      </c>
      <c r="L12" s="2555">
        <f t="shared" ref="L12:M12" si="4">L13+L14+L15</f>
        <v>37466.595000000008</v>
      </c>
      <c r="M12" s="2555">
        <f t="shared" si="4"/>
        <v>56557.095999999998</v>
      </c>
      <c r="N12" s="2555">
        <f t="shared" ref="N12" si="5">N13+N14+N15</f>
        <v>75597.695986411549</v>
      </c>
      <c r="O12" s="2555">
        <f t="shared" si="3"/>
        <v>80487.833779269524</v>
      </c>
      <c r="P12" s="2555">
        <f t="shared" si="3"/>
        <v>83012.586593810527</v>
      </c>
      <c r="Q12" s="2555">
        <f t="shared" ref="Q12" si="6">Q13+Q14+Q15</f>
        <v>84254.302125612317</v>
      </c>
      <c r="R12" s="2556"/>
      <c r="S12" t="s">
        <v>1630</v>
      </c>
    </row>
    <row r="13" spans="1:19" ht="21.75" customHeight="1">
      <c r="A13" s="2557" t="s">
        <v>921</v>
      </c>
      <c r="B13" s="2583" t="s">
        <v>922</v>
      </c>
      <c r="C13" s="2557" t="s">
        <v>918</v>
      </c>
      <c r="D13" s="2559">
        <f>SUM(стоки!AI80+стоки!AI81+стоки!AI82+стоки!AI83+стоки!AI84+стоки!AI86-D16-D18-'цех стоки'!AC19-'ОХР '!AE20-'ОХР '!AE16-'ОХР '!AE23)</f>
        <v>64281.241554656379</v>
      </c>
      <c r="E13" s="2559">
        <f>SUM(стоки!AV80+стоки!AV81+стоки!AV82+стоки!AV83+стоки!AV84+стоки!AV86-E16-E18-'цех стоки'!AM19-'ОХР '!AL20-'ОХР '!AL16-'ОХР '!AL23)</f>
        <v>56768.979999999996</v>
      </c>
      <c r="F13" s="2559">
        <f>SUM('Тариф стоки 2016-2018 ПЛАН'!F11+'Тариф очистка 2016-2018 ПЛАН'!F11)</f>
        <v>29578.046350000008</v>
      </c>
      <c r="G13" s="2559">
        <f>SUM('Тариф стоки 2016-2018 ПЛАН'!G11+'Тариф очистка 2016-2018 ПЛАН'!G11)</f>
        <v>46545.325588999993</v>
      </c>
      <c r="H13" s="2559">
        <f>SUM('Тариф стоки 2016-2018 ПЛАН'!H11+'Тариф очистка 2016-2018 ПЛАН'!H11)</f>
        <v>62252.748099999997</v>
      </c>
      <c r="I13" s="2559">
        <f>SUM('Тариф стоки 2016-2018 ПЛАН'!I11+'Тариф очистка 2016-2018 ПЛАН'!I11)</f>
        <v>65988.88464839058</v>
      </c>
      <c r="J13" s="2559">
        <f>SUM('Тариф стоки 2016-2018 ПЛАН'!J11+'Тариф очистка 2016-2018 ПЛАН'!J11)</f>
        <v>69967.354503842042</v>
      </c>
      <c r="K13" s="2559">
        <f>SUM('Тариф стоки 2016-2018 ПЛАН'!K11+'Тариф очистка 2016-2018 ПЛАН'!K11)</f>
        <v>73285.206454414234</v>
      </c>
      <c r="L13" s="2559">
        <f>SUM('Тариф стоки 2016-2018 ПЛАН'!L11+'Тариф очистка 2016-2018 ПЛАН'!L11)</f>
        <v>31057.029000000006</v>
      </c>
      <c r="M13" s="2559">
        <f>SUM('Тариф стоки 2016-2018 ПЛАН'!M11+'Тариф очистка 2016-2018 ПЛАН'!M11)</f>
        <v>47016.399999999994</v>
      </c>
      <c r="N13" s="2559">
        <f>SUM('Тариф стоки 2016-2018 ПЛАН'!N11+'Тариф очистка 2016-2018 ПЛАН'!N11)</f>
        <v>62660.848247666654</v>
      </c>
      <c r="O13" s="2559">
        <f>SUM(стоки!BQ80+стоки!BQ81+стоки!BQ82+стоки!BQ83+стоки!BQ84+стоки!BQ86-O16-O18-'цех стоки'!AQ19-'ОХР '!BI20-'ОХР '!BI16-'ОХР '!BI23)</f>
        <v>69192.057333718665</v>
      </c>
      <c r="P13" s="2924">
        <f>SUM('Тариф стоки 2016-2018 ПЛАН'!P11+'Тариф очистка 2016-2018 ПЛАН'!P11)</f>
        <v>70719.300895814595</v>
      </c>
      <c r="Q13" s="2924">
        <f>SUM('Тариф стоки 2016-2018 ПЛАН'!Q11+'Тариф очистка 2016-2018 ПЛАН'!Q11)</f>
        <v>73490.485634914527</v>
      </c>
      <c r="R13" s="2662" t="s">
        <v>1640</v>
      </c>
      <c r="S13" t="s">
        <v>1631</v>
      </c>
    </row>
    <row r="14" spans="1:19" ht="30.75" customHeight="1">
      <c r="A14" s="2557" t="s">
        <v>923</v>
      </c>
      <c r="B14" s="2583" t="s">
        <v>924</v>
      </c>
      <c r="C14" s="2557" t="s">
        <v>918</v>
      </c>
      <c r="D14" s="2559">
        <f>SUM(стоки!AI78+'цех стоки'!AC19+'ОХР '!AE20+'ОХР '!AE16)</f>
        <v>7959.9082841937943</v>
      </c>
      <c r="E14" s="2559">
        <f>SUM(стоки!AV78+'цех стоки'!AM19+'ОХР '!AL20+'ОХР '!AL16)</f>
        <v>9178.3100000000013</v>
      </c>
      <c r="F14" s="2559">
        <f>SUM('Тариф стоки 2016-2018 ПЛАН'!F12+'Тариф очистка 2016-2018 ПЛАН'!F12)</f>
        <v>5323.08</v>
      </c>
      <c r="G14" s="2559">
        <f>SUM('Тариф стоки 2016-2018 ПЛАН'!G12+'Тариф очистка 2016-2018 ПЛАН'!G12)</f>
        <v>7480.39</v>
      </c>
      <c r="H14" s="2559">
        <f>SUM('Тариф стоки 2016-2018 ПЛАН'!H12+'Тариф очистка 2016-2018 ПЛАН'!H12)</f>
        <v>10378.7111</v>
      </c>
      <c r="I14" s="2559">
        <f>SUM('Тариф стоки 2016-2018 ПЛАН'!I12+'Тариф очистка 2016-2018 ПЛАН'!I12)</f>
        <v>7965.6062297917924</v>
      </c>
      <c r="J14" s="2559">
        <f>SUM('Тариф стоки 2016-2018 ПЛАН'!J12+'Тариф очистка 2016-2018 ПЛАН'!J12)</f>
        <v>7913.84</v>
      </c>
      <c r="K14" s="2559">
        <f>SUM('Тариф стоки 2016-2018 ПЛАН'!K12+'Тариф очистка 2016-2018 ПЛАН'!K12)</f>
        <v>8387.5556788485719</v>
      </c>
      <c r="L14" s="2559">
        <f>SUM('Тариф стоки 2016-2018 ПЛАН'!L12+'Тариф очистка 2016-2018 ПЛАН'!L12)</f>
        <v>5546.2800000000007</v>
      </c>
      <c r="M14" s="2559">
        <f>SUM('Тариф стоки 2016-2018 ПЛАН'!M12+'Тариф очистка 2016-2018 ПЛАН'!M12)</f>
        <v>8268.66</v>
      </c>
      <c r="N14" s="2559">
        <f>SUM('Тариф стоки 2016-2018 ПЛАН'!N12+'Тариф очистка 2016-2018 ПЛАН'!N12)</f>
        <v>11240.799738744903</v>
      </c>
      <c r="O14" s="2559">
        <f>SUM(стоки!BQ78+'цех стоки'!AQ19+'ОХР '!BI20+'ОХР '!BI16)</f>
        <v>8238.2281957083378</v>
      </c>
      <c r="P14" s="2924">
        <f>SUM('Тариф стоки 2016-2018 ПЛАН'!P12+'Тариф очистка 2016-2018 ПЛАН'!P12)</f>
        <v>8383.4665587199997</v>
      </c>
      <c r="Q14" s="2924">
        <f>SUM('Тариф стоки 2016-2018 ПЛАН'!Q12+'Тариф очистка 2016-2018 ПЛАН'!Q12)</f>
        <v>8295.3396788485716</v>
      </c>
      <c r="R14" s="2662" t="s">
        <v>1641</v>
      </c>
    </row>
    <row r="15" spans="1:19" ht="21.75" customHeight="1">
      <c r="A15" s="2557" t="s">
        <v>925</v>
      </c>
      <c r="B15" s="2583" t="s">
        <v>926</v>
      </c>
      <c r="C15" s="2557" t="s">
        <v>918</v>
      </c>
      <c r="D15" s="2559">
        <f t="shared" ref="D15:I15" si="7">D16+D17+D18+D19+D22</f>
        <v>4065.0989</v>
      </c>
      <c r="E15" s="2559">
        <f t="shared" si="7"/>
        <v>2153.9299999999998</v>
      </c>
      <c r="F15" s="2559">
        <f t="shared" si="7"/>
        <v>1235.8500000000001</v>
      </c>
      <c r="G15" s="2559">
        <f t="shared" si="7"/>
        <v>1861.84</v>
      </c>
      <c r="H15" s="2559">
        <f t="shared" si="7"/>
        <v>3832.0380000000005</v>
      </c>
      <c r="I15" s="2559">
        <f t="shared" si="7"/>
        <v>2467.3842455049412</v>
      </c>
      <c r="J15" s="2559">
        <f t="shared" ref="J15:K15" si="8">J16+J17+J18+J19+J22</f>
        <v>2911.2847999999999</v>
      </c>
      <c r="K15" s="2559">
        <f t="shared" si="8"/>
        <v>2468.4768118492193</v>
      </c>
      <c r="L15" s="2559">
        <f t="shared" ref="L15:M15" si="9">L16+L17+L18+L19+L22</f>
        <v>863.28600000000006</v>
      </c>
      <c r="M15" s="2559">
        <f t="shared" si="9"/>
        <v>1272.0360000000003</v>
      </c>
      <c r="N15" s="2559">
        <f t="shared" ref="N15" si="10">N16+N17+N18+N19+N22</f>
        <v>1696.0480000000002</v>
      </c>
      <c r="O15" s="2559">
        <f>O16+O17+O18+O19+O22</f>
        <v>3057.548249842529</v>
      </c>
      <c r="P15" s="2559">
        <f>P16+P17+P18+P19+P22</f>
        <v>3909.81913927593</v>
      </c>
      <c r="Q15" s="2559">
        <f>Q16+Q17+Q18+Q19+Q22</f>
        <v>2468.4768118492193</v>
      </c>
      <c r="R15" s="2656"/>
    </row>
    <row r="16" spans="1:19" ht="30.75" customHeight="1">
      <c r="A16" s="2560" t="s">
        <v>927</v>
      </c>
      <c r="B16" s="2584" t="s">
        <v>928</v>
      </c>
      <c r="C16" s="2560" t="s">
        <v>918</v>
      </c>
      <c r="D16" s="2562">
        <f>SUM('цех стоки'!AC38)</f>
        <v>494.19090000000006</v>
      </c>
      <c r="E16" s="2562">
        <f>SUM('цех стоки'!AM38)</f>
        <v>206.8</v>
      </c>
      <c r="F16" s="2562">
        <f>SUM('Тариф стоки 2016-2018 ПЛАН'!F14+'Тариф очистка 2016-2018 ПЛАН'!F14)</f>
        <v>61.43</v>
      </c>
      <c r="G16" s="2562">
        <f>SUM('Тариф стоки 2016-2018 ПЛАН'!G14+'Тариф очистка 2016-2018 ПЛАН'!G14)</f>
        <v>61.43</v>
      </c>
      <c r="H16" s="2562">
        <f>SUM('Тариф стоки 2016-2018 ПЛАН'!H14+'Тариф очистка 2016-2018 ПЛАН'!H14)</f>
        <v>61.43</v>
      </c>
      <c r="I16" s="2562">
        <f>SUM('Тариф стоки 2016-2018 ПЛАН'!I14+'Тариф очистка 2016-2018 ПЛАН'!I14)</f>
        <v>318.05</v>
      </c>
      <c r="J16" s="2562">
        <f>SUM('Тариф стоки 2016-2018 ПЛАН'!J14+'Тариф очистка 2016-2018 ПЛАН'!J14)</f>
        <v>338.21</v>
      </c>
      <c r="K16" s="2562">
        <f>SUM('Тариф стоки 2016-2018 ПЛАН'!K14+'Тариф очистка 2016-2018 ПЛАН'!K14)</f>
        <v>437.59</v>
      </c>
      <c r="L16" s="2562">
        <f>SUM('Тариф стоки 2016-2018 ПЛАН'!L14+'Тариф очистка 2016-2018 ПЛАН'!L14)</f>
        <v>0</v>
      </c>
      <c r="M16" s="2562">
        <f>SUM('Тариф стоки 2016-2018 ПЛАН'!M14+'Тариф очистка 2016-2018 ПЛАН'!M14)</f>
        <v>0</v>
      </c>
      <c r="N16" s="2562">
        <f>SUM('Тариф стоки 2016-2018 ПЛАН'!N14+'Тариф очистка 2016-2018 ПЛАН'!N14)</f>
        <v>0</v>
      </c>
      <c r="O16" s="2562">
        <f>SUM('цех стоки'!AQ38)</f>
        <v>349.85500000000002</v>
      </c>
      <c r="P16" s="2925">
        <f>SUM('Тариф стоки 2016-2018 ПЛАН'!P14+'Тариф очистка 2016-2018 ПЛАН'!P14)</f>
        <v>372.03100000000001</v>
      </c>
      <c r="Q16" s="2925">
        <f>SUM('Тариф стоки 2016-2018 ПЛАН'!Q14+'Тариф очистка 2016-2018 ПЛАН'!Q14)</f>
        <v>437.59</v>
      </c>
      <c r="R16" s="2663" t="s">
        <v>1642</v>
      </c>
    </row>
    <row r="17" spans="1:18" ht="41.25" customHeight="1">
      <c r="A17" s="2560" t="s">
        <v>929</v>
      </c>
      <c r="B17" s="2584" t="s">
        <v>930</v>
      </c>
      <c r="C17" s="2560" t="s">
        <v>918</v>
      </c>
      <c r="D17" s="2562">
        <f>SUM(стоки!AI85)</f>
        <v>1927.84</v>
      </c>
      <c r="E17" s="2636">
        <f>SUM(стоки!AV85)</f>
        <v>1794.1</v>
      </c>
      <c r="F17" s="2562">
        <f>SUM('Тариф стоки 2016-2018 ПЛАН'!F15+'Тариф очистка 2016-2018 ПЛАН'!F15)</f>
        <v>1095.52</v>
      </c>
      <c r="G17" s="2562">
        <f>SUM('Тариф стоки 2016-2018 ПЛАН'!G15+'Тариф очистка 2016-2018 ПЛАН'!G15)</f>
        <v>1682.06</v>
      </c>
      <c r="H17" s="2562">
        <f>SUM('Тариф стоки 2016-2018 ПЛАН'!H15+'Тариф очистка 2016-2018 ПЛАН'!H15)</f>
        <v>3612.8080000000004</v>
      </c>
      <c r="I17" s="2562">
        <f>SUM('Тариф стоки 2016-2018 ПЛАН'!I15+'Тариф очистка 2016-2018 ПЛАН'!I15)</f>
        <v>1684.7746853333331</v>
      </c>
      <c r="J17" s="2562">
        <f>SUM('Тариф стоки 2016-2018 ПЛАН'!J15+'Тариф очистка 2016-2018 ПЛАН'!J15)</f>
        <v>1794.0400000000002</v>
      </c>
      <c r="K17" s="2562">
        <f>SUM('Тариф стоки 2016-2018 ПЛАН'!K15+'Тариф очистка 2016-2018 ПЛАН'!K15)</f>
        <v>1513.464332389854</v>
      </c>
      <c r="L17" s="2562">
        <f>SUM('Тариф стоки 2016-2018 ПЛАН'!L15+'Тариф очистка 2016-2018 ПЛАН'!L15)</f>
        <v>780.34600000000012</v>
      </c>
      <c r="M17" s="2562">
        <f>SUM('Тариф стоки 2016-2018 ПЛАН'!M15+'Тариф очистка 2016-2018 ПЛАН'!M15)</f>
        <v>1147.6360000000002</v>
      </c>
      <c r="N17" s="2562">
        <f>SUM('Тариф стоки 2016-2018 ПЛАН'!N15+'Тариф очистка 2016-2018 ПЛАН'!N15)</f>
        <v>1530.1813333333334</v>
      </c>
      <c r="O17" s="2562">
        <f>SUM(стоки!BQ85)</f>
        <v>1815.7113519999998</v>
      </c>
      <c r="P17" s="2925">
        <f>SUM('Тариф стоки 2016-2018 ПЛАН'!P15+'Тариф очистка 2016-2018 ПЛАН'!P15)</f>
        <v>1708.8272350153845</v>
      </c>
      <c r="Q17" s="2925">
        <f>SUM('Тариф стоки 2016-2018 ПЛАН'!Q15+'Тариф очистка 2016-2018 ПЛАН'!Q15)</f>
        <v>1513.464332389854</v>
      </c>
      <c r="R17" s="2663" t="s">
        <v>10</v>
      </c>
    </row>
    <row r="18" spans="1:18" ht="21.75" customHeight="1">
      <c r="A18" s="2560" t="s">
        <v>931</v>
      </c>
      <c r="B18" s="2584" t="s">
        <v>932</v>
      </c>
      <c r="C18" s="2560" t="s">
        <v>918</v>
      </c>
      <c r="D18" s="2562">
        <f>SUM('цех стоки'!AC43+'цех стоки'!AC29)</f>
        <v>184.66800000000001</v>
      </c>
      <c r="E18" s="2636">
        <f>SUM('цех стоки'!AM43+'цех стоки'!AM29)</f>
        <v>153.03</v>
      </c>
      <c r="F18" s="2562">
        <f>SUM('Тариф стоки 2016-2018 ПЛАН'!F16+'Тариф очистка 2016-2018 ПЛАН'!F16)</f>
        <v>78.900000000000006</v>
      </c>
      <c r="G18" s="2562">
        <f>SUM('Тариф стоки 2016-2018 ПЛАН'!G16+'Тариф очистка 2016-2018 ПЛАН'!G16)</f>
        <v>118.35</v>
      </c>
      <c r="H18" s="2562">
        <f>SUM('Тариф стоки 2016-2018 ПЛАН'!H16+'Тариф очистка 2016-2018 ПЛАН'!H16)</f>
        <v>157.80000000000001</v>
      </c>
      <c r="I18" s="2562">
        <f>SUM('Тариф стоки 2016-2018 ПЛАН'!I16+'Тариф очистка 2016-2018 ПЛАН'!I16)</f>
        <v>152.0548</v>
      </c>
      <c r="J18" s="2562">
        <f>SUM('Тариф стоки 2016-2018 ПЛАН'!J16+'Тариф очистка 2016-2018 ПЛАН'!J16)</f>
        <v>152.0548</v>
      </c>
      <c r="K18" s="2562">
        <f>SUM('Тариф стоки 2016-2018 ПЛАН'!K16+'Тариф очистка 2016-2018 ПЛАН'!K16)</f>
        <v>152.054</v>
      </c>
      <c r="L18" s="2562">
        <f>SUM('Тариф стоки 2016-2018 ПЛАН'!L16+'Тариф очистка 2016-2018 ПЛАН'!L16)</f>
        <v>82.94</v>
      </c>
      <c r="M18" s="2562">
        <f>SUM('Тариф стоки 2016-2018 ПЛАН'!M16+'Тариф очистка 2016-2018 ПЛАН'!M16)</f>
        <v>124.4</v>
      </c>
      <c r="N18" s="2562">
        <f>SUM('Тариф стоки 2016-2018 ПЛАН'!N16+'Тариф очистка 2016-2018 ПЛАН'!N16)</f>
        <v>165.86666666666667</v>
      </c>
      <c r="O18" s="2562">
        <f>SUM('цех стоки'!AQ43+'цех стоки'!AQ29)</f>
        <v>176.80014</v>
      </c>
      <c r="P18" s="2925">
        <f>SUM('Тариф стоки 2016-2018 ПЛАН'!P16+'Тариф очистка 2016-2018 ПЛАН'!P16)</f>
        <v>167.25500000000002</v>
      </c>
      <c r="Q18" s="2925">
        <f>SUM('Тариф стоки 2016-2018 ПЛАН'!Q16+'Тариф очистка 2016-2018 ПЛАН'!Q16)</f>
        <v>152.054</v>
      </c>
      <c r="R18" s="2663" t="s">
        <v>1643</v>
      </c>
    </row>
    <row r="19" spans="1:18" ht="30.75" customHeight="1">
      <c r="A19" s="2560" t="s">
        <v>933</v>
      </c>
      <c r="B19" s="2584" t="s">
        <v>934</v>
      </c>
      <c r="C19" s="2560" t="s">
        <v>918</v>
      </c>
      <c r="D19" s="2562">
        <v>0</v>
      </c>
      <c r="E19" s="2560">
        <v>0</v>
      </c>
      <c r="F19" s="2562">
        <f>SUM('Тариф стоки 2016-2018 ПЛАН'!F17+'Тариф очистка 2016-2018 ПЛАН'!F17)</f>
        <v>0</v>
      </c>
      <c r="G19" s="2562">
        <f>SUM('Тариф стоки 2016-2018 ПЛАН'!G17+'Тариф очистка 2016-2018 ПЛАН'!G17)</f>
        <v>0</v>
      </c>
      <c r="H19" s="2562">
        <f>SUM('Тариф стоки 2016-2018 ПЛАН'!H17+'Тариф очистка 2016-2018 ПЛАН'!H17)</f>
        <v>0</v>
      </c>
      <c r="I19" s="2562">
        <f>SUM('Тариф стоки 2016-2018 ПЛАН'!I17+'Тариф очистка 2016-2018 ПЛАН'!I17)</f>
        <v>286.40476017160813</v>
      </c>
      <c r="J19" s="2562">
        <f>SUM('Тариф стоки 2016-2018 ПЛАН'!J17+'Тариф очистка 2016-2018 ПЛАН'!J17)</f>
        <v>265.39999999999998</v>
      </c>
      <c r="K19" s="2562">
        <f>SUM('Тариф стоки 2016-2018 ПЛАН'!K17+'Тариф очистка 2016-2018 ПЛАН'!K17)</f>
        <v>365.36847945936529</v>
      </c>
      <c r="L19" s="2562">
        <f>SUM('Тариф стоки 2016-2018 ПЛАН'!L17+'Тариф очистка 2016-2018 ПЛАН'!L17)</f>
        <v>0</v>
      </c>
      <c r="M19" s="2562">
        <f>SUM('Тариф стоки 2016-2018 ПЛАН'!M17+'Тариф очистка 2016-2018 ПЛАН'!M17)</f>
        <v>0</v>
      </c>
      <c r="N19" s="2562">
        <f>SUM('Тариф стоки 2016-2018 ПЛАН'!N17+'Тариф очистка 2016-2018 ПЛАН'!N17)</f>
        <v>0</v>
      </c>
      <c r="O19" s="2562">
        <f>SUM(стоки!BQ87)</f>
        <v>353.60175784252925</v>
      </c>
      <c r="P19" s="2925">
        <f>SUM('Тариф стоки 2016-2018 ПЛАН'!P17+'Тариф очистка 2016-2018 ПЛАН'!P17)</f>
        <v>370.50590426054475</v>
      </c>
      <c r="Q19" s="2925">
        <f>SUM('Тариф стоки 2016-2018 ПЛАН'!Q17+'Тариф очистка 2016-2018 ПЛАН'!Q17)</f>
        <v>365.36847945936529</v>
      </c>
      <c r="R19" s="2663" t="s">
        <v>907</v>
      </c>
    </row>
    <row r="20" spans="1:18" ht="21.75" customHeight="1">
      <c r="A20" s="2560" t="s">
        <v>935</v>
      </c>
      <c r="B20" s="2584" t="s">
        <v>936</v>
      </c>
      <c r="C20" s="2560" t="s">
        <v>918</v>
      </c>
      <c r="D20" s="2562">
        <v>0</v>
      </c>
      <c r="E20" s="2560">
        <v>0</v>
      </c>
      <c r="F20" s="2562">
        <f>SUM('Тариф стоки 2016-2018 ПЛАН'!F18+'Тариф очистка 2016-2018 ПЛАН'!F18)</f>
        <v>0</v>
      </c>
      <c r="G20" s="2562">
        <f>SUM('Тариф стоки 2016-2018 ПЛАН'!G18+'Тариф очистка 2016-2018 ПЛАН'!G18)</f>
        <v>0</v>
      </c>
      <c r="H20" s="2562">
        <f>SUM('Тариф стоки 2016-2018 ПЛАН'!H18+'Тариф очистка 2016-2018 ПЛАН'!H18)</f>
        <v>0</v>
      </c>
      <c r="I20" s="2562">
        <f>SUM('Тариф стоки 2016-2018 ПЛАН'!I18+'Тариф очистка 2016-2018 ПЛАН'!I18)</f>
        <v>0</v>
      </c>
      <c r="J20" s="2562">
        <f>SUM('Тариф стоки 2016-2018 ПЛАН'!J18+'Тариф очистка 2016-2018 ПЛАН'!J18)</f>
        <v>0</v>
      </c>
      <c r="K20" s="2562">
        <f>SUM('Тариф стоки 2016-2018 ПЛАН'!K18+'Тариф очистка 2016-2018 ПЛАН'!K18)</f>
        <v>0</v>
      </c>
      <c r="L20" s="2562">
        <f>SUM('Тариф стоки 2016-2018 ПЛАН'!L18+'Тариф очистка 2016-2018 ПЛАН'!L18)</f>
        <v>0</v>
      </c>
      <c r="M20" s="2562">
        <f>SUM('Тариф стоки 2016-2018 ПЛАН'!M18+'Тариф очистка 2016-2018 ПЛАН'!M18)</f>
        <v>0</v>
      </c>
      <c r="N20" s="2562">
        <f>SUM('Тариф стоки 2016-2018 ПЛАН'!N18+'Тариф очистка 2016-2018 ПЛАН'!N18)</f>
        <v>0</v>
      </c>
      <c r="O20" s="2562">
        <v>0</v>
      </c>
      <c r="P20" s="2925">
        <f>SUM('Тариф стоки 2016-2018 ПЛАН'!P18+'Тариф очистка 2016-2018 ПЛАН'!P18)</f>
        <v>0</v>
      </c>
      <c r="Q20" s="2925">
        <f>SUM('Тариф стоки 2016-2018 ПЛАН'!Q18+'Тариф очистка 2016-2018 ПЛАН'!Q18)</f>
        <v>0</v>
      </c>
      <c r="R20" s="2657"/>
    </row>
    <row r="21" spans="1:18" ht="21.75" customHeight="1">
      <c r="A21" s="2560" t="s">
        <v>937</v>
      </c>
      <c r="B21" s="2584" t="s">
        <v>938</v>
      </c>
      <c r="C21" s="2560" t="s">
        <v>918</v>
      </c>
      <c r="D21" s="2562">
        <v>0</v>
      </c>
      <c r="E21" s="2560">
        <v>0</v>
      </c>
      <c r="F21" s="2562">
        <f>SUM('Тариф стоки 2016-2018 ПЛАН'!F19+'Тариф очистка 2016-2018 ПЛАН'!F19)</f>
        <v>0</v>
      </c>
      <c r="G21" s="2562">
        <f>SUM('Тариф стоки 2016-2018 ПЛАН'!G19+'Тариф очистка 2016-2018 ПЛАН'!G19)</f>
        <v>0</v>
      </c>
      <c r="H21" s="2562">
        <f>SUM('Тариф стоки 2016-2018 ПЛАН'!H19+'Тариф очистка 2016-2018 ПЛАН'!H19)</f>
        <v>0</v>
      </c>
      <c r="I21" s="2562">
        <f>SUM('Тариф стоки 2016-2018 ПЛАН'!I19+'Тариф очистка 2016-2018 ПЛАН'!I19)</f>
        <v>0</v>
      </c>
      <c r="J21" s="2562">
        <f>SUM('Тариф стоки 2016-2018 ПЛАН'!J19+'Тариф очистка 2016-2018 ПЛАН'!J19)</f>
        <v>0</v>
      </c>
      <c r="K21" s="2562">
        <f>SUM('Тариф стоки 2016-2018 ПЛАН'!K19+'Тариф очистка 2016-2018 ПЛАН'!K19)</f>
        <v>0</v>
      </c>
      <c r="L21" s="2562">
        <f>SUM('Тариф стоки 2016-2018 ПЛАН'!L19+'Тариф очистка 2016-2018 ПЛАН'!L19)</f>
        <v>0</v>
      </c>
      <c r="M21" s="2562">
        <f>SUM('Тариф стоки 2016-2018 ПЛАН'!M19+'Тариф очистка 2016-2018 ПЛАН'!M19)</f>
        <v>0</v>
      </c>
      <c r="N21" s="2562">
        <f>SUM('Тариф стоки 2016-2018 ПЛАН'!N19+'Тариф очистка 2016-2018 ПЛАН'!N19)</f>
        <v>0</v>
      </c>
      <c r="O21" s="2562">
        <v>0</v>
      </c>
      <c r="P21" s="2925">
        <f>SUM('Тариф стоки 2016-2018 ПЛАН'!P19+'Тариф очистка 2016-2018 ПЛАН'!P19)</f>
        <v>0</v>
      </c>
      <c r="Q21" s="2925">
        <f>SUM('Тариф стоки 2016-2018 ПЛАН'!Q19+'Тариф очистка 2016-2018 ПЛАН'!Q19)</f>
        <v>0</v>
      </c>
      <c r="R21" s="2657"/>
    </row>
    <row r="22" spans="1:18" ht="30.75" customHeight="1">
      <c r="A22" s="2560" t="s">
        <v>939</v>
      </c>
      <c r="B22" s="2584" t="s">
        <v>940</v>
      </c>
      <c r="C22" s="2560" t="s">
        <v>918</v>
      </c>
      <c r="D22" s="2562">
        <f>SUM(стоки!AI88)</f>
        <v>1458.3999999999999</v>
      </c>
      <c r="E22" s="2636">
        <f>SUM(стоки!AV88)</f>
        <v>0</v>
      </c>
      <c r="F22" s="2562">
        <f>SUM('Тариф стоки 2016-2018 ПЛАН'!F20+'Тариф очистка 2016-2018 ПЛАН'!F20)</f>
        <v>0</v>
      </c>
      <c r="G22" s="2562">
        <f>SUM('Тариф стоки 2016-2018 ПЛАН'!G20+'Тариф очистка 2016-2018 ПЛАН'!G20)</f>
        <v>0</v>
      </c>
      <c r="H22" s="2562">
        <f>SUM('Тариф стоки 2016-2018 ПЛАН'!H20+'Тариф очистка 2016-2018 ПЛАН'!H20)</f>
        <v>0</v>
      </c>
      <c r="I22" s="2562">
        <f>SUM('Тариф стоки 2016-2018 ПЛАН'!I20+'Тариф очистка 2016-2018 ПЛАН'!I20)</f>
        <v>26.100000000000009</v>
      </c>
      <c r="J22" s="2562">
        <f>SUM('Тариф стоки 2016-2018 ПЛАН'!J20+'Тариф очистка 2016-2018 ПЛАН'!J20)</f>
        <v>361.57999999999993</v>
      </c>
      <c r="K22" s="2562">
        <f>SUM('Тариф стоки 2016-2018 ПЛАН'!K20+'Тариф очистка 2016-2018 ПЛАН'!K20)</f>
        <v>0</v>
      </c>
      <c r="L22" s="2562">
        <f>SUM('Тариф стоки 2016-2018 ПЛАН'!L20+'Тариф очистка 2016-2018 ПЛАН'!L20)</f>
        <v>0</v>
      </c>
      <c r="M22" s="2562">
        <f>SUM('Тариф стоки 2016-2018 ПЛАН'!M20+'Тариф очистка 2016-2018 ПЛАН'!M20)</f>
        <v>0</v>
      </c>
      <c r="N22" s="2562">
        <f>SUM('Тариф стоки 2016-2018 ПЛАН'!N20+'Тариф очистка 2016-2018 ПЛАН'!N20)</f>
        <v>0</v>
      </c>
      <c r="O22" s="2562">
        <f>SUM(стоки!BQ88)</f>
        <v>361.57999999999993</v>
      </c>
      <c r="P22" s="2925">
        <f>SUM('Тариф стоки 2016-2018 ПЛАН'!P20+'Тариф очистка 2016-2018 ПЛАН'!P20)</f>
        <v>1291.2</v>
      </c>
      <c r="Q22" s="2925">
        <f>SUM('Тариф стоки 2016-2018 ПЛАН'!Q20+'Тариф очистка 2016-2018 ПЛАН'!Q20)</f>
        <v>0</v>
      </c>
      <c r="R22" s="2663" t="s">
        <v>1644</v>
      </c>
    </row>
    <row r="23" spans="1:18" ht="21.75" customHeight="1">
      <c r="A23" s="2553" t="s">
        <v>941</v>
      </c>
      <c r="B23" s="2554" t="s">
        <v>2</v>
      </c>
      <c r="C23" s="2553" t="s">
        <v>918</v>
      </c>
      <c r="D23" s="2555">
        <f>SUM(стоки!AI79+'ОХР '!AE23)</f>
        <v>4899.5801249956648</v>
      </c>
      <c r="E23" s="2689">
        <f>SUM(стоки!AV79+'ОХР '!AL23)</f>
        <v>5242.84</v>
      </c>
      <c r="F23" s="2555">
        <f>SUM('Тариф стоки 2016-2018 ПЛАН'!F21+'Тариф очистка 2016-2018 ПЛАН'!F21)</f>
        <v>2532.2999999999997</v>
      </c>
      <c r="G23" s="2555">
        <f>SUM('Тариф стоки 2016-2018 ПЛАН'!G21+'Тариф очистка 2016-2018 ПЛАН'!G21)</f>
        <v>3801.26</v>
      </c>
      <c r="H23" s="2555">
        <f>SUM('Тариф стоки 2016-2018 ПЛАН'!H21+'Тариф очистка 2016-2018 ПЛАН'!H21)</f>
        <v>5090.7048000000013</v>
      </c>
      <c r="I23" s="2555">
        <f>SUM('Тариф стоки 2016-2018 ПЛАН'!I21+'Тариф очистка 2016-2018 ПЛАН'!I21)</f>
        <v>4909.3533503601584</v>
      </c>
      <c r="J23" s="2555">
        <f>SUM('Тариф стоки 2016-2018 ПЛАН'!J21+'Тариф очистка 2016-2018 ПЛАН'!J21)</f>
        <v>5180.71</v>
      </c>
      <c r="K23" s="2555">
        <f>SUM('Тариф стоки 2016-2018 ПЛАН'!K21+'Тариф очистка 2016-2018 ПЛАН'!K21)</f>
        <v>5161.6398464832719</v>
      </c>
      <c r="L23" s="2555">
        <f>SUM('Тариф стоки 2016-2018 ПЛАН'!L21+'Тариф очистка 2016-2018 ПЛАН'!L21)</f>
        <v>2654.66</v>
      </c>
      <c r="M23" s="2555">
        <f>SUM('Тариф стоки 2016-2018 ПЛАН'!M21+'Тариф очистка 2016-2018 ПЛАН'!M21)</f>
        <v>3987.1700000000005</v>
      </c>
      <c r="N23" s="2555">
        <f>SUM('Тариф стоки 2016-2018 ПЛАН'!N21+'Тариф очистка 2016-2018 ПЛАН'!N21)</f>
        <v>5330.1200000000008</v>
      </c>
      <c r="O23" s="2555">
        <f>SUM(стоки!BQ79+'ОХР '!BI23)</f>
        <v>5263.0970000000007</v>
      </c>
      <c r="P23" s="2923">
        <f>SUM('Тариф стоки 2016-2018 ПЛАН'!P21+'Тариф очистка 2016-2018 ПЛАН'!P21)</f>
        <v>5163.7991515185595</v>
      </c>
      <c r="Q23" s="2923">
        <f>SUM('Тариф стоки 2016-2018 ПЛАН'!Q21+'Тариф очистка 2016-2018 ПЛАН'!Q21)</f>
        <v>5036.88</v>
      </c>
      <c r="R23" s="2668" t="s">
        <v>1645</v>
      </c>
    </row>
    <row r="24" spans="1:18" ht="21.75" customHeight="1">
      <c r="A24" s="2563" t="s">
        <v>202</v>
      </c>
      <c r="B24" s="2564" t="s">
        <v>942</v>
      </c>
      <c r="C24" s="2585" t="s">
        <v>44</v>
      </c>
      <c r="D24" s="2608">
        <f t="shared" ref="D24:I24" si="11">D25/(D12+D23)*100</f>
        <v>4.3938964110353123</v>
      </c>
      <c r="E24" s="2608">
        <f t="shared" si="11"/>
        <v>0</v>
      </c>
      <c r="F24" s="2586">
        <f t="shared" si="11"/>
        <v>0</v>
      </c>
      <c r="G24" s="2586">
        <f t="shared" si="11"/>
        <v>0</v>
      </c>
      <c r="H24" s="2586">
        <f t="shared" si="11"/>
        <v>0</v>
      </c>
      <c r="I24" s="2586">
        <f t="shared" si="11"/>
        <v>1.1065860148506018E-3</v>
      </c>
      <c r="J24" s="2587">
        <f t="shared" ref="J24:K24" si="12">J25/(J12+J23)*100</f>
        <v>0</v>
      </c>
      <c r="K24" s="2587">
        <f t="shared" si="12"/>
        <v>0</v>
      </c>
      <c r="L24" s="2587">
        <f t="shared" ref="L24:M24" si="13">L25/(L12+L23)*100</f>
        <v>0</v>
      </c>
      <c r="M24" s="2587">
        <f t="shared" si="13"/>
        <v>0</v>
      </c>
      <c r="N24" s="2587">
        <f t="shared" ref="N24" si="14">N25/(N12+N23)*100</f>
        <v>0</v>
      </c>
      <c r="O24" s="2608">
        <f>O25/(O12+O23)*100</f>
        <v>0</v>
      </c>
      <c r="P24" s="2608">
        <f>P25/(P12+P23)*100</f>
        <v>0</v>
      </c>
      <c r="Q24" s="2608">
        <f>Q25/(Q12+Q23)*100</f>
        <v>-4.3700955761909634</v>
      </c>
      <c r="R24" s="2669"/>
    </row>
    <row r="25" spans="1:18" ht="21.75" customHeight="1">
      <c r="A25" s="2553" t="s">
        <v>943</v>
      </c>
      <c r="B25" s="2554" t="s">
        <v>944</v>
      </c>
      <c r="C25" s="2553" t="s">
        <v>918</v>
      </c>
      <c r="D25" s="2555">
        <f t="shared" ref="D25:I25" si="15">D26+D27+D28</f>
        <v>3568.1</v>
      </c>
      <c r="E25" s="2555">
        <f t="shared" si="15"/>
        <v>0</v>
      </c>
      <c r="F25" s="2555">
        <f t="shared" si="15"/>
        <v>0</v>
      </c>
      <c r="G25" s="2555">
        <f t="shared" si="15"/>
        <v>0</v>
      </c>
      <c r="H25" s="2555">
        <f t="shared" si="15"/>
        <v>0</v>
      </c>
      <c r="I25" s="2555">
        <f t="shared" si="15"/>
        <v>0.9</v>
      </c>
      <c r="J25" s="2555">
        <f t="shared" ref="J25:K25" si="16">J26+J27+J28</f>
        <v>0</v>
      </c>
      <c r="K25" s="2555">
        <f t="shared" si="16"/>
        <v>0</v>
      </c>
      <c r="L25" s="2555">
        <f t="shared" ref="L25:M25" si="17">L26+L27+L28</f>
        <v>0</v>
      </c>
      <c r="M25" s="2555">
        <f t="shared" si="17"/>
        <v>0</v>
      </c>
      <c r="N25" s="2555">
        <f t="shared" ref="N25" si="18">N26+N27+N28</f>
        <v>0</v>
      </c>
      <c r="O25" s="2555">
        <f>O26+O27+O28</f>
        <v>0</v>
      </c>
      <c r="P25" s="2555">
        <f>P26+P27+P28</f>
        <v>0</v>
      </c>
      <c r="Q25" s="2555">
        <f>Q26+Q27+Q28</f>
        <v>-3902.11</v>
      </c>
      <c r="R25" s="2668"/>
    </row>
    <row r="26" spans="1:18" ht="21.75" customHeight="1">
      <c r="A26" s="2557" t="s">
        <v>945</v>
      </c>
      <c r="B26" s="2583" t="s">
        <v>946</v>
      </c>
      <c r="C26" s="2557" t="s">
        <v>918</v>
      </c>
      <c r="D26" s="2559">
        <f>SUM(стоки!AI100)</f>
        <v>3568.1</v>
      </c>
      <c r="E26" s="2690">
        <f>SUM(стоки!AV100)</f>
        <v>0</v>
      </c>
      <c r="F26" s="2559">
        <f>SUM('Тариф стоки 2016-2018 ПЛАН'!F24+'Тариф очистка 2016-2018 ПЛАН'!F24)</f>
        <v>0</v>
      </c>
      <c r="G26" s="2559">
        <f>SUM('Тариф стоки 2016-2018 ПЛАН'!G24+'Тариф очистка 2016-2018 ПЛАН'!G24)</f>
        <v>0</v>
      </c>
      <c r="H26" s="2559">
        <f>SUM('Тариф стоки 2016-2018 ПЛАН'!H24+'Тариф очистка 2016-2018 ПЛАН'!H24)</f>
        <v>0</v>
      </c>
      <c r="I26" s="2559">
        <f>SUM('Тариф стоки 2016-2018 ПЛАН'!I24+'Тариф очистка 2016-2018 ПЛАН'!I24)</f>
        <v>0.9</v>
      </c>
      <c r="J26" s="2559">
        <f>SUM('Тариф стоки 2016-2018 ПЛАН'!J24+'Тариф очистка 2016-2018 ПЛАН'!J24)</f>
        <v>0</v>
      </c>
      <c r="K26" s="2559">
        <f>SUM('Тариф стоки 2016-2018 ПЛАН'!K24+'Тариф очистка 2016-2018 ПЛАН'!K24)</f>
        <v>0</v>
      </c>
      <c r="L26" s="2559">
        <f>SUM('Тариф стоки 2016-2018 ПЛАН'!L24+'Тариф очистка 2016-2018 ПЛАН'!L24)</f>
        <v>0</v>
      </c>
      <c r="M26" s="2559">
        <f>SUM('Тариф стоки 2016-2018 ПЛАН'!M24+'Тариф очистка 2016-2018 ПЛАН'!M24)</f>
        <v>0</v>
      </c>
      <c r="N26" s="2559">
        <f>SUM('Тариф стоки 2016-2018 ПЛАН'!N24+'Тариф очистка 2016-2018 ПЛАН'!N24)</f>
        <v>0</v>
      </c>
      <c r="O26" s="2559">
        <f>SUM(стоки!BQ100)</f>
        <v>0</v>
      </c>
      <c r="P26" s="2924">
        <f>SUM('Тариф стоки 2016-2018 ПЛАН'!P24+'Тариф очистка 2016-2018 ПЛАН'!P24)</f>
        <v>0</v>
      </c>
      <c r="Q26" s="2924">
        <f>SUM('Тариф стоки 2016-2018 ПЛАН'!Q24+'Тариф очистка 2016-2018 ПЛАН'!Q24)</f>
        <v>-3902.11</v>
      </c>
      <c r="R26" s="2662" t="s">
        <v>1597</v>
      </c>
    </row>
    <row r="27" spans="1:18" ht="50.25" customHeight="1">
      <c r="A27" s="2557" t="s">
        <v>947</v>
      </c>
      <c r="B27" s="2583" t="s">
        <v>948</v>
      </c>
      <c r="C27" s="2557" t="s">
        <v>918</v>
      </c>
      <c r="D27" s="2559">
        <v>0</v>
      </c>
      <c r="E27" s="2557">
        <v>0</v>
      </c>
      <c r="F27" s="2559">
        <f>SUM('Тариф стоки 2016-2018 ПЛАН'!F25+'Тариф очистка 2016-2018 ПЛАН'!F25)</f>
        <v>0</v>
      </c>
      <c r="G27" s="2559">
        <f>SUM('Тариф стоки 2016-2018 ПЛАН'!G25+'Тариф очистка 2016-2018 ПЛАН'!G25)</f>
        <v>0</v>
      </c>
      <c r="H27" s="2559">
        <f>SUM('Тариф стоки 2016-2018 ПЛАН'!H25+'Тариф очистка 2016-2018 ПЛАН'!H25)</f>
        <v>0</v>
      </c>
      <c r="I27" s="2559">
        <f>SUM('Тариф стоки 2016-2018 ПЛАН'!I25+'Тариф очистка 2016-2018 ПЛАН'!I25)</f>
        <v>0</v>
      </c>
      <c r="J27" s="2559">
        <f>SUM('Тариф стоки 2016-2018 ПЛАН'!J25+'Тариф очистка 2016-2018 ПЛАН'!J25)</f>
        <v>0</v>
      </c>
      <c r="K27" s="2559">
        <f>SUM('Тариф стоки 2016-2018 ПЛАН'!K25+'Тариф очистка 2016-2018 ПЛАН'!K25)</f>
        <v>0</v>
      </c>
      <c r="L27" s="2559">
        <f>SUM('Тариф стоки 2016-2018 ПЛАН'!L25+'Тариф очистка 2016-2018 ПЛАН'!L25)</f>
        <v>0</v>
      </c>
      <c r="M27" s="2559">
        <f>SUM('Тариф стоки 2016-2018 ПЛАН'!M25+'Тариф очистка 2016-2018 ПЛАН'!M25)</f>
        <v>0</v>
      </c>
      <c r="N27" s="2559">
        <f>SUM('Тариф стоки 2016-2018 ПЛАН'!N25+'Тариф очистка 2016-2018 ПЛАН'!N25)</f>
        <v>0</v>
      </c>
      <c r="O27" s="2559">
        <v>0</v>
      </c>
      <c r="P27" s="2924">
        <v>0</v>
      </c>
      <c r="Q27" s="2924">
        <v>0</v>
      </c>
      <c r="R27" s="2662"/>
    </row>
    <row r="28" spans="1:18" ht="21.75" customHeight="1">
      <c r="A28" s="2557" t="s">
        <v>949</v>
      </c>
      <c r="B28" s="2583" t="s">
        <v>950</v>
      </c>
      <c r="C28" s="2557" t="s">
        <v>918</v>
      </c>
      <c r="D28" s="2559">
        <v>0</v>
      </c>
      <c r="E28" s="2557">
        <v>0</v>
      </c>
      <c r="F28" s="2559">
        <f>SUM('Тариф стоки 2016-2018 ПЛАН'!F26+'Тариф очистка 2016-2018 ПЛАН'!F26)</f>
        <v>0</v>
      </c>
      <c r="G28" s="2559">
        <f>SUM('Тариф стоки 2016-2018 ПЛАН'!G26+'Тариф очистка 2016-2018 ПЛАН'!G26)</f>
        <v>0</v>
      </c>
      <c r="H28" s="2559">
        <f>SUM('Тариф стоки 2016-2018 ПЛАН'!H26+'Тариф очистка 2016-2018 ПЛАН'!H26)</f>
        <v>0</v>
      </c>
      <c r="I28" s="2559">
        <f>SUM('Тариф стоки 2016-2018 ПЛАН'!I26+'Тариф очистка 2016-2018 ПЛАН'!I26)</f>
        <v>0</v>
      </c>
      <c r="J28" s="2559">
        <f>SUM('Тариф стоки 2016-2018 ПЛАН'!J26+'Тариф очистка 2016-2018 ПЛАН'!J26)</f>
        <v>0</v>
      </c>
      <c r="K28" s="2559">
        <f>SUM('Тариф стоки 2016-2018 ПЛАН'!K26+'Тариф очистка 2016-2018 ПЛАН'!K26)</f>
        <v>0</v>
      </c>
      <c r="L28" s="2559">
        <f>SUM('Тариф стоки 2016-2018 ПЛАН'!L26+'Тариф очистка 2016-2018 ПЛАН'!L26)</f>
        <v>0</v>
      </c>
      <c r="M28" s="2559">
        <f>SUM('Тариф стоки 2016-2018 ПЛАН'!M26+'Тариф очистка 2016-2018 ПЛАН'!M26)</f>
        <v>0</v>
      </c>
      <c r="N28" s="2559">
        <f>SUM('Тариф стоки 2016-2018 ПЛАН'!N26+'Тариф очистка 2016-2018 ПЛАН'!N26)</f>
        <v>0</v>
      </c>
      <c r="O28" s="2559">
        <v>0</v>
      </c>
      <c r="P28" s="2924">
        <v>0</v>
      </c>
      <c r="Q28" s="2924">
        <v>0</v>
      </c>
      <c r="R28" s="2662"/>
    </row>
    <row r="29" spans="1:18" ht="30.75" customHeight="1">
      <c r="A29" s="2553" t="s">
        <v>203</v>
      </c>
      <c r="B29" s="2554" t="s">
        <v>951</v>
      </c>
      <c r="C29" s="2553" t="s">
        <v>918</v>
      </c>
      <c r="D29" s="2555">
        <f>SUM(стоки!AI97)</f>
        <v>4058.2871584358877</v>
      </c>
      <c r="E29" s="2689">
        <f>SUM(стоки!AV97)</f>
        <v>0</v>
      </c>
      <c r="F29" s="2555">
        <f>SUM('Тариф стоки 2016-2018 ПЛАН'!F27+'Тариф очистка 2016-2018 ПЛАН'!F27)</f>
        <v>0</v>
      </c>
      <c r="G29" s="2555">
        <f>SUM('Тариф стоки 2016-2018 ПЛАН'!G27+'Тариф очистка 2016-2018 ПЛАН'!G27)</f>
        <v>0</v>
      </c>
      <c r="H29" s="2555">
        <f>SUM('Тариф стоки 2016-2018 ПЛАН'!H27+'Тариф очистка 2016-2018 ПЛАН'!H27)</f>
        <v>0</v>
      </c>
      <c r="I29" s="2555">
        <f>SUM('Тариф стоки 2016-2018 ПЛАН'!I27+'Тариф очистка 2016-2018 ПЛАН'!I27)</f>
        <v>4053.2740520961179</v>
      </c>
      <c r="J29" s="2555">
        <f>SUM('Тариф стоки 2016-2018 ПЛАН'!J27+'Тариф очистка 2016-2018 ПЛАН'!J27)</f>
        <v>4298.6554771560805</v>
      </c>
      <c r="K29" s="2555">
        <f>SUM('Тариф стоки 2016-2018 ПЛАН'!K27+'Тариф очистка 2016-2018 ПЛАН'!K27)</f>
        <v>0</v>
      </c>
      <c r="L29" s="2555">
        <f>SUM('Тариф стоки 2016-2018 ПЛАН'!L27+'Тариф очистка 2016-2018 ПЛАН'!L27)</f>
        <v>0</v>
      </c>
      <c r="M29" s="2555">
        <f>SUM('Тариф стоки 2016-2018 ПЛАН'!M27+'Тариф очистка 2016-2018 ПЛАН'!M27)</f>
        <v>0</v>
      </c>
      <c r="N29" s="2555">
        <f>SUM('Тариф стоки 2016-2018 ПЛАН'!N27+'Тариф очистка 2016-2018 ПЛАН'!N27)</f>
        <v>0</v>
      </c>
      <c r="O29" s="2555">
        <f>SUM(стоки!BQ97)</f>
        <v>4287.5465389634755</v>
      </c>
      <c r="P29" s="2923">
        <f>SUM('Тариф стоки 2016-2018 ПЛАН'!P27+'Тариф очистка 2016-2018 ПЛАН'!P27)</f>
        <v>4408.8192872664549</v>
      </c>
      <c r="Q29" s="2923">
        <f>SUM('Тариф стоки 2016-2018 ПЛАН'!Q27+'Тариф очистка 2016-2018 ПЛАН'!Q27)</f>
        <v>0</v>
      </c>
      <c r="R29" s="2668" t="s">
        <v>1646</v>
      </c>
    </row>
    <row r="30" spans="1:18" ht="30.75" customHeight="1">
      <c r="A30" s="3017" t="s">
        <v>1703</v>
      </c>
      <c r="B30" s="3018" t="s">
        <v>1700</v>
      </c>
      <c r="C30" s="3017"/>
      <c r="D30" s="3019"/>
      <c r="E30" s="3022"/>
      <c r="F30" s="3019"/>
      <c r="G30" s="3019"/>
      <c r="H30" s="3019"/>
      <c r="I30" s="3019"/>
      <c r="J30" s="3019">
        <v>-5234.7</v>
      </c>
      <c r="K30" s="3019"/>
      <c r="L30" s="3019"/>
      <c r="M30" s="3019"/>
      <c r="N30" s="3019"/>
      <c r="O30" s="3019"/>
      <c r="P30" s="3019">
        <v>5234.7</v>
      </c>
      <c r="Q30" s="3019">
        <v>5234.7</v>
      </c>
      <c r="R30" s="3020"/>
    </row>
    <row r="31" spans="1:18" ht="13.5" customHeight="1">
      <c r="A31" s="4440"/>
      <c r="B31" s="4440" t="s">
        <v>1905</v>
      </c>
      <c r="C31" s="4441" t="s">
        <v>918</v>
      </c>
      <c r="D31" s="4441"/>
      <c r="E31" s="4441"/>
      <c r="F31" s="4441"/>
      <c r="G31" s="4441"/>
      <c r="H31" s="4441"/>
      <c r="I31" s="4441"/>
      <c r="J31" s="4441"/>
      <c r="K31" s="4441"/>
      <c r="L31" s="4441"/>
      <c r="M31" s="4441"/>
      <c r="N31" s="4441"/>
      <c r="O31" s="4441"/>
      <c r="P31" s="4441"/>
      <c r="Q31" s="4441"/>
      <c r="R31" s="4441"/>
    </row>
    <row r="32" spans="1:18" ht="30.75" customHeight="1">
      <c r="A32" s="4442" t="s">
        <v>195</v>
      </c>
      <c r="B32" s="4443" t="s">
        <v>1906</v>
      </c>
      <c r="C32" s="4442" t="s">
        <v>918</v>
      </c>
      <c r="D32" s="4442"/>
      <c r="E32" s="4442"/>
      <c r="F32" s="4442"/>
      <c r="G32" s="4442"/>
      <c r="H32" s="4442"/>
      <c r="I32" s="4442"/>
      <c r="J32" s="4442"/>
      <c r="K32" s="4442"/>
      <c r="L32" s="4442"/>
      <c r="M32" s="4442"/>
      <c r="N32" s="4442"/>
      <c r="O32" s="4442"/>
      <c r="P32" s="4442"/>
      <c r="Q32" s="4487">
        <f>SUM('Тариф стоки 2016-2018 ПЛАН'!Q30+'Тариф очистка 2016-2018 ПЛАН'!Q29)</f>
        <v>9553.14</v>
      </c>
      <c r="R32" s="4442"/>
    </row>
    <row r="33" spans="1:18" ht="30.75" customHeight="1">
      <c r="A33" s="4442" t="s">
        <v>955</v>
      </c>
      <c r="B33" s="4443" t="s">
        <v>1907</v>
      </c>
      <c r="C33" s="4442" t="s">
        <v>918</v>
      </c>
      <c r="D33" s="4442"/>
      <c r="E33" s="4442"/>
      <c r="F33" s="4442"/>
      <c r="G33" s="4442"/>
      <c r="H33" s="4442"/>
      <c r="I33" s="4442"/>
      <c r="J33" s="4442"/>
      <c r="K33" s="4442"/>
      <c r="L33" s="4442"/>
      <c r="M33" s="4442"/>
      <c r="N33" s="4442"/>
      <c r="O33" s="4442"/>
      <c r="P33" s="4442"/>
      <c r="Q33" s="4442">
        <f>SUM('Тариф стоки 2016-2018 ПЛАН'!Q31+'Тариф очистка 2016-2018 ПЛАН'!Q30)</f>
        <v>0</v>
      </c>
      <c r="R33" s="4442"/>
    </row>
    <row r="34" spans="1:18" ht="88.5" customHeight="1">
      <c r="A34" s="4442" t="s">
        <v>961</v>
      </c>
      <c r="B34" s="4444" t="s">
        <v>1908</v>
      </c>
      <c r="C34" s="4442" t="s">
        <v>918</v>
      </c>
      <c r="D34" s="4442"/>
      <c r="E34" s="4442"/>
      <c r="F34" s="4442"/>
      <c r="G34" s="4442"/>
      <c r="H34" s="4442"/>
      <c r="I34" s="4442"/>
      <c r="J34" s="4442"/>
      <c r="K34" s="4442"/>
      <c r="L34" s="4442"/>
      <c r="M34" s="4442"/>
      <c r="N34" s="4442"/>
      <c r="O34" s="4442"/>
      <c r="P34" s="4442"/>
      <c r="Q34" s="4487">
        <f>SUM('Тариф стоки 2016-2018 ПЛАН'!Q32+'Тариф очистка 2016-2018 ПЛАН'!Q31)</f>
        <v>-917.12</v>
      </c>
      <c r="R34" s="4442"/>
    </row>
    <row r="35" spans="1:18" ht="18" customHeight="1">
      <c r="A35" s="4445"/>
      <c r="B35" s="4446" t="s">
        <v>1955</v>
      </c>
      <c r="C35" s="4447" t="s">
        <v>918</v>
      </c>
      <c r="D35" s="4447"/>
      <c r="E35" s="4447"/>
      <c r="F35" s="4447"/>
      <c r="G35" s="4447"/>
      <c r="H35" s="4447"/>
      <c r="I35" s="4447"/>
      <c r="J35" s="4447"/>
      <c r="K35" s="4447"/>
      <c r="L35" s="4447"/>
      <c r="M35" s="4447"/>
      <c r="N35" s="4447"/>
      <c r="O35" s="4447"/>
      <c r="P35" s="4447"/>
      <c r="Q35" s="4486">
        <f>SUM(Q9+Q32+Q33+Q34)</f>
        <v>99259.792125612323</v>
      </c>
      <c r="R35" s="4447"/>
    </row>
    <row r="36" spans="1:18" ht="18" customHeight="1">
      <c r="A36" s="4445"/>
      <c r="B36" s="4446" t="s">
        <v>47</v>
      </c>
      <c r="C36" s="4447"/>
      <c r="D36" s="4447"/>
      <c r="E36" s="4447"/>
      <c r="F36" s="4447"/>
      <c r="G36" s="4447"/>
      <c r="H36" s="4447"/>
      <c r="I36" s="4447"/>
      <c r="J36" s="4447"/>
      <c r="K36" s="4447"/>
      <c r="L36" s="4447"/>
      <c r="M36" s="4447"/>
      <c r="N36" s="4447"/>
      <c r="O36" s="4447"/>
      <c r="P36" s="4447"/>
      <c r="Q36" s="4486">
        <f>SUM('Тариф стоки 2016-2018 ПЛАН'!Q33)</f>
        <v>98990.185899533055</v>
      </c>
      <c r="R36" s="4447"/>
    </row>
    <row r="37" spans="1:18" ht="18" customHeight="1">
      <c r="A37" s="4445"/>
      <c r="B37" s="4446" t="s">
        <v>1958</v>
      </c>
      <c r="C37" s="4447"/>
      <c r="D37" s="4447"/>
      <c r="E37" s="4447"/>
      <c r="F37" s="4447"/>
      <c r="G37" s="4447"/>
      <c r="H37" s="4447"/>
      <c r="I37" s="4447"/>
      <c r="J37" s="4447"/>
      <c r="K37" s="4447"/>
      <c r="L37" s="4447"/>
      <c r="M37" s="4447"/>
      <c r="N37" s="4447"/>
      <c r="O37" s="4447"/>
      <c r="P37" s="4447"/>
      <c r="Q37" s="4486">
        <f>SUM('Тариф очистка 2016-2018 ПЛАН'!Q32)</f>
        <v>269.60622607925791</v>
      </c>
      <c r="R37" s="4447"/>
    </row>
    <row r="38" spans="1:18" ht="21.75" customHeight="1">
      <c r="A38" s="2549">
        <v>2</v>
      </c>
      <c r="B38" s="2550" t="s">
        <v>1618</v>
      </c>
      <c r="C38" s="2549" t="s">
        <v>953</v>
      </c>
      <c r="D38" s="2551">
        <f>SUM(объемы!K58+объемы!L58)</f>
        <v>3672.7</v>
      </c>
      <c r="E38" s="2691">
        <f>SUM(объемы!R58+объемы!S58)</f>
        <v>3209.95</v>
      </c>
      <c r="F38" s="2551">
        <f>SUM('Тариф стоки 2016-2018 ПЛАН'!F34+'Тариф очистка 2016-2018 ПЛАН'!F33)</f>
        <v>1577.71</v>
      </c>
      <c r="G38" s="2551">
        <f>SUM('Тариф стоки 2016-2018 ПЛАН'!G34+'Тариф очистка 2016-2018 ПЛАН'!G33)</f>
        <v>2304.86</v>
      </c>
      <c r="H38" s="2551">
        <f>SUM('Тариф стоки 2016-2018 ПЛАН'!H34+'Тариф очистка 2016-2018 ПЛАН'!H33)</f>
        <v>3061.4900000000002</v>
      </c>
      <c r="I38" s="2551">
        <f>SUM('Тариф стоки 2016-2018 ПЛАН'!I34+'Тариф очистка 2016-2018 ПЛАН'!I33)</f>
        <v>3463.9333333333334</v>
      </c>
      <c r="J38" s="2551">
        <f>SUM('Тариф стоки 2016-2018 ПЛАН'!J34+'Тариф очистка 2016-2018 ПЛАН'!J33)</f>
        <v>3295.75</v>
      </c>
      <c r="K38" s="2551">
        <f>SUM('Тариф стоки 2016-2018 ПЛАН'!K34+'Тариф очистка 2016-2018 ПЛАН'!K33)</f>
        <v>3253</v>
      </c>
      <c r="L38" s="2551">
        <f>SUM('Тариф стоки 2016-2018 ПЛАН'!L34+'Тариф очистка 2016-2018 ПЛАН'!L33)</f>
        <v>1601.85</v>
      </c>
      <c r="M38" s="2551">
        <f>SUM('Тариф стоки 2016-2018 ПЛАН'!M34+'Тариф очистка 2016-2018 ПЛАН'!M33)</f>
        <v>2339.08</v>
      </c>
      <c r="N38" s="2551">
        <f>SUM('Тариф стоки 2016-2018 ПЛАН'!N34+'Тариф очистка 2016-2018 ПЛАН'!N33)</f>
        <v>3100</v>
      </c>
      <c r="O38" s="2551">
        <f>SUM(объемы!AD58)</f>
        <v>3223</v>
      </c>
      <c r="P38" s="2551">
        <f>SUM('Тариф стоки 2016-2018 ПЛАН'!P34+'Тариф очистка 2016-2018 ПЛАН'!P33)</f>
        <v>3253</v>
      </c>
      <c r="Q38" s="2551">
        <f>SUM('Тариф стоки 2016-2018 ПЛАН'!Q34+'Тариф очистка 2016-2018 ПЛАН'!Q33)</f>
        <v>3248.93</v>
      </c>
      <c r="R38" s="2552"/>
    </row>
    <row r="39" spans="1:18" ht="21.75" customHeight="1">
      <c r="A39" s="2604"/>
      <c r="B39" s="2605" t="s">
        <v>1619</v>
      </c>
      <c r="C39" s="2549" t="s">
        <v>953</v>
      </c>
      <c r="D39" s="2606">
        <f>SUM(объемы!K58)</f>
        <v>3644.7</v>
      </c>
      <c r="E39" s="2692">
        <f>SUM(объемы!R58)</f>
        <v>3186.5699999999997</v>
      </c>
      <c r="F39" s="2606">
        <f>SUM('Тариф стоки 2016-2018 ПЛАН'!F34)</f>
        <v>1567.48</v>
      </c>
      <c r="G39" s="2606">
        <f>SUM('Тариф стоки 2016-2018 ПЛАН'!G34)</f>
        <v>2289.52</v>
      </c>
      <c r="H39" s="2606">
        <f>SUM('Тариф стоки 2016-2018 ПЛАН'!H34)</f>
        <v>3040.84</v>
      </c>
      <c r="I39" s="2606">
        <f>SUM('Тариф стоки 2016-2018 ПЛАН'!I34)</f>
        <v>3445</v>
      </c>
      <c r="J39" s="2606">
        <f>SUM('Тариф стоки 2016-2018 ПЛАН'!J34)</f>
        <v>3272.75</v>
      </c>
      <c r="K39" s="2606">
        <f>SUM('Тариф стоки 2016-2018 ПЛАН'!K34)</f>
        <v>3230</v>
      </c>
      <c r="L39" s="2606">
        <f>SUM('Тариф стоки 2016-2018 ПЛАН'!L34)</f>
        <v>1592.56</v>
      </c>
      <c r="M39" s="2606">
        <f>SUM('Тариф стоки 2016-2018 ПЛАН'!M34)</f>
        <v>2324.85</v>
      </c>
      <c r="N39" s="2606">
        <f>SUM('Тариф стоки 2016-2018 ПЛАН'!N34)</f>
        <v>3080</v>
      </c>
      <c r="O39" s="2606">
        <f>SUM(объемы!AD59:AD60)</f>
        <v>3200</v>
      </c>
      <c r="P39" s="2606">
        <f>SUM('Тариф стоки 2016-2018 ПЛАН'!P34)</f>
        <v>3230</v>
      </c>
      <c r="Q39" s="2606">
        <f>SUM('Тариф стоки 2016-2018 ПЛАН'!Q34)</f>
        <v>3230</v>
      </c>
      <c r="R39" s="2607"/>
    </row>
    <row r="40" spans="1:18" ht="21.75" customHeight="1">
      <c r="A40" s="2549" t="s">
        <v>196</v>
      </c>
      <c r="B40" s="2550" t="s">
        <v>1620</v>
      </c>
      <c r="C40" s="2549" t="s">
        <v>953</v>
      </c>
      <c r="D40" s="2551">
        <f>SUM(объемы!K59)</f>
        <v>2600</v>
      </c>
      <c r="E40" s="2693">
        <f>SUM(объемы!R59)</f>
        <v>2289.52</v>
      </c>
      <c r="F40" s="2551">
        <f>объемы!R59</f>
        <v>2289.52</v>
      </c>
      <c r="G40" s="2551">
        <f>объемы!S59</f>
        <v>0</v>
      </c>
      <c r="H40" s="2551">
        <f>объемы!T59</f>
        <v>2448</v>
      </c>
      <c r="I40" s="2551">
        <f>объемы!U59</f>
        <v>2448</v>
      </c>
      <c r="J40" s="2551">
        <f>SUM(объемы!AE59)</f>
        <v>2300</v>
      </c>
      <c r="K40" s="2551">
        <f>J40</f>
        <v>2300</v>
      </c>
      <c r="L40" s="2551">
        <f>K40</f>
        <v>2300</v>
      </c>
      <c r="M40" s="2551">
        <f>L40</f>
        <v>2300</v>
      </c>
      <c r="N40" s="2551">
        <f>M40</f>
        <v>2300</v>
      </c>
      <c r="O40" s="2551">
        <f>SUM(объемы!AD59)</f>
        <v>2300</v>
      </c>
      <c r="P40" s="2551">
        <f>O40</f>
        <v>2300</v>
      </c>
      <c r="Q40" s="2551">
        <f>SUM('Тариф стоки 2016-2018 ПЛАН'!Q35)</f>
        <v>2280</v>
      </c>
      <c r="R40" s="2552"/>
    </row>
    <row r="41" spans="1:18" ht="21.75" customHeight="1">
      <c r="A41" s="2604"/>
      <c r="B41" s="2605" t="s">
        <v>1621</v>
      </c>
      <c r="C41" s="2549" t="s">
        <v>953</v>
      </c>
      <c r="D41" s="2606">
        <f>SUM(объемы!L58)</f>
        <v>28</v>
      </c>
      <c r="E41" s="2692">
        <f>SUM(объемы!S58)</f>
        <v>23.38</v>
      </c>
      <c r="F41" s="2606">
        <f>SUM('Тариф очистка 2016-2018 ПЛАН'!F33)</f>
        <v>10.23</v>
      </c>
      <c r="G41" s="2606">
        <f>SUM('Тариф очистка 2016-2018 ПЛАН'!G33)</f>
        <v>15.34</v>
      </c>
      <c r="H41" s="2606">
        <f>SUM('Тариф очистка 2016-2018 ПЛАН'!H33)</f>
        <v>20.65</v>
      </c>
      <c r="I41" s="2606">
        <f>SUM('Тариф очистка 2016-2018 ПЛАН'!I33)</f>
        <v>18.933333333333334</v>
      </c>
      <c r="J41" s="2606">
        <f>SUM('Тариф очистка 2016-2018 ПЛАН'!J33)</f>
        <v>23</v>
      </c>
      <c r="K41" s="2606">
        <f>SUM('Тариф очистка 2016-2018 ПЛАН'!K33)</f>
        <v>23</v>
      </c>
      <c r="L41" s="2606">
        <f>SUM('Тариф очистка 2016-2018 ПЛАН'!L33)</f>
        <v>9.2899999999999991</v>
      </c>
      <c r="M41" s="2606">
        <f>SUM('Тариф очистка 2016-2018 ПЛАН'!M33)</f>
        <v>14.23</v>
      </c>
      <c r="N41" s="2606">
        <f>SUM('Тариф очистка 2016-2018 ПЛАН'!N33)</f>
        <v>20</v>
      </c>
      <c r="O41" s="2606">
        <f>SUM(объемы!AD61)</f>
        <v>23</v>
      </c>
      <c r="P41" s="2921">
        <f>SUM(объемы!AD61)</f>
        <v>23</v>
      </c>
      <c r="Q41" s="2921">
        <f>SUM('Тариф очистка 2016-2018 ПЛАН'!Q33)</f>
        <v>18.93</v>
      </c>
      <c r="R41" s="2607"/>
    </row>
    <row r="42" spans="1:18" ht="21.75" customHeight="1">
      <c r="A42" s="2568" t="s">
        <v>955</v>
      </c>
      <c r="B42" s="2569" t="s">
        <v>1629</v>
      </c>
      <c r="C42" s="2568" t="s">
        <v>957</v>
      </c>
      <c r="D42" s="2570">
        <f t="shared" ref="D42:O42" si="19">D9/D38</f>
        <v>24.187169118708784</v>
      </c>
      <c r="E42" s="2570">
        <f t="shared" si="19"/>
        <v>22.848972725431857</v>
      </c>
      <c r="F42" s="2570">
        <f t="shared" si="19"/>
        <v>24.509749161759771</v>
      </c>
      <c r="G42" s="2570">
        <f t="shared" si="19"/>
        <v>25.896937596643607</v>
      </c>
      <c r="H42" s="2570">
        <f t="shared" si="19"/>
        <v>26.638728854250708</v>
      </c>
      <c r="I42" s="2570">
        <f t="shared" si="19"/>
        <v>24.649840025638561</v>
      </c>
      <c r="J42" s="2570">
        <f>(J9+J30)/J38</f>
        <v>25.802064713949211</v>
      </c>
      <c r="K42" s="2570">
        <f t="shared" si="19"/>
        <v>27.452468119150108</v>
      </c>
      <c r="L42" s="2570">
        <f t="shared" ref="L42:M42" si="20">L9/L38</f>
        <v>25.046823984767617</v>
      </c>
      <c r="M42" s="2570">
        <f t="shared" si="20"/>
        <v>25.883794483301127</v>
      </c>
      <c r="N42" s="2570">
        <f t="shared" ref="N42" si="21">N9/N38</f>
        <v>26.105747092390821</v>
      </c>
      <c r="O42" s="2570">
        <f t="shared" si="19"/>
        <v>27.936232490919327</v>
      </c>
      <c r="P42" s="2570">
        <f>(P9+P30)/P38</f>
        <v>30.070674771778521</v>
      </c>
      <c r="Q42" s="2570">
        <f>(Q35/Q38)</f>
        <v>30.55153300490079</v>
      </c>
      <c r="R42" s="2546"/>
    </row>
    <row r="43" spans="1:18" ht="21.75" customHeight="1">
      <c r="A43" s="2600" t="s">
        <v>1604</v>
      </c>
      <c r="B43" s="2569" t="s">
        <v>1626</v>
      </c>
      <c r="C43" s="2568" t="s">
        <v>957</v>
      </c>
      <c r="D43" s="2570">
        <f t="shared" ref="D43:I43" si="22">D10/D39</f>
        <v>24.290424541705391</v>
      </c>
      <c r="E43" s="2570">
        <f t="shared" si="22"/>
        <v>22.912707042020791</v>
      </c>
      <c r="F43" s="2570">
        <f t="shared" si="22"/>
        <v>24.566970761948461</v>
      </c>
      <c r="G43" s="2570">
        <f t="shared" si="22"/>
        <v>25.959642079793721</v>
      </c>
      <c r="H43" s="2570">
        <f t="shared" si="22"/>
        <v>26.705514066228972</v>
      </c>
      <c r="I43" s="2570">
        <f t="shared" si="22"/>
        <v>24.708181449642517</v>
      </c>
      <c r="J43" s="2570">
        <f>(J10+J30)/J39</f>
        <v>25.880957916210434</v>
      </c>
      <c r="K43" s="2570">
        <f t="shared" ref="K43:L43" si="23">K10/K39</f>
        <v>27.556149283815362</v>
      </c>
      <c r="L43" s="2570">
        <f t="shared" si="23"/>
        <v>25.099172504762876</v>
      </c>
      <c r="M43" s="2570">
        <f t="shared" ref="M43:N43" si="24">M10/M39</f>
        <v>25.940058798801743</v>
      </c>
      <c r="N43" s="2570">
        <f t="shared" si="24"/>
        <v>26.165722274961002</v>
      </c>
      <c r="O43" s="2570">
        <f>O10/O39</f>
        <v>28.026000570891025</v>
      </c>
      <c r="P43" s="2570">
        <f>(P10+P30)/P39</f>
        <v>30.185190914174001</v>
      </c>
      <c r="Q43" s="2570">
        <f>(Q36/Q39)</f>
        <v>30.647116377564412</v>
      </c>
      <c r="R43" s="2603"/>
    </row>
    <row r="44" spans="1:18" ht="21.75" customHeight="1">
      <c r="A44" s="2568"/>
      <c r="B44" s="2569" t="s">
        <v>958</v>
      </c>
      <c r="C44" s="2568" t="s">
        <v>957</v>
      </c>
      <c r="D44" s="2570">
        <v>24.29</v>
      </c>
      <c r="E44" s="2568"/>
      <c r="F44" s="2570"/>
      <c r="G44" s="2570"/>
      <c r="H44" s="2570"/>
      <c r="I44" s="2570">
        <f>SUM(стоки!BE69)</f>
        <v>24.29</v>
      </c>
      <c r="J44" s="2570">
        <f>I45</f>
        <v>25.126362899285034</v>
      </c>
      <c r="K44" s="2570">
        <f>J45</f>
        <v>26.635552933135834</v>
      </c>
      <c r="L44" s="2570"/>
      <c r="M44" s="2570"/>
      <c r="N44" s="2570"/>
      <c r="O44" s="2570">
        <f>SUM(I45)</f>
        <v>25.126362899285034</v>
      </c>
      <c r="P44" s="2926">
        <f>SUM(J45)</f>
        <v>26.635552933135834</v>
      </c>
      <c r="Q44" s="2926">
        <f>SUM(J45)</f>
        <v>26.635552933135834</v>
      </c>
      <c r="R44" s="2546"/>
    </row>
    <row r="45" spans="1:18" ht="21.75" customHeight="1">
      <c r="A45" s="2568"/>
      <c r="B45" s="2569" t="s">
        <v>959</v>
      </c>
      <c r="C45" s="2568" t="s">
        <v>957</v>
      </c>
      <c r="D45" s="2570">
        <f>D43*2-D44</f>
        <v>24.290849083410784</v>
      </c>
      <c r="E45" s="2568"/>
      <c r="F45" s="2570"/>
      <c r="G45" s="2570"/>
      <c r="H45" s="2570"/>
      <c r="I45" s="2570">
        <f>I43*2-I44</f>
        <v>25.126362899285034</v>
      </c>
      <c r="J45" s="2570">
        <f t="shared" ref="J45:K45" si="25">J43*2-J44</f>
        <v>26.635552933135834</v>
      </c>
      <c r="K45" s="2570">
        <f t="shared" si="25"/>
        <v>28.47674563449489</v>
      </c>
      <c r="L45" s="2570"/>
      <c r="M45" s="2570"/>
      <c r="N45" s="2570"/>
      <c r="O45" s="2570">
        <f>O43*2-O44</f>
        <v>30.925638242497016</v>
      </c>
      <c r="P45" s="2570">
        <f>P43*2-P44</f>
        <v>33.734828895212168</v>
      </c>
      <c r="Q45" s="2570">
        <f>Q43*2-Q44</f>
        <v>34.65867982199299</v>
      </c>
      <c r="R45" s="2546"/>
    </row>
    <row r="46" spans="1:18" ht="21.75" customHeight="1">
      <c r="A46" s="2568"/>
      <c r="B46" s="2569" t="s">
        <v>960</v>
      </c>
      <c r="C46" s="2568"/>
      <c r="D46" s="2570"/>
      <c r="E46" s="2568"/>
      <c r="F46" s="2570"/>
      <c r="G46" s="2570"/>
      <c r="H46" s="2570"/>
      <c r="I46" s="2570"/>
      <c r="J46" s="2570"/>
      <c r="K46" s="2570"/>
      <c r="L46" s="2570"/>
      <c r="M46" s="2570"/>
      <c r="N46" s="2570"/>
      <c r="O46" s="2570"/>
      <c r="P46" s="2926"/>
      <c r="Q46" s="2926"/>
      <c r="R46" s="2546"/>
    </row>
    <row r="47" spans="1:18" ht="21.75" customHeight="1">
      <c r="A47" s="2568"/>
      <c r="B47" s="2569" t="s">
        <v>958</v>
      </c>
      <c r="C47" s="2568" t="s">
        <v>44</v>
      </c>
      <c r="D47" s="2570">
        <v>100</v>
      </c>
      <c r="E47" s="2568"/>
      <c r="F47" s="2570"/>
      <c r="G47" s="2570"/>
      <c r="H47" s="2570"/>
      <c r="I47" s="2570" t="e">
        <f t="shared" ref="I47:K47" si="26">I44/H45*100</f>
        <v>#DIV/0!</v>
      </c>
      <c r="J47" s="2570">
        <f t="shared" si="26"/>
        <v>100</v>
      </c>
      <c r="K47" s="2570">
        <f t="shared" si="26"/>
        <v>100</v>
      </c>
      <c r="L47" s="2570"/>
      <c r="M47" s="2570"/>
      <c r="N47" s="2570"/>
      <c r="O47" s="2570">
        <v>100</v>
      </c>
      <c r="P47" s="2570">
        <f>SUM(P44/J45)*100</f>
        <v>100</v>
      </c>
      <c r="Q47" s="2570">
        <f>SUM(Q44/J45)*100</f>
        <v>100</v>
      </c>
      <c r="R47" s="2546"/>
    </row>
    <row r="48" spans="1:18" ht="21.75" customHeight="1">
      <c r="A48" s="2568"/>
      <c r="B48" s="2569" t="s">
        <v>959</v>
      </c>
      <c r="C48" s="2568" t="s">
        <v>44</v>
      </c>
      <c r="D48" s="2570">
        <f>D45/D44*100</f>
        <v>100.00349560893696</v>
      </c>
      <c r="E48" s="2568"/>
      <c r="F48" s="2570"/>
      <c r="G48" s="2570"/>
      <c r="H48" s="2570"/>
      <c r="I48" s="2570">
        <f t="shared" ref="I48:P48" si="27">I45/I44*100</f>
        <v>103.44323960183218</v>
      </c>
      <c r="J48" s="2570">
        <f t="shared" si="27"/>
        <v>106.0064006871991</v>
      </c>
      <c r="K48" s="2570">
        <f t="shared" si="27"/>
        <v>106.91253793747426</v>
      </c>
      <c r="L48" s="2570"/>
      <c r="M48" s="2570"/>
      <c r="N48" s="2570"/>
      <c r="O48" s="2570">
        <f t="shared" si="27"/>
        <v>123.08044091561297</v>
      </c>
      <c r="P48" s="2570">
        <f t="shared" si="27"/>
        <v>126.65338309250758</v>
      </c>
      <c r="Q48" s="2570">
        <f t="shared" ref="Q48" si="28">Q45/Q44*100</f>
        <v>130.12187097822934</v>
      </c>
      <c r="R48" s="2546"/>
    </row>
    <row r="49" spans="1:18" ht="21.75" customHeight="1">
      <c r="A49" s="2568" t="s">
        <v>955</v>
      </c>
      <c r="B49" s="2569" t="s">
        <v>1628</v>
      </c>
      <c r="C49" s="2568" t="s">
        <v>957</v>
      </c>
      <c r="D49" s="2570">
        <f t="shared" ref="D49:I49" si="29">D11/D41</f>
        <v>10.746631968859731</v>
      </c>
      <c r="E49" s="2570">
        <f t="shared" si="29"/>
        <v>14.16232340067614</v>
      </c>
      <c r="F49" s="2570">
        <f t="shared" si="29"/>
        <v>15.742035196582577</v>
      </c>
      <c r="G49" s="2570">
        <f t="shared" si="29"/>
        <v>16.538191295350131</v>
      </c>
      <c r="H49" s="2570">
        <f t="shared" si="29"/>
        <v>16.804194036237242</v>
      </c>
      <c r="I49" s="2570">
        <f t="shared" si="29"/>
        <v>14.034371415059182</v>
      </c>
      <c r="J49" s="2570">
        <f t="shared" ref="J49:K49" si="30">J11/J41</f>
        <v>14.575641770453718</v>
      </c>
      <c r="K49" s="2570">
        <f t="shared" si="30"/>
        <v>12.892026298768139</v>
      </c>
      <c r="L49" s="2570">
        <f t="shared" ref="L49:M49" si="31">L11/L41</f>
        <v>16.072856384804957</v>
      </c>
      <c r="M49" s="2570">
        <f t="shared" si="31"/>
        <v>16.691518032730958</v>
      </c>
      <c r="N49" s="2570">
        <f t="shared" ref="N49" si="32">N11/N41</f>
        <v>16.869568976584315</v>
      </c>
      <c r="O49" s="2570">
        <f>O11/O41</f>
        <v>15.446760494857156</v>
      </c>
      <c r="P49" s="2570">
        <f>P11/P41</f>
        <v>13.988625209283903</v>
      </c>
      <c r="Q49" s="2570">
        <f>Q37/Q41</f>
        <v>14.242272904345374</v>
      </c>
      <c r="R49" s="2546"/>
    </row>
    <row r="50" spans="1:18" ht="21.75" customHeight="1">
      <c r="A50" s="2568"/>
      <c r="B50" s="2569" t="s">
        <v>958</v>
      </c>
      <c r="C50" s="2568" t="s">
        <v>957</v>
      </c>
      <c r="D50" s="2570">
        <v>12.04</v>
      </c>
      <c r="E50" s="2568"/>
      <c r="F50" s="2570"/>
      <c r="G50" s="2570"/>
      <c r="H50" s="2568"/>
      <c r="I50" s="2570">
        <v>13.79</v>
      </c>
      <c r="J50" s="2570">
        <f>I51</f>
        <v>14.278742830118365</v>
      </c>
      <c r="K50" s="2570">
        <f>J51</f>
        <v>14.872540710789071</v>
      </c>
      <c r="L50" s="2570"/>
      <c r="M50" s="2570"/>
      <c r="N50" s="2570"/>
      <c r="O50" s="2570">
        <f>SUM(I51)</f>
        <v>14.278742830118365</v>
      </c>
      <c r="P50" s="2570">
        <f>SUM(J51)</f>
        <v>14.872540710789071</v>
      </c>
      <c r="Q50" s="2570">
        <f>SUM(Q49)</f>
        <v>14.242272904345374</v>
      </c>
      <c r="R50" s="2546"/>
    </row>
    <row r="51" spans="1:18" ht="21.75" customHeight="1">
      <c r="A51" s="2568"/>
      <c r="B51" s="2569" t="s">
        <v>959</v>
      </c>
      <c r="C51" s="2568" t="s">
        <v>957</v>
      </c>
      <c r="D51" s="2570">
        <v>13.79</v>
      </c>
      <c r="E51" s="2568"/>
      <c r="F51" s="2570"/>
      <c r="G51" s="2570"/>
      <c r="H51" s="2568"/>
      <c r="I51" s="2570">
        <f t="shared" ref="I51:P51" si="33">I49*2-I50</f>
        <v>14.278742830118365</v>
      </c>
      <c r="J51" s="2570">
        <f t="shared" si="33"/>
        <v>14.872540710789071</v>
      </c>
      <c r="K51" s="2570">
        <f t="shared" si="33"/>
        <v>10.911511886747206</v>
      </c>
      <c r="L51" s="2570"/>
      <c r="M51" s="2570"/>
      <c r="N51" s="2570"/>
      <c r="O51" s="2570">
        <f t="shared" si="33"/>
        <v>16.614778159595947</v>
      </c>
      <c r="P51" s="2570">
        <f t="shared" si="33"/>
        <v>13.104709707778735</v>
      </c>
      <c r="Q51" s="2570">
        <f t="shared" ref="Q51" si="34">Q49*2-Q50</f>
        <v>14.242272904345374</v>
      </c>
      <c r="R51" s="2546"/>
    </row>
    <row r="52" spans="1:18" ht="21.75" customHeight="1">
      <c r="A52" s="2568"/>
      <c r="B52" s="2569" t="s">
        <v>960</v>
      </c>
      <c r="C52" s="2568"/>
      <c r="D52" s="2570"/>
      <c r="E52" s="2568"/>
      <c r="F52" s="2570"/>
      <c r="G52" s="2570"/>
      <c r="H52" s="2568"/>
      <c r="I52" s="2570"/>
      <c r="J52" s="2570"/>
      <c r="K52" s="2570"/>
      <c r="L52" s="2570"/>
      <c r="M52" s="2570"/>
      <c r="N52" s="2570"/>
      <c r="O52" s="2570"/>
      <c r="P52" s="2926"/>
      <c r="Q52" s="2926"/>
      <c r="R52" s="2546"/>
    </row>
    <row r="53" spans="1:18" ht="21.75" customHeight="1">
      <c r="A53" s="2568"/>
      <c r="B53" s="2569" t="s">
        <v>958</v>
      </c>
      <c r="C53" s="2568" t="s">
        <v>44</v>
      </c>
      <c r="D53" s="2570">
        <v>100</v>
      </c>
      <c r="E53" s="2568"/>
      <c r="F53" s="2570"/>
      <c r="G53" s="2570"/>
      <c r="H53" s="2568"/>
      <c r="I53" s="2570">
        <v>100</v>
      </c>
      <c r="J53" s="2570">
        <f>J50/I51*100</f>
        <v>100</v>
      </c>
      <c r="K53" s="2570">
        <f>K50/J51*100</f>
        <v>100</v>
      </c>
      <c r="L53" s="2570"/>
      <c r="M53" s="2570"/>
      <c r="N53" s="2570"/>
      <c r="O53" s="2570">
        <v>100</v>
      </c>
      <c r="P53" s="2570">
        <f>SUM(P50/J51*100)</f>
        <v>100</v>
      </c>
      <c r="Q53" s="2570">
        <f>SUM(Q50/J51*100)</f>
        <v>95.762204866674338</v>
      </c>
      <c r="R53" s="2546"/>
    </row>
    <row r="54" spans="1:18" ht="21.75" customHeight="1">
      <c r="A54" s="2568"/>
      <c r="B54" s="2569" t="s">
        <v>959</v>
      </c>
      <c r="C54" s="2568" t="s">
        <v>44</v>
      </c>
      <c r="D54" s="2570">
        <f>D51/D50*100</f>
        <v>114.53488372093024</v>
      </c>
      <c r="E54" s="2568"/>
      <c r="F54" s="2570"/>
      <c r="G54" s="2570"/>
      <c r="H54" s="2568"/>
      <c r="I54" s="2570">
        <f t="shared" ref="I54:P54" si="35">I51/I50*100</f>
        <v>103.54418295952404</v>
      </c>
      <c r="J54" s="2570">
        <f t="shared" si="35"/>
        <v>104.15861457647517</v>
      </c>
      <c r="K54" s="2570">
        <f t="shared" si="35"/>
        <v>73.366831524835604</v>
      </c>
      <c r="L54" s="2570"/>
      <c r="M54" s="2570"/>
      <c r="N54" s="2570"/>
      <c r="O54" s="2570">
        <f t="shared" si="35"/>
        <v>116.36023113008345</v>
      </c>
      <c r="P54" s="2570">
        <f t="shared" si="35"/>
        <v>88.113456621921443</v>
      </c>
      <c r="Q54" s="2570">
        <f t="shared" ref="Q54" si="36">Q51/Q50*100</f>
        <v>100</v>
      </c>
      <c r="R54" s="2546"/>
    </row>
    <row r="55" spans="1:18" ht="15">
      <c r="A55" s="2588"/>
      <c r="B55" s="2589"/>
      <c r="C55" s="2590"/>
      <c r="D55" s="2590"/>
      <c r="E55" s="2590"/>
      <c r="F55" s="2590"/>
      <c r="G55" s="2590"/>
      <c r="H55" s="2590"/>
      <c r="I55" s="2590"/>
      <c r="J55" s="2590"/>
      <c r="K55" s="2590"/>
      <c r="L55" s="2590"/>
      <c r="M55" s="2590"/>
      <c r="N55" s="2590"/>
      <c r="O55" s="2590"/>
      <c r="P55" s="2590"/>
      <c r="Q55" s="2590"/>
      <c r="R55" s="2591"/>
    </row>
    <row r="56" spans="1:18" ht="21.75" customHeight="1">
      <c r="A56" s="2592" t="s">
        <v>961</v>
      </c>
      <c r="B56" s="2577" t="s">
        <v>1623</v>
      </c>
      <c r="C56" s="2593"/>
      <c r="D56" s="2593"/>
      <c r="E56" s="2593"/>
      <c r="F56" s="2593"/>
      <c r="G56" s="2593"/>
      <c r="H56" s="2593"/>
      <c r="I56" s="2593"/>
      <c r="J56" s="2593"/>
      <c r="K56" s="2593"/>
      <c r="L56" s="2593"/>
      <c r="M56" s="2593"/>
      <c r="N56" s="2593"/>
      <c r="O56" s="2593"/>
      <c r="P56" s="2927"/>
      <c r="Q56" s="2927"/>
      <c r="R56" s="2593"/>
    </row>
    <row r="57" spans="1:18" ht="21.75" customHeight="1">
      <c r="A57" s="2593"/>
      <c r="B57" s="2577" t="s">
        <v>958</v>
      </c>
      <c r="C57" s="2580" t="s">
        <v>963</v>
      </c>
      <c r="D57" s="2595">
        <v>18.350000000000001</v>
      </c>
      <c r="E57" s="2580"/>
      <c r="F57" s="2595"/>
      <c r="G57" s="2595"/>
      <c r="H57" s="2580"/>
      <c r="I57" s="2595">
        <v>21.01</v>
      </c>
      <c r="J57" s="2595">
        <f>I58</f>
        <v>22.500000000000004</v>
      </c>
      <c r="K57" s="2595">
        <f>J58</f>
        <v>23.47</v>
      </c>
      <c r="L57" s="2595"/>
      <c r="M57" s="2595"/>
      <c r="N57" s="2595"/>
      <c r="O57" s="2595">
        <f>SUM(I58)</f>
        <v>22.500000000000004</v>
      </c>
      <c r="P57" s="2595">
        <f>SUM(J58)</f>
        <v>23.47</v>
      </c>
      <c r="Q57" s="2595">
        <f>SUM(J58)</f>
        <v>23.47</v>
      </c>
      <c r="R57" s="2593"/>
    </row>
    <row r="58" spans="1:18" ht="21.75" customHeight="1">
      <c r="A58" s="2593"/>
      <c r="B58" s="2577" t="s">
        <v>959</v>
      </c>
      <c r="C58" s="2580" t="s">
        <v>963</v>
      </c>
      <c r="D58" s="2595">
        <v>21.01</v>
      </c>
      <c r="E58" s="2580"/>
      <c r="F58" s="2595"/>
      <c r="G58" s="2595"/>
      <c r="H58" s="2580"/>
      <c r="I58" s="2595">
        <f>26.55/1.18</f>
        <v>22.500000000000004</v>
      </c>
      <c r="J58" s="2595">
        <v>23.47</v>
      </c>
      <c r="K58" s="2595">
        <f>K57*1.047</f>
        <v>24.573089999999997</v>
      </c>
      <c r="L58" s="2595"/>
      <c r="M58" s="2595"/>
      <c r="N58" s="2595"/>
      <c r="O58" s="2595">
        <f>SUM(O57*1.2)</f>
        <v>27.000000000000004</v>
      </c>
      <c r="P58" s="2595">
        <v>25.82</v>
      </c>
      <c r="Q58" s="2595">
        <v>24.87</v>
      </c>
      <c r="R58" s="2593"/>
    </row>
    <row r="59" spans="1:18" ht="21.75" customHeight="1">
      <c r="A59" s="2593"/>
      <c r="B59" s="2577" t="s">
        <v>363</v>
      </c>
      <c r="C59" s="2580" t="s">
        <v>44</v>
      </c>
      <c r="D59" s="2594">
        <f>D58/D57*100</f>
        <v>114.49591280653951</v>
      </c>
      <c r="E59" s="2580"/>
      <c r="F59" s="2593"/>
      <c r="G59" s="2593"/>
      <c r="H59" s="2580"/>
      <c r="I59" s="2594">
        <f t="shared" ref="I59:P59" si="37">I58/I57*100</f>
        <v>107.09186101856261</v>
      </c>
      <c r="J59" s="2594">
        <f t="shared" si="37"/>
        <v>104.31111111111109</v>
      </c>
      <c r="K59" s="2593">
        <f t="shared" si="37"/>
        <v>104.69999999999999</v>
      </c>
      <c r="L59" s="2593"/>
      <c r="M59" s="2593"/>
      <c r="N59" s="2593"/>
      <c r="O59" s="2594">
        <f t="shared" si="37"/>
        <v>120</v>
      </c>
      <c r="P59" s="2594">
        <f t="shared" si="37"/>
        <v>110.012782275245</v>
      </c>
      <c r="Q59" s="2594">
        <f t="shared" ref="Q59" si="38">Q58/Q57*100</f>
        <v>105.96506178099703</v>
      </c>
      <c r="R59" s="2593"/>
    </row>
    <row r="60" spans="1:18" ht="21.75" customHeight="1">
      <c r="A60" s="2593"/>
      <c r="B60" s="2577" t="s">
        <v>964</v>
      </c>
      <c r="C60" s="2580" t="s">
        <v>918</v>
      </c>
      <c r="D60" s="2594">
        <f>(D44-D57)*D40/2+(D45-D58)*D40/2</f>
        <v>11987.103808434014</v>
      </c>
      <c r="E60" s="2580"/>
      <c r="F60" s="2593"/>
      <c r="G60" s="2593"/>
      <c r="H60" s="2580"/>
      <c r="I60" s="2594">
        <f t="shared" ref="I60:P60" si="39">(I44-I57)*I40/2+(I45-I58)*I40/2</f>
        <v>7229.3881887248754</v>
      </c>
      <c r="J60" s="2594">
        <f t="shared" si="39"/>
        <v>6660.7032072839957</v>
      </c>
      <c r="K60" s="2594">
        <f t="shared" si="39"/>
        <v>8129.5898527753379</v>
      </c>
      <c r="L60" s="2594"/>
      <c r="M60" s="2594"/>
      <c r="N60" s="2594"/>
      <c r="O60" s="2594">
        <f t="shared" si="39"/>
        <v>7534.8013130493491</v>
      </c>
      <c r="P60" s="2594">
        <f t="shared" si="39"/>
        <v>12742.439102600203</v>
      </c>
      <c r="Q60" s="2594">
        <f t="shared" ref="Q60" si="40">(Q44-Q57)*Q40/2+(Q45-Q58)*Q40/2</f>
        <v>14767.825340846861</v>
      </c>
      <c r="R60" s="2593"/>
    </row>
    <row r="61" spans="1:18" ht="21.75" customHeight="1">
      <c r="A61" s="2592" t="s">
        <v>1627</v>
      </c>
      <c r="B61" s="2577" t="s">
        <v>1625</v>
      </c>
      <c r="C61" s="2593"/>
      <c r="D61" s="2593"/>
      <c r="E61" s="2593"/>
      <c r="F61" s="2593"/>
      <c r="G61" s="2593"/>
      <c r="H61" s="2593"/>
      <c r="I61" s="2593"/>
      <c r="J61" s="2593"/>
      <c r="K61" s="2593"/>
      <c r="L61" s="2593"/>
      <c r="M61" s="2593"/>
      <c r="N61" s="2593"/>
      <c r="O61" s="2593"/>
      <c r="P61" s="2927"/>
      <c r="Q61" s="2927"/>
      <c r="R61" s="2593"/>
    </row>
    <row r="62" spans="1:18" ht="21.75" customHeight="1">
      <c r="A62" s="2593"/>
      <c r="B62" s="2577" t="s">
        <v>958</v>
      </c>
      <c r="C62" s="2580" t="s">
        <v>963</v>
      </c>
      <c r="D62" s="2595">
        <v>12.04</v>
      </c>
      <c r="E62" s="2580"/>
      <c r="F62" s="2595"/>
      <c r="G62" s="2595"/>
      <c r="H62" s="2580"/>
      <c r="I62" s="2595">
        <v>13.79</v>
      </c>
      <c r="J62" s="2595">
        <f>I63</f>
        <v>14.278742830118365</v>
      </c>
      <c r="K62" s="2595">
        <f>J63</f>
        <v>14.872540710789071</v>
      </c>
      <c r="L62" s="2595"/>
      <c r="M62" s="2595"/>
      <c r="N62" s="2595"/>
      <c r="O62" s="2595">
        <f>SUM(I63)</f>
        <v>14.278742830118365</v>
      </c>
      <c r="P62" s="2595">
        <f>SUM(J63)</f>
        <v>14.872540710789071</v>
      </c>
      <c r="Q62" s="2595">
        <f>SUM(Q51)</f>
        <v>14.242272904345374</v>
      </c>
      <c r="R62" s="2593"/>
    </row>
    <row r="63" spans="1:18" ht="21.75" customHeight="1">
      <c r="A63" s="2593"/>
      <c r="B63" s="2577" t="s">
        <v>959</v>
      </c>
      <c r="C63" s="2580" t="s">
        <v>963</v>
      </c>
      <c r="D63" s="2595">
        <v>13.79</v>
      </c>
      <c r="E63" s="2580"/>
      <c r="F63" s="2595"/>
      <c r="G63" s="2595"/>
      <c r="H63" s="2580"/>
      <c r="I63" s="2595">
        <f t="shared" ref="I63:P63" si="41">SUM(I51)</f>
        <v>14.278742830118365</v>
      </c>
      <c r="J63" s="2595">
        <f t="shared" si="41"/>
        <v>14.872540710789071</v>
      </c>
      <c r="K63" s="2595">
        <f t="shared" si="41"/>
        <v>10.911511886747206</v>
      </c>
      <c r="L63" s="2595"/>
      <c r="M63" s="2595"/>
      <c r="N63" s="2595"/>
      <c r="O63" s="2595">
        <f t="shared" si="41"/>
        <v>16.614778159595947</v>
      </c>
      <c r="P63" s="2595">
        <f t="shared" si="41"/>
        <v>13.104709707778735</v>
      </c>
      <c r="Q63" s="2595">
        <f t="shared" ref="Q63" si="42">SUM(Q51)</f>
        <v>14.242272904345374</v>
      </c>
      <c r="R63" s="2593"/>
    </row>
    <row r="64" spans="1:18" ht="21.75" customHeight="1">
      <c r="A64" s="2593"/>
      <c r="B64" s="2577" t="s">
        <v>363</v>
      </c>
      <c r="C64" s="2580" t="s">
        <v>44</v>
      </c>
      <c r="D64" s="2594">
        <f>D63/D62*100</f>
        <v>114.53488372093024</v>
      </c>
      <c r="E64" s="2580"/>
      <c r="F64" s="2594"/>
      <c r="G64" s="2594"/>
      <c r="H64" s="2580"/>
      <c r="I64" s="2594">
        <f t="shared" ref="I64:P64" si="43">I63/I62*100</f>
        <v>103.54418295952404</v>
      </c>
      <c r="J64" s="2594">
        <f t="shared" si="43"/>
        <v>104.15861457647517</v>
      </c>
      <c r="K64" s="2594">
        <f t="shared" si="43"/>
        <v>73.366831524835604</v>
      </c>
      <c r="L64" s="2594"/>
      <c r="M64" s="2594"/>
      <c r="N64" s="2594"/>
      <c r="O64" s="2594">
        <f t="shared" si="43"/>
        <v>116.36023113008345</v>
      </c>
      <c r="P64" s="2594">
        <f t="shared" si="43"/>
        <v>88.113456621921443</v>
      </c>
      <c r="Q64" s="2594">
        <f t="shared" ref="Q64" si="44">Q63/Q62*100</f>
        <v>100</v>
      </c>
      <c r="R64" s="2593"/>
    </row>
    <row r="65" spans="1:18" ht="21.75" customHeight="1">
      <c r="A65" s="2593"/>
      <c r="B65" s="2577" t="s">
        <v>964</v>
      </c>
      <c r="C65" s="2580" t="s">
        <v>918</v>
      </c>
      <c r="D65" s="2593">
        <f>(D55-D62)*D46/2+(D56-D63)*D46/2</f>
        <v>0</v>
      </c>
      <c r="E65" s="2580"/>
      <c r="F65" s="2593"/>
      <c r="G65" s="2593"/>
      <c r="H65" s="2580"/>
      <c r="I65" s="2593">
        <f t="shared" ref="I65:P65" si="45">(I55-I62)*I46/2+(I56-I63)*I46/2</f>
        <v>0</v>
      </c>
      <c r="J65" s="2593">
        <f t="shared" si="45"/>
        <v>0</v>
      </c>
      <c r="K65" s="2593">
        <f t="shared" si="45"/>
        <v>0</v>
      </c>
      <c r="L65" s="2593"/>
      <c r="M65" s="2593"/>
      <c r="N65" s="2593"/>
      <c r="O65" s="2593">
        <f t="shared" si="45"/>
        <v>0</v>
      </c>
      <c r="P65" s="2593">
        <f t="shared" si="45"/>
        <v>0</v>
      </c>
      <c r="Q65" s="2593">
        <f t="shared" ref="Q65" si="46">(Q55-Q62)*Q46/2+(Q56-Q63)*Q46/2</f>
        <v>0</v>
      </c>
      <c r="R65" s="2593"/>
    </row>
  </sheetData>
  <mergeCells count="22">
    <mergeCell ref="L6:L8"/>
    <mergeCell ref="M6:M8"/>
    <mergeCell ref="N6:N8"/>
    <mergeCell ref="G6:G8"/>
    <mergeCell ref="H6:H8"/>
    <mergeCell ref="I6:I8"/>
    <mergeCell ref="C6:C8"/>
    <mergeCell ref="E6:E8"/>
    <mergeCell ref="F6:F8"/>
    <mergeCell ref="D6:D8"/>
    <mergeCell ref="A1:R1"/>
    <mergeCell ref="A2:R2"/>
    <mergeCell ref="A4:A5"/>
    <mergeCell ref="B4:B5"/>
    <mergeCell ref="C4:C5"/>
    <mergeCell ref="E4:E5"/>
    <mergeCell ref="I4:K4"/>
    <mergeCell ref="R4:R5"/>
    <mergeCell ref="D4:D5"/>
    <mergeCell ref="O4:P4"/>
    <mergeCell ref="F4:H5"/>
    <mergeCell ref="L4:N4"/>
  </mergeCells>
  <printOptions horizontalCentered="1"/>
  <pageMargins left="0.31496062992125984" right="0.31496062992125984" top="0.15748031496062992" bottom="0.15748031496062992" header="0.31496062992125984" footer="0.31496062992125984"/>
  <pageSetup paperSize="9" scale="36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3:H44"/>
  <sheetViews>
    <sheetView topLeftCell="A21" workbookViewId="0">
      <selection activeCell="C24" sqref="C24"/>
    </sheetView>
  </sheetViews>
  <sheetFormatPr defaultRowHeight="12.75"/>
  <cols>
    <col min="1" max="1" width="14.85546875" customWidth="1"/>
    <col min="2" max="2" width="52" customWidth="1"/>
    <col min="3" max="3" width="11.85546875" customWidth="1"/>
    <col min="4" max="4" width="14.42578125" customWidth="1"/>
    <col min="5" max="5" width="14.5703125" customWidth="1"/>
    <col min="6" max="6" width="13.85546875" customWidth="1"/>
    <col min="7" max="7" width="13.140625" customWidth="1"/>
    <col min="8" max="8" width="18.28515625" customWidth="1"/>
  </cols>
  <sheetData>
    <row r="3" spans="1:8" ht="14.25">
      <c r="A3" s="5046" t="s">
        <v>1921</v>
      </c>
      <c r="B3" s="5046"/>
      <c r="C3" s="5046"/>
      <c r="D3" s="5046"/>
      <c r="E3" s="5046"/>
      <c r="F3" s="5046"/>
      <c r="G3" s="5046"/>
      <c r="H3" s="5046"/>
    </row>
    <row r="4" spans="1:8" ht="15.75" thickBot="1">
      <c r="A4" s="5047" t="s">
        <v>1922</v>
      </c>
      <c r="B4" s="5047"/>
      <c r="C4" s="5047"/>
      <c r="D4" s="5047"/>
      <c r="E4" s="5047"/>
      <c r="F4" s="5047"/>
      <c r="G4" s="5047"/>
      <c r="H4" s="5047"/>
    </row>
    <row r="5" spans="1:8">
      <c r="A5" s="5041" t="s">
        <v>1923</v>
      </c>
      <c r="B5" s="5048" t="s">
        <v>1924</v>
      </c>
      <c r="C5" s="5050" t="s">
        <v>1925</v>
      </c>
      <c r="D5" s="5048" t="s">
        <v>1926</v>
      </c>
      <c r="E5" s="5052"/>
      <c r="F5" s="5053" t="s">
        <v>1927</v>
      </c>
      <c r="G5" s="5048" t="s">
        <v>1928</v>
      </c>
      <c r="H5" s="5055" t="s">
        <v>1929</v>
      </c>
    </row>
    <row r="6" spans="1:8" ht="13.5" thickBot="1">
      <c r="A6" s="5042"/>
      <c r="B6" s="5049"/>
      <c r="C6" s="5051"/>
      <c r="D6" s="4495" t="s">
        <v>1930</v>
      </c>
      <c r="E6" s="4496" t="s">
        <v>61</v>
      </c>
      <c r="F6" s="5054"/>
      <c r="G6" s="5049"/>
      <c r="H6" s="5056"/>
    </row>
    <row r="7" spans="1:8" ht="88.5" customHeight="1">
      <c r="A7" s="5041" t="s">
        <v>1931</v>
      </c>
      <c r="B7" s="4497" t="s">
        <v>1932</v>
      </c>
      <c r="C7" s="4498" t="s">
        <v>44</v>
      </c>
      <c r="D7" s="4499">
        <v>8</v>
      </c>
      <c r="E7" s="4500">
        <v>8</v>
      </c>
      <c r="F7" s="4501">
        <f>1/D18</f>
        <v>0.33333333333333331</v>
      </c>
      <c r="G7" s="4502">
        <f>IF(D7/E7&gt;1,1,D7/E7)</f>
        <v>1</v>
      </c>
      <c r="H7" s="4503">
        <f t="shared" ref="H7:H12" si="0">F7*G7</f>
        <v>0.33333333333333331</v>
      </c>
    </row>
    <row r="8" spans="1:8" ht="54.75" customHeight="1" thickBot="1">
      <c r="A8" s="5042"/>
      <c r="B8" s="4504" t="s">
        <v>1933</v>
      </c>
      <c r="C8" s="4495" t="s">
        <v>44</v>
      </c>
      <c r="D8" s="4505">
        <v>40.5</v>
      </c>
      <c r="E8" s="4506">
        <v>40.5</v>
      </c>
      <c r="F8" s="4507">
        <f>F7</f>
        <v>0.33333333333333331</v>
      </c>
      <c r="G8" s="4508">
        <f>IF(D8/E8&gt;1,1,D8/E8)</f>
        <v>1</v>
      </c>
      <c r="H8" s="4509">
        <f t="shared" si="0"/>
        <v>0.33333333333333331</v>
      </c>
    </row>
    <row r="9" spans="1:8" ht="68.25" customHeight="1">
      <c r="A9" s="5041" t="s">
        <v>1934</v>
      </c>
      <c r="B9" s="4510" t="s">
        <v>1935</v>
      </c>
      <c r="C9" s="4498" t="s">
        <v>1936</v>
      </c>
      <c r="D9" s="4499">
        <v>0.37</v>
      </c>
      <c r="E9" s="4500">
        <v>0.63</v>
      </c>
      <c r="F9" s="4511">
        <f>F8</f>
        <v>0.33333333333333331</v>
      </c>
      <c r="G9" s="4512">
        <f>IF(D9/E9&gt;1,1,D9/E9)</f>
        <v>0.58730158730158732</v>
      </c>
      <c r="H9" s="4513">
        <f t="shared" si="0"/>
        <v>0.19576719576719576</v>
      </c>
    </row>
    <row r="10" spans="1:8" ht="32.25" customHeight="1" thickBot="1">
      <c r="A10" s="5042"/>
      <c r="B10" s="4504" t="s">
        <v>1937</v>
      </c>
      <c r="C10" s="4495" t="s">
        <v>1936</v>
      </c>
      <c r="D10" s="4505">
        <v>10.7</v>
      </c>
      <c r="E10" s="4506">
        <v>11.2</v>
      </c>
      <c r="F10" s="4507">
        <f>1/D19</f>
        <v>0.33333333333333331</v>
      </c>
      <c r="G10" s="4514">
        <f>IF(D10/E10&gt;1,1,D10/E10)</f>
        <v>0.9553571428571429</v>
      </c>
      <c r="H10" s="4509">
        <f t="shared" si="0"/>
        <v>0.31845238095238093</v>
      </c>
    </row>
    <row r="11" spans="1:8" ht="40.5" customHeight="1">
      <c r="A11" s="5041" t="s">
        <v>1938</v>
      </c>
      <c r="B11" s="4497" t="s">
        <v>1939</v>
      </c>
      <c r="C11" s="4498" t="s">
        <v>44</v>
      </c>
      <c r="D11" s="4499">
        <v>0</v>
      </c>
      <c r="E11" s="4500">
        <v>0</v>
      </c>
      <c r="F11" s="4511">
        <f>F10</f>
        <v>0.33333333333333331</v>
      </c>
      <c r="G11" s="4515">
        <v>1</v>
      </c>
      <c r="H11" s="4513">
        <f t="shared" si="0"/>
        <v>0.33333333333333331</v>
      </c>
    </row>
    <row r="12" spans="1:8" ht="33.75" customHeight="1" thickBot="1">
      <c r="A12" s="5042"/>
      <c r="B12" s="4516" t="s">
        <v>1940</v>
      </c>
      <c r="C12" s="4495" t="s">
        <v>44</v>
      </c>
      <c r="D12" s="4505">
        <v>100</v>
      </c>
      <c r="E12" s="4506">
        <v>100</v>
      </c>
      <c r="F12" s="4507">
        <f>F11</f>
        <v>0.33333333333333331</v>
      </c>
      <c r="G12" s="4508">
        <f>IF(D12/E12&gt;1,1,D12/E12)</f>
        <v>1</v>
      </c>
      <c r="H12" s="4509">
        <f t="shared" si="0"/>
        <v>0.33333333333333331</v>
      </c>
    </row>
    <row r="13" spans="1:8" ht="38.25" customHeight="1">
      <c r="A13" s="5041" t="s">
        <v>1941</v>
      </c>
      <c r="B13" s="4510" t="s">
        <v>1942</v>
      </c>
      <c r="C13" s="4498" t="s">
        <v>44</v>
      </c>
      <c r="D13" s="4499">
        <v>19.7</v>
      </c>
      <c r="E13" s="4500">
        <v>30.66</v>
      </c>
      <c r="F13" s="4501">
        <v>0</v>
      </c>
      <c r="G13" s="4517">
        <f>IF(D13/E13&gt;1,1,D13/E13)</f>
        <v>0.64253098499673844</v>
      </c>
      <c r="H13" s="4503"/>
    </row>
    <row r="14" spans="1:8" ht="38.25" customHeight="1">
      <c r="A14" s="5043"/>
      <c r="B14" s="3884" t="s">
        <v>1943</v>
      </c>
      <c r="C14" s="4448" t="s">
        <v>1944</v>
      </c>
      <c r="D14" s="4518">
        <v>0.124</v>
      </c>
      <c r="E14" s="4519">
        <v>0.125</v>
      </c>
      <c r="F14" s="4501"/>
      <c r="G14" s="4520"/>
      <c r="H14" s="4503"/>
    </row>
    <row r="15" spans="1:8" ht="40.5" customHeight="1">
      <c r="A15" s="5044"/>
      <c r="B15" s="3884" t="s">
        <v>1945</v>
      </c>
      <c r="C15" s="4448" t="s">
        <v>1944</v>
      </c>
      <c r="D15" s="4521">
        <v>0.249</v>
      </c>
      <c r="E15" s="4522">
        <v>0.29499999999999998</v>
      </c>
      <c r="F15" s="4523">
        <v>0</v>
      </c>
      <c r="G15" s="4524"/>
      <c r="H15" s="4525"/>
    </row>
    <row r="16" spans="1:8" ht="40.5" customHeight="1">
      <c r="A16" s="5045"/>
      <c r="B16" s="4526" t="s">
        <v>1946</v>
      </c>
      <c r="C16" s="4448" t="s">
        <v>1944</v>
      </c>
      <c r="D16" s="4527">
        <v>0.42</v>
      </c>
      <c r="E16" s="4528">
        <v>0.60199999999999998</v>
      </c>
      <c r="F16" s="4529"/>
      <c r="G16" s="4530"/>
      <c r="H16" s="4531"/>
    </row>
    <row r="17" spans="1:8" ht="42.75" customHeight="1" thickBot="1">
      <c r="A17" s="5045"/>
      <c r="B17" s="4526" t="s">
        <v>1947</v>
      </c>
      <c r="C17" s="4532" t="s">
        <v>1944</v>
      </c>
      <c r="D17" s="4527">
        <v>8.4000000000000005E-2</v>
      </c>
      <c r="E17" s="4528">
        <v>9.1999999999999998E-2</v>
      </c>
      <c r="F17" s="4529">
        <v>0</v>
      </c>
      <c r="G17" s="4530"/>
      <c r="H17" s="4531"/>
    </row>
    <row r="18" spans="1:8">
      <c r="A18" s="4533"/>
      <c r="B18" s="4534"/>
      <c r="C18" s="4534" t="s">
        <v>299</v>
      </c>
      <c r="D18" s="4534">
        <v>3</v>
      </c>
      <c r="E18" s="4534"/>
      <c r="F18" s="4535">
        <f>F7+F8+F9</f>
        <v>1</v>
      </c>
      <c r="G18" s="4536"/>
      <c r="H18" s="4537">
        <f>H7+H8+H9</f>
        <v>0.86243386243386233</v>
      </c>
    </row>
    <row r="19" spans="1:8" ht="13.5" thickBot="1">
      <c r="A19" s="4538"/>
      <c r="B19" s="4539"/>
      <c r="C19" s="4539" t="s">
        <v>330</v>
      </c>
      <c r="D19" s="4539">
        <v>3</v>
      </c>
      <c r="E19" s="4539"/>
      <c r="F19" s="4540">
        <f>F10+F11+F12</f>
        <v>1</v>
      </c>
      <c r="G19" s="4541"/>
      <c r="H19" s="4542">
        <f>H10+H11+H12</f>
        <v>0.98511904761904745</v>
      </c>
    </row>
    <row r="23" spans="1:8">
      <c r="B23" s="5" t="s">
        <v>383</v>
      </c>
      <c r="C23" s="5"/>
      <c r="D23" s="5"/>
    </row>
    <row r="24" spans="1:8" ht="28.5">
      <c r="B24" s="4543" t="s">
        <v>1948</v>
      </c>
      <c r="C24" s="4544">
        <f>C26*C27*C28*C29</f>
        <v>1402.0984566147722</v>
      </c>
      <c r="D24" s="4434"/>
    </row>
    <row r="25" spans="1:8" ht="14.25">
      <c r="B25" s="4545" t="s">
        <v>1949</v>
      </c>
      <c r="C25" s="4546">
        <f>1/100</f>
        <v>0.01</v>
      </c>
      <c r="D25" s="4547" t="s">
        <v>1950</v>
      </c>
    </row>
    <row r="26" spans="1:8">
      <c r="B26" s="4545" t="s">
        <v>1951</v>
      </c>
      <c r="C26" s="4546">
        <f>IF(1-H54&gt;1/100,1/100,1-H54)</f>
        <v>0.01</v>
      </c>
      <c r="D26" s="4547"/>
    </row>
    <row r="27" spans="1:8" ht="14.25">
      <c r="B27" s="4545" t="s">
        <v>1952</v>
      </c>
      <c r="C27" s="4546">
        <f>'[23]вода 2018 коррект'!F9</f>
        <v>130132.0308002161</v>
      </c>
      <c r="D27" s="4547"/>
    </row>
    <row r="28" spans="1:8" ht="14.25">
      <c r="B28" s="4545" t="s">
        <v>1953</v>
      </c>
      <c r="C28" s="4548">
        <v>1.0389999999999999</v>
      </c>
      <c r="D28" s="4547"/>
    </row>
    <row r="29" spans="1:8" ht="14.25">
      <c r="B29" s="4545" t="s">
        <v>1954</v>
      </c>
      <c r="C29" s="4549">
        <v>1.0369999999999999</v>
      </c>
      <c r="D29" s="4550"/>
    </row>
    <row r="30" spans="1:8">
      <c r="B30" s="5" t="s">
        <v>47</v>
      </c>
      <c r="C30" s="5"/>
      <c r="D30" s="5"/>
    </row>
    <row r="31" spans="1:8" ht="28.5">
      <c r="B31" s="4543" t="s">
        <v>1948</v>
      </c>
      <c r="C31" s="4544">
        <f>C33*C34*C35*C36</f>
        <v>917.11610446699819</v>
      </c>
      <c r="D31" s="4434"/>
    </row>
    <row r="32" spans="1:8" ht="14.25">
      <c r="B32" s="4545" t="s">
        <v>1949</v>
      </c>
      <c r="C32" s="4546">
        <f>1/100</f>
        <v>0.01</v>
      </c>
      <c r="D32" s="4547" t="s">
        <v>1950</v>
      </c>
    </row>
    <row r="33" spans="2:4">
      <c r="B33" s="4545" t="s">
        <v>1951</v>
      </c>
      <c r="C33" s="4546">
        <f>IF(1-H61&gt;1/100,1/100,1-H61)</f>
        <v>0.01</v>
      </c>
      <c r="D33" s="4547"/>
    </row>
    <row r="34" spans="2:4" ht="14.25">
      <c r="B34" s="4545" t="s">
        <v>1952</v>
      </c>
      <c r="C34" s="4546">
        <f>'[23]стоки 2018'!F9</f>
        <v>85119.686560402581</v>
      </c>
      <c r="D34" s="4547"/>
    </row>
    <row r="35" spans="2:4" ht="14.25">
      <c r="B35" s="4545" t="s">
        <v>1953</v>
      </c>
      <c r="C35" s="4548">
        <v>1.0389999999999999</v>
      </c>
      <c r="D35" s="4547"/>
    </row>
    <row r="36" spans="2:4" ht="14.25">
      <c r="B36" s="4545" t="s">
        <v>1954</v>
      </c>
      <c r="C36" s="4549">
        <v>1.0369999999999999</v>
      </c>
      <c r="D36" s="4550"/>
    </row>
    <row r="38" spans="2:4">
      <c r="B38" s="5" t="s">
        <v>25</v>
      </c>
      <c r="C38" s="5"/>
      <c r="D38" s="5"/>
    </row>
    <row r="39" spans="2:4" ht="28.5">
      <c r="B39" s="4543" t="s">
        <v>1948</v>
      </c>
      <c r="C39" s="4544">
        <f>C41*C42*C43*C44</f>
        <v>3.706200318684449</v>
      </c>
      <c r="D39" s="4434"/>
    </row>
    <row r="40" spans="2:4" ht="14.25">
      <c r="B40" s="4545" t="s">
        <v>1949</v>
      </c>
      <c r="C40" s="4546">
        <f>1/100</f>
        <v>0.01</v>
      </c>
      <c r="D40" s="4547" t="s">
        <v>1950</v>
      </c>
    </row>
    <row r="41" spans="2:4">
      <c r="B41" s="4545" t="s">
        <v>1951</v>
      </c>
      <c r="C41" s="4546">
        <f>IF(1-H69&gt;1/100,1/100,1-H69)</f>
        <v>0.01</v>
      </c>
      <c r="D41" s="4547"/>
    </row>
    <row r="42" spans="2:4" ht="14.25">
      <c r="B42" s="4545" t="s">
        <v>1952</v>
      </c>
      <c r="C42" s="4546">
        <f>'[23]тех вода 2018'!F9</f>
        <v>343.98110328661932</v>
      </c>
      <c r="D42" s="4547"/>
    </row>
    <row r="43" spans="2:4" ht="14.25">
      <c r="B43" s="4545" t="s">
        <v>1953</v>
      </c>
      <c r="C43" s="4548">
        <v>1.0389999999999999</v>
      </c>
      <c r="D43" s="4547"/>
    </row>
    <row r="44" spans="2:4" ht="14.25">
      <c r="B44" s="4545" t="s">
        <v>1954</v>
      </c>
      <c r="C44" s="4549">
        <v>1.0369999999999999</v>
      </c>
      <c r="D44" s="4550"/>
    </row>
  </sheetData>
  <mergeCells count="13">
    <mergeCell ref="A7:A8"/>
    <mergeCell ref="A9:A10"/>
    <mergeCell ref="A11:A12"/>
    <mergeCell ref="A13:A17"/>
    <mergeCell ref="A3:H3"/>
    <mergeCell ref="A4:H4"/>
    <mergeCell ref="A5:A6"/>
    <mergeCell ref="B5:B6"/>
    <mergeCell ref="C5:C6"/>
    <mergeCell ref="D5:E5"/>
    <mergeCell ref="F5:F6"/>
    <mergeCell ref="G5:G6"/>
    <mergeCell ref="H5:H6"/>
  </mergeCells>
  <pageMargins left="0.70866141732283472" right="0.70866141732283472" top="0.74803149606299213" bottom="0.74803149606299213" header="0.31496062992125984" footer="0.31496062992125984"/>
  <pageSetup paperSize="9" scale="56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FF00"/>
  </sheetPr>
  <dimension ref="A2:F72"/>
  <sheetViews>
    <sheetView view="pageBreakPreview" topLeftCell="A8" zoomScale="120" zoomScaleSheetLayoutView="120" workbookViewId="0">
      <selection activeCell="D20" sqref="D20"/>
    </sheetView>
  </sheetViews>
  <sheetFormatPr defaultRowHeight="12.75"/>
  <cols>
    <col min="1" max="1" width="18.85546875" customWidth="1"/>
    <col min="2" max="2" width="13" customWidth="1"/>
    <col min="3" max="3" width="13.5703125" customWidth="1"/>
    <col min="4" max="4" width="16.140625" customWidth="1"/>
  </cols>
  <sheetData>
    <row r="2" spans="1:6" hidden="1">
      <c r="C2" t="s">
        <v>1910</v>
      </c>
    </row>
    <row r="3" spans="1:6" hidden="1">
      <c r="A3" t="s">
        <v>46</v>
      </c>
      <c r="B3">
        <f>[23]объемы!AJ48</f>
        <v>2380</v>
      </c>
      <c r="C3" s="127">
        <f>'[23]вода 2018 коррект'!K45</f>
        <v>27.796610169491526</v>
      </c>
      <c r="D3">
        <f>B3/2*C3</f>
        <v>33077.966101694918</v>
      </c>
      <c r="E3" t="e">
        <f>B3/2*#REF!</f>
        <v>#REF!</v>
      </c>
      <c r="F3" t="e">
        <f>E3/D3</f>
        <v>#REF!</v>
      </c>
    </row>
    <row r="4" spans="1:6" hidden="1">
      <c r="A4" t="s">
        <v>47</v>
      </c>
      <c r="B4">
        <f>[23]объемы!AJ58</f>
        <v>2300</v>
      </c>
      <c r="C4" s="127">
        <f>'[23]стоки 2018'!K44</f>
        <v>22.500000000000004</v>
      </c>
      <c r="D4">
        <f>B4/2*C4</f>
        <v>25875.000000000004</v>
      </c>
      <c r="E4" t="e">
        <f>B4/2*#REF!</f>
        <v>#REF!</v>
      </c>
      <c r="F4" t="e">
        <f>E4/D4</f>
        <v>#REF!</v>
      </c>
    </row>
    <row r="5" spans="1:6" hidden="1">
      <c r="B5">
        <f>SUM(B3:B4)/2</f>
        <v>2340</v>
      </c>
      <c r="C5" s="127">
        <f>D5/B5</f>
        <v>25.193575257134583</v>
      </c>
      <c r="D5">
        <f>SUM(D3:D4)</f>
        <v>58952.966101694925</v>
      </c>
      <c r="E5" t="e">
        <f>SUM(E3:E4)</f>
        <v>#REF!</v>
      </c>
      <c r="F5" s="162" t="e">
        <f>#REF!/C5</f>
        <v>#REF!</v>
      </c>
    </row>
    <row r="6" spans="1:6" hidden="1"/>
    <row r="7" spans="1:6" hidden="1"/>
    <row r="9" spans="1:6">
      <c r="A9" s="5057" t="s">
        <v>1911</v>
      </c>
      <c r="B9" s="5057"/>
      <c r="C9" s="5057"/>
      <c r="D9" s="5057"/>
    </row>
    <row r="10" spans="1:6" ht="13.5">
      <c r="A10" s="5058" t="s">
        <v>383</v>
      </c>
      <c r="B10" s="5058"/>
      <c r="C10" s="5"/>
      <c r="D10" s="5"/>
    </row>
    <row r="11" spans="1:6" ht="29.25" customHeight="1">
      <c r="A11" s="4448" t="s">
        <v>1823</v>
      </c>
      <c r="B11" s="4448" t="s">
        <v>1912</v>
      </c>
      <c r="C11" s="4434" t="s">
        <v>1913</v>
      </c>
      <c r="D11" s="4434" t="s">
        <v>1914</v>
      </c>
    </row>
    <row r="12" spans="1:6">
      <c r="A12" s="3896" t="s">
        <v>267</v>
      </c>
      <c r="B12" s="4449">
        <f>'[23]факт шаблон вода'!A3</f>
        <v>316969.11</v>
      </c>
      <c r="C12" s="4450">
        <v>31.52</v>
      </c>
      <c r="D12" s="4451">
        <f>B12*C12/1000</f>
        <v>9990.8663471999989</v>
      </c>
    </row>
    <row r="13" spans="1:6">
      <c r="A13" s="3896" t="s">
        <v>268</v>
      </c>
      <c r="B13" s="4449">
        <f>'[23]факт шаблон вода'!A4</f>
        <v>317912.65999999997</v>
      </c>
      <c r="C13" s="4450">
        <v>31.52</v>
      </c>
      <c r="D13" s="4451">
        <f t="shared" ref="D13:D23" si="0">B13*C13/1000</f>
        <v>10020.6070432</v>
      </c>
    </row>
    <row r="14" spans="1:6">
      <c r="A14" s="3896" t="s">
        <v>269</v>
      </c>
      <c r="B14" s="4449">
        <f>'[23]факт шаблон вода'!A5</f>
        <v>304216.37</v>
      </c>
      <c r="C14" s="4450">
        <v>31.52</v>
      </c>
      <c r="D14" s="4451">
        <f t="shared" si="0"/>
        <v>9588.8999824000002</v>
      </c>
    </row>
    <row r="15" spans="1:6">
      <c r="A15" s="3896" t="s">
        <v>270</v>
      </c>
      <c r="B15" s="4449">
        <f>'[23]факт шаблон вода'!A6</f>
        <v>304396.70999999996</v>
      </c>
      <c r="C15" s="4450">
        <v>31.52</v>
      </c>
      <c r="D15" s="4451">
        <f t="shared" si="0"/>
        <v>9594.584299199998</v>
      </c>
    </row>
    <row r="16" spans="1:6">
      <c r="A16" s="3896" t="s">
        <v>271</v>
      </c>
      <c r="B16" s="4449">
        <f>'[23]факт шаблон вода'!A7</f>
        <v>291575.15000000002</v>
      </c>
      <c r="C16" s="4450">
        <v>31.52</v>
      </c>
      <c r="D16" s="4451">
        <f t="shared" si="0"/>
        <v>9190.4487279999994</v>
      </c>
    </row>
    <row r="17" spans="1:4">
      <c r="A17" s="3896" t="s">
        <v>272</v>
      </c>
      <c r="B17" s="4449">
        <f>'[23]факт шаблон вода'!A8</f>
        <v>286018.59999999998</v>
      </c>
      <c r="C17" s="4450">
        <v>31.52</v>
      </c>
      <c r="D17" s="4451">
        <f t="shared" si="0"/>
        <v>9015.3062719999998</v>
      </c>
    </row>
    <row r="18" spans="1:4">
      <c r="A18" s="3896" t="s">
        <v>1226</v>
      </c>
      <c r="B18" s="4449">
        <f>'[23]факт шаблон вода'!A9</f>
        <v>260188.14</v>
      </c>
      <c r="C18" s="4450">
        <v>33.72</v>
      </c>
      <c r="D18" s="4451">
        <f t="shared" si="0"/>
        <v>8773.5440808000003</v>
      </c>
    </row>
    <row r="19" spans="1:4">
      <c r="A19" s="3896" t="s">
        <v>273</v>
      </c>
      <c r="B19" s="4449">
        <f>'[23]факт шаблон вода'!A10</f>
        <v>290647.99</v>
      </c>
      <c r="C19" s="4450">
        <v>33.72</v>
      </c>
      <c r="D19" s="4451">
        <f t="shared" si="0"/>
        <v>9800.650222799999</v>
      </c>
    </row>
    <row r="20" spans="1:4">
      <c r="A20" s="3896" t="s">
        <v>1244</v>
      </c>
      <c r="B20" s="4449">
        <f>'[23]факт шаблон вода'!A11</f>
        <v>297249.68</v>
      </c>
      <c r="C20" s="4450">
        <v>33.72</v>
      </c>
      <c r="D20" s="4451">
        <f t="shared" si="0"/>
        <v>10023.259209599999</v>
      </c>
    </row>
    <row r="21" spans="1:4">
      <c r="A21" s="3896" t="s">
        <v>274</v>
      </c>
      <c r="B21" s="4449">
        <f>'[23]факт шаблон вода'!A12</f>
        <v>296237.41000000003</v>
      </c>
      <c r="C21" s="4450">
        <v>33.72</v>
      </c>
      <c r="D21" s="4451">
        <f t="shared" si="0"/>
        <v>9989.1254652000007</v>
      </c>
    </row>
    <row r="22" spans="1:4">
      <c r="A22" s="3896" t="s">
        <v>275</v>
      </c>
      <c r="B22" s="4449">
        <f>'[23]факт шаблон вода'!A13</f>
        <v>308631.80000000005</v>
      </c>
      <c r="C22" s="4450">
        <v>33.72</v>
      </c>
      <c r="D22" s="4451">
        <f t="shared" si="0"/>
        <v>10407.064296000002</v>
      </c>
    </row>
    <row r="23" spans="1:4">
      <c r="A23" s="3896" t="s">
        <v>1335</v>
      </c>
      <c r="B23" s="4449">
        <f>'[23]факт шаблон вода'!A14</f>
        <v>292296.71999999997</v>
      </c>
      <c r="C23" s="4450">
        <v>33.72</v>
      </c>
      <c r="D23" s="4451">
        <f t="shared" si="0"/>
        <v>9856.2453983999985</v>
      </c>
    </row>
    <row r="24" spans="1:4">
      <c r="A24" s="3896" t="s">
        <v>293</v>
      </c>
      <c r="B24" s="4452">
        <f>SUM(B12:B23)</f>
        <v>3566340.3400000008</v>
      </c>
      <c r="C24" s="4451">
        <f>D24/B24*1000</f>
        <v>32.596608921738515</v>
      </c>
      <c r="D24" s="4453">
        <f>SUM(D12:D23)</f>
        <v>116250.6013448</v>
      </c>
    </row>
    <row r="26" spans="1:4" ht="13.5">
      <c r="A26" s="5058" t="s">
        <v>25</v>
      </c>
      <c r="B26" s="5058"/>
      <c r="C26" s="5"/>
      <c r="D26" s="5"/>
    </row>
    <row r="27" spans="1:4" ht="36.75" customHeight="1">
      <c r="A27" s="4448" t="s">
        <v>1823</v>
      </c>
      <c r="B27" s="4448" t="s">
        <v>1912</v>
      </c>
      <c r="C27" s="4434" t="s">
        <v>1913</v>
      </c>
      <c r="D27" s="4434" t="s">
        <v>1914</v>
      </c>
    </row>
    <row r="28" spans="1:4">
      <c r="A28" s="3896" t="s">
        <v>267</v>
      </c>
      <c r="B28" s="4449">
        <f>'[23]факт шаблон вода'!A31</f>
        <v>315</v>
      </c>
      <c r="C28" s="4450">
        <v>16.059999999999999</v>
      </c>
      <c r="D28" s="4451">
        <f>B28*C28/1000</f>
        <v>5.0588999999999995</v>
      </c>
    </row>
    <row r="29" spans="1:4">
      <c r="A29" s="3896" t="s">
        <v>268</v>
      </c>
      <c r="B29" s="4449">
        <f>'[23]факт шаблон вода'!A32</f>
        <v>208</v>
      </c>
      <c r="C29" s="4450">
        <v>16.059999999999999</v>
      </c>
      <c r="D29" s="4451">
        <f t="shared" ref="D29:D39" si="1">B29*C29/1000</f>
        <v>3.3404799999999994</v>
      </c>
    </row>
    <row r="30" spans="1:4">
      <c r="A30" s="3896" t="s">
        <v>269</v>
      </c>
      <c r="B30" s="4449">
        <f>'[23]факт шаблон вода'!A33</f>
        <v>260</v>
      </c>
      <c r="C30" s="4450">
        <v>16.059999999999999</v>
      </c>
      <c r="D30" s="4451">
        <f t="shared" si="1"/>
        <v>4.1755999999999993</v>
      </c>
    </row>
    <row r="31" spans="1:4">
      <c r="A31" s="3896" t="s">
        <v>270</v>
      </c>
      <c r="B31" s="4449">
        <f>'[23]факт шаблон вода'!A34</f>
        <v>305</v>
      </c>
      <c r="C31" s="4450">
        <v>16.059999999999999</v>
      </c>
      <c r="D31" s="4451">
        <f t="shared" si="1"/>
        <v>4.898299999999999</v>
      </c>
    </row>
    <row r="32" spans="1:4">
      <c r="A32" s="3896" t="s">
        <v>271</v>
      </c>
      <c r="B32" s="4449">
        <f>'[23]факт шаблон вода'!A35</f>
        <v>181</v>
      </c>
      <c r="C32" s="4450">
        <v>16.059999999999999</v>
      </c>
      <c r="D32" s="4451">
        <f t="shared" si="1"/>
        <v>2.9068599999999996</v>
      </c>
    </row>
    <row r="33" spans="1:4">
      <c r="A33" s="3896" t="s">
        <v>272</v>
      </c>
      <c r="B33" s="4449">
        <f>'[23]факт шаблон вода'!A36</f>
        <v>194</v>
      </c>
      <c r="C33" s="4450">
        <v>16.059999999999999</v>
      </c>
      <c r="D33" s="4451">
        <f t="shared" si="1"/>
        <v>3.11564</v>
      </c>
    </row>
    <row r="34" spans="1:4">
      <c r="A34" s="3896" t="s">
        <v>1226</v>
      </c>
      <c r="B34" s="4449">
        <f>'[23]факт шаблон вода'!A37</f>
        <v>220</v>
      </c>
      <c r="C34" s="4450">
        <v>16.059999999999999</v>
      </c>
      <c r="D34" s="4451">
        <f t="shared" si="1"/>
        <v>3.5331999999999999</v>
      </c>
    </row>
    <row r="35" spans="1:4">
      <c r="A35" s="3896" t="s">
        <v>273</v>
      </c>
      <c r="B35" s="4449">
        <f>'[23]факт шаблон вода'!A38</f>
        <v>134</v>
      </c>
      <c r="C35" s="4450">
        <v>16.059999999999999</v>
      </c>
      <c r="D35" s="4451">
        <f t="shared" si="1"/>
        <v>2.15204</v>
      </c>
    </row>
    <row r="36" spans="1:4">
      <c r="A36" s="3896" t="s">
        <v>1244</v>
      </c>
      <c r="B36" s="4449">
        <f>'[23]факт шаблон вода'!A39</f>
        <v>130</v>
      </c>
      <c r="C36" s="4450">
        <v>16.059999999999999</v>
      </c>
      <c r="D36" s="4451">
        <f t="shared" si="1"/>
        <v>2.0877999999999997</v>
      </c>
    </row>
    <row r="37" spans="1:4">
      <c r="A37" s="3896" t="s">
        <v>274</v>
      </c>
      <c r="B37" s="4449">
        <f>'[23]факт шаблон вода'!A40</f>
        <v>113</v>
      </c>
      <c r="C37" s="4450">
        <v>16.059999999999999</v>
      </c>
      <c r="D37" s="4451">
        <f t="shared" si="1"/>
        <v>1.8147799999999998</v>
      </c>
    </row>
    <row r="38" spans="1:4">
      <c r="A38" s="3896" t="s">
        <v>275</v>
      </c>
      <c r="B38" s="4449">
        <f>'[23]факт шаблон вода'!A41</f>
        <v>90</v>
      </c>
      <c r="C38" s="4450">
        <v>16.059999999999999</v>
      </c>
      <c r="D38" s="4451">
        <f t="shared" si="1"/>
        <v>1.4453999999999998</v>
      </c>
    </row>
    <row r="39" spans="1:4">
      <c r="A39" s="3896" t="s">
        <v>1335</v>
      </c>
      <c r="B39" s="4449">
        <f>'[23]факт шаблон вода'!A42</f>
        <v>249</v>
      </c>
      <c r="C39" s="4450">
        <v>16.059999999999999</v>
      </c>
      <c r="D39" s="4451">
        <f t="shared" si="1"/>
        <v>3.9989399999999997</v>
      </c>
    </row>
    <row r="40" spans="1:4">
      <c r="A40" s="3896" t="s">
        <v>293</v>
      </c>
      <c r="B40" s="4452">
        <f>SUM(B28:B39)</f>
        <v>2399</v>
      </c>
      <c r="C40" s="4451">
        <f>D40/B40*1000</f>
        <v>16.059999999999995</v>
      </c>
      <c r="D40" s="4453">
        <f>SUM(D28:D39)</f>
        <v>38.527939999999987</v>
      </c>
    </row>
    <row r="42" spans="1:4" ht="13.5">
      <c r="A42" s="5058" t="s">
        <v>47</v>
      </c>
      <c r="B42" s="5058"/>
      <c r="C42" s="5"/>
      <c r="D42" s="5"/>
    </row>
    <row r="43" spans="1:4" ht="25.5">
      <c r="A43" s="4448" t="s">
        <v>1823</v>
      </c>
      <c r="B43" s="4448" t="s">
        <v>1912</v>
      </c>
      <c r="C43" s="4434" t="s">
        <v>1913</v>
      </c>
      <c r="D43" s="4434" t="s">
        <v>1914</v>
      </c>
    </row>
    <row r="44" spans="1:4">
      <c r="A44" s="3896" t="s">
        <v>267</v>
      </c>
      <c r="B44" s="4449">
        <f>'[23]факт шаблон стоки'!A3</f>
        <v>271693.3</v>
      </c>
      <c r="C44" s="4454">
        <v>24.29</v>
      </c>
      <c r="D44" s="4451">
        <f>B44*C44/1000</f>
        <v>6599.4302569999991</v>
      </c>
    </row>
    <row r="45" spans="1:4">
      <c r="A45" s="3896" t="s">
        <v>268</v>
      </c>
      <c r="B45" s="4449">
        <f>'[23]факт шаблон стоки'!A4</f>
        <v>267880.98</v>
      </c>
      <c r="C45" s="4454">
        <v>24.29</v>
      </c>
      <c r="D45" s="4451">
        <f t="shared" ref="D45:D55" si="2">B45*C45/1000</f>
        <v>6506.829004199999</v>
      </c>
    </row>
    <row r="46" spans="1:4">
      <c r="A46" s="3896" t="s">
        <v>269</v>
      </c>
      <c r="B46" s="4449">
        <f>'[23]факт шаблон стоки'!A5</f>
        <v>264651.92</v>
      </c>
      <c r="C46" s="4454">
        <v>24.29</v>
      </c>
      <c r="D46" s="4451">
        <f t="shared" si="2"/>
        <v>6428.3951367999998</v>
      </c>
    </row>
    <row r="47" spans="1:4">
      <c r="A47" s="3896" t="s">
        <v>270</v>
      </c>
      <c r="B47" s="4449">
        <f>'[23]факт шаблон стоки'!A6</f>
        <v>262160.76</v>
      </c>
      <c r="C47" s="4454">
        <v>24.29</v>
      </c>
      <c r="D47" s="4451">
        <f t="shared" si="2"/>
        <v>6367.8848603999995</v>
      </c>
    </row>
    <row r="48" spans="1:4">
      <c r="A48" s="3896" t="s">
        <v>271</v>
      </c>
      <c r="B48" s="4449">
        <f>'[23]факт шаблон стоки'!A7</f>
        <v>251481.02000000002</v>
      </c>
      <c r="C48" s="4454">
        <v>24.29</v>
      </c>
      <c r="D48" s="4451">
        <f t="shared" si="2"/>
        <v>6108.4739758000005</v>
      </c>
    </row>
    <row r="49" spans="1:4">
      <c r="A49" s="3896" t="s">
        <v>272</v>
      </c>
      <c r="B49" s="4449">
        <f>'[23]факт шаблон стоки'!A8</f>
        <v>249611.67</v>
      </c>
      <c r="C49" s="4454">
        <v>24.29</v>
      </c>
      <c r="D49" s="4451">
        <f t="shared" si="2"/>
        <v>6063.0674643000002</v>
      </c>
    </row>
    <row r="50" spans="1:4">
      <c r="A50" s="3896" t="s">
        <v>1226</v>
      </c>
      <c r="B50" s="4449">
        <f>'[23]факт шаблон стоки'!A9</f>
        <v>223476.73</v>
      </c>
      <c r="C50" s="4450">
        <v>25.13</v>
      </c>
      <c r="D50" s="4451">
        <f t="shared" si="2"/>
        <v>5615.9702249000002</v>
      </c>
    </row>
    <row r="51" spans="1:4">
      <c r="A51" s="3896" t="s">
        <v>273</v>
      </c>
      <c r="B51" s="4449">
        <f>'[23]факт шаблон стоки'!A10</f>
        <v>244501.71000000002</v>
      </c>
      <c r="C51" s="4450">
        <v>25.13</v>
      </c>
      <c r="D51" s="4451">
        <f t="shared" si="2"/>
        <v>6144.3279723000005</v>
      </c>
    </row>
    <row r="52" spans="1:4">
      <c r="A52" s="3896" t="s">
        <v>1244</v>
      </c>
      <c r="B52" s="4449">
        <f>'[23]факт шаблон стоки'!A11</f>
        <v>254060.72000000003</v>
      </c>
      <c r="C52" s="4450">
        <v>25.13</v>
      </c>
      <c r="D52" s="4451">
        <f t="shared" si="2"/>
        <v>6384.5458936000005</v>
      </c>
    </row>
    <row r="53" spans="1:4">
      <c r="A53" s="3896" t="s">
        <v>274</v>
      </c>
      <c r="B53" s="4449">
        <f>'[23]факт шаблон стоки'!A12</f>
        <v>246681.56999999998</v>
      </c>
      <c r="C53" s="4450">
        <v>25.13</v>
      </c>
      <c r="D53" s="4451">
        <f t="shared" si="2"/>
        <v>6199.1078540999988</v>
      </c>
    </row>
    <row r="54" spans="1:4">
      <c r="A54" s="3896" t="s">
        <v>275</v>
      </c>
      <c r="B54" s="4449">
        <f>'[23]факт шаблон стоки'!A13</f>
        <v>253925.40000000002</v>
      </c>
      <c r="C54" s="4450">
        <v>25.13</v>
      </c>
      <c r="D54" s="4451">
        <f t="shared" si="2"/>
        <v>6381.1453019999999</v>
      </c>
    </row>
    <row r="55" spans="1:4">
      <c r="A55" s="3896" t="s">
        <v>1335</v>
      </c>
      <c r="B55" s="4449">
        <f>'[23]факт шаблон стоки'!A14</f>
        <v>250714.08</v>
      </c>
      <c r="C55" s="4450">
        <v>25.13</v>
      </c>
      <c r="D55" s="4451">
        <f t="shared" si="2"/>
        <v>6300.4448303999998</v>
      </c>
    </row>
    <row r="56" spans="1:4">
      <c r="A56" s="3896" t="s">
        <v>293</v>
      </c>
      <c r="B56" s="4452">
        <f>SUM(B44:B55)</f>
        <v>3040839.86</v>
      </c>
      <c r="C56" s="4451">
        <f>D56/B56*1000</f>
        <v>24.697000247753923</v>
      </c>
      <c r="D56" s="4453">
        <f>SUM(D44:D55)</f>
        <v>75099.622775800002</v>
      </c>
    </row>
    <row r="58" spans="1:4" ht="13.5">
      <c r="A58" s="5058" t="s">
        <v>1915</v>
      </c>
      <c r="B58" s="5058"/>
      <c r="C58" s="5"/>
      <c r="D58" s="5"/>
    </row>
    <row r="59" spans="1:4" ht="25.5">
      <c r="A59" s="4448" t="s">
        <v>1823</v>
      </c>
      <c r="B59" s="4448" t="s">
        <v>1912</v>
      </c>
      <c r="C59" s="4434" t="s">
        <v>1913</v>
      </c>
      <c r="D59" s="4434" t="s">
        <v>1914</v>
      </c>
    </row>
    <row r="60" spans="1:4">
      <c r="A60" s="3896" t="s">
        <v>267</v>
      </c>
      <c r="B60" s="4449">
        <f>'[23]факт шаблон стоки'!A31</f>
        <v>251.25</v>
      </c>
      <c r="C60" s="4450">
        <v>13.79</v>
      </c>
      <c r="D60" s="4451">
        <f>B60*C60/1000</f>
        <v>3.4647374999999996</v>
      </c>
    </row>
    <row r="61" spans="1:4">
      <c r="A61" s="3896" t="s">
        <v>268</v>
      </c>
      <c r="B61" s="4449">
        <f>'[23]факт шаблон стоки'!A32</f>
        <v>753.75</v>
      </c>
      <c r="C61" s="4450">
        <v>13.79</v>
      </c>
      <c r="D61" s="4451">
        <f t="shared" ref="D61:D71" si="3">B61*C61/1000</f>
        <v>10.3942125</v>
      </c>
    </row>
    <row r="62" spans="1:4">
      <c r="A62" s="3896" t="s">
        <v>269</v>
      </c>
      <c r="B62" s="4449">
        <f>'[23]факт шаблон стоки'!A33</f>
        <v>3772.71</v>
      </c>
      <c r="C62" s="4450">
        <v>13.79</v>
      </c>
      <c r="D62" s="4451">
        <f t="shared" si="3"/>
        <v>52.025670899999994</v>
      </c>
    </row>
    <row r="63" spans="1:4">
      <c r="A63" s="3896" t="s">
        <v>270</v>
      </c>
      <c r="B63" s="4449">
        <f>'[23]факт шаблон стоки'!A34</f>
        <v>524.5</v>
      </c>
      <c r="C63" s="4450">
        <v>13.79</v>
      </c>
      <c r="D63" s="4451">
        <f t="shared" si="3"/>
        <v>7.2328549999999998</v>
      </c>
    </row>
    <row r="64" spans="1:4">
      <c r="A64" s="3896" t="s">
        <v>271</v>
      </c>
      <c r="B64" s="4449">
        <f>'[23]факт шаблон стоки'!A35</f>
        <v>753.75</v>
      </c>
      <c r="C64" s="4450">
        <v>13.79</v>
      </c>
      <c r="D64" s="4451">
        <f t="shared" si="3"/>
        <v>10.3942125</v>
      </c>
    </row>
    <row r="65" spans="1:4">
      <c r="A65" s="3896" t="s">
        <v>272</v>
      </c>
      <c r="B65" s="4449">
        <f>'[23]факт шаблон стоки'!A36</f>
        <v>4175.71</v>
      </c>
      <c r="C65" s="4450">
        <v>13.79</v>
      </c>
      <c r="D65" s="4451">
        <f t="shared" si="3"/>
        <v>57.5830409</v>
      </c>
    </row>
    <row r="66" spans="1:4">
      <c r="A66" s="3896" t="s">
        <v>1226</v>
      </c>
      <c r="B66" s="4449">
        <f>'[23]факт шаблон стоки'!A37</f>
        <v>450</v>
      </c>
      <c r="C66" s="4450">
        <v>14.28</v>
      </c>
      <c r="D66" s="4451">
        <f t="shared" si="3"/>
        <v>6.4260000000000002</v>
      </c>
    </row>
    <row r="67" spans="1:4">
      <c r="A67" s="3896" t="s">
        <v>273</v>
      </c>
      <c r="B67" s="4449">
        <f>'[23]факт шаблон стоки'!A38</f>
        <v>585</v>
      </c>
      <c r="C67" s="4450">
        <v>14.28</v>
      </c>
      <c r="D67" s="4451">
        <f t="shared" si="3"/>
        <v>8.3537999999999997</v>
      </c>
    </row>
    <row r="68" spans="1:4">
      <c r="A68" s="3896" t="s">
        <v>1244</v>
      </c>
      <c r="B68" s="4449">
        <f>'[23]факт шаблон стоки'!A39</f>
        <v>4072.71</v>
      </c>
      <c r="C68" s="4450">
        <v>14.28</v>
      </c>
      <c r="D68" s="4451">
        <f t="shared" si="3"/>
        <v>58.158298799999997</v>
      </c>
    </row>
    <row r="69" spans="1:4">
      <c r="A69" s="3896" t="s">
        <v>274</v>
      </c>
      <c r="B69" s="4449">
        <f>'[23]факт шаблон стоки'!A40</f>
        <v>611.25</v>
      </c>
      <c r="C69" s="4450">
        <v>14.28</v>
      </c>
      <c r="D69" s="4451">
        <f t="shared" si="3"/>
        <v>8.72865</v>
      </c>
    </row>
    <row r="70" spans="1:4">
      <c r="A70" s="3896" t="s">
        <v>275</v>
      </c>
      <c r="B70" s="4449">
        <f>'[23]факт шаблон стоки'!A41</f>
        <v>810</v>
      </c>
      <c r="C70" s="4450">
        <v>14.28</v>
      </c>
      <c r="D70" s="4451">
        <f t="shared" si="3"/>
        <v>11.566799999999999</v>
      </c>
    </row>
    <row r="71" spans="1:4">
      <c r="A71" s="3896" t="s">
        <v>1335</v>
      </c>
      <c r="B71" s="4449">
        <f>'[23]факт шаблон стоки'!A42</f>
        <v>3885.21</v>
      </c>
      <c r="C71" s="4450">
        <v>14.28</v>
      </c>
      <c r="D71" s="4451">
        <f t="shared" si="3"/>
        <v>55.480798799999995</v>
      </c>
    </row>
    <row r="72" spans="1:4">
      <c r="A72" s="3896" t="s">
        <v>293</v>
      </c>
      <c r="B72" s="4452">
        <f>SUM(B60:B71)</f>
        <v>20645.84</v>
      </c>
      <c r="C72" s="4451">
        <f>D72/B72*1000</f>
        <v>14.03716569052167</v>
      </c>
      <c r="D72" s="4453">
        <f>SUM(D60:D71)</f>
        <v>289.80907689999992</v>
      </c>
    </row>
  </sheetData>
  <mergeCells count="5">
    <mergeCell ref="A9:D9"/>
    <mergeCell ref="A10:B10"/>
    <mergeCell ref="A26:B26"/>
    <mergeCell ref="A42:B42"/>
    <mergeCell ref="A58:B58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 enableFormatConditionsCalculation="0">
    <tabColor rgb="FFFF0000"/>
    <pageSetUpPr fitToPage="1"/>
  </sheetPr>
  <dimension ref="A1:AJ62"/>
  <sheetViews>
    <sheetView view="pageBreakPreview" zoomScale="50" zoomScaleNormal="62" zoomScaleSheetLayoutView="50" zoomScalePageLayoutView="90" workbookViewId="0">
      <pane xSplit="9" ySplit="38" topLeftCell="S39" activePane="bottomRight" state="frozen"/>
      <selection pane="topRight" activeCell="J1" sqref="J1"/>
      <selection pane="bottomLeft" activeCell="A38" sqref="A38"/>
      <selection pane="bottomRight" activeCell="AK61" sqref="AK61"/>
    </sheetView>
  </sheetViews>
  <sheetFormatPr defaultColWidth="15.140625" defaultRowHeight="12.75"/>
  <cols>
    <col min="1" max="1" width="45.5703125" customWidth="1"/>
    <col min="2" max="2" width="9.42578125" hidden="1" customWidth="1"/>
    <col min="3" max="3" width="8.85546875" hidden="1" customWidth="1"/>
    <col min="4" max="4" width="1.140625" hidden="1" customWidth="1"/>
    <col min="5" max="9" width="15.140625" hidden="1" customWidth="1"/>
    <col min="10" max="10" width="16.5703125" customWidth="1"/>
    <col min="11" max="12" width="15.140625" customWidth="1"/>
    <col min="13" max="13" width="12.28515625" hidden="1" customWidth="1"/>
    <col min="14" max="17" width="15.140625" hidden="1" customWidth="1"/>
    <col min="18" max="19" width="15.140625" customWidth="1"/>
    <col min="20" max="20" width="16.5703125" customWidth="1"/>
    <col min="21" max="22" width="15.28515625" customWidth="1"/>
    <col min="23" max="23" width="12.140625" hidden="1" customWidth="1"/>
    <col min="24" max="24" width="16.42578125" customWidth="1"/>
    <col min="25" max="26" width="15.140625" customWidth="1"/>
    <col min="27" max="28" width="15.140625" hidden="1" customWidth="1"/>
    <col min="29" max="29" width="15.140625" customWidth="1"/>
    <col min="30" max="36" width="17.7109375" customWidth="1"/>
  </cols>
  <sheetData>
    <row r="1" spans="1:36" ht="18.75" customHeight="1">
      <c r="A1" s="5108" t="s">
        <v>1524</v>
      </c>
      <c r="B1" s="5108"/>
      <c r="C1" s="5108"/>
      <c r="D1" s="5108"/>
      <c r="E1" s="5108"/>
      <c r="F1" s="5108"/>
      <c r="G1" s="5108"/>
      <c r="H1" s="5108"/>
      <c r="I1" s="5108"/>
      <c r="J1" s="5108"/>
      <c r="K1" s="5108"/>
      <c r="L1" s="5108"/>
      <c r="M1" s="5108"/>
      <c r="N1" s="5108"/>
      <c r="O1" s="5108"/>
      <c r="P1" s="5108"/>
      <c r="Q1" s="5108"/>
      <c r="R1" s="5108"/>
      <c r="S1" s="5108"/>
      <c r="T1" s="5108"/>
      <c r="U1" s="5108"/>
      <c r="V1" s="5108"/>
      <c r="W1" s="5108"/>
      <c r="X1" s="5108"/>
      <c r="Y1" s="5108"/>
      <c r="Z1" s="5108"/>
      <c r="AA1" s="5108"/>
      <c r="AB1" s="5108"/>
      <c r="AC1" s="5108"/>
      <c r="AD1" s="5108"/>
      <c r="AE1" s="5108"/>
      <c r="AF1" s="5108"/>
      <c r="AG1" s="5108"/>
      <c r="AH1" s="5108"/>
      <c r="AI1" s="4894"/>
      <c r="AJ1" s="4894"/>
    </row>
    <row r="2" spans="1:36" ht="39" customHeight="1">
      <c r="A2" s="5112" t="s">
        <v>1894</v>
      </c>
      <c r="B2" s="5134"/>
      <c r="C2" s="5134"/>
      <c r="D2" s="5134"/>
      <c r="E2" s="5134"/>
      <c r="F2" s="5134"/>
      <c r="G2" s="5134"/>
      <c r="H2" s="5134"/>
      <c r="I2" s="5134"/>
      <c r="J2" s="5134"/>
      <c r="K2" s="5134"/>
      <c r="L2" s="5134"/>
      <c r="M2" s="5134"/>
      <c r="N2" s="5134"/>
      <c r="O2" s="5134"/>
      <c r="P2" s="5134"/>
      <c r="Q2" s="5134"/>
      <c r="R2" s="5134"/>
      <c r="S2" s="5134"/>
      <c r="T2" s="5134"/>
      <c r="U2" s="5134"/>
      <c r="V2" s="5134"/>
      <c r="W2" s="5134"/>
      <c r="X2" s="5134"/>
      <c r="Y2" s="5134"/>
      <c r="Z2" s="5134"/>
      <c r="AA2" s="5134"/>
      <c r="AB2" s="5134"/>
      <c r="AC2" s="5134"/>
      <c r="AD2" s="5134"/>
      <c r="AE2" s="5134"/>
      <c r="AF2" s="5134"/>
      <c r="AG2" s="5134"/>
      <c r="AH2" s="5134"/>
      <c r="AI2" s="5134"/>
      <c r="AJ2" s="5134"/>
    </row>
    <row r="3" spans="1:36" ht="18.75" customHeight="1">
      <c r="A3" s="5112" t="s">
        <v>57</v>
      </c>
      <c r="B3" s="5112"/>
      <c r="C3" s="5112"/>
      <c r="D3" s="5112"/>
      <c r="E3" s="5112"/>
      <c r="F3" s="5112"/>
      <c r="G3" s="5112"/>
      <c r="H3" s="5112"/>
      <c r="I3" s="5112"/>
      <c r="J3" s="5112"/>
      <c r="K3" s="5112"/>
      <c r="L3" s="5112"/>
      <c r="M3" s="5112"/>
      <c r="N3" s="5112"/>
      <c r="O3" s="5112"/>
      <c r="P3" s="5112"/>
      <c r="Q3" s="5112"/>
      <c r="R3" s="5112"/>
      <c r="S3" s="5112"/>
      <c r="T3" s="5112"/>
      <c r="U3" s="5112"/>
      <c r="V3" s="5112"/>
      <c r="W3" s="5112"/>
      <c r="X3" s="5112"/>
      <c r="Y3" s="5112"/>
      <c r="Z3" s="5112"/>
      <c r="AA3" s="5113"/>
      <c r="AB3" s="5113"/>
      <c r="AC3" s="5113"/>
      <c r="AD3" s="5113"/>
      <c r="AE3" s="5113"/>
      <c r="AF3" s="5113"/>
      <c r="AG3" s="5113"/>
      <c r="AH3" s="5113"/>
      <c r="AI3" s="4894"/>
      <c r="AJ3" s="4894"/>
    </row>
    <row r="4" spans="1:36" ht="18.75" customHeight="1">
      <c r="A4" s="5109" t="s">
        <v>19</v>
      </c>
      <c r="B4" s="5110"/>
      <c r="C4" s="5110"/>
      <c r="D4" s="5110"/>
      <c r="E4" s="5110"/>
      <c r="F4" s="5110"/>
      <c r="G4" s="5110"/>
      <c r="H4" s="5110"/>
      <c r="I4" s="5110"/>
      <c r="J4" s="5110"/>
      <c r="K4" s="5110"/>
      <c r="L4" s="5110"/>
      <c r="M4" s="5110"/>
      <c r="N4" s="5110"/>
      <c r="O4" s="5110"/>
      <c r="P4" s="5110"/>
      <c r="Q4" s="5110"/>
      <c r="R4" s="5110"/>
      <c r="S4" s="5110"/>
      <c r="T4" s="5110"/>
      <c r="U4" s="5110"/>
      <c r="V4" s="5110"/>
      <c r="W4" s="5110"/>
      <c r="X4" s="5110"/>
      <c r="Y4" s="5110"/>
      <c r="Z4" s="5110"/>
      <c r="AA4" s="5111"/>
      <c r="AB4" s="5111"/>
      <c r="AC4" s="5111"/>
      <c r="AD4" s="5111"/>
      <c r="AE4" s="5111"/>
      <c r="AF4" s="5111"/>
      <c r="AG4" s="5111"/>
      <c r="AH4" s="5111"/>
      <c r="AI4" s="4894"/>
      <c r="AJ4" s="4894"/>
    </row>
    <row r="5" spans="1:36" ht="12.75" hidden="1" customHeight="1">
      <c r="A5" s="5076"/>
      <c r="B5" s="5074" t="s">
        <v>58</v>
      </c>
      <c r="C5" s="5071" t="s">
        <v>59</v>
      </c>
      <c r="D5" s="5073"/>
      <c r="E5" s="2699" t="s">
        <v>67</v>
      </c>
      <c r="F5" s="5071" t="s">
        <v>95</v>
      </c>
      <c r="G5" s="5073"/>
      <c r="H5" s="5071" t="s">
        <v>124</v>
      </c>
      <c r="I5" s="5072"/>
      <c r="J5" s="5073"/>
      <c r="K5" s="5135" t="s">
        <v>162</v>
      </c>
      <c r="L5" s="5136"/>
      <c r="M5" s="5136"/>
      <c r="N5" s="5136"/>
      <c r="O5" s="5136"/>
      <c r="P5" s="5136"/>
      <c r="Q5" s="5136"/>
      <c r="R5" s="5136"/>
      <c r="S5" s="5136"/>
      <c r="T5" s="5136"/>
      <c r="U5" s="5136"/>
      <c r="V5" s="5136"/>
      <c r="W5" s="5136"/>
      <c r="X5" s="5136"/>
      <c r="Y5" s="5136"/>
      <c r="Z5" s="5136"/>
      <c r="AA5" s="5137"/>
    </row>
    <row r="6" spans="1:36" ht="12.75" hidden="1" customHeight="1">
      <c r="A6" s="5076"/>
      <c r="B6" s="5074"/>
      <c r="C6" s="5059" t="s">
        <v>61</v>
      </c>
      <c r="D6" s="5088" t="s">
        <v>62</v>
      </c>
      <c r="E6" s="5059" t="s">
        <v>61</v>
      </c>
      <c r="F6" s="5059" t="s">
        <v>61</v>
      </c>
      <c r="G6" s="5088" t="s">
        <v>112</v>
      </c>
      <c r="H6" s="5059" t="s">
        <v>60</v>
      </c>
      <c r="I6" s="764"/>
      <c r="J6" s="5088" t="s">
        <v>110</v>
      </c>
      <c r="K6" s="5059" t="s">
        <v>96</v>
      </c>
      <c r="L6" s="1569"/>
      <c r="M6" s="373"/>
      <c r="N6" s="764"/>
      <c r="O6" s="1799"/>
      <c r="P6" s="1935"/>
      <c r="Q6" s="764"/>
      <c r="R6" s="2673"/>
      <c r="S6" s="2673"/>
      <c r="T6" s="764"/>
      <c r="U6" s="764"/>
      <c r="V6" s="1562"/>
      <c r="W6" s="764"/>
      <c r="X6" s="2386"/>
      <c r="Y6" s="2386"/>
      <c r="Z6" s="2386"/>
      <c r="AA6" s="5088" t="s">
        <v>61</v>
      </c>
    </row>
    <row r="7" spans="1:36" ht="12.75" hidden="1" customHeight="1">
      <c r="A7" s="5076"/>
      <c r="B7" s="5074"/>
      <c r="C7" s="5060"/>
      <c r="D7" s="5089"/>
      <c r="E7" s="5060"/>
      <c r="F7" s="5060"/>
      <c r="G7" s="5089"/>
      <c r="H7" s="5060"/>
      <c r="I7" s="675"/>
      <c r="J7" s="5089"/>
      <c r="K7" s="5060"/>
      <c r="L7" s="1570"/>
      <c r="M7" s="374"/>
      <c r="N7" s="675"/>
      <c r="O7" s="1792"/>
      <c r="P7" s="1933"/>
      <c r="Q7" s="675"/>
      <c r="R7" s="2630"/>
      <c r="S7" s="2630"/>
      <c r="T7" s="675"/>
      <c r="U7" s="675"/>
      <c r="V7" s="1536"/>
      <c r="W7" s="675"/>
      <c r="X7" s="2176"/>
      <c r="Y7" s="2176"/>
      <c r="Z7" s="2176"/>
      <c r="AA7" s="5089"/>
    </row>
    <row r="8" spans="1:36" ht="13.5" hidden="1" customHeight="1" thickBot="1">
      <c r="A8" s="5077"/>
      <c r="B8" s="5075"/>
      <c r="C8" s="5061"/>
      <c r="D8" s="5090"/>
      <c r="E8" s="5061"/>
      <c r="F8" s="5061"/>
      <c r="G8" s="5090"/>
      <c r="H8" s="5061"/>
      <c r="I8" s="676"/>
      <c r="J8" s="5090"/>
      <c r="K8" s="5061"/>
      <c r="L8" s="1571"/>
      <c r="M8" s="277"/>
      <c r="N8" s="676"/>
      <c r="O8" s="1793"/>
      <c r="P8" s="1934"/>
      <c r="Q8" s="676"/>
      <c r="R8" s="2631"/>
      <c r="S8" s="2631"/>
      <c r="T8" s="676"/>
      <c r="U8" s="676"/>
      <c r="V8" s="1537"/>
      <c r="W8" s="676"/>
      <c r="X8" s="2177"/>
      <c r="Y8" s="2177"/>
      <c r="Z8" s="2177"/>
      <c r="AA8" s="5090"/>
    </row>
    <row r="9" spans="1:36" ht="13.5" hidden="1" customHeight="1" thickBot="1">
      <c r="A9" s="5123" t="s">
        <v>46</v>
      </c>
      <c r="B9" s="5124"/>
      <c r="C9" s="5124"/>
      <c r="D9" s="5124"/>
      <c r="E9" s="5124"/>
      <c r="F9" s="5124"/>
      <c r="G9" s="5124"/>
      <c r="H9" s="5124"/>
      <c r="I9" s="5124"/>
      <c r="J9" s="5124"/>
      <c r="K9" s="5124"/>
      <c r="L9" s="5124"/>
      <c r="M9" s="5124"/>
      <c r="N9" s="5124"/>
      <c r="O9" s="5124"/>
      <c r="P9" s="5124"/>
      <c r="Q9" s="5124"/>
      <c r="R9" s="5124"/>
      <c r="S9" s="5124"/>
      <c r="T9" s="5124"/>
      <c r="U9" s="5124"/>
      <c r="V9" s="5124"/>
      <c r="W9" s="5124"/>
      <c r="X9" s="5124"/>
      <c r="Y9" s="5124"/>
      <c r="Z9" s="5124"/>
      <c r="AA9" s="5125"/>
    </row>
    <row r="10" spans="1:36" ht="12.75" hidden="1" customHeight="1">
      <c r="A10" s="32" t="s">
        <v>18</v>
      </c>
      <c r="B10" s="36">
        <f>B11+B13</f>
        <v>10513.699999999999</v>
      </c>
      <c r="C10" s="41">
        <f>C11+C13</f>
        <v>8838.9000000000015</v>
      </c>
      <c r="D10" s="42">
        <f>C10/B10*100</f>
        <v>84.07030826445498</v>
      </c>
      <c r="E10" s="41">
        <f>E11+E12+E13</f>
        <v>8862.9</v>
      </c>
      <c r="F10" s="40">
        <f>F11+F12+F13</f>
        <v>8372.9</v>
      </c>
      <c r="G10" s="42">
        <f>F10/E10*100</f>
        <v>94.471335567365088</v>
      </c>
      <c r="H10" s="114">
        <f>SUM(H11:H13)</f>
        <v>6659.1</v>
      </c>
      <c r="I10" s="41"/>
      <c r="J10" s="41">
        <f>J11+J12+J13</f>
        <v>6666.9000000000005</v>
      </c>
      <c r="K10" s="40">
        <f>K11+K13</f>
        <v>6659.1</v>
      </c>
      <c r="L10" s="114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176">
        <f>AA11+AA13</f>
        <v>7835.7</v>
      </c>
    </row>
    <row r="11" spans="1:36" ht="12.75" hidden="1" customHeight="1">
      <c r="A11" s="33" t="s">
        <v>20</v>
      </c>
      <c r="B11" s="37">
        <v>744.9</v>
      </c>
      <c r="C11" s="4">
        <v>643.70000000000005</v>
      </c>
      <c r="D11" s="44">
        <f>C11/B11*100</f>
        <v>86.414283796482763</v>
      </c>
      <c r="E11" s="4">
        <v>811.9</v>
      </c>
      <c r="F11" s="43">
        <v>876.4</v>
      </c>
      <c r="G11" s="44">
        <f>F11/E11*100</f>
        <v>107.9443281192265</v>
      </c>
      <c r="H11" s="112">
        <v>841.6</v>
      </c>
      <c r="I11" s="765"/>
      <c r="J11" s="11">
        <v>580.70000000000005</v>
      </c>
      <c r="K11" s="43">
        <v>876</v>
      </c>
      <c r="L11" s="1572"/>
      <c r="M11" s="6"/>
      <c r="N11" s="769"/>
      <c r="O11" s="1800"/>
      <c r="P11" s="1936"/>
      <c r="Q11" s="769"/>
      <c r="R11" s="2674"/>
      <c r="S11" s="2674"/>
      <c r="T11" s="769"/>
      <c r="U11" s="769"/>
      <c r="V11" s="1563"/>
      <c r="W11" s="769"/>
      <c r="X11" s="2382"/>
      <c r="Y11" s="2382"/>
      <c r="Z11" s="2382"/>
      <c r="AA11" s="281">
        <f>7835.7-4227.7-2796.3</f>
        <v>811.69999999999982</v>
      </c>
    </row>
    <row r="12" spans="1:36" ht="12.75" hidden="1" customHeight="1">
      <c r="A12" s="54" t="s">
        <v>113</v>
      </c>
      <c r="B12" s="31"/>
      <c r="C12" s="2"/>
      <c r="D12" s="46"/>
      <c r="E12" s="2">
        <v>54.2</v>
      </c>
      <c r="F12" s="55">
        <v>0</v>
      </c>
      <c r="G12" s="44">
        <f>F12/E12*100</f>
        <v>0</v>
      </c>
      <c r="H12" s="111">
        <v>22.5</v>
      </c>
      <c r="I12" s="766"/>
      <c r="J12" s="30"/>
      <c r="K12" s="55"/>
      <c r="L12" s="1573"/>
      <c r="M12" s="6"/>
      <c r="N12" s="769"/>
      <c r="O12" s="1800"/>
      <c r="P12" s="1936"/>
      <c r="Q12" s="769"/>
      <c r="R12" s="2674"/>
      <c r="S12" s="2674"/>
      <c r="T12" s="769"/>
      <c r="U12" s="769"/>
      <c r="V12" s="1563"/>
      <c r="W12" s="769"/>
      <c r="X12" s="2382"/>
      <c r="Y12" s="2382"/>
      <c r="Z12" s="2382"/>
      <c r="AA12" s="177"/>
    </row>
    <row r="13" spans="1:36" ht="12.75" hidden="1" customHeight="1">
      <c r="A13" s="33" t="s">
        <v>21</v>
      </c>
      <c r="B13" s="37">
        <f>B14+B16</f>
        <v>9768.7999999999993</v>
      </c>
      <c r="C13" s="4">
        <f>C14+C16</f>
        <v>8195.2000000000007</v>
      </c>
      <c r="D13" s="44">
        <f>C13/B13*100</f>
        <v>83.891573171730414</v>
      </c>
      <c r="E13" s="4">
        <f>E14+E16</f>
        <v>7996.7999999999993</v>
      </c>
      <c r="F13" s="43">
        <f>F14+F16</f>
        <v>7496.5</v>
      </c>
      <c r="G13" s="44">
        <f>F13/E13*100</f>
        <v>93.74374749899961</v>
      </c>
      <c r="H13" s="112">
        <f>H14+H16</f>
        <v>5795</v>
      </c>
      <c r="I13" s="767"/>
      <c r="J13" s="4">
        <f>J14+J16</f>
        <v>6086.2000000000007</v>
      </c>
      <c r="K13" s="43">
        <f>K14+K16</f>
        <v>5783.1</v>
      </c>
      <c r="L13" s="1572"/>
      <c r="M13" s="6"/>
      <c r="N13" s="769"/>
      <c r="O13" s="1800"/>
      <c r="P13" s="1936"/>
      <c r="Q13" s="769"/>
      <c r="R13" s="2674"/>
      <c r="S13" s="2674"/>
      <c r="T13" s="769"/>
      <c r="U13" s="769"/>
      <c r="V13" s="1563"/>
      <c r="W13" s="769"/>
      <c r="X13" s="2382"/>
      <c r="Y13" s="2382"/>
      <c r="Z13" s="2382"/>
      <c r="AA13" s="258">
        <f>AA14+AA16</f>
        <v>7024</v>
      </c>
    </row>
    <row r="14" spans="1:36" ht="12.75" hidden="1" customHeight="1">
      <c r="A14" s="33" t="s">
        <v>51</v>
      </c>
      <c r="B14" s="37">
        <v>4444.8999999999996</v>
      </c>
      <c r="C14" s="4">
        <v>3172</v>
      </c>
      <c r="D14" s="44">
        <f>C14/B14*100</f>
        <v>71.36268532475421</v>
      </c>
      <c r="E14" s="4">
        <v>3094</v>
      </c>
      <c r="F14" s="43">
        <v>2972.2</v>
      </c>
      <c r="G14" s="44">
        <f>F14/E14*100</f>
        <v>96.063348416289585</v>
      </c>
      <c r="H14" s="112">
        <v>1150</v>
      </c>
      <c r="I14" s="765"/>
      <c r="J14" s="11">
        <v>2822.4</v>
      </c>
      <c r="K14" s="43">
        <v>1683.1</v>
      </c>
      <c r="L14" s="1572"/>
      <c r="M14" s="6"/>
      <c r="N14" s="769"/>
      <c r="O14" s="1800"/>
      <c r="P14" s="1936"/>
      <c r="Q14" s="769"/>
      <c r="R14" s="2674"/>
      <c r="S14" s="2674"/>
      <c r="T14" s="769"/>
      <c r="U14" s="769"/>
      <c r="V14" s="1563"/>
      <c r="W14" s="769"/>
      <c r="X14" s="2382"/>
      <c r="Y14" s="2382"/>
      <c r="Z14" s="2382"/>
      <c r="AA14" s="177">
        <v>2796.3</v>
      </c>
    </row>
    <row r="15" spans="1:36" ht="27.75" hidden="1" customHeight="1">
      <c r="A15" s="34" t="s">
        <v>117</v>
      </c>
      <c r="B15" s="38">
        <f>B14/B13*100</f>
        <v>45.500982720497909</v>
      </c>
      <c r="C15" s="29">
        <f>C14/C13*100</f>
        <v>38.705583756345177</v>
      </c>
      <c r="D15" s="46">
        <f>C15/B15*100</f>
        <v>85.065379783343786</v>
      </c>
      <c r="E15" s="29">
        <f>E14/E13*100</f>
        <v>38.69047619047619</v>
      </c>
      <c r="F15" s="45">
        <f>F14/F13*100</f>
        <v>39.647835656639764</v>
      </c>
      <c r="G15" s="44"/>
      <c r="H15" s="117">
        <f>H14/H13*100</f>
        <v>19.844693701466781</v>
      </c>
      <c r="I15" s="766"/>
      <c r="J15" s="30">
        <f>J14/J13*100</f>
        <v>46.373763596332687</v>
      </c>
      <c r="K15" s="45">
        <f>K14/K13*100</f>
        <v>29.103767875360965</v>
      </c>
      <c r="L15" s="1574"/>
      <c r="M15" s="6"/>
      <c r="N15" s="769"/>
      <c r="O15" s="1800"/>
      <c r="P15" s="1936"/>
      <c r="Q15" s="769"/>
      <c r="R15" s="2674"/>
      <c r="S15" s="2674"/>
      <c r="T15" s="769"/>
      <c r="U15" s="769"/>
      <c r="V15" s="1563"/>
      <c r="W15" s="769"/>
      <c r="X15" s="2382"/>
      <c r="Y15" s="2382"/>
      <c r="Z15" s="2382"/>
      <c r="AA15" s="259">
        <f>AA14/AA13*100</f>
        <v>39.810649202733487</v>
      </c>
    </row>
    <row r="16" spans="1:36" ht="12.75" hidden="1" customHeight="1">
      <c r="A16" s="33" t="s">
        <v>22</v>
      </c>
      <c r="B16" s="37">
        <f>SUM(B18:B20)</f>
        <v>5323.9</v>
      </c>
      <c r="C16" s="4">
        <f>SUM(C18:C20)</f>
        <v>5023.2000000000007</v>
      </c>
      <c r="D16" s="44">
        <f>C16/B16*100</f>
        <v>94.351884896410539</v>
      </c>
      <c r="E16" s="4">
        <f>SUM(E18:E20)</f>
        <v>4902.7999999999993</v>
      </c>
      <c r="F16" s="43">
        <f>SUM(F18:F20)</f>
        <v>4524.3</v>
      </c>
      <c r="G16" s="44">
        <f>F16/E16*100</f>
        <v>92.279921677408851</v>
      </c>
      <c r="H16" s="112">
        <f>SUM(H18:H20)</f>
        <v>4645</v>
      </c>
      <c r="I16" s="767"/>
      <c r="J16" s="4">
        <f>SUM(J18:J20)</f>
        <v>3263.8</v>
      </c>
      <c r="K16" s="43">
        <f>SUM(K18:K20)</f>
        <v>4100</v>
      </c>
      <c r="L16" s="1572"/>
      <c r="M16" s="6"/>
      <c r="N16" s="769"/>
      <c r="O16" s="1800"/>
      <c r="P16" s="1936"/>
      <c r="Q16" s="769"/>
      <c r="R16" s="2674"/>
      <c r="S16" s="2674"/>
      <c r="T16" s="769"/>
      <c r="U16" s="769"/>
      <c r="V16" s="1563"/>
      <c r="W16" s="769"/>
      <c r="X16" s="2382"/>
      <c r="Y16" s="2382"/>
      <c r="Z16" s="2382"/>
      <c r="AA16" s="258">
        <f>SUM(AA18:AA20)</f>
        <v>4227.7</v>
      </c>
    </row>
    <row r="17" spans="1:27" ht="12.75" hidden="1" customHeight="1">
      <c r="A17" s="33" t="s">
        <v>50</v>
      </c>
      <c r="B17" s="37"/>
      <c r="C17" s="4"/>
      <c r="D17" s="44"/>
      <c r="E17" s="4"/>
      <c r="F17" s="43"/>
      <c r="G17" s="44"/>
      <c r="H17" s="112"/>
      <c r="I17" s="765"/>
      <c r="J17" s="6"/>
      <c r="K17" s="43"/>
      <c r="L17" s="1572"/>
      <c r="M17" s="6"/>
      <c r="N17" s="769"/>
      <c r="O17" s="1800"/>
      <c r="P17" s="1936"/>
      <c r="Q17" s="769"/>
      <c r="R17" s="2674"/>
      <c r="S17" s="2674"/>
      <c r="T17" s="769"/>
      <c r="U17" s="769"/>
      <c r="V17" s="1563"/>
      <c r="W17" s="769"/>
      <c r="X17" s="2382"/>
      <c r="Y17" s="2382"/>
      <c r="Z17" s="2382"/>
      <c r="AA17" s="177"/>
    </row>
    <row r="18" spans="1:27" ht="12.75" hidden="1" customHeight="1">
      <c r="A18" s="33" t="s">
        <v>24</v>
      </c>
      <c r="B18" s="37">
        <v>3682.8</v>
      </c>
      <c r="C18" s="4">
        <v>3570.3</v>
      </c>
      <c r="D18" s="44">
        <f>C18/B18*100</f>
        <v>96.945259042033243</v>
      </c>
      <c r="E18" s="4">
        <v>3407.1</v>
      </c>
      <c r="F18" s="43">
        <v>3159.6</v>
      </c>
      <c r="G18" s="44">
        <f>F18/E18*100</f>
        <v>92.735757682486579</v>
      </c>
      <c r="H18" s="112">
        <v>3192</v>
      </c>
      <c r="I18" s="765"/>
      <c r="J18" s="11">
        <v>2288.1</v>
      </c>
      <c r="K18" s="43">
        <v>2860</v>
      </c>
      <c r="L18" s="1572"/>
      <c r="M18" s="6"/>
      <c r="N18" s="769"/>
      <c r="O18" s="1800"/>
      <c r="P18" s="1936"/>
      <c r="Q18" s="769"/>
      <c r="R18" s="2674"/>
      <c r="S18" s="2674"/>
      <c r="T18" s="769"/>
      <c r="U18" s="769"/>
      <c r="V18" s="1563"/>
      <c r="W18" s="769"/>
      <c r="X18" s="2382"/>
      <c r="Y18" s="2382"/>
      <c r="Z18" s="2382"/>
      <c r="AA18" s="177">
        <v>2975.5</v>
      </c>
    </row>
    <row r="19" spans="1:27" ht="12.75" hidden="1" customHeight="1">
      <c r="A19" s="33" t="s">
        <v>25</v>
      </c>
      <c r="B19" s="37">
        <v>129.69999999999999</v>
      </c>
      <c r="C19" s="4">
        <v>59.4</v>
      </c>
      <c r="D19" s="44">
        <f>C19/B19*100</f>
        <v>45.797995373939862</v>
      </c>
      <c r="E19" s="4">
        <v>46.1</v>
      </c>
      <c r="F19" s="43">
        <v>54.9</v>
      </c>
      <c r="G19" s="44">
        <f>F19/E19*100</f>
        <v>119.08893709327548</v>
      </c>
      <c r="H19" s="112">
        <v>59</v>
      </c>
      <c r="I19" s="765"/>
      <c r="J19" s="11">
        <v>36.799999999999997</v>
      </c>
      <c r="K19" s="43">
        <v>55</v>
      </c>
      <c r="L19" s="1572"/>
      <c r="M19" s="6"/>
      <c r="N19" s="769"/>
      <c r="O19" s="1800"/>
      <c r="P19" s="1936"/>
      <c r="Q19" s="769"/>
      <c r="R19" s="2674"/>
      <c r="S19" s="2674"/>
      <c r="T19" s="769"/>
      <c r="U19" s="769"/>
      <c r="V19" s="1563"/>
      <c r="W19" s="769"/>
      <c r="X19" s="2382"/>
      <c r="Y19" s="2382"/>
      <c r="Z19" s="2382"/>
      <c r="AA19" s="177">
        <v>46</v>
      </c>
    </row>
    <row r="20" spans="1:27" ht="13.5" hidden="1" customHeight="1" thickBot="1">
      <c r="A20" s="35" t="s">
        <v>26</v>
      </c>
      <c r="B20" s="39">
        <v>1511.4</v>
      </c>
      <c r="C20" s="48">
        <v>1393.5</v>
      </c>
      <c r="D20" s="49">
        <f>C20/B20*100</f>
        <v>92.199285430726476</v>
      </c>
      <c r="E20" s="48">
        <v>1449.6</v>
      </c>
      <c r="F20" s="51">
        <v>1309.8</v>
      </c>
      <c r="G20" s="118">
        <f>F20/E20*100</f>
        <v>90.355960264900673</v>
      </c>
      <c r="H20" s="116">
        <v>1394</v>
      </c>
      <c r="I20" s="50"/>
      <c r="J20" s="50">
        <v>938.9</v>
      </c>
      <c r="K20" s="47">
        <v>1185</v>
      </c>
      <c r="L20" s="1575"/>
      <c r="M20" s="52"/>
      <c r="N20" s="52"/>
      <c r="O20" s="1564"/>
      <c r="P20" s="1937"/>
      <c r="Q20" s="52"/>
      <c r="R20" s="2675"/>
      <c r="S20" s="2675"/>
      <c r="T20" s="52"/>
      <c r="U20" s="52"/>
      <c r="V20" s="1564"/>
      <c r="W20" s="52"/>
      <c r="X20" s="1937"/>
      <c r="Y20" s="1937"/>
      <c r="Z20" s="1937"/>
      <c r="AA20" s="178">
        <v>1206.2</v>
      </c>
    </row>
    <row r="21" spans="1:27" ht="13.5" hidden="1" customHeight="1" thickBot="1">
      <c r="A21" s="5131" t="s">
        <v>47</v>
      </c>
      <c r="B21" s="5132"/>
      <c r="C21" s="5132"/>
      <c r="D21" s="5132"/>
      <c r="E21" s="5132"/>
      <c r="F21" s="5132"/>
      <c r="G21" s="5132"/>
      <c r="H21" s="5132"/>
      <c r="I21" s="5132"/>
      <c r="J21" s="5132"/>
      <c r="K21" s="5132"/>
      <c r="L21" s="5132"/>
      <c r="M21" s="5132"/>
      <c r="N21" s="5132"/>
      <c r="O21" s="5132"/>
      <c r="P21" s="5132"/>
      <c r="Q21" s="5132"/>
      <c r="R21" s="5132"/>
      <c r="S21" s="5132"/>
      <c r="T21" s="5132"/>
      <c r="U21" s="5132"/>
      <c r="V21" s="5132"/>
      <c r="W21" s="5132"/>
      <c r="X21" s="5132"/>
      <c r="Y21" s="5132"/>
      <c r="Z21" s="5132"/>
      <c r="AA21" s="5133"/>
    </row>
    <row r="22" spans="1:27" ht="12.75" hidden="1" customHeight="1">
      <c r="A22" s="149" t="s">
        <v>122</v>
      </c>
      <c r="B22" s="150">
        <f>SUM(B24:B27)</f>
        <v>4738.2</v>
      </c>
      <c r="C22" s="146">
        <f>SUM(C24:C27)</f>
        <v>4585.8</v>
      </c>
      <c r="D22" s="151">
        <f>C22/B22*100</f>
        <v>96.783588704571372</v>
      </c>
      <c r="E22" s="150">
        <f>SUM(E24:E27)</f>
        <v>4415.2</v>
      </c>
      <c r="F22" s="153">
        <f>SUM(F24:F27)</f>
        <v>4093.2000000000003</v>
      </c>
      <c r="G22" s="154">
        <f>F22/E22*100</f>
        <v>92.707012139880419</v>
      </c>
      <c r="H22" s="115">
        <f>SUM(H24:H27)</f>
        <v>4224.5</v>
      </c>
      <c r="I22" s="146"/>
      <c r="J22" s="146">
        <f>SUM(J24:J27)</f>
        <v>2958.3</v>
      </c>
      <c r="K22" s="40">
        <f>SUM(K24:K27)</f>
        <v>3695</v>
      </c>
      <c r="L22" s="114"/>
      <c r="M22" s="53"/>
      <c r="N22" s="53"/>
      <c r="O22" s="53"/>
      <c r="P22" s="53"/>
      <c r="Q22" s="53"/>
      <c r="R22" s="53"/>
      <c r="S22" s="53"/>
      <c r="T22" s="53"/>
      <c r="U22" s="53"/>
      <c r="V22" s="53"/>
      <c r="W22" s="53"/>
      <c r="X22" s="53"/>
      <c r="Y22" s="53"/>
      <c r="Z22" s="53"/>
      <c r="AA22" s="260">
        <f>SUM(AA24:AA27)</f>
        <v>3805.3</v>
      </c>
    </row>
    <row r="23" spans="1:27" ht="12.75" hidden="1" customHeight="1">
      <c r="A23" s="33" t="s">
        <v>23</v>
      </c>
      <c r="B23" s="37"/>
      <c r="C23" s="4"/>
      <c r="D23" s="107"/>
      <c r="E23" s="37"/>
      <c r="F23" s="119"/>
      <c r="G23" s="44"/>
      <c r="H23" s="112"/>
      <c r="I23" s="765"/>
      <c r="J23" s="6"/>
      <c r="K23" s="43"/>
      <c r="L23" s="1572"/>
      <c r="M23" s="6"/>
      <c r="N23" s="769"/>
      <c r="O23" s="1800"/>
      <c r="P23" s="1936"/>
      <c r="Q23" s="769"/>
      <c r="R23" s="2674"/>
      <c r="S23" s="2674"/>
      <c r="T23" s="769"/>
      <c r="U23" s="769"/>
      <c r="V23" s="1563"/>
      <c r="W23" s="769"/>
      <c r="X23" s="2382"/>
      <c r="Y23" s="2382"/>
      <c r="Z23" s="2382"/>
      <c r="AA23" s="261"/>
    </row>
    <row r="24" spans="1:27" ht="12.75" hidden="1" customHeight="1">
      <c r="A24" s="33" t="s">
        <v>27</v>
      </c>
      <c r="B24" s="37">
        <v>3483.6</v>
      </c>
      <c r="C24" s="4">
        <v>3439.8</v>
      </c>
      <c r="D24" s="107">
        <f>C24/B24*100</f>
        <v>98.742679986221162</v>
      </c>
      <c r="E24" s="37">
        <v>3278.3</v>
      </c>
      <c r="F24" s="120">
        <v>3032.3</v>
      </c>
      <c r="G24" s="44">
        <f>F24/E24*100</f>
        <v>92.496110789128522</v>
      </c>
      <c r="H24" s="112">
        <v>3064.5</v>
      </c>
      <c r="I24" s="765"/>
      <c r="J24" s="11">
        <v>2188.8000000000002</v>
      </c>
      <c r="K24" s="43">
        <v>2632</v>
      </c>
      <c r="L24" s="1572"/>
      <c r="M24" s="6"/>
      <c r="N24" s="769"/>
      <c r="O24" s="1800"/>
      <c r="P24" s="1936"/>
      <c r="Q24" s="769"/>
      <c r="R24" s="2674"/>
      <c r="S24" s="2674"/>
      <c r="T24" s="769"/>
      <c r="U24" s="769"/>
      <c r="V24" s="1563"/>
      <c r="W24" s="769"/>
      <c r="X24" s="2382"/>
      <c r="Y24" s="2382"/>
      <c r="Z24" s="2382"/>
      <c r="AA24" s="261">
        <v>2735</v>
      </c>
    </row>
    <row r="25" spans="1:27" ht="12.75" hidden="1" customHeight="1">
      <c r="A25" s="33" t="s">
        <v>28</v>
      </c>
      <c r="B25" s="37">
        <v>293.89999999999998</v>
      </c>
      <c r="C25" s="4">
        <v>272.2</v>
      </c>
      <c r="D25" s="107">
        <f>C25/B25*100</f>
        <v>92.61653623681525</v>
      </c>
      <c r="E25" s="37">
        <v>252.6</v>
      </c>
      <c r="F25" s="120"/>
      <c r="G25" s="44">
        <f>F25/E25*100</f>
        <v>0</v>
      </c>
      <c r="H25" s="112"/>
      <c r="I25" s="765"/>
      <c r="J25" s="11"/>
      <c r="K25" s="43"/>
      <c r="L25" s="1572"/>
      <c r="M25" s="6"/>
      <c r="N25" s="769"/>
      <c r="O25" s="1800"/>
      <c r="P25" s="1936"/>
      <c r="Q25" s="769"/>
      <c r="R25" s="2674"/>
      <c r="S25" s="2674"/>
      <c r="T25" s="769"/>
      <c r="U25" s="769"/>
      <c r="V25" s="1563"/>
      <c r="W25" s="769"/>
      <c r="X25" s="2382"/>
      <c r="Y25" s="2382"/>
      <c r="Z25" s="2382"/>
      <c r="AA25" s="261"/>
    </row>
    <row r="26" spans="1:27" ht="12.75" hidden="1" customHeight="1">
      <c r="A26" s="33" t="s">
        <v>29</v>
      </c>
      <c r="B26" s="37">
        <v>932.3</v>
      </c>
      <c r="C26" s="4">
        <v>845.1</v>
      </c>
      <c r="D26" s="107">
        <f>C26/B26*100</f>
        <v>90.646787514748482</v>
      </c>
      <c r="E26" s="37">
        <v>855.5</v>
      </c>
      <c r="F26" s="120">
        <v>1034.5</v>
      </c>
      <c r="G26" s="44">
        <f>F26/E26*100</f>
        <v>120.92343658679134</v>
      </c>
      <c r="H26" s="115">
        <v>1132</v>
      </c>
      <c r="I26" s="765"/>
      <c r="J26" s="11">
        <v>755.4</v>
      </c>
      <c r="K26" s="43">
        <v>1035</v>
      </c>
      <c r="L26" s="1572"/>
      <c r="M26" s="6"/>
      <c r="N26" s="769"/>
      <c r="O26" s="1800"/>
      <c r="P26" s="1936"/>
      <c r="Q26" s="769"/>
      <c r="R26" s="2674"/>
      <c r="S26" s="2674"/>
      <c r="T26" s="769"/>
      <c r="U26" s="769"/>
      <c r="V26" s="1563"/>
      <c r="W26" s="769"/>
      <c r="X26" s="2382"/>
      <c r="Y26" s="2382"/>
      <c r="Z26" s="2382"/>
      <c r="AA26" s="261">
        <f>449.5+407.8+92.5+92.5</f>
        <v>1042.3</v>
      </c>
    </row>
    <row r="27" spans="1:27" ht="13.5" hidden="1" customHeight="1" thickBot="1">
      <c r="A27" s="35" t="s">
        <v>68</v>
      </c>
      <c r="B27" s="39">
        <v>28.4</v>
      </c>
      <c r="C27" s="48">
        <v>28.7</v>
      </c>
      <c r="D27" s="113">
        <f>C27/B27*100</f>
        <v>101.05633802816902</v>
      </c>
      <c r="E27" s="39">
        <v>28.8</v>
      </c>
      <c r="F27" s="121">
        <v>26.4</v>
      </c>
      <c r="G27" s="49">
        <f>F27/E27*100</f>
        <v>91.666666666666657</v>
      </c>
      <c r="H27" s="116">
        <v>28</v>
      </c>
      <c r="I27" s="50"/>
      <c r="J27" s="50">
        <v>14.1</v>
      </c>
      <c r="K27" s="47">
        <v>28</v>
      </c>
      <c r="L27" s="1575"/>
      <c r="M27" s="52"/>
      <c r="N27" s="52"/>
      <c r="O27" s="1564"/>
      <c r="P27" s="1937"/>
      <c r="Q27" s="52"/>
      <c r="R27" s="2675"/>
      <c r="S27" s="2675"/>
      <c r="T27" s="52"/>
      <c r="U27" s="52"/>
      <c r="V27" s="1564"/>
      <c r="W27" s="52"/>
      <c r="X27" s="1937"/>
      <c r="Y27" s="1937"/>
      <c r="Z27" s="1937"/>
      <c r="AA27" s="262">
        <v>28</v>
      </c>
    </row>
    <row r="28" spans="1:27" ht="12.75" hidden="1" customHeight="1">
      <c r="A28" s="241" t="s">
        <v>368</v>
      </c>
      <c r="E28" s="162">
        <f>E11/E10</f>
        <v>9.1606584752169151E-2</v>
      </c>
      <c r="F28" s="162">
        <f t="shared" ref="F28:K28" si="0">F11/F10</f>
        <v>0.10467102198760286</v>
      </c>
      <c r="H28" s="162">
        <f t="shared" si="0"/>
        <v>0.12638344521031369</v>
      </c>
      <c r="I28" s="162"/>
      <c r="J28" s="162">
        <f t="shared" si="0"/>
        <v>8.7101951431699895E-2</v>
      </c>
      <c r="K28" s="162">
        <f t="shared" si="0"/>
        <v>0.1315493084651079</v>
      </c>
      <c r="L28" s="162"/>
      <c r="AA28" s="162">
        <f>AA11/AA10</f>
        <v>0.10358997919777427</v>
      </c>
    </row>
    <row r="29" spans="1:27" ht="12.75" hidden="1" customHeight="1">
      <c r="A29" s="104" t="s">
        <v>250</v>
      </c>
    </row>
    <row r="30" spans="1:27" ht="12.75" hidden="1" customHeight="1">
      <c r="A30" s="104"/>
    </row>
    <row r="31" spans="1:27" ht="12.75" hidden="1" customHeight="1">
      <c r="A31" s="104"/>
    </row>
    <row r="32" spans="1:27" ht="34.5" hidden="1" customHeight="1">
      <c r="A32" s="5106" t="s">
        <v>242</v>
      </c>
      <c r="B32" s="5106"/>
      <c r="C32" s="5106"/>
      <c r="D32" s="5106"/>
      <c r="E32" s="5106"/>
      <c r="F32" s="5106"/>
      <c r="G32" s="5106"/>
      <c r="H32" s="5106"/>
      <c r="I32" s="5106"/>
      <c r="J32" s="5106"/>
    </row>
    <row r="33" spans="1:36" ht="9.75" customHeight="1" thickBot="1">
      <c r="A33" s="137"/>
      <c r="B33" s="137"/>
      <c r="C33" s="137"/>
      <c r="D33" s="137"/>
      <c r="E33" s="137"/>
      <c r="F33" s="137"/>
      <c r="G33" s="137"/>
      <c r="H33" s="137"/>
    </row>
    <row r="34" spans="1:36" ht="34.5" customHeight="1">
      <c r="A34" s="5126" t="s">
        <v>545</v>
      </c>
      <c r="B34" s="783"/>
      <c r="C34" s="784"/>
      <c r="D34" s="785"/>
      <c r="E34" s="5091" t="s">
        <v>241</v>
      </c>
      <c r="F34" s="5100"/>
      <c r="G34" s="5100"/>
      <c r="H34" s="5100"/>
      <c r="I34" s="5140"/>
      <c r="J34" s="5091" t="s">
        <v>377</v>
      </c>
      <c r="K34" s="5100"/>
      <c r="L34" s="5100"/>
      <c r="M34" s="5101"/>
      <c r="N34" s="5101"/>
      <c r="O34" s="5101"/>
      <c r="P34" s="5101"/>
      <c r="Q34" s="5101"/>
      <c r="R34" s="5101"/>
      <c r="S34" s="5102"/>
      <c r="T34" s="5091" t="s">
        <v>662</v>
      </c>
      <c r="U34" s="5100"/>
      <c r="V34" s="5100"/>
      <c r="W34" s="5102"/>
      <c r="X34" s="5093" t="s">
        <v>1549</v>
      </c>
      <c r="Y34" s="5094"/>
      <c r="Z34" s="5095"/>
      <c r="AA34" s="5114" t="s">
        <v>1595</v>
      </c>
      <c r="AB34" s="5115"/>
      <c r="AC34" s="5116"/>
      <c r="AD34" s="5091" t="s">
        <v>911</v>
      </c>
      <c r="AE34" s="5092"/>
      <c r="AF34" s="5141" t="s">
        <v>1897</v>
      </c>
      <c r="AG34" s="5142"/>
      <c r="AH34" s="5143"/>
      <c r="AI34" s="5091" t="s">
        <v>1849</v>
      </c>
      <c r="AJ34" s="5092"/>
    </row>
    <row r="35" spans="1:36" ht="21" customHeight="1">
      <c r="A35" s="5127"/>
      <c r="B35" s="3329"/>
      <c r="C35" s="3330"/>
      <c r="D35" s="3331"/>
      <c r="E35" s="5096" t="s">
        <v>530</v>
      </c>
      <c r="F35" s="5107" t="s">
        <v>531</v>
      </c>
      <c r="G35" s="5107" t="s">
        <v>532</v>
      </c>
      <c r="H35" s="5107" t="s">
        <v>533</v>
      </c>
      <c r="I35" s="5103" t="s">
        <v>657</v>
      </c>
      <c r="J35" s="5096" t="s">
        <v>530</v>
      </c>
      <c r="K35" s="5067" t="s">
        <v>531</v>
      </c>
      <c r="L35" s="5068"/>
      <c r="M35" s="5107" t="s">
        <v>534</v>
      </c>
      <c r="N35" s="5067" t="s">
        <v>532</v>
      </c>
      <c r="O35" s="5068"/>
      <c r="P35" s="5098" t="s">
        <v>533</v>
      </c>
      <c r="Q35" s="5098"/>
      <c r="R35" s="5098" t="s">
        <v>1647</v>
      </c>
      <c r="S35" s="5085"/>
      <c r="T35" s="5096" t="s">
        <v>530</v>
      </c>
      <c r="U35" s="5067" t="s">
        <v>531</v>
      </c>
      <c r="V35" s="5068"/>
      <c r="W35" s="5103" t="s">
        <v>534</v>
      </c>
      <c r="X35" s="5096" t="s">
        <v>530</v>
      </c>
      <c r="Y35" s="5098" t="s">
        <v>531</v>
      </c>
      <c r="Z35" s="5085"/>
      <c r="AA35" s="5117"/>
      <c r="AB35" s="5118"/>
      <c r="AC35" s="5119"/>
      <c r="AD35" s="5082" t="s">
        <v>283</v>
      </c>
      <c r="AE35" s="5085" t="s">
        <v>531</v>
      </c>
      <c r="AF35" s="5144" t="s">
        <v>598</v>
      </c>
      <c r="AG35" s="5147" t="s">
        <v>229</v>
      </c>
      <c r="AH35" s="5150" t="s">
        <v>1898</v>
      </c>
      <c r="AI35" s="5082" t="s">
        <v>283</v>
      </c>
      <c r="AJ35" s="5085" t="s">
        <v>531</v>
      </c>
    </row>
    <row r="36" spans="1:36" ht="6" customHeight="1">
      <c r="A36" s="5127"/>
      <c r="B36" s="3329"/>
      <c r="C36" s="3330"/>
      <c r="D36" s="3331"/>
      <c r="E36" s="5096"/>
      <c r="F36" s="5107"/>
      <c r="G36" s="5107"/>
      <c r="H36" s="5107"/>
      <c r="I36" s="5103"/>
      <c r="J36" s="5096"/>
      <c r="K36" s="5069"/>
      <c r="L36" s="5070"/>
      <c r="M36" s="5129"/>
      <c r="N36" s="5069"/>
      <c r="O36" s="5070"/>
      <c r="P36" s="5138"/>
      <c r="Q36" s="5138"/>
      <c r="R36" s="5138"/>
      <c r="S36" s="5139"/>
      <c r="T36" s="5096"/>
      <c r="U36" s="5069"/>
      <c r="V36" s="5070"/>
      <c r="W36" s="5104"/>
      <c r="X36" s="5096"/>
      <c r="Y36" s="5099"/>
      <c r="Z36" s="5086"/>
      <c r="AA36" s="5117"/>
      <c r="AB36" s="5118"/>
      <c r="AC36" s="5119"/>
      <c r="AD36" s="5083"/>
      <c r="AE36" s="5086"/>
      <c r="AF36" s="5145"/>
      <c r="AG36" s="5148"/>
      <c r="AH36" s="5151"/>
      <c r="AI36" s="5083"/>
      <c r="AJ36" s="5086"/>
    </row>
    <row r="37" spans="1:36" ht="38.25" thickBot="1">
      <c r="A37" s="5128"/>
      <c r="B37" s="4119"/>
      <c r="C37" s="4120"/>
      <c r="D37" s="4121"/>
      <c r="E37" s="5082"/>
      <c r="F37" s="5098"/>
      <c r="G37" s="5098"/>
      <c r="H37" s="5098"/>
      <c r="I37" s="5085"/>
      <c r="J37" s="5082"/>
      <c r="K37" s="4122" t="s">
        <v>383</v>
      </c>
      <c r="L37" s="4123" t="s">
        <v>25</v>
      </c>
      <c r="M37" s="5130"/>
      <c r="N37" s="4122" t="s">
        <v>383</v>
      </c>
      <c r="O37" s="4123" t="s">
        <v>25</v>
      </c>
      <c r="P37" s="4122" t="s">
        <v>383</v>
      </c>
      <c r="Q37" s="4123" t="s">
        <v>25</v>
      </c>
      <c r="R37" s="4122" t="s">
        <v>383</v>
      </c>
      <c r="S37" s="4123" t="s">
        <v>25</v>
      </c>
      <c r="T37" s="5082"/>
      <c r="U37" s="4122" t="s">
        <v>383</v>
      </c>
      <c r="V37" s="4123" t="s">
        <v>25</v>
      </c>
      <c r="W37" s="5105"/>
      <c r="X37" s="5097"/>
      <c r="Y37" s="4124" t="s">
        <v>383</v>
      </c>
      <c r="Z37" s="4125" t="s">
        <v>25</v>
      </c>
      <c r="AA37" s="5120"/>
      <c r="AB37" s="5121"/>
      <c r="AC37" s="5122"/>
      <c r="AD37" s="5084"/>
      <c r="AE37" s="5087"/>
      <c r="AF37" s="5146"/>
      <c r="AG37" s="5149"/>
      <c r="AH37" s="5152"/>
      <c r="AI37" s="5084"/>
      <c r="AJ37" s="5087"/>
    </row>
    <row r="38" spans="1:36" ht="20.100000000000001" customHeight="1" thickBot="1">
      <c r="A38" s="5062" t="s">
        <v>528</v>
      </c>
      <c r="B38" s="5063"/>
      <c r="C38" s="5063"/>
      <c r="D38" s="5063"/>
      <c r="E38" s="5063"/>
      <c r="F38" s="5063"/>
      <c r="G38" s="5063"/>
      <c r="H38" s="5063"/>
      <c r="I38" s="5063"/>
      <c r="J38" s="5063"/>
      <c r="K38" s="5063"/>
      <c r="L38" s="5063"/>
      <c r="M38" s="5063"/>
      <c r="N38" s="5063"/>
      <c r="O38" s="5063"/>
      <c r="P38" s="5063"/>
      <c r="Q38" s="5063"/>
      <c r="R38" s="5063"/>
      <c r="S38" s="5063"/>
      <c r="T38" s="5063"/>
      <c r="U38" s="5063"/>
      <c r="V38" s="5063"/>
      <c r="W38" s="5063"/>
      <c r="X38" s="5063"/>
      <c r="Y38" s="5063"/>
      <c r="Z38" s="5063"/>
      <c r="AA38" s="5064"/>
      <c r="AB38" s="5064"/>
      <c r="AC38" s="5064"/>
      <c r="AD38" s="5065"/>
      <c r="AE38" s="5065"/>
      <c r="AF38" s="5065"/>
      <c r="AG38" s="5065"/>
      <c r="AH38" s="5065"/>
      <c r="AI38" s="5064"/>
      <c r="AJ38" s="5066"/>
    </row>
    <row r="39" spans="1:36" ht="36" customHeight="1">
      <c r="A39" s="1410" t="s">
        <v>539</v>
      </c>
      <c r="B39" s="4126"/>
      <c r="C39" s="4127"/>
      <c r="D39" s="4128"/>
      <c r="E39" s="2796">
        <f>E42+E44</f>
        <v>5875</v>
      </c>
      <c r="F39" s="880">
        <f>SUM(F42:F44)</f>
        <v>5558.2912165809075</v>
      </c>
      <c r="G39" s="880">
        <f>SUM(G42:G44)-G43</f>
        <v>3493.3</v>
      </c>
      <c r="H39" s="880">
        <f>SUM(H42:H44)-H43</f>
        <v>5158</v>
      </c>
      <c r="I39" s="877">
        <f>SUM(I40:I41)</f>
        <v>6977.9000000000005</v>
      </c>
      <c r="J39" s="2796">
        <f>SUM(J40:J41)</f>
        <v>5800.03</v>
      </c>
      <c r="K39" s="880">
        <f>SUM(K40:K41)</f>
        <v>5561.39</v>
      </c>
      <c r="L39" s="880"/>
      <c r="M39" s="880">
        <f t="shared" ref="M39:M52" si="1">SUM(K39/F39*100)</f>
        <v>100.05575064886575</v>
      </c>
      <c r="N39" s="880">
        <f t="shared" ref="N39:Q39" si="2">SUM(N40:N41)</f>
        <v>3367.79</v>
      </c>
      <c r="O39" s="880">
        <f t="shared" si="2"/>
        <v>13.7</v>
      </c>
      <c r="P39" s="1938">
        <v>4965.25</v>
      </c>
      <c r="Q39" s="880">
        <f t="shared" si="2"/>
        <v>17.559999999999999</v>
      </c>
      <c r="R39" s="880">
        <v>6697.91</v>
      </c>
      <c r="S39" s="1938">
        <v>18.22</v>
      </c>
      <c r="T39" s="1577">
        <f>SUM(T40:T41)</f>
        <v>5757.92</v>
      </c>
      <c r="U39" s="1578">
        <f>SUM(U40:U41)</f>
        <v>5654.317</v>
      </c>
      <c r="V39" s="1578">
        <f>SUM(V40:V41)</f>
        <v>21.419999999999998</v>
      </c>
      <c r="W39" s="877">
        <f>SUM(U39/K39*100)</f>
        <v>101.67093118806629</v>
      </c>
      <c r="X39" s="1577">
        <f>SUM(X40:X41)</f>
        <v>5782.63</v>
      </c>
      <c r="Y39" s="1578">
        <f>SUM(Y40:Y41)</f>
        <v>5538.9802784767589</v>
      </c>
      <c r="Z39" s="1578">
        <f>SUM(Z40:Z41)</f>
        <v>21.419999999999998</v>
      </c>
      <c r="AA39" s="2796">
        <f>SUM(AA40:AA41)</f>
        <v>3158.83</v>
      </c>
      <c r="AB39" s="1938">
        <f t="shared" ref="AB39:AG39" si="3">SUM(AB40:AB41)</f>
        <v>4683.07</v>
      </c>
      <c r="AC39" s="3406">
        <f t="shared" si="3"/>
        <v>6332.03</v>
      </c>
      <c r="AD39" s="2796">
        <f t="shared" si="3"/>
        <v>5636.25</v>
      </c>
      <c r="AE39" s="877">
        <f t="shared" si="3"/>
        <v>5570.6850000000004</v>
      </c>
      <c r="AF39" s="2793">
        <f t="shared" si="3"/>
        <v>3202.46</v>
      </c>
      <c r="AG39" s="4112">
        <f t="shared" si="3"/>
        <v>5034.43</v>
      </c>
      <c r="AH39" s="4112">
        <f t="shared" ref="AH39" si="4">SUM(AH40:AH41)</f>
        <v>6245.85</v>
      </c>
      <c r="AI39" s="2796">
        <f t="shared" ref="AI39:AJ39" si="5">SUM(AI40:AI41)</f>
        <v>5570</v>
      </c>
      <c r="AJ39" s="877">
        <f t="shared" si="5"/>
        <v>5326.2809999999999</v>
      </c>
    </row>
    <row r="40" spans="1:36" ht="36" customHeight="1">
      <c r="A40" s="4129" t="s">
        <v>538</v>
      </c>
      <c r="B40" s="4130"/>
      <c r="C40" s="4131"/>
      <c r="D40" s="4132"/>
      <c r="E40" s="3342">
        <f>SUM(E39-E41)</f>
        <v>5850</v>
      </c>
      <c r="F40" s="3343">
        <f>SUM(F39-F41)</f>
        <v>5512.2912165809075</v>
      </c>
      <c r="G40" s="3343">
        <f>SUM(G39-G41)</f>
        <v>3465.3</v>
      </c>
      <c r="H40" s="3343">
        <f>SUM(H39-H41)</f>
        <v>5119.5</v>
      </c>
      <c r="I40" s="3335">
        <v>6928.1</v>
      </c>
      <c r="J40" s="3342">
        <v>5753.9</v>
      </c>
      <c r="K40" s="3343">
        <v>5561.39</v>
      </c>
      <c r="L40" s="3343"/>
      <c r="M40" s="3343">
        <f t="shared" si="1"/>
        <v>100.89071461375995</v>
      </c>
      <c r="N40" s="3336">
        <v>3367.79</v>
      </c>
      <c r="O40" s="3337"/>
      <c r="P40" s="3337">
        <v>4965.25</v>
      </c>
      <c r="Q40" s="3336"/>
      <c r="R40" s="3336">
        <v>6697.91</v>
      </c>
      <c r="S40" s="3337"/>
      <c r="T40" s="3338">
        <v>5736.5</v>
      </c>
      <c r="U40" s="3339">
        <f>U42+U44</f>
        <v>5654.317</v>
      </c>
      <c r="V40" s="3340"/>
      <c r="W40" s="3335">
        <f>SUM(U40/K40*100)</f>
        <v>101.67093118806629</v>
      </c>
      <c r="X40" s="3338">
        <v>5736.5</v>
      </c>
      <c r="Y40" s="3339">
        <f>Y42+Y44</f>
        <v>5538.9802784767589</v>
      </c>
      <c r="Z40" s="3340"/>
      <c r="AA40" s="3342">
        <v>3157.36</v>
      </c>
      <c r="AB40" s="3356">
        <v>4681.12</v>
      </c>
      <c r="AC40" s="3407">
        <v>6329.63</v>
      </c>
      <c r="AD40" s="3342">
        <v>5618.05</v>
      </c>
      <c r="AE40" s="3335">
        <v>5550.3360000000002</v>
      </c>
      <c r="AF40" s="4183">
        <v>3201.38</v>
      </c>
      <c r="AG40" s="4113">
        <v>5033.04</v>
      </c>
      <c r="AH40" s="4113">
        <v>6244</v>
      </c>
      <c r="AI40" s="3342">
        <v>5555</v>
      </c>
      <c r="AJ40" s="3335">
        <v>5304.8609999999999</v>
      </c>
    </row>
    <row r="41" spans="1:36" ht="36" customHeight="1">
      <c r="A41" s="4129" t="s">
        <v>537</v>
      </c>
      <c r="B41" s="4130"/>
      <c r="C41" s="4131"/>
      <c r="D41" s="4132"/>
      <c r="E41" s="3342">
        <v>25</v>
      </c>
      <c r="F41" s="3343">
        <v>46</v>
      </c>
      <c r="G41" s="3343">
        <v>28</v>
      </c>
      <c r="H41" s="3343">
        <v>38.5</v>
      </c>
      <c r="I41" s="3335">
        <v>49.8</v>
      </c>
      <c r="J41" s="3342">
        <v>46.13</v>
      </c>
      <c r="K41" s="3343">
        <v>0</v>
      </c>
      <c r="L41" s="3343">
        <v>46.13</v>
      </c>
      <c r="M41" s="3343">
        <f t="shared" si="1"/>
        <v>0</v>
      </c>
      <c r="N41" s="3336"/>
      <c r="O41" s="3337">
        <v>13.7</v>
      </c>
      <c r="P41" s="3337"/>
      <c r="Q41" s="3336">
        <v>17.559999999999999</v>
      </c>
      <c r="R41" s="3336"/>
      <c r="S41" s="3356">
        <v>18.22</v>
      </c>
      <c r="T41" s="3338">
        <v>21.42</v>
      </c>
      <c r="U41" s="3339"/>
      <c r="V41" s="3358">
        <f>V49</f>
        <v>21.419999999999998</v>
      </c>
      <c r="W41" s="3335">
        <f>SUM(U41/40*100)</f>
        <v>0</v>
      </c>
      <c r="X41" s="3338">
        <v>46.13</v>
      </c>
      <c r="Y41" s="3339"/>
      <c r="Z41" s="3358">
        <f>Z49</f>
        <v>21.419999999999998</v>
      </c>
      <c r="AA41" s="3342">
        <v>1.47</v>
      </c>
      <c r="AB41" s="3356">
        <v>1.95</v>
      </c>
      <c r="AC41" s="3407">
        <v>2.4</v>
      </c>
      <c r="AD41" s="3342">
        <v>18.2</v>
      </c>
      <c r="AE41" s="3335">
        <v>20.349</v>
      </c>
      <c r="AF41" s="4183">
        <v>1.08</v>
      </c>
      <c r="AG41" s="4113">
        <v>1.39</v>
      </c>
      <c r="AH41" s="4113">
        <v>1.85</v>
      </c>
      <c r="AI41" s="3342">
        <v>15</v>
      </c>
      <c r="AJ41" s="3335">
        <v>21.42</v>
      </c>
    </row>
    <row r="42" spans="1:36" ht="36" customHeight="1">
      <c r="A42" s="4133" t="s">
        <v>20</v>
      </c>
      <c r="B42" s="4134"/>
      <c r="C42" s="3482"/>
      <c r="D42" s="4135"/>
      <c r="E42" s="3355">
        <v>876</v>
      </c>
      <c r="F42" s="3336">
        <v>507</v>
      </c>
      <c r="G42" s="3336">
        <f>3493.3-3054.18</f>
        <v>439.12000000000035</v>
      </c>
      <c r="H42" s="3336">
        <v>648.79999999999995</v>
      </c>
      <c r="I42" s="3344">
        <v>841</v>
      </c>
      <c r="J42" s="3355">
        <v>754</v>
      </c>
      <c r="K42" s="3336">
        <v>557.12</v>
      </c>
      <c r="L42" s="3336"/>
      <c r="M42" s="3336">
        <f t="shared" si="1"/>
        <v>109.88560157790927</v>
      </c>
      <c r="N42" s="3345">
        <v>479.3</v>
      </c>
      <c r="O42" s="3346">
        <v>0</v>
      </c>
      <c r="P42" s="3346">
        <v>654.29999999999995</v>
      </c>
      <c r="Q42" s="3345"/>
      <c r="R42" s="3345">
        <v>1030.98</v>
      </c>
      <c r="S42" s="3346"/>
      <c r="T42" s="3347">
        <v>750</v>
      </c>
      <c r="U42" s="3339">
        <v>686.4</v>
      </c>
      <c r="V42" s="3340"/>
      <c r="W42" s="3354">
        <f>SUM(U42/41*100)</f>
        <v>1674.1463414634147</v>
      </c>
      <c r="X42" s="3347">
        <v>750</v>
      </c>
      <c r="Y42" s="3339">
        <v>686.4</v>
      </c>
      <c r="Z42" s="3340"/>
      <c r="AA42" s="3348">
        <v>645.74</v>
      </c>
      <c r="AB42" s="3346">
        <v>877.4</v>
      </c>
      <c r="AC42" s="3407">
        <v>1185.4000000000001</v>
      </c>
      <c r="AD42" s="3348">
        <v>900</v>
      </c>
      <c r="AE42" s="4136">
        <v>854.197</v>
      </c>
      <c r="AF42" s="4184">
        <v>473.9</v>
      </c>
      <c r="AG42" s="4114">
        <v>902.45</v>
      </c>
      <c r="AH42" s="4114">
        <v>1100</v>
      </c>
      <c r="AI42" s="3348">
        <v>920</v>
      </c>
      <c r="AJ42" s="4136">
        <v>816.41800000000001</v>
      </c>
    </row>
    <row r="43" spans="1:36" s="189" customFormat="1" ht="63" customHeight="1">
      <c r="A43" s="4137" t="s">
        <v>388</v>
      </c>
      <c r="B43" s="4138"/>
      <c r="C43" s="4139"/>
      <c r="D43" s="4140"/>
      <c r="E43" s="3353">
        <f>E42/E39</f>
        <v>0.14910638297872342</v>
      </c>
      <c r="F43" s="3350">
        <f>507/5558.2</f>
        <v>9.1216580907488035E-2</v>
      </c>
      <c r="G43" s="3350">
        <f>439.12/3493</f>
        <v>0.12571428571428572</v>
      </c>
      <c r="H43" s="3350">
        <f>SUM(648.8/5158)</f>
        <v>0.12578518805738659</v>
      </c>
      <c r="I43" s="3349">
        <f>SUM(I42/I39)</f>
        <v>0.12052336662892847</v>
      </c>
      <c r="J43" s="3353">
        <f>SUM(J42/J39)</f>
        <v>0.12999932758968488</v>
      </c>
      <c r="K43" s="3350">
        <f>SUM(K42/K39)</f>
        <v>0.10017639475023329</v>
      </c>
      <c r="L43" s="3350"/>
      <c r="M43" s="3343">
        <f t="shared" si="1"/>
        <v>109.82257145971334</v>
      </c>
      <c r="N43" s="3350">
        <f t="shared" ref="N43:S43" si="6">SUM(N42/N39)</f>
        <v>0.14231885004706352</v>
      </c>
      <c r="O43" s="3350">
        <f t="shared" si="6"/>
        <v>0</v>
      </c>
      <c r="P43" s="3351">
        <f>P42/P40</f>
        <v>0.13177584210261314</v>
      </c>
      <c r="Q43" s="3350">
        <f t="shared" si="6"/>
        <v>0</v>
      </c>
      <c r="R43" s="3350">
        <f>R42/R40</f>
        <v>0.15392562754650332</v>
      </c>
      <c r="S43" s="3349">
        <f t="shared" si="6"/>
        <v>0</v>
      </c>
      <c r="T43" s="3351">
        <f>SUM(T42/T39)</f>
        <v>0.13025536999472032</v>
      </c>
      <c r="U43" s="3350">
        <f>SUM(U42/U39)</f>
        <v>0.12139397207478816</v>
      </c>
      <c r="V43" s="4033"/>
      <c r="W43" s="4141">
        <f>SUM(U43/K43*100)</f>
        <v>121.18021653449998</v>
      </c>
      <c r="X43" s="3351">
        <f>SUM(X42/X39)</f>
        <v>0.12969877028272603</v>
      </c>
      <c r="Y43" s="3350">
        <f>SUM(Y42/Y39)</f>
        <v>0.12392172665196104</v>
      </c>
      <c r="Z43" s="3352"/>
      <c r="AA43" s="3353">
        <f t="shared" ref="AA43:AD43" si="7">SUM(AA42/AA39)</f>
        <v>0.20442378982091472</v>
      </c>
      <c r="AB43" s="3351">
        <f t="shared" si="7"/>
        <v>0.18735573032220318</v>
      </c>
      <c r="AC43" s="3408">
        <f t="shared" si="7"/>
        <v>0.18720694627157486</v>
      </c>
      <c r="AD43" s="3353">
        <f t="shared" si="7"/>
        <v>0.15968063872255489</v>
      </c>
      <c r="AE43" s="3349">
        <f t="shared" ref="AE43:AI43" si="8">SUM(AE42/AE39)</f>
        <v>0.15333787496510751</v>
      </c>
      <c r="AF43" s="4185">
        <f t="shared" ref="AF43:AG43" si="9">SUM(AF42/AF39)</f>
        <v>0.14797999038239354</v>
      </c>
      <c r="AG43" s="4186">
        <f t="shared" si="9"/>
        <v>0.17925564562423155</v>
      </c>
      <c r="AH43" s="4186">
        <f t="shared" ref="AH43" si="10">SUM(AH42/AH39)</f>
        <v>0.17611694164925509</v>
      </c>
      <c r="AI43" s="3353">
        <f t="shared" si="8"/>
        <v>0.16517055655296231</v>
      </c>
      <c r="AJ43" s="3349">
        <f t="shared" ref="AJ43" si="11">SUM(AJ42/AJ39)</f>
        <v>0.1532810604622625</v>
      </c>
    </row>
    <row r="44" spans="1:36" ht="36" customHeight="1">
      <c r="A44" s="4133" t="s">
        <v>540</v>
      </c>
      <c r="B44" s="4134"/>
      <c r="C44" s="3482"/>
      <c r="D44" s="4135"/>
      <c r="E44" s="3355">
        <f>E47+E49</f>
        <v>4999</v>
      </c>
      <c r="F44" s="3336">
        <f>F47+F49</f>
        <v>5051.2</v>
      </c>
      <c r="G44" s="3336">
        <f>G47+G49</f>
        <v>3054.18</v>
      </c>
      <c r="H44" s="3336">
        <f>H47+H49</f>
        <v>4509.2</v>
      </c>
      <c r="I44" s="3354">
        <f>SUM(I45:I46)</f>
        <v>6136.9000000000005</v>
      </c>
      <c r="J44" s="3355">
        <f>J47+J49</f>
        <v>5046.03</v>
      </c>
      <c r="K44" s="3336">
        <f>K47+K49</f>
        <v>5050.4000000000005</v>
      </c>
      <c r="L44" s="3336"/>
      <c r="M44" s="3336">
        <f t="shared" si="1"/>
        <v>99.984162179284141</v>
      </c>
      <c r="N44" s="3336">
        <f t="shared" ref="N44:Q44" si="12">SUM(N45:N46)</f>
        <v>2888.49</v>
      </c>
      <c r="O44" s="3336">
        <f t="shared" si="12"/>
        <v>13.7</v>
      </c>
      <c r="P44" s="3337">
        <v>4310.95</v>
      </c>
      <c r="Q44" s="3336">
        <f t="shared" si="12"/>
        <v>17.559999999999999</v>
      </c>
      <c r="R44" s="3336">
        <f>SUM(R39-R42)</f>
        <v>5666.93</v>
      </c>
      <c r="S44" s="3337">
        <f>SUM(S46)</f>
        <v>18.22</v>
      </c>
      <c r="T44" s="3347">
        <f>SUM(T45:T46)</f>
        <v>5007.92</v>
      </c>
      <c r="U44" s="3339">
        <f>SUM(U45:U46)</f>
        <v>4967.9170000000004</v>
      </c>
      <c r="V44" s="3339">
        <f>SUM(V45:V46)</f>
        <v>21.419999999999998</v>
      </c>
      <c r="W44" s="3354">
        <f>SUM(U44/K44*100)</f>
        <v>98.366802629494686</v>
      </c>
      <c r="X44" s="3347">
        <f>SUM(X45:X46)</f>
        <v>5032.63</v>
      </c>
      <c r="Y44" s="3339">
        <f>SUM(Y45:Y46)</f>
        <v>4852.5802784767593</v>
      </c>
      <c r="Z44" s="3339">
        <f>SUM(Z45:Z46)</f>
        <v>21.419999999999998</v>
      </c>
      <c r="AA44" s="3355">
        <f t="shared" ref="AA44:AC44" si="13">SUM(AA45:AA46)</f>
        <v>2513.0899999999997</v>
      </c>
      <c r="AB44" s="3337">
        <f t="shared" si="13"/>
        <v>3805.6699999999996</v>
      </c>
      <c r="AC44" s="3409">
        <f t="shared" si="13"/>
        <v>5146.6299999999992</v>
      </c>
      <c r="AD44" s="3355">
        <f>SUM(AD45:AD46)</f>
        <v>4736.25</v>
      </c>
      <c r="AE44" s="3354">
        <f t="shared" ref="AE44:AJ44" si="14">SUM(AE45:AE46)</f>
        <v>4716.4880000000003</v>
      </c>
      <c r="AF44" s="4187">
        <f>SUM(AF45:AF46)</f>
        <v>2728.56</v>
      </c>
      <c r="AG44" s="4188">
        <f>SUM(AG45:AG46)</f>
        <v>4131.9800000000005</v>
      </c>
      <c r="AH44" s="4188">
        <f>SUM(AH45:AH46)</f>
        <v>5145.8500000000004</v>
      </c>
      <c r="AI44" s="3355">
        <f>SUM(AI45:AI46)</f>
        <v>4650</v>
      </c>
      <c r="AJ44" s="3354">
        <f t="shared" si="14"/>
        <v>4509.8630000000003</v>
      </c>
    </row>
    <row r="45" spans="1:36" ht="36" customHeight="1">
      <c r="A45" s="4129" t="s">
        <v>538</v>
      </c>
      <c r="B45" s="4134"/>
      <c r="C45" s="3482"/>
      <c r="D45" s="4135"/>
      <c r="E45" s="3342">
        <f>SUM(E44-E46)</f>
        <v>4974</v>
      </c>
      <c r="F45" s="3343">
        <f>SUM(F44-F46)</f>
        <v>5005.2</v>
      </c>
      <c r="G45" s="3343">
        <f>SUM(G44-G46)</f>
        <v>3026.18</v>
      </c>
      <c r="H45" s="3343">
        <f>SUM(H44-H46)</f>
        <v>4470.7</v>
      </c>
      <c r="I45" s="3335">
        <f>SUM(I40-I42)</f>
        <v>6087.1</v>
      </c>
      <c r="J45" s="3342">
        <f>SUM(J44-J46)</f>
        <v>4999.8999999999996</v>
      </c>
      <c r="K45" s="3343">
        <f>SUM(K44-K46)</f>
        <v>5004.2700000000004</v>
      </c>
      <c r="L45" s="3343"/>
      <c r="M45" s="3343">
        <f t="shared" si="1"/>
        <v>99.981419323903154</v>
      </c>
      <c r="N45" s="3343">
        <f t="shared" ref="N45:Q45" si="15">SUM(N40-N42)</f>
        <v>2888.49</v>
      </c>
      <c r="O45" s="3356"/>
      <c r="P45" s="3356">
        <v>4310.95</v>
      </c>
      <c r="Q45" s="3343">
        <f t="shared" si="15"/>
        <v>0</v>
      </c>
      <c r="R45" s="3343">
        <f>SUM(R40-R42)</f>
        <v>5666.93</v>
      </c>
      <c r="S45" s="3356"/>
      <c r="T45" s="3338">
        <f>SUM(T40-T42)</f>
        <v>4986.5</v>
      </c>
      <c r="U45" s="3357">
        <f>U49+U47</f>
        <v>4967.9170000000004</v>
      </c>
      <c r="V45" s="3358"/>
      <c r="W45" s="3335">
        <f>SUM(U45/45*100)</f>
        <v>11039.815555555557</v>
      </c>
      <c r="X45" s="3338">
        <f>SUM(X40-X42)</f>
        <v>4986.5</v>
      </c>
      <c r="Y45" s="3357">
        <f>Y49+Y47</f>
        <v>4852.5802784767593</v>
      </c>
      <c r="Z45" s="3358"/>
      <c r="AA45" s="3342">
        <f t="shared" ref="AA45:AC45" si="16">SUM(AA40-AA42)</f>
        <v>2511.62</v>
      </c>
      <c r="AB45" s="3356">
        <f t="shared" si="16"/>
        <v>3803.72</v>
      </c>
      <c r="AC45" s="3407">
        <f t="shared" si="16"/>
        <v>5144.2299999999996</v>
      </c>
      <c r="AD45" s="3342">
        <v>4718.25</v>
      </c>
      <c r="AE45" s="3335">
        <v>4696.1390000000001</v>
      </c>
      <c r="AF45" s="4183">
        <v>2727.48</v>
      </c>
      <c r="AG45" s="4113">
        <v>4130.59</v>
      </c>
      <c r="AH45" s="4113">
        <v>5144</v>
      </c>
      <c r="AI45" s="3342">
        <v>4635</v>
      </c>
      <c r="AJ45" s="3335">
        <v>4488.4430000000002</v>
      </c>
    </row>
    <row r="46" spans="1:36" ht="36" customHeight="1">
      <c r="A46" s="4129" t="s">
        <v>537</v>
      </c>
      <c r="B46" s="4134"/>
      <c r="C46" s="3482"/>
      <c r="D46" s="4135"/>
      <c r="E46" s="3342">
        <v>25</v>
      </c>
      <c r="F46" s="3343">
        <v>46</v>
      </c>
      <c r="G46" s="3343">
        <v>28</v>
      </c>
      <c r="H46" s="3343">
        <v>38.5</v>
      </c>
      <c r="I46" s="3335">
        <f>SUM(I41)</f>
        <v>49.8</v>
      </c>
      <c r="J46" s="3342">
        <v>46.13</v>
      </c>
      <c r="K46" s="3343">
        <v>46.13</v>
      </c>
      <c r="L46" s="3343"/>
      <c r="M46" s="3343">
        <f t="shared" si="1"/>
        <v>100.28260869565217</v>
      </c>
      <c r="N46" s="3343">
        <f t="shared" ref="N46:Q46" si="17">SUM(N41)</f>
        <v>0</v>
      </c>
      <c r="O46" s="3356">
        <f>O39-O42</f>
        <v>13.7</v>
      </c>
      <c r="P46" s="3356">
        <v>0</v>
      </c>
      <c r="Q46" s="3343">
        <f t="shared" si="17"/>
        <v>17.559999999999999</v>
      </c>
      <c r="R46" s="3343"/>
      <c r="S46" s="3356">
        <v>18.22</v>
      </c>
      <c r="T46" s="3338">
        <f>SUM(T41)</f>
        <v>21.42</v>
      </c>
      <c r="U46" s="3357">
        <f>SUM(U41)</f>
        <v>0</v>
      </c>
      <c r="V46" s="3358">
        <f>V49</f>
        <v>21.419999999999998</v>
      </c>
      <c r="W46" s="3335">
        <f>SUM(U46/46*100)</f>
        <v>0</v>
      </c>
      <c r="X46" s="3338">
        <f>SUM(X41)</f>
        <v>46.13</v>
      </c>
      <c r="Y46" s="3357">
        <f>SUM(Y41)</f>
        <v>0</v>
      </c>
      <c r="Z46" s="3358">
        <f>Z49</f>
        <v>21.419999999999998</v>
      </c>
      <c r="AA46" s="3342">
        <v>1.47</v>
      </c>
      <c r="AB46" s="3356">
        <v>1.95</v>
      </c>
      <c r="AC46" s="3407">
        <v>2.4</v>
      </c>
      <c r="AD46" s="3342">
        <v>18</v>
      </c>
      <c r="AE46" s="3335">
        <v>20.349</v>
      </c>
      <c r="AF46" s="4183">
        <v>1.08</v>
      </c>
      <c r="AG46" s="4113">
        <v>1.39</v>
      </c>
      <c r="AH46" s="4113">
        <v>1.85</v>
      </c>
      <c r="AI46" s="3342">
        <v>15</v>
      </c>
      <c r="AJ46" s="3335">
        <v>21.42</v>
      </c>
    </row>
    <row r="47" spans="1:36" ht="36" customHeight="1">
      <c r="A47" s="4133" t="s">
        <v>51</v>
      </c>
      <c r="B47" s="4134"/>
      <c r="C47" s="3482"/>
      <c r="D47" s="4135"/>
      <c r="E47" s="3355">
        <v>999</v>
      </c>
      <c r="F47" s="3336">
        <f>E47</f>
        <v>999</v>
      </c>
      <c r="G47" s="3336">
        <v>981.98</v>
      </c>
      <c r="H47" s="3336">
        <v>1481.3</v>
      </c>
      <c r="I47" s="3354">
        <v>2097.9</v>
      </c>
      <c r="J47" s="3355">
        <v>1007.9</v>
      </c>
      <c r="K47" s="3336">
        <v>998</v>
      </c>
      <c r="L47" s="3336"/>
      <c r="M47" s="3336">
        <f t="shared" si="1"/>
        <v>99.899899899899907</v>
      </c>
      <c r="N47" s="3336">
        <v>911.71</v>
      </c>
      <c r="O47" s="3337">
        <v>0</v>
      </c>
      <c r="P47" s="3337">
        <v>1473.72</v>
      </c>
      <c r="Q47" s="3336"/>
      <c r="R47" s="3336">
        <f>SUM(R44+S46-R49-S49)</f>
        <v>1904.7300000000002</v>
      </c>
      <c r="S47" s="3337"/>
      <c r="T47" s="3347">
        <v>997.3</v>
      </c>
      <c r="U47" s="3339">
        <v>978.7</v>
      </c>
      <c r="V47" s="3340"/>
      <c r="W47" s="3354">
        <f t="shared" ref="W47:W55" si="18">SUM(U47/K47*100)</f>
        <v>98.06613226452906</v>
      </c>
      <c r="X47" s="3347">
        <v>997.3</v>
      </c>
      <c r="Y47" s="3339">
        <v>956</v>
      </c>
      <c r="Z47" s="3340"/>
      <c r="AA47" s="3355">
        <f>SUM(AA44-AA49)</f>
        <v>690.52999999999975</v>
      </c>
      <c r="AB47" s="3337">
        <f t="shared" ref="AB47:AC47" si="19">SUM(AB44-AB49)</f>
        <v>1134.5399999999995</v>
      </c>
      <c r="AC47" s="3409">
        <f t="shared" si="19"/>
        <v>1577.889999999999</v>
      </c>
      <c r="AD47" s="3355">
        <f t="shared" ref="AD47:AJ47" si="20">SUM(AD44-AD49)</f>
        <v>947.25</v>
      </c>
      <c r="AE47" s="3354">
        <f t="shared" si="20"/>
        <v>925.13900000000012</v>
      </c>
      <c r="AF47" s="4187">
        <f t="shared" ref="AF47:AG47" si="21">SUM(AF44-AF49)</f>
        <v>876.40000000000009</v>
      </c>
      <c r="AG47" s="4188">
        <f t="shared" si="21"/>
        <v>1423.6000000000004</v>
      </c>
      <c r="AH47" s="4188">
        <f t="shared" ref="AH47" si="22">SUM(AH44-AH49)</f>
        <v>1544.0000000000005</v>
      </c>
      <c r="AI47" s="3355">
        <f t="shared" si="20"/>
        <v>930</v>
      </c>
      <c r="AJ47" s="3354">
        <f t="shared" si="20"/>
        <v>888.44300000000021</v>
      </c>
    </row>
    <row r="48" spans="1:36" s="189" customFormat="1" ht="36" customHeight="1">
      <c r="A48" s="4137" t="s">
        <v>117</v>
      </c>
      <c r="B48" s="4138"/>
      <c r="C48" s="4139"/>
      <c r="D48" s="4140"/>
      <c r="E48" s="3366">
        <f t="shared" ref="E48:K48" si="23">E47/E44*100</f>
        <v>19.983996799359872</v>
      </c>
      <c r="F48" s="4142">
        <f t="shared" si="23"/>
        <v>19.777478618942034</v>
      </c>
      <c r="G48" s="4142">
        <f t="shared" si="23"/>
        <v>32.152001519229387</v>
      </c>
      <c r="H48" s="4142">
        <f t="shared" si="23"/>
        <v>32.850616517342324</v>
      </c>
      <c r="I48" s="3359">
        <f t="shared" si="23"/>
        <v>34.18501197673092</v>
      </c>
      <c r="J48" s="4143">
        <f t="shared" si="23"/>
        <v>19.974118267231862</v>
      </c>
      <c r="K48" s="4142">
        <f t="shared" si="23"/>
        <v>19.760811024869316</v>
      </c>
      <c r="L48" s="4142"/>
      <c r="M48" s="3343">
        <f t="shared" si="1"/>
        <v>99.915724373193086</v>
      </c>
      <c r="N48" s="3360">
        <f t="shared" ref="N48:Q48" si="24">N47/N44*100</f>
        <v>31.563550505627514</v>
      </c>
      <c r="O48" s="3360">
        <f t="shared" si="24"/>
        <v>0</v>
      </c>
      <c r="P48" s="3361">
        <f>P47/P44</f>
        <v>0.34185504355188534</v>
      </c>
      <c r="Q48" s="3360">
        <f t="shared" si="24"/>
        <v>0</v>
      </c>
      <c r="R48" s="3360"/>
      <c r="S48" s="3362"/>
      <c r="T48" s="3363">
        <f>T47/T44*100</f>
        <v>19.914455502484063</v>
      </c>
      <c r="U48" s="3364">
        <f>U47/U44*100</f>
        <v>19.700409648550892</v>
      </c>
      <c r="V48" s="3365"/>
      <c r="W48" s="3335">
        <f t="shared" si="18"/>
        <v>99.694337564169771</v>
      </c>
      <c r="X48" s="3363">
        <f>X47/X44*100</f>
        <v>19.816676370009318</v>
      </c>
      <c r="Y48" s="3364">
        <f>Y47/Y44*100</f>
        <v>19.700859030406221</v>
      </c>
      <c r="Z48" s="3365"/>
      <c r="AA48" s="3366">
        <f t="shared" ref="AA48:AD48" si="25">AA47/AA44*100</f>
        <v>27.477328706890713</v>
      </c>
      <c r="AB48" s="3362">
        <f t="shared" si="25"/>
        <v>29.811833395959177</v>
      </c>
      <c r="AC48" s="3410">
        <f t="shared" si="25"/>
        <v>30.658702879359879</v>
      </c>
      <c r="AD48" s="3366">
        <f t="shared" si="25"/>
        <v>20</v>
      </c>
      <c r="AE48" s="3359">
        <f t="shared" ref="AE48:AI48" si="26">AE47/AE44*100</f>
        <v>19.614997430291353</v>
      </c>
      <c r="AF48" s="4189">
        <f t="shared" ref="AF48:AG48" si="27">AF47/AF44*100</f>
        <v>32.11950625971209</v>
      </c>
      <c r="AG48" s="4190">
        <f t="shared" si="27"/>
        <v>34.453216133669578</v>
      </c>
      <c r="AH48" s="4190">
        <f t="shared" ref="AH48" si="28">AH47/AH44*100</f>
        <v>30.004761118182621</v>
      </c>
      <c r="AI48" s="3366">
        <f t="shared" si="26"/>
        <v>20</v>
      </c>
      <c r="AJ48" s="3359">
        <f t="shared" ref="AJ48" si="29">AJ47/AJ44*100</f>
        <v>19.699999756090154</v>
      </c>
    </row>
    <row r="49" spans="1:36" ht="36" customHeight="1">
      <c r="A49" s="4133" t="s">
        <v>535</v>
      </c>
      <c r="B49" s="4134"/>
      <c r="C49" s="3482"/>
      <c r="D49" s="4135"/>
      <c r="E49" s="3355">
        <f t="shared" ref="E49:J49" si="30">SUM(E50:E52)</f>
        <v>4000</v>
      </c>
      <c r="F49" s="3336">
        <f t="shared" si="30"/>
        <v>4052.2</v>
      </c>
      <c r="G49" s="3336">
        <f t="shared" si="30"/>
        <v>2072.1999999999998</v>
      </c>
      <c r="H49" s="3336">
        <f t="shared" si="30"/>
        <v>3027.8999999999996</v>
      </c>
      <c r="I49" s="3367">
        <f t="shared" si="30"/>
        <v>4039</v>
      </c>
      <c r="J49" s="3355">
        <f t="shared" si="30"/>
        <v>4038.13</v>
      </c>
      <c r="K49" s="3336">
        <f>SUM(K50:K53)</f>
        <v>4052.4000000000005</v>
      </c>
      <c r="L49" s="3336"/>
      <c r="M49" s="3336">
        <f t="shared" si="1"/>
        <v>100.00493559054343</v>
      </c>
      <c r="N49" s="3368">
        <f>SUM(N50:N53)</f>
        <v>1976.78</v>
      </c>
      <c r="O49" s="3368">
        <f t="shared" ref="O49:Q49" si="31">SUM(O50:O52)</f>
        <v>13.7</v>
      </c>
      <c r="P49" s="3369">
        <v>2837.2</v>
      </c>
      <c r="Q49" s="3368">
        <f t="shared" si="31"/>
        <v>17.559999999999999</v>
      </c>
      <c r="R49" s="3370">
        <f>SUM(R50:R53)</f>
        <v>3762.2000000000003</v>
      </c>
      <c r="S49" s="3371">
        <f>SUM(S50:S53)</f>
        <v>18.22</v>
      </c>
      <c r="T49" s="3347">
        <f>SUM(T50:T53)</f>
        <v>4010.6369999999997</v>
      </c>
      <c r="U49" s="3339">
        <f>SUM(U50:U53)</f>
        <v>3989.2170000000001</v>
      </c>
      <c r="V49" s="3339">
        <f>SUM(V50:V53)</f>
        <v>21.419999999999998</v>
      </c>
      <c r="W49" s="4144">
        <f t="shared" si="18"/>
        <v>98.440849866745623</v>
      </c>
      <c r="X49" s="3347">
        <f>SUM(X50:X53)</f>
        <v>4039.0169999999998</v>
      </c>
      <c r="Y49" s="3339">
        <f>SUM(Y50:Y53)</f>
        <v>3896.5802784767593</v>
      </c>
      <c r="Z49" s="3339">
        <f>SUM(Z50:Z53)</f>
        <v>21.419999999999998</v>
      </c>
      <c r="AA49" s="3372">
        <f>SUM(AA50:AA53)</f>
        <v>1822.56</v>
      </c>
      <c r="AB49" s="3371">
        <f t="shared" ref="AB49:AG49" si="32">SUM(AB50:AB53)</f>
        <v>2671.13</v>
      </c>
      <c r="AC49" s="3411">
        <f t="shared" si="32"/>
        <v>3568.7400000000002</v>
      </c>
      <c r="AD49" s="3372">
        <f t="shared" si="32"/>
        <v>3789</v>
      </c>
      <c r="AE49" s="4136">
        <f t="shared" si="32"/>
        <v>3791.3490000000002</v>
      </c>
      <c r="AF49" s="4191">
        <f t="shared" si="32"/>
        <v>1852.1599999999999</v>
      </c>
      <c r="AG49" s="4114">
        <f t="shared" si="32"/>
        <v>2708.38</v>
      </c>
      <c r="AH49" s="4114">
        <f t="shared" ref="AH49" si="33">SUM(AH50:AH53)</f>
        <v>3601.85</v>
      </c>
      <c r="AI49" s="3372">
        <f t="shared" ref="AI49:AJ49" si="34">SUM(AI50:AI53)</f>
        <v>3720</v>
      </c>
      <c r="AJ49" s="4136">
        <f t="shared" si="34"/>
        <v>3621.42</v>
      </c>
    </row>
    <row r="50" spans="1:36" ht="36" customHeight="1">
      <c r="A50" s="4129" t="s">
        <v>24</v>
      </c>
      <c r="B50" s="4145"/>
      <c r="C50" s="3477"/>
      <c r="D50" s="4146"/>
      <c r="E50" s="3342">
        <v>2800</v>
      </c>
      <c r="F50" s="3343">
        <f>E50</f>
        <v>2800</v>
      </c>
      <c r="G50" s="3343">
        <f>1426.4</f>
        <v>1426.4</v>
      </c>
      <c r="H50" s="3343">
        <v>2084.6999999999998</v>
      </c>
      <c r="I50" s="3376">
        <v>2780.7</v>
      </c>
      <c r="J50" s="3342">
        <v>2800</v>
      </c>
      <c r="K50" s="3343">
        <v>2445.422</v>
      </c>
      <c r="L50" s="3343"/>
      <c r="M50" s="3343">
        <f t="shared" si="1"/>
        <v>87.336500000000001</v>
      </c>
      <c r="N50" s="3377">
        <v>1238.5999999999999</v>
      </c>
      <c r="O50" s="3378"/>
      <c r="P50" s="3378">
        <v>1791.55</v>
      </c>
      <c r="Q50" s="3377"/>
      <c r="R50" s="3377">
        <v>2377.86</v>
      </c>
      <c r="S50" s="3378"/>
      <c r="T50" s="3338">
        <v>2428.56</v>
      </c>
      <c r="U50" s="3357">
        <f>T50</f>
        <v>2428.56</v>
      </c>
      <c r="V50" s="3358">
        <v>0</v>
      </c>
      <c r="W50" s="3335">
        <f t="shared" si="18"/>
        <v>99.310466659742161</v>
      </c>
      <c r="X50" s="3338">
        <v>2428.56</v>
      </c>
      <c r="Y50" s="3357">
        <f>P50/3*4</f>
        <v>2388.7333333333331</v>
      </c>
      <c r="Z50" s="3358">
        <v>0</v>
      </c>
      <c r="AA50" s="3379">
        <v>1171.8399999999999</v>
      </c>
      <c r="AB50" s="3378">
        <v>1744.17</v>
      </c>
      <c r="AC50" s="3407">
        <v>2311.15</v>
      </c>
      <c r="AD50" s="3379">
        <v>2380</v>
      </c>
      <c r="AE50" s="3376">
        <v>2380</v>
      </c>
      <c r="AF50" s="4192">
        <v>1223.6400000000001</v>
      </c>
      <c r="AG50" s="4115">
        <v>1799.67</v>
      </c>
      <c r="AH50" s="4115">
        <v>2360</v>
      </c>
      <c r="AI50" s="3379">
        <v>2360</v>
      </c>
      <c r="AJ50" s="3376">
        <v>2360</v>
      </c>
    </row>
    <row r="51" spans="1:36" ht="36" customHeight="1">
      <c r="A51" s="4129" t="s">
        <v>25</v>
      </c>
      <c r="B51" s="4145"/>
      <c r="C51" s="3477"/>
      <c r="D51" s="4146"/>
      <c r="E51" s="3342">
        <v>25</v>
      </c>
      <c r="F51" s="3343">
        <f>AA19</f>
        <v>46</v>
      </c>
      <c r="G51" s="3343">
        <v>28</v>
      </c>
      <c r="H51" s="3343">
        <v>38.5</v>
      </c>
      <c r="I51" s="3376">
        <v>49.8</v>
      </c>
      <c r="J51" s="3342">
        <v>46.13</v>
      </c>
      <c r="K51" s="3343">
        <v>46.13</v>
      </c>
      <c r="L51" s="3343"/>
      <c r="M51" s="3343">
        <f t="shared" si="1"/>
        <v>100.28260869565217</v>
      </c>
      <c r="N51" s="3377"/>
      <c r="O51" s="3378">
        <v>13.7</v>
      </c>
      <c r="P51" s="3378"/>
      <c r="Q51" s="3377">
        <v>17.559999999999999</v>
      </c>
      <c r="R51" s="3377"/>
      <c r="S51" s="3378">
        <v>18.22</v>
      </c>
      <c r="T51" s="3338">
        <v>21.42</v>
      </c>
      <c r="U51" s="3357"/>
      <c r="V51" s="3358">
        <f>(Q51-O51)*2+O51</f>
        <v>21.419999999999998</v>
      </c>
      <c r="W51" s="3335">
        <f t="shared" si="18"/>
        <v>0</v>
      </c>
      <c r="X51" s="3338">
        <v>49.8</v>
      </c>
      <c r="Y51" s="3357"/>
      <c r="Z51" s="3358">
        <f>V51</f>
        <v>21.419999999999998</v>
      </c>
      <c r="AA51" s="3379">
        <v>1.47</v>
      </c>
      <c r="AB51" s="3378">
        <v>1.95</v>
      </c>
      <c r="AC51" s="3407">
        <v>2.4</v>
      </c>
      <c r="AD51" s="3379">
        <v>18</v>
      </c>
      <c r="AE51" s="4147">
        <v>20.349</v>
      </c>
      <c r="AF51" s="4193">
        <v>1.08</v>
      </c>
      <c r="AG51" s="4116">
        <v>1.39</v>
      </c>
      <c r="AH51" s="4116">
        <v>1.85</v>
      </c>
      <c r="AI51" s="4148">
        <v>20</v>
      </c>
      <c r="AJ51" s="4147">
        <v>21.42</v>
      </c>
    </row>
    <row r="52" spans="1:36" ht="36" customHeight="1">
      <c r="A52" s="4149" t="s">
        <v>26</v>
      </c>
      <c r="B52" s="4150"/>
      <c r="C52" s="4151"/>
      <c r="D52" s="4152"/>
      <c r="E52" s="4153">
        <v>1175</v>
      </c>
      <c r="F52" s="4154">
        <f>AA20</f>
        <v>1206.2</v>
      </c>
      <c r="G52" s="4154">
        <v>617.79999999999995</v>
      </c>
      <c r="H52" s="4154">
        <v>904.7</v>
      </c>
      <c r="I52" s="3380">
        <v>1208.5</v>
      </c>
      <c r="J52" s="4153">
        <v>1192</v>
      </c>
      <c r="K52" s="4154">
        <v>1003.2910000000001</v>
      </c>
      <c r="L52" s="4154"/>
      <c r="M52" s="4154">
        <f t="shared" si="1"/>
        <v>83.177831205438565</v>
      </c>
      <c r="N52" s="3381">
        <v>539.03</v>
      </c>
      <c r="O52" s="3382"/>
      <c r="P52" s="3382">
        <v>755.5</v>
      </c>
      <c r="Q52" s="3381"/>
      <c r="R52" s="3381">
        <v>995.48</v>
      </c>
      <c r="S52" s="3382"/>
      <c r="T52" s="3383">
        <v>1003.1</v>
      </c>
      <c r="U52" s="4032">
        <f>T52+13.577</f>
        <v>1016.677</v>
      </c>
      <c r="V52" s="3384">
        <v>0</v>
      </c>
      <c r="W52" s="4155">
        <f t="shared" si="18"/>
        <v>101.33420911779334</v>
      </c>
      <c r="X52" s="3383">
        <v>1003.1</v>
      </c>
      <c r="Y52" s="4032">
        <f>P52/3*4*0.97</f>
        <v>977.11333333333334</v>
      </c>
      <c r="Z52" s="3384">
        <v>0</v>
      </c>
      <c r="AA52" s="3379">
        <v>456.93</v>
      </c>
      <c r="AB52" s="3378">
        <v>669.07</v>
      </c>
      <c r="AC52" s="3407">
        <v>914.56</v>
      </c>
      <c r="AD52" s="3379">
        <v>996</v>
      </c>
      <c r="AE52" s="3376">
        <v>996</v>
      </c>
      <c r="AF52" s="4192">
        <v>461.33</v>
      </c>
      <c r="AG52" s="4115">
        <v>673.64</v>
      </c>
      <c r="AH52" s="4115">
        <v>920</v>
      </c>
      <c r="AI52" s="3379">
        <v>970</v>
      </c>
      <c r="AJ52" s="3376">
        <v>920</v>
      </c>
    </row>
    <row r="53" spans="1:36" ht="36" customHeight="1">
      <c r="A53" s="4129" t="s">
        <v>842</v>
      </c>
      <c r="B53" s="4145"/>
      <c r="C53" s="3477"/>
      <c r="D53" s="4146"/>
      <c r="E53" s="3342"/>
      <c r="F53" s="3343"/>
      <c r="G53" s="3343"/>
      <c r="H53" s="3343"/>
      <c r="I53" s="3376"/>
      <c r="J53" s="3342"/>
      <c r="K53" s="3343">
        <f>SUM(K54:K55)</f>
        <v>557.55700000000002</v>
      </c>
      <c r="L53" s="3343"/>
      <c r="M53" s="3343"/>
      <c r="N53" s="3377">
        <v>199.15</v>
      </c>
      <c r="O53" s="3378"/>
      <c r="P53" s="3378">
        <v>290.18</v>
      </c>
      <c r="Q53" s="3377"/>
      <c r="R53" s="3377">
        <f>SUM(R54+R55)</f>
        <v>388.86</v>
      </c>
      <c r="S53" s="3376"/>
      <c r="T53" s="4156">
        <f>SUM(T54:T55)</f>
        <v>557.55700000000002</v>
      </c>
      <c r="U53" s="4157">
        <f>SUM(U54:U55)</f>
        <v>543.98</v>
      </c>
      <c r="V53" s="4158"/>
      <c r="W53" s="4159">
        <f t="shared" si="18"/>
        <v>97.564912645702591</v>
      </c>
      <c r="X53" s="3357">
        <f>SUM(X54:X55)</f>
        <v>557.55700000000002</v>
      </c>
      <c r="Y53" s="3357">
        <f>U53*(U53/K53)</f>
        <v>530.73361181009295</v>
      </c>
      <c r="Z53" s="3384"/>
      <c r="AA53" s="3379">
        <f>SUM(AA54:AA55)</f>
        <v>192.32000000000002</v>
      </c>
      <c r="AB53" s="3378">
        <f t="shared" ref="AB53:AG53" si="35">SUM(AB54:AB55)</f>
        <v>255.94</v>
      </c>
      <c r="AC53" s="3412">
        <f t="shared" si="35"/>
        <v>340.63</v>
      </c>
      <c r="AD53" s="3379">
        <f t="shared" si="35"/>
        <v>395</v>
      </c>
      <c r="AE53" s="3376">
        <f t="shared" si="35"/>
        <v>395</v>
      </c>
      <c r="AF53" s="4192">
        <f t="shared" si="35"/>
        <v>166.11</v>
      </c>
      <c r="AG53" s="4115">
        <f t="shared" si="35"/>
        <v>233.68</v>
      </c>
      <c r="AH53" s="4115">
        <f t="shared" ref="AH53" si="36">SUM(AH54:AH55)</f>
        <v>320</v>
      </c>
      <c r="AI53" s="3379">
        <f t="shared" ref="AI53:AJ53" si="37">SUM(AI54:AI55)</f>
        <v>370</v>
      </c>
      <c r="AJ53" s="3376">
        <f t="shared" si="37"/>
        <v>320</v>
      </c>
    </row>
    <row r="54" spans="1:36" ht="50.25" customHeight="1">
      <c r="A54" s="4137" t="s">
        <v>654</v>
      </c>
      <c r="B54" s="4145"/>
      <c r="C54" s="3477"/>
      <c r="D54" s="4146"/>
      <c r="E54" s="3342"/>
      <c r="F54" s="3343"/>
      <c r="G54" s="3343"/>
      <c r="H54" s="3343"/>
      <c r="I54" s="3376"/>
      <c r="J54" s="4143"/>
      <c r="K54" s="4142">
        <v>509.79</v>
      </c>
      <c r="L54" s="4142"/>
      <c r="M54" s="4142"/>
      <c r="N54" s="3385">
        <v>177.62</v>
      </c>
      <c r="O54" s="3386"/>
      <c r="P54" s="3386">
        <v>261.29000000000002</v>
      </c>
      <c r="Q54" s="3385"/>
      <c r="R54" s="3385">
        <v>347.5</v>
      </c>
      <c r="S54" s="3387"/>
      <c r="T54" s="4160">
        <v>509.79</v>
      </c>
      <c r="U54" s="4161">
        <v>494.28</v>
      </c>
      <c r="V54" s="4162">
        <v>0</v>
      </c>
      <c r="W54" s="4163">
        <f t="shared" si="18"/>
        <v>96.957570764432404</v>
      </c>
      <c r="X54" s="4164">
        <v>509.79</v>
      </c>
      <c r="Y54" s="4165"/>
      <c r="Z54" s="4165"/>
      <c r="AA54" s="3388">
        <v>171.33</v>
      </c>
      <c r="AB54" s="3386">
        <v>234.95</v>
      </c>
      <c r="AC54" s="3407">
        <v>319.64</v>
      </c>
      <c r="AD54" s="3388">
        <v>350</v>
      </c>
      <c r="AE54" s="3387">
        <v>350</v>
      </c>
      <c r="AF54" s="4194">
        <v>166.11</v>
      </c>
      <c r="AG54" s="4117">
        <v>233.68</v>
      </c>
      <c r="AH54" s="4117">
        <v>320</v>
      </c>
      <c r="AI54" s="3388">
        <v>370</v>
      </c>
      <c r="AJ54" s="3387">
        <v>320</v>
      </c>
    </row>
    <row r="55" spans="1:36" ht="58.5" customHeight="1" thickBot="1">
      <c r="A55" s="4166" t="s">
        <v>655</v>
      </c>
      <c r="B55" s="4167"/>
      <c r="C55" s="3485"/>
      <c r="D55" s="4168"/>
      <c r="E55" s="4169"/>
      <c r="F55" s="4170"/>
      <c r="G55" s="4170"/>
      <c r="H55" s="4170"/>
      <c r="I55" s="3394"/>
      <c r="J55" s="4171"/>
      <c r="K55" s="4172">
        <v>47.767000000000003</v>
      </c>
      <c r="L55" s="4172"/>
      <c r="M55" s="4172"/>
      <c r="N55" s="3395">
        <v>21.53</v>
      </c>
      <c r="O55" s="3396"/>
      <c r="P55" s="3396">
        <v>28.89</v>
      </c>
      <c r="Q55" s="3395"/>
      <c r="R55" s="3395">
        <v>41.36</v>
      </c>
      <c r="S55" s="3397"/>
      <c r="T55" s="4173">
        <v>47.767000000000003</v>
      </c>
      <c r="U55" s="4174">
        <v>49.7</v>
      </c>
      <c r="V55" s="4175">
        <v>0</v>
      </c>
      <c r="W55" s="4176">
        <f t="shared" si="18"/>
        <v>104.04672681977097</v>
      </c>
      <c r="X55" s="4177">
        <v>47.767000000000003</v>
      </c>
      <c r="Y55" s="4178"/>
      <c r="Z55" s="4178"/>
      <c r="AA55" s="3398">
        <v>20.99</v>
      </c>
      <c r="AB55" s="3396">
        <v>20.99</v>
      </c>
      <c r="AC55" s="3413">
        <v>20.99</v>
      </c>
      <c r="AD55" s="3398">
        <v>45</v>
      </c>
      <c r="AE55" s="3397">
        <v>45</v>
      </c>
      <c r="AF55" s="4195">
        <v>0</v>
      </c>
      <c r="AG55" s="4118">
        <v>0</v>
      </c>
      <c r="AH55" s="4118">
        <v>0</v>
      </c>
      <c r="AI55" s="3398">
        <v>0</v>
      </c>
      <c r="AJ55" s="3397">
        <v>0</v>
      </c>
    </row>
    <row r="56" spans="1:36" ht="20.100000000000001" customHeight="1" thickBot="1">
      <c r="A56" s="5078" t="s">
        <v>529</v>
      </c>
      <c r="B56" s="5079"/>
      <c r="C56" s="5079"/>
      <c r="D56" s="5079"/>
      <c r="E56" s="5079"/>
      <c r="F56" s="5079"/>
      <c r="G56" s="5079"/>
      <c r="H56" s="5079"/>
      <c r="I56" s="5079"/>
      <c r="J56" s="5079"/>
      <c r="K56" s="5079"/>
      <c r="L56" s="5079"/>
      <c r="M56" s="5079"/>
      <c r="N56" s="5079"/>
      <c r="O56" s="5079"/>
      <c r="P56" s="5079"/>
      <c r="Q56" s="5079"/>
      <c r="R56" s="5079"/>
      <c r="S56" s="5079"/>
      <c r="T56" s="5079"/>
      <c r="U56" s="5079"/>
      <c r="V56" s="5079"/>
      <c r="W56" s="5079"/>
      <c r="X56" s="5079"/>
      <c r="Y56" s="5079"/>
      <c r="Z56" s="5079"/>
      <c r="AA56" s="5080"/>
      <c r="AB56" s="5080"/>
      <c r="AC56" s="5080"/>
      <c r="AD56" s="5080"/>
      <c r="AE56" s="5080"/>
      <c r="AF56" s="5080"/>
      <c r="AG56" s="5080"/>
      <c r="AH56" s="5080"/>
      <c r="AI56" s="5080"/>
      <c r="AJ56" s="5081"/>
    </row>
    <row r="57" spans="1:36" ht="20.100000000000001" customHeight="1" thickBot="1">
      <c r="A57" s="778" t="s">
        <v>900</v>
      </c>
      <c r="B57" s="1186"/>
      <c r="C57" s="1060"/>
      <c r="D57" s="2700"/>
      <c r="E57" s="2701"/>
      <c r="F57" s="2702">
        <v>3672.7</v>
      </c>
      <c r="G57" s="2702">
        <v>2386.9</v>
      </c>
      <c r="H57" s="2702">
        <v>3499.5</v>
      </c>
      <c r="I57" s="2703">
        <v>4393.3999999999996</v>
      </c>
      <c r="J57" s="2701"/>
      <c r="K57" s="2702">
        <v>3644.7</v>
      </c>
      <c r="L57" s="2702">
        <v>28</v>
      </c>
      <c r="M57" s="2702"/>
      <c r="N57" s="2704">
        <v>2027.43</v>
      </c>
      <c r="O57" s="2704"/>
      <c r="P57" s="2705">
        <v>2915.24</v>
      </c>
      <c r="Q57" s="2706"/>
      <c r="R57" s="2706">
        <v>3840.95</v>
      </c>
      <c r="S57" s="2707"/>
      <c r="T57" s="2701">
        <v>4618.88</v>
      </c>
      <c r="U57" s="2702">
        <v>3445</v>
      </c>
      <c r="V57" s="3904"/>
      <c r="W57" s="3903"/>
      <c r="X57" s="3905"/>
      <c r="Y57" s="3906"/>
      <c r="Z57" s="3906"/>
      <c r="AA57" s="2704">
        <v>2163.23</v>
      </c>
      <c r="AB57" s="2705">
        <v>3278.72</v>
      </c>
      <c r="AC57" s="4182">
        <v>4217.37</v>
      </c>
      <c r="AD57" s="4179"/>
      <c r="AE57" s="4037"/>
      <c r="AF57" s="3416">
        <v>2201.38</v>
      </c>
      <c r="AG57" s="4196">
        <v>3300.4</v>
      </c>
      <c r="AH57" s="3417">
        <v>4300</v>
      </c>
      <c r="AI57" s="4179">
        <v>4217.37</v>
      </c>
      <c r="AJ57" s="4037"/>
    </row>
    <row r="58" spans="1:36" ht="36" customHeight="1">
      <c r="A58" s="773" t="s">
        <v>901</v>
      </c>
      <c r="B58" s="3373"/>
      <c r="C58" s="3374"/>
      <c r="D58" s="3375"/>
      <c r="E58" s="780">
        <v>3600</v>
      </c>
      <c r="F58" s="781">
        <f t="shared" ref="F58:L58" si="38">SUM(F59:F61)</f>
        <v>3672.7</v>
      </c>
      <c r="G58" s="781">
        <f t="shared" si="38"/>
        <v>1773.7999999999997</v>
      </c>
      <c r="H58" s="781">
        <f t="shared" si="38"/>
        <v>2603.1999999999998</v>
      </c>
      <c r="I58" s="882">
        <f t="shared" si="38"/>
        <v>3476.2</v>
      </c>
      <c r="J58" s="780">
        <f t="shared" si="38"/>
        <v>3672.7</v>
      </c>
      <c r="K58" s="781">
        <f t="shared" si="38"/>
        <v>3644.7</v>
      </c>
      <c r="L58" s="781">
        <f t="shared" si="38"/>
        <v>28</v>
      </c>
      <c r="M58" s="781">
        <f>SUM(K58/F58*100)</f>
        <v>99.237618101124511</v>
      </c>
      <c r="N58" s="881">
        <f t="shared" ref="N58:S58" si="39">SUM(N59:N61)</f>
        <v>1670.74</v>
      </c>
      <c r="O58" s="881">
        <f t="shared" si="39"/>
        <v>0</v>
      </c>
      <c r="P58" s="1939">
        <f>P59+P60</f>
        <v>2395.17</v>
      </c>
      <c r="Q58" s="881">
        <f t="shared" si="39"/>
        <v>14.2</v>
      </c>
      <c r="R58" s="1939">
        <f>R59+R60</f>
        <v>3186.5699999999997</v>
      </c>
      <c r="S58" s="881">
        <f t="shared" si="39"/>
        <v>23.38</v>
      </c>
      <c r="T58" s="780">
        <f>SUM(T59:T61)</f>
        <v>3463.9333333333334</v>
      </c>
      <c r="U58" s="781">
        <f>SUM(U59:U61)</f>
        <v>3445</v>
      </c>
      <c r="V58" s="781">
        <f>SUM(V59:V61)</f>
        <v>18.933333333333334</v>
      </c>
      <c r="W58" s="786">
        <f>SUM(U58/K58*100)</f>
        <v>94.520811040689225</v>
      </c>
      <c r="X58" s="780">
        <f>SUM(X59:X61)</f>
        <v>3463.9333333333334</v>
      </c>
      <c r="Y58" s="781">
        <f>SUM(Y59:Y61)</f>
        <v>3445</v>
      </c>
      <c r="Z58" s="781">
        <f>SUM(Z59:Z61)</f>
        <v>18.933333333333334</v>
      </c>
      <c r="AA58" s="881">
        <f t="shared" ref="AA58:AC58" si="40">SUM(AA59:AA61)</f>
        <v>1577.71</v>
      </c>
      <c r="AB58" s="1939">
        <f t="shared" si="40"/>
        <v>2304.86</v>
      </c>
      <c r="AC58" s="3414">
        <f t="shared" si="40"/>
        <v>3061.4900000000002</v>
      </c>
      <c r="AD58" s="4180">
        <f t="shared" ref="AD58:AH58" si="41">SUM(AD59:AD61)</f>
        <v>3223</v>
      </c>
      <c r="AE58" s="882">
        <f t="shared" si="41"/>
        <v>3295.75</v>
      </c>
      <c r="AF58" s="2794">
        <f t="shared" si="41"/>
        <v>1601.85</v>
      </c>
      <c r="AG58" s="4197">
        <f t="shared" si="41"/>
        <v>2339.08</v>
      </c>
      <c r="AH58" s="3415">
        <f t="shared" si="41"/>
        <v>3100</v>
      </c>
      <c r="AI58" s="4180">
        <f t="shared" ref="AI58:AJ58" si="42">SUM(AI59:AI61)</f>
        <v>3253</v>
      </c>
      <c r="AJ58" s="882">
        <f t="shared" si="42"/>
        <v>3248.93</v>
      </c>
    </row>
    <row r="59" spans="1:36" ht="36" customHeight="1">
      <c r="A59" s="3332" t="s">
        <v>27</v>
      </c>
      <c r="B59" s="3373"/>
      <c r="C59" s="3374"/>
      <c r="D59" s="3375"/>
      <c r="E59" s="3333">
        <v>2600</v>
      </c>
      <c r="F59" s="3334">
        <f>E59</f>
        <v>2600</v>
      </c>
      <c r="G59" s="3334">
        <v>1250.8</v>
      </c>
      <c r="H59" s="3399">
        <v>1837.1</v>
      </c>
      <c r="I59" s="3376">
        <v>2448.6999999999998</v>
      </c>
      <c r="J59" s="3333">
        <v>2600</v>
      </c>
      <c r="K59" s="3334">
        <f>J59</f>
        <v>2600</v>
      </c>
      <c r="L59" s="3334"/>
      <c r="M59" s="3334">
        <f>SUM(K59/F59*100)</f>
        <v>100</v>
      </c>
      <c r="N59" s="3377">
        <v>1186.01</v>
      </c>
      <c r="O59" s="3378"/>
      <c r="P59" s="3378">
        <v>1721.55</v>
      </c>
      <c r="Q59" s="3377"/>
      <c r="R59" s="3377">
        <v>2289.52</v>
      </c>
      <c r="S59" s="3376"/>
      <c r="T59" s="3333">
        <v>2448</v>
      </c>
      <c r="U59" s="3334">
        <f>T59</f>
        <v>2448</v>
      </c>
      <c r="V59" s="3400"/>
      <c r="W59" s="3341">
        <f>SUM(U59/K59*100)</f>
        <v>94.15384615384616</v>
      </c>
      <c r="X59" s="3333">
        <v>2448</v>
      </c>
      <c r="Y59" s="3334">
        <f>X59</f>
        <v>2448</v>
      </c>
      <c r="Z59" s="3400"/>
      <c r="AA59" s="3377">
        <v>1148.96</v>
      </c>
      <c r="AB59" s="3378">
        <v>1686.35</v>
      </c>
      <c r="AC59" s="3407">
        <v>2239.89</v>
      </c>
      <c r="AD59" s="3379">
        <v>2300</v>
      </c>
      <c r="AE59" s="3376">
        <v>2300</v>
      </c>
      <c r="AF59" s="4192">
        <v>1203.46</v>
      </c>
      <c r="AG59" s="4115">
        <v>1757.22</v>
      </c>
      <c r="AH59" s="4198">
        <v>2280</v>
      </c>
      <c r="AI59" s="3379">
        <v>2280</v>
      </c>
      <c r="AJ59" s="3376">
        <v>2280</v>
      </c>
    </row>
    <row r="60" spans="1:36" ht="36" customHeight="1">
      <c r="A60" s="3332" t="s">
        <v>29</v>
      </c>
      <c r="B60" s="3373"/>
      <c r="C60" s="3374"/>
      <c r="D60" s="3375"/>
      <c r="E60" s="3333">
        <v>972</v>
      </c>
      <c r="F60" s="3334">
        <f>AA26+2.4</f>
        <v>1044.7</v>
      </c>
      <c r="G60" s="3334">
        <v>513.4</v>
      </c>
      <c r="H60" s="3399">
        <v>751.9</v>
      </c>
      <c r="I60" s="3376">
        <v>997.3</v>
      </c>
      <c r="J60" s="3333">
        <v>1044.7</v>
      </c>
      <c r="K60" s="3334">
        <f>J60</f>
        <v>1044.7</v>
      </c>
      <c r="L60" s="3334"/>
      <c r="M60" s="3334">
        <f>SUM(K60/F60*100)</f>
        <v>100</v>
      </c>
      <c r="N60" s="3377">
        <v>475.06</v>
      </c>
      <c r="O60" s="3378"/>
      <c r="P60" s="3378">
        <v>673.62</v>
      </c>
      <c r="Q60" s="3377"/>
      <c r="R60" s="3377">
        <v>897.05</v>
      </c>
      <c r="S60" s="3376"/>
      <c r="T60" s="3333">
        <v>997</v>
      </c>
      <c r="U60" s="3334">
        <f>T60</f>
        <v>997</v>
      </c>
      <c r="V60" s="3400"/>
      <c r="W60" s="3341">
        <f>SUM(U60/K60*100)</f>
        <v>95.434095912702205</v>
      </c>
      <c r="X60" s="3333">
        <v>997</v>
      </c>
      <c r="Y60" s="3334">
        <f>X60</f>
        <v>997</v>
      </c>
      <c r="Z60" s="3400"/>
      <c r="AA60" s="3377">
        <v>418.52</v>
      </c>
      <c r="AB60" s="3378">
        <v>603.16999999999996</v>
      </c>
      <c r="AC60" s="3407">
        <v>800.95</v>
      </c>
      <c r="AD60" s="3379">
        <v>900</v>
      </c>
      <c r="AE60" s="3376">
        <v>972.75</v>
      </c>
      <c r="AF60" s="4192">
        <v>389.1</v>
      </c>
      <c r="AG60" s="4115">
        <v>567.63</v>
      </c>
      <c r="AH60" s="4198">
        <v>800</v>
      </c>
      <c r="AI60" s="3379">
        <v>950</v>
      </c>
      <c r="AJ60" s="3376">
        <v>950</v>
      </c>
    </row>
    <row r="61" spans="1:36" ht="36" customHeight="1" thickBot="1">
      <c r="A61" s="777" t="s">
        <v>68</v>
      </c>
      <c r="B61" s="3389"/>
      <c r="C61" s="3390"/>
      <c r="D61" s="3391"/>
      <c r="E61" s="3392">
        <v>28</v>
      </c>
      <c r="F61" s="3393">
        <v>28</v>
      </c>
      <c r="G61" s="3393">
        <v>9.6</v>
      </c>
      <c r="H61" s="3401">
        <v>14.2</v>
      </c>
      <c r="I61" s="3394">
        <v>30.2</v>
      </c>
      <c r="J61" s="3392">
        <v>28</v>
      </c>
      <c r="K61" s="3393">
        <v>0</v>
      </c>
      <c r="L61" s="3393">
        <v>28</v>
      </c>
      <c r="M61" s="3393">
        <f>SUM(K61/F61*100)</f>
        <v>0</v>
      </c>
      <c r="N61" s="3402">
        <v>9.67</v>
      </c>
      <c r="O61" s="3403"/>
      <c r="P61" s="3403"/>
      <c r="Q61" s="3402">
        <v>14.2</v>
      </c>
      <c r="R61" s="3402"/>
      <c r="S61" s="3394">
        <v>23.38</v>
      </c>
      <c r="T61" s="3392">
        <f>SUM(V61)</f>
        <v>18.933333333333334</v>
      </c>
      <c r="U61" s="3393"/>
      <c r="V61" s="3404">
        <f>Q61/3*4</f>
        <v>18.933333333333334</v>
      </c>
      <c r="W61" s="3405" t="e">
        <f>SUM(U61/K61*100)</f>
        <v>#DIV/0!</v>
      </c>
      <c r="X61" s="3392">
        <f>SUM(Z61)</f>
        <v>18.933333333333334</v>
      </c>
      <c r="Y61" s="3393"/>
      <c r="Z61" s="3404">
        <f>V61</f>
        <v>18.933333333333334</v>
      </c>
      <c r="AA61" s="3402">
        <v>10.23</v>
      </c>
      <c r="AB61" s="3403">
        <v>15.34</v>
      </c>
      <c r="AC61" s="3413">
        <v>20.65</v>
      </c>
      <c r="AD61" s="4181">
        <v>23</v>
      </c>
      <c r="AE61" s="3394">
        <v>23</v>
      </c>
      <c r="AF61" s="4199">
        <v>9.2899999999999991</v>
      </c>
      <c r="AG61" s="4200">
        <v>14.23</v>
      </c>
      <c r="AH61" s="4201">
        <v>20</v>
      </c>
      <c r="AI61" s="4181">
        <v>23</v>
      </c>
      <c r="AJ61" s="3394">
        <v>18.93</v>
      </c>
    </row>
    <row r="62" spans="1:36">
      <c r="AD62" s="618"/>
    </row>
  </sheetData>
  <mergeCells count="56">
    <mergeCell ref="A2:AJ2"/>
    <mergeCell ref="K5:AA5"/>
    <mergeCell ref="P35:Q36"/>
    <mergeCell ref="R35:S36"/>
    <mergeCell ref="G6:G8"/>
    <mergeCell ref="E34:I34"/>
    <mergeCell ref="AI34:AJ34"/>
    <mergeCell ref="AI35:AI37"/>
    <mergeCell ref="AJ35:AJ37"/>
    <mergeCell ref="AA6:AA8"/>
    <mergeCell ref="T34:W34"/>
    <mergeCell ref="T35:T37"/>
    <mergeCell ref="AF34:AH34"/>
    <mergeCell ref="AF35:AF37"/>
    <mergeCell ref="AG35:AG37"/>
    <mergeCell ref="AH35:AH37"/>
    <mergeCell ref="A1:AJ1"/>
    <mergeCell ref="A4:AJ4"/>
    <mergeCell ref="A3:AJ3"/>
    <mergeCell ref="AA34:AC37"/>
    <mergeCell ref="C5:D5"/>
    <mergeCell ref="D6:D8"/>
    <mergeCell ref="E6:E8"/>
    <mergeCell ref="J35:J37"/>
    <mergeCell ref="I35:I37"/>
    <mergeCell ref="A9:AA9"/>
    <mergeCell ref="G35:G37"/>
    <mergeCell ref="H35:H37"/>
    <mergeCell ref="A34:A37"/>
    <mergeCell ref="M35:M37"/>
    <mergeCell ref="A21:AA21"/>
    <mergeCell ref="H6:H8"/>
    <mergeCell ref="A56:AJ56"/>
    <mergeCell ref="AD35:AD37"/>
    <mergeCell ref="AE35:AE37"/>
    <mergeCell ref="J6:J8"/>
    <mergeCell ref="C6:C8"/>
    <mergeCell ref="AD34:AE34"/>
    <mergeCell ref="X34:Z34"/>
    <mergeCell ref="X35:X37"/>
    <mergeCell ref="Y35:Z36"/>
    <mergeCell ref="N35:O36"/>
    <mergeCell ref="U35:V36"/>
    <mergeCell ref="J34:S34"/>
    <mergeCell ref="W35:W37"/>
    <mergeCell ref="A32:J32"/>
    <mergeCell ref="E35:E37"/>
    <mergeCell ref="F35:F37"/>
    <mergeCell ref="F6:F8"/>
    <mergeCell ref="K6:K8"/>
    <mergeCell ref="A38:AJ38"/>
    <mergeCell ref="K35:L36"/>
    <mergeCell ref="H5:J5"/>
    <mergeCell ref="F5:G5"/>
    <mergeCell ref="B5:B8"/>
    <mergeCell ref="A5:A8"/>
  </mergeCells>
  <phoneticPr fontId="9" type="noConversion"/>
  <printOptions horizontalCentered="1" verticalCentered="1"/>
  <pageMargins left="0.15748031496062992" right="0.15748031496062992" top="0.15748031496062992" bottom="0.15748031496062992" header="0.51181102362204722" footer="0.51181102362204722"/>
  <pageSetup paperSize="9" scale="41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2:AH72"/>
  <sheetViews>
    <sheetView topLeftCell="G38" zoomScale="73" zoomScaleNormal="73" zoomScalePageLayoutView="90" workbookViewId="0">
      <selection activeCell="AC56" sqref="AC56"/>
    </sheetView>
  </sheetViews>
  <sheetFormatPr defaultRowHeight="12.75" outlineLevelRow="1"/>
  <cols>
    <col min="1" max="1" width="49.28515625" customWidth="1"/>
    <col min="2" max="4" width="15.42578125" customWidth="1"/>
    <col min="5" max="5" width="14" customWidth="1"/>
    <col min="6" max="8" width="17" customWidth="1"/>
    <col min="9" max="9" width="17.42578125" customWidth="1"/>
    <col min="10" max="12" width="19.42578125" customWidth="1"/>
    <col min="13" max="13" width="20.5703125" customWidth="1"/>
    <col min="14" max="14" width="16" hidden="1" customWidth="1"/>
    <col min="15" max="15" width="8.140625" hidden="1" customWidth="1"/>
    <col min="16" max="17" width="16" customWidth="1"/>
    <col min="18" max="19" width="13.28515625" hidden="1" customWidth="1"/>
    <col min="20" max="20" width="14.140625" customWidth="1"/>
    <col min="21" max="21" width="17.140625" customWidth="1"/>
    <col min="22" max="22" width="15.85546875" hidden="1" customWidth="1"/>
    <col min="23" max="24" width="15.28515625" customWidth="1"/>
    <col min="25" max="26" width="13.28515625" hidden="1" customWidth="1"/>
    <col min="27" max="28" width="15.85546875" customWidth="1"/>
    <col min="29" max="30" width="15.28515625" customWidth="1"/>
    <col min="31" max="31" width="14.140625" customWidth="1"/>
    <col min="32" max="32" width="13.140625" customWidth="1"/>
    <col min="33" max="33" width="9.7109375" customWidth="1"/>
    <col min="34" max="34" width="13.28515625" customWidth="1"/>
  </cols>
  <sheetData>
    <row r="2" spans="1:34" ht="18.75">
      <c r="A2" s="5154" t="s">
        <v>57</v>
      </c>
      <c r="B2" s="5154"/>
      <c r="C2" s="5154"/>
      <c r="D2" s="5154"/>
      <c r="E2" s="5154"/>
      <c r="F2" s="5154"/>
      <c r="G2" s="5154"/>
      <c r="H2" s="5154"/>
      <c r="I2" s="5154"/>
      <c r="J2" s="5154"/>
      <c r="K2" s="5154"/>
      <c r="L2" s="5154"/>
      <c r="M2" s="5154"/>
      <c r="N2" s="5154"/>
      <c r="O2" s="5154"/>
      <c r="P2" s="5154"/>
      <c r="Q2" s="5154"/>
      <c r="R2" s="5154"/>
      <c r="S2" s="5154"/>
      <c r="T2" s="5154"/>
      <c r="U2" s="5154"/>
      <c r="V2" s="5154"/>
      <c r="W2" s="5154"/>
      <c r="X2" s="5154"/>
      <c r="Y2" s="5154"/>
      <c r="Z2" s="5154"/>
      <c r="AA2" s="5154"/>
      <c r="AB2" s="5154"/>
      <c r="AC2" s="5154"/>
      <c r="AD2" s="5154"/>
      <c r="AE2" s="5154"/>
      <c r="AF2" s="5154"/>
      <c r="AG2" s="5154"/>
    </row>
    <row r="3" spans="1:34">
      <c r="A3" s="4997" t="s">
        <v>19</v>
      </c>
      <c r="B3" s="4998"/>
      <c r="C3" s="4998"/>
      <c r="D3" s="4998"/>
      <c r="E3" s="4998"/>
      <c r="F3" s="4998"/>
      <c r="G3" s="4998"/>
      <c r="H3" s="4998"/>
      <c r="I3" s="4998"/>
      <c r="J3" s="4998"/>
      <c r="K3" s="4998"/>
      <c r="L3" s="4998"/>
      <c r="M3" s="4998"/>
      <c r="N3" s="4998"/>
      <c r="O3" s="4998"/>
      <c r="P3" s="4998"/>
      <c r="Q3" s="4998"/>
      <c r="R3" s="4998"/>
      <c r="S3" s="4998"/>
      <c r="T3" s="4998"/>
      <c r="U3" s="4998"/>
      <c r="V3" s="4998"/>
      <c r="W3" s="4998"/>
      <c r="X3" s="4998"/>
      <c r="Y3" s="4998"/>
      <c r="Z3" s="4998"/>
      <c r="AA3" s="4998"/>
      <c r="AB3" s="4998"/>
      <c r="AC3" s="4998"/>
      <c r="AD3" s="4998"/>
      <c r="AE3" s="4998"/>
      <c r="AF3" s="4998"/>
      <c r="AG3" s="4998"/>
    </row>
    <row r="4" spans="1:34" ht="12.75" hidden="1" customHeight="1">
      <c r="A4" s="5076"/>
      <c r="B4" s="5074" t="s">
        <v>58</v>
      </c>
      <c r="C4" s="1599"/>
      <c r="D4" s="1599"/>
      <c r="E4" s="1599"/>
      <c r="F4" s="1599"/>
      <c r="G4" s="1599"/>
      <c r="H4" s="1599"/>
      <c r="I4" s="1599"/>
      <c r="J4" s="5071" t="s">
        <v>59</v>
      </c>
      <c r="K4" s="5072"/>
      <c r="L4" s="5072"/>
      <c r="M4" s="5073"/>
      <c r="N4" s="5071" t="s">
        <v>67</v>
      </c>
      <c r="O4" s="5073"/>
      <c r="P4" s="5071" t="s">
        <v>95</v>
      </c>
      <c r="Q4" s="5072"/>
      <c r="R4" s="5073"/>
      <c r="S4" s="5071" t="s">
        <v>124</v>
      </c>
      <c r="T4" s="5072"/>
      <c r="U4" s="5072"/>
      <c r="V4" s="5072"/>
      <c r="W4" s="5135" t="s">
        <v>162</v>
      </c>
      <c r="X4" s="5136"/>
      <c r="Y4" s="5136"/>
      <c r="Z4" s="5136"/>
      <c r="AA4" s="5136"/>
      <c r="AB4" s="5136"/>
      <c r="AC4" s="5136"/>
      <c r="AD4" s="5136"/>
      <c r="AE4" s="5136"/>
      <c r="AF4" s="5136"/>
      <c r="AG4" s="5136"/>
      <c r="AH4" s="5155"/>
    </row>
    <row r="5" spans="1:34" ht="12.75" hidden="1" customHeight="1">
      <c r="A5" s="5076"/>
      <c r="B5" s="5074"/>
      <c r="C5" s="1599"/>
      <c r="D5" s="1599"/>
      <c r="E5" s="1599"/>
      <c r="F5" s="1599"/>
      <c r="G5" s="1599"/>
      <c r="H5" s="1599"/>
      <c r="I5" s="1599"/>
      <c r="J5" s="5153" t="s">
        <v>61</v>
      </c>
      <c r="K5" s="1615"/>
      <c r="L5" s="1615"/>
      <c r="M5" s="5156" t="s">
        <v>62</v>
      </c>
      <c r="N5" s="5153" t="s">
        <v>61</v>
      </c>
      <c r="O5" s="5156" t="s">
        <v>66</v>
      </c>
      <c r="P5" s="5153" t="s">
        <v>61</v>
      </c>
      <c r="Q5" s="1615"/>
      <c r="R5" s="5156" t="s">
        <v>112</v>
      </c>
      <c r="S5" s="5153" t="s">
        <v>60</v>
      </c>
      <c r="T5" s="1562"/>
      <c r="U5" s="764"/>
      <c r="V5" s="5157" t="s">
        <v>110</v>
      </c>
      <c r="W5" s="5153" t="s">
        <v>96</v>
      </c>
      <c r="X5" s="1569"/>
      <c r="Y5" s="764"/>
      <c r="Z5" s="764"/>
      <c r="AA5" s="764"/>
      <c r="AB5" s="1729"/>
      <c r="AC5" s="764"/>
      <c r="AD5" s="1562"/>
      <c r="AE5" s="764"/>
      <c r="AF5" s="5157" t="s">
        <v>128</v>
      </c>
      <c r="AG5" s="5157" t="s">
        <v>97</v>
      </c>
      <c r="AH5" s="5156" t="s">
        <v>61</v>
      </c>
    </row>
    <row r="6" spans="1:34" ht="12.75" hidden="1" customHeight="1">
      <c r="A6" s="5076"/>
      <c r="B6" s="5074"/>
      <c r="C6" s="1599"/>
      <c r="D6" s="1599"/>
      <c r="E6" s="1599"/>
      <c r="F6" s="1599"/>
      <c r="G6" s="1599"/>
      <c r="H6" s="1599"/>
      <c r="I6" s="1599"/>
      <c r="J6" s="5060"/>
      <c r="K6" s="332"/>
      <c r="L6" s="332"/>
      <c r="M6" s="5089"/>
      <c r="N6" s="5060"/>
      <c r="O6" s="5089"/>
      <c r="P6" s="5060"/>
      <c r="Q6" s="332"/>
      <c r="R6" s="5089"/>
      <c r="S6" s="5060"/>
      <c r="T6" s="1536"/>
      <c r="U6" s="1536"/>
      <c r="V6" s="5158"/>
      <c r="W6" s="5060"/>
      <c r="X6" s="1570"/>
      <c r="Y6" s="1536"/>
      <c r="Z6" s="1536"/>
      <c r="AA6" s="1536"/>
      <c r="AB6" s="1559"/>
      <c r="AC6" s="1536"/>
      <c r="AD6" s="1536"/>
      <c r="AE6" s="1536"/>
      <c r="AF6" s="5158"/>
      <c r="AG6" s="5158"/>
      <c r="AH6" s="5089"/>
    </row>
    <row r="7" spans="1:34" ht="13.5" hidden="1" customHeight="1" thickBot="1">
      <c r="A7" s="5077"/>
      <c r="B7" s="5075"/>
      <c r="C7" s="1600"/>
      <c r="D7" s="1600"/>
      <c r="E7" s="1600"/>
      <c r="F7" s="1600"/>
      <c r="G7" s="1600"/>
      <c r="H7" s="1600"/>
      <c r="I7" s="1600"/>
      <c r="J7" s="5061"/>
      <c r="K7" s="1616"/>
      <c r="L7" s="1616"/>
      <c r="M7" s="5090"/>
      <c r="N7" s="5061"/>
      <c r="O7" s="5090"/>
      <c r="P7" s="5061"/>
      <c r="Q7" s="1616"/>
      <c r="R7" s="5090"/>
      <c r="S7" s="5061"/>
      <c r="T7" s="1537"/>
      <c r="U7" s="1537"/>
      <c r="V7" s="5159"/>
      <c r="W7" s="5061"/>
      <c r="X7" s="1571"/>
      <c r="Y7" s="1537"/>
      <c r="Z7" s="1537"/>
      <c r="AA7" s="1537"/>
      <c r="AB7" s="1560"/>
      <c r="AC7" s="1537"/>
      <c r="AD7" s="1537"/>
      <c r="AE7" s="1537"/>
      <c r="AF7" s="5159"/>
      <c r="AG7" s="5159"/>
      <c r="AH7" s="5090"/>
    </row>
    <row r="8" spans="1:34" ht="13.5" hidden="1" thickBot="1">
      <c r="A8" s="5123" t="s">
        <v>46</v>
      </c>
      <c r="B8" s="5124"/>
      <c r="C8" s="5124"/>
      <c r="D8" s="5124"/>
      <c r="E8" s="5124"/>
      <c r="F8" s="5124"/>
      <c r="G8" s="5124"/>
      <c r="H8" s="5124"/>
      <c r="I8" s="5124"/>
      <c r="J8" s="5124"/>
      <c r="K8" s="5124"/>
      <c r="L8" s="5124"/>
      <c r="M8" s="5124"/>
      <c r="N8" s="5124"/>
      <c r="O8" s="5124"/>
      <c r="P8" s="5124"/>
      <c r="Q8" s="5124"/>
      <c r="R8" s="5124"/>
      <c r="S8" s="5124"/>
      <c r="T8" s="5124"/>
      <c r="U8" s="5124"/>
      <c r="V8" s="5124"/>
      <c r="W8" s="5124"/>
      <c r="X8" s="5124"/>
      <c r="Y8" s="5124"/>
      <c r="Z8" s="5124"/>
      <c r="AA8" s="5124"/>
      <c r="AB8" s="5124"/>
      <c r="AC8" s="5124"/>
      <c r="AD8" s="5124"/>
      <c r="AE8" s="5124"/>
      <c r="AF8" s="5124"/>
      <c r="AG8" s="5124"/>
      <c r="AH8" s="5125"/>
    </row>
    <row r="9" spans="1:34" hidden="1">
      <c r="A9" s="32" t="s">
        <v>18</v>
      </c>
      <c r="B9" s="36">
        <f>B10+B12</f>
        <v>10513.699999999999</v>
      </c>
      <c r="C9" s="1601"/>
      <c r="D9" s="1601"/>
      <c r="E9" s="1601"/>
      <c r="F9" s="1601"/>
      <c r="G9" s="1601"/>
      <c r="H9" s="1601"/>
      <c r="I9" s="1601"/>
      <c r="J9" s="41">
        <f>J10+J12</f>
        <v>8838.9000000000015</v>
      </c>
      <c r="K9" s="1621"/>
      <c r="L9" s="1621"/>
      <c r="M9" s="42">
        <f>J9/B9*100</f>
        <v>84.07030826445498</v>
      </c>
      <c r="N9" s="41">
        <f>N10+N11+N12</f>
        <v>8862.9</v>
      </c>
      <c r="O9" s="106">
        <f>N9/J9*100</f>
        <v>100.27152699996604</v>
      </c>
      <c r="P9" s="1540">
        <f>P10+P11+P12</f>
        <v>8372.9</v>
      </c>
      <c r="Q9" s="1601"/>
      <c r="R9" s="42">
        <f>P9/N9*100</f>
        <v>94.471335567365088</v>
      </c>
      <c r="S9" s="114">
        <f>SUM(S10:S12)</f>
        <v>6659.1</v>
      </c>
      <c r="T9" s="41"/>
      <c r="U9" s="41"/>
      <c r="V9" s="41">
        <f>V10+V11+V12</f>
        <v>6666.9000000000005</v>
      </c>
      <c r="W9" s="1540">
        <f>W10+W12</f>
        <v>6659.1</v>
      </c>
      <c r="X9" s="114"/>
      <c r="Y9" s="53"/>
      <c r="Z9" s="53"/>
      <c r="AA9" s="53"/>
      <c r="AB9" s="53"/>
      <c r="AC9" s="53"/>
      <c r="AD9" s="53"/>
      <c r="AE9" s="53"/>
      <c r="AF9" s="41">
        <f>SUM(AF10:AF12)</f>
        <v>6381</v>
      </c>
      <c r="AG9" s="53">
        <f t="shared" ref="AG9:AG15" si="0">AF9/S9*100</f>
        <v>95.823759967563177</v>
      </c>
      <c r="AH9" s="176">
        <f>AH10+AH12</f>
        <v>7835.7</v>
      </c>
    </row>
    <row r="10" spans="1:34" hidden="1">
      <c r="A10" s="33" t="s">
        <v>20</v>
      </c>
      <c r="B10" s="37">
        <v>744.9</v>
      </c>
      <c r="C10" s="1602"/>
      <c r="D10" s="1602"/>
      <c r="E10" s="1602"/>
      <c r="F10" s="1602"/>
      <c r="G10" s="1602"/>
      <c r="H10" s="1602"/>
      <c r="I10" s="1602"/>
      <c r="J10" s="1538">
        <v>643.70000000000005</v>
      </c>
      <c r="K10" s="1622"/>
      <c r="L10" s="1622"/>
      <c r="M10" s="44">
        <f>J10/B10*100</f>
        <v>86.414283796482763</v>
      </c>
      <c r="N10" s="1538">
        <v>811.9</v>
      </c>
      <c r="O10" s="107">
        <f>N10/J10*100</f>
        <v>126.13018486872764</v>
      </c>
      <c r="P10" s="1541">
        <v>876.4</v>
      </c>
      <c r="Q10" s="1602"/>
      <c r="R10" s="44">
        <f t="shared" ref="R10:R19" si="1">P10/N10*100</f>
        <v>107.9443281192265</v>
      </c>
      <c r="S10" s="112">
        <v>841.6</v>
      </c>
      <c r="T10" s="1610"/>
      <c r="U10" s="765"/>
      <c r="V10" s="11">
        <v>580.70000000000005</v>
      </c>
      <c r="W10" s="1541">
        <v>876</v>
      </c>
      <c r="X10" s="1572"/>
      <c r="Y10" s="769"/>
      <c r="Z10" s="769"/>
      <c r="AA10" s="769"/>
      <c r="AB10" s="1730"/>
      <c r="AC10" s="769"/>
      <c r="AD10" s="1563"/>
      <c r="AE10" s="769"/>
      <c r="AF10" s="1538">
        <v>876</v>
      </c>
      <c r="AG10" s="6">
        <f t="shared" si="0"/>
        <v>104.08745247148288</v>
      </c>
      <c r="AH10" s="281">
        <f>7835.7-4227.7-2796.3</f>
        <v>811.69999999999982</v>
      </c>
    </row>
    <row r="11" spans="1:34" hidden="1">
      <c r="A11" s="54" t="s">
        <v>113</v>
      </c>
      <c r="B11" s="31"/>
      <c r="C11" s="1603"/>
      <c r="D11" s="1603"/>
      <c r="E11" s="1603"/>
      <c r="F11" s="1603"/>
      <c r="G11" s="1603"/>
      <c r="H11" s="1603"/>
      <c r="I11" s="1603"/>
      <c r="J11" s="2"/>
      <c r="K11" s="1623"/>
      <c r="L11" s="1623"/>
      <c r="M11" s="46"/>
      <c r="N11" s="2">
        <v>54.2</v>
      </c>
      <c r="O11" s="108"/>
      <c r="P11" s="55">
        <v>0</v>
      </c>
      <c r="Q11" s="1603"/>
      <c r="R11" s="44">
        <f t="shared" si="1"/>
        <v>0</v>
      </c>
      <c r="S11" s="111">
        <v>22.5</v>
      </c>
      <c r="T11" s="1611"/>
      <c r="U11" s="766"/>
      <c r="V11" s="30"/>
      <c r="W11" s="55"/>
      <c r="X11" s="1573"/>
      <c r="Y11" s="769"/>
      <c r="Z11" s="769"/>
      <c r="AA11" s="769"/>
      <c r="AB11" s="1730"/>
      <c r="AC11" s="769"/>
      <c r="AD11" s="1563"/>
      <c r="AE11" s="769"/>
      <c r="AF11" s="2"/>
      <c r="AG11" s="30">
        <f t="shared" si="0"/>
        <v>0</v>
      </c>
      <c r="AH11" s="177"/>
    </row>
    <row r="12" spans="1:34" hidden="1">
      <c r="A12" s="33" t="s">
        <v>21</v>
      </c>
      <c r="B12" s="37">
        <f>B13+B15</f>
        <v>9768.7999999999993</v>
      </c>
      <c r="C12" s="1602"/>
      <c r="D12" s="1602"/>
      <c r="E12" s="1602"/>
      <c r="F12" s="1602"/>
      <c r="G12" s="1602"/>
      <c r="H12" s="1602"/>
      <c r="I12" s="1602"/>
      <c r="J12" s="1538">
        <f>J13+J15</f>
        <v>8195.2000000000007</v>
      </c>
      <c r="K12" s="1622"/>
      <c r="L12" s="1622"/>
      <c r="M12" s="44">
        <f>J12/B12*100</f>
        <v>83.891573171730414</v>
      </c>
      <c r="N12" s="1538">
        <f>N13+N15</f>
        <v>7996.7999999999993</v>
      </c>
      <c r="O12" s="107">
        <f>N12/J12*100</f>
        <v>97.579070675517357</v>
      </c>
      <c r="P12" s="1541">
        <f>P13+P15</f>
        <v>7496.5</v>
      </c>
      <c r="Q12" s="1602"/>
      <c r="R12" s="44">
        <f t="shared" si="1"/>
        <v>93.74374749899961</v>
      </c>
      <c r="S12" s="112">
        <f>S13+S15</f>
        <v>5795</v>
      </c>
      <c r="T12" s="1612"/>
      <c r="U12" s="1539"/>
      <c r="V12" s="1538">
        <f>V13+V15</f>
        <v>6086.2000000000007</v>
      </c>
      <c r="W12" s="1541">
        <f>W13+W15</f>
        <v>5783.1</v>
      </c>
      <c r="X12" s="1572"/>
      <c r="Y12" s="769"/>
      <c r="Z12" s="769"/>
      <c r="AA12" s="769"/>
      <c r="AB12" s="1730"/>
      <c r="AC12" s="769"/>
      <c r="AD12" s="1563"/>
      <c r="AE12" s="769"/>
      <c r="AF12" s="1538">
        <f>AF13+AF15</f>
        <v>5505</v>
      </c>
      <c r="AG12" s="6">
        <f t="shared" si="0"/>
        <v>94.995685936151858</v>
      </c>
      <c r="AH12" s="258">
        <f>AH13+AH15</f>
        <v>7024</v>
      </c>
    </row>
    <row r="13" spans="1:34" hidden="1">
      <c r="A13" s="33" t="s">
        <v>51</v>
      </c>
      <c r="B13" s="37">
        <v>4444.8999999999996</v>
      </c>
      <c r="C13" s="1602"/>
      <c r="D13" s="1602"/>
      <c r="E13" s="1602"/>
      <c r="F13" s="1602"/>
      <c r="G13" s="1602"/>
      <c r="H13" s="1602"/>
      <c r="I13" s="1602"/>
      <c r="J13" s="1538">
        <v>3172</v>
      </c>
      <c r="K13" s="1622"/>
      <c r="L13" s="1622"/>
      <c r="M13" s="44">
        <f>J13/B13*100</f>
        <v>71.36268532475421</v>
      </c>
      <c r="N13" s="1538">
        <v>3094</v>
      </c>
      <c r="O13" s="107">
        <f>N13/J13*100</f>
        <v>97.540983606557376</v>
      </c>
      <c r="P13" s="1541">
        <v>2972.2</v>
      </c>
      <c r="Q13" s="1602"/>
      <c r="R13" s="44">
        <f t="shared" si="1"/>
        <v>96.063348416289585</v>
      </c>
      <c r="S13" s="112">
        <v>1150</v>
      </c>
      <c r="T13" s="1610"/>
      <c r="U13" s="765"/>
      <c r="V13" s="11">
        <v>2822.4</v>
      </c>
      <c r="W13" s="1541">
        <v>1683.1</v>
      </c>
      <c r="X13" s="1572"/>
      <c r="Y13" s="769"/>
      <c r="Z13" s="769"/>
      <c r="AA13" s="769"/>
      <c r="AB13" s="1730"/>
      <c r="AC13" s="769"/>
      <c r="AD13" s="1563"/>
      <c r="AE13" s="769"/>
      <c r="AF13" s="1538">
        <v>1100</v>
      </c>
      <c r="AG13" s="6">
        <f t="shared" si="0"/>
        <v>95.652173913043484</v>
      </c>
      <c r="AH13" s="177">
        <v>2796.3</v>
      </c>
    </row>
    <row r="14" spans="1:34" ht="27.75" hidden="1" customHeight="1">
      <c r="A14" s="34" t="s">
        <v>117</v>
      </c>
      <c r="B14" s="38">
        <f>B13/B12*100</f>
        <v>45.500982720497909</v>
      </c>
      <c r="C14" s="1604"/>
      <c r="D14" s="1604"/>
      <c r="E14" s="1604"/>
      <c r="F14" s="1604"/>
      <c r="G14" s="1604"/>
      <c r="H14" s="1604"/>
      <c r="I14" s="1604"/>
      <c r="J14" s="29">
        <f>J13/J12*100</f>
        <v>38.705583756345177</v>
      </c>
      <c r="K14" s="1624"/>
      <c r="L14" s="1624"/>
      <c r="M14" s="46">
        <f>J14/B14*100</f>
        <v>85.065379783343786</v>
      </c>
      <c r="N14" s="29">
        <f>N13/N12*100</f>
        <v>38.69047619047619</v>
      </c>
      <c r="O14" s="108">
        <f>N14/J14*100</f>
        <v>99.960967993754878</v>
      </c>
      <c r="P14" s="45">
        <f>P13/P12*100</f>
        <v>39.647835656639764</v>
      </c>
      <c r="Q14" s="1604"/>
      <c r="R14" s="44"/>
      <c r="S14" s="117">
        <f>S13/S12*100</f>
        <v>19.844693701466781</v>
      </c>
      <c r="T14" s="1611"/>
      <c r="U14" s="766"/>
      <c r="V14" s="30">
        <f>V13/V12*100</f>
        <v>46.373763596332687</v>
      </c>
      <c r="W14" s="45">
        <f>W13/W12*100</f>
        <v>29.103767875360965</v>
      </c>
      <c r="X14" s="1574"/>
      <c r="Y14" s="769"/>
      <c r="Z14" s="769"/>
      <c r="AA14" s="769"/>
      <c r="AB14" s="1730"/>
      <c r="AC14" s="769"/>
      <c r="AD14" s="1563"/>
      <c r="AE14" s="769"/>
      <c r="AF14" s="93">
        <f>AF13/AF12*100</f>
        <v>19.981834695731155</v>
      </c>
      <c r="AG14" s="30">
        <f t="shared" si="0"/>
        <v>100.69107135805395</v>
      </c>
      <c r="AH14" s="259">
        <f>AH13/AH12*100</f>
        <v>39.810649202733487</v>
      </c>
    </row>
    <row r="15" spans="1:34" hidden="1">
      <c r="A15" s="33" t="s">
        <v>22</v>
      </c>
      <c r="B15" s="37">
        <f>SUM(B17:B19)</f>
        <v>5323.9</v>
      </c>
      <c r="C15" s="1602"/>
      <c r="D15" s="1602"/>
      <c r="E15" s="1602"/>
      <c r="F15" s="1602"/>
      <c r="G15" s="1602"/>
      <c r="H15" s="1602"/>
      <c r="I15" s="1602"/>
      <c r="J15" s="1538">
        <f>SUM(J17:J19)</f>
        <v>5023.2000000000007</v>
      </c>
      <c r="K15" s="1622"/>
      <c r="L15" s="1622"/>
      <c r="M15" s="44">
        <f>J15/B15*100</f>
        <v>94.351884896410539</v>
      </c>
      <c r="N15" s="1538">
        <f>SUM(N17:N19)</f>
        <v>4902.7999999999993</v>
      </c>
      <c r="O15" s="107">
        <f>N15/J15*100</f>
        <v>97.603121516164975</v>
      </c>
      <c r="P15" s="1541">
        <f>SUM(P17:P19)</f>
        <v>4524.3</v>
      </c>
      <c r="Q15" s="1602"/>
      <c r="R15" s="44">
        <f t="shared" si="1"/>
        <v>92.279921677408851</v>
      </c>
      <c r="S15" s="112">
        <f>SUM(S17:S19)</f>
        <v>4645</v>
      </c>
      <c r="T15" s="1612"/>
      <c r="U15" s="1539"/>
      <c r="V15" s="1538">
        <f>SUM(V17:V19)</f>
        <v>3263.8</v>
      </c>
      <c r="W15" s="1541">
        <f>SUM(W17:W19)</f>
        <v>4100</v>
      </c>
      <c r="X15" s="1572"/>
      <c r="Y15" s="769"/>
      <c r="Z15" s="769"/>
      <c r="AA15" s="769"/>
      <c r="AB15" s="1730"/>
      <c r="AC15" s="769"/>
      <c r="AD15" s="1563"/>
      <c r="AE15" s="769"/>
      <c r="AF15" s="1538">
        <f>SUM(AF17:AF19)</f>
        <v>4405</v>
      </c>
      <c r="AG15" s="6">
        <f t="shared" si="0"/>
        <v>94.833153928955866</v>
      </c>
      <c r="AH15" s="258">
        <f>SUM(AH17:AH19)</f>
        <v>4227.7</v>
      </c>
    </row>
    <row r="16" spans="1:34" hidden="1">
      <c r="A16" s="33" t="s">
        <v>50</v>
      </c>
      <c r="B16" s="37"/>
      <c r="C16" s="1602"/>
      <c r="D16" s="1602"/>
      <c r="E16" s="1602"/>
      <c r="F16" s="1602"/>
      <c r="G16" s="1602"/>
      <c r="H16" s="1602"/>
      <c r="I16" s="1602"/>
      <c r="J16" s="1538"/>
      <c r="K16" s="1622"/>
      <c r="L16" s="1622"/>
      <c r="M16" s="44"/>
      <c r="N16" s="1538"/>
      <c r="O16" s="107"/>
      <c r="P16" s="1541"/>
      <c r="Q16" s="1602"/>
      <c r="R16" s="44"/>
      <c r="S16" s="112"/>
      <c r="T16" s="1610"/>
      <c r="U16" s="765"/>
      <c r="V16" s="6"/>
      <c r="W16" s="1541"/>
      <c r="X16" s="1572"/>
      <c r="Y16" s="769"/>
      <c r="Z16" s="769"/>
      <c r="AA16" s="769"/>
      <c r="AB16" s="1730"/>
      <c r="AC16" s="769"/>
      <c r="AD16" s="1563"/>
      <c r="AE16" s="769"/>
      <c r="AF16" s="1538"/>
      <c r="AG16" s="6"/>
      <c r="AH16" s="177"/>
    </row>
    <row r="17" spans="1:34" hidden="1">
      <c r="A17" s="33" t="s">
        <v>24</v>
      </c>
      <c r="B17" s="37">
        <v>3682.8</v>
      </c>
      <c r="C17" s="1602"/>
      <c r="D17" s="1602"/>
      <c r="E17" s="1602"/>
      <c r="F17" s="1602"/>
      <c r="G17" s="1602"/>
      <c r="H17" s="1602"/>
      <c r="I17" s="1602"/>
      <c r="J17" s="1538">
        <v>3570.3</v>
      </c>
      <c r="K17" s="1622"/>
      <c r="L17" s="1622"/>
      <c r="M17" s="44">
        <f>J17/B17*100</f>
        <v>96.945259042033243</v>
      </c>
      <c r="N17" s="1538">
        <v>3407.1</v>
      </c>
      <c r="O17" s="107">
        <f>N17/J17*100</f>
        <v>95.42895554995377</v>
      </c>
      <c r="P17" s="1541">
        <v>3159.6</v>
      </c>
      <c r="Q17" s="1602"/>
      <c r="R17" s="44">
        <f t="shared" si="1"/>
        <v>92.735757682486579</v>
      </c>
      <c r="S17" s="112">
        <v>3192</v>
      </c>
      <c r="T17" s="1610"/>
      <c r="U17" s="765"/>
      <c r="V17" s="11">
        <v>2288.1</v>
      </c>
      <c r="W17" s="1541">
        <v>2860</v>
      </c>
      <c r="X17" s="1572"/>
      <c r="Y17" s="769"/>
      <c r="Z17" s="769"/>
      <c r="AA17" s="769"/>
      <c r="AB17" s="1730"/>
      <c r="AC17" s="769"/>
      <c r="AD17" s="1563"/>
      <c r="AE17" s="769"/>
      <c r="AF17" s="1538">
        <v>3100</v>
      </c>
      <c r="AG17" s="6">
        <f>AF17/S17*100</f>
        <v>97.11779448621553</v>
      </c>
      <c r="AH17" s="177">
        <v>2975.5</v>
      </c>
    </row>
    <row r="18" spans="1:34" hidden="1">
      <c r="A18" s="33" t="s">
        <v>25</v>
      </c>
      <c r="B18" s="37">
        <v>129.69999999999999</v>
      </c>
      <c r="C18" s="1602"/>
      <c r="D18" s="1602"/>
      <c r="E18" s="1602"/>
      <c r="F18" s="1602"/>
      <c r="G18" s="1602"/>
      <c r="H18" s="1602"/>
      <c r="I18" s="1602"/>
      <c r="J18" s="1538">
        <v>59.4</v>
      </c>
      <c r="K18" s="1622"/>
      <c r="L18" s="1622"/>
      <c r="M18" s="44">
        <f>J18/B18*100</f>
        <v>45.797995373939862</v>
      </c>
      <c r="N18" s="1538">
        <v>46.1</v>
      </c>
      <c r="O18" s="107">
        <f>N18/J18*100</f>
        <v>77.609427609427613</v>
      </c>
      <c r="P18" s="1541">
        <v>54.9</v>
      </c>
      <c r="Q18" s="1602"/>
      <c r="R18" s="44">
        <f t="shared" si="1"/>
        <v>119.08893709327548</v>
      </c>
      <c r="S18" s="112">
        <v>59</v>
      </c>
      <c r="T18" s="1610"/>
      <c r="U18" s="765"/>
      <c r="V18" s="11">
        <v>36.799999999999997</v>
      </c>
      <c r="W18" s="1541">
        <v>55</v>
      </c>
      <c r="X18" s="1572"/>
      <c r="Y18" s="769"/>
      <c r="Z18" s="769"/>
      <c r="AA18" s="769"/>
      <c r="AB18" s="1730"/>
      <c r="AC18" s="769"/>
      <c r="AD18" s="1563"/>
      <c r="AE18" s="769"/>
      <c r="AF18" s="1538">
        <v>55</v>
      </c>
      <c r="AG18" s="6">
        <f>AF18/S18*100</f>
        <v>93.220338983050837</v>
      </c>
      <c r="AH18" s="177">
        <v>46</v>
      </c>
    </row>
    <row r="19" spans="1:34" ht="13.5" hidden="1" thickBot="1">
      <c r="A19" s="35" t="s">
        <v>26</v>
      </c>
      <c r="B19" s="39">
        <v>1511.4</v>
      </c>
      <c r="C19" s="1605"/>
      <c r="D19" s="1605"/>
      <c r="E19" s="1605"/>
      <c r="F19" s="1605"/>
      <c r="G19" s="1605"/>
      <c r="H19" s="1605"/>
      <c r="I19" s="1605"/>
      <c r="J19" s="48">
        <v>1393.5</v>
      </c>
      <c r="K19" s="1625"/>
      <c r="L19" s="1625"/>
      <c r="M19" s="49">
        <f>J19/B19*100</f>
        <v>92.199285430726476</v>
      </c>
      <c r="N19" s="48">
        <v>1449.6</v>
      </c>
      <c r="O19" s="113">
        <f>N19/J19*100</f>
        <v>104.0258342303552</v>
      </c>
      <c r="P19" s="51">
        <v>1309.8</v>
      </c>
      <c r="Q19" s="1617"/>
      <c r="R19" s="118">
        <f t="shared" si="1"/>
        <v>90.355960264900673</v>
      </c>
      <c r="S19" s="116">
        <v>1394</v>
      </c>
      <c r="T19" s="1613"/>
      <c r="U19" s="50"/>
      <c r="V19" s="50">
        <v>938.9</v>
      </c>
      <c r="W19" s="1542">
        <v>1185</v>
      </c>
      <c r="X19" s="1575"/>
      <c r="Y19" s="52"/>
      <c r="Z19" s="52"/>
      <c r="AA19" s="52"/>
      <c r="AB19" s="1564"/>
      <c r="AC19" s="52"/>
      <c r="AD19" s="1564"/>
      <c r="AE19" s="52"/>
      <c r="AF19" s="48">
        <v>1250</v>
      </c>
      <c r="AG19" s="52">
        <f>AF19/S19*100</f>
        <v>89.670014347202297</v>
      </c>
      <c r="AH19" s="178">
        <v>1206.2</v>
      </c>
    </row>
    <row r="20" spans="1:34" ht="13.5" hidden="1" thickBot="1">
      <c r="A20" s="5131" t="s">
        <v>47</v>
      </c>
      <c r="B20" s="5132"/>
      <c r="C20" s="5132"/>
      <c r="D20" s="5132"/>
      <c r="E20" s="5132"/>
      <c r="F20" s="5132"/>
      <c r="G20" s="5132"/>
      <c r="H20" s="5132"/>
      <c r="I20" s="5132"/>
      <c r="J20" s="5132"/>
      <c r="K20" s="5132"/>
      <c r="L20" s="5132"/>
      <c r="M20" s="5132"/>
      <c r="N20" s="5132"/>
      <c r="O20" s="5132"/>
      <c r="P20" s="5132"/>
      <c r="Q20" s="5132"/>
      <c r="R20" s="5132"/>
      <c r="S20" s="5132"/>
      <c r="T20" s="5132"/>
      <c r="U20" s="5132"/>
      <c r="V20" s="5132"/>
      <c r="W20" s="5132"/>
      <c r="X20" s="5132"/>
      <c r="Y20" s="5132"/>
      <c r="Z20" s="5132"/>
      <c r="AA20" s="5132"/>
      <c r="AB20" s="5132"/>
      <c r="AC20" s="5132"/>
      <c r="AD20" s="5132"/>
      <c r="AE20" s="5132"/>
      <c r="AF20" s="5132"/>
      <c r="AG20" s="5132"/>
      <c r="AH20" s="5133"/>
    </row>
    <row r="21" spans="1:34" hidden="1">
      <c r="A21" s="149" t="s">
        <v>122</v>
      </c>
      <c r="B21" s="150">
        <f>SUM(B23:B26)</f>
        <v>4738.2</v>
      </c>
      <c r="C21" s="152"/>
      <c r="D21" s="152"/>
      <c r="E21" s="152"/>
      <c r="F21" s="152"/>
      <c r="G21" s="152"/>
      <c r="H21" s="152"/>
      <c r="I21" s="152"/>
      <c r="J21" s="146">
        <f>SUM(J23:J26)</f>
        <v>4585.8</v>
      </c>
      <c r="K21" s="1626"/>
      <c r="L21" s="1626"/>
      <c r="M21" s="151">
        <f>J21/B21*100</f>
        <v>96.783588704571372</v>
      </c>
      <c r="N21" s="150">
        <f>SUM(N23:N26)</f>
        <v>4415.2</v>
      </c>
      <c r="O21" s="152">
        <f>SUM(O23:O26)</f>
        <v>389.68342743817789</v>
      </c>
      <c r="P21" s="153">
        <f>SUM(P23:P26)</f>
        <v>4093.2000000000003</v>
      </c>
      <c r="Q21" s="152"/>
      <c r="R21" s="154">
        <f>P21/N21*100</f>
        <v>92.707012139880419</v>
      </c>
      <c r="S21" s="115">
        <f>SUM(S23:S26)</f>
        <v>4224.5</v>
      </c>
      <c r="T21" s="146"/>
      <c r="U21" s="146"/>
      <c r="V21" s="146">
        <f>SUM(V23:V26)</f>
        <v>2958.3</v>
      </c>
      <c r="W21" s="1540">
        <f>SUM(W23:W26)</f>
        <v>3695</v>
      </c>
      <c r="X21" s="114"/>
      <c r="Y21" s="53"/>
      <c r="Z21" s="53"/>
      <c r="AA21" s="53"/>
      <c r="AB21" s="53"/>
      <c r="AC21" s="53"/>
      <c r="AD21" s="53"/>
      <c r="AE21" s="53"/>
      <c r="AF21" s="41">
        <f>SUM(AF23:AF26)</f>
        <v>4018</v>
      </c>
      <c r="AG21" s="53">
        <f>AF21/S21*100</f>
        <v>95.111847555923774</v>
      </c>
      <c r="AH21" s="260">
        <f>SUM(AH23:AH26)</f>
        <v>3805.3</v>
      </c>
    </row>
    <row r="22" spans="1:34" hidden="1">
      <c r="A22" s="33" t="s">
        <v>23</v>
      </c>
      <c r="B22" s="37"/>
      <c r="C22" s="1602"/>
      <c r="D22" s="1602"/>
      <c r="E22" s="1602"/>
      <c r="F22" s="1602"/>
      <c r="G22" s="1602"/>
      <c r="H22" s="1602"/>
      <c r="I22" s="1602"/>
      <c r="J22" s="1538"/>
      <c r="K22" s="1622"/>
      <c r="L22" s="1622"/>
      <c r="M22" s="107"/>
      <c r="N22" s="37"/>
      <c r="O22" s="105"/>
      <c r="P22" s="119"/>
      <c r="Q22" s="1618"/>
      <c r="R22" s="44"/>
      <c r="S22" s="112"/>
      <c r="T22" s="1610"/>
      <c r="U22" s="765"/>
      <c r="V22" s="6"/>
      <c r="W22" s="1541"/>
      <c r="X22" s="1572"/>
      <c r="Y22" s="769"/>
      <c r="Z22" s="769"/>
      <c r="AA22" s="769"/>
      <c r="AB22" s="1730"/>
      <c r="AC22" s="769"/>
      <c r="AD22" s="1563"/>
      <c r="AE22" s="769"/>
      <c r="AF22" s="1538"/>
      <c r="AG22" s="6"/>
      <c r="AH22" s="261"/>
    </row>
    <row r="23" spans="1:34" hidden="1">
      <c r="A23" s="33" t="s">
        <v>27</v>
      </c>
      <c r="B23" s="37">
        <v>3483.6</v>
      </c>
      <c r="C23" s="1602"/>
      <c r="D23" s="1602"/>
      <c r="E23" s="1602"/>
      <c r="F23" s="1602"/>
      <c r="G23" s="1602"/>
      <c r="H23" s="1602"/>
      <c r="I23" s="1602"/>
      <c r="J23" s="1538">
        <v>3439.8</v>
      </c>
      <c r="K23" s="1622"/>
      <c r="L23" s="1622"/>
      <c r="M23" s="107">
        <f>J23/B23*100</f>
        <v>98.742679986221162</v>
      </c>
      <c r="N23" s="37">
        <v>3278.3</v>
      </c>
      <c r="O23" s="105">
        <f>N23/J23*100</f>
        <v>95.304959590673874</v>
      </c>
      <c r="P23" s="120">
        <v>3032.3</v>
      </c>
      <c r="Q23" s="1619"/>
      <c r="R23" s="44">
        <f>P23/N23*100</f>
        <v>92.496110789128522</v>
      </c>
      <c r="S23" s="112">
        <v>3064.5</v>
      </c>
      <c r="T23" s="1610"/>
      <c r="U23" s="765"/>
      <c r="V23" s="11">
        <v>2188.8000000000002</v>
      </c>
      <c r="W23" s="1541">
        <v>2632</v>
      </c>
      <c r="X23" s="1572"/>
      <c r="Y23" s="769"/>
      <c r="Z23" s="769"/>
      <c r="AA23" s="769"/>
      <c r="AB23" s="1730"/>
      <c r="AC23" s="769"/>
      <c r="AD23" s="1563"/>
      <c r="AE23" s="769"/>
      <c r="AF23" s="1538">
        <v>2955</v>
      </c>
      <c r="AG23" s="6">
        <f>AF23/S23*100</f>
        <v>96.426823299069994</v>
      </c>
      <c r="AH23" s="261">
        <v>2735</v>
      </c>
    </row>
    <row r="24" spans="1:34" hidden="1">
      <c r="A24" s="33" t="s">
        <v>28</v>
      </c>
      <c r="B24" s="37">
        <v>293.89999999999998</v>
      </c>
      <c r="C24" s="1602"/>
      <c r="D24" s="1602"/>
      <c r="E24" s="1602"/>
      <c r="F24" s="1602"/>
      <c r="G24" s="1602"/>
      <c r="H24" s="1602"/>
      <c r="I24" s="1602"/>
      <c r="J24" s="1538">
        <v>272.2</v>
      </c>
      <c r="K24" s="1622"/>
      <c r="L24" s="1622"/>
      <c r="M24" s="107">
        <f>J24/B24*100</f>
        <v>92.61653623681525</v>
      </c>
      <c r="N24" s="37">
        <v>252.6</v>
      </c>
      <c r="O24" s="105">
        <f>N24/J24*100</f>
        <v>92.799412196914034</v>
      </c>
      <c r="P24" s="120"/>
      <c r="Q24" s="1619"/>
      <c r="R24" s="44">
        <f>P24/N24*100</f>
        <v>0</v>
      </c>
      <c r="S24" s="112"/>
      <c r="T24" s="1610"/>
      <c r="U24" s="765"/>
      <c r="V24" s="11"/>
      <c r="W24" s="1541"/>
      <c r="X24" s="1572"/>
      <c r="Y24" s="769"/>
      <c r="Z24" s="769"/>
      <c r="AA24" s="769"/>
      <c r="AB24" s="1730"/>
      <c r="AC24" s="769"/>
      <c r="AD24" s="1563"/>
      <c r="AE24" s="769"/>
      <c r="AF24" s="1538"/>
      <c r="AG24" s="6"/>
      <c r="AH24" s="261"/>
    </row>
    <row r="25" spans="1:34" hidden="1">
      <c r="A25" s="33" t="s">
        <v>29</v>
      </c>
      <c r="B25" s="37">
        <v>932.3</v>
      </c>
      <c r="C25" s="1602"/>
      <c r="D25" s="1602"/>
      <c r="E25" s="1602"/>
      <c r="F25" s="1602"/>
      <c r="G25" s="1602"/>
      <c r="H25" s="1602"/>
      <c r="I25" s="1602"/>
      <c r="J25" s="1538">
        <v>845.1</v>
      </c>
      <c r="K25" s="1622"/>
      <c r="L25" s="1622"/>
      <c r="M25" s="107">
        <f>J25/B25*100</f>
        <v>90.646787514748482</v>
      </c>
      <c r="N25" s="37">
        <v>855.5</v>
      </c>
      <c r="O25" s="105">
        <f>N25/J25*100</f>
        <v>101.23062359484085</v>
      </c>
      <c r="P25" s="120">
        <v>1034.5</v>
      </c>
      <c r="Q25" s="1619"/>
      <c r="R25" s="44">
        <f>P25/N25*100</f>
        <v>120.92343658679134</v>
      </c>
      <c r="S25" s="115">
        <v>1132</v>
      </c>
      <c r="T25" s="1610"/>
      <c r="U25" s="765"/>
      <c r="V25" s="11">
        <v>755.4</v>
      </c>
      <c r="W25" s="1541">
        <v>1035</v>
      </c>
      <c r="X25" s="1572"/>
      <c r="Y25" s="769"/>
      <c r="Z25" s="769"/>
      <c r="AA25" s="769"/>
      <c r="AB25" s="1730"/>
      <c r="AC25" s="769"/>
      <c r="AD25" s="1563"/>
      <c r="AE25" s="769"/>
      <c r="AF25" s="1538">
        <v>1035</v>
      </c>
      <c r="AG25" s="6">
        <f>AF25/S25*100</f>
        <v>91.431095406360413</v>
      </c>
      <c r="AH25" s="261">
        <f>449.5+407.8+92.5+92.5</f>
        <v>1042.3</v>
      </c>
    </row>
    <row r="26" spans="1:34" ht="13.5" hidden="1" thickBot="1">
      <c r="A26" s="35" t="s">
        <v>68</v>
      </c>
      <c r="B26" s="39">
        <v>28.4</v>
      </c>
      <c r="C26" s="1605"/>
      <c r="D26" s="1605"/>
      <c r="E26" s="1605"/>
      <c r="F26" s="1605"/>
      <c r="G26" s="1605"/>
      <c r="H26" s="1605"/>
      <c r="I26" s="1605"/>
      <c r="J26" s="48">
        <v>28.7</v>
      </c>
      <c r="K26" s="1625"/>
      <c r="L26" s="1625"/>
      <c r="M26" s="113">
        <f>J26/B26*100</f>
        <v>101.05633802816902</v>
      </c>
      <c r="N26" s="39">
        <v>28.8</v>
      </c>
      <c r="O26" s="105">
        <f>N26/J26*100</f>
        <v>100.34843205574913</v>
      </c>
      <c r="P26" s="121">
        <v>26.4</v>
      </c>
      <c r="Q26" s="1620"/>
      <c r="R26" s="49">
        <f>P26/N26*100</f>
        <v>91.666666666666657</v>
      </c>
      <c r="S26" s="116">
        <v>28</v>
      </c>
      <c r="T26" s="1613"/>
      <c r="U26" s="50"/>
      <c r="V26" s="50">
        <v>14.1</v>
      </c>
      <c r="W26" s="1542">
        <v>28</v>
      </c>
      <c r="X26" s="1575"/>
      <c r="Y26" s="52"/>
      <c r="Z26" s="52"/>
      <c r="AA26" s="52"/>
      <c r="AB26" s="1564"/>
      <c r="AC26" s="52"/>
      <c r="AD26" s="1564"/>
      <c r="AE26" s="52"/>
      <c r="AF26" s="48">
        <v>28</v>
      </c>
      <c r="AG26" s="52">
        <f>AF26/S26*100</f>
        <v>100</v>
      </c>
      <c r="AH26" s="262">
        <v>28</v>
      </c>
    </row>
    <row r="27" spans="1:34" hidden="1">
      <c r="A27" s="241" t="s">
        <v>368</v>
      </c>
      <c r="N27" s="162">
        <f>N10/N9</f>
        <v>9.1606584752169151E-2</v>
      </c>
      <c r="O27" s="162">
        <f t="shared" ref="O27:AF27" si="2">O10/O9</f>
        <v>1.257886347624589</v>
      </c>
      <c r="P27" s="162">
        <f t="shared" si="2"/>
        <v>0.10467102198760286</v>
      </c>
      <c r="Q27" s="162"/>
      <c r="S27" s="162">
        <f t="shared" si="2"/>
        <v>0.12638344521031369</v>
      </c>
      <c r="T27" s="162"/>
      <c r="U27" s="162"/>
      <c r="V27" s="162">
        <f t="shared" si="2"/>
        <v>8.7101951431699895E-2</v>
      </c>
      <c r="W27" s="162">
        <f t="shared" si="2"/>
        <v>0.1315493084651079</v>
      </c>
      <c r="X27" s="162"/>
      <c r="AF27" s="162">
        <f t="shared" si="2"/>
        <v>0.13728255759285379</v>
      </c>
      <c r="AH27" s="162">
        <f>AH10/AH9</f>
        <v>0.10358997919777427</v>
      </c>
    </row>
    <row r="28" spans="1:34" hidden="1">
      <c r="A28" s="104" t="s">
        <v>250</v>
      </c>
    </row>
    <row r="29" spans="1:34" hidden="1">
      <c r="A29" s="104"/>
    </row>
    <row r="30" spans="1:34" hidden="1">
      <c r="A30" s="104"/>
    </row>
    <row r="31" spans="1:34" ht="34.5" hidden="1" customHeight="1">
      <c r="A31" s="5106" t="s">
        <v>242</v>
      </c>
      <c r="B31" s="5106"/>
      <c r="C31" s="5106"/>
      <c r="D31" s="5106"/>
      <c r="E31" s="5106"/>
      <c r="F31" s="5106"/>
      <c r="G31" s="5106"/>
      <c r="H31" s="5106"/>
      <c r="I31" s="5106"/>
      <c r="J31" s="5106"/>
      <c r="K31" s="5106"/>
      <c r="L31" s="5106"/>
      <c r="M31" s="5106"/>
      <c r="N31" s="5106"/>
      <c r="O31" s="5106"/>
      <c r="P31" s="5106"/>
      <c r="Q31" s="5106"/>
      <c r="R31" s="5106"/>
      <c r="S31" s="5106"/>
      <c r="T31" s="5106"/>
      <c r="U31" s="5106"/>
      <c r="V31" s="5106"/>
    </row>
    <row r="32" spans="1:34" ht="9.75" customHeight="1" thickBot="1">
      <c r="A32" s="137"/>
      <c r="B32" s="137"/>
      <c r="C32" s="137"/>
      <c r="D32" s="137"/>
      <c r="E32" s="137"/>
      <c r="F32" s="137"/>
      <c r="G32" s="137"/>
      <c r="H32" s="137"/>
      <c r="I32" s="137"/>
      <c r="J32" s="137"/>
      <c r="K32" s="137"/>
      <c r="L32" s="137"/>
      <c r="M32" s="137"/>
      <c r="N32" s="137"/>
      <c r="O32" s="137"/>
      <c r="P32" s="137"/>
      <c r="Q32" s="137"/>
      <c r="R32" s="137"/>
      <c r="S32" s="137"/>
    </row>
    <row r="33" spans="1:33" ht="34.5" customHeight="1">
      <c r="A33" s="5160" t="s">
        <v>545</v>
      </c>
      <c r="B33" s="5091" t="s">
        <v>95</v>
      </c>
      <c r="C33" s="5100"/>
      <c r="D33" s="5100"/>
      <c r="E33" s="5206"/>
      <c r="F33" s="5091" t="s">
        <v>124</v>
      </c>
      <c r="G33" s="5100"/>
      <c r="H33" s="5100"/>
      <c r="I33" s="5206"/>
      <c r="J33" s="5091" t="s">
        <v>163</v>
      </c>
      <c r="K33" s="5100"/>
      <c r="L33" s="5100"/>
      <c r="M33" s="5206"/>
      <c r="N33" s="5163" t="s">
        <v>241</v>
      </c>
      <c r="O33" s="5164"/>
      <c r="P33" s="5164"/>
      <c r="Q33" s="5164"/>
      <c r="R33" s="5164"/>
      <c r="S33" s="5164"/>
      <c r="T33" s="5165"/>
      <c r="U33" s="5166"/>
      <c r="V33" s="5164" t="s">
        <v>377</v>
      </c>
      <c r="W33" s="5164"/>
      <c r="X33" s="5164"/>
      <c r="Y33" s="5167"/>
      <c r="Z33" s="5168"/>
      <c r="AA33" s="5163" t="s">
        <v>662</v>
      </c>
      <c r="AB33" s="5164"/>
      <c r="AC33" s="5164"/>
      <c r="AD33" s="5164"/>
      <c r="AE33" s="5168"/>
      <c r="AF33" s="5169" t="s">
        <v>246</v>
      </c>
      <c r="AG33" s="5170"/>
    </row>
    <row r="34" spans="1:33" ht="21" customHeight="1">
      <c r="A34" s="5161"/>
      <c r="B34" s="5190" t="s">
        <v>531</v>
      </c>
      <c r="C34" s="5191"/>
      <c r="D34" s="5177" t="s">
        <v>894</v>
      </c>
      <c r="E34" s="5217"/>
      <c r="F34" s="5207" t="s">
        <v>531</v>
      </c>
      <c r="G34" s="5191"/>
      <c r="H34" s="5177" t="s">
        <v>894</v>
      </c>
      <c r="I34" s="5187"/>
      <c r="J34" s="5207" t="s">
        <v>531</v>
      </c>
      <c r="K34" s="5191"/>
      <c r="L34" s="5177" t="s">
        <v>894</v>
      </c>
      <c r="M34" s="5187"/>
      <c r="N34" s="5175" t="s">
        <v>530</v>
      </c>
      <c r="O34" s="5177" t="s">
        <v>161</v>
      </c>
      <c r="P34" s="5190" t="s">
        <v>531</v>
      </c>
      <c r="Q34" s="5191"/>
      <c r="R34" s="5177" t="s">
        <v>532</v>
      </c>
      <c r="S34" s="5177" t="s">
        <v>533</v>
      </c>
      <c r="T34" s="5177" t="s">
        <v>894</v>
      </c>
      <c r="U34" s="5187"/>
      <c r="V34" s="5228" t="s">
        <v>530</v>
      </c>
      <c r="W34" s="5190" t="s">
        <v>531</v>
      </c>
      <c r="X34" s="5191"/>
      <c r="Y34" s="5226" t="s">
        <v>532</v>
      </c>
      <c r="Z34" s="5183" t="s">
        <v>533</v>
      </c>
      <c r="AA34" s="5179" t="s">
        <v>530</v>
      </c>
      <c r="AB34" s="5180"/>
      <c r="AC34" s="5185" t="s">
        <v>531</v>
      </c>
      <c r="AD34" s="5180"/>
      <c r="AE34" s="5187" t="s">
        <v>534</v>
      </c>
      <c r="AF34" s="5171"/>
      <c r="AG34" s="5172"/>
    </row>
    <row r="35" spans="1:33" ht="6" customHeight="1">
      <c r="A35" s="5161"/>
      <c r="B35" s="5186"/>
      <c r="C35" s="5182"/>
      <c r="D35" s="5177"/>
      <c r="E35" s="5217"/>
      <c r="F35" s="5181"/>
      <c r="G35" s="5182"/>
      <c r="H35" s="5177"/>
      <c r="I35" s="5187"/>
      <c r="J35" s="5181"/>
      <c r="K35" s="5182"/>
      <c r="L35" s="5177"/>
      <c r="M35" s="5187"/>
      <c r="N35" s="5175"/>
      <c r="O35" s="5177"/>
      <c r="P35" s="5186"/>
      <c r="Q35" s="5182"/>
      <c r="R35" s="5177"/>
      <c r="S35" s="5177"/>
      <c r="T35" s="5177"/>
      <c r="U35" s="5187"/>
      <c r="V35" s="5228"/>
      <c r="W35" s="5186"/>
      <c r="X35" s="5182"/>
      <c r="Y35" s="5226"/>
      <c r="Z35" s="5183"/>
      <c r="AA35" s="5181"/>
      <c r="AB35" s="5182"/>
      <c r="AC35" s="5186"/>
      <c r="AD35" s="5182"/>
      <c r="AE35" s="5188"/>
      <c r="AF35" s="5171"/>
      <c r="AG35" s="5172"/>
    </row>
    <row r="36" spans="1:33" ht="38.25" thickBot="1">
      <c r="A36" s="5162"/>
      <c r="B36" s="1568" t="s">
        <v>383</v>
      </c>
      <c r="C36" s="1565" t="s">
        <v>25</v>
      </c>
      <c r="D36" s="1568" t="s">
        <v>383</v>
      </c>
      <c r="E36" s="1565" t="s">
        <v>25</v>
      </c>
      <c r="F36" s="1535" t="s">
        <v>383</v>
      </c>
      <c r="G36" s="1565" t="s">
        <v>25</v>
      </c>
      <c r="H36" s="1627" t="s">
        <v>383</v>
      </c>
      <c r="I36" s="479" t="s">
        <v>25</v>
      </c>
      <c r="J36" s="1535" t="s">
        <v>383</v>
      </c>
      <c r="K36" s="1565" t="s">
        <v>25</v>
      </c>
      <c r="L36" s="1627" t="s">
        <v>383</v>
      </c>
      <c r="M36" s="479" t="s">
        <v>25</v>
      </c>
      <c r="N36" s="5176"/>
      <c r="O36" s="5178"/>
      <c r="P36" s="1627" t="s">
        <v>383</v>
      </c>
      <c r="Q36" s="1565" t="s">
        <v>25</v>
      </c>
      <c r="R36" s="5178"/>
      <c r="S36" s="5178"/>
      <c r="T36" s="1627" t="s">
        <v>383</v>
      </c>
      <c r="U36" s="479" t="s">
        <v>25</v>
      </c>
      <c r="V36" s="5191"/>
      <c r="W36" s="1568" t="s">
        <v>383</v>
      </c>
      <c r="X36" s="1565" t="s">
        <v>25</v>
      </c>
      <c r="Y36" s="5227"/>
      <c r="Z36" s="5184"/>
      <c r="AA36" s="1561" t="s">
        <v>383</v>
      </c>
      <c r="AB36" s="1565" t="s">
        <v>25</v>
      </c>
      <c r="AC36" s="1628" t="s">
        <v>383</v>
      </c>
      <c r="AD36" s="1565" t="s">
        <v>25</v>
      </c>
      <c r="AE36" s="5189"/>
      <c r="AF36" s="5173"/>
      <c r="AG36" s="5174"/>
    </row>
    <row r="37" spans="1:33" ht="20.100000000000001" customHeight="1" thickBot="1">
      <c r="A37" s="5220" t="s">
        <v>528</v>
      </c>
      <c r="B37" s="5221"/>
      <c r="C37" s="5221"/>
      <c r="D37" s="5221"/>
      <c r="E37" s="5221"/>
      <c r="F37" s="5221"/>
      <c r="G37" s="5221"/>
      <c r="H37" s="5221"/>
      <c r="I37" s="5221"/>
      <c r="J37" s="5221"/>
      <c r="K37" s="5221"/>
      <c r="L37" s="5221"/>
      <c r="M37" s="5221"/>
      <c r="N37" s="5222"/>
      <c r="O37" s="5222"/>
      <c r="P37" s="5222"/>
      <c r="Q37" s="5222"/>
      <c r="R37" s="5222"/>
      <c r="S37" s="5222"/>
      <c r="T37" s="5222"/>
      <c r="U37" s="5222"/>
      <c r="V37" s="5221"/>
      <c r="W37" s="5221"/>
      <c r="X37" s="5221"/>
      <c r="Y37" s="5221"/>
      <c r="Z37" s="5221"/>
      <c r="AA37" s="5222"/>
      <c r="AB37" s="5222"/>
      <c r="AC37" s="5222"/>
      <c r="AD37" s="5222"/>
      <c r="AE37" s="5222"/>
      <c r="AF37" s="5221"/>
      <c r="AG37" s="5223"/>
    </row>
    <row r="38" spans="1:33" ht="36" customHeight="1">
      <c r="A38" s="778" t="s">
        <v>539</v>
      </c>
      <c r="B38" s="1629"/>
      <c r="C38" s="1630"/>
      <c r="D38" s="1631">
        <f>8372.9-E38</f>
        <v>8318</v>
      </c>
      <c r="E38" s="1760">
        <v>54.9</v>
      </c>
      <c r="F38" s="1633">
        <f>6659.1-G38</f>
        <v>6600.1</v>
      </c>
      <c r="G38" s="1634">
        <v>59</v>
      </c>
      <c r="H38" s="1631">
        <v>9115.2999999999993</v>
      </c>
      <c r="I38" s="1632">
        <v>52.2</v>
      </c>
      <c r="J38" s="1633">
        <v>6326</v>
      </c>
      <c r="K38" s="1634">
        <v>55</v>
      </c>
      <c r="L38" s="1631">
        <v>7789.7</v>
      </c>
      <c r="M38" s="1632">
        <v>46</v>
      </c>
      <c r="N38" s="1765">
        <f>N41+N43</f>
        <v>5850</v>
      </c>
      <c r="O38" s="1748">
        <f>N38/J38*100</f>
        <v>92.475497944988945</v>
      </c>
      <c r="P38" s="1635">
        <f>SUM(P41:P43)</f>
        <v>5498.0912165809077</v>
      </c>
      <c r="Q38" s="1637">
        <v>46.13</v>
      </c>
      <c r="R38" s="1637">
        <f>SUM(R41:R43)-R42</f>
        <v>3465.3000000000006</v>
      </c>
      <c r="S38" s="1637">
        <f>SUM(S41:S43)-S42</f>
        <v>5119.5</v>
      </c>
      <c r="T38" s="1638">
        <v>6928.1</v>
      </c>
      <c r="U38" s="1639">
        <v>49.8</v>
      </c>
      <c r="V38" s="1752">
        <f>SUM(V39:V40)</f>
        <v>5800.03</v>
      </c>
      <c r="W38" s="1635">
        <f>SUM(W39:W40)</f>
        <v>5561.39</v>
      </c>
      <c r="X38" s="1640">
        <v>46.13</v>
      </c>
      <c r="Y38" s="1731">
        <f t="shared" ref="Y38:Z38" si="3">SUM(Y39:Y40)</f>
        <v>0</v>
      </c>
      <c r="Z38" s="1639">
        <f t="shared" si="3"/>
        <v>0</v>
      </c>
      <c r="AA38" s="1577">
        <f>SUM(AA39:AA40)</f>
        <v>5782.63</v>
      </c>
      <c r="AB38" s="1731">
        <v>49.8</v>
      </c>
      <c r="AC38" s="1578">
        <f>SUM(AC39:AC40)</f>
        <v>5642.86</v>
      </c>
      <c r="AD38" s="1578">
        <f>SUM(AD39:AD40)</f>
        <v>49.8</v>
      </c>
      <c r="AE38" s="1640">
        <f>SUM(AC38/W38*100)</f>
        <v>101.46492153939933</v>
      </c>
      <c r="AF38" s="5224"/>
      <c r="AG38" s="5219"/>
    </row>
    <row r="39" spans="1:33" ht="36" hidden="1" customHeight="1">
      <c r="A39" s="774" t="s">
        <v>538</v>
      </c>
      <c r="B39" s="1641"/>
      <c r="C39" s="1642"/>
      <c r="D39" s="1643"/>
      <c r="E39" s="1761"/>
      <c r="F39" s="1645"/>
      <c r="G39" s="1769"/>
      <c r="H39" s="1770"/>
      <c r="I39" s="1644"/>
      <c r="J39" s="1645"/>
      <c r="K39" s="1769"/>
      <c r="L39" s="1770"/>
      <c r="M39" s="1644"/>
      <c r="N39" s="1719">
        <f>SUM(N38-N40)</f>
        <v>5825</v>
      </c>
      <c r="O39" s="1749"/>
      <c r="P39" s="1684">
        <f>SUM(P38-P40)</f>
        <v>5498.0912165809077</v>
      </c>
      <c r="Q39" s="1685"/>
      <c r="R39" s="1685">
        <f>SUM(R38-R40)</f>
        <v>3437.3000000000006</v>
      </c>
      <c r="S39" s="1685">
        <f>SUM(S38-S40)</f>
        <v>5081</v>
      </c>
      <c r="T39" s="1756"/>
      <c r="U39" s="1757">
        <v>6928.1</v>
      </c>
      <c r="V39" s="1753">
        <v>5753.9</v>
      </c>
      <c r="W39" s="1684">
        <v>5561.39</v>
      </c>
      <c r="X39" s="1673"/>
      <c r="Y39" s="1734"/>
      <c r="Z39" s="1647"/>
      <c r="AA39" s="1670">
        <v>5736.5</v>
      </c>
      <c r="AB39" s="1732"/>
      <c r="AC39" s="1671">
        <f>AC41+AC43</f>
        <v>5642.86</v>
      </c>
      <c r="AD39" s="1672"/>
      <c r="AE39" s="1673">
        <f>SUM(AC39/W39*100)</f>
        <v>101.46492153939933</v>
      </c>
      <c r="AF39" s="5198"/>
      <c r="AG39" s="5225"/>
    </row>
    <row r="40" spans="1:33" ht="36" hidden="1" customHeight="1">
      <c r="A40" s="774" t="s">
        <v>537</v>
      </c>
      <c r="B40" s="1641"/>
      <c r="C40" s="1642"/>
      <c r="D40" s="1643"/>
      <c r="E40" s="1761"/>
      <c r="F40" s="1645"/>
      <c r="G40" s="1769"/>
      <c r="H40" s="1770"/>
      <c r="I40" s="1644"/>
      <c r="J40" s="1645"/>
      <c r="K40" s="1769"/>
      <c r="L40" s="1770"/>
      <c r="M40" s="1644"/>
      <c r="N40" s="1719">
        <v>25</v>
      </c>
      <c r="O40" s="1749"/>
      <c r="P40" s="1684">
        <v>0</v>
      </c>
      <c r="Q40" s="1685"/>
      <c r="R40" s="1685">
        <v>28</v>
      </c>
      <c r="S40" s="1685">
        <v>38.5</v>
      </c>
      <c r="T40" s="1756"/>
      <c r="U40" s="1757">
        <v>49.8</v>
      </c>
      <c r="V40" s="1753">
        <v>46.13</v>
      </c>
      <c r="W40" s="1684">
        <v>0</v>
      </c>
      <c r="X40" s="1673">
        <v>46.13</v>
      </c>
      <c r="Y40" s="1734"/>
      <c r="Z40" s="1647"/>
      <c r="AA40" s="1670">
        <v>46.13</v>
      </c>
      <c r="AB40" s="1732"/>
      <c r="AC40" s="1671"/>
      <c r="AD40" s="1672">
        <v>49.8</v>
      </c>
      <c r="AE40" s="1673">
        <f>SUM(AC40/40*100)</f>
        <v>0</v>
      </c>
      <c r="AF40" s="5198"/>
      <c r="AG40" s="5225"/>
    </row>
    <row r="41" spans="1:33" ht="36" customHeight="1">
      <c r="A41" s="774" t="s">
        <v>20</v>
      </c>
      <c r="B41" s="1648"/>
      <c r="C41" s="1649"/>
      <c r="D41" s="1650">
        <v>876.4</v>
      </c>
      <c r="E41" s="1716"/>
      <c r="F41" s="1652">
        <f>841.6+22.5</f>
        <v>864.1</v>
      </c>
      <c r="G41" s="1771"/>
      <c r="H41" s="1699">
        <v>913.3</v>
      </c>
      <c r="I41" s="1651"/>
      <c r="J41" s="1652">
        <v>876</v>
      </c>
      <c r="K41" s="1771"/>
      <c r="L41" s="1699">
        <v>811.7</v>
      </c>
      <c r="M41" s="1651"/>
      <c r="N41" s="1719">
        <v>876</v>
      </c>
      <c r="O41" s="1726">
        <f>N41/J41*100</f>
        <v>100</v>
      </c>
      <c r="P41" s="1684">
        <v>507</v>
      </c>
      <c r="Q41" s="1685"/>
      <c r="R41" s="1685">
        <f>3493.3-3054.18</f>
        <v>439.12000000000035</v>
      </c>
      <c r="S41" s="1685">
        <v>648.79999999999995</v>
      </c>
      <c r="T41" s="1726">
        <v>841</v>
      </c>
      <c r="U41" s="1757"/>
      <c r="V41" s="1753">
        <v>754</v>
      </c>
      <c r="W41" s="1684">
        <v>557.12</v>
      </c>
      <c r="X41" s="1673"/>
      <c r="Y41" s="1732"/>
      <c r="Z41" s="1646"/>
      <c r="AA41" s="1670">
        <v>750</v>
      </c>
      <c r="AB41" s="1732"/>
      <c r="AC41" s="1674">
        <v>685</v>
      </c>
      <c r="AD41" s="1675"/>
      <c r="AE41" s="1673">
        <f>SUM(AC41/41*100)</f>
        <v>1670.7317073170732</v>
      </c>
      <c r="AF41" s="1597"/>
      <c r="AG41" s="1598"/>
    </row>
    <row r="42" spans="1:33" s="189" customFormat="1" ht="36" customHeight="1">
      <c r="A42" s="775" t="s">
        <v>388</v>
      </c>
      <c r="B42" s="772"/>
      <c r="C42" s="1606"/>
      <c r="D42" s="782">
        <f>D41/D38</f>
        <v>0.10536186583313296</v>
      </c>
      <c r="E42" s="1762"/>
      <c r="F42" s="1740">
        <f>F41/F38</f>
        <v>0.13092225875365524</v>
      </c>
      <c r="G42" s="1774"/>
      <c r="H42" s="1735">
        <f>H41/H38</f>
        <v>0.10019417901769552</v>
      </c>
      <c r="I42" s="1607"/>
      <c r="J42" s="1740">
        <f>J41/J38</f>
        <v>0.13847613025608599</v>
      </c>
      <c r="K42" s="1735"/>
      <c r="L42" s="1735">
        <f>L41/L38</f>
        <v>0.1042017022478401</v>
      </c>
      <c r="M42" s="1746"/>
      <c r="N42" s="1766">
        <f>N41/N38</f>
        <v>0.14974358974358976</v>
      </c>
      <c r="O42" s="1750"/>
      <c r="P42" s="1740">
        <f>507/5558.2</f>
        <v>9.1216580907488035E-2</v>
      </c>
      <c r="Q42" s="1735"/>
      <c r="R42" s="1735">
        <f>439.12/3493</f>
        <v>0.12571428571428572</v>
      </c>
      <c r="S42" s="1735">
        <f>SUM(648.8/5158)</f>
        <v>0.12578518805738659</v>
      </c>
      <c r="T42" s="1676">
        <f>SUM(T41/T38)</f>
        <v>0.12138970280452072</v>
      </c>
      <c r="U42" s="1676"/>
      <c r="V42" s="1754">
        <f>SUM(V41/V38)</f>
        <v>0.12999932758968488</v>
      </c>
      <c r="W42" s="1740">
        <f>SUM(W41/W38)</f>
        <v>0.10017639475023329</v>
      </c>
      <c r="X42" s="1746"/>
      <c r="Y42" s="1744" t="e">
        <f t="shared" ref="Y42:Z42" si="4">SUM(Y41/Y38)</f>
        <v>#DIV/0!</v>
      </c>
      <c r="Z42" s="878" t="e">
        <f t="shared" si="4"/>
        <v>#DIV/0!</v>
      </c>
      <c r="AA42" s="1687">
        <f>SUM(AA41/AA38)</f>
        <v>0.12969877028272603</v>
      </c>
      <c r="AB42" s="1733"/>
      <c r="AC42" s="1688">
        <f>SUM(AC41/AC38)</f>
        <v>0.12139234359881337</v>
      </c>
      <c r="AD42" s="1689"/>
      <c r="AE42" s="1677">
        <f>SUM(AC42/W42*100)</f>
        <v>121.1785909260132</v>
      </c>
      <c r="AF42" s="5135" t="s">
        <v>892</v>
      </c>
      <c r="AG42" s="5137"/>
    </row>
    <row r="43" spans="1:33" ht="36" customHeight="1">
      <c r="A43" s="776" t="s">
        <v>540</v>
      </c>
      <c r="B43" s="1653"/>
      <c r="C43" s="1654"/>
      <c r="D43" s="1655">
        <f>7496.5-E43</f>
        <v>7441.6</v>
      </c>
      <c r="E43" s="1763">
        <v>54.9</v>
      </c>
      <c r="F43" s="1657">
        <f>5795-G43</f>
        <v>5736</v>
      </c>
      <c r="G43" s="1772">
        <v>59</v>
      </c>
      <c r="H43" s="1773">
        <v>8202</v>
      </c>
      <c r="I43" s="1656">
        <v>52.2</v>
      </c>
      <c r="J43" s="1657">
        <v>5450</v>
      </c>
      <c r="K43" s="1772">
        <v>55</v>
      </c>
      <c r="L43" s="1773">
        <v>6978</v>
      </c>
      <c r="M43" s="1656">
        <v>46</v>
      </c>
      <c r="N43" s="1767">
        <f>N46+N48</f>
        <v>4974</v>
      </c>
      <c r="O43" s="1751">
        <f>N43/J43*100</f>
        <v>91.266055045871568</v>
      </c>
      <c r="P43" s="1747">
        <f>P46+P48</f>
        <v>4991</v>
      </c>
      <c r="Q43" s="1758">
        <v>46.13</v>
      </c>
      <c r="R43" s="1758">
        <f>R46+R48</f>
        <v>3026.1800000000003</v>
      </c>
      <c r="S43" s="1758">
        <f>S46+S48</f>
        <v>4470.7</v>
      </c>
      <c r="T43" s="1756">
        <v>6087.1</v>
      </c>
      <c r="U43" s="1759">
        <v>49.8</v>
      </c>
      <c r="V43" s="1755">
        <f>V46+V48</f>
        <v>4999.8999999999996</v>
      </c>
      <c r="W43" s="1747">
        <f>W46+W48</f>
        <v>5004.2700000000004</v>
      </c>
      <c r="X43" s="1679">
        <v>46.13</v>
      </c>
      <c r="Y43" s="1734">
        <f t="shared" ref="Y43:Z43" si="5">SUM(Y44:Y45)</f>
        <v>0</v>
      </c>
      <c r="Z43" s="1647">
        <f t="shared" si="5"/>
        <v>0</v>
      </c>
      <c r="AA43" s="1678">
        <f>SUM(AA44:AA45)</f>
        <v>5032.63</v>
      </c>
      <c r="AB43" s="1734">
        <v>49.8</v>
      </c>
      <c r="AC43" s="1671">
        <f>SUM(AC44:AC45)</f>
        <v>4957.8599999999997</v>
      </c>
      <c r="AD43" s="1671">
        <f>SUM(AD44:AD45)</f>
        <v>49.8</v>
      </c>
      <c r="AE43" s="1679">
        <f>SUM(AC43/W43*100)</f>
        <v>99.07259200642649</v>
      </c>
      <c r="AF43" s="5198"/>
      <c r="AG43" s="5199"/>
    </row>
    <row r="44" spans="1:33" ht="36" hidden="1" customHeight="1">
      <c r="A44" s="774" t="s">
        <v>538</v>
      </c>
      <c r="B44" s="1653"/>
      <c r="C44" s="1654"/>
      <c r="D44" s="1655"/>
      <c r="E44" s="1763"/>
      <c r="F44" s="1657"/>
      <c r="G44" s="1772"/>
      <c r="H44" s="1773"/>
      <c r="I44" s="1656"/>
      <c r="J44" s="1657"/>
      <c r="K44" s="1772"/>
      <c r="L44" s="1773"/>
      <c r="M44" s="1656"/>
      <c r="N44" s="1719">
        <f>SUM(N43-N45)</f>
        <v>4949</v>
      </c>
      <c r="O44" s="1749"/>
      <c r="P44" s="1684">
        <f>SUM(P43-P45)</f>
        <v>4945</v>
      </c>
      <c r="Q44" s="1685"/>
      <c r="R44" s="1685">
        <f>SUM(R43-R45)</f>
        <v>2998.1800000000003</v>
      </c>
      <c r="S44" s="1685">
        <f>SUM(S43-S45)</f>
        <v>4432.2</v>
      </c>
      <c r="T44" s="1756"/>
      <c r="U44" s="1757">
        <f>SUM(U39-U41)</f>
        <v>6928.1</v>
      </c>
      <c r="V44" s="1753">
        <f>SUM(V43-V45)</f>
        <v>4953.7699999999995</v>
      </c>
      <c r="W44" s="1684">
        <f>SUM(W43-W45)</f>
        <v>4958.1400000000003</v>
      </c>
      <c r="X44" s="1673"/>
      <c r="Y44" s="1732">
        <f t="shared" ref="Y44:Z44" si="6">SUM(Y39-Y41)</f>
        <v>0</v>
      </c>
      <c r="Z44" s="1646">
        <f t="shared" si="6"/>
        <v>0</v>
      </c>
      <c r="AA44" s="1670">
        <f>SUM(AA39-AA41)</f>
        <v>4986.5</v>
      </c>
      <c r="AB44" s="1732"/>
      <c r="AC44" s="1674">
        <f>AC48+AC46</f>
        <v>4957.8599999999997</v>
      </c>
      <c r="AD44" s="1675"/>
      <c r="AE44" s="1673">
        <f>SUM(AC44/45*100)</f>
        <v>11017.466666666665</v>
      </c>
      <c r="AF44" s="5198"/>
      <c r="AG44" s="5199"/>
    </row>
    <row r="45" spans="1:33" ht="36" hidden="1" customHeight="1">
      <c r="A45" s="774" t="s">
        <v>537</v>
      </c>
      <c r="B45" s="1653"/>
      <c r="C45" s="1654"/>
      <c r="D45" s="1655"/>
      <c r="E45" s="1763"/>
      <c r="F45" s="1657"/>
      <c r="G45" s="1772"/>
      <c r="H45" s="1773"/>
      <c r="I45" s="1656"/>
      <c r="J45" s="1657"/>
      <c r="K45" s="1772"/>
      <c r="L45" s="1773"/>
      <c r="M45" s="1656"/>
      <c r="N45" s="1719">
        <v>25</v>
      </c>
      <c r="O45" s="1749"/>
      <c r="P45" s="1684">
        <v>46</v>
      </c>
      <c r="Q45" s="1685"/>
      <c r="R45" s="1685">
        <v>28</v>
      </c>
      <c r="S45" s="1685">
        <v>38.5</v>
      </c>
      <c r="T45" s="1756"/>
      <c r="U45" s="1757">
        <f>SUM(U40)</f>
        <v>49.8</v>
      </c>
      <c r="V45" s="1753">
        <v>46.13</v>
      </c>
      <c r="W45" s="1684">
        <v>46.13</v>
      </c>
      <c r="X45" s="1673"/>
      <c r="Y45" s="1732">
        <f t="shared" ref="Y45:Z45" si="7">SUM(Y40)</f>
        <v>0</v>
      </c>
      <c r="Z45" s="1646">
        <f t="shared" si="7"/>
        <v>0</v>
      </c>
      <c r="AA45" s="1670">
        <f>SUM(AA40)</f>
        <v>46.13</v>
      </c>
      <c r="AB45" s="1732"/>
      <c r="AC45" s="1674">
        <f>SUM(AC40)</f>
        <v>0</v>
      </c>
      <c r="AD45" s="1675">
        <v>49.8</v>
      </c>
      <c r="AE45" s="1673">
        <f>SUM(AC45/46*100)</f>
        <v>0</v>
      </c>
      <c r="AF45" s="5198"/>
      <c r="AG45" s="5199"/>
    </row>
    <row r="46" spans="1:33" ht="36" customHeight="1">
      <c r="A46" s="774" t="s">
        <v>51</v>
      </c>
      <c r="B46" s="1648"/>
      <c r="C46" s="1649"/>
      <c r="D46" s="1650">
        <v>2972.2</v>
      </c>
      <c r="E46" s="1716"/>
      <c r="F46" s="1652">
        <v>1150</v>
      </c>
      <c r="G46" s="1771"/>
      <c r="H46" s="1699">
        <v>3822.7</v>
      </c>
      <c r="I46" s="1651"/>
      <c r="J46" s="1652">
        <v>1100</v>
      </c>
      <c r="K46" s="1771"/>
      <c r="L46" s="1699">
        <v>2796.3</v>
      </c>
      <c r="M46" s="1651"/>
      <c r="N46" s="1719">
        <v>999</v>
      </c>
      <c r="O46" s="1726">
        <f>N46/J46*100</f>
        <v>90.818181818181813</v>
      </c>
      <c r="P46" s="1684">
        <f>N46</f>
        <v>999</v>
      </c>
      <c r="Q46" s="1685"/>
      <c r="R46" s="1685">
        <v>981.98</v>
      </c>
      <c r="S46" s="1685">
        <v>1481.3</v>
      </c>
      <c r="T46" s="1726">
        <v>2097.9</v>
      </c>
      <c r="U46" s="1757"/>
      <c r="V46" s="1753">
        <v>1007.9</v>
      </c>
      <c r="W46" s="1684">
        <v>998</v>
      </c>
      <c r="X46" s="1673"/>
      <c r="Y46" s="1732"/>
      <c r="Z46" s="1646"/>
      <c r="AA46" s="1670">
        <v>997.3</v>
      </c>
      <c r="AB46" s="1732"/>
      <c r="AC46" s="1674">
        <v>982.5</v>
      </c>
      <c r="AD46" s="1675"/>
      <c r="AE46" s="1673">
        <f>SUM(AC46/W46*100)</f>
        <v>98.446893787575149</v>
      </c>
      <c r="AF46" s="5198"/>
      <c r="AG46" s="5199"/>
    </row>
    <row r="47" spans="1:33" s="189" customFormat="1" ht="36" customHeight="1">
      <c r="A47" s="775" t="s">
        <v>117</v>
      </c>
      <c r="B47" s="782"/>
      <c r="C47" s="782"/>
      <c r="D47" s="782">
        <f>D46/D43</f>
        <v>0.39940335411739408</v>
      </c>
      <c r="E47" s="1743"/>
      <c r="F47" s="1740">
        <f>F46/F43</f>
        <v>0.20048814504881451</v>
      </c>
      <c r="G47" s="1735"/>
      <c r="H47" s="1735">
        <f>H46/H43</f>
        <v>0.46606925140209704</v>
      </c>
      <c r="I47" s="1746"/>
      <c r="J47" s="1740">
        <f>J46/J43</f>
        <v>0.20183486238532111</v>
      </c>
      <c r="K47" s="1735"/>
      <c r="L47" s="1735">
        <f>L46/L43</f>
        <v>0.40073086844368017</v>
      </c>
      <c r="M47" s="1746"/>
      <c r="N47" s="1766">
        <f>N46/N43*100</f>
        <v>20.084439083232812</v>
      </c>
      <c r="O47" s="1743"/>
      <c r="P47" s="1740">
        <f>P46/P43</f>
        <v>0.20016028851933479</v>
      </c>
      <c r="Q47" s="1735"/>
      <c r="R47" s="1735">
        <f>R46/R43*100</f>
        <v>32.449490777151389</v>
      </c>
      <c r="S47" s="1735">
        <f>S46/S43*100</f>
        <v>33.133513767418968</v>
      </c>
      <c r="T47" s="1735"/>
      <c r="U47" s="1746"/>
      <c r="V47" s="1754">
        <f>V46/V43</f>
        <v>0.20158403168063363</v>
      </c>
      <c r="W47" s="1740">
        <f>W46/W43</f>
        <v>0.19942968704726163</v>
      </c>
      <c r="X47" s="1746"/>
      <c r="Y47" s="1745" t="e">
        <f t="shared" ref="Y47:Z47" si="8">Y46/Y43*100</f>
        <v>#DIV/0!</v>
      </c>
      <c r="Z47" s="879" t="e">
        <f t="shared" si="8"/>
        <v>#DIV/0!</v>
      </c>
      <c r="AA47" s="1740">
        <f>AA46/AA43</f>
        <v>0.19816676370009317</v>
      </c>
      <c r="AB47" s="1735"/>
      <c r="AC47" s="1735">
        <f>AC46/AC43</f>
        <v>0.19817017826239547</v>
      </c>
      <c r="AD47" s="1735"/>
      <c r="AE47" s="1677">
        <f>SUM(AC47/W47*100)</f>
        <v>99.368444686689159</v>
      </c>
      <c r="AF47" s="5196"/>
      <c r="AG47" s="5197"/>
    </row>
    <row r="48" spans="1:33" ht="36" customHeight="1">
      <c r="A48" s="776" t="s">
        <v>535</v>
      </c>
      <c r="B48" s="1653"/>
      <c r="C48" s="1654"/>
      <c r="D48" s="1655">
        <v>4524.3</v>
      </c>
      <c r="E48" s="1763">
        <v>54.9</v>
      </c>
      <c r="F48" s="1657">
        <f>4645-G48</f>
        <v>4586</v>
      </c>
      <c r="G48" s="1772">
        <v>59</v>
      </c>
      <c r="H48" s="1773">
        <v>4379.3</v>
      </c>
      <c r="I48" s="1656">
        <v>52.2</v>
      </c>
      <c r="J48" s="1657">
        <v>4405</v>
      </c>
      <c r="K48" s="1772">
        <v>55</v>
      </c>
      <c r="L48" s="1773">
        <v>4181.7</v>
      </c>
      <c r="M48" s="1656">
        <v>46</v>
      </c>
      <c r="N48" s="1767">
        <f>SUM(N49:N50)</f>
        <v>3975</v>
      </c>
      <c r="O48" s="1751">
        <f>N48/J48*100</f>
        <v>90.238365493757087</v>
      </c>
      <c r="P48" s="1747">
        <f>SUM(P49:P50)</f>
        <v>3992</v>
      </c>
      <c r="Q48" s="1758">
        <v>46.13</v>
      </c>
      <c r="R48" s="1758">
        <f>SUM(R49:R50)</f>
        <v>2044.2</v>
      </c>
      <c r="S48" s="1758">
        <f>SUM(S49:S50)</f>
        <v>2989.3999999999996</v>
      </c>
      <c r="T48" s="1756">
        <v>3989.2</v>
      </c>
      <c r="U48" s="1759">
        <v>49.8</v>
      </c>
      <c r="V48" s="1755">
        <f>SUM(V49:V50)</f>
        <v>3992</v>
      </c>
      <c r="W48" s="1747">
        <f>SUM(W49:W51)</f>
        <v>4006.2700000000004</v>
      </c>
      <c r="X48" s="1679">
        <v>46.13</v>
      </c>
      <c r="Y48" s="1734">
        <f>SUM(Y49:Y50)</f>
        <v>0</v>
      </c>
      <c r="Z48" s="1647">
        <f>SUM(Z49:Z50)</f>
        <v>0</v>
      </c>
      <c r="AA48" s="1678">
        <f>SUM(AA49:AA51)</f>
        <v>3989.2169999999996</v>
      </c>
      <c r="AB48" s="1734">
        <v>49.8</v>
      </c>
      <c r="AC48" s="1671">
        <f>SUM(AC49:AC51)</f>
        <v>3975.3599999999997</v>
      </c>
      <c r="AD48" s="1671">
        <f>SUM(AD49:AD51)</f>
        <v>49.8</v>
      </c>
      <c r="AE48" s="1775">
        <f>AC48/W48</f>
        <v>0.99228459389906298</v>
      </c>
      <c r="AF48" s="5198"/>
      <c r="AG48" s="5199"/>
    </row>
    <row r="49" spans="1:33" ht="36" customHeight="1">
      <c r="A49" s="774" t="s">
        <v>24</v>
      </c>
      <c r="B49" s="1648"/>
      <c r="C49" s="1649"/>
      <c r="D49" s="1650">
        <v>3159.6</v>
      </c>
      <c r="E49" s="1716"/>
      <c r="F49" s="1652">
        <v>3192</v>
      </c>
      <c r="G49" s="1771"/>
      <c r="H49" s="1699">
        <v>3094</v>
      </c>
      <c r="I49" s="1651"/>
      <c r="J49" s="1652">
        <v>3100</v>
      </c>
      <c r="K49" s="1771"/>
      <c r="L49" s="1699">
        <v>2975.5</v>
      </c>
      <c r="M49" s="1651"/>
      <c r="N49" s="1719">
        <v>2800</v>
      </c>
      <c r="O49" s="1726">
        <f>N49/J49*100</f>
        <v>90.322580645161281</v>
      </c>
      <c r="P49" s="1684">
        <v>2800</v>
      </c>
      <c r="Q49" s="1685"/>
      <c r="R49" s="1685">
        <f>1426.4</f>
        <v>1426.4</v>
      </c>
      <c r="S49" s="1685">
        <v>2084.6999999999998</v>
      </c>
      <c r="T49" s="1726">
        <v>2780.7</v>
      </c>
      <c r="U49" s="1757"/>
      <c r="V49" s="1753">
        <v>2800</v>
      </c>
      <c r="W49" s="1684">
        <v>2445.422</v>
      </c>
      <c r="X49" s="1673"/>
      <c r="Y49" s="1732"/>
      <c r="Z49" s="1646"/>
      <c r="AA49" s="1670">
        <v>2428.56</v>
      </c>
      <c r="AB49" s="1732"/>
      <c r="AC49" s="1674">
        <f>AA49</f>
        <v>2428.56</v>
      </c>
      <c r="AD49" s="1675">
        <v>0</v>
      </c>
      <c r="AE49" s="1673">
        <f>SUM(AC49/W49*100)</f>
        <v>99.310466659742161</v>
      </c>
      <c r="AF49" s="5200" t="s">
        <v>899</v>
      </c>
      <c r="AG49" s="5201"/>
    </row>
    <row r="50" spans="1:33" ht="36" customHeight="1">
      <c r="A50" s="984" t="s">
        <v>26</v>
      </c>
      <c r="B50" s="1658"/>
      <c r="C50" s="1659"/>
      <c r="D50" s="1660">
        <v>1309.8</v>
      </c>
      <c r="E50" s="1764">
        <v>54.9</v>
      </c>
      <c r="F50" s="1695">
        <v>1394</v>
      </c>
      <c r="G50" s="1692">
        <v>59</v>
      </c>
      <c r="H50" s="1693">
        <v>1285.3</v>
      </c>
      <c r="I50" s="1694">
        <v>52.2</v>
      </c>
      <c r="J50" s="1695">
        <v>1250</v>
      </c>
      <c r="K50" s="1692">
        <v>55</v>
      </c>
      <c r="L50" s="1693">
        <v>1206.2</v>
      </c>
      <c r="M50" s="1694">
        <v>46</v>
      </c>
      <c r="N50" s="1768">
        <v>1175</v>
      </c>
      <c r="O50" s="1686">
        <f>N50/J50*100</f>
        <v>94</v>
      </c>
      <c r="P50" s="1696">
        <v>1192</v>
      </c>
      <c r="Q50" s="1697">
        <v>46.13</v>
      </c>
      <c r="R50" s="1697">
        <v>617.79999999999995</v>
      </c>
      <c r="S50" s="1697">
        <v>904.7</v>
      </c>
      <c r="T50" s="1686">
        <v>1208.5</v>
      </c>
      <c r="U50" s="1698">
        <v>49.8</v>
      </c>
      <c r="V50" s="1737">
        <v>1192</v>
      </c>
      <c r="W50" s="1696">
        <v>1003.2910000000001</v>
      </c>
      <c r="X50" s="1683">
        <v>46.13</v>
      </c>
      <c r="Y50" s="1736"/>
      <c r="Z50" s="1661"/>
      <c r="AA50" s="1680">
        <v>1003.1</v>
      </c>
      <c r="AB50" s="1736">
        <v>49.8</v>
      </c>
      <c r="AC50" s="1681">
        <v>1003.1</v>
      </c>
      <c r="AD50" s="1682">
        <v>49.8</v>
      </c>
      <c r="AE50" s="1683">
        <f>SUM(AC50/W50*100)</f>
        <v>99.980962651912549</v>
      </c>
      <c r="AF50" s="5200" t="s">
        <v>899</v>
      </c>
      <c r="AG50" s="5201"/>
    </row>
    <row r="51" spans="1:33" ht="36" customHeight="1">
      <c r="A51" s="774" t="s">
        <v>842</v>
      </c>
      <c r="B51" s="1648"/>
      <c r="C51" s="1649"/>
      <c r="D51" s="1650"/>
      <c r="E51" s="1716"/>
      <c r="F51" s="1652"/>
      <c r="G51" s="1771"/>
      <c r="H51" s="1699"/>
      <c r="I51" s="1651"/>
      <c r="J51" s="1652"/>
      <c r="K51" s="1771"/>
      <c r="L51" s="1699"/>
      <c r="M51" s="1651"/>
      <c r="N51" s="1719"/>
      <c r="O51" s="1726"/>
      <c r="P51" s="1684"/>
      <c r="Q51" s="1685"/>
      <c r="R51" s="1685"/>
      <c r="S51" s="1685"/>
      <c r="T51" s="1726"/>
      <c r="U51" s="1757"/>
      <c r="V51" s="1753"/>
      <c r="W51" s="1684">
        <f>SUM(W52:W53)</f>
        <v>557.55700000000002</v>
      </c>
      <c r="X51" s="1673"/>
      <c r="Y51" s="1732"/>
      <c r="Z51" s="1646"/>
      <c r="AA51" s="1684">
        <f>SUM(AA52:AA53)</f>
        <v>557.55700000000002</v>
      </c>
      <c r="AB51" s="1719"/>
      <c r="AC51" s="1685">
        <f>SUM(AC52:AC53)</f>
        <v>543.70000000000005</v>
      </c>
      <c r="AD51" s="1686">
        <v>0</v>
      </c>
      <c r="AE51" s="1683">
        <f>SUM(AC51/W51*100)</f>
        <v>97.514693564962869</v>
      </c>
      <c r="AF51" s="5210"/>
      <c r="AG51" s="5211"/>
    </row>
    <row r="52" spans="1:33" ht="50.25" customHeight="1">
      <c r="A52" s="775" t="s">
        <v>654</v>
      </c>
      <c r="B52" s="1648"/>
      <c r="C52" s="1649"/>
      <c r="D52" s="1650"/>
      <c r="E52" s="1716"/>
      <c r="F52" s="1652"/>
      <c r="G52" s="1771"/>
      <c r="H52" s="1699"/>
      <c r="I52" s="1651"/>
      <c r="J52" s="1652"/>
      <c r="K52" s="1771"/>
      <c r="L52" s="1699"/>
      <c r="M52" s="1651"/>
      <c r="N52" s="1719"/>
      <c r="O52" s="1726"/>
      <c r="P52" s="1684"/>
      <c r="Q52" s="1685"/>
      <c r="R52" s="1685"/>
      <c r="S52" s="1685"/>
      <c r="T52" s="1726"/>
      <c r="U52" s="1757"/>
      <c r="V52" s="1753"/>
      <c r="W52" s="1684">
        <v>509.79</v>
      </c>
      <c r="X52" s="1673"/>
      <c r="Y52" s="1732"/>
      <c r="Z52" s="1646"/>
      <c r="AA52" s="1684">
        <v>509.79</v>
      </c>
      <c r="AB52" s="1737"/>
      <c r="AC52" s="1686">
        <v>494</v>
      </c>
      <c r="AD52" s="1686">
        <v>0</v>
      </c>
      <c r="AE52" s="1683">
        <f>SUM(AC52/W52*100)</f>
        <v>96.902646187645885</v>
      </c>
      <c r="AF52" s="5210" t="s">
        <v>891</v>
      </c>
      <c r="AG52" s="5211"/>
    </row>
    <row r="53" spans="1:33" ht="58.5" customHeight="1" thickBot="1">
      <c r="A53" s="1690" t="s">
        <v>655</v>
      </c>
      <c r="B53" s="1691"/>
      <c r="C53" s="1692"/>
      <c r="D53" s="1693"/>
      <c r="E53" s="1764"/>
      <c r="F53" s="1665"/>
      <c r="G53" s="1662"/>
      <c r="H53" s="1663"/>
      <c r="I53" s="1664"/>
      <c r="J53" s="1665"/>
      <c r="K53" s="1662"/>
      <c r="L53" s="1663"/>
      <c r="M53" s="1664"/>
      <c r="N53" s="1768"/>
      <c r="O53" s="1686"/>
      <c r="P53" s="1666"/>
      <c r="Q53" s="1667"/>
      <c r="R53" s="1667"/>
      <c r="S53" s="1667"/>
      <c r="T53" s="1579"/>
      <c r="U53" s="1668"/>
      <c r="V53" s="1737"/>
      <c r="W53" s="1666">
        <v>47.767000000000003</v>
      </c>
      <c r="X53" s="1669"/>
      <c r="Y53" s="1736"/>
      <c r="Z53" s="1698"/>
      <c r="AA53" s="1666">
        <v>47.767000000000003</v>
      </c>
      <c r="AB53" s="1741"/>
      <c r="AC53" s="1579">
        <v>49.7</v>
      </c>
      <c r="AD53" s="1579">
        <v>0</v>
      </c>
      <c r="AE53" s="1669">
        <f>SUM(AC53/W53*100)</f>
        <v>104.04672681977097</v>
      </c>
      <c r="AF53" s="5212" t="s">
        <v>891</v>
      </c>
      <c r="AG53" s="5213"/>
    </row>
    <row r="54" spans="1:33" ht="58.5" customHeight="1">
      <c r="A54" s="1707" t="s">
        <v>895</v>
      </c>
      <c r="B54" s="1713"/>
      <c r="C54" s="1700"/>
      <c r="D54" s="1700"/>
      <c r="E54" s="1714"/>
      <c r="F54" s="1710"/>
      <c r="G54" s="1700"/>
      <c r="H54" s="1700"/>
      <c r="I54" s="1715"/>
      <c r="J54" s="1713"/>
      <c r="K54" s="1700"/>
      <c r="L54" s="1700"/>
      <c r="M54" s="1714"/>
      <c r="N54" s="1718"/>
      <c r="O54" s="1701"/>
      <c r="P54" s="1701"/>
      <c r="Q54" s="1701"/>
      <c r="R54" s="1701"/>
      <c r="S54" s="1701"/>
      <c r="T54" s="1701"/>
      <c r="U54" s="1721"/>
      <c r="V54" s="1776"/>
      <c r="W54" s="1723"/>
      <c r="X54" s="1724"/>
      <c r="Y54" s="1702"/>
      <c r="Z54" s="1702"/>
      <c r="AA54" s="1701"/>
      <c r="AB54" s="1701"/>
      <c r="AC54" s="1701">
        <f>1/3*((T48-L48)/L48+(L48-H48)/H48+(H48-D48)/D48)</f>
        <v>-4.1068144286008995E-2</v>
      </c>
      <c r="AD54" s="1701"/>
      <c r="AE54" s="1725"/>
      <c r="AF54" s="1727"/>
      <c r="AG54" s="1703"/>
    </row>
    <row r="55" spans="1:33" ht="58.5" customHeight="1">
      <c r="A55" s="1708" t="s">
        <v>896</v>
      </c>
      <c r="B55" s="1652"/>
      <c r="C55" s="1699"/>
      <c r="D55" s="1699"/>
      <c r="E55" s="1651"/>
      <c r="F55" s="1711"/>
      <c r="G55" s="1699"/>
      <c r="H55" s="1699"/>
      <c r="I55" s="1716"/>
      <c r="J55" s="1652"/>
      <c r="K55" s="1699"/>
      <c r="L55" s="1699"/>
      <c r="M55" s="1651"/>
      <c r="N55" s="1719"/>
      <c r="O55" s="1685"/>
      <c r="P55" s="1685"/>
      <c r="Q55" s="1685"/>
      <c r="R55" s="1685"/>
      <c r="S55" s="1685"/>
      <c r="T55" s="1685"/>
      <c r="U55" s="1675"/>
      <c r="V55" s="1742"/>
      <c r="W55" s="1684"/>
      <c r="X55" s="1673"/>
      <c r="Y55" s="1674"/>
      <c r="Z55" s="1674"/>
      <c r="AA55" s="1685"/>
      <c r="AB55" s="1685"/>
      <c r="AC55" s="1685">
        <f>AC54</f>
        <v>-4.1068144286008995E-2</v>
      </c>
      <c r="AD55" s="1685"/>
      <c r="AE55" s="1726"/>
      <c r="AF55" s="1728"/>
      <c r="AG55" s="1704"/>
    </row>
    <row r="56" spans="1:33" ht="58.5" customHeight="1" thickBot="1">
      <c r="A56" s="1709" t="s">
        <v>897</v>
      </c>
      <c r="B56" s="1665"/>
      <c r="C56" s="1663"/>
      <c r="D56" s="1663"/>
      <c r="E56" s="1664"/>
      <c r="F56" s="1712"/>
      <c r="G56" s="1663"/>
      <c r="H56" s="1663"/>
      <c r="I56" s="1717"/>
      <c r="J56" s="1665"/>
      <c r="K56" s="1663"/>
      <c r="L56" s="1663"/>
      <c r="M56" s="1664"/>
      <c r="N56" s="1720"/>
      <c r="O56" s="1667"/>
      <c r="P56" s="1667"/>
      <c r="Q56" s="1667"/>
      <c r="R56" s="1667"/>
      <c r="S56" s="1667"/>
      <c r="T56" s="1667"/>
      <c r="U56" s="1722"/>
      <c r="V56" s="1777"/>
      <c r="W56" s="1666"/>
      <c r="X56" s="1669"/>
      <c r="Y56" s="1705"/>
      <c r="Z56" s="1705"/>
      <c r="AA56" s="1667"/>
      <c r="AB56" s="1667"/>
      <c r="AC56" s="1667">
        <f>T48*(1+AC55)*(1+AC55)</f>
        <v>3668.2700723301605</v>
      </c>
      <c r="AD56" s="1667"/>
      <c r="AE56" s="1579">
        <f>AC56/W48</f>
        <v>0.9156322645079239</v>
      </c>
      <c r="AF56" s="1558"/>
      <c r="AG56" s="1706"/>
    </row>
    <row r="57" spans="1:33" ht="20.100000000000001" customHeight="1" thickBot="1">
      <c r="A57" s="5214" t="s">
        <v>529</v>
      </c>
      <c r="B57" s="5215"/>
      <c r="C57" s="5215"/>
      <c r="D57" s="5215"/>
      <c r="E57" s="5215"/>
      <c r="F57" s="5215"/>
      <c r="G57" s="5215"/>
      <c r="H57" s="5215"/>
      <c r="I57" s="5215"/>
      <c r="J57" s="5215"/>
      <c r="K57" s="5215"/>
      <c r="L57" s="5215"/>
      <c r="M57" s="5215"/>
      <c r="N57" s="5215"/>
      <c r="O57" s="5215"/>
      <c r="P57" s="5215"/>
      <c r="Q57" s="5215"/>
      <c r="R57" s="5215"/>
      <c r="S57" s="5215"/>
      <c r="T57" s="5215"/>
      <c r="U57" s="5215"/>
      <c r="V57" s="5215"/>
      <c r="W57" s="5215"/>
      <c r="X57" s="5215"/>
      <c r="Y57" s="5215"/>
      <c r="Z57" s="5215"/>
      <c r="AA57" s="5215"/>
      <c r="AB57" s="5215"/>
      <c r="AC57" s="5215"/>
      <c r="AD57" s="5215"/>
      <c r="AE57" s="5215"/>
      <c r="AF57" s="5215"/>
      <c r="AG57" s="5216"/>
    </row>
    <row r="58" spans="1:33" ht="20.100000000000001" customHeight="1">
      <c r="A58" s="773" t="s">
        <v>898</v>
      </c>
      <c r="B58" s="1713"/>
      <c r="C58" s="1700"/>
      <c r="D58" s="1700"/>
      <c r="E58" s="1714"/>
      <c r="F58" s="1713">
        <f>F59</f>
        <v>4196.5</v>
      </c>
      <c r="G58" s="1700">
        <v>28</v>
      </c>
      <c r="H58" s="1700">
        <v>8680.7000000000007</v>
      </c>
      <c r="I58" s="1714">
        <v>18.3</v>
      </c>
      <c r="J58" s="1713">
        <v>3990</v>
      </c>
      <c r="K58" s="1700">
        <v>28</v>
      </c>
      <c r="L58" s="1700">
        <v>4731.6000000000004</v>
      </c>
      <c r="M58" s="1714">
        <v>30.2</v>
      </c>
      <c r="N58" s="1765">
        <v>3600</v>
      </c>
      <c r="O58" s="1636" t="e">
        <f>N58/#REF!*100</f>
        <v>#REF!</v>
      </c>
      <c r="P58" s="1637">
        <v>3644.7</v>
      </c>
      <c r="Q58" s="1637">
        <f>Q59</f>
        <v>28</v>
      </c>
      <c r="R58" s="1637">
        <f>SUM(R59:R61)</f>
        <v>3537.9999999999995</v>
      </c>
      <c r="S58" s="1637">
        <f>SUM(S59:S61)</f>
        <v>5192.1999999999989</v>
      </c>
      <c r="T58" s="1637">
        <v>4374.8</v>
      </c>
      <c r="U58" s="1578">
        <v>30.2</v>
      </c>
      <c r="V58" s="1638">
        <f t="shared" ref="U58:X59" si="9">SUM(V59:V61)</f>
        <v>7317.4</v>
      </c>
      <c r="W58" s="1635">
        <f>W59</f>
        <v>3644.7</v>
      </c>
      <c r="X58" s="1640">
        <f t="shared" si="9"/>
        <v>28</v>
      </c>
      <c r="Y58" s="1731">
        <f t="shared" ref="Y58:Z59" si="10">SUM(Y59:Y61)</f>
        <v>0</v>
      </c>
      <c r="Z58" s="1784">
        <f t="shared" si="10"/>
        <v>0</v>
      </c>
      <c r="AA58" s="1635">
        <v>4658</v>
      </c>
      <c r="AB58" s="1637">
        <v>28</v>
      </c>
      <c r="AC58" s="1637">
        <f>AC59</f>
        <v>3445</v>
      </c>
      <c r="AD58" s="1637">
        <f t="shared" ref="AA58:AD59" si="11">SUM(AD59:AD61)</f>
        <v>28</v>
      </c>
      <c r="AE58" s="1724">
        <f>SUM(AC58/W58*100)</f>
        <v>94.520811040689225</v>
      </c>
      <c r="AF58" s="5218"/>
      <c r="AG58" s="5219"/>
    </row>
    <row r="59" spans="1:33" ht="36" customHeight="1">
      <c r="A59" s="1781" t="s">
        <v>536</v>
      </c>
      <c r="B59" s="1652"/>
      <c r="C59" s="1699"/>
      <c r="D59" s="1699">
        <v>4093.2</v>
      </c>
      <c r="E59" s="1651">
        <v>26.4</v>
      </c>
      <c r="F59" s="1652">
        <v>4196.5</v>
      </c>
      <c r="G59" s="1699">
        <v>28</v>
      </c>
      <c r="H59" s="1699">
        <v>3988.3</v>
      </c>
      <c r="I59" s="1651">
        <v>18.3</v>
      </c>
      <c r="J59" s="1652">
        <v>3990</v>
      </c>
      <c r="K59" s="1699">
        <v>28</v>
      </c>
      <c r="L59" s="1699">
        <v>3771</v>
      </c>
      <c r="M59" s="1651">
        <f>M60+M61+M62</f>
        <v>30.2</v>
      </c>
      <c r="N59" s="1767">
        <v>3600</v>
      </c>
      <c r="O59" s="1778" t="e">
        <f>N59/#REF!*100</f>
        <v>#REF!</v>
      </c>
      <c r="P59" s="1758">
        <f>SUM(P60:P62)</f>
        <v>3644.7</v>
      </c>
      <c r="Q59" s="1758">
        <v>28</v>
      </c>
      <c r="R59" s="1758">
        <f>SUM(R60:R62)</f>
        <v>1773.7999999999997</v>
      </c>
      <c r="S59" s="1758">
        <f>SUM(S60:S62)</f>
        <v>2603.1999999999998</v>
      </c>
      <c r="T59" s="1758">
        <v>3476.2</v>
      </c>
      <c r="U59" s="1671">
        <f t="shared" si="9"/>
        <v>30.2</v>
      </c>
      <c r="V59" s="1756">
        <f t="shared" si="9"/>
        <v>3672.7</v>
      </c>
      <c r="W59" s="1747">
        <f t="shared" si="9"/>
        <v>3644.7</v>
      </c>
      <c r="X59" s="1679">
        <f t="shared" si="9"/>
        <v>28</v>
      </c>
      <c r="Y59" s="1734">
        <f t="shared" si="10"/>
        <v>0</v>
      </c>
      <c r="Z59" s="1672">
        <f t="shared" si="10"/>
        <v>0</v>
      </c>
      <c r="AA59" s="1747">
        <f t="shared" si="11"/>
        <v>3445</v>
      </c>
      <c r="AB59" s="1758">
        <v>28</v>
      </c>
      <c r="AC59" s="1758">
        <f t="shared" si="11"/>
        <v>3445</v>
      </c>
      <c r="AD59" s="1758">
        <f t="shared" si="11"/>
        <v>28</v>
      </c>
      <c r="AE59" s="1673">
        <f>SUM(AC59/W59*100)</f>
        <v>94.520811040689225</v>
      </c>
      <c r="AF59" s="5208"/>
      <c r="AG59" s="5209"/>
    </row>
    <row r="60" spans="1:33" ht="36" customHeight="1">
      <c r="A60" s="1782" t="s">
        <v>27</v>
      </c>
      <c r="B60" s="1652"/>
      <c r="C60" s="1699"/>
      <c r="D60" s="1699">
        <v>3032.3</v>
      </c>
      <c r="E60" s="1651">
        <v>0</v>
      </c>
      <c r="F60" s="1652">
        <v>3064.5</v>
      </c>
      <c r="G60" s="1699">
        <v>0</v>
      </c>
      <c r="H60" s="1699">
        <v>2946</v>
      </c>
      <c r="I60" s="1651">
        <v>0</v>
      </c>
      <c r="J60" s="1652">
        <v>2955</v>
      </c>
      <c r="K60" s="1699">
        <v>0</v>
      </c>
      <c r="L60" s="1699">
        <v>2748.3</v>
      </c>
      <c r="M60" s="1651">
        <v>0</v>
      </c>
      <c r="N60" s="1719">
        <v>2600</v>
      </c>
      <c r="O60" s="1779" t="e">
        <f>N60/#REF!*100</f>
        <v>#REF!</v>
      </c>
      <c r="P60" s="1685">
        <v>2600</v>
      </c>
      <c r="Q60" s="1685">
        <v>0</v>
      </c>
      <c r="R60" s="1685">
        <v>1250.8</v>
      </c>
      <c r="S60" s="1685">
        <v>1837.1</v>
      </c>
      <c r="T60" s="1685">
        <v>2448.6999999999998</v>
      </c>
      <c r="U60" s="1674">
        <v>0</v>
      </c>
      <c r="V60" s="1726">
        <v>2600</v>
      </c>
      <c r="W60" s="1684">
        <f>V60</f>
        <v>2600</v>
      </c>
      <c r="X60" s="1673">
        <v>0</v>
      </c>
      <c r="Y60" s="1732"/>
      <c r="Z60" s="1675"/>
      <c r="AA60" s="1684">
        <v>2448</v>
      </c>
      <c r="AB60" s="1685">
        <v>0</v>
      </c>
      <c r="AC60" s="1685">
        <f>AA60</f>
        <v>2448</v>
      </c>
      <c r="AD60" s="1685">
        <v>0</v>
      </c>
      <c r="AE60" s="1673">
        <f>SUM(AC60/W60*100)</f>
        <v>94.15384615384616</v>
      </c>
      <c r="AF60" s="5192" t="s">
        <v>899</v>
      </c>
      <c r="AG60" s="5193"/>
    </row>
    <row r="61" spans="1:33" ht="36" customHeight="1">
      <c r="A61" s="1782" t="s">
        <v>29</v>
      </c>
      <c r="B61" s="1652"/>
      <c r="C61" s="1699"/>
      <c r="D61" s="1699">
        <v>1034.5</v>
      </c>
      <c r="E61" s="1651">
        <v>0</v>
      </c>
      <c r="F61" s="1652">
        <v>1132</v>
      </c>
      <c r="G61" s="1699">
        <v>0</v>
      </c>
      <c r="H61" s="1699">
        <v>1042.3</v>
      </c>
      <c r="I61" s="1651">
        <v>0</v>
      </c>
      <c r="J61" s="1652">
        <v>1035</v>
      </c>
      <c r="K61" s="1699">
        <v>0</v>
      </c>
      <c r="L61" s="1699">
        <v>1022.7</v>
      </c>
      <c r="M61" s="1651">
        <v>0</v>
      </c>
      <c r="N61" s="1719">
        <v>972</v>
      </c>
      <c r="O61" s="1779" t="e">
        <f>N61/#REF!*100</f>
        <v>#REF!</v>
      </c>
      <c r="P61" s="1685">
        <v>1044.7</v>
      </c>
      <c r="Q61" s="1685">
        <v>0</v>
      </c>
      <c r="R61" s="1685">
        <v>513.4</v>
      </c>
      <c r="S61" s="1685">
        <v>751.9</v>
      </c>
      <c r="T61" s="1685">
        <v>997.3</v>
      </c>
      <c r="U61" s="1674">
        <v>0</v>
      </c>
      <c r="V61" s="1726">
        <v>1044.7</v>
      </c>
      <c r="W61" s="1684">
        <f>V61</f>
        <v>1044.7</v>
      </c>
      <c r="X61" s="1673">
        <v>0</v>
      </c>
      <c r="Y61" s="1732"/>
      <c r="Z61" s="1675"/>
      <c r="AA61" s="1684">
        <v>997</v>
      </c>
      <c r="AB61" s="1685">
        <v>0</v>
      </c>
      <c r="AC61" s="1685">
        <f>AA61</f>
        <v>997</v>
      </c>
      <c r="AD61" s="1685">
        <v>0</v>
      </c>
      <c r="AE61" s="1673">
        <f>SUM(AC61/W61*100)</f>
        <v>95.434095912702205</v>
      </c>
      <c r="AF61" s="5192" t="s">
        <v>899</v>
      </c>
      <c r="AG61" s="5193"/>
    </row>
    <row r="62" spans="1:33" ht="36" customHeight="1" thickBot="1">
      <c r="A62" s="777" t="s">
        <v>68</v>
      </c>
      <c r="B62" s="1665"/>
      <c r="C62" s="1663"/>
      <c r="D62" s="1663">
        <v>0</v>
      </c>
      <c r="E62" s="1664">
        <v>26.4</v>
      </c>
      <c r="F62" s="1665">
        <v>0</v>
      </c>
      <c r="G62" s="1663">
        <v>28</v>
      </c>
      <c r="H62" s="1663">
        <v>0</v>
      </c>
      <c r="I62" s="1664">
        <v>18.3</v>
      </c>
      <c r="J62" s="1665">
        <v>0</v>
      </c>
      <c r="K62" s="1663">
        <v>28</v>
      </c>
      <c r="L62" s="1663">
        <v>0</v>
      </c>
      <c r="M62" s="1664">
        <v>30.2</v>
      </c>
      <c r="N62" s="1720">
        <v>28</v>
      </c>
      <c r="O62" s="1780" t="e">
        <f>N62/#REF!*100</f>
        <v>#REF!</v>
      </c>
      <c r="P62" s="1667">
        <v>0</v>
      </c>
      <c r="Q62" s="1667">
        <v>28</v>
      </c>
      <c r="R62" s="1667">
        <v>9.6</v>
      </c>
      <c r="S62" s="1667">
        <v>14.2</v>
      </c>
      <c r="T62" s="1667">
        <v>0</v>
      </c>
      <c r="U62" s="1705">
        <v>30.2</v>
      </c>
      <c r="V62" s="1579">
        <v>28</v>
      </c>
      <c r="W62" s="1666">
        <v>0</v>
      </c>
      <c r="X62" s="1669">
        <v>28</v>
      </c>
      <c r="Y62" s="1783"/>
      <c r="Z62" s="1722"/>
      <c r="AA62" s="1666">
        <v>0</v>
      </c>
      <c r="AB62" s="1667">
        <v>28</v>
      </c>
      <c r="AC62" s="1667">
        <v>0</v>
      </c>
      <c r="AD62" s="1667">
        <v>28</v>
      </c>
      <c r="AE62" s="1669" t="e">
        <f>SUM(AC62/W62*100)</f>
        <v>#DIV/0!</v>
      </c>
      <c r="AF62" s="5194"/>
      <c r="AG62" s="5195"/>
    </row>
    <row r="64" spans="1:33" hidden="1" outlineLevel="1">
      <c r="A64" s="158" t="s">
        <v>276</v>
      </c>
    </row>
    <row r="65" spans="1:34" hidden="1" outlineLevel="1">
      <c r="A65" s="25"/>
      <c r="B65" s="25"/>
      <c r="C65" s="1566"/>
      <c r="D65" s="1566"/>
      <c r="E65" s="1566"/>
      <c r="F65" s="1566"/>
      <c r="G65" s="1566"/>
      <c r="H65" s="1566"/>
      <c r="I65" s="1566"/>
      <c r="J65" s="25"/>
      <c r="K65" s="1566"/>
      <c r="L65" s="1566"/>
      <c r="M65" s="25"/>
      <c r="N65" s="25" t="s">
        <v>267</v>
      </c>
      <c r="O65" s="25" t="s">
        <v>268</v>
      </c>
      <c r="P65" s="25" t="s">
        <v>268</v>
      </c>
      <c r="Q65" s="1566"/>
      <c r="R65" s="25" t="s">
        <v>269</v>
      </c>
      <c r="S65" s="25" t="s">
        <v>270</v>
      </c>
      <c r="T65" s="1566"/>
      <c r="U65" s="672"/>
      <c r="V65" s="25" t="s">
        <v>271</v>
      </c>
      <c r="W65" s="25" t="s">
        <v>273</v>
      </c>
      <c r="X65" s="1566"/>
      <c r="Y65" s="672"/>
      <c r="Z65" s="672"/>
      <c r="AA65" s="672"/>
      <c r="AB65" s="1738"/>
      <c r="AC65" s="672"/>
      <c r="AD65" s="1566"/>
      <c r="AE65" s="672"/>
      <c r="AF65" s="25" t="s">
        <v>274</v>
      </c>
      <c r="AG65" s="25" t="s">
        <v>275</v>
      </c>
    </row>
    <row r="66" spans="1:34" hidden="1" outlineLevel="1">
      <c r="A66" s="25" t="s">
        <v>263</v>
      </c>
      <c r="B66" s="25"/>
      <c r="C66" s="1566"/>
      <c r="D66" s="1566"/>
      <c r="E66" s="1566"/>
      <c r="F66" s="1566"/>
      <c r="G66" s="1566"/>
      <c r="H66" s="1566"/>
      <c r="I66" s="1566"/>
      <c r="J66" s="25"/>
      <c r="K66" s="1566"/>
      <c r="L66" s="1566"/>
      <c r="M66" s="25"/>
      <c r="N66" s="25"/>
      <c r="O66" s="25"/>
      <c r="P66" s="25"/>
      <c r="Q66" s="1566"/>
      <c r="R66" s="25"/>
      <c r="S66" s="25"/>
      <c r="T66" s="1566"/>
      <c r="U66" s="672"/>
      <c r="V66" s="25"/>
      <c r="W66" s="25"/>
      <c r="X66" s="1566"/>
      <c r="Y66" s="672"/>
      <c r="Z66" s="672"/>
      <c r="AA66" s="672"/>
      <c r="AB66" s="1738"/>
      <c r="AC66" s="672"/>
      <c r="AD66" s="1566"/>
      <c r="AE66" s="672"/>
      <c r="AF66" s="25"/>
      <c r="AG66" s="25"/>
    </row>
    <row r="67" spans="1:34" hidden="1" outlineLevel="1">
      <c r="A67" s="157" t="s">
        <v>239</v>
      </c>
      <c r="B67" s="25"/>
      <c r="C67" s="1566"/>
      <c r="D67" s="1566"/>
      <c r="E67" s="1566"/>
      <c r="F67" s="1566"/>
      <c r="G67" s="1566"/>
      <c r="H67" s="1566"/>
      <c r="I67" s="1566"/>
      <c r="J67" s="25"/>
      <c r="K67" s="1566"/>
      <c r="L67" s="1566"/>
      <c r="M67" s="25"/>
      <c r="N67" s="25"/>
      <c r="O67" s="25"/>
      <c r="P67" s="25"/>
      <c r="Q67" s="1566"/>
      <c r="R67" s="25"/>
      <c r="S67" s="25"/>
      <c r="T67" s="1566"/>
      <c r="U67" s="672"/>
      <c r="V67" s="25"/>
      <c r="W67" s="25"/>
      <c r="X67" s="1566"/>
      <c r="Y67" s="672"/>
      <c r="Z67" s="672"/>
      <c r="AA67" s="672"/>
      <c r="AB67" s="1738"/>
      <c r="AC67" s="672"/>
      <c r="AD67" s="1566"/>
      <c r="AE67" s="672"/>
      <c r="AF67" s="25"/>
      <c r="AG67" s="25"/>
    </row>
    <row r="68" spans="1:34" hidden="1" outlineLevel="1">
      <c r="A68" s="25" t="s">
        <v>264</v>
      </c>
      <c r="B68" s="25"/>
      <c r="C68" s="1566"/>
      <c r="D68" s="1566"/>
      <c r="E68" s="1566"/>
      <c r="F68" s="1566"/>
      <c r="G68" s="1566"/>
      <c r="H68" s="1566"/>
      <c r="I68" s="1566"/>
      <c r="J68" s="25"/>
      <c r="K68" s="1566"/>
      <c r="L68" s="1566"/>
      <c r="M68" s="25"/>
      <c r="N68" s="25">
        <v>236.8</v>
      </c>
      <c r="O68" s="25">
        <v>236.8</v>
      </c>
      <c r="P68" s="25">
        <v>236.8</v>
      </c>
      <c r="Q68" s="1566"/>
      <c r="R68" s="25">
        <v>236.8</v>
      </c>
      <c r="S68" s="25">
        <v>236.8</v>
      </c>
      <c r="T68" s="1566"/>
      <c r="U68" s="672"/>
      <c r="V68" s="25">
        <f>S68</f>
        <v>236.8</v>
      </c>
      <c r="W68" s="25">
        <v>229.09</v>
      </c>
      <c r="X68" s="1566"/>
      <c r="Y68" s="672"/>
      <c r="Z68" s="672"/>
      <c r="AA68" s="672"/>
      <c r="AB68" s="1738"/>
      <c r="AC68" s="672"/>
      <c r="AD68" s="1566"/>
      <c r="AE68" s="672"/>
      <c r="AF68" s="25">
        <v>236.8</v>
      </c>
      <c r="AG68" s="25">
        <v>236.8</v>
      </c>
      <c r="AH68" t="e">
        <f>#REF!/12</f>
        <v>#REF!</v>
      </c>
    </row>
    <row r="69" spans="1:34" hidden="1" outlineLevel="1">
      <c r="A69" s="25" t="s">
        <v>265</v>
      </c>
      <c r="B69" s="25"/>
      <c r="C69" s="1566"/>
      <c r="D69" s="1566"/>
      <c r="E69" s="1566"/>
      <c r="F69" s="1566"/>
      <c r="G69" s="1566"/>
      <c r="H69" s="1566"/>
      <c r="I69" s="1566"/>
      <c r="J69" s="25"/>
      <c r="K69" s="1566"/>
      <c r="L69" s="1566"/>
      <c r="M69" s="25"/>
      <c r="N69" s="25">
        <v>100.3</v>
      </c>
      <c r="O69" s="25">
        <v>100.3</v>
      </c>
      <c r="P69" s="25">
        <v>100.3</v>
      </c>
      <c r="Q69" s="1566"/>
      <c r="R69" s="25">
        <v>100.3</v>
      </c>
      <c r="S69" s="25">
        <v>100.3</v>
      </c>
      <c r="T69" s="1566"/>
      <c r="U69" s="672"/>
      <c r="V69" s="25">
        <f>S69</f>
        <v>100.3</v>
      </c>
      <c r="W69" s="25">
        <v>87.4</v>
      </c>
      <c r="X69" s="1566"/>
      <c r="Y69" s="672"/>
      <c r="Z69" s="672"/>
      <c r="AA69" s="672"/>
      <c r="AB69" s="1738"/>
      <c r="AC69" s="672"/>
      <c r="AD69" s="1566"/>
      <c r="AE69" s="672"/>
      <c r="AF69" s="25">
        <v>100.3</v>
      </c>
      <c r="AG69" s="25">
        <v>100.3</v>
      </c>
      <c r="AH69" t="e">
        <f>#REF!/12</f>
        <v>#REF!</v>
      </c>
    </row>
    <row r="70" spans="1:34" hidden="1" outlineLevel="1">
      <c r="A70" s="25" t="s">
        <v>266</v>
      </c>
      <c r="B70" s="25"/>
      <c r="C70" s="1566"/>
      <c r="D70" s="1566"/>
      <c r="E70" s="1566"/>
      <c r="F70" s="1566"/>
      <c r="G70" s="1566"/>
      <c r="H70" s="1566"/>
      <c r="I70" s="1566"/>
      <c r="J70" s="25"/>
      <c r="K70" s="1566"/>
      <c r="L70" s="1566"/>
      <c r="M70" s="25"/>
      <c r="N70" s="25">
        <v>3.6</v>
      </c>
      <c r="O70" s="25">
        <v>3.6</v>
      </c>
      <c r="P70" s="25">
        <v>3.6</v>
      </c>
      <c r="Q70" s="1566"/>
      <c r="R70" s="25">
        <v>3.6</v>
      </c>
      <c r="S70" s="25">
        <v>3.6</v>
      </c>
      <c r="T70" s="1566"/>
      <c r="U70" s="672"/>
      <c r="V70" s="25">
        <f>S70</f>
        <v>3.6</v>
      </c>
      <c r="W70" s="25">
        <v>2.1</v>
      </c>
      <c r="X70" s="1566"/>
      <c r="Y70" s="672"/>
      <c r="Z70" s="672"/>
      <c r="AA70" s="672"/>
      <c r="AB70" s="1738"/>
      <c r="AC70" s="672"/>
      <c r="AD70" s="1566"/>
      <c r="AE70" s="672"/>
      <c r="AF70" s="25">
        <v>3.6</v>
      </c>
      <c r="AG70" s="25">
        <v>3.6</v>
      </c>
      <c r="AH70" t="e">
        <f>#REF!/12</f>
        <v>#REF!</v>
      </c>
    </row>
    <row r="71" spans="1:34" hidden="1" outlineLevel="1">
      <c r="A71" s="25"/>
      <c r="B71" s="25"/>
      <c r="C71" s="1566"/>
      <c r="D71" s="1566"/>
      <c r="E71" s="1566"/>
      <c r="F71" s="1566"/>
      <c r="G71" s="1566"/>
      <c r="H71" s="1566"/>
      <c r="I71" s="1566"/>
      <c r="J71" s="25"/>
      <c r="K71" s="1566"/>
      <c r="L71" s="1566"/>
      <c r="M71" s="25"/>
      <c r="N71" s="5202" t="s">
        <v>277</v>
      </c>
      <c r="O71" s="5203"/>
      <c r="P71" s="5203"/>
      <c r="Q71" s="5204"/>
      <c r="R71" s="5203"/>
      <c r="S71" s="5203"/>
      <c r="T71" s="1614"/>
      <c r="U71" s="768"/>
      <c r="V71" s="5203" t="s">
        <v>278</v>
      </c>
      <c r="W71" s="5203"/>
      <c r="X71" s="1576"/>
      <c r="Y71" s="770"/>
      <c r="Z71" s="770"/>
      <c r="AA71" s="770"/>
      <c r="AB71" s="1739"/>
      <c r="AC71" s="770"/>
      <c r="AD71" s="1567"/>
      <c r="AE71" s="770"/>
      <c r="AF71" s="5205" t="s">
        <v>279</v>
      </c>
      <c r="AG71" s="5205"/>
    </row>
    <row r="72" spans="1:34" collapsed="1"/>
  </sheetData>
  <mergeCells count="76">
    <mergeCell ref="D34:E35"/>
    <mergeCell ref="B34:C35"/>
    <mergeCell ref="AF58:AG58"/>
    <mergeCell ref="T34:U35"/>
    <mergeCell ref="P34:Q35"/>
    <mergeCell ref="L34:M35"/>
    <mergeCell ref="J34:K35"/>
    <mergeCell ref="H34:I35"/>
    <mergeCell ref="A37:AG37"/>
    <mergeCell ref="AF38:AG38"/>
    <mergeCell ref="AF39:AG39"/>
    <mergeCell ref="AF40:AG40"/>
    <mergeCell ref="AF42:AG42"/>
    <mergeCell ref="AF43:AG43"/>
    <mergeCell ref="Y34:Y36"/>
    <mergeCell ref="V34:V36"/>
    <mergeCell ref="N71:S71"/>
    <mergeCell ref="V71:W71"/>
    <mergeCell ref="AF71:AG71"/>
    <mergeCell ref="J33:M33"/>
    <mergeCell ref="B33:E33"/>
    <mergeCell ref="F33:I33"/>
    <mergeCell ref="F34:G35"/>
    <mergeCell ref="AF59:AG59"/>
    <mergeCell ref="AF50:AG50"/>
    <mergeCell ref="AF51:AG51"/>
    <mergeCell ref="AF52:AG52"/>
    <mergeCell ref="AF53:AG53"/>
    <mergeCell ref="A57:AG57"/>
    <mergeCell ref="AF44:AG44"/>
    <mergeCell ref="AF45:AG45"/>
    <mergeCell ref="AF46:AG46"/>
    <mergeCell ref="W34:X35"/>
    <mergeCell ref="AF60:AG60"/>
    <mergeCell ref="AF61:AG61"/>
    <mergeCell ref="AF62:AG62"/>
    <mergeCell ref="AF47:AG47"/>
    <mergeCell ref="AF48:AG48"/>
    <mergeCell ref="AF49:AG49"/>
    <mergeCell ref="A8:AH8"/>
    <mergeCell ref="A20:AH20"/>
    <mergeCell ref="A31:V31"/>
    <mergeCell ref="A33:A36"/>
    <mergeCell ref="N33:U33"/>
    <mergeCell ref="V33:Z33"/>
    <mergeCell ref="AA33:AE33"/>
    <mergeCell ref="AF33:AG36"/>
    <mergeCell ref="N34:N36"/>
    <mergeCell ref="O34:O36"/>
    <mergeCell ref="AA34:AB35"/>
    <mergeCell ref="Z34:Z36"/>
    <mergeCell ref="AC34:AD35"/>
    <mergeCell ref="AE34:AE36"/>
    <mergeCell ref="R34:R36"/>
    <mergeCell ref="S34:S36"/>
    <mergeCell ref="V5:V7"/>
    <mergeCell ref="W5:W7"/>
    <mergeCell ref="AF5:AF7"/>
    <mergeCell ref="AG5:AG7"/>
    <mergeCell ref="AH5:AH7"/>
    <mergeCell ref="S5:S7"/>
    <mergeCell ref="A2:AG2"/>
    <mergeCell ref="A3:AG3"/>
    <mergeCell ref="A4:A7"/>
    <mergeCell ref="B4:B7"/>
    <mergeCell ref="J4:M4"/>
    <mergeCell ref="N4:O4"/>
    <mergeCell ref="P4:R4"/>
    <mergeCell ref="S4:V4"/>
    <mergeCell ref="W4:AH4"/>
    <mergeCell ref="J5:J7"/>
    <mergeCell ref="M5:M7"/>
    <mergeCell ref="N5:N7"/>
    <mergeCell ref="O5:O7"/>
    <mergeCell ref="P5:P7"/>
    <mergeCell ref="R5:R7"/>
  </mergeCells>
  <printOptions horizontalCentered="1" verticalCentered="1"/>
  <pageMargins left="0.74803149606299213" right="0.74803149606299213" top="0.55118110236220474" bottom="0.51181102362204722" header="0.51181102362204722" footer="0.51181102362204722"/>
  <pageSetup paperSize="9" scale="29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CT140"/>
  <sheetViews>
    <sheetView zoomScale="50" zoomScaleNormal="50" zoomScalePageLayoutView="70" workbookViewId="0">
      <pane xSplit="24" ySplit="7" topLeftCell="BV8" activePane="bottomRight" state="frozen"/>
      <selection pane="topRight" activeCell="Y1" sqref="Y1"/>
      <selection pane="bottomLeft" activeCell="A7" sqref="A7"/>
      <selection pane="bottomRight" activeCell="CQ23" sqref="CQ23"/>
    </sheetView>
  </sheetViews>
  <sheetFormatPr defaultRowHeight="12.75" outlineLevelCol="1"/>
  <cols>
    <col min="1" max="1" width="52.140625" customWidth="1"/>
    <col min="2" max="2" width="0" hidden="1" customWidth="1"/>
    <col min="3" max="3" width="8.28515625" hidden="1" customWidth="1"/>
    <col min="4" max="4" width="0.7109375" hidden="1" customWidth="1"/>
    <col min="5" max="5" width="13.140625" hidden="1" customWidth="1"/>
    <col min="6" max="6" width="7.7109375" hidden="1" customWidth="1"/>
    <col min="7" max="7" width="12.140625" hidden="1" customWidth="1"/>
    <col min="8" max="8" width="12.28515625" hidden="1" customWidth="1"/>
    <col min="9" max="9" width="12.85546875" hidden="1" customWidth="1"/>
    <col min="10" max="10" width="10.7109375" hidden="1" customWidth="1"/>
    <col min="11" max="11" width="10.5703125" hidden="1" customWidth="1"/>
    <col min="12" max="12" width="15.7109375" hidden="1" customWidth="1"/>
    <col min="13" max="13" width="6.42578125" hidden="1" customWidth="1"/>
    <col min="14" max="14" width="7.28515625" hidden="1" customWidth="1" outlineLevel="1"/>
    <col min="15" max="15" width="12.85546875" hidden="1" customWidth="1" outlineLevel="1"/>
    <col min="16" max="16" width="9.5703125" hidden="1" customWidth="1" outlineLevel="1"/>
    <col min="17" max="17" width="20.7109375" hidden="1" customWidth="1" collapsed="1"/>
    <col min="18" max="19" width="8" hidden="1" customWidth="1" outlineLevel="1"/>
    <col min="20" max="20" width="11.42578125" hidden="1" customWidth="1" collapsed="1"/>
    <col min="21" max="23" width="11.7109375" hidden="1" customWidth="1"/>
    <col min="24" max="24" width="11.7109375" hidden="1" customWidth="1" outlineLevel="1"/>
    <col min="25" max="25" width="17" hidden="1" customWidth="1" collapsed="1"/>
    <col min="26" max="26" width="11.7109375" hidden="1" customWidth="1"/>
    <col min="27" max="27" width="16.5703125" hidden="1" customWidth="1"/>
    <col min="28" max="28" width="11.7109375" hidden="1" customWidth="1"/>
    <col min="29" max="29" width="14" hidden="1" customWidth="1"/>
    <col min="30" max="30" width="11.140625" hidden="1" customWidth="1"/>
    <col min="31" max="31" width="16.5703125" hidden="1" customWidth="1"/>
    <col min="32" max="32" width="14" hidden="1" customWidth="1"/>
    <col min="33" max="33" width="11" hidden="1" customWidth="1"/>
    <col min="34" max="34" width="16.5703125" hidden="1" customWidth="1"/>
    <col min="35" max="35" width="12.5703125" hidden="1" customWidth="1"/>
    <col min="36" max="36" width="14" style="335" hidden="1" customWidth="1"/>
    <col min="37" max="37" width="11" style="335" hidden="1" customWidth="1"/>
    <col min="38" max="38" width="16.5703125" hidden="1" customWidth="1"/>
    <col min="39" max="39" width="11.5703125" hidden="1" customWidth="1"/>
    <col min="40" max="40" width="14" hidden="1" customWidth="1"/>
    <col min="41" max="41" width="11" hidden="1" customWidth="1"/>
    <col min="42" max="45" width="11.7109375" hidden="1" customWidth="1" outlineLevel="1"/>
    <col min="46" max="46" width="16.5703125" hidden="1" customWidth="1" outlineLevel="1"/>
    <col min="47" max="47" width="14" hidden="1" customWidth="1" outlineLevel="1"/>
    <col min="48" max="48" width="12.28515625" hidden="1" customWidth="1" outlineLevel="1"/>
    <col min="49" max="49" width="16.5703125" hidden="1" customWidth="1" outlineLevel="1"/>
    <col min="50" max="50" width="14" hidden="1" customWidth="1" outlineLevel="1"/>
    <col min="51" max="51" width="11" hidden="1" customWidth="1" outlineLevel="1"/>
    <col min="52" max="52" width="16.7109375" hidden="1" customWidth="1" outlineLevel="1"/>
    <col min="53" max="53" width="14.140625" hidden="1" customWidth="1" outlineLevel="1"/>
    <col min="54" max="54" width="11" hidden="1" customWidth="1" outlineLevel="1"/>
    <col min="55" max="55" width="16.5703125" customWidth="1" outlineLevel="1"/>
    <col min="56" max="56" width="11.7109375" style="189" hidden="1" customWidth="1" outlineLevel="1"/>
    <col min="57" max="57" width="14" customWidth="1" outlineLevel="1"/>
    <col min="58" max="58" width="11" customWidth="1" outlineLevel="1"/>
    <col min="59" max="59" width="16.5703125" customWidth="1" outlineLevel="1"/>
    <col min="60" max="60" width="11.7109375" style="189" hidden="1" customWidth="1" outlineLevel="1"/>
    <col min="61" max="61" width="14" customWidth="1" outlineLevel="1"/>
    <col min="62" max="62" width="11" customWidth="1" outlineLevel="1"/>
    <col min="63" max="63" width="27.85546875" hidden="1" customWidth="1"/>
    <col min="64" max="64" width="16.7109375" hidden="1" customWidth="1"/>
    <col min="65" max="65" width="13.85546875" hidden="1" customWidth="1"/>
    <col min="66" max="66" width="11" hidden="1" customWidth="1"/>
    <col min="67" max="67" width="16.7109375" hidden="1" customWidth="1"/>
    <col min="68" max="68" width="13.85546875" hidden="1" customWidth="1"/>
    <col min="69" max="69" width="11" hidden="1" customWidth="1"/>
    <col min="70" max="70" width="16.7109375" customWidth="1"/>
    <col min="71" max="71" width="13.85546875" customWidth="1"/>
    <col min="72" max="72" width="11" customWidth="1"/>
    <col min="73" max="73" width="16.7109375" customWidth="1"/>
    <col min="74" max="74" width="11.5703125" customWidth="1"/>
    <col min="75" max="75" width="13.85546875" customWidth="1"/>
    <col min="76" max="76" width="11" customWidth="1"/>
    <col min="77" max="77" width="16.7109375" customWidth="1"/>
    <col min="78" max="78" width="11.5703125" customWidth="1"/>
    <col min="79" max="79" width="13.85546875" customWidth="1"/>
    <col min="80" max="80" width="11" customWidth="1"/>
    <col min="81" max="81" width="29.5703125" hidden="1" customWidth="1"/>
    <col min="82" max="82" width="16.7109375" customWidth="1"/>
    <col min="83" max="83" width="13.85546875" customWidth="1"/>
    <col min="84" max="84" width="11" customWidth="1"/>
    <col min="85" max="85" width="16.7109375" customWidth="1"/>
    <col min="86" max="86" width="13.85546875" customWidth="1"/>
    <col min="87" max="87" width="11" customWidth="1"/>
    <col min="88" max="88" width="16.7109375" customWidth="1"/>
    <col min="89" max="89" width="13.85546875" customWidth="1"/>
    <col min="90" max="90" width="11" customWidth="1"/>
    <col min="91" max="91" width="16.7109375" customWidth="1"/>
    <col min="92" max="92" width="11.5703125" customWidth="1"/>
    <col min="93" max="93" width="13.85546875" customWidth="1"/>
    <col min="94" max="94" width="11" customWidth="1"/>
    <col min="95" max="95" width="16.7109375" customWidth="1"/>
    <col min="96" max="96" width="11.5703125" customWidth="1"/>
    <col min="97" max="97" width="13.85546875" customWidth="1"/>
    <col min="98" max="98" width="11" customWidth="1"/>
  </cols>
  <sheetData>
    <row r="1" spans="1:98">
      <c r="A1" s="5021" t="s">
        <v>1523</v>
      </c>
      <c r="B1" s="5021"/>
      <c r="C1" s="5021"/>
      <c r="D1" s="5021"/>
      <c r="E1" s="5021"/>
      <c r="F1" s="5021"/>
      <c r="G1" s="5021"/>
      <c r="H1" s="5021"/>
      <c r="I1" s="5021"/>
      <c r="J1" s="5021"/>
      <c r="K1" s="5021"/>
      <c r="L1" s="5021"/>
      <c r="M1" s="5021"/>
      <c r="N1" s="5021"/>
      <c r="O1" s="5021"/>
      <c r="P1" s="5021"/>
      <c r="Q1" s="5021"/>
      <c r="R1" s="5021"/>
      <c r="S1" s="5021"/>
      <c r="T1" s="5021"/>
      <c r="U1" s="5021"/>
      <c r="V1" s="5021"/>
      <c r="W1" s="5021"/>
      <c r="X1" s="5021"/>
      <c r="Y1" s="5021"/>
      <c r="Z1" s="5021"/>
      <c r="AA1" s="5021"/>
      <c r="AB1" s="5021"/>
      <c r="AC1" s="5021"/>
      <c r="AD1" s="5021"/>
      <c r="AE1" s="5021"/>
      <c r="AF1" s="5021"/>
      <c r="AG1" s="5021"/>
      <c r="AH1" s="5021"/>
      <c r="AI1" s="5021"/>
      <c r="AJ1" s="5021"/>
      <c r="AK1" s="5021"/>
      <c r="AL1" s="5021"/>
      <c r="AM1" s="5021"/>
      <c r="AN1" s="5021"/>
      <c r="AO1" s="5021"/>
      <c r="AP1" s="5021"/>
      <c r="AQ1" s="5021"/>
      <c r="AR1" s="5021"/>
      <c r="AS1" s="5021"/>
      <c r="AT1" s="5021"/>
      <c r="AU1" s="5021"/>
      <c r="AV1" s="5021"/>
      <c r="AW1" s="5021"/>
      <c r="AX1" s="5021"/>
      <c r="AY1" s="5021"/>
      <c r="AZ1" s="5021"/>
      <c r="BA1" s="5021"/>
      <c r="BB1" s="5021"/>
      <c r="BC1" s="5021"/>
      <c r="BD1" s="5021"/>
      <c r="BE1" s="5021"/>
      <c r="BF1" s="5021"/>
      <c r="BG1" s="5021"/>
      <c r="BH1" s="5021"/>
      <c r="BI1" s="5021"/>
      <c r="BJ1" s="5021"/>
      <c r="BK1" s="5021"/>
      <c r="BL1" s="5021"/>
      <c r="BM1" s="5021"/>
      <c r="BN1" s="5021"/>
      <c r="BO1" s="5021"/>
      <c r="BP1" s="5021"/>
      <c r="BQ1" s="5021"/>
      <c r="BR1" s="5021"/>
      <c r="BS1" s="5021"/>
      <c r="BT1" s="5021"/>
      <c r="BU1" s="5021"/>
      <c r="BV1" s="5021"/>
      <c r="BW1" s="5021"/>
      <c r="BX1" s="5021"/>
      <c r="BY1" s="5021"/>
      <c r="BZ1" s="5021"/>
      <c r="CA1" s="5021"/>
      <c r="CB1" s="5021"/>
      <c r="CC1" s="5021"/>
      <c r="CD1" s="5021"/>
      <c r="CE1" s="5021"/>
      <c r="CF1" s="5021"/>
      <c r="CG1" s="5021"/>
      <c r="CH1" s="5021"/>
      <c r="CI1" s="5021"/>
      <c r="CJ1" s="5021"/>
      <c r="CK1" s="5021"/>
      <c r="CL1" s="5021"/>
      <c r="CM1" s="4894"/>
      <c r="CN1" s="4894"/>
      <c r="CO1" s="4894"/>
      <c r="CP1" s="4894"/>
      <c r="CQ1" s="4894"/>
      <c r="CR1" s="4894"/>
      <c r="CS1" s="4894"/>
      <c r="CT1" s="4894"/>
    </row>
    <row r="2" spans="1:98" ht="27">
      <c r="A2" s="5229" t="s">
        <v>1855</v>
      </c>
      <c r="B2" s="5229"/>
      <c r="C2" s="5229"/>
      <c r="D2" s="5229"/>
      <c r="E2" s="5229"/>
      <c r="F2" s="5229"/>
      <c r="G2" s="5229"/>
      <c r="H2" s="5229"/>
      <c r="I2" s="5229"/>
      <c r="J2" s="5229"/>
      <c r="K2" s="5229"/>
      <c r="L2" s="5229"/>
      <c r="M2" s="5229"/>
      <c r="N2" s="5229"/>
      <c r="O2" s="5229"/>
      <c r="P2" s="5229"/>
      <c r="Q2" s="5229"/>
      <c r="R2" s="5229"/>
      <c r="S2" s="5229"/>
      <c r="T2" s="5229"/>
      <c r="U2" s="5229"/>
      <c r="V2" s="5229"/>
      <c r="W2" s="5229"/>
      <c r="X2" s="5229"/>
      <c r="Y2" s="5229"/>
      <c r="Z2" s="5229"/>
      <c r="AA2" s="5229"/>
      <c r="AB2" s="5229"/>
      <c r="AC2" s="5229"/>
      <c r="AD2" s="5229"/>
      <c r="AE2" s="5229"/>
      <c r="AF2" s="5229"/>
      <c r="AG2" s="5229"/>
      <c r="AH2" s="5229"/>
      <c r="AI2" s="5229"/>
      <c r="AJ2" s="5229"/>
      <c r="AK2" s="5229"/>
      <c r="AL2" s="5229"/>
      <c r="AM2" s="5229"/>
      <c r="AN2" s="5229"/>
      <c r="AO2" s="5229"/>
      <c r="AP2" s="5229"/>
      <c r="AQ2" s="5229"/>
      <c r="AR2" s="5229"/>
      <c r="AS2" s="5229"/>
      <c r="AT2" s="5229"/>
      <c r="AU2" s="5229"/>
      <c r="AV2" s="5229"/>
      <c r="AW2" s="5229"/>
      <c r="AX2" s="5229"/>
      <c r="AY2" s="5229"/>
      <c r="AZ2" s="5229"/>
      <c r="BA2" s="5229"/>
      <c r="BB2" s="5229"/>
      <c r="BC2" s="5229"/>
      <c r="BD2" s="5229"/>
      <c r="BE2" s="5229"/>
      <c r="BF2" s="5229"/>
      <c r="BG2" s="5229"/>
      <c r="BH2" s="5229"/>
      <c r="BI2" s="5229"/>
      <c r="BJ2" s="5229"/>
      <c r="BK2" s="5229"/>
      <c r="BL2" s="5230"/>
      <c r="BM2" s="5230"/>
      <c r="BN2" s="5230"/>
      <c r="BO2" s="5230"/>
      <c r="BP2" s="5230"/>
      <c r="BQ2" s="5230"/>
      <c r="BR2" s="5230"/>
      <c r="BS2" s="5230"/>
      <c r="BT2" s="5230"/>
      <c r="BU2" s="5230"/>
      <c r="BV2" s="5230"/>
      <c r="BW2" s="5230"/>
      <c r="BX2" s="5230"/>
      <c r="BY2" s="5230"/>
      <c r="BZ2" s="5230"/>
      <c r="CA2" s="5230"/>
      <c r="CB2" s="5230"/>
      <c r="CC2" s="5230"/>
      <c r="CD2" s="5230"/>
      <c r="CE2" s="5230"/>
      <c r="CF2" s="5230"/>
      <c r="CG2" s="5230"/>
      <c r="CH2" s="5230"/>
      <c r="CI2" s="5230"/>
      <c r="CJ2" s="5230"/>
      <c r="CK2" s="5230"/>
      <c r="CL2" s="5230"/>
      <c r="CM2" s="4894"/>
      <c r="CN2" s="4894"/>
      <c r="CO2" s="4894"/>
      <c r="CP2" s="4894"/>
      <c r="CQ2" s="4894"/>
      <c r="CR2" s="4894"/>
      <c r="CS2" s="4894"/>
      <c r="CT2" s="4894"/>
    </row>
    <row r="3" spans="1:98" ht="13.5" thickBot="1">
      <c r="A3" s="383"/>
      <c r="B3" s="383"/>
      <c r="C3" s="383"/>
      <c r="D3" s="383"/>
      <c r="E3" s="383"/>
      <c r="F3" s="383"/>
      <c r="G3" s="383"/>
      <c r="H3" s="383"/>
      <c r="I3" s="383"/>
      <c r="J3" s="383"/>
      <c r="K3" s="383"/>
      <c r="L3" s="383"/>
      <c r="M3" s="383"/>
      <c r="N3" s="383"/>
      <c r="O3" s="383"/>
      <c r="P3" s="383"/>
      <c r="Q3" s="383"/>
      <c r="R3" s="383"/>
      <c r="S3" s="383"/>
      <c r="T3" s="383"/>
      <c r="U3" s="383"/>
      <c r="V3" s="383"/>
      <c r="W3" s="383"/>
      <c r="X3" s="383"/>
      <c r="Y3" s="383"/>
      <c r="Z3" s="383"/>
      <c r="AA3" s="383"/>
      <c r="AB3" s="383"/>
      <c r="AC3" s="383"/>
      <c r="AD3" s="383"/>
      <c r="AE3" s="1261"/>
      <c r="AF3" s="1261"/>
      <c r="AG3" s="1261"/>
      <c r="AH3" s="1261"/>
      <c r="AI3" s="383"/>
      <c r="AJ3" s="384"/>
      <c r="AK3" s="384"/>
      <c r="AL3" s="383"/>
      <c r="AM3" s="383"/>
      <c r="AN3" s="383"/>
      <c r="AO3" s="383"/>
      <c r="AP3" s="383"/>
      <c r="AQ3" s="383"/>
      <c r="AR3" s="383"/>
      <c r="AS3" s="383"/>
      <c r="AT3" s="1261"/>
      <c r="AU3" s="1261"/>
      <c r="AV3" s="1261"/>
      <c r="AW3" s="1261"/>
      <c r="AX3" s="1261"/>
      <c r="AY3" s="1261"/>
      <c r="AZ3" s="2621"/>
      <c r="BA3" s="2621"/>
      <c r="BB3" s="2621"/>
      <c r="BC3" s="1261"/>
      <c r="BD3" s="2137"/>
      <c r="BE3" s="1261"/>
      <c r="BF3" s="1261"/>
      <c r="BG3" s="1261"/>
      <c r="BH3" s="2137"/>
      <c r="BI3" s="1261"/>
      <c r="BJ3" s="1261"/>
      <c r="BK3" s="383"/>
    </row>
    <row r="4" spans="1:98" ht="39" customHeight="1" thickBot="1">
      <c r="A4" s="5256" t="s">
        <v>545</v>
      </c>
      <c r="B4" s="5290" t="s">
        <v>58</v>
      </c>
      <c r="C4" s="5266" t="s">
        <v>59</v>
      </c>
      <c r="D4" s="5266"/>
      <c r="E4" s="5262" t="s">
        <v>67</v>
      </c>
      <c r="F4" s="5262"/>
      <c r="G4" s="5263" t="s">
        <v>95</v>
      </c>
      <c r="H4" s="5264"/>
      <c r="I4" s="5263" t="s">
        <v>124</v>
      </c>
      <c r="J4" s="5265"/>
      <c r="K4" s="5265"/>
      <c r="L4" s="5265"/>
      <c r="M4" s="5265"/>
      <c r="N4" s="5264"/>
      <c r="O4" s="5292" t="s">
        <v>163</v>
      </c>
      <c r="P4" s="5164"/>
      <c r="Q4" s="5164"/>
      <c r="R4" s="5164"/>
      <c r="S4" s="5164"/>
      <c r="T4" s="5164"/>
      <c r="U4" s="5164"/>
      <c r="V4" s="5164"/>
      <c r="W4" s="5164"/>
      <c r="X4" s="5164"/>
      <c r="Y4" s="5259" t="s">
        <v>238</v>
      </c>
      <c r="Z4" s="5269"/>
      <c r="AA4" s="5269"/>
      <c r="AB4" s="5269"/>
      <c r="AC4" s="5269"/>
      <c r="AD4" s="5269"/>
      <c r="AE4" s="5270"/>
      <c r="AF4" s="5270"/>
      <c r="AG4" s="5271"/>
      <c r="AH4" s="5259" t="s">
        <v>379</v>
      </c>
      <c r="AI4" s="5260"/>
      <c r="AJ4" s="5260"/>
      <c r="AK4" s="5260"/>
      <c r="AL4" s="5260"/>
      <c r="AM4" s="5260"/>
      <c r="AN4" s="5260"/>
      <c r="AO4" s="5260"/>
      <c r="AP4" s="5260"/>
      <c r="AQ4" s="5260"/>
      <c r="AR4" s="5260"/>
      <c r="AS4" s="5260"/>
      <c r="AT4" s="5260"/>
      <c r="AU4" s="5260"/>
      <c r="AV4" s="5260"/>
      <c r="AW4" s="5260"/>
      <c r="AX4" s="5260"/>
      <c r="AY4" s="5260"/>
      <c r="AZ4" s="5260"/>
      <c r="BA4" s="5260"/>
      <c r="BB4" s="5261"/>
      <c r="BC4" s="5275" t="s">
        <v>832</v>
      </c>
      <c r="BD4" s="5276"/>
      <c r="BE4" s="5276"/>
      <c r="BF4" s="5276"/>
      <c r="BG4" s="5276"/>
      <c r="BH4" s="5276"/>
      <c r="BI4" s="5276"/>
      <c r="BJ4" s="5277"/>
      <c r="BK4" s="5160" t="s">
        <v>160</v>
      </c>
      <c r="BL4" s="5245" t="s">
        <v>1658</v>
      </c>
      <c r="BM4" s="5246"/>
      <c r="BN4" s="5246"/>
      <c r="BO4" s="5246"/>
      <c r="BP4" s="5246"/>
      <c r="BQ4" s="5246"/>
      <c r="BR4" s="5246"/>
      <c r="BS4" s="5246"/>
      <c r="BT4" s="5247"/>
      <c r="BU4" s="5231" t="s">
        <v>911</v>
      </c>
      <c r="BV4" s="5232"/>
      <c r="BW4" s="5232"/>
      <c r="BX4" s="5232"/>
      <c r="BY4" s="5232"/>
      <c r="BZ4" s="5232"/>
      <c r="CA4" s="5232"/>
      <c r="CB4" s="5233"/>
      <c r="CC4" s="5160" t="s">
        <v>160</v>
      </c>
      <c r="CD4" s="5301" t="s">
        <v>1897</v>
      </c>
      <c r="CE4" s="5302"/>
      <c r="CF4" s="5302"/>
      <c r="CG4" s="5303"/>
      <c r="CH4" s="5303"/>
      <c r="CI4" s="5303"/>
      <c r="CJ4" s="5303"/>
      <c r="CK4" s="5303"/>
      <c r="CL4" s="5304"/>
      <c r="CM4" s="5231" t="s">
        <v>1849</v>
      </c>
      <c r="CN4" s="5232"/>
      <c r="CO4" s="5232"/>
      <c r="CP4" s="5232"/>
      <c r="CQ4" s="5232"/>
      <c r="CR4" s="5232"/>
      <c r="CS4" s="5232"/>
      <c r="CT4" s="5233"/>
    </row>
    <row r="5" spans="1:98" ht="46.5" customHeight="1" thickBot="1">
      <c r="A5" s="5257"/>
      <c r="B5" s="5279"/>
      <c r="C5" s="5267" t="s">
        <v>61</v>
      </c>
      <c r="D5" s="5267" t="s">
        <v>62</v>
      </c>
      <c r="E5" s="5267" t="s">
        <v>61</v>
      </c>
      <c r="F5" s="5272" t="s">
        <v>66</v>
      </c>
      <c r="G5" s="5267" t="s">
        <v>61</v>
      </c>
      <c r="H5" s="5272" t="s">
        <v>112</v>
      </c>
      <c r="I5" s="5267" t="s">
        <v>60</v>
      </c>
      <c r="J5" s="5272" t="s">
        <v>120</v>
      </c>
      <c r="K5" s="5272" t="s">
        <v>110</v>
      </c>
      <c r="L5" s="5272" t="s">
        <v>61</v>
      </c>
      <c r="M5" s="5267" t="s">
        <v>65</v>
      </c>
      <c r="N5" s="5267" t="s">
        <v>223</v>
      </c>
      <c r="O5" s="5273" t="s">
        <v>126</v>
      </c>
      <c r="P5" s="5273" t="s">
        <v>97</v>
      </c>
      <c r="Q5" s="5273" t="s">
        <v>127</v>
      </c>
      <c r="R5" s="5273" t="s">
        <v>97</v>
      </c>
      <c r="S5" s="5272" t="s">
        <v>161</v>
      </c>
      <c r="T5" s="5278" t="s">
        <v>23</v>
      </c>
      <c r="U5" s="5279"/>
      <c r="V5" s="5272" t="s">
        <v>110</v>
      </c>
      <c r="W5" s="5285" t="s">
        <v>385</v>
      </c>
      <c r="X5" s="5286"/>
      <c r="Y5" s="5297" t="s">
        <v>126</v>
      </c>
      <c r="Z5" s="5282" t="s">
        <v>97</v>
      </c>
      <c r="AA5" s="5234" t="s">
        <v>127</v>
      </c>
      <c r="AB5" s="5235"/>
      <c r="AC5" s="5235"/>
      <c r="AD5" s="5235"/>
      <c r="AE5" s="5234" t="s">
        <v>831</v>
      </c>
      <c r="AF5" s="5235"/>
      <c r="AG5" s="5235"/>
      <c r="AH5" s="5234" t="str">
        <f>Y5</f>
        <v>предложение предприятия</v>
      </c>
      <c r="AI5" s="5235"/>
      <c r="AJ5" s="5235"/>
      <c r="AK5" s="5235"/>
      <c r="AL5" s="5234" t="str">
        <f>AA5</f>
        <v>предложение агентства</v>
      </c>
      <c r="AM5" s="5235"/>
      <c r="AN5" s="5235"/>
      <c r="AO5" s="5235"/>
      <c r="AP5" s="1409"/>
      <c r="AQ5" s="1409"/>
      <c r="AR5" s="1409"/>
      <c r="AS5" s="1409"/>
      <c r="AT5" s="5234" t="s">
        <v>862</v>
      </c>
      <c r="AU5" s="5235"/>
      <c r="AV5" s="5235"/>
      <c r="AW5" s="5234" t="s">
        <v>863</v>
      </c>
      <c r="AX5" s="5235"/>
      <c r="AY5" s="5235"/>
      <c r="AZ5" s="5234" t="s">
        <v>1639</v>
      </c>
      <c r="BA5" s="5235"/>
      <c r="BB5" s="5235"/>
      <c r="BC5" s="5234" t="s">
        <v>1516</v>
      </c>
      <c r="BD5" s="5234"/>
      <c r="BE5" s="5235"/>
      <c r="BF5" s="5235"/>
      <c r="BG5" s="5234" t="s">
        <v>865</v>
      </c>
      <c r="BH5" s="5234"/>
      <c r="BI5" s="5235"/>
      <c r="BJ5" s="5235"/>
      <c r="BK5" s="5251"/>
      <c r="BL5" s="5248"/>
      <c r="BM5" s="5249"/>
      <c r="BN5" s="5249"/>
      <c r="BO5" s="5249"/>
      <c r="BP5" s="5249"/>
      <c r="BQ5" s="5249"/>
      <c r="BR5" s="5249"/>
      <c r="BS5" s="5249"/>
      <c r="BT5" s="5250"/>
      <c r="BU5" s="5234" t="s">
        <v>1659</v>
      </c>
      <c r="BV5" s="5234"/>
      <c r="BW5" s="5235"/>
      <c r="BX5" s="5235"/>
      <c r="BY5" s="5234" t="s">
        <v>1660</v>
      </c>
      <c r="BZ5" s="5234"/>
      <c r="CA5" s="5235"/>
      <c r="CB5" s="5235"/>
      <c r="CC5" s="5253"/>
      <c r="CD5" s="5301" t="s">
        <v>598</v>
      </c>
      <c r="CE5" s="5309"/>
      <c r="CF5" s="5309"/>
      <c r="CG5" s="5309" t="s">
        <v>229</v>
      </c>
      <c r="CH5" s="5309"/>
      <c r="CI5" s="5309"/>
      <c r="CJ5" s="5309" t="s">
        <v>1899</v>
      </c>
      <c r="CK5" s="5309"/>
      <c r="CL5" s="5311"/>
      <c r="CM5" s="5234" t="s">
        <v>126</v>
      </c>
      <c r="CN5" s="5234"/>
      <c r="CO5" s="5235"/>
      <c r="CP5" s="5235"/>
      <c r="CQ5" s="5234" t="s">
        <v>127</v>
      </c>
      <c r="CR5" s="5234"/>
      <c r="CS5" s="5235"/>
      <c r="CT5" s="5235"/>
    </row>
    <row r="6" spans="1:98" ht="18.75" customHeight="1">
      <c r="A6" s="5257"/>
      <c r="B6" s="5279"/>
      <c r="C6" s="5267"/>
      <c r="D6" s="5267"/>
      <c r="E6" s="5267"/>
      <c r="F6" s="5273"/>
      <c r="G6" s="5267"/>
      <c r="H6" s="5273"/>
      <c r="I6" s="5267"/>
      <c r="J6" s="5273"/>
      <c r="K6" s="5273"/>
      <c r="L6" s="5273"/>
      <c r="M6" s="5267"/>
      <c r="N6" s="5267"/>
      <c r="O6" s="5273"/>
      <c r="P6" s="5273"/>
      <c r="Q6" s="5273"/>
      <c r="R6" s="5273"/>
      <c r="S6" s="5273"/>
      <c r="T6" s="5273" t="s">
        <v>164</v>
      </c>
      <c r="U6" s="5273" t="s">
        <v>165</v>
      </c>
      <c r="V6" s="5273"/>
      <c r="W6" s="5285"/>
      <c r="X6" s="5286"/>
      <c r="Y6" s="5298"/>
      <c r="Z6" s="5283"/>
      <c r="AA6" s="5236" t="s">
        <v>301</v>
      </c>
      <c r="AB6" s="1319"/>
      <c r="AC6" s="5240" t="s">
        <v>50</v>
      </c>
      <c r="AD6" s="5241"/>
      <c r="AE6" s="5236" t="s">
        <v>301</v>
      </c>
      <c r="AF6" s="5240" t="s">
        <v>50</v>
      </c>
      <c r="AG6" s="5241"/>
      <c r="AH6" s="5236" t="s">
        <v>301</v>
      </c>
      <c r="AI6" s="5240" t="s">
        <v>97</v>
      </c>
      <c r="AJ6" s="5240" t="s">
        <v>50</v>
      </c>
      <c r="AK6" s="5241"/>
      <c r="AL6" s="5236" t="s">
        <v>301</v>
      </c>
      <c r="AM6" s="5240" t="s">
        <v>97</v>
      </c>
      <c r="AN6" s="5240" t="s">
        <v>50</v>
      </c>
      <c r="AO6" s="5241"/>
      <c r="AP6" s="1326"/>
      <c r="AQ6" s="1320"/>
      <c r="AR6" s="1320"/>
      <c r="AS6" s="1327"/>
      <c r="AT6" s="5236" t="s">
        <v>301</v>
      </c>
      <c r="AU6" s="5240" t="s">
        <v>50</v>
      </c>
      <c r="AV6" s="5241"/>
      <c r="AW6" s="5236" t="s">
        <v>301</v>
      </c>
      <c r="AX6" s="5240" t="s">
        <v>50</v>
      </c>
      <c r="AY6" s="5241"/>
      <c r="AZ6" s="5236" t="s">
        <v>301</v>
      </c>
      <c r="BA6" s="5240" t="s">
        <v>50</v>
      </c>
      <c r="BB6" s="5241"/>
      <c r="BC6" s="5236" t="s">
        <v>301</v>
      </c>
      <c r="BD6" s="5238" t="s">
        <v>97</v>
      </c>
      <c r="BE6" s="5240" t="s">
        <v>50</v>
      </c>
      <c r="BF6" s="5241"/>
      <c r="BG6" s="5236" t="s">
        <v>301</v>
      </c>
      <c r="BH6" s="5238" t="s">
        <v>97</v>
      </c>
      <c r="BI6" s="5240" t="s">
        <v>50</v>
      </c>
      <c r="BJ6" s="5241"/>
      <c r="BK6" s="5251"/>
      <c r="BL6" s="5236" t="s">
        <v>301</v>
      </c>
      <c r="BM6" s="5240" t="s">
        <v>50</v>
      </c>
      <c r="BN6" s="5241"/>
      <c r="BO6" s="5236" t="s">
        <v>301</v>
      </c>
      <c r="BP6" s="5240" t="s">
        <v>50</v>
      </c>
      <c r="BQ6" s="5241"/>
      <c r="BR6" s="5236" t="s">
        <v>301</v>
      </c>
      <c r="BS6" s="5240" t="s">
        <v>50</v>
      </c>
      <c r="BT6" s="5241"/>
      <c r="BU6" s="5236" t="s">
        <v>301</v>
      </c>
      <c r="BV6" s="5238" t="s">
        <v>97</v>
      </c>
      <c r="BW6" s="5240" t="s">
        <v>50</v>
      </c>
      <c r="BX6" s="5241"/>
      <c r="BY6" s="5236" t="s">
        <v>301</v>
      </c>
      <c r="BZ6" s="5238" t="s">
        <v>97</v>
      </c>
      <c r="CA6" s="5240" t="s">
        <v>50</v>
      </c>
      <c r="CB6" s="5241"/>
      <c r="CC6" s="5253"/>
      <c r="CD6" s="5305" t="s">
        <v>301</v>
      </c>
      <c r="CE6" s="5307" t="s">
        <v>50</v>
      </c>
      <c r="CF6" s="5308"/>
      <c r="CG6" s="5307" t="s">
        <v>301</v>
      </c>
      <c r="CH6" s="5307" t="s">
        <v>50</v>
      </c>
      <c r="CI6" s="5308"/>
      <c r="CJ6" s="5307" t="s">
        <v>301</v>
      </c>
      <c r="CK6" s="5307" t="s">
        <v>50</v>
      </c>
      <c r="CL6" s="5312"/>
      <c r="CM6" s="5236" t="s">
        <v>301</v>
      </c>
      <c r="CN6" s="5238" t="s">
        <v>97</v>
      </c>
      <c r="CO6" s="5240" t="s">
        <v>50</v>
      </c>
      <c r="CP6" s="5241"/>
      <c r="CQ6" s="5236" t="s">
        <v>301</v>
      </c>
      <c r="CR6" s="5238" t="s">
        <v>97</v>
      </c>
      <c r="CS6" s="5240" t="s">
        <v>50</v>
      </c>
      <c r="CT6" s="5241"/>
    </row>
    <row r="7" spans="1:98" ht="39.75" customHeight="1" thickBot="1">
      <c r="A7" s="5258"/>
      <c r="B7" s="5291"/>
      <c r="C7" s="5268"/>
      <c r="D7" s="5268"/>
      <c r="E7" s="5268"/>
      <c r="F7" s="5274"/>
      <c r="G7" s="5268"/>
      <c r="H7" s="5274"/>
      <c r="I7" s="5268"/>
      <c r="J7" s="5274"/>
      <c r="K7" s="5274"/>
      <c r="L7" s="5274"/>
      <c r="M7" s="5268"/>
      <c r="N7" s="5268"/>
      <c r="O7" s="5274"/>
      <c r="P7" s="5274"/>
      <c r="Q7" s="5274"/>
      <c r="R7" s="5274"/>
      <c r="S7" s="5274"/>
      <c r="T7" s="5274"/>
      <c r="U7" s="5274"/>
      <c r="V7" s="5274"/>
      <c r="W7" s="1427" t="str">
        <f>T6</f>
        <v>питьевая</v>
      </c>
      <c r="X7" s="1428" t="str">
        <f>U6</f>
        <v>техническая</v>
      </c>
      <c r="Y7" s="5299"/>
      <c r="Z7" s="5284"/>
      <c r="AA7" s="5237"/>
      <c r="AB7" s="1250"/>
      <c r="AC7" s="1250" t="s">
        <v>383</v>
      </c>
      <c r="AD7" s="593" t="s">
        <v>384</v>
      </c>
      <c r="AE7" s="5255"/>
      <c r="AF7" s="1250" t="s">
        <v>383</v>
      </c>
      <c r="AG7" s="593" t="s">
        <v>384</v>
      </c>
      <c r="AH7" s="5237"/>
      <c r="AI7" s="5280"/>
      <c r="AJ7" s="1250" t="s">
        <v>383</v>
      </c>
      <c r="AK7" s="593" t="s">
        <v>384</v>
      </c>
      <c r="AL7" s="5255"/>
      <c r="AM7" s="5280"/>
      <c r="AN7" s="1250" t="s">
        <v>383</v>
      </c>
      <c r="AO7" s="593" t="s">
        <v>384</v>
      </c>
      <c r="AP7" s="1429"/>
      <c r="AQ7" s="1430" t="s">
        <v>370</v>
      </c>
      <c r="AR7" s="1430" t="s">
        <v>371</v>
      </c>
      <c r="AS7" s="1431"/>
      <c r="AT7" s="5255"/>
      <c r="AU7" s="1250" t="s">
        <v>383</v>
      </c>
      <c r="AV7" s="593" t="s">
        <v>384</v>
      </c>
      <c r="AW7" s="5255"/>
      <c r="AX7" s="1250" t="s">
        <v>383</v>
      </c>
      <c r="AY7" s="593" t="s">
        <v>384</v>
      </c>
      <c r="AZ7" s="5255"/>
      <c r="BA7" s="2620" t="s">
        <v>383</v>
      </c>
      <c r="BB7" s="593" t="s">
        <v>384</v>
      </c>
      <c r="BC7" s="5237"/>
      <c r="BD7" s="5239"/>
      <c r="BE7" s="1250" t="s">
        <v>383</v>
      </c>
      <c r="BF7" s="593" t="s">
        <v>384</v>
      </c>
      <c r="BG7" s="5237"/>
      <c r="BH7" s="5239"/>
      <c r="BI7" s="1250" t="s">
        <v>383</v>
      </c>
      <c r="BJ7" s="593" t="s">
        <v>384</v>
      </c>
      <c r="BK7" s="5252"/>
      <c r="BL7" s="5255"/>
      <c r="BM7" s="2867" t="s">
        <v>383</v>
      </c>
      <c r="BN7" s="2868" t="s">
        <v>384</v>
      </c>
      <c r="BO7" s="5255"/>
      <c r="BP7" s="2867" t="s">
        <v>383</v>
      </c>
      <c r="BQ7" s="2868" t="s">
        <v>384</v>
      </c>
      <c r="BR7" s="5255"/>
      <c r="BS7" s="2867" t="s">
        <v>383</v>
      </c>
      <c r="BT7" s="2868" t="s">
        <v>384</v>
      </c>
      <c r="BU7" s="5237"/>
      <c r="BV7" s="5239"/>
      <c r="BW7" s="3767" t="s">
        <v>383</v>
      </c>
      <c r="BX7" s="593" t="s">
        <v>384</v>
      </c>
      <c r="BY7" s="5237"/>
      <c r="BZ7" s="5239"/>
      <c r="CA7" s="3767" t="s">
        <v>383</v>
      </c>
      <c r="CB7" s="593" t="s">
        <v>384</v>
      </c>
      <c r="CC7" s="5254"/>
      <c r="CD7" s="5306"/>
      <c r="CE7" s="3968" t="s">
        <v>383</v>
      </c>
      <c r="CF7" s="3968" t="s">
        <v>384</v>
      </c>
      <c r="CG7" s="5310"/>
      <c r="CH7" s="3968" t="s">
        <v>383</v>
      </c>
      <c r="CI7" s="3968" t="s">
        <v>384</v>
      </c>
      <c r="CJ7" s="5310"/>
      <c r="CK7" s="3968" t="s">
        <v>383</v>
      </c>
      <c r="CL7" s="3969" t="s">
        <v>384</v>
      </c>
      <c r="CM7" s="5237"/>
      <c r="CN7" s="5239"/>
      <c r="CO7" s="4111" t="s">
        <v>383</v>
      </c>
      <c r="CP7" s="593" t="s">
        <v>384</v>
      </c>
      <c r="CQ7" s="5237"/>
      <c r="CR7" s="5239"/>
      <c r="CS7" s="4111" t="s">
        <v>383</v>
      </c>
      <c r="CT7" s="593" t="s">
        <v>384</v>
      </c>
    </row>
    <row r="8" spans="1:98" ht="21" customHeight="1">
      <c r="A8" s="1278" t="s">
        <v>15</v>
      </c>
      <c r="B8" s="1418"/>
      <c r="C8" s="1321"/>
      <c r="D8" s="1321"/>
      <c r="E8" s="240">
        <f t="shared" ref="E8:U8" si="0">SUM(E9:E16)-E15</f>
        <v>14586.3</v>
      </c>
      <c r="F8" s="240">
        <f t="shared" si="0"/>
        <v>599.44377737908462</v>
      </c>
      <c r="G8" s="240">
        <f t="shared" si="0"/>
        <v>17580.600000000002</v>
      </c>
      <c r="H8" s="240">
        <f t="shared" si="0"/>
        <v>1301.6186267528969</v>
      </c>
      <c r="I8" s="240">
        <f t="shared" si="0"/>
        <v>15573.576100000002</v>
      </c>
      <c r="J8" s="240">
        <f t="shared" si="0"/>
        <v>8330.6</v>
      </c>
      <c r="K8" s="240">
        <f t="shared" si="0"/>
        <v>12986.934203563882</v>
      </c>
      <c r="L8" s="240">
        <f t="shared" si="0"/>
        <v>18032</v>
      </c>
      <c r="M8" s="240">
        <f t="shared" si="0"/>
        <v>765.16293628894141</v>
      </c>
      <c r="N8" s="240">
        <f t="shared" si="0"/>
        <v>578.89100723393869</v>
      </c>
      <c r="O8" s="240">
        <f t="shared" si="0"/>
        <v>21075.699999999997</v>
      </c>
      <c r="P8" s="240">
        <f t="shared" si="0"/>
        <v>940.91457929714295</v>
      </c>
      <c r="Q8" s="1419">
        <f t="shared" si="0"/>
        <v>18706.910516308828</v>
      </c>
      <c r="R8" s="240">
        <f t="shared" si="0"/>
        <v>790.298382141395</v>
      </c>
      <c r="S8" s="240">
        <f t="shared" si="0"/>
        <v>659.14699828891662</v>
      </c>
      <c r="T8" s="240" t="e">
        <f t="shared" si="0"/>
        <v>#REF!</v>
      </c>
      <c r="U8" s="240" t="e">
        <f t="shared" si="0"/>
        <v>#REF!</v>
      </c>
      <c r="V8" s="240">
        <f>SUM(V9:V16)-V15</f>
        <v>13489.2</v>
      </c>
      <c r="W8" s="240">
        <f>SUM(W9:W16)-W15</f>
        <v>10440.06706739666</v>
      </c>
      <c r="X8" s="1262">
        <f>SUM(X9:X16)-X15</f>
        <v>61.532932603341123</v>
      </c>
      <c r="Y8" s="1420">
        <f>SUM(Y9:Y16)-Y15</f>
        <v>21736.2</v>
      </c>
      <c r="Z8" s="1421">
        <f>Y8/Q8</f>
        <v>1.1619342478305124</v>
      </c>
      <c r="AA8" s="1422">
        <f>SUM(AA9:AA16)-AA15</f>
        <v>18045.304741901102</v>
      </c>
      <c r="AB8" s="1423">
        <f t="shared" ref="AB8:AB47" si="1">AA8/Q8</f>
        <v>0.96463308177847251</v>
      </c>
      <c r="AC8" s="1424">
        <f>SUM(AC9:AC16)</f>
        <v>17784.373750227747</v>
      </c>
      <c r="AD8" s="1425">
        <f>SUM(AD9:AD16)</f>
        <v>260.93099167335583</v>
      </c>
      <c r="AE8" s="1422">
        <f>SUM(AE9:AE16)-AE15</f>
        <v>18010.500000000004</v>
      </c>
      <c r="AF8" s="1424">
        <f>SUM(AF9:AF16)-AF15</f>
        <v>17789.478747214656</v>
      </c>
      <c r="AG8" s="1425">
        <f>SUM(AG9:AG16)-AG15</f>
        <v>221.02125278534345</v>
      </c>
      <c r="AH8" s="1422">
        <f>SUM(AJ8+AK8)</f>
        <v>19788.650000000001</v>
      </c>
      <c r="AI8" s="1426">
        <f>SUM(AH8/AA8)</f>
        <v>1.0966093553438785</v>
      </c>
      <c r="AJ8" s="1424">
        <f>SUM(AJ9:AJ16)-AJ15</f>
        <v>19566.560000000001</v>
      </c>
      <c r="AK8" s="1425">
        <f>SUM(AK9:AK16)-AK15</f>
        <v>222.09</v>
      </c>
      <c r="AL8" s="1422">
        <f>SUM(AN8+AO8)</f>
        <v>17147.985534335647</v>
      </c>
      <c r="AM8" s="1426">
        <f>SUM(AL8/AA8)</f>
        <v>0.9502740895540609</v>
      </c>
      <c r="AN8" s="1424">
        <f>SUM(AN9:AN16)-AN15</f>
        <v>16952.7835373218</v>
      </c>
      <c r="AO8" s="1425">
        <f>SUM(AO9:AO16)-AO15</f>
        <v>195.20199701384624</v>
      </c>
      <c r="AP8" s="1328">
        <f>AA8-Y8</f>
        <v>-3690.8952580988989</v>
      </c>
      <c r="AQ8" s="1329">
        <f>AP8*AC8/AA8</f>
        <v>-3637.5257543064808</v>
      </c>
      <c r="AR8" s="1329">
        <f>AP8-AQ8</f>
        <v>-53.369503792418072</v>
      </c>
      <c r="AS8" s="1330">
        <f t="shared" ref="AS8:AS35" si="2">AQ8+AR8</f>
        <v>-3690.8952580988989</v>
      </c>
      <c r="AT8" s="1422">
        <f t="shared" ref="AT8:BC8" si="3">SUM(AT9:AT16)-AT15</f>
        <v>8911.48</v>
      </c>
      <c r="AU8" s="1424">
        <f t="shared" si="3"/>
        <v>8850.280179956595</v>
      </c>
      <c r="AV8" s="1425">
        <f t="shared" si="3"/>
        <v>61.199820043406589</v>
      </c>
      <c r="AW8" s="1422">
        <f t="shared" si="3"/>
        <v>13047.65</v>
      </c>
      <c r="AX8" s="1424">
        <f t="shared" si="3"/>
        <v>12967.51590732671</v>
      </c>
      <c r="AY8" s="2642">
        <f t="shared" si="3"/>
        <v>80.134092673289842</v>
      </c>
      <c r="AZ8" s="1422">
        <f t="shared" ref="AZ8:BB8" si="4">SUM(AZ9:AZ16)-AZ15</f>
        <v>17487.72</v>
      </c>
      <c r="BA8" s="1424">
        <f t="shared" si="4"/>
        <v>17403.678646287979</v>
      </c>
      <c r="BB8" s="2642">
        <f t="shared" si="4"/>
        <v>84.041353712021191</v>
      </c>
      <c r="BC8" s="1422">
        <f t="shared" si="3"/>
        <v>20844.7973009989</v>
      </c>
      <c r="BD8" s="2138">
        <f>SUM(BC8/AL8)</f>
        <v>1.2155828601126981</v>
      </c>
      <c r="BE8" s="1424">
        <f>SUM(BE9:BE16)-BE15</f>
        <v>20733.921825560112</v>
      </c>
      <c r="BF8" s="1425">
        <f>SUM(BF9:BF16)-BF15</f>
        <v>110.87547543878928</v>
      </c>
      <c r="BG8" s="1422">
        <f>SUM(BG9:BG16)-BG15</f>
        <v>18195.35524776376</v>
      </c>
      <c r="BH8" s="2138">
        <f>SUM(BG8/AL8)</f>
        <v>1.0610782946679627</v>
      </c>
      <c r="BI8" s="1424">
        <f>SUM(BI9:BI16)-BI15</f>
        <v>18098.177540230743</v>
      </c>
      <c r="BJ8" s="1425">
        <f>SUM(BJ9:BJ16)-BJ15</f>
        <v>97.177707533017951</v>
      </c>
      <c r="BK8" s="1913"/>
      <c r="BL8" s="1422">
        <f t="shared" ref="BL8:BN8" si="5">SUM(BL9:BL16)-BL15</f>
        <v>8038.5899999999992</v>
      </c>
      <c r="BM8" s="1424">
        <f t="shared" si="5"/>
        <v>8032.1415783842494</v>
      </c>
      <c r="BN8" s="1425">
        <f t="shared" si="5"/>
        <v>6.4484216157495666</v>
      </c>
      <c r="BO8" s="1422">
        <f t="shared" ref="BO8:BQ8" si="6">SUM(BO9:BO16)-BO15</f>
        <v>12121.170000000002</v>
      </c>
      <c r="BP8" s="1424">
        <f t="shared" si="6"/>
        <v>12112.354107475114</v>
      </c>
      <c r="BQ8" s="1425">
        <f t="shared" si="6"/>
        <v>8.8158925248862943</v>
      </c>
      <c r="BR8" s="1422">
        <f t="shared" ref="BR8:BT8" si="7">SUM(BR9:BR16)-BR15</f>
        <v>16263.019999999999</v>
      </c>
      <c r="BS8" s="1424">
        <f t="shared" si="7"/>
        <v>16252.113327056608</v>
      </c>
      <c r="BT8" s="1425">
        <f t="shared" si="7"/>
        <v>10.90667294339255</v>
      </c>
      <c r="BU8" s="1422">
        <f t="shared" ref="BU8" si="8">SUM(BU9:BU16)-BU15</f>
        <v>20086.958863454834</v>
      </c>
      <c r="BV8" s="2138">
        <f>SUM(BU8/BG8)</f>
        <v>1.1039607960346669</v>
      </c>
      <c r="BW8" s="1424">
        <f>SUM(BW9:BW16)-BW15</f>
        <v>19991.653120635572</v>
      </c>
      <c r="BX8" s="1425">
        <f>SUM(BX9:BX16)-BX15</f>
        <v>95.305742819263827</v>
      </c>
      <c r="BY8" s="1422">
        <f>SUM(BY9:BY16)-BY15</f>
        <v>18990.968597292172</v>
      </c>
      <c r="BZ8" s="2139">
        <f t="shared" ref="BZ8:BZ10" si="9">SUM(BY8/BG8)</f>
        <v>1.0437261783952361</v>
      </c>
      <c r="CA8" s="1424">
        <f>SUM(CA9:CA16)-CA15</f>
        <v>18889.039911754044</v>
      </c>
      <c r="CB8" s="1425">
        <f>SUM(CB9:CB16)-CB15</f>
        <v>101.92868553812981</v>
      </c>
      <c r="CC8" s="1913"/>
      <c r="CD8" s="3943">
        <f t="shared" ref="CD8" si="10">SUM(CD9:CD16)-CD15</f>
        <v>7073.68</v>
      </c>
      <c r="CE8" s="3944">
        <f>SUM(CE9:CE16)-CE15</f>
        <v>7069.5564882083627</v>
      </c>
      <c r="CF8" s="3944">
        <f>SUM(CF9:CF16)-CF15</f>
        <v>4.1235117916374966</v>
      </c>
      <c r="CG8" s="3944">
        <f t="shared" ref="CG8" si="11">SUM(CG9:CG16)-CG15</f>
        <v>11395.779999999999</v>
      </c>
      <c r="CH8" s="3944">
        <f>SUM(CH9:CH16)-CH15</f>
        <v>11390.03865816466</v>
      </c>
      <c r="CI8" s="3944">
        <f>SUM(CI9:CI16)-CI15</f>
        <v>5.7413418353405632</v>
      </c>
      <c r="CJ8" s="3944">
        <f t="shared" ref="CJ8" si="12">SUM(CJ9:CJ16)-CJ15</f>
        <v>15666.173226047504</v>
      </c>
      <c r="CK8" s="3944">
        <f>SUM(CK9:CK16)-CK15</f>
        <v>15658.269764085404</v>
      </c>
      <c r="CL8" s="3945">
        <f>SUM(CL9:CL16)-CL15</f>
        <v>7.9034619621006632</v>
      </c>
      <c r="CM8" s="4097">
        <f t="shared" ref="CM8" si="13">SUM(CM9:CM16)-CM15</f>
        <v>19760.717299040589</v>
      </c>
      <c r="CN8" s="2144">
        <f>SUM(CM8/BY8)</f>
        <v>1.0405323560936313</v>
      </c>
      <c r="CO8" s="4038">
        <f>SUM(CO9:CO16)-CO15</f>
        <v>19654.476883454347</v>
      </c>
      <c r="CP8" s="4039">
        <f>SUM(CP9:CP16)-CP15</f>
        <v>106.24041558623981</v>
      </c>
      <c r="CQ8" s="4097">
        <f>SUM(CQ9:CQ16)-CQ15</f>
        <v>18922.285363050913</v>
      </c>
      <c r="CR8" s="2144">
        <f>SUM(CQ8/BY8)</f>
        <v>0.99638337381848685</v>
      </c>
      <c r="CS8" s="4038">
        <f>SUM(CS9:CS16)-CS15</f>
        <v>18812.308141222544</v>
      </c>
      <c r="CT8" s="4039">
        <f>SUM(CT9:CT16)-CT15</f>
        <v>109.97722182837113</v>
      </c>
    </row>
    <row r="9" spans="1:98" ht="21" customHeight="1">
      <c r="A9" s="1171" t="s">
        <v>1</v>
      </c>
      <c r="B9" s="1273">
        <v>4424.7</v>
      </c>
      <c r="C9" s="17">
        <v>4746.7</v>
      </c>
      <c r="D9" s="30">
        <f t="shared" ref="D9:D42" si="14">C9/B9*100</f>
        <v>107.27732953646576</v>
      </c>
      <c r="E9" s="17">
        <v>5856.8</v>
      </c>
      <c r="F9" s="30">
        <f t="shared" ref="F9:F29" si="15">E9/C9*100</f>
        <v>123.38677396928392</v>
      </c>
      <c r="G9" s="17">
        <v>6391.7</v>
      </c>
      <c r="H9" s="30">
        <f t="shared" ref="H9:H57" si="16">G9/E9*100</f>
        <v>109.1329736374812</v>
      </c>
      <c r="I9" s="141">
        <v>4954.6000000000004</v>
      </c>
      <c r="J9" s="141">
        <v>3215.8</v>
      </c>
      <c r="K9" s="141">
        <v>4218.5</v>
      </c>
      <c r="L9" s="141">
        <v>6305.3</v>
      </c>
      <c r="M9" s="161">
        <f t="shared" ref="M9:M58" si="17">L9/I9*100</f>
        <v>127.2615347353974</v>
      </c>
      <c r="N9" s="161">
        <f t="shared" ref="N9:N57" si="18">L9/G9*100</f>
        <v>98.648246945257128</v>
      </c>
      <c r="O9" s="141">
        <v>5985</v>
      </c>
      <c r="P9" s="161">
        <f t="shared" ref="P9:P60" si="19">O9/I9*100</f>
        <v>120.7968352641989</v>
      </c>
      <c r="Q9" s="235">
        <f>электр!AC9</f>
        <v>5549</v>
      </c>
      <c r="R9" s="161">
        <f>Q9/I9*100</f>
        <v>111.9969321438663</v>
      </c>
      <c r="S9" s="161">
        <f>Q9/L9*100</f>
        <v>88.005328850332248</v>
      </c>
      <c r="T9" s="141" t="e">
        <f>Q9/Q56*T56</f>
        <v>#REF!</v>
      </c>
      <c r="U9" s="141" t="e">
        <f>Q9-T9</f>
        <v>#REF!</v>
      </c>
      <c r="V9" s="141">
        <v>4317.3</v>
      </c>
      <c r="W9" s="141">
        <f>1138.8*(объемы!$AA$10-объемы!$AA$19)/объемы!$AA$10</f>
        <v>1132.1145985680921</v>
      </c>
      <c r="X9" s="1288">
        <f>1138.8-W9</f>
        <v>6.6854014319078487</v>
      </c>
      <c r="Y9" s="1296">
        <v>6269</v>
      </c>
      <c r="Z9" s="1300">
        <f t="shared" ref="Z9:Z60" si="20">Y9/Q9</f>
        <v>1.1297531086682284</v>
      </c>
      <c r="AA9" s="1050">
        <f>электр!Q48</f>
        <v>4514.8884207278079</v>
      </c>
      <c r="AB9" s="1302">
        <f t="shared" si="1"/>
        <v>0.81364001094391925</v>
      </c>
      <c r="AC9" s="1009">
        <f t="shared" ref="AC9:AC14" si="21">$AC$56/$AA$56*AA9</f>
        <v>4463.6360473618633</v>
      </c>
      <c r="AD9" s="1047">
        <f>AA9-AC9</f>
        <v>51.25237336594455</v>
      </c>
      <c r="AE9" s="1050">
        <f>SUM(электр!AG48)</f>
        <v>4561</v>
      </c>
      <c r="AF9" s="1009">
        <f>AE9*AF56/(AF56+AG56)</f>
        <v>4504.7638524387221</v>
      </c>
      <c r="AG9" s="1047">
        <f>SUM(AE9-AF9)</f>
        <v>56.236147561277903</v>
      </c>
      <c r="AH9" s="1267">
        <f t="shared" ref="AH9:AH61" si="22">SUM(AJ9+AK9)</f>
        <v>5268.12</v>
      </c>
      <c r="AI9" s="1264">
        <f t="shared" ref="AI9:AI63" si="23">SUM(AH9/AA9)</f>
        <v>1.1668328226704592</v>
      </c>
      <c r="AJ9" s="1009">
        <v>5208.1499999999996</v>
      </c>
      <c r="AK9" s="1047">
        <v>59.97</v>
      </c>
      <c r="AL9" s="1267">
        <f t="shared" ref="AL9:AL61" si="24">SUM(AN9+AO9)</f>
        <v>4595.8327049355248</v>
      </c>
      <c r="AM9" s="1264">
        <f t="shared" ref="AM9:AM63" si="25">SUM(AL9/AA9)</f>
        <v>1.0179283022446586</v>
      </c>
      <c r="AN9" s="1009">
        <f>электр!AN48*AN56/(AN56+AO56)</f>
        <v>4543.5166051727474</v>
      </c>
      <c r="AO9" s="1047">
        <f>-AN9+электр!AN48</f>
        <v>52.316099762777412</v>
      </c>
      <c r="AP9" s="1328">
        <f t="shared" ref="AP9:AP63" si="26">AA9-Y9</f>
        <v>-1754.1115792721921</v>
      </c>
      <c r="AQ9" s="1329">
        <f>AP9*AC9/AA9</f>
        <v>-1734.1991532698917</v>
      </c>
      <c r="AR9" s="1329">
        <f t="shared" ref="AR9:AR63" si="27">AP9-AQ9</f>
        <v>-19.912426002300435</v>
      </c>
      <c r="AS9" s="1330">
        <f t="shared" si="2"/>
        <v>-1754.1115792721921</v>
      </c>
      <c r="AT9" s="1050">
        <f>SUM(электр!AT48)</f>
        <v>2048.4</v>
      </c>
      <c r="AU9" s="1009">
        <f>AT9*AU56/(AU56+AV56)</f>
        <v>2034.3013504280375</v>
      </c>
      <c r="AV9" s="1047">
        <f>SUM(AT9-AU9)</f>
        <v>14.098649571962596</v>
      </c>
      <c r="AW9" s="1050">
        <f>SUM(электр!AW48)</f>
        <v>2748</v>
      </c>
      <c r="AX9" s="1009">
        <f>AW9*AX56/(AX56+AY56)</f>
        <v>2731.0966946433327</v>
      </c>
      <c r="AY9" s="2643">
        <f>SUM(AW9-AX9)</f>
        <v>16.903305356667261</v>
      </c>
      <c r="AZ9" s="1050">
        <v>3813.41</v>
      </c>
      <c r="BA9" s="1009">
        <f>AZ9*BA56/(BA56+BB56)</f>
        <v>3795.0310023753973</v>
      </c>
      <c r="BB9" s="2643">
        <f>SUM(AZ9-BA9)</f>
        <v>18.378997624602562</v>
      </c>
      <c r="BC9" s="1050">
        <v>5274.76</v>
      </c>
      <c r="BD9" s="2139">
        <f>SUM(BC9/AL9)</f>
        <v>1.1477267208476423</v>
      </c>
      <c r="BE9" s="1009">
        <f>BC9*BE56/(BE56+BF56)</f>
        <v>5246.5885750617672</v>
      </c>
      <c r="BF9" s="1047">
        <f>SUM(BC9-BE9)</f>
        <v>28.171424938233031</v>
      </c>
      <c r="BG9" s="1050">
        <f>SUM(электр!BD48)</f>
        <v>3864.6286869024211</v>
      </c>
      <c r="BH9" s="2139">
        <f>SUM(BG9/AL9)</f>
        <v>0.84089846933552348</v>
      </c>
      <c r="BI9" s="1009">
        <f>BG9*BI56/(BI56+BJ56)</f>
        <v>3843.9884877336981</v>
      </c>
      <c r="BJ9" s="1047">
        <f>SUM(BG9-BI9)</f>
        <v>20.640199168723029</v>
      </c>
      <c r="BK9" s="1914" t="s">
        <v>980</v>
      </c>
      <c r="BL9" s="2869">
        <f>SUM(электр!BM48)</f>
        <v>996.48</v>
      </c>
      <c r="BM9" s="2870">
        <f>BL9*BM56/(BM56+BN56)</f>
        <v>995.6762812746905</v>
      </c>
      <c r="BN9" s="2871">
        <f>SUM(BL9-BM9)</f>
        <v>0.8037187253095226</v>
      </c>
      <c r="BO9" s="2869">
        <f>SUM(электр!BP48)</f>
        <v>1351.63</v>
      </c>
      <c r="BP9" s="2870">
        <f>BO9*BP56/(BP56+BQ56)</f>
        <v>1350.6432720983255</v>
      </c>
      <c r="BQ9" s="2871">
        <f>SUM(BO9-BP9)</f>
        <v>0.98672790167461244</v>
      </c>
      <c r="BR9" s="2869">
        <f>SUM(электр!BS48)</f>
        <v>1929.89</v>
      </c>
      <c r="BS9" s="2870">
        <f>BR9*BS56/(BS56+BT56)</f>
        <v>1928.5921368886497</v>
      </c>
      <c r="BT9" s="2871">
        <f>SUM(BR9-BS9)</f>
        <v>1.2978631113503525</v>
      </c>
      <c r="BU9" s="1050">
        <f>SUM('электр 2017-2018'!CH48)</f>
        <v>4221.5160392754542</v>
      </c>
      <c r="BV9" s="2139">
        <f>SUM(BU9/BG9)</f>
        <v>1.0923471260208146</v>
      </c>
      <c r="BW9" s="1009">
        <f>BU9*BW56/(BW56+BX56)</f>
        <v>4201.4613312503925</v>
      </c>
      <c r="BX9" s="1047">
        <f>SUM(BU9-BW9)</f>
        <v>20.0547080250617</v>
      </c>
      <c r="BY9" s="1050">
        <f>SUM(электр!BZ48)</f>
        <v>3899.14</v>
      </c>
      <c r="BZ9" s="2139">
        <f t="shared" si="9"/>
        <v>1.0089300462977313</v>
      </c>
      <c r="CA9" s="1009">
        <f>BY9*CA56/(CA56+CB56)</f>
        <v>3878.2124621078142</v>
      </c>
      <c r="CB9" s="1047">
        <f>SUM(BY9-CA9)</f>
        <v>20.927537892185683</v>
      </c>
      <c r="CC9" s="1914"/>
      <c r="CD9" s="3951">
        <v>994.93</v>
      </c>
      <c r="CE9" s="3952">
        <f>CD9*CE56/(CE56+CF56)</f>
        <v>994.34985336040074</v>
      </c>
      <c r="CF9" s="3952">
        <f>SUM(CD9-CE9)</f>
        <v>0.58014663959920654</v>
      </c>
      <c r="CG9" s="3952">
        <v>1521.92</v>
      </c>
      <c r="CH9" s="3952">
        <f>CG9*CH56/(CH56+CI56)</f>
        <v>1521.1389172863485</v>
      </c>
      <c r="CI9" s="3952">
        <f>SUM(CG9-CH9)</f>
        <v>0.78108271365158544</v>
      </c>
      <c r="CJ9" s="3952">
        <f>SUM(CG9*1.35300596377)</f>
        <v>2059.1668363808385</v>
      </c>
      <c r="CK9" s="3952">
        <f>CJ9*CK56/(CK56+CL56)</f>
        <v>2058.1091969324148</v>
      </c>
      <c r="CL9" s="3606">
        <f>SUM(CJ9-CK9)</f>
        <v>1.0576394484237426</v>
      </c>
      <c r="CM9" s="4040">
        <f>SUM(электр!CO48)</f>
        <v>4171.1719229999999</v>
      </c>
      <c r="CN9" s="4359">
        <f t="shared" ref="CN9:CN63" si="28">SUM(CM9/BY9)</f>
        <v>1.0697671596813656</v>
      </c>
      <c r="CO9" s="4041">
        <f>CM9*CO56/(CO56+CP56)</f>
        <v>4148.7462674999997</v>
      </c>
      <c r="CP9" s="3747">
        <f>SUM(CM9-CO9)</f>
        <v>22.425655500000175</v>
      </c>
      <c r="CQ9" s="4040">
        <f>SUM(электр!CS48)</f>
        <v>3989.0343725498706</v>
      </c>
      <c r="CR9" s="4359">
        <f>SUM(CQ9/BY9)</f>
        <v>1.0230549230214536</v>
      </c>
      <c r="CS9" s="4041">
        <f>CQ9*CS56/(CS56+CT56)</f>
        <v>3965.4400045229586</v>
      </c>
      <c r="CT9" s="3747">
        <f>SUM(CQ9-CS9)</f>
        <v>23.59436802691198</v>
      </c>
    </row>
    <row r="10" spans="1:98" ht="21" customHeight="1">
      <c r="A10" s="1171" t="s">
        <v>2</v>
      </c>
      <c r="B10" s="1273">
        <v>332.4</v>
      </c>
      <c r="C10" s="17">
        <v>358.9</v>
      </c>
      <c r="D10" s="30">
        <f t="shared" si="14"/>
        <v>107.97232250300843</v>
      </c>
      <c r="E10" s="17">
        <v>315.89999999999998</v>
      </c>
      <c r="F10" s="30">
        <f t="shared" si="15"/>
        <v>88.018946781833378</v>
      </c>
      <c r="G10" s="17">
        <v>2033.4</v>
      </c>
      <c r="H10" s="30">
        <f t="shared" si="16"/>
        <v>643.68471035137713</v>
      </c>
      <c r="I10" s="141">
        <v>1050</v>
      </c>
      <c r="J10" s="141">
        <v>158.4</v>
      </c>
      <c r="K10" s="141">
        <v>2823.9</v>
      </c>
      <c r="L10" s="141">
        <v>3765.8</v>
      </c>
      <c r="M10" s="161">
        <f t="shared" si="17"/>
        <v>358.64761904761906</v>
      </c>
      <c r="N10" s="161">
        <f t="shared" si="18"/>
        <v>185.19720664896232</v>
      </c>
      <c r="O10" s="141">
        <v>3856</v>
      </c>
      <c r="P10" s="161">
        <f t="shared" si="19"/>
        <v>367.23809523809524</v>
      </c>
      <c r="Q10" s="235">
        <v>3772</v>
      </c>
      <c r="R10" s="161">
        <f t="shared" ref="R10:R60" si="29">Q10/I10*100</f>
        <v>359.23809523809524</v>
      </c>
      <c r="S10" s="161">
        <f t="shared" ref="S10:S57" si="30">Q10/L10*100</f>
        <v>100.16463965160125</v>
      </c>
      <c r="T10" s="141" t="e">
        <f>Q10/Q56*T56</f>
        <v>#REF!</v>
      </c>
      <c r="U10" s="141" t="e">
        <f t="shared" ref="U10:U16" si="31">Q10-T10</f>
        <v>#REF!</v>
      </c>
      <c r="V10" s="141">
        <v>2819.3</v>
      </c>
      <c r="W10" s="141">
        <f>3756.7*(объемы!$AA$10-объемы!$AA$19)/объемы!$AA$10</f>
        <v>3734.646041834169</v>
      </c>
      <c r="X10" s="1288">
        <f>3756.7-W10</f>
        <v>22.053958165830863</v>
      </c>
      <c r="Y10" s="1296">
        <v>3847.4</v>
      </c>
      <c r="Z10" s="1300">
        <f t="shared" si="20"/>
        <v>1.0199893955461294</v>
      </c>
      <c r="AA10" s="1050">
        <f>Аморт!G21</f>
        <v>3756.7</v>
      </c>
      <c r="AB10" s="1302">
        <f t="shared" si="1"/>
        <v>0.9959437963944856</v>
      </c>
      <c r="AC10" s="1009">
        <f t="shared" si="21"/>
        <v>3714.0544741128274</v>
      </c>
      <c r="AD10" s="1047">
        <f t="shared" ref="AD10:AD46" si="32">AA10-AC10</f>
        <v>42.645525887172425</v>
      </c>
      <c r="AE10" s="1050">
        <f>SUM(Аморт!L21)</f>
        <v>3695.7</v>
      </c>
      <c r="AF10" s="1009">
        <f>AE10*AF56/(AF56+AG56)</f>
        <v>3650.1328150532308</v>
      </c>
      <c r="AG10" s="1047">
        <f>SUM(AE10-AF10)</f>
        <v>45.567184946768975</v>
      </c>
      <c r="AH10" s="1267">
        <f t="shared" si="22"/>
        <v>3759.1</v>
      </c>
      <c r="AI10" s="1264">
        <f t="shared" si="23"/>
        <v>1.0006388585726835</v>
      </c>
      <c r="AJ10" s="1009">
        <v>3716.31</v>
      </c>
      <c r="AK10" s="1047">
        <v>42.79</v>
      </c>
      <c r="AL10" s="1267">
        <f t="shared" si="24"/>
        <v>3759.1</v>
      </c>
      <c r="AM10" s="1264">
        <f t="shared" si="25"/>
        <v>1.0006388585726835</v>
      </c>
      <c r="AN10" s="1009">
        <f>Аморт!O21*AN56/(AN56+AO56)</f>
        <v>3716.3087446945019</v>
      </c>
      <c r="AO10" s="1047">
        <f>-AN10+Аморт!O21</f>
        <v>42.791255305497998</v>
      </c>
      <c r="AP10" s="1328">
        <f t="shared" si="26"/>
        <v>-90.700000000000273</v>
      </c>
      <c r="AQ10" s="1329">
        <f>AP10*AC10/AA10</f>
        <v>-89.67038645673982</v>
      </c>
      <c r="AR10" s="1329">
        <f t="shared" si="27"/>
        <v>-1.029613543260453</v>
      </c>
      <c r="AS10" s="1330">
        <f t="shared" si="2"/>
        <v>-90.700000000000273</v>
      </c>
      <c r="AT10" s="1050">
        <f>SUM(Аморт!Q21)</f>
        <v>1827.75</v>
      </c>
      <c r="AU10" s="1009">
        <f>AT10*AU56/(AU56+AV56)</f>
        <v>1815.1700318516137</v>
      </c>
      <c r="AV10" s="1047">
        <f>SUM(AT10-AU10)</f>
        <v>12.579968148386342</v>
      </c>
      <c r="AW10" s="1050">
        <v>2733.41</v>
      </c>
      <c r="AX10" s="1009">
        <f>AW10*AX56/(AX56+AY56)</f>
        <v>2716.5964396306517</v>
      </c>
      <c r="AY10" s="2643">
        <f>SUM(AW10-AX10)</f>
        <v>16.813560369348124</v>
      </c>
      <c r="AZ10" s="1050">
        <v>3621.84</v>
      </c>
      <c r="BA10" s="1009">
        <f>AZ10*BA56/(BA56+BB56)</f>
        <v>3604.3842874601237</v>
      </c>
      <c r="BB10" s="2643">
        <f>SUM(AZ10-BA10)</f>
        <v>17.455712539876458</v>
      </c>
      <c r="BC10" s="1050">
        <f>SUM(Аморт!U21)</f>
        <v>3759.1</v>
      </c>
      <c r="BD10" s="2139">
        <f t="shared" ref="BD10:BD63" si="33">SUM(BC10/AL10)</f>
        <v>1</v>
      </c>
      <c r="BE10" s="1009">
        <f>BC10*BE56/(BE56+BF56)</f>
        <v>3739.0234081768058</v>
      </c>
      <c r="BF10" s="1047">
        <f>SUM(BC10-BE10)</f>
        <v>20.076591823194121</v>
      </c>
      <c r="BG10" s="1050">
        <f>SUM(Аморт!V21)</f>
        <v>3644.5466666666666</v>
      </c>
      <c r="BH10" s="2139">
        <f t="shared" ref="BH10:BH63" si="34">SUM(BG10/AL10)</f>
        <v>0.96952639372899541</v>
      </c>
      <c r="BI10" s="1009">
        <f>BG10*BI56/(BI56+BJ56)</f>
        <v>3625.0818809979564</v>
      </c>
      <c r="BJ10" s="1047">
        <f>SUM(BG10-BI10)</f>
        <v>19.464785668710192</v>
      </c>
      <c r="BK10" s="1914" t="s">
        <v>980</v>
      </c>
      <c r="BL10" s="2869">
        <f>SUM(Аморт!AB21)</f>
        <v>1784.48</v>
      </c>
      <c r="BM10" s="2870">
        <f>BL10*BM56/(BM56+BN56)</f>
        <v>1783.040713721359</v>
      </c>
      <c r="BN10" s="2871">
        <f>SUM(BL10-BM10)</f>
        <v>1.4392862786410205</v>
      </c>
      <c r="BO10" s="2869">
        <f>SUM(Аморт!AC21)</f>
        <v>2673.44</v>
      </c>
      <c r="BP10" s="2870">
        <f>BO10*BP56/(BP56+BQ56)</f>
        <v>2671.4883136350536</v>
      </c>
      <c r="BQ10" s="2871">
        <f>SUM(BO10-BP10)</f>
        <v>1.951686364946454</v>
      </c>
      <c r="BR10" s="2869">
        <f>SUM(Аморт!AD21)</f>
        <v>3566.58</v>
      </c>
      <c r="BS10" s="2870">
        <f>BR10*BS56/(BS56+BT56)</f>
        <v>3564.1814526135277</v>
      </c>
      <c r="BT10" s="2871">
        <f>SUM(BR10-BS10)</f>
        <v>2.3985473864722735</v>
      </c>
      <c r="BU10" s="1050">
        <f>SUM(Аморт!AE21)</f>
        <v>3621.84</v>
      </c>
      <c r="BV10" s="2139">
        <f t="shared" ref="BV10:BV63" si="35">SUM(BU10/BG10)</f>
        <v>0.99376968694780521</v>
      </c>
      <c r="BW10" s="1009">
        <f>BU10*BW56/(BW56+BX56)</f>
        <v>3604.634109263658</v>
      </c>
      <c r="BX10" s="1047">
        <f>SUM(BU10-BW10)</f>
        <v>17.205890736342099</v>
      </c>
      <c r="BY10" s="1050">
        <f>SUM(Аморт!AF21)</f>
        <v>3621.84</v>
      </c>
      <c r="BZ10" s="2139">
        <f t="shared" si="9"/>
        <v>0.99376968694780521</v>
      </c>
      <c r="CA10" s="1009">
        <f>BY10*CA56/(CA56+CB56)</f>
        <v>3602.4007919081046</v>
      </c>
      <c r="CB10" s="1047">
        <f>SUM(BY10-CA10)</f>
        <v>19.43920809189558</v>
      </c>
      <c r="CC10" s="1914"/>
      <c r="CD10" s="3951">
        <f>SUM(Аморт!AH21)</f>
        <v>1799.72</v>
      </c>
      <c r="CE10" s="3952">
        <f>CD10*CE56/(CE56+CF56)</f>
        <v>1798.6705779198344</v>
      </c>
      <c r="CF10" s="3952">
        <f>SUM(CD10-CE10)</f>
        <v>1.0494220801656411</v>
      </c>
      <c r="CG10" s="3952">
        <f>SUM(Аморт!AI21)</f>
        <v>2697.54</v>
      </c>
      <c r="CH10" s="3952">
        <f>CG10*CH56/(CH56+CI56)</f>
        <v>2696.155563325678</v>
      </c>
      <c r="CI10" s="3952">
        <f>SUM(CG10-CH10)</f>
        <v>1.3844366743219325</v>
      </c>
      <c r="CJ10" s="3952">
        <f>SUM(Аморт!AJ21)</f>
        <v>3596.7200000000003</v>
      </c>
      <c r="CK10" s="3952">
        <f>CJ10*CK56/(CK56+CL56)</f>
        <v>3594.8726348959563</v>
      </c>
      <c r="CL10" s="3606">
        <f>SUM(CJ10-CK10)</f>
        <v>1.8473651040440018</v>
      </c>
      <c r="CM10" s="4040">
        <f>SUM(Аморт!AK21)</f>
        <v>3566.58</v>
      </c>
      <c r="CN10" s="4359">
        <f t="shared" si="28"/>
        <v>0.98474256179179642</v>
      </c>
      <c r="CO10" s="4041">
        <f>CM10*CO56/(CO56+CP56)</f>
        <v>3547.4048387096773</v>
      </c>
      <c r="CP10" s="3747">
        <f>SUM(CM10-CO10)</f>
        <v>19.175161290322649</v>
      </c>
      <c r="CQ10" s="4040">
        <f>SUM(Аморт!AL21)</f>
        <v>3566.58</v>
      </c>
      <c r="CR10" s="4359">
        <f t="shared" ref="CR10:CR63" si="36">SUM(CQ10/BY10)</f>
        <v>0.98474256179179642</v>
      </c>
      <c r="CS10" s="4041">
        <f>CQ10*CS56/(CS56+CT56)</f>
        <v>3545.4843680103386</v>
      </c>
      <c r="CT10" s="3747">
        <f>SUM(CQ10-CS10)</f>
        <v>21.095631989661342</v>
      </c>
    </row>
    <row r="11" spans="1:98" ht="21" customHeight="1">
      <c r="A11" s="1171" t="s">
        <v>219</v>
      </c>
      <c r="B11" s="1273"/>
      <c r="C11" s="17"/>
      <c r="D11" s="30"/>
      <c r="E11" s="17"/>
      <c r="F11" s="30"/>
      <c r="G11" s="17"/>
      <c r="H11" s="30"/>
      <c r="I11" s="141"/>
      <c r="J11" s="141"/>
      <c r="K11" s="141">
        <v>9.1999999999999993</v>
      </c>
      <c r="L11" s="141">
        <v>9.1999999999999993</v>
      </c>
      <c r="M11" s="161"/>
      <c r="N11" s="161"/>
      <c r="O11" s="141"/>
      <c r="P11" s="161"/>
      <c r="Q11" s="235"/>
      <c r="R11" s="161"/>
      <c r="S11" s="161">
        <f t="shared" si="30"/>
        <v>0</v>
      </c>
      <c r="T11" s="141"/>
      <c r="U11" s="141">
        <f t="shared" si="31"/>
        <v>0</v>
      </c>
      <c r="V11" s="141">
        <v>0</v>
      </c>
      <c r="W11" s="141">
        <v>0</v>
      </c>
      <c r="X11" s="1288">
        <v>0</v>
      </c>
      <c r="Y11" s="1296"/>
      <c r="Z11" s="1300"/>
      <c r="AA11" s="1050"/>
      <c r="AB11" s="1302"/>
      <c r="AC11" s="1009">
        <f t="shared" si="21"/>
        <v>0</v>
      </c>
      <c r="AD11" s="1047">
        <f t="shared" si="32"/>
        <v>0</v>
      </c>
      <c r="AE11" s="1050">
        <f>SUM(AF11:AG11)</f>
        <v>0</v>
      </c>
      <c r="AF11" s="1009">
        <v>0</v>
      </c>
      <c r="AG11" s="1047">
        <v>0</v>
      </c>
      <c r="AH11" s="1267">
        <v>0</v>
      </c>
      <c r="AI11" s="1264"/>
      <c r="AJ11" s="1009">
        <v>0</v>
      </c>
      <c r="AK11" s="1047">
        <v>0</v>
      </c>
      <c r="AL11" s="1267">
        <v>0</v>
      </c>
      <c r="AM11" s="1264"/>
      <c r="AN11" s="1009">
        <v>0</v>
      </c>
      <c r="AO11" s="1047">
        <v>0</v>
      </c>
      <c r="AP11" s="1328">
        <f t="shared" si="26"/>
        <v>0</v>
      </c>
      <c r="AQ11" s="1329"/>
      <c r="AR11" s="1329"/>
      <c r="AS11" s="1330">
        <f t="shared" si="2"/>
        <v>0</v>
      </c>
      <c r="AT11" s="1050">
        <v>0</v>
      </c>
      <c r="AU11" s="1009">
        <v>0</v>
      </c>
      <c r="AV11" s="1047">
        <v>0</v>
      </c>
      <c r="AW11" s="1050">
        <v>0</v>
      </c>
      <c r="AX11" s="1009">
        <v>0</v>
      </c>
      <c r="AY11" s="2643">
        <v>0</v>
      </c>
      <c r="AZ11" s="1050">
        <v>0</v>
      </c>
      <c r="BA11" s="1009">
        <v>0</v>
      </c>
      <c r="BB11" s="2643">
        <v>0</v>
      </c>
      <c r="BC11" s="1267">
        <v>0</v>
      </c>
      <c r="BD11" s="2139"/>
      <c r="BE11" s="1009">
        <v>0</v>
      </c>
      <c r="BF11" s="1047">
        <v>0</v>
      </c>
      <c r="BG11" s="1267">
        <v>0</v>
      </c>
      <c r="BH11" s="2139"/>
      <c r="BI11" s="1009">
        <v>0</v>
      </c>
      <c r="BJ11" s="1047">
        <v>0</v>
      </c>
      <c r="BK11" s="1915"/>
      <c r="BL11" s="2869">
        <v>0</v>
      </c>
      <c r="BM11" s="2870">
        <v>0</v>
      </c>
      <c r="BN11" s="2871">
        <v>0</v>
      </c>
      <c r="BO11" s="2869">
        <v>0</v>
      </c>
      <c r="BP11" s="2870">
        <v>0</v>
      </c>
      <c r="BQ11" s="2871">
        <v>0</v>
      </c>
      <c r="BR11" s="2869">
        <v>0</v>
      </c>
      <c r="BS11" s="2870">
        <v>0</v>
      </c>
      <c r="BT11" s="2871">
        <v>0</v>
      </c>
      <c r="BU11" s="1267">
        <v>0</v>
      </c>
      <c r="BV11" s="2139"/>
      <c r="BW11" s="1009">
        <v>0</v>
      </c>
      <c r="BX11" s="1047">
        <v>0</v>
      </c>
      <c r="BY11" s="1267">
        <v>0</v>
      </c>
      <c r="BZ11" s="2139"/>
      <c r="CA11" s="1009">
        <v>0</v>
      </c>
      <c r="CB11" s="1047">
        <v>0</v>
      </c>
      <c r="CC11" s="1915"/>
      <c r="CD11" s="3953">
        <v>0</v>
      </c>
      <c r="CE11" s="3952">
        <v>0</v>
      </c>
      <c r="CF11" s="3952">
        <v>0</v>
      </c>
      <c r="CG11" s="4361">
        <v>0</v>
      </c>
      <c r="CH11" s="3952">
        <v>0</v>
      </c>
      <c r="CI11" s="3952">
        <v>0</v>
      </c>
      <c r="CJ11" s="4361">
        <v>0</v>
      </c>
      <c r="CK11" s="3952">
        <v>0</v>
      </c>
      <c r="CL11" s="3606">
        <v>0</v>
      </c>
      <c r="CM11" s="4093">
        <v>0</v>
      </c>
      <c r="CN11" s="4359"/>
      <c r="CO11" s="4041">
        <v>0</v>
      </c>
      <c r="CP11" s="3747">
        <v>0</v>
      </c>
      <c r="CQ11" s="4093">
        <v>0</v>
      </c>
      <c r="CR11" s="4359"/>
      <c r="CS11" s="4041">
        <v>0</v>
      </c>
      <c r="CT11" s="3747">
        <v>0</v>
      </c>
    </row>
    <row r="12" spans="1:98" ht="21" customHeight="1">
      <c r="A12" s="1171" t="s">
        <v>3</v>
      </c>
      <c r="B12" s="1273">
        <v>430.7</v>
      </c>
      <c r="C12" s="17">
        <v>299.2</v>
      </c>
      <c r="D12" s="30">
        <f t="shared" si="14"/>
        <v>69.468307406547481</v>
      </c>
      <c r="E12" s="17">
        <v>196.7</v>
      </c>
      <c r="F12" s="30">
        <f t="shared" si="15"/>
        <v>65.741978609625662</v>
      </c>
      <c r="G12" s="17">
        <v>430.7</v>
      </c>
      <c r="H12" s="30">
        <f t="shared" si="16"/>
        <v>218.96288764616165</v>
      </c>
      <c r="I12" s="141">
        <v>477.1</v>
      </c>
      <c r="J12" s="141">
        <v>283.5</v>
      </c>
      <c r="K12" s="141">
        <v>89</v>
      </c>
      <c r="L12" s="141">
        <v>94.7</v>
      </c>
      <c r="M12" s="161">
        <f t="shared" si="17"/>
        <v>19.849088241458812</v>
      </c>
      <c r="N12" s="161">
        <f t="shared" si="18"/>
        <v>21.987462270722084</v>
      </c>
      <c r="O12" s="141">
        <v>524.79999999999995</v>
      </c>
      <c r="P12" s="161">
        <f t="shared" si="19"/>
        <v>109.99790400335358</v>
      </c>
      <c r="Q12" s="235">
        <v>124.5</v>
      </c>
      <c r="R12" s="161">
        <f t="shared" si="29"/>
        <v>26.095158247746802</v>
      </c>
      <c r="S12" s="161">
        <f t="shared" si="30"/>
        <v>131.46779303062303</v>
      </c>
      <c r="T12" s="141" t="e">
        <f>Q12/Q56*T56</f>
        <v>#REF!</v>
      </c>
      <c r="U12" s="141" t="e">
        <f t="shared" si="31"/>
        <v>#REF!</v>
      </c>
      <c r="V12" s="141">
        <v>9.9</v>
      </c>
      <c r="W12" s="141">
        <v>20</v>
      </c>
      <c r="X12" s="1288">
        <v>0</v>
      </c>
      <c r="Y12" s="1296">
        <v>478</v>
      </c>
      <c r="Z12" s="1300">
        <f t="shared" si="20"/>
        <v>3.8393574297188753</v>
      </c>
      <c r="AA12" s="1050">
        <v>0</v>
      </c>
      <c r="AB12" s="1302">
        <f t="shared" si="1"/>
        <v>0</v>
      </c>
      <c r="AC12" s="1009">
        <f t="shared" si="21"/>
        <v>0</v>
      </c>
      <c r="AD12" s="1047">
        <f t="shared" si="32"/>
        <v>0</v>
      </c>
      <c r="AE12" s="1050">
        <f>SUM(AF12:AG12)</f>
        <v>84.7</v>
      </c>
      <c r="AF12" s="1009">
        <v>84.7</v>
      </c>
      <c r="AG12" s="1047">
        <v>0</v>
      </c>
      <c r="AH12" s="1267">
        <f t="shared" si="22"/>
        <v>278</v>
      </c>
      <c r="AI12" s="1264"/>
      <c r="AJ12" s="1009">
        <v>278</v>
      </c>
      <c r="AK12" s="1047">
        <v>0</v>
      </c>
      <c r="AL12" s="1267">
        <f t="shared" si="24"/>
        <v>0</v>
      </c>
      <c r="AM12" s="1264"/>
      <c r="AN12" s="1009">
        <v>0</v>
      </c>
      <c r="AO12" s="1047">
        <v>0</v>
      </c>
      <c r="AP12" s="1328">
        <f t="shared" si="26"/>
        <v>-478</v>
      </c>
      <c r="AQ12" s="1329">
        <f>AP12</f>
        <v>-478</v>
      </c>
      <c r="AR12" s="1329">
        <f t="shared" si="27"/>
        <v>0</v>
      </c>
      <c r="AS12" s="1330">
        <f t="shared" si="2"/>
        <v>-478</v>
      </c>
      <c r="AT12" s="1050">
        <f>SUM(AU12:AV12)</f>
        <v>20.11</v>
      </c>
      <c r="AU12" s="1009">
        <v>20.11</v>
      </c>
      <c r="AV12" s="1047">
        <v>0</v>
      </c>
      <c r="AW12" s="1050">
        <f>SUM(AX12:AY12)</f>
        <v>20.11</v>
      </c>
      <c r="AX12" s="1009">
        <v>20.11</v>
      </c>
      <c r="AY12" s="2643">
        <v>0</v>
      </c>
      <c r="AZ12" s="1050">
        <f>SUM(BA12:BB12)</f>
        <v>50.2</v>
      </c>
      <c r="BA12" s="1009">
        <v>50.2</v>
      </c>
      <c r="BB12" s="2643">
        <v>0</v>
      </c>
      <c r="BC12" s="1267">
        <f>SUM(BE12:BF12)</f>
        <v>84.7</v>
      </c>
      <c r="BD12" s="2139"/>
      <c r="BE12" s="1009">
        <f>SUM(AF12)</f>
        <v>84.7</v>
      </c>
      <c r="BF12" s="1047">
        <v>0</v>
      </c>
      <c r="BG12" s="1267">
        <f>SUM(BI12:BJ12)</f>
        <v>0</v>
      </c>
      <c r="BH12" s="2139"/>
      <c r="BI12" s="1009">
        <v>0</v>
      </c>
      <c r="BJ12" s="1047">
        <v>0</v>
      </c>
      <c r="BK12" s="1914" t="s">
        <v>1521</v>
      </c>
      <c r="BL12" s="2869">
        <f>SUM(BM12:BN12)</f>
        <v>43.6</v>
      </c>
      <c r="BM12" s="2870">
        <v>43.6</v>
      </c>
      <c r="BN12" s="2871">
        <v>0</v>
      </c>
      <c r="BO12" s="2869">
        <f>SUM(BP12:BQ12)</f>
        <v>45.07</v>
      </c>
      <c r="BP12" s="2870">
        <v>45.07</v>
      </c>
      <c r="BQ12" s="2871">
        <v>0</v>
      </c>
      <c r="BR12" s="2869">
        <f>SUM(BS12:BT12)</f>
        <v>45.07</v>
      </c>
      <c r="BS12" s="2870">
        <v>45.07</v>
      </c>
      <c r="BT12" s="2871">
        <v>0</v>
      </c>
      <c r="BU12" s="1267">
        <f>SUM(AZ12/2)</f>
        <v>25.1</v>
      </c>
      <c r="BV12" s="2139"/>
      <c r="BW12" s="1009">
        <f>SUM(BU12)</f>
        <v>25.1</v>
      </c>
      <c r="BX12" s="1047">
        <v>0</v>
      </c>
      <c r="BY12" s="1267">
        <f>BG12*(1-0.01)*(1+0.071)*(1+0)</f>
        <v>0</v>
      </c>
      <c r="BZ12" s="2139"/>
      <c r="CA12" s="1009">
        <v>0</v>
      </c>
      <c r="CB12" s="1047">
        <v>0</v>
      </c>
      <c r="CC12" s="1914"/>
      <c r="CD12" s="3953">
        <f>SUM(CE12:CF12)</f>
        <v>2.0099999999999998</v>
      </c>
      <c r="CE12" s="3952">
        <v>2.0099999999999998</v>
      </c>
      <c r="CF12" s="3952">
        <v>0</v>
      </c>
      <c r="CG12" s="4361">
        <f>SUM(CH12:CI12)</f>
        <v>208.92</v>
      </c>
      <c r="CH12" s="3952">
        <v>208.92</v>
      </c>
      <c r="CI12" s="3952">
        <v>0</v>
      </c>
      <c r="CJ12" s="4361">
        <f>SUM(CK12:CL12)</f>
        <v>278.55999999999995</v>
      </c>
      <c r="CK12" s="3952">
        <f>SUM(CG12/9*12)</f>
        <v>278.55999999999995</v>
      </c>
      <c r="CL12" s="3606">
        <v>0</v>
      </c>
      <c r="CM12" s="4093">
        <v>0</v>
      </c>
      <c r="CN12" s="4359"/>
      <c r="CO12" s="4041">
        <f>SUM(CM12)</f>
        <v>0</v>
      </c>
      <c r="CP12" s="3747">
        <v>0</v>
      </c>
      <c r="CQ12" s="4093">
        <v>0</v>
      </c>
      <c r="CR12" s="4359"/>
      <c r="CS12" s="4041">
        <f>SUM(CQ12)</f>
        <v>0</v>
      </c>
      <c r="CT12" s="3747">
        <f>SUM(CB12*(1-0.01)*(1+0.058)*(1+0))</f>
        <v>0</v>
      </c>
    </row>
    <row r="13" spans="1:98" ht="21" customHeight="1">
      <c r="A13" s="1171" t="s">
        <v>4</v>
      </c>
      <c r="B13" s="1273">
        <v>3660.5</v>
      </c>
      <c r="C13" s="17">
        <v>4691.6000000000004</v>
      </c>
      <c r="D13" s="30">
        <f t="shared" si="14"/>
        <v>128.16828302144515</v>
      </c>
      <c r="E13" s="17">
        <v>5232.7</v>
      </c>
      <c r="F13" s="30">
        <f t="shared" si="15"/>
        <v>111.53337880467218</v>
      </c>
      <c r="G13" s="17">
        <v>5489.3</v>
      </c>
      <c r="H13" s="30">
        <f t="shared" si="16"/>
        <v>104.90377816423644</v>
      </c>
      <c r="I13" s="141">
        <v>5688.7</v>
      </c>
      <c r="J13" s="141">
        <v>2902.6</v>
      </c>
      <c r="K13" s="141">
        <v>3448.6</v>
      </c>
      <c r="L13" s="141">
        <v>4913.3999999999996</v>
      </c>
      <c r="M13" s="161">
        <f t="shared" si="17"/>
        <v>86.371227169652116</v>
      </c>
      <c r="N13" s="161">
        <f t="shared" si="18"/>
        <v>89.508680523928362</v>
      </c>
      <c r="O13" s="141">
        <v>6949</v>
      </c>
      <c r="P13" s="161">
        <f t="shared" si="19"/>
        <v>122.15444653435759</v>
      </c>
      <c r="Q13" s="235">
        <f>ЗП!AP9</f>
        <v>6092.5977000000012</v>
      </c>
      <c r="R13" s="161">
        <f t="shared" si="29"/>
        <v>107.10000000000002</v>
      </c>
      <c r="S13" s="161">
        <f t="shared" si="30"/>
        <v>123.99962754915133</v>
      </c>
      <c r="T13" s="141" t="e">
        <f>Q13/Q56*T56</f>
        <v>#REF!</v>
      </c>
      <c r="U13" s="141" t="e">
        <f t="shared" si="31"/>
        <v>#REF!</v>
      </c>
      <c r="V13" s="141">
        <v>4239.5</v>
      </c>
      <c r="W13" s="141">
        <f>5586.1*(объемы!$AA$10-объемы!$AA$19)/объемы!$AA$10</f>
        <v>5553.306426994398</v>
      </c>
      <c r="X13" s="1288">
        <f>5586.1-W13</f>
        <v>32.793573005602411</v>
      </c>
      <c r="Y13" s="1296">
        <v>7172.3</v>
      </c>
      <c r="Z13" s="1300">
        <f t="shared" si="20"/>
        <v>1.1772154265166725</v>
      </c>
      <c r="AA13" s="1050">
        <f>ЗП!U25</f>
        <v>6433.7831712000025</v>
      </c>
      <c r="AB13" s="1302">
        <f t="shared" si="1"/>
        <v>1.0560000000000003</v>
      </c>
      <c r="AC13" s="1009">
        <f t="shared" si="21"/>
        <v>6360.7477766303364</v>
      </c>
      <c r="AD13" s="1047">
        <f t="shared" si="32"/>
        <v>73.035394569666096</v>
      </c>
      <c r="AE13" s="1050">
        <f>SUM(ЗП!AS25)</f>
        <v>6293.5</v>
      </c>
      <c r="AF13" s="1009">
        <f>AE13*AF56/(AF56+AG56)</f>
        <v>6215.902500618965</v>
      </c>
      <c r="AG13" s="1047">
        <f>SUM(AE13-AF13)</f>
        <v>77.59749938103505</v>
      </c>
      <c r="AH13" s="1267">
        <f t="shared" si="22"/>
        <v>6900.59</v>
      </c>
      <c r="AI13" s="1264">
        <f t="shared" si="23"/>
        <v>1.0725555736614809</v>
      </c>
      <c r="AJ13" s="1009">
        <v>6822.04</v>
      </c>
      <c r="AK13" s="1047">
        <v>78.55</v>
      </c>
      <c r="AL13" s="1267">
        <f t="shared" si="24"/>
        <v>5622.7018867924526</v>
      </c>
      <c r="AM13" s="1264">
        <f t="shared" si="25"/>
        <v>0.87393400386288267</v>
      </c>
      <c r="AN13" s="1009">
        <f>ЗП!BB25*AN56/(AN56+AO56)</f>
        <v>5558.6965472312695</v>
      </c>
      <c r="AO13" s="1047">
        <f>-AN13+ЗП!BB25</f>
        <v>64.005339561183064</v>
      </c>
      <c r="AP13" s="1328">
        <f t="shared" si="26"/>
        <v>-738.51682879999771</v>
      </c>
      <c r="AQ13" s="1329">
        <f t="shared" ref="AQ13:AQ20" si="37">AP13*AC13/AA13</f>
        <v>-730.13329044433897</v>
      </c>
      <c r="AR13" s="1329">
        <f t="shared" si="27"/>
        <v>-8.3835383556587431</v>
      </c>
      <c r="AS13" s="1330">
        <f t="shared" si="2"/>
        <v>-738.51682879999771</v>
      </c>
      <c r="AT13" s="1050">
        <f>SUM(ЗП!BG25)</f>
        <v>3051.5</v>
      </c>
      <c r="AU13" s="1009">
        <f>AT13*AU56/(AU56+AV56)</f>
        <v>3030.4972519191351</v>
      </c>
      <c r="AV13" s="1047">
        <f>SUM(AT13-AU13)</f>
        <v>21.002748080864876</v>
      </c>
      <c r="AW13" s="1050">
        <v>4675.2299999999996</v>
      </c>
      <c r="AX13" s="1009">
        <f>AW13*AX56/(AX56+AY56)</f>
        <v>4646.4720522916105</v>
      </c>
      <c r="AY13" s="2643">
        <f>SUM(AW13-AX13)</f>
        <v>28.757947708389111</v>
      </c>
      <c r="AZ13" s="1050">
        <v>6226.66</v>
      </c>
      <c r="BA13" s="1009">
        <f>AZ13*BA56/(BA56+BB56)</f>
        <v>6196.6501743192557</v>
      </c>
      <c r="BB13" s="2643">
        <f>SUM(AZ13-BA13)</f>
        <v>30.009825680744143</v>
      </c>
      <c r="BC13" s="1050">
        <v>7590.65</v>
      </c>
      <c r="BD13" s="2139">
        <f t="shared" si="33"/>
        <v>1.3500004362369262</v>
      </c>
      <c r="BE13" s="1009">
        <f>BC13*BE56/(BE56+BF56)</f>
        <v>7550.109875575874</v>
      </c>
      <c r="BF13" s="1047">
        <f>SUM(BC13-BE13)</f>
        <v>40.540124424125679</v>
      </c>
      <c r="BG13" s="1050">
        <f>SUM(ЗП!BW25)</f>
        <v>6975.4151999999985</v>
      </c>
      <c r="BH13" s="2139">
        <f t="shared" si="34"/>
        <v>1.2405806568520068</v>
      </c>
      <c r="BI13" s="1009">
        <f>BG13*BI56/(BI56+BJ56)</f>
        <v>6938.1609200479606</v>
      </c>
      <c r="BJ13" s="1047">
        <f>SUM(BG13-BI13)</f>
        <v>37.254279952037905</v>
      </c>
      <c r="BK13" s="1914" t="s">
        <v>980</v>
      </c>
      <c r="BL13" s="2869">
        <f>SUM(ЗП!CB25)</f>
        <v>3331.41</v>
      </c>
      <c r="BM13" s="2870">
        <f>BL13*BM56/(BM56+BN56)</f>
        <v>3328.7230252501972</v>
      </c>
      <c r="BN13" s="2871">
        <f>SUM(BL13-BM13)</f>
        <v>2.68697474980263</v>
      </c>
      <c r="BO13" s="2869">
        <f>SUM(ЗП!CF25)</f>
        <v>5158.3900000000003</v>
      </c>
      <c r="BP13" s="2870">
        <f>BO13*BP56/(BP56+BQ56)</f>
        <v>5154.6242302695864</v>
      </c>
      <c r="BQ13" s="2871">
        <f>SUM(BO13-BP13)</f>
        <v>3.7657697304139219</v>
      </c>
      <c r="BR13" s="2869">
        <f>SUM(ЗП!CJ25)</f>
        <v>6840.58</v>
      </c>
      <c r="BS13" s="2870">
        <f>BR13*BS56/(BS56+BT56)</f>
        <v>6835.9796671093991</v>
      </c>
      <c r="BT13" s="2871">
        <f>SUM(BR13-BS13)</f>
        <v>4.6003328906008392</v>
      </c>
      <c r="BU13" s="1050">
        <f>SUM(ЗП!CN25)</f>
        <v>7672.9567199999992</v>
      </c>
      <c r="BV13" s="2139">
        <f t="shared" si="35"/>
        <v>1.1000000000000001</v>
      </c>
      <c r="BW13" s="1009">
        <f>BU13*BW56/(BW56+BX56)</f>
        <v>7636.5056191923977</v>
      </c>
      <c r="BX13" s="1047">
        <f>SUM(BU13-BW13)</f>
        <v>36.451100807601506</v>
      </c>
      <c r="BY13" s="1050">
        <f>SUM(ЗП!CR25)</f>
        <v>7395.9629824079975</v>
      </c>
      <c r="BZ13" s="2139">
        <f t="shared" ref="BZ13:BZ20" si="38">SUM(BY13/BG13)</f>
        <v>1.06029</v>
      </c>
      <c r="CA13" s="1009">
        <f>BY13*CA56/(CA56+CB56)</f>
        <v>7356.2672301232506</v>
      </c>
      <c r="CB13" s="1047">
        <f>SUM(BY13-CA13)</f>
        <v>39.695752284746959</v>
      </c>
      <c r="CC13" s="1914"/>
      <c r="CD13" s="3951">
        <f>SUM(ЗП!CV25)</f>
        <v>2708.16</v>
      </c>
      <c r="CE13" s="3952">
        <f>CD13*CE56/(CE56+CF56)</f>
        <v>2706.5808638562544</v>
      </c>
      <c r="CF13" s="3952">
        <f>SUM(CD13-CE13)</f>
        <v>1.5791361437454725</v>
      </c>
      <c r="CG13" s="3952">
        <f>SUM(ЗП!CY25)</f>
        <v>4553.8999999999996</v>
      </c>
      <c r="CH13" s="3952">
        <f>CG13*CH56/(CH56+CI56)</f>
        <v>4551.5628386710869</v>
      </c>
      <c r="CI13" s="3952">
        <f>SUM(CG13-CH13)</f>
        <v>2.3371613289127708</v>
      </c>
      <c r="CJ13" s="3952">
        <f>SUM(ЗП!DB25)</f>
        <v>6399.6399999999994</v>
      </c>
      <c r="CK13" s="3952">
        <f>CJ13*CK56/(CK56+CL56)</f>
        <v>6396.3529852714564</v>
      </c>
      <c r="CL13" s="3606">
        <f>SUM(CJ13-CK13)</f>
        <v>3.2870147285429994</v>
      </c>
      <c r="CM13" s="4040">
        <f>SUM(ЗП!DE25)</f>
        <v>7746.6795470337847</v>
      </c>
      <c r="CN13" s="4359">
        <f t="shared" si="28"/>
        <v>1.04742</v>
      </c>
      <c r="CO13" s="4041">
        <f>CM13*CO56/(CO56+CP56)</f>
        <v>7705.0307322647859</v>
      </c>
      <c r="CP13" s="3747">
        <f>SUM(CM13-CO13)</f>
        <v>41.648814768998818</v>
      </c>
      <c r="CQ13" s="4040">
        <f>SUM(ЗП!DI25)</f>
        <v>7614.8834866872739</v>
      </c>
      <c r="CR13" s="4359">
        <f t="shared" si="36"/>
        <v>1.0296000000000001</v>
      </c>
      <c r="CS13" s="4041">
        <f>SUM(CQ13-CT13)</f>
        <v>7572.7856352684585</v>
      </c>
      <c r="CT13" s="3747">
        <f>SUM(CB13*(1-0.01)*(1+0.058)*(1+0)*1.0125)</f>
        <v>42.097851418815779</v>
      </c>
    </row>
    <row r="14" spans="1:98" ht="21" customHeight="1">
      <c r="A14" s="1171" t="s">
        <v>5</v>
      </c>
      <c r="B14" s="1273">
        <v>941.4</v>
      </c>
      <c r="C14" s="17">
        <v>1188.5999999999999</v>
      </c>
      <c r="D14" s="30">
        <f t="shared" si="14"/>
        <v>126.25876354365838</v>
      </c>
      <c r="E14" s="17">
        <v>1266.7</v>
      </c>
      <c r="F14" s="30">
        <f t="shared" si="15"/>
        <v>106.57075551068485</v>
      </c>
      <c r="G14" s="17">
        <v>1763.9</v>
      </c>
      <c r="H14" s="30">
        <f t="shared" si="16"/>
        <v>139.251598642141</v>
      </c>
      <c r="I14" s="141">
        <f>I13*30.3/100</f>
        <v>1723.6760999999999</v>
      </c>
      <c r="J14" s="141">
        <v>893.7</v>
      </c>
      <c r="K14" s="141">
        <v>1027.5999999999999</v>
      </c>
      <c r="L14" s="141">
        <v>1463.3</v>
      </c>
      <c r="M14" s="161">
        <f t="shared" si="17"/>
        <v>84.894139914105665</v>
      </c>
      <c r="N14" s="161">
        <f t="shared" si="18"/>
        <v>82.958217586030941</v>
      </c>
      <c r="O14" s="141">
        <v>2098.6</v>
      </c>
      <c r="P14" s="161">
        <f t="shared" si="19"/>
        <v>121.75141257687568</v>
      </c>
      <c r="Q14" s="235">
        <f>Q13*0.302</f>
        <v>1839.9645054000002</v>
      </c>
      <c r="R14" s="161">
        <f t="shared" si="29"/>
        <v>106.74653465346537</v>
      </c>
      <c r="S14" s="161">
        <f t="shared" si="30"/>
        <v>125.74075756167569</v>
      </c>
      <c r="T14" s="141" t="e">
        <f>Q14/Q56*T56</f>
        <v>#REF!</v>
      </c>
      <c r="U14" s="141" t="e">
        <f t="shared" si="31"/>
        <v>#REF!</v>
      </c>
      <c r="V14" s="141">
        <v>1271.0999999999999</v>
      </c>
      <c r="W14" s="141"/>
      <c r="X14" s="1288"/>
      <c r="Y14" s="1296">
        <v>2166</v>
      </c>
      <c r="Z14" s="1300">
        <f t="shared" si="20"/>
        <v>1.1771966218060934</v>
      </c>
      <c r="AA14" s="1050">
        <f>AA13*V15</f>
        <v>1928.9967658715232</v>
      </c>
      <c r="AB14" s="1302">
        <f t="shared" si="1"/>
        <v>1.0483880315137752</v>
      </c>
      <c r="AC14" s="1009">
        <f t="shared" si="21"/>
        <v>1907.0990680209504</v>
      </c>
      <c r="AD14" s="1047">
        <f t="shared" si="32"/>
        <v>21.89769785057274</v>
      </c>
      <c r="AE14" s="1050">
        <v>1885.2</v>
      </c>
      <c r="AF14" s="1009">
        <f>AE14*AF56/(AF56+AG56)</f>
        <v>1861.9558900718</v>
      </c>
      <c r="AG14" s="1047">
        <f>SUM(AE14-AF14)</f>
        <v>23.244109928200032</v>
      </c>
      <c r="AH14" s="1267">
        <f t="shared" si="22"/>
        <v>2077.0699999999997</v>
      </c>
      <c r="AI14" s="1264">
        <f t="shared" si="23"/>
        <v>1.0767617845442976</v>
      </c>
      <c r="AJ14" s="1009">
        <v>2053.4299999999998</v>
      </c>
      <c r="AK14" s="1047">
        <v>23.64</v>
      </c>
      <c r="AL14" s="1267">
        <f t="shared" si="24"/>
        <v>1685.815867036652</v>
      </c>
      <c r="AM14" s="1264">
        <f t="shared" si="25"/>
        <v>0.87393400386288267</v>
      </c>
      <c r="AN14" s="1009">
        <f>AN13*AA15</f>
        <v>1666.6255882027754</v>
      </c>
      <c r="AO14" s="1047">
        <f>AO13*AA15</f>
        <v>19.190278833876587</v>
      </c>
      <c r="AP14" s="1328">
        <f t="shared" si="26"/>
        <v>-237.00323412847683</v>
      </c>
      <c r="AQ14" s="1329">
        <f t="shared" si="37"/>
        <v>-234.3128070098968</v>
      </c>
      <c r="AR14" s="1329">
        <f t="shared" si="27"/>
        <v>-2.6904271185800326</v>
      </c>
      <c r="AS14" s="1330">
        <f t="shared" si="2"/>
        <v>-237.00323412847683</v>
      </c>
      <c r="AT14" s="1050">
        <v>916.4</v>
      </c>
      <c r="AU14" s="1009">
        <v>910.09</v>
      </c>
      <c r="AV14" s="1047">
        <f>AT14-AU14</f>
        <v>6.3099999999999454</v>
      </c>
      <c r="AW14" s="1050">
        <v>1405.56</v>
      </c>
      <c r="AX14" s="1009">
        <f>AW14*AX56/(AX56+AY56)</f>
        <v>1396.9142176575263</v>
      </c>
      <c r="AY14" s="2643">
        <f>AW14-AX14</f>
        <v>8.6457823424736944</v>
      </c>
      <c r="AZ14" s="1050">
        <v>1871.76</v>
      </c>
      <c r="BA14" s="1009">
        <f>AZ14*BA56/(BA56+BB56)</f>
        <v>1862.7389210722617</v>
      </c>
      <c r="BB14" s="2643">
        <f>AZ14-BA14</f>
        <v>9.0210789277382446</v>
      </c>
      <c r="BC14" s="1267">
        <f t="shared" ref="BC14" si="39">SUM(BE14+BF14)</f>
        <v>2284.7773009988996</v>
      </c>
      <c r="BD14" s="2139">
        <f t="shared" si="33"/>
        <v>1.3552946947967155</v>
      </c>
      <c r="BE14" s="1009">
        <f>SUM(BE13*AH15)</f>
        <v>2272.5747681375619</v>
      </c>
      <c r="BF14" s="1047">
        <f>SUM(BF13*AH15)</f>
        <v>12.202532861337756</v>
      </c>
      <c r="BG14" s="1267">
        <f t="shared" ref="BG14" si="40">SUM(BI14+BJ14)</f>
        <v>2099.5923028993166</v>
      </c>
      <c r="BH14" s="2139">
        <f t="shared" si="34"/>
        <v>1.2454458069551841</v>
      </c>
      <c r="BI14" s="1009">
        <f>SUM(BI13*BC15)</f>
        <v>2088.3788056099575</v>
      </c>
      <c r="BJ14" s="1047">
        <f>SUM(BJ13*BC15)</f>
        <v>11.213497289359223</v>
      </c>
      <c r="BK14" s="1914" t="s">
        <v>250</v>
      </c>
      <c r="BL14" s="2869">
        <v>1004.66</v>
      </c>
      <c r="BM14" s="2870">
        <f>BL14*BM56/(BM56+BN56)</f>
        <v>1003.8496836318145</v>
      </c>
      <c r="BN14" s="2871">
        <f>BL14-BM14</f>
        <v>0.81031636818545394</v>
      </c>
      <c r="BO14" s="2869">
        <v>1556.35</v>
      </c>
      <c r="BP14" s="2870">
        <f>BO14*BP56/(BP56+BQ56)</f>
        <v>1555.2138207425321</v>
      </c>
      <c r="BQ14" s="2871">
        <f>BO14-BP14</f>
        <v>1.136179257467802</v>
      </c>
      <c r="BR14" s="2869">
        <v>2063.7199999999998</v>
      </c>
      <c r="BS14" s="2870">
        <f>BR14*BS56/(BS56+BT56)</f>
        <v>2062.3321353755105</v>
      </c>
      <c r="BT14" s="2871">
        <f>BR14-BS14</f>
        <v>1.3878646244893389</v>
      </c>
      <c r="BU14" s="1267">
        <f t="shared" ref="BU14" si="41">SUM(BW14+BX14)</f>
        <v>2309.5599727199997</v>
      </c>
      <c r="BV14" s="2139">
        <f t="shared" si="35"/>
        <v>1.1000040196045393</v>
      </c>
      <c r="BW14" s="1009">
        <f>SUM(BW13*BW15)</f>
        <v>2298.5881913769117</v>
      </c>
      <c r="BX14" s="1047">
        <f>SUM(BX13*BX15)</f>
        <v>10.971781343088052</v>
      </c>
      <c r="BY14" s="1267">
        <f t="shared" ref="BY14" si="42">SUM(CA14+CB14)</f>
        <v>2226.1848577048072</v>
      </c>
      <c r="BZ14" s="2139">
        <f t="shared" si="38"/>
        <v>1.0602938744968151</v>
      </c>
      <c r="CA14" s="1009">
        <f>SUM(CA13*BU15)</f>
        <v>2214.2364362670983</v>
      </c>
      <c r="CB14" s="1047">
        <f>SUM(CB13*BU15)</f>
        <v>11.948421437708834</v>
      </c>
      <c r="CC14" s="1914"/>
      <c r="CD14" s="3953">
        <v>814.35</v>
      </c>
      <c r="CE14" s="3952">
        <f>CD14*CE56/(CE56+CF56)</f>
        <v>813.8751500950242</v>
      </c>
      <c r="CF14" s="3952">
        <f>SUM(CD14-CE14)</f>
        <v>0.47484990497582658</v>
      </c>
      <c r="CG14" s="4361">
        <v>1369.45</v>
      </c>
      <c r="CH14" s="3952">
        <f>CG14*CH56/(CH56+CI56)</f>
        <v>1368.7471682334092</v>
      </c>
      <c r="CI14" s="3952">
        <f>SUM(CG14-CH14)</f>
        <v>0.70283176659086166</v>
      </c>
      <c r="CJ14" s="4361">
        <f>SUM(CJ13*30.07%)</f>
        <v>1924.371748</v>
      </c>
      <c r="CK14" s="3952">
        <f>CJ14*CK56/(CK56+CL56)</f>
        <v>1923.3833426711274</v>
      </c>
      <c r="CL14" s="3606">
        <f>SUM(CJ14-CK14)</f>
        <v>0.98840532887265908</v>
      </c>
      <c r="CM14" s="4093">
        <f>SUM(CO14:CP14)</f>
        <v>2331.7505436571691</v>
      </c>
      <c r="CN14" s="4359">
        <f t="shared" si="28"/>
        <v>1.04742</v>
      </c>
      <c r="CO14" s="4041">
        <f>SUM(CO13*CO15)</f>
        <v>2319.2142504117005</v>
      </c>
      <c r="CP14" s="3747">
        <f>SUM(CP13*CP15)</f>
        <v>12.536293245468643</v>
      </c>
      <c r="CQ14" s="4093">
        <f t="shared" ref="CQ14" si="43">SUM(CS14+CT14)</f>
        <v>2292.0799294928693</v>
      </c>
      <c r="CR14" s="4359">
        <f t="shared" si="36"/>
        <v>1.0295999999999998</v>
      </c>
      <c r="CS14" s="4041">
        <f>SUM(CS13*CS15)</f>
        <v>2279.4084762158059</v>
      </c>
      <c r="CT14" s="3747">
        <f>SUM(CB14*(1-0.01)*(1+0.058)*(1+0)*1.0125)</f>
        <v>12.67145327706355</v>
      </c>
    </row>
    <row r="15" spans="1:98" s="189" customFormat="1" ht="21" customHeight="1">
      <c r="A15" s="1172" t="s">
        <v>321</v>
      </c>
      <c r="B15" s="1274"/>
      <c r="C15" s="30"/>
      <c r="D15" s="30"/>
      <c r="E15" s="188">
        <f t="shared" ref="E15:K15" si="44">E14/E13</f>
        <v>0.24207388155254458</v>
      </c>
      <c r="F15" s="188">
        <f t="shared" si="44"/>
        <v>0.95550548770984201</v>
      </c>
      <c r="G15" s="188">
        <f t="shared" si="44"/>
        <v>0.32133423205144557</v>
      </c>
      <c r="H15" s="188"/>
      <c r="I15" s="188">
        <f t="shared" si="44"/>
        <v>0.30299999999999999</v>
      </c>
      <c r="J15" s="188">
        <f t="shared" si="44"/>
        <v>0.30789636877282439</v>
      </c>
      <c r="K15" s="188">
        <f t="shared" si="44"/>
        <v>0.29797599025691585</v>
      </c>
      <c r="L15" s="188">
        <f>L14/L13</f>
        <v>0.29781821142182602</v>
      </c>
      <c r="M15" s="161"/>
      <c r="N15" s="161"/>
      <c r="O15" s="161"/>
      <c r="P15" s="161"/>
      <c r="Q15" s="242">
        <f>Q14/Q13</f>
        <v>0.30199999999999999</v>
      </c>
      <c r="R15" s="161"/>
      <c r="S15" s="161"/>
      <c r="T15" s="161"/>
      <c r="U15" s="161"/>
      <c r="V15" s="188">
        <f>V14/V13</f>
        <v>0.29982309234579546</v>
      </c>
      <c r="W15" s="188"/>
      <c r="X15" s="1289"/>
      <c r="Y15" s="1297">
        <f>Y14/Y13</f>
        <v>0.30199517588500202</v>
      </c>
      <c r="Z15" s="1300">
        <f t="shared" si="20"/>
        <v>0.99998402610927828</v>
      </c>
      <c r="AA15" s="1048">
        <f>AA14/AA13</f>
        <v>0.29982309234579546</v>
      </c>
      <c r="AB15" s="1302"/>
      <c r="AC15" s="1114"/>
      <c r="AD15" s="1303"/>
      <c r="AE15" s="1048">
        <f>AE14/AE13</f>
        <v>0.29954715182330977</v>
      </c>
      <c r="AF15" s="1010">
        <f>AF14/AF13</f>
        <v>0.29954715182330977</v>
      </c>
      <c r="AG15" s="1049">
        <f>AG14/AG13</f>
        <v>0.29954715182330899</v>
      </c>
      <c r="AH15" s="1048">
        <f>SUM(AH14/AH13)</f>
        <v>0.30099890009404989</v>
      </c>
      <c r="AI15" s="1264"/>
      <c r="AJ15" s="1010">
        <f>SUM(AJ14/AJ13)</f>
        <v>0.30099940780177187</v>
      </c>
      <c r="AK15" s="1049">
        <f>SUM(AK14/AK13)</f>
        <v>0.30095480585614259</v>
      </c>
      <c r="AL15" s="1048">
        <f>SUM(AL14/AL13)</f>
        <v>0.29982309234579546</v>
      </c>
      <c r="AM15" s="1264">
        <f t="shared" si="25"/>
        <v>1</v>
      </c>
      <c r="AN15" s="1010">
        <f>AN14/AN13</f>
        <v>0.29982309234579546</v>
      </c>
      <c r="AO15" s="1049">
        <f>AO14/AO13</f>
        <v>0.29982309234579546</v>
      </c>
      <c r="AP15" s="1328">
        <f t="shared" si="26"/>
        <v>-2.1720835392065596E-3</v>
      </c>
      <c r="AQ15" s="1329">
        <f t="shared" si="37"/>
        <v>0</v>
      </c>
      <c r="AR15" s="1329">
        <f t="shared" si="27"/>
        <v>-2.1720835392065596E-3</v>
      </c>
      <c r="AS15" s="1330">
        <f t="shared" si="2"/>
        <v>-2.1720835392065596E-3</v>
      </c>
      <c r="AT15" s="1048">
        <f>AT14/AT13</f>
        <v>0.30031132230050794</v>
      </c>
      <c r="AU15" s="1010">
        <f t="shared" ref="AU15:AV15" si="45">AU14/AU13</f>
        <v>0.3003104521621538</v>
      </c>
      <c r="AV15" s="1049">
        <f t="shared" si="45"/>
        <v>0.30043687500822058</v>
      </c>
      <c r="AW15" s="1048">
        <f>AW14/AW13</f>
        <v>0.30063975462169779</v>
      </c>
      <c r="AX15" s="1010">
        <f t="shared" ref="AX15" si="46">AX14/AX13</f>
        <v>0.30063975462169779</v>
      </c>
      <c r="AY15" s="2644">
        <f t="shared" ref="AY15" si="47">AY14/AY13</f>
        <v>0.30063975462169695</v>
      </c>
      <c r="AZ15" s="1048">
        <f>AZ14/AZ13</f>
        <v>0.30060417623573471</v>
      </c>
      <c r="BA15" s="1010">
        <f t="shared" ref="BA15:BB15" si="48">BA14/BA13</f>
        <v>0.30060417623573471</v>
      </c>
      <c r="BB15" s="2644">
        <f t="shared" si="48"/>
        <v>0.30060417623573987</v>
      </c>
      <c r="BC15" s="1048">
        <f>SUM(BC14/BC13)</f>
        <v>0.30099890009404989</v>
      </c>
      <c r="BD15" s="2139">
        <f t="shared" si="33"/>
        <v>1.0039216717400083</v>
      </c>
      <c r="BE15" s="1010">
        <f>SUM(BE14/BE13)</f>
        <v>0.30099890009404989</v>
      </c>
      <c r="BF15" s="1049">
        <f>SUM(BF14/BF13)</f>
        <v>0.30099890009404989</v>
      </c>
      <c r="BG15" s="1048">
        <f>SUM(BG14/BG13)</f>
        <v>0.30099890009404989</v>
      </c>
      <c r="BH15" s="2139">
        <f t="shared" si="34"/>
        <v>1.0039216717400083</v>
      </c>
      <c r="BI15" s="1010">
        <f>SUM(BI14/BI13)</f>
        <v>0.30099890009404989</v>
      </c>
      <c r="BJ15" s="1049">
        <f>SUM(BJ14/BJ13)</f>
        <v>0.30099890009404989</v>
      </c>
      <c r="BK15" s="1916"/>
      <c r="BL15" s="2872">
        <f>BL14/BL13</f>
        <v>0.30157200704806675</v>
      </c>
      <c r="BM15" s="2873">
        <f t="shared" ref="BM15:BN15" si="49">BM14/BM13</f>
        <v>0.30157200704806675</v>
      </c>
      <c r="BN15" s="2874">
        <f t="shared" si="49"/>
        <v>0.30157200704806592</v>
      </c>
      <c r="BO15" s="2872">
        <f>BO14/BO13</f>
        <v>0.30171235598704244</v>
      </c>
      <c r="BP15" s="2873">
        <f t="shared" ref="BP15:BQ15" si="50">BP14/BP13</f>
        <v>0.30171235598704244</v>
      </c>
      <c r="BQ15" s="2874">
        <f t="shared" si="50"/>
        <v>0.30171235598702328</v>
      </c>
      <c r="BR15" s="2872">
        <f>BR14/BR13</f>
        <v>0.30168786857254792</v>
      </c>
      <c r="BS15" s="2873">
        <f t="shared" ref="BS15:BT15" si="51">BS14/BS13</f>
        <v>0.30168786857254792</v>
      </c>
      <c r="BT15" s="2874">
        <f t="shared" si="51"/>
        <v>0.30168786857250085</v>
      </c>
      <c r="BU15" s="1048">
        <v>0.30099999999999999</v>
      </c>
      <c r="BV15" s="2139">
        <f t="shared" si="35"/>
        <v>1.0000036541859447</v>
      </c>
      <c r="BW15" s="1010">
        <v>0.30099999999999999</v>
      </c>
      <c r="BX15" s="1049">
        <v>0.30099999999999999</v>
      </c>
      <c r="BY15" s="1048">
        <f>SUM(BY14/BY13)</f>
        <v>0.30099999999999999</v>
      </c>
      <c r="BZ15" s="2139">
        <f t="shared" si="38"/>
        <v>1.0000036541859447</v>
      </c>
      <c r="CA15" s="1010">
        <f>SUM(CA14/CA13)</f>
        <v>0.30099999999999999</v>
      </c>
      <c r="CB15" s="1049">
        <f>SUM(CB14/CB13)</f>
        <v>0.30099999999999999</v>
      </c>
      <c r="CC15" s="1916"/>
      <c r="CD15" s="3954">
        <f>SUM(CD14/CD13)</f>
        <v>0.30070232187167673</v>
      </c>
      <c r="CE15" s="3955">
        <f t="shared" ref="CE15:CF15" si="52">CE14/CE13</f>
        <v>0.30070232187167673</v>
      </c>
      <c r="CF15" s="3955">
        <f t="shared" si="52"/>
        <v>0.30070232187172558</v>
      </c>
      <c r="CG15" s="3955">
        <f>SUM(CG14/CG13)</f>
        <v>0.30072026175366173</v>
      </c>
      <c r="CH15" s="3955">
        <f t="shared" ref="CH15:CI15" si="53">CH14/CH13</f>
        <v>0.30072026175366179</v>
      </c>
      <c r="CI15" s="3955">
        <f t="shared" si="53"/>
        <v>0.30072026175352368</v>
      </c>
      <c r="CJ15" s="3955">
        <f>SUM(CJ14/CJ13)</f>
        <v>0.30070000000000002</v>
      </c>
      <c r="CK15" s="3955">
        <f t="shared" ref="CK15:CL15" si="54">CK14/CK13</f>
        <v>0.30070000000000008</v>
      </c>
      <c r="CL15" s="3956">
        <f t="shared" si="54"/>
        <v>0.3006999999999328</v>
      </c>
      <c r="CM15" s="4094">
        <f>SUM(CM14/CM13)</f>
        <v>0.30099999999999999</v>
      </c>
      <c r="CN15" s="4359">
        <f t="shared" si="28"/>
        <v>1</v>
      </c>
      <c r="CO15" s="4042">
        <v>0.30099999999999999</v>
      </c>
      <c r="CP15" s="3749">
        <v>0.30099999999999999</v>
      </c>
      <c r="CQ15" s="4094">
        <f>SUM(CQ14/CQ13)</f>
        <v>0.30099999999999999</v>
      </c>
      <c r="CR15" s="4359">
        <f t="shared" si="36"/>
        <v>1</v>
      </c>
      <c r="CS15" s="4042">
        <v>0.30099999999999999</v>
      </c>
      <c r="CT15" s="3749">
        <v>0.30099999999999999</v>
      </c>
    </row>
    <row r="16" spans="1:98" ht="21" customHeight="1">
      <c r="A16" s="1171" t="s">
        <v>6</v>
      </c>
      <c r="B16" s="1273">
        <v>1425.4</v>
      </c>
      <c r="C16" s="17">
        <v>1648.4</v>
      </c>
      <c r="D16" s="30">
        <f t="shared" si="14"/>
        <v>115.64473130349376</v>
      </c>
      <c r="E16" s="17">
        <v>1717.5</v>
      </c>
      <c r="F16" s="30">
        <f t="shared" si="15"/>
        <v>104.1919437029847</v>
      </c>
      <c r="G16" s="17">
        <v>1471.6</v>
      </c>
      <c r="H16" s="30">
        <f t="shared" si="16"/>
        <v>85.682678311499274</v>
      </c>
      <c r="I16" s="141">
        <v>1679.5</v>
      </c>
      <c r="J16" s="141">
        <v>876.6</v>
      </c>
      <c r="K16" s="141">
        <f>'цех вода'!K47</f>
        <v>1370.1342035638834</v>
      </c>
      <c r="L16" s="141">
        <v>1480.3</v>
      </c>
      <c r="M16" s="161">
        <f t="shared" si="17"/>
        <v>88.139327180708534</v>
      </c>
      <c r="N16" s="161">
        <f t="shared" si="18"/>
        <v>100.59119325903778</v>
      </c>
      <c r="O16" s="141">
        <v>1662.3</v>
      </c>
      <c r="P16" s="161">
        <f t="shared" si="19"/>
        <v>98.975885680261982</v>
      </c>
      <c r="Q16" s="235">
        <f>'цех вода'!P47</f>
        <v>1328.848310908827</v>
      </c>
      <c r="R16" s="161">
        <f t="shared" si="29"/>
        <v>79.121661858221316</v>
      </c>
      <c r="S16" s="161">
        <f t="shared" si="30"/>
        <v>89.768851645533132</v>
      </c>
      <c r="T16" s="141" t="e">
        <f>Q16/Q56*T56</f>
        <v>#REF!</v>
      </c>
      <c r="U16" s="141" t="e">
        <f t="shared" si="31"/>
        <v>#REF!</v>
      </c>
      <c r="V16" s="159">
        <v>832.1</v>
      </c>
      <c r="W16" s="159"/>
      <c r="X16" s="1290"/>
      <c r="Y16" s="1296">
        <v>1803.5</v>
      </c>
      <c r="Z16" s="1300">
        <f t="shared" si="20"/>
        <v>1.357190271601842</v>
      </c>
      <c r="AA16" s="1050">
        <f>'цех вода'!W47</f>
        <v>1410.9363841017698</v>
      </c>
      <c r="AB16" s="1302">
        <f t="shared" si="1"/>
        <v>1.0617738477138907</v>
      </c>
      <c r="AC16" s="1009">
        <f>AA16-AD16</f>
        <v>1338.8363841017699</v>
      </c>
      <c r="AD16" s="1047">
        <v>72.099999999999994</v>
      </c>
      <c r="AE16" s="1050">
        <v>1490.4</v>
      </c>
      <c r="AF16" s="1009">
        <f>AE16*AF56/(AF56+AG56)</f>
        <v>1472.0236890319386</v>
      </c>
      <c r="AG16" s="1047">
        <f>SUM(AE16-AF16)</f>
        <v>18.376310968061489</v>
      </c>
      <c r="AH16" s="1267">
        <f t="shared" si="22"/>
        <v>1505.7700000000002</v>
      </c>
      <c r="AI16" s="1264">
        <f t="shared" si="23"/>
        <v>1.0672132471504754</v>
      </c>
      <c r="AJ16" s="1009">
        <v>1488.63</v>
      </c>
      <c r="AK16" s="1047">
        <v>17.14</v>
      </c>
      <c r="AL16" s="1267">
        <f t="shared" si="24"/>
        <v>1484.5350755710156</v>
      </c>
      <c r="AM16" s="1264">
        <f t="shared" si="25"/>
        <v>1.0521630119532994</v>
      </c>
      <c r="AN16" s="1009">
        <f>'цех вода'!AB47*AN56/(AN56+AO56)</f>
        <v>1467.6360520205044</v>
      </c>
      <c r="AO16" s="1047">
        <f>-AN16+'цех вода'!AB47</f>
        <v>16.899023550511174</v>
      </c>
      <c r="AP16" s="1328">
        <f t="shared" si="26"/>
        <v>-392.56361589823018</v>
      </c>
      <c r="AQ16" s="1329">
        <f t="shared" si="37"/>
        <v>-372.50329494741624</v>
      </c>
      <c r="AR16" s="1329">
        <f t="shared" si="27"/>
        <v>-20.060320950813946</v>
      </c>
      <c r="AS16" s="1330">
        <f t="shared" si="2"/>
        <v>-392.56361589823018</v>
      </c>
      <c r="AT16" s="1050">
        <v>1047.32</v>
      </c>
      <c r="AU16" s="1009">
        <f>AT16*AU56/(AU56+AV56)</f>
        <v>1040.1115457578071</v>
      </c>
      <c r="AV16" s="1047">
        <f>SUM(AT16-AU16)</f>
        <v>7.208454242192829</v>
      </c>
      <c r="AW16" s="1050">
        <v>1465.34</v>
      </c>
      <c r="AX16" s="1009">
        <f>AW16*AX56/(AX56+AY56)</f>
        <v>1456.3265031035883</v>
      </c>
      <c r="AY16" s="2643">
        <f>SUM(AW16-AX16)</f>
        <v>9.0134968964116524</v>
      </c>
      <c r="AZ16" s="1050">
        <v>1903.85</v>
      </c>
      <c r="BA16" s="1009">
        <f>AZ16*BA56/(BA56+BB56)</f>
        <v>1894.6742610609401</v>
      </c>
      <c r="BB16" s="2643">
        <f>SUM(AZ16-BA16)</f>
        <v>9.1757389390597837</v>
      </c>
      <c r="BC16" s="1050">
        <v>1850.81</v>
      </c>
      <c r="BD16" s="2139">
        <f t="shared" ref="BD16" si="55">SUM(BC16/AL16)</f>
        <v>1.2467270261621131</v>
      </c>
      <c r="BE16" s="1009">
        <f>BC16*BE56/(BE56+BF56)</f>
        <v>1840.9251986081013</v>
      </c>
      <c r="BF16" s="1047">
        <f>SUM(BC16-BE16)</f>
        <v>9.8848013918986908</v>
      </c>
      <c r="BG16" s="1050">
        <f>SUM('цех вода'!AG47)</f>
        <v>1611.1723912953566</v>
      </c>
      <c r="BH16" s="2139">
        <f t="shared" ref="BH16" si="56">SUM(BG16/AL16)</f>
        <v>1.0853043608118393</v>
      </c>
      <c r="BI16" s="1009">
        <f>BG16*BI56/(BI56+BJ56)</f>
        <v>1602.567445841169</v>
      </c>
      <c r="BJ16" s="1047">
        <f>SUM(BG16-BI16)</f>
        <v>8.6049454541876003</v>
      </c>
      <c r="BK16" s="1914" t="s">
        <v>980</v>
      </c>
      <c r="BL16" s="2869">
        <f>SUM('цех вода'!AM47)</f>
        <v>877.96</v>
      </c>
      <c r="BM16" s="2870">
        <f>BL16*BM56/(BM56+BN56)</f>
        <v>877.2518745061891</v>
      </c>
      <c r="BN16" s="2871">
        <f>SUM(BL16-BM16)</f>
        <v>0.70812549381093959</v>
      </c>
      <c r="BO16" s="2869">
        <f>SUM('цех вода'!AN47)</f>
        <v>1336.29</v>
      </c>
      <c r="BP16" s="2870">
        <f>BO16*BP56/(BP56+BQ56)</f>
        <v>1335.3144707296165</v>
      </c>
      <c r="BQ16" s="2871">
        <f>SUM(BO16-BP16)</f>
        <v>0.9755292703835039</v>
      </c>
      <c r="BR16" s="2869">
        <f>SUM('цех вода'!AO47)</f>
        <v>1817.18</v>
      </c>
      <c r="BS16" s="2870">
        <f>BR16*BS56/(BS56+BT56)</f>
        <v>1815.9579350695203</v>
      </c>
      <c r="BT16" s="2871">
        <f>SUM(BR16-BS16)</f>
        <v>1.2220649304797462</v>
      </c>
      <c r="BU16" s="1050">
        <f>SUM('цех вода'!AP47)</f>
        <v>2235.9861314593818</v>
      </c>
      <c r="BV16" s="2139">
        <f t="shared" si="35"/>
        <v>1.3878006745520788</v>
      </c>
      <c r="BW16" s="1009">
        <f>BU16*BW56/(BW56+BX56)</f>
        <v>2225.3638695522113</v>
      </c>
      <c r="BX16" s="1047">
        <f>SUM(BU16-BW16)</f>
        <v>10.622261907170468</v>
      </c>
      <c r="BY16" s="1050">
        <f>SUM('цех вода'!AQ47)</f>
        <v>1847.8407571793698</v>
      </c>
      <c r="BZ16" s="2139">
        <f t="shared" si="38"/>
        <v>1.1468920192293859</v>
      </c>
      <c r="CA16" s="1009">
        <f>BY16*CA56/(CA56+CB56)</f>
        <v>1837.922991347777</v>
      </c>
      <c r="CB16" s="1047">
        <f>SUM(BY16-CA16)</f>
        <v>9.9177658315927602</v>
      </c>
      <c r="CC16" s="1914"/>
      <c r="CD16" s="3951">
        <f>SUM('цех вода'!AV47)</f>
        <v>754.51</v>
      </c>
      <c r="CE16" s="3952">
        <f>CD16*CE56/(CE56+CF56)</f>
        <v>754.07004297684864</v>
      </c>
      <c r="CF16" s="3952">
        <f>SUM(CD16-CE16)</f>
        <v>0.43995702315135077</v>
      </c>
      <c r="CG16" s="3952">
        <f>SUM('цех вода'!AW47)</f>
        <v>1044.05</v>
      </c>
      <c r="CH16" s="3952">
        <f>CG16*CH56/(CH56+CI56)</f>
        <v>1043.5141706481365</v>
      </c>
      <c r="CI16" s="3952">
        <f>SUM(CG16-CH16)</f>
        <v>0.53582935186341274</v>
      </c>
      <c r="CJ16" s="3952">
        <f>SUM('цех вода'!AX47)</f>
        <v>1407.7146416666662</v>
      </c>
      <c r="CK16" s="3952">
        <f>CJ16*CK56/(CK56+CL56)</f>
        <v>1406.991604314449</v>
      </c>
      <c r="CL16" s="3606">
        <f>SUM(CJ16-CK16)</f>
        <v>0.72303735221726129</v>
      </c>
      <c r="CM16" s="4040">
        <f>SUM('цех вода'!AY47)</f>
        <v>1944.5352853496345</v>
      </c>
      <c r="CN16" s="4359">
        <f t="shared" si="28"/>
        <v>1.0523283880359169</v>
      </c>
      <c r="CO16" s="4041">
        <f>CM16*CO56/(CO56+CP56)</f>
        <v>1934.080794568185</v>
      </c>
      <c r="CP16" s="3747">
        <f>SUM(CM16-CO16)</f>
        <v>10.454490781449522</v>
      </c>
      <c r="CQ16" s="4040">
        <f>SUM('цех вода'!AZ47)</f>
        <v>1459.7075743208986</v>
      </c>
      <c r="CR16" s="4359">
        <f t="shared" si="36"/>
        <v>0.78995312158232955</v>
      </c>
      <c r="CS16" s="4041">
        <f>SUM(CQ16-CT16)</f>
        <v>1449.1896572049802</v>
      </c>
      <c r="CT16" s="3747">
        <f>SUM(CB16*(1-0.01)*(1+0.058)*(1+0)*1.0125)</f>
        <v>10.517917115918475</v>
      </c>
    </row>
    <row r="17" spans="1:98" ht="21" customHeight="1">
      <c r="A17" s="1286" t="s">
        <v>7</v>
      </c>
      <c r="B17" s="1275">
        <f>SUM(B18:B26)</f>
        <v>32241.4</v>
      </c>
      <c r="C17" s="18">
        <f>SUM(C18:C26)</f>
        <v>38466.400000000001</v>
      </c>
      <c r="D17" s="30">
        <f t="shared" si="14"/>
        <v>119.30747424119299</v>
      </c>
      <c r="E17" s="18">
        <f>SUM(E18:E26)-E25</f>
        <v>40420.1</v>
      </c>
      <c r="F17" s="18">
        <f t="shared" ref="F17:AO17" si="57">SUM(F18:F26)-F25</f>
        <v>846.38801117543824</v>
      </c>
      <c r="G17" s="18">
        <f t="shared" si="57"/>
        <v>43502.200000000004</v>
      </c>
      <c r="H17" s="30">
        <f t="shared" si="16"/>
        <v>107.62516668687114</v>
      </c>
      <c r="I17" s="18">
        <f t="shared" si="57"/>
        <v>42972.08265199999</v>
      </c>
      <c r="J17" s="18">
        <f t="shared" si="57"/>
        <v>22818.600000000002</v>
      </c>
      <c r="K17" s="18">
        <f t="shared" si="57"/>
        <v>33887.847162203478</v>
      </c>
      <c r="L17" s="18">
        <f t="shared" si="57"/>
        <v>49679.3</v>
      </c>
      <c r="M17" s="18">
        <f t="shared" si="57"/>
        <v>811.78554777666386</v>
      </c>
      <c r="N17" s="18">
        <f t="shared" si="57"/>
        <v>826.1004360911046</v>
      </c>
      <c r="O17" s="18">
        <f t="shared" si="57"/>
        <v>55955.439999999995</v>
      </c>
      <c r="P17" s="18">
        <f t="shared" si="57"/>
        <v>885.33762958856801</v>
      </c>
      <c r="Q17" s="385" t="e">
        <f t="shared" si="57"/>
        <v>#REF!</v>
      </c>
      <c r="R17" s="18" t="e">
        <f t="shared" si="57"/>
        <v>#REF!</v>
      </c>
      <c r="S17" s="18" t="e">
        <f t="shared" si="57"/>
        <v>#REF!</v>
      </c>
      <c r="T17" s="134" t="e">
        <f t="shared" si="57"/>
        <v>#REF!</v>
      </c>
      <c r="U17" s="134">
        <f t="shared" si="57"/>
        <v>0</v>
      </c>
      <c r="V17" s="134">
        <f t="shared" si="57"/>
        <v>37348.199999999997</v>
      </c>
      <c r="W17" s="134">
        <f t="shared" si="57"/>
        <v>26965.47</v>
      </c>
      <c r="X17" s="1291">
        <f t="shared" si="57"/>
        <v>0</v>
      </c>
      <c r="Y17" s="1298">
        <f t="shared" si="57"/>
        <v>58405.5</v>
      </c>
      <c r="Z17" s="1301" t="e">
        <f t="shared" si="20"/>
        <v>#REF!</v>
      </c>
      <c r="AA17" s="1270">
        <f t="shared" si="57"/>
        <v>45651.484790404604</v>
      </c>
      <c r="AB17" s="1304" t="e">
        <f t="shared" si="1"/>
        <v>#REF!</v>
      </c>
      <c r="AC17" s="1268">
        <f t="shared" si="57"/>
        <v>45651.484790404604</v>
      </c>
      <c r="AD17" s="1269">
        <f t="shared" si="57"/>
        <v>0</v>
      </c>
      <c r="AE17" s="1270">
        <f t="shared" ref="AE17:AG17" si="58">SUM(AE18:AE26)-AE25</f>
        <v>46595.739391100004</v>
      </c>
      <c r="AF17" s="1268">
        <f t="shared" si="58"/>
        <v>46595.739391100004</v>
      </c>
      <c r="AG17" s="1269">
        <f t="shared" si="58"/>
        <v>0</v>
      </c>
      <c r="AH17" s="1263">
        <f t="shared" si="22"/>
        <v>48828.71</v>
      </c>
      <c r="AI17" s="1264">
        <f t="shared" si="23"/>
        <v>1.069597412311619</v>
      </c>
      <c r="AJ17" s="1268">
        <f t="shared" si="57"/>
        <v>48828.71</v>
      </c>
      <c r="AK17" s="1269">
        <f t="shared" si="57"/>
        <v>0</v>
      </c>
      <c r="AL17" s="1263">
        <f t="shared" si="24"/>
        <v>46235.338744382956</v>
      </c>
      <c r="AM17" s="1264">
        <f t="shared" si="25"/>
        <v>1.012789374905525</v>
      </c>
      <c r="AN17" s="1268">
        <f t="shared" si="57"/>
        <v>46235.338744382956</v>
      </c>
      <c r="AO17" s="1269">
        <f t="shared" si="57"/>
        <v>0</v>
      </c>
      <c r="AP17" s="1328">
        <f t="shared" si="26"/>
        <v>-12754.015209595396</v>
      </c>
      <c r="AQ17" s="1329">
        <f t="shared" si="37"/>
        <v>-12754.015209595396</v>
      </c>
      <c r="AR17" s="1329">
        <f t="shared" si="27"/>
        <v>0</v>
      </c>
      <c r="AS17" s="1330">
        <f t="shared" si="2"/>
        <v>-12754.015209595396</v>
      </c>
      <c r="AT17" s="1270">
        <f t="shared" ref="AT17:BG17" si="59">SUM(AT18:AT26)-AT25</f>
        <v>25684.637081399997</v>
      </c>
      <c r="AU17" s="1268">
        <f t="shared" si="59"/>
        <v>25684.637081399997</v>
      </c>
      <c r="AV17" s="1269">
        <f t="shared" si="59"/>
        <v>0</v>
      </c>
      <c r="AW17" s="1270">
        <f t="shared" si="59"/>
        <v>37636.14</v>
      </c>
      <c r="AX17" s="1268">
        <f t="shared" si="59"/>
        <v>37636.14</v>
      </c>
      <c r="AY17" s="2645">
        <f t="shared" si="59"/>
        <v>0</v>
      </c>
      <c r="AZ17" s="1270">
        <f t="shared" ref="AZ17:BB17" si="60">SUM(AZ18:AZ26)-AZ25</f>
        <v>50837.42</v>
      </c>
      <c r="BA17" s="1268">
        <f t="shared" si="60"/>
        <v>50837.42</v>
      </c>
      <c r="BB17" s="2645">
        <f t="shared" si="60"/>
        <v>0</v>
      </c>
      <c r="BC17" s="1270">
        <f t="shared" si="59"/>
        <v>53392.06897</v>
      </c>
      <c r="BD17" s="2139">
        <f t="shared" si="33"/>
        <v>1.1547891811755462</v>
      </c>
      <c r="BE17" s="1268">
        <f t="shared" si="59"/>
        <v>53392.06897</v>
      </c>
      <c r="BF17" s="1269">
        <f t="shared" si="59"/>
        <v>0</v>
      </c>
      <c r="BG17" s="1270">
        <f t="shared" si="59"/>
        <v>53576.309872976482</v>
      </c>
      <c r="BH17" s="2139">
        <f t="shared" si="34"/>
        <v>1.1587740314649553</v>
      </c>
      <c r="BI17" s="1268">
        <f t="shared" ref="BI17:BJ17" si="61">SUM(BI18:BI26)-BI25</f>
        <v>53576.309872976482</v>
      </c>
      <c r="BJ17" s="1269">
        <f t="shared" si="61"/>
        <v>0</v>
      </c>
      <c r="BK17" s="1914"/>
      <c r="BL17" s="2875">
        <f t="shared" ref="BL17:BU17" si="62">SUM(BL18:BL26)-BL25</f>
        <v>27922.149424089999</v>
      </c>
      <c r="BM17" s="2876">
        <f t="shared" si="62"/>
        <v>27922.149424089999</v>
      </c>
      <c r="BN17" s="2877">
        <f t="shared" si="62"/>
        <v>0</v>
      </c>
      <c r="BO17" s="2875">
        <f t="shared" ref="BO17:BQ17" si="63">SUM(BO18:BO26)-BO25</f>
        <v>41817.164896189999</v>
      </c>
      <c r="BP17" s="2876">
        <f t="shared" si="63"/>
        <v>41817.164896189999</v>
      </c>
      <c r="BQ17" s="2877">
        <f t="shared" si="63"/>
        <v>0</v>
      </c>
      <c r="BR17" s="2875">
        <f t="shared" ref="BR17:BT17" si="64">SUM(BR18:BR26)-BR25</f>
        <v>56590.159999999996</v>
      </c>
      <c r="BS17" s="2876">
        <f t="shared" si="64"/>
        <v>56590.159999999996</v>
      </c>
      <c r="BT17" s="2877">
        <f t="shared" si="64"/>
        <v>0</v>
      </c>
      <c r="BU17" s="1270">
        <f t="shared" si="62"/>
        <v>58956.692607496123</v>
      </c>
      <c r="BV17" s="2139">
        <f t="shared" si="35"/>
        <v>1.1004246605874113</v>
      </c>
      <c r="BW17" s="1268">
        <f t="shared" ref="BW17:BY17" si="65">SUM(BW18:BW26)-BW25</f>
        <v>58956.692607496123</v>
      </c>
      <c r="BX17" s="1269">
        <f t="shared" si="65"/>
        <v>0</v>
      </c>
      <c r="BY17" s="1270">
        <f t="shared" si="65"/>
        <v>55751.630069718471</v>
      </c>
      <c r="BZ17" s="2139">
        <f t="shared" si="38"/>
        <v>1.040602277422604</v>
      </c>
      <c r="CA17" s="1268">
        <f t="shared" ref="CA17:CB17" si="66">SUM(CA18:CA26)-CA25</f>
        <v>55751.630069718471</v>
      </c>
      <c r="CB17" s="1269">
        <f t="shared" si="66"/>
        <v>0</v>
      </c>
      <c r="CC17" s="1914"/>
      <c r="CD17" s="3946">
        <f t="shared" ref="CD17:CF17" si="67">SUM(CD18:CD26)-CD25</f>
        <v>34857.308000000005</v>
      </c>
      <c r="CE17" s="3947">
        <f t="shared" si="67"/>
        <v>34857.308000000005</v>
      </c>
      <c r="CF17" s="3947">
        <f t="shared" si="67"/>
        <v>0</v>
      </c>
      <c r="CG17" s="3947">
        <f t="shared" ref="CG17:CI17" si="68">SUM(CG18:CG26)-CG25</f>
        <v>53331.329999999994</v>
      </c>
      <c r="CH17" s="3947">
        <f t="shared" si="68"/>
        <v>53331.329999999994</v>
      </c>
      <c r="CI17" s="3947">
        <f t="shared" si="68"/>
        <v>0</v>
      </c>
      <c r="CJ17" s="3947">
        <f t="shared" ref="CJ17:CL17" si="69">SUM(CJ18:CJ26)-CJ25</f>
        <v>70766.174954303264</v>
      </c>
      <c r="CK17" s="3947">
        <f t="shared" si="69"/>
        <v>70766.174954303264</v>
      </c>
      <c r="CL17" s="3605">
        <f t="shared" si="69"/>
        <v>0</v>
      </c>
      <c r="CM17" s="4095">
        <f t="shared" ref="CM17" si="70">SUM(CM18:CM26)-CM25</f>
        <v>58200.102104663696</v>
      </c>
      <c r="CN17" s="4359">
        <f t="shared" si="28"/>
        <v>1.0439174967957594</v>
      </c>
      <c r="CO17" s="4043">
        <f t="shared" ref="CO17:CQ17" si="71">SUM(CO18:CO26)-CO25</f>
        <v>58200.102104663696</v>
      </c>
      <c r="CP17" s="4044">
        <f t="shared" si="71"/>
        <v>0</v>
      </c>
      <c r="CQ17" s="4095">
        <f t="shared" si="71"/>
        <v>59040.706804894122</v>
      </c>
      <c r="CR17" s="4359">
        <f t="shared" si="36"/>
        <v>1.0589951671558768</v>
      </c>
      <c r="CS17" s="4043">
        <f t="shared" ref="CS17:CT17" si="72">SUM(CS18:CS26)-CS25</f>
        <v>59040.706804894122</v>
      </c>
      <c r="CT17" s="4044">
        <f t="shared" si="72"/>
        <v>0</v>
      </c>
    </row>
    <row r="18" spans="1:98" ht="21" customHeight="1">
      <c r="A18" s="1171" t="s">
        <v>1</v>
      </c>
      <c r="B18" s="1273">
        <v>3989.5</v>
      </c>
      <c r="C18" s="17">
        <v>6013.8</v>
      </c>
      <c r="D18" s="30">
        <f t="shared" si="14"/>
        <v>150.74069432259682</v>
      </c>
      <c r="E18" s="17">
        <v>6816.9</v>
      </c>
      <c r="F18" s="30">
        <f t="shared" si="15"/>
        <v>113.35428514416841</v>
      </c>
      <c r="G18" s="17">
        <v>6550.5</v>
      </c>
      <c r="H18" s="30">
        <f t="shared" si="16"/>
        <v>96.092065308277967</v>
      </c>
      <c r="I18" s="141">
        <v>6178.2</v>
      </c>
      <c r="J18" s="141">
        <v>3776.7</v>
      </c>
      <c r="K18" s="141">
        <v>4790</v>
      </c>
      <c r="L18" s="141">
        <v>7070.5</v>
      </c>
      <c r="M18" s="161">
        <f t="shared" si="17"/>
        <v>114.44271794373766</v>
      </c>
      <c r="N18" s="161">
        <f t="shared" si="18"/>
        <v>107.93832531867797</v>
      </c>
      <c r="O18" s="141">
        <v>7686</v>
      </c>
      <c r="P18" s="161">
        <f t="shared" si="19"/>
        <v>124.40516655336506</v>
      </c>
      <c r="Q18" s="235" t="e">
        <f>электр!AC11</f>
        <v>#REF!</v>
      </c>
      <c r="R18" s="161" t="e">
        <f t="shared" si="29"/>
        <v>#REF!</v>
      </c>
      <c r="S18" s="161" t="e">
        <f t="shared" si="30"/>
        <v>#REF!</v>
      </c>
      <c r="T18" s="141" t="e">
        <f>Q18</f>
        <v>#REF!</v>
      </c>
      <c r="U18" s="141"/>
      <c r="V18" s="141">
        <v>5782</v>
      </c>
      <c r="W18" s="141">
        <v>1930.37</v>
      </c>
      <c r="X18" s="1288">
        <v>0</v>
      </c>
      <c r="Y18" s="1296">
        <v>7979.9</v>
      </c>
      <c r="Z18" s="1300" t="e">
        <f t="shared" si="20"/>
        <v>#REF!</v>
      </c>
      <c r="AA18" s="1050">
        <f>электр!Q50</f>
        <v>6117.2992084997777</v>
      </c>
      <c r="AB18" s="1302" t="e">
        <f t="shared" si="1"/>
        <v>#REF!</v>
      </c>
      <c r="AC18" s="1009">
        <f>AA18</f>
        <v>6117.2992084997777</v>
      </c>
      <c r="AD18" s="1047">
        <v>0</v>
      </c>
      <c r="AE18" s="1050">
        <f>SUM(электр!AG50)</f>
        <v>6145.2</v>
      </c>
      <c r="AF18" s="1009">
        <f>SUM(AE18)</f>
        <v>6145.2</v>
      </c>
      <c r="AG18" s="1047">
        <v>0</v>
      </c>
      <c r="AH18" s="1267">
        <f t="shared" si="22"/>
        <v>5917.63</v>
      </c>
      <c r="AI18" s="1264">
        <f t="shared" si="23"/>
        <v>0.96735990807473593</v>
      </c>
      <c r="AJ18" s="1009">
        <v>5917.63</v>
      </c>
      <c r="AK18" s="1047">
        <v>0</v>
      </c>
      <c r="AL18" s="1267">
        <f t="shared" si="24"/>
        <v>5168.2931157992934</v>
      </c>
      <c r="AM18" s="1264">
        <f t="shared" si="25"/>
        <v>0.84486518308898917</v>
      </c>
      <c r="AN18" s="1009">
        <f>электр!AN50</f>
        <v>5168.2931157992934</v>
      </c>
      <c r="AO18" s="1047">
        <v>0</v>
      </c>
      <c r="AP18" s="1328">
        <f t="shared" si="26"/>
        <v>-1862.6007915002219</v>
      </c>
      <c r="AQ18" s="1329">
        <f t="shared" si="37"/>
        <v>-1862.6007915002219</v>
      </c>
      <c r="AR18" s="1329">
        <f t="shared" si="27"/>
        <v>0</v>
      </c>
      <c r="AS18" s="1330">
        <f t="shared" si="2"/>
        <v>-1862.6007915002219</v>
      </c>
      <c r="AT18" s="1050">
        <v>2722.6</v>
      </c>
      <c r="AU18" s="1009">
        <f>SUM(AT18)</f>
        <v>2722.6</v>
      </c>
      <c r="AV18" s="1047">
        <v>0</v>
      </c>
      <c r="AW18" s="1050">
        <v>4221.8999999999996</v>
      </c>
      <c r="AX18" s="1009">
        <f>SUM(AW18)</f>
        <v>4221.8999999999996</v>
      </c>
      <c r="AY18" s="2643">
        <v>0</v>
      </c>
      <c r="AZ18" s="1050">
        <v>6087.79</v>
      </c>
      <c r="BA18" s="1009">
        <f t="shared" ref="BA18:BA24" si="73">SUM(AZ18)</f>
        <v>6087.79</v>
      </c>
      <c r="BB18" s="2643">
        <v>0</v>
      </c>
      <c r="BC18" s="1050">
        <v>5514.45</v>
      </c>
      <c r="BD18" s="2139">
        <f t="shared" si="33"/>
        <v>1.0669770224801138</v>
      </c>
      <c r="BE18" s="1009">
        <f>SUM(BC18)</f>
        <v>5514.45</v>
      </c>
      <c r="BF18" s="1047">
        <v>0</v>
      </c>
      <c r="BG18" s="1050">
        <f>SUM(электр!BD50)</f>
        <v>5376.3079941809738</v>
      </c>
      <c r="BH18" s="2139">
        <f t="shared" si="34"/>
        <v>1.0402482741827832</v>
      </c>
      <c r="BI18" s="1009">
        <f>SUM(BG18)</f>
        <v>5376.3079941809738</v>
      </c>
      <c r="BJ18" s="1047">
        <v>0</v>
      </c>
      <c r="BK18" s="1914" t="str">
        <f>BK9</f>
        <v>Приложение</v>
      </c>
      <c r="BL18" s="2869">
        <f>SUM(BM18:BN18)</f>
        <v>4528.37</v>
      </c>
      <c r="BM18" s="2870">
        <f>SUM(электр!BM50)</f>
        <v>4528.37</v>
      </c>
      <c r="BN18" s="2871">
        <v>0</v>
      </c>
      <c r="BO18" s="2869">
        <f>SUM(BP18:BQ18)</f>
        <v>6265.7</v>
      </c>
      <c r="BP18" s="2870">
        <f>SUM(электр!BP50)</f>
        <v>6265.7</v>
      </c>
      <c r="BQ18" s="2871">
        <v>0</v>
      </c>
      <c r="BR18" s="2869">
        <f>SUM(BS18:BT18)</f>
        <v>8522.8700000000008</v>
      </c>
      <c r="BS18" s="2870">
        <f>SUM(электр!BS50)</f>
        <v>8522.8700000000008</v>
      </c>
      <c r="BT18" s="2871">
        <v>0</v>
      </c>
      <c r="BU18" s="1050">
        <f>SUM('электр 2017-2018'!CH50)</f>
        <v>5638.1563160543146</v>
      </c>
      <c r="BV18" s="2139">
        <f t="shared" si="35"/>
        <v>1.0487041148231744</v>
      </c>
      <c r="BW18" s="1009">
        <f>SUM(BU18)</f>
        <v>5638.1563160543146</v>
      </c>
      <c r="BX18" s="1047">
        <v>0</v>
      </c>
      <c r="BY18" s="1050">
        <f>SUM(электр!BZ50)</f>
        <v>4900.22</v>
      </c>
      <c r="BZ18" s="2139">
        <f t="shared" si="38"/>
        <v>0.91144703861901788</v>
      </c>
      <c r="CA18" s="1009">
        <f>SUM(BY18)</f>
        <v>4900.22</v>
      </c>
      <c r="CB18" s="1047">
        <v>0</v>
      </c>
      <c r="CC18" s="1914"/>
      <c r="CD18" s="3951">
        <v>4289.38</v>
      </c>
      <c r="CE18" s="3952">
        <f>SUM(CD18)</f>
        <v>4289.38</v>
      </c>
      <c r="CF18" s="3952">
        <v>0</v>
      </c>
      <c r="CG18" s="3952">
        <v>6576.98</v>
      </c>
      <c r="CH18" s="3952">
        <f>SUM(CG18)</f>
        <v>6576.98</v>
      </c>
      <c r="CI18" s="3952">
        <v>0</v>
      </c>
      <c r="CJ18" s="3952">
        <f>SUM(CG18*1.35300596377)</f>
        <v>8898.6931635960136</v>
      </c>
      <c r="CK18" s="3952">
        <f>SUM(CJ18)</f>
        <v>8898.6931635960136</v>
      </c>
      <c r="CL18" s="3606">
        <v>0</v>
      </c>
      <c r="CM18" s="4040">
        <f>SUM(электр!CO50)</f>
        <v>5175.4190301000008</v>
      </c>
      <c r="CN18" s="4359">
        <f t="shared" si="28"/>
        <v>1.0561605458734507</v>
      </c>
      <c r="CO18" s="4041">
        <f>SUM(CM18)</f>
        <v>5175.4190301000008</v>
      </c>
      <c r="CP18" s="3747">
        <v>0</v>
      </c>
      <c r="CQ18" s="4040">
        <f>SUM(электр!CS50)</f>
        <v>5035.2624066028493</v>
      </c>
      <c r="CR18" s="4359">
        <f t="shared" si="36"/>
        <v>1.0275584374993059</v>
      </c>
      <c r="CS18" s="4041">
        <f>SUM(CQ18)</f>
        <v>5035.2624066028493</v>
      </c>
      <c r="CT18" s="3747">
        <v>0</v>
      </c>
    </row>
    <row r="19" spans="1:98" ht="21" customHeight="1">
      <c r="A19" s="1171" t="s">
        <v>8</v>
      </c>
      <c r="B19" s="1273">
        <v>5737.6</v>
      </c>
      <c r="C19" s="17">
        <v>5889.5</v>
      </c>
      <c r="D19" s="30">
        <f t="shared" si="14"/>
        <v>102.64744841048521</v>
      </c>
      <c r="E19" s="17">
        <v>4309.1000000000004</v>
      </c>
      <c r="F19" s="30">
        <f t="shared" si="15"/>
        <v>73.165803548688345</v>
      </c>
      <c r="G19" s="17">
        <v>3796.7</v>
      </c>
      <c r="H19" s="30">
        <f t="shared" si="16"/>
        <v>88.108885846232383</v>
      </c>
      <c r="I19" s="141">
        <f>6071.7*0.95756</f>
        <v>5814.0170519999992</v>
      </c>
      <c r="J19" s="141">
        <v>1709.7</v>
      </c>
      <c r="K19" s="141">
        <v>5672.4</v>
      </c>
      <c r="L19" s="141">
        <v>8063.5</v>
      </c>
      <c r="M19" s="161">
        <f t="shared" si="17"/>
        <v>138.69068370252177</v>
      </c>
      <c r="N19" s="161">
        <f t="shared" si="18"/>
        <v>212.38180525192934</v>
      </c>
      <c r="O19" s="141">
        <f>ХР!AB15</f>
        <v>6597.94</v>
      </c>
      <c r="P19" s="161">
        <f t="shared" si="19"/>
        <v>113.48332729313778</v>
      </c>
      <c r="Q19" s="235" t="e">
        <f>ХР!AK15</f>
        <v>#REF!</v>
      </c>
      <c r="R19" s="161" t="e">
        <f t="shared" si="29"/>
        <v>#REF!</v>
      </c>
      <c r="S19" s="161" t="e">
        <f t="shared" si="30"/>
        <v>#REF!</v>
      </c>
      <c r="T19" s="141" t="e">
        <f t="shared" ref="T19:T26" si="74">Q19</f>
        <v>#REF!</v>
      </c>
      <c r="U19" s="141"/>
      <c r="V19" s="141">
        <v>3670.1</v>
      </c>
      <c r="W19" s="141">
        <v>4408.3999999999996</v>
      </c>
      <c r="X19" s="1288">
        <v>0</v>
      </c>
      <c r="Y19" s="1296">
        <v>6984.1</v>
      </c>
      <c r="Z19" s="1300" t="e">
        <f t="shared" si="20"/>
        <v>#REF!</v>
      </c>
      <c r="AA19" s="1050">
        <f>ХР!O39</f>
        <v>4253.0293007044547</v>
      </c>
      <c r="AB19" s="1302" t="e">
        <f t="shared" si="1"/>
        <v>#REF!</v>
      </c>
      <c r="AC19" s="1009">
        <f t="shared" ref="AC19:AC26" si="75">AA19</f>
        <v>4253.0293007044547</v>
      </c>
      <c r="AD19" s="1047">
        <v>0</v>
      </c>
      <c r="AE19" s="1050">
        <f>SUM(ХР!AF39)</f>
        <v>4087.3393910999998</v>
      </c>
      <c r="AF19" s="1009">
        <f>SUM(AE19)</f>
        <v>4087.3393910999998</v>
      </c>
      <c r="AG19" s="1047">
        <v>0</v>
      </c>
      <c r="AH19" s="1267">
        <f t="shared" si="22"/>
        <v>4631.88</v>
      </c>
      <c r="AI19" s="1264">
        <f t="shared" si="23"/>
        <v>1.0890778484015602</v>
      </c>
      <c r="AJ19" s="1009">
        <v>4631.88</v>
      </c>
      <c r="AK19" s="1047">
        <v>0</v>
      </c>
      <c r="AL19" s="1267">
        <f t="shared" si="24"/>
        <v>3968.311174693004</v>
      </c>
      <c r="AM19" s="1264">
        <f t="shared" si="25"/>
        <v>0.93305521643965839</v>
      </c>
      <c r="AN19" s="1009">
        <f>ХР!AP39</f>
        <v>3968.311174693004</v>
      </c>
      <c r="AO19" s="1047">
        <v>0</v>
      </c>
      <c r="AP19" s="1328">
        <f t="shared" si="26"/>
        <v>-2731.0706992955456</v>
      </c>
      <c r="AQ19" s="1329">
        <f t="shared" si="37"/>
        <v>-2731.0706992955456</v>
      </c>
      <c r="AR19" s="1329">
        <f t="shared" si="27"/>
        <v>0</v>
      </c>
      <c r="AS19" s="1330">
        <f t="shared" si="2"/>
        <v>-2731.0706992955456</v>
      </c>
      <c r="AT19" s="1050">
        <f>SUM(ХР!AT39)</f>
        <v>2640.0770813999998</v>
      </c>
      <c r="AU19" s="1009">
        <f>SUM(AT19)</f>
        <v>2640.0770813999998</v>
      </c>
      <c r="AV19" s="1047">
        <v>0</v>
      </c>
      <c r="AW19" s="1050">
        <v>3975.16</v>
      </c>
      <c r="AX19" s="1009">
        <f>SUM(AW19)</f>
        <v>3975.16</v>
      </c>
      <c r="AY19" s="2643">
        <v>0</v>
      </c>
      <c r="AZ19" s="1050">
        <v>5707.19</v>
      </c>
      <c r="BA19" s="1009">
        <f t="shared" si="73"/>
        <v>5707.19</v>
      </c>
      <c r="BB19" s="2643">
        <v>0</v>
      </c>
      <c r="BC19" s="1050">
        <v>6791.38</v>
      </c>
      <c r="BD19" s="2139">
        <f t="shared" ref="BD19" si="76">SUM(BC19/AL19)</f>
        <v>1.711403088374337</v>
      </c>
      <c r="BE19" s="1009">
        <f>SUM(BC19)</f>
        <v>6791.38</v>
      </c>
      <c r="BF19" s="1047">
        <v>0</v>
      </c>
      <c r="BG19" s="1050">
        <f>SUM(ХР!BL39)</f>
        <v>6985.4283978386675</v>
      </c>
      <c r="BH19" s="2139">
        <f t="shared" ref="BH19" si="77">SUM(BG19/AL19)</f>
        <v>1.7603025796935075</v>
      </c>
      <c r="BI19" s="1009">
        <f>SUM(BG19)</f>
        <v>6985.4283978386675</v>
      </c>
      <c r="BJ19" s="1047">
        <v>0</v>
      </c>
      <c r="BK19" s="1914" t="str">
        <f t="shared" ref="BK19" si="78">BK10</f>
        <v>Приложение</v>
      </c>
      <c r="BL19" s="2869">
        <f>SUM(BM19:BN19)</f>
        <v>4515.2094240899987</v>
      </c>
      <c r="BM19" s="2870">
        <f>SUM(ХР!BT39)</f>
        <v>4515.2094240899987</v>
      </c>
      <c r="BN19" s="2871">
        <v>0</v>
      </c>
      <c r="BO19" s="2869">
        <f>SUM(BP19:BQ19)</f>
        <v>7061.8548961899996</v>
      </c>
      <c r="BP19" s="2870">
        <f>SUM(ХР!BX39)</f>
        <v>7061.8548961899996</v>
      </c>
      <c r="BQ19" s="2871">
        <v>0</v>
      </c>
      <c r="BR19" s="2869">
        <f>SUM(BS19:BT19)</f>
        <v>8877.3599999999988</v>
      </c>
      <c r="BS19" s="2870">
        <f>SUM(ХР!CB39)</f>
        <v>8877.3599999999988</v>
      </c>
      <c r="BT19" s="2871">
        <v>0</v>
      </c>
      <c r="BU19" s="1050">
        <f>SUM(ХР!CG39)</f>
        <v>7687.4405852046175</v>
      </c>
      <c r="BV19" s="2139">
        <f t="shared" si="35"/>
        <v>1.1004966549486295</v>
      </c>
      <c r="BW19" s="1009">
        <f>SUM(BU19)</f>
        <v>7687.4405852046175</v>
      </c>
      <c r="BX19" s="1047">
        <v>0</v>
      </c>
      <c r="BY19" s="1050">
        <f>SUM(ХР!CL39)</f>
        <v>7406.5798759443596</v>
      </c>
      <c r="BZ19" s="2139">
        <f t="shared" si="38"/>
        <v>1.0602899999999997</v>
      </c>
      <c r="CA19" s="1009">
        <f>SUM(BY19)</f>
        <v>7406.5798759443596</v>
      </c>
      <c r="CB19" s="1047">
        <v>0</v>
      </c>
      <c r="CC19" s="1914"/>
      <c r="CD19" s="3951">
        <f>SUM(ХР!CS39)</f>
        <v>4568.6679999999997</v>
      </c>
      <c r="CE19" s="3952">
        <f>SUM(CD19)</f>
        <v>4568.6679999999997</v>
      </c>
      <c r="CF19" s="3952">
        <v>0</v>
      </c>
      <c r="CG19" s="3952">
        <f>SUM(ХР!CW39)</f>
        <v>10087.929999999998</v>
      </c>
      <c r="CH19" s="3952">
        <f>SUM(CG19)</f>
        <v>10087.929999999998</v>
      </c>
      <c r="CI19" s="3952">
        <v>0</v>
      </c>
      <c r="CJ19" s="3952">
        <f>SUM(ХР!DA39)</f>
        <v>13449.449360373917</v>
      </c>
      <c r="CK19" s="3952">
        <f>SUM(CJ19)</f>
        <v>13449.449360373917</v>
      </c>
      <c r="CL19" s="3606">
        <v>0</v>
      </c>
      <c r="CM19" s="4040">
        <f>SUM(ХР!DF39)</f>
        <v>7757.7998936616423</v>
      </c>
      <c r="CN19" s="4359">
        <f t="shared" si="28"/>
        <v>1.0474200000000002</v>
      </c>
      <c r="CO19" s="4041">
        <f>SUM(CM19)</f>
        <v>7757.7998936616423</v>
      </c>
      <c r="CP19" s="3747">
        <v>0</v>
      </c>
      <c r="CQ19" s="4040">
        <f>SUM(ХР!DK39)</f>
        <v>7625.8146402723114</v>
      </c>
      <c r="CR19" s="4359">
        <f t="shared" si="36"/>
        <v>1.0295999999999998</v>
      </c>
      <c r="CS19" s="4041">
        <f>SUM(CQ19)</f>
        <v>7625.8146402723114</v>
      </c>
      <c r="CT19" s="3747">
        <f t="shared" ref="CT19" si="79">SUM(CB19*(1-0.01)*(1+0.058)*(1+0))</f>
        <v>0</v>
      </c>
    </row>
    <row r="20" spans="1:98" ht="21" customHeight="1">
      <c r="A20" s="1171" t="s">
        <v>2</v>
      </c>
      <c r="B20" s="1273">
        <v>401</v>
      </c>
      <c r="C20" s="17">
        <v>472.2</v>
      </c>
      <c r="D20" s="30">
        <f t="shared" si="14"/>
        <v>117.75561097256858</v>
      </c>
      <c r="E20" s="17">
        <v>481.5</v>
      </c>
      <c r="F20" s="30">
        <f t="shared" si="15"/>
        <v>101.96950444726811</v>
      </c>
      <c r="G20" s="17">
        <v>782.8</v>
      </c>
      <c r="H20" s="30">
        <f t="shared" si="16"/>
        <v>162.57528556593977</v>
      </c>
      <c r="I20" s="141">
        <v>542</v>
      </c>
      <c r="J20" s="141">
        <v>268.7</v>
      </c>
      <c r="K20" s="141">
        <v>396.5</v>
      </c>
      <c r="L20" s="141">
        <v>535</v>
      </c>
      <c r="M20" s="161">
        <f t="shared" si="17"/>
        <v>98.708487084870839</v>
      </c>
      <c r="N20" s="161">
        <f t="shared" si="18"/>
        <v>68.344404701073074</v>
      </c>
      <c r="O20" s="141">
        <v>698</v>
      </c>
      <c r="P20" s="161">
        <f t="shared" si="19"/>
        <v>128.78228782287823</v>
      </c>
      <c r="Q20" s="235">
        <v>542</v>
      </c>
      <c r="R20" s="161">
        <f t="shared" si="29"/>
        <v>100</v>
      </c>
      <c r="S20" s="161">
        <f t="shared" si="30"/>
        <v>101.30841121495327</v>
      </c>
      <c r="T20" s="141">
        <f t="shared" si="74"/>
        <v>542</v>
      </c>
      <c r="U20" s="141"/>
      <c r="V20" s="141">
        <v>461.2</v>
      </c>
      <c r="W20" s="141">
        <v>635.20000000000005</v>
      </c>
      <c r="X20" s="1288">
        <v>0</v>
      </c>
      <c r="Y20" s="1296">
        <v>575.29999999999995</v>
      </c>
      <c r="Z20" s="1300">
        <f t="shared" si="20"/>
        <v>1.0614391143911439</v>
      </c>
      <c r="AA20" s="1050">
        <f>Аморт!G22</f>
        <v>575.29999999999995</v>
      </c>
      <c r="AB20" s="1302">
        <f t="shared" si="1"/>
        <v>1.0614391143911439</v>
      </c>
      <c r="AC20" s="1009">
        <f t="shared" si="75"/>
        <v>575.29999999999995</v>
      </c>
      <c r="AD20" s="1047">
        <v>0</v>
      </c>
      <c r="AE20" s="1050">
        <f>SUM(Аморт!L22)</f>
        <v>1043.5999999999999</v>
      </c>
      <c r="AF20" s="1009">
        <f>SUM(AE20)</f>
        <v>1043.5999999999999</v>
      </c>
      <c r="AG20" s="1047">
        <v>0</v>
      </c>
      <c r="AH20" s="1267">
        <f t="shared" si="22"/>
        <v>721.2</v>
      </c>
      <c r="AI20" s="1264">
        <f t="shared" si="23"/>
        <v>1.2536068138362595</v>
      </c>
      <c r="AJ20" s="1009">
        <v>721.2</v>
      </c>
      <c r="AK20" s="1047">
        <v>0</v>
      </c>
      <c r="AL20" s="1267">
        <f t="shared" si="24"/>
        <v>721.2</v>
      </c>
      <c r="AM20" s="1264">
        <f t="shared" si="25"/>
        <v>1.2536068138362595</v>
      </c>
      <c r="AN20" s="1009">
        <f>Аморт!O22</f>
        <v>721.2</v>
      </c>
      <c r="AO20" s="1047">
        <v>0</v>
      </c>
      <c r="AP20" s="1328">
        <f t="shared" si="26"/>
        <v>0</v>
      </c>
      <c r="AQ20" s="1329">
        <f t="shared" si="37"/>
        <v>0</v>
      </c>
      <c r="AR20" s="1329">
        <f t="shared" si="27"/>
        <v>0</v>
      </c>
      <c r="AS20" s="1330">
        <f t="shared" si="2"/>
        <v>0</v>
      </c>
      <c r="AT20" s="1050">
        <f>SUM(Аморт!Q22)</f>
        <v>725.7</v>
      </c>
      <c r="AU20" s="1009">
        <f>SUM(AT20)</f>
        <v>725.7</v>
      </c>
      <c r="AV20" s="1047">
        <v>0</v>
      </c>
      <c r="AW20" s="1050">
        <v>1151.78</v>
      </c>
      <c r="AX20" s="1009">
        <f>SUM(AW20)</f>
        <v>1151.78</v>
      </c>
      <c r="AY20" s="2643">
        <v>0</v>
      </c>
      <c r="AZ20" s="1050">
        <v>1561.14</v>
      </c>
      <c r="BA20" s="1009">
        <f t="shared" si="73"/>
        <v>1561.14</v>
      </c>
      <c r="BB20" s="2643">
        <v>0</v>
      </c>
      <c r="BC20" s="1050">
        <f>SUM(Аморт!U22)</f>
        <v>721.2</v>
      </c>
      <c r="BD20" s="2139">
        <f t="shared" si="33"/>
        <v>1</v>
      </c>
      <c r="BE20" s="1009">
        <f>SUM(BC20)</f>
        <v>721.2</v>
      </c>
      <c r="BF20" s="1047">
        <f>SUM(BC20-BE20)</f>
        <v>0</v>
      </c>
      <c r="BG20" s="1050">
        <f>SUM(Аморт!V22)</f>
        <v>1535.7066666666667</v>
      </c>
      <c r="BH20" s="2139">
        <f t="shared" si="34"/>
        <v>2.1293769643187281</v>
      </c>
      <c r="BI20" s="1009">
        <f>SUM(BG20)</f>
        <v>1535.7066666666667</v>
      </c>
      <c r="BJ20" s="1047">
        <f>SUM(BG20-BI20)</f>
        <v>0</v>
      </c>
      <c r="BK20" s="1914" t="s">
        <v>980</v>
      </c>
      <c r="BL20" s="2869">
        <f>SUM(BM20:BN20)</f>
        <v>808.9</v>
      </c>
      <c r="BM20" s="2870">
        <f>SUM(Аморт!AB22)</f>
        <v>808.9</v>
      </c>
      <c r="BN20" s="2871">
        <v>0</v>
      </c>
      <c r="BO20" s="2869">
        <f>SUM(BP20:BQ20)</f>
        <v>1040.5899999999999</v>
      </c>
      <c r="BP20" s="2870">
        <f>SUM(Аморт!AC22)</f>
        <v>1040.5899999999999</v>
      </c>
      <c r="BQ20" s="2871">
        <v>0</v>
      </c>
      <c r="BR20" s="2869">
        <f>SUM(BS20:BT20)</f>
        <v>1344.19</v>
      </c>
      <c r="BS20" s="2870">
        <f>SUM(Аморт!AD22)</f>
        <v>1344.19</v>
      </c>
      <c r="BT20" s="2871">
        <v>0</v>
      </c>
      <c r="BU20" s="1050">
        <f>SUM(Аморт!AE22)</f>
        <v>1561.14</v>
      </c>
      <c r="BV20" s="2139">
        <f t="shared" si="35"/>
        <v>1.0165613224747783</v>
      </c>
      <c r="BW20" s="1009">
        <f>SUM(BU20)</f>
        <v>1561.14</v>
      </c>
      <c r="BX20" s="1047">
        <f>SUM(BU20-BW20)</f>
        <v>0</v>
      </c>
      <c r="BY20" s="1050">
        <f>SUM(Аморт!AF22)</f>
        <v>1561.17</v>
      </c>
      <c r="BZ20" s="2139">
        <f t="shared" si="38"/>
        <v>1.0165808574554169</v>
      </c>
      <c r="CA20" s="1009">
        <f>SUM(BY20)</f>
        <v>1561.17</v>
      </c>
      <c r="CB20" s="1047">
        <f>SUM(BY20-CA20)</f>
        <v>0</v>
      </c>
      <c r="CC20" s="1914"/>
      <c r="CD20" s="3951">
        <f>SUM(Аморт!AH22)</f>
        <v>1150.19</v>
      </c>
      <c r="CE20" s="3952">
        <f>SUM(CD20)</f>
        <v>1150.19</v>
      </c>
      <c r="CF20" s="3952">
        <v>0</v>
      </c>
      <c r="CG20" s="3952">
        <f>SUM(Аморт!AI22)</f>
        <v>2083.85</v>
      </c>
      <c r="CH20" s="3952">
        <f>SUM(CG20)</f>
        <v>2083.85</v>
      </c>
      <c r="CI20" s="3952">
        <v>0</v>
      </c>
      <c r="CJ20" s="3952">
        <f>SUM(Аморт!AJ22)</f>
        <v>2778.4666666666667</v>
      </c>
      <c r="CK20" s="3952">
        <f>SUM(CJ20)</f>
        <v>2778.4666666666667</v>
      </c>
      <c r="CL20" s="3606">
        <v>0</v>
      </c>
      <c r="CM20" s="4040">
        <f>SUM(Аморт!AK22)</f>
        <v>1344.19</v>
      </c>
      <c r="CN20" s="4359">
        <f t="shared" si="28"/>
        <v>0.86101449553860243</v>
      </c>
      <c r="CO20" s="4041">
        <f>SUM(CM20)</f>
        <v>1344.19</v>
      </c>
      <c r="CP20" s="3747">
        <f>SUM(CM20-CO20)</f>
        <v>0</v>
      </c>
      <c r="CQ20" s="4040">
        <f>SUM(Аморт!AL22)</f>
        <v>1344.19</v>
      </c>
      <c r="CR20" s="4359">
        <f t="shared" si="36"/>
        <v>0.86101449553860243</v>
      </c>
      <c r="CS20" s="4041">
        <f>SUM(CQ20)</f>
        <v>1344.19</v>
      </c>
      <c r="CT20" s="3747">
        <f>SUM(CQ20-CS20)</f>
        <v>0</v>
      </c>
    </row>
    <row r="21" spans="1:98" ht="21" customHeight="1">
      <c r="A21" s="1171" t="s">
        <v>219</v>
      </c>
      <c r="B21" s="1273">
        <v>90.7</v>
      </c>
      <c r="C21" s="17">
        <v>52.1</v>
      </c>
      <c r="D21" s="30">
        <f t="shared" si="14"/>
        <v>57.44211686879823</v>
      </c>
      <c r="E21" s="17">
        <v>49</v>
      </c>
      <c r="F21" s="30">
        <f t="shared" si="15"/>
        <v>94.049904030710181</v>
      </c>
      <c r="G21" s="17"/>
      <c r="H21" s="30">
        <f t="shared" si="16"/>
        <v>0</v>
      </c>
      <c r="I21" s="141">
        <v>0</v>
      </c>
      <c r="J21" s="141">
        <v>216.7</v>
      </c>
      <c r="K21" s="141">
        <v>125.5</v>
      </c>
      <c r="L21" s="141">
        <v>169.7</v>
      </c>
      <c r="M21" s="161"/>
      <c r="N21" s="161"/>
      <c r="O21" s="141">
        <v>0</v>
      </c>
      <c r="P21" s="161"/>
      <c r="Q21" s="235"/>
      <c r="R21" s="161"/>
      <c r="S21" s="161">
        <f t="shared" si="30"/>
        <v>0</v>
      </c>
      <c r="T21" s="141">
        <f t="shared" si="74"/>
        <v>0</v>
      </c>
      <c r="U21" s="141"/>
      <c r="V21" s="141">
        <v>0</v>
      </c>
      <c r="W21" s="141">
        <v>0</v>
      </c>
      <c r="X21" s="1288">
        <v>0</v>
      </c>
      <c r="Y21" s="1296">
        <v>0</v>
      </c>
      <c r="Z21" s="1300"/>
      <c r="AA21" s="1050">
        <v>0</v>
      </c>
      <c r="AB21" s="1302"/>
      <c r="AC21" s="1009">
        <f t="shared" si="75"/>
        <v>0</v>
      </c>
      <c r="AD21" s="1047">
        <v>0</v>
      </c>
      <c r="AE21" s="1050">
        <v>0</v>
      </c>
      <c r="AF21" s="1009">
        <f t="shared" ref="AF21" si="80">AD21</f>
        <v>0</v>
      </c>
      <c r="AG21" s="1047">
        <v>0</v>
      </c>
      <c r="AH21" s="1267">
        <f t="shared" si="22"/>
        <v>0</v>
      </c>
      <c r="AI21" s="1264"/>
      <c r="AJ21" s="1009">
        <v>0</v>
      </c>
      <c r="AK21" s="1047">
        <v>0</v>
      </c>
      <c r="AL21" s="1267">
        <f t="shared" si="24"/>
        <v>0</v>
      </c>
      <c r="AM21" s="1264"/>
      <c r="AN21" s="1009">
        <v>0</v>
      </c>
      <c r="AO21" s="1047">
        <v>0</v>
      </c>
      <c r="AP21" s="1328">
        <f t="shared" si="26"/>
        <v>0</v>
      </c>
      <c r="AQ21" s="1329"/>
      <c r="AR21" s="1329"/>
      <c r="AS21" s="1330">
        <f t="shared" si="2"/>
        <v>0</v>
      </c>
      <c r="AT21" s="1050">
        <v>0</v>
      </c>
      <c r="AU21" s="1009">
        <f t="shared" ref="AU21" si="81">AS21</f>
        <v>0</v>
      </c>
      <c r="AV21" s="1047">
        <v>0</v>
      </c>
      <c r="AW21" s="1050">
        <v>0</v>
      </c>
      <c r="AX21" s="1009">
        <f t="shared" ref="AX21" si="82">AV21</f>
        <v>0</v>
      </c>
      <c r="AY21" s="2643">
        <v>0</v>
      </c>
      <c r="AZ21" s="1050">
        <v>0</v>
      </c>
      <c r="BA21" s="1009">
        <f t="shared" si="73"/>
        <v>0</v>
      </c>
      <c r="BB21" s="2643">
        <v>0</v>
      </c>
      <c r="BC21" s="1267">
        <f t="shared" ref="BC21:BC22" si="83">SUM(BE21+BF21)</f>
        <v>0</v>
      </c>
      <c r="BD21" s="2139"/>
      <c r="BE21" s="1009">
        <v>0</v>
      </c>
      <c r="BF21" s="1047">
        <v>0</v>
      </c>
      <c r="BG21" s="1267">
        <f t="shared" ref="BG21:BG22" si="84">SUM(BI21+BJ21)</f>
        <v>0</v>
      </c>
      <c r="BH21" s="2139"/>
      <c r="BI21" s="1009">
        <v>0</v>
      </c>
      <c r="BJ21" s="1047">
        <v>0</v>
      </c>
      <c r="BK21" s="1914"/>
      <c r="BL21" s="2869">
        <v>0</v>
      </c>
      <c r="BM21" s="2870">
        <f t="shared" ref="BM21" si="85">BK21</f>
        <v>0</v>
      </c>
      <c r="BN21" s="2871">
        <v>0</v>
      </c>
      <c r="BO21" s="2869">
        <v>0</v>
      </c>
      <c r="BP21" s="2870">
        <f t="shared" ref="BP21" si="86">BN21</f>
        <v>0</v>
      </c>
      <c r="BQ21" s="2871">
        <v>0</v>
      </c>
      <c r="BR21" s="2869">
        <v>0</v>
      </c>
      <c r="BS21" s="2870">
        <f t="shared" ref="BS21" si="87">BQ21</f>
        <v>0</v>
      </c>
      <c r="BT21" s="2871">
        <v>0</v>
      </c>
      <c r="BU21" s="1267">
        <f t="shared" ref="BU21" si="88">SUM(BW21+BX21)</f>
        <v>0</v>
      </c>
      <c r="BV21" s="2139"/>
      <c r="BW21" s="1009">
        <v>0</v>
      </c>
      <c r="BX21" s="1047">
        <v>0</v>
      </c>
      <c r="BY21" s="1267">
        <f t="shared" ref="BY21" si="89">SUM(CA21+CB21)</f>
        <v>0</v>
      </c>
      <c r="BZ21" s="2139"/>
      <c r="CA21" s="1009">
        <v>0</v>
      </c>
      <c r="CB21" s="1047">
        <v>0</v>
      </c>
      <c r="CC21" s="1914"/>
      <c r="CD21" s="3953">
        <f>SUM(CE21:CF21)</f>
        <v>0</v>
      </c>
      <c r="CE21" s="3952">
        <v>0</v>
      </c>
      <c r="CF21" s="3952">
        <v>0</v>
      </c>
      <c r="CG21" s="4361">
        <f>SUM(CH21:CI21)</f>
        <v>0</v>
      </c>
      <c r="CH21" s="3952">
        <v>0</v>
      </c>
      <c r="CI21" s="3952">
        <v>0</v>
      </c>
      <c r="CJ21" s="4361">
        <f>SUM(CK21:CL21)</f>
        <v>0</v>
      </c>
      <c r="CK21" s="3952">
        <v>0</v>
      </c>
      <c r="CL21" s="3606">
        <v>0</v>
      </c>
      <c r="CM21" s="4093">
        <f t="shared" ref="CM21" si="90">SUM(CO21+CP21)</f>
        <v>0</v>
      </c>
      <c r="CN21" s="4359"/>
      <c r="CO21" s="4041">
        <v>0</v>
      </c>
      <c r="CP21" s="3747">
        <v>0</v>
      </c>
      <c r="CQ21" s="4093">
        <f t="shared" ref="CQ21" si="91">SUM(CS21+CT21)</f>
        <v>0</v>
      </c>
      <c r="CR21" s="4359"/>
      <c r="CS21" s="4041">
        <v>0</v>
      </c>
      <c r="CT21" s="3747">
        <v>0</v>
      </c>
    </row>
    <row r="22" spans="1:98" ht="21" customHeight="1">
      <c r="A22" s="1171" t="s">
        <v>3</v>
      </c>
      <c r="B22" s="1273">
        <v>2355.1999999999998</v>
      </c>
      <c r="C22" s="17">
        <v>1131.3</v>
      </c>
      <c r="D22" s="30">
        <f t="shared" si="14"/>
        <v>48.034137228260867</v>
      </c>
      <c r="E22" s="17">
        <v>1504.8</v>
      </c>
      <c r="F22" s="30">
        <f t="shared" si="15"/>
        <v>133.0151153540175</v>
      </c>
      <c r="G22" s="17">
        <v>822.8</v>
      </c>
      <c r="H22" s="30">
        <f t="shared" si="16"/>
        <v>54.678362573099413</v>
      </c>
      <c r="I22" s="141">
        <v>864.8</v>
      </c>
      <c r="J22" s="141">
        <v>479</v>
      </c>
      <c r="K22" s="141">
        <v>683.2</v>
      </c>
      <c r="L22" s="141">
        <v>1076.5999999999999</v>
      </c>
      <c r="M22" s="161">
        <f t="shared" si="17"/>
        <v>124.49121184088807</v>
      </c>
      <c r="N22" s="161">
        <f t="shared" si="18"/>
        <v>130.84589207583858</v>
      </c>
      <c r="O22" s="141">
        <v>951.3</v>
      </c>
      <c r="P22" s="161">
        <f t="shared" si="19"/>
        <v>110.0023126734505</v>
      </c>
      <c r="Q22" s="235">
        <v>0</v>
      </c>
      <c r="R22" s="161">
        <f t="shared" si="29"/>
        <v>0</v>
      </c>
      <c r="S22" s="161">
        <f t="shared" si="30"/>
        <v>0</v>
      </c>
      <c r="T22" s="141">
        <f t="shared" si="74"/>
        <v>0</v>
      </c>
      <c r="U22" s="141"/>
      <c r="V22" s="141">
        <f>936.5+417.8+6.4</f>
        <v>1360.7</v>
      </c>
      <c r="W22" s="141">
        <v>1500</v>
      </c>
      <c r="X22" s="1288">
        <v>0</v>
      </c>
      <c r="Y22" s="1296">
        <v>1076</v>
      </c>
      <c r="Z22" s="1300"/>
      <c r="AA22" s="1050">
        <v>0</v>
      </c>
      <c r="AB22" s="1302"/>
      <c r="AC22" s="1009">
        <f t="shared" si="75"/>
        <v>0</v>
      </c>
      <c r="AD22" s="1047">
        <v>0</v>
      </c>
      <c r="AE22" s="1050">
        <f>SUM(AF22:AG22)</f>
        <v>1500</v>
      </c>
      <c r="AF22" s="1009">
        <v>1500</v>
      </c>
      <c r="AG22" s="1047">
        <v>0</v>
      </c>
      <c r="AH22" s="1267">
        <f t="shared" si="22"/>
        <v>998</v>
      </c>
      <c r="AI22" s="1264"/>
      <c r="AJ22" s="1009">
        <v>998</v>
      </c>
      <c r="AK22" s="1047">
        <v>0</v>
      </c>
      <c r="AL22" s="1267">
        <f t="shared" si="24"/>
        <v>0</v>
      </c>
      <c r="AM22" s="1264"/>
      <c r="AN22" s="1009">
        <v>0</v>
      </c>
      <c r="AO22" s="1047">
        <v>0</v>
      </c>
      <c r="AP22" s="1328">
        <f t="shared" si="26"/>
        <v>-1076</v>
      </c>
      <c r="AQ22" s="1329">
        <f>AP22</f>
        <v>-1076</v>
      </c>
      <c r="AR22" s="1329">
        <f t="shared" si="27"/>
        <v>0</v>
      </c>
      <c r="AS22" s="1330">
        <f t="shared" si="2"/>
        <v>-1076</v>
      </c>
      <c r="AT22" s="1050">
        <v>2401.02</v>
      </c>
      <c r="AU22" s="1009">
        <v>2401.02</v>
      </c>
      <c r="AV22" s="1047">
        <v>0</v>
      </c>
      <c r="AW22" s="1050">
        <v>2637.9</v>
      </c>
      <c r="AX22" s="1009">
        <v>2637.9</v>
      </c>
      <c r="AY22" s="2643">
        <v>0</v>
      </c>
      <c r="AZ22" s="1050">
        <v>2704.14</v>
      </c>
      <c r="BA22" s="1009">
        <f t="shared" si="73"/>
        <v>2704.14</v>
      </c>
      <c r="BB22" s="2643">
        <v>0</v>
      </c>
      <c r="BC22" s="1267">
        <f t="shared" si="83"/>
        <v>1500</v>
      </c>
      <c r="BD22" s="2139"/>
      <c r="BE22" s="1009">
        <f>SUM(AF22)</f>
        <v>1500</v>
      </c>
      <c r="BF22" s="1047">
        <v>0</v>
      </c>
      <c r="BG22" s="1267">
        <f t="shared" si="84"/>
        <v>0</v>
      </c>
      <c r="BH22" s="2139"/>
      <c r="BI22" s="1009">
        <v>0</v>
      </c>
      <c r="BJ22" s="1047">
        <v>0</v>
      </c>
      <c r="BK22" s="1914" t="s">
        <v>1521</v>
      </c>
      <c r="BL22" s="2869">
        <f>SUM(BM22:BN22)</f>
        <v>520.9</v>
      </c>
      <c r="BM22" s="2870">
        <v>520.9</v>
      </c>
      <c r="BN22" s="2871">
        <v>0</v>
      </c>
      <c r="BO22" s="2869">
        <f>SUM(BP22:BQ22)</f>
        <v>667.51</v>
      </c>
      <c r="BP22" s="2870">
        <v>667.51</v>
      </c>
      <c r="BQ22" s="2871">
        <v>0</v>
      </c>
      <c r="BR22" s="2869">
        <f>SUM(BS22:BT22)</f>
        <v>1296.07</v>
      </c>
      <c r="BS22" s="2870">
        <v>1296.07</v>
      </c>
      <c r="BT22" s="2871">
        <v>0</v>
      </c>
      <c r="BU22" s="1267">
        <f>SUM(AZ22/2)</f>
        <v>1352.07</v>
      </c>
      <c r="BV22" s="2139"/>
      <c r="BW22" s="1009">
        <f>SUM(BU22)</f>
        <v>1352.07</v>
      </c>
      <c r="BX22" s="1047">
        <v>0</v>
      </c>
      <c r="BY22" s="1267">
        <f>BG22*(1-0.01)*(1+0.071)*(1+0)</f>
        <v>0</v>
      </c>
      <c r="BZ22" s="2139"/>
      <c r="CA22" s="1009">
        <v>0</v>
      </c>
      <c r="CB22" s="1047">
        <v>0</v>
      </c>
      <c r="CC22" s="1914"/>
      <c r="CD22" s="3951">
        <f>SUM(CE22:CF22)</f>
        <v>2198.5300000000002</v>
      </c>
      <c r="CE22" s="3952">
        <v>2198.5300000000002</v>
      </c>
      <c r="CF22" s="3952">
        <v>0</v>
      </c>
      <c r="CG22" s="3952">
        <f>SUM(CH22)</f>
        <v>2419.4</v>
      </c>
      <c r="CH22" s="3952">
        <v>2419.4</v>
      </c>
      <c r="CI22" s="3952">
        <v>0</v>
      </c>
      <c r="CJ22" s="3952">
        <f>SUM(CK22:CL22)</f>
        <v>3225.8666666666668</v>
      </c>
      <c r="CK22" s="3952">
        <f>SUM(CG22/9*12)</f>
        <v>3225.8666666666668</v>
      </c>
      <c r="CL22" s="3606">
        <v>0</v>
      </c>
      <c r="CM22" s="4093">
        <v>0</v>
      </c>
      <c r="CN22" s="4359"/>
      <c r="CO22" s="4041">
        <f>SUM(CM22)</f>
        <v>0</v>
      </c>
      <c r="CP22" s="3747">
        <v>0</v>
      </c>
      <c r="CQ22" s="4093">
        <v>0</v>
      </c>
      <c r="CR22" s="4359"/>
      <c r="CS22" s="4041">
        <f>SUM(CQ22)</f>
        <v>0</v>
      </c>
      <c r="CT22" s="3747">
        <f>SUM(CB22*(1-0.01)*(1+0.058)*(1+0))</f>
        <v>0</v>
      </c>
    </row>
    <row r="23" spans="1:98" ht="21" customHeight="1">
      <c r="A23" s="1171" t="s">
        <v>4</v>
      </c>
      <c r="B23" s="1273">
        <v>10759.4</v>
      </c>
      <c r="C23" s="17">
        <v>14019.6</v>
      </c>
      <c r="D23" s="30">
        <f t="shared" si="14"/>
        <v>130.30094614941353</v>
      </c>
      <c r="E23" s="17">
        <v>14545.3</v>
      </c>
      <c r="F23" s="30">
        <f t="shared" si="15"/>
        <v>103.74975034951068</v>
      </c>
      <c r="G23" s="17">
        <v>15741.5</v>
      </c>
      <c r="H23" s="30">
        <f t="shared" si="16"/>
        <v>108.22396237960028</v>
      </c>
      <c r="I23" s="141">
        <v>16062.8</v>
      </c>
      <c r="J23" s="141">
        <v>8015.8</v>
      </c>
      <c r="K23" s="141">
        <v>11685.6</v>
      </c>
      <c r="L23" s="141">
        <v>16509</v>
      </c>
      <c r="M23" s="161">
        <f t="shared" si="17"/>
        <v>102.77784695071843</v>
      </c>
      <c r="N23" s="161">
        <f t="shared" si="18"/>
        <v>104.87564717466569</v>
      </c>
      <c r="O23" s="141">
        <v>20707.5</v>
      </c>
      <c r="P23" s="161">
        <f t="shared" si="19"/>
        <v>128.91588017033146</v>
      </c>
      <c r="Q23" s="235">
        <f>ЗП!AP10</f>
        <v>17203.258799999996</v>
      </c>
      <c r="R23" s="161">
        <f t="shared" si="29"/>
        <v>107.09999999999997</v>
      </c>
      <c r="S23" s="161">
        <f t="shared" si="30"/>
        <v>104.20533527166998</v>
      </c>
      <c r="T23" s="141">
        <f t="shared" si="74"/>
        <v>17203.258799999996</v>
      </c>
      <c r="U23" s="141"/>
      <c r="V23" s="141">
        <v>13934.4</v>
      </c>
      <c r="W23" s="141">
        <f>18491.5</f>
        <v>18491.5</v>
      </c>
      <c r="X23" s="1288">
        <f>18491.5-W23</f>
        <v>0</v>
      </c>
      <c r="Y23" s="1296">
        <v>21702.3</v>
      </c>
      <c r="Z23" s="1300">
        <f t="shared" si="20"/>
        <v>1.2615226133783446</v>
      </c>
      <c r="AA23" s="1050">
        <f>ЗП!U26</f>
        <v>18166.641292799999</v>
      </c>
      <c r="AB23" s="1302">
        <f t="shared" si="1"/>
        <v>1.0560000000000003</v>
      </c>
      <c r="AC23" s="1009">
        <f t="shared" si="75"/>
        <v>18166.641292799999</v>
      </c>
      <c r="AD23" s="1047">
        <v>0</v>
      </c>
      <c r="AE23" s="1050">
        <f>SUM(ЗП!AS26)</f>
        <v>18581.7</v>
      </c>
      <c r="AF23" s="1009">
        <f>SUM(AE23)</f>
        <v>18581.7</v>
      </c>
      <c r="AG23" s="1047">
        <v>0</v>
      </c>
      <c r="AH23" s="1267">
        <f t="shared" si="22"/>
        <v>19007.599999999999</v>
      </c>
      <c r="AI23" s="1264">
        <f t="shared" si="23"/>
        <v>1.0462913696398739</v>
      </c>
      <c r="AJ23" s="1009">
        <v>19007.599999999999</v>
      </c>
      <c r="AK23" s="1047">
        <v>0</v>
      </c>
      <c r="AL23" s="1267">
        <f t="shared" si="24"/>
        <v>19007.602758620687</v>
      </c>
      <c r="AM23" s="1264">
        <f t="shared" si="25"/>
        <v>1.046291521490766</v>
      </c>
      <c r="AN23" s="1009">
        <f>ЗП!BB26</f>
        <v>19007.602758620687</v>
      </c>
      <c r="AO23" s="1047">
        <v>0</v>
      </c>
      <c r="AP23" s="1328">
        <f t="shared" si="26"/>
        <v>-3535.6587072000002</v>
      </c>
      <c r="AQ23" s="1329">
        <f t="shared" ref="AQ23:AQ29" si="92">AP23*AC23/AA23</f>
        <v>-3535.6587072000002</v>
      </c>
      <c r="AR23" s="1329">
        <f t="shared" si="27"/>
        <v>0</v>
      </c>
      <c r="AS23" s="1330">
        <f t="shared" si="2"/>
        <v>-3535.6587072000002</v>
      </c>
      <c r="AT23" s="1050">
        <f>SUM(ЗП!BG26)</f>
        <v>9180.1</v>
      </c>
      <c r="AU23" s="1009">
        <f>SUM(AT23)</f>
        <v>9180.1</v>
      </c>
      <c r="AV23" s="1047">
        <v>0</v>
      </c>
      <c r="AW23" s="1050">
        <v>14344.37</v>
      </c>
      <c r="AX23" s="1009">
        <f>SUM(AW23)</f>
        <v>14344.37</v>
      </c>
      <c r="AY23" s="2643">
        <v>0</v>
      </c>
      <c r="AZ23" s="1050">
        <v>19270.03</v>
      </c>
      <c r="BA23" s="1009">
        <f t="shared" si="73"/>
        <v>19270.03</v>
      </c>
      <c r="BB23" s="2643">
        <v>0</v>
      </c>
      <c r="BC23" s="1050">
        <v>20617.97</v>
      </c>
      <c r="BD23" s="2139">
        <f t="shared" si="33"/>
        <v>1.0847222693902812</v>
      </c>
      <c r="BE23" s="1009">
        <f>SUM(BC23)</f>
        <v>20617.97</v>
      </c>
      <c r="BF23" s="1047">
        <v>0</v>
      </c>
      <c r="BG23" s="1267">
        <f>SUM(ЗП!BW26)</f>
        <v>22489.748317808218</v>
      </c>
      <c r="BH23" s="2139">
        <f t="shared" si="34"/>
        <v>1.1831975133007366</v>
      </c>
      <c r="BI23" s="1009">
        <f>SUM(BG23)</f>
        <v>22489.748317808218</v>
      </c>
      <c r="BJ23" s="1047">
        <v>0</v>
      </c>
      <c r="BK23" s="1914" t="str">
        <f>BK13</f>
        <v>Приложение</v>
      </c>
      <c r="BL23" s="2869">
        <f>SUM(BM23:BN23)</f>
        <v>9779.77</v>
      </c>
      <c r="BM23" s="2870">
        <f>SUM(ЗП!CB26)</f>
        <v>9779.77</v>
      </c>
      <c r="BN23" s="2871">
        <v>0</v>
      </c>
      <c r="BO23" s="2869">
        <f>SUM(BP23:BQ23)</f>
        <v>15120</v>
      </c>
      <c r="BP23" s="2870">
        <f>SUM(ЗП!CF26)</f>
        <v>15120</v>
      </c>
      <c r="BQ23" s="2871">
        <v>0</v>
      </c>
      <c r="BR23" s="2869">
        <f>SUM(BS23:BT23)</f>
        <v>19819.95</v>
      </c>
      <c r="BS23" s="2870">
        <f>SUM(ЗП!CJ26)</f>
        <v>19819.95</v>
      </c>
      <c r="BT23" s="2871">
        <v>0</v>
      </c>
      <c r="BU23" s="1050">
        <f>SUM(ЗП!CN26)</f>
        <v>24738.723149589041</v>
      </c>
      <c r="BV23" s="2139">
        <f t="shared" si="35"/>
        <v>1.1000000000000001</v>
      </c>
      <c r="BW23" s="1009">
        <f>SUM(BU23)</f>
        <v>24738.723149589041</v>
      </c>
      <c r="BX23" s="1047">
        <v>0</v>
      </c>
      <c r="BY23" s="1267">
        <f>SUM(ЗП!CR26)</f>
        <v>23845.655243888872</v>
      </c>
      <c r="BZ23" s="2139">
        <f t="shared" ref="BZ23:BZ63" si="93">SUM(BY23/BG23)</f>
        <v>1.0602899999999997</v>
      </c>
      <c r="CA23" s="1009">
        <f>SUM(BY23)</f>
        <v>23845.655243888872</v>
      </c>
      <c r="CB23" s="1047">
        <v>0</v>
      </c>
      <c r="CC23" s="1914"/>
      <c r="CD23" s="3951">
        <f>SUM(CE23:CF23)</f>
        <v>12122.85</v>
      </c>
      <c r="CE23" s="3952">
        <f>SUM(ЗП!CV26)</f>
        <v>12122.85</v>
      </c>
      <c r="CF23" s="3952">
        <v>0</v>
      </c>
      <c r="CG23" s="3952">
        <f>SUM(ЗП!CY26)</f>
        <v>17473.490000000002</v>
      </c>
      <c r="CH23" s="3952">
        <f>SUM(ЗП!CY26)</f>
        <v>17473.490000000002</v>
      </c>
      <c r="CI23" s="3952">
        <v>0</v>
      </c>
      <c r="CJ23" s="3952">
        <f>SUM(CK23:CL23)</f>
        <v>22824.130000000005</v>
      </c>
      <c r="CK23" s="3952">
        <f>SUM(ЗП!DB26)</f>
        <v>22824.130000000005</v>
      </c>
      <c r="CL23" s="3606">
        <v>0</v>
      </c>
      <c r="CM23" s="4040">
        <f>SUM(ЗП!DE26)</f>
        <v>24976.416215554083</v>
      </c>
      <c r="CN23" s="4359">
        <f t="shared" si="28"/>
        <v>1.04742</v>
      </c>
      <c r="CO23" s="4041">
        <f>SUM(CM23)</f>
        <v>24976.416215554083</v>
      </c>
      <c r="CP23" s="3747">
        <v>0</v>
      </c>
      <c r="CQ23" s="4093">
        <f>SUM(ЗП!DI26)</f>
        <v>24551.486639107985</v>
      </c>
      <c r="CR23" s="4359">
        <f t="shared" si="36"/>
        <v>1.0296000000000001</v>
      </c>
      <c r="CS23" s="4041">
        <f>SUM(CQ23)</f>
        <v>24551.486639107985</v>
      </c>
      <c r="CT23" s="3747">
        <f t="shared" ref="CT23:CT24" si="94">SUM(CB23*(1-0.01)*(1+0.058)*(1+0))</f>
        <v>0</v>
      </c>
    </row>
    <row r="24" spans="1:98" ht="21" customHeight="1">
      <c r="A24" s="1171" t="s">
        <v>5</v>
      </c>
      <c r="B24" s="1273">
        <v>2718.6</v>
      </c>
      <c r="C24" s="17">
        <v>3582.5</v>
      </c>
      <c r="D24" s="30">
        <f t="shared" si="14"/>
        <v>131.77738541896565</v>
      </c>
      <c r="E24" s="17">
        <v>3729.7</v>
      </c>
      <c r="F24" s="30">
        <f t="shared" si="15"/>
        <v>104.10886252616886</v>
      </c>
      <c r="G24" s="17">
        <v>5216.5</v>
      </c>
      <c r="H24" s="30">
        <f t="shared" si="16"/>
        <v>139.86379601576536</v>
      </c>
      <c r="I24" s="141">
        <f>I23*30.2/100</f>
        <v>4850.9655999999995</v>
      </c>
      <c r="J24" s="141">
        <v>2641.4</v>
      </c>
      <c r="K24" s="141">
        <v>3470.4</v>
      </c>
      <c r="L24" s="141">
        <v>4958.8</v>
      </c>
      <c r="M24" s="161">
        <f t="shared" si="17"/>
        <v>102.22294711799236</v>
      </c>
      <c r="N24" s="161">
        <f t="shared" si="18"/>
        <v>95.059906067286505</v>
      </c>
      <c r="O24" s="141">
        <v>6253.7</v>
      </c>
      <c r="P24" s="161">
        <f t="shared" si="19"/>
        <v>128.91660167616939</v>
      </c>
      <c r="Q24" s="235">
        <f>Q23*0.302</f>
        <v>5195.3841575999986</v>
      </c>
      <c r="R24" s="161">
        <f t="shared" si="29"/>
        <v>107.09999999999997</v>
      </c>
      <c r="S24" s="161">
        <f t="shared" si="30"/>
        <v>104.77099616036134</v>
      </c>
      <c r="T24" s="141">
        <f t="shared" si="74"/>
        <v>5195.3841575999986</v>
      </c>
      <c r="U24" s="141"/>
      <c r="V24" s="141">
        <v>4182.8</v>
      </c>
      <c r="W24" s="141"/>
      <c r="X24" s="1288">
        <v>0</v>
      </c>
      <c r="Y24" s="1296">
        <v>6554.1</v>
      </c>
      <c r="Z24" s="1300">
        <f t="shared" si="20"/>
        <v>1.2615236527625051</v>
      </c>
      <c r="AA24" s="1050">
        <f>AA23*V25</f>
        <v>5453.2256286258353</v>
      </c>
      <c r="AB24" s="1302">
        <f t="shared" si="1"/>
        <v>1.0496289520089976</v>
      </c>
      <c r="AC24" s="1009">
        <f t="shared" si="75"/>
        <v>5453.2256286258353</v>
      </c>
      <c r="AD24" s="1047">
        <v>0</v>
      </c>
      <c r="AE24" s="1050">
        <v>5541.6</v>
      </c>
      <c r="AF24" s="1009">
        <f>SUM(AE24)</f>
        <v>5541.6</v>
      </c>
      <c r="AG24" s="1047">
        <v>0</v>
      </c>
      <c r="AH24" s="1267">
        <f t="shared" si="22"/>
        <v>5721.29</v>
      </c>
      <c r="AI24" s="1264">
        <f t="shared" si="23"/>
        <v>1.0491570291841592</v>
      </c>
      <c r="AJ24" s="1009">
        <v>5721.29</v>
      </c>
      <c r="AK24" s="1047">
        <v>0</v>
      </c>
      <c r="AL24" s="1267">
        <f t="shared" si="24"/>
        <v>5705.6637400073641</v>
      </c>
      <c r="AM24" s="1264">
        <f t="shared" si="25"/>
        <v>1.046291521490766</v>
      </c>
      <c r="AN24" s="1009">
        <f>AN23*AA25</f>
        <v>5705.6637400073641</v>
      </c>
      <c r="AO24" s="1047">
        <v>0</v>
      </c>
      <c r="AP24" s="1328">
        <f t="shared" si="26"/>
        <v>-1100.8743713741651</v>
      </c>
      <c r="AQ24" s="1329">
        <f t="shared" si="92"/>
        <v>-1100.8743713741651</v>
      </c>
      <c r="AR24" s="1329">
        <f t="shared" si="27"/>
        <v>0</v>
      </c>
      <c r="AS24" s="1330">
        <f t="shared" si="2"/>
        <v>-1100.8743713741651</v>
      </c>
      <c r="AT24" s="1050">
        <v>2693.1</v>
      </c>
      <c r="AU24" s="1009">
        <f>SUM(AT24)</f>
        <v>2693.1</v>
      </c>
      <c r="AV24" s="1047">
        <v>0</v>
      </c>
      <c r="AW24" s="1050">
        <v>4238.47</v>
      </c>
      <c r="AX24" s="1009">
        <f>SUM(AW24)</f>
        <v>4238.47</v>
      </c>
      <c r="AY24" s="2643">
        <v>0</v>
      </c>
      <c r="AZ24" s="1050">
        <v>5698.26</v>
      </c>
      <c r="BA24" s="1009">
        <f t="shared" si="73"/>
        <v>5698.26</v>
      </c>
      <c r="BB24" s="2643">
        <v>0</v>
      </c>
      <c r="BC24" s="1267">
        <f t="shared" ref="BC24" si="95">SUM(BE24+BF24)</f>
        <v>6206.0089699999999</v>
      </c>
      <c r="BD24" s="2139">
        <f t="shared" si="33"/>
        <v>1.0876927300296861</v>
      </c>
      <c r="BE24" s="1009">
        <f>SUM(BE23*AH25)</f>
        <v>6206.0089699999999</v>
      </c>
      <c r="BF24" s="1047">
        <f>SUM(BF23*AH25)</f>
        <v>0</v>
      </c>
      <c r="BG24" s="1267">
        <f t="shared" ref="BG24" si="96">SUM(BI24+BJ24)</f>
        <v>6707.09296124499</v>
      </c>
      <c r="BH24" s="2139">
        <f t="shared" si="34"/>
        <v>1.1755149386417107</v>
      </c>
      <c r="BI24" s="1009">
        <f>BI23*BI25</f>
        <v>6707.09296124499</v>
      </c>
      <c r="BJ24" s="1047">
        <f>SUM(BJ23*BC25)</f>
        <v>0</v>
      </c>
      <c r="BK24" s="1914" t="s">
        <v>250</v>
      </c>
      <c r="BL24" s="2869">
        <f>SUM(BM24:BN24)</f>
        <v>2936.21</v>
      </c>
      <c r="BM24" s="2870">
        <v>2936.21</v>
      </c>
      <c r="BN24" s="2871">
        <v>0</v>
      </c>
      <c r="BO24" s="2869">
        <f>SUM(BP24:BQ24)</f>
        <v>4551.8599999999997</v>
      </c>
      <c r="BP24" s="2870">
        <v>4551.8599999999997</v>
      </c>
      <c r="BQ24" s="2871">
        <v>0</v>
      </c>
      <c r="BR24" s="2869">
        <f>SUM(BS24:BT24)</f>
        <v>5984.48</v>
      </c>
      <c r="BS24" s="2870">
        <v>5984.48</v>
      </c>
      <c r="BT24" s="2871">
        <v>0</v>
      </c>
      <c r="BU24" s="1267">
        <f t="shared" ref="BU24" si="97">SUM(BW24+BX24)</f>
        <v>7377.087243207453</v>
      </c>
      <c r="BV24" s="2139">
        <f t="shared" si="35"/>
        <v>1.0998933943265483</v>
      </c>
      <c r="BW24" s="1009">
        <f>SUM(BW23*BW25)</f>
        <v>7377.087243207453</v>
      </c>
      <c r="BX24" s="1047">
        <f>SUM(BX23*AZ25)</f>
        <v>0</v>
      </c>
      <c r="BY24" s="1267">
        <f>BG24*(1-0.01)*(1+0.071)*(1+0)</f>
        <v>7111.4635958784502</v>
      </c>
      <c r="BZ24" s="2139">
        <f t="shared" si="93"/>
        <v>1.06029</v>
      </c>
      <c r="CA24" s="1009">
        <f>SUM(BY24)</f>
        <v>7111.4635958784502</v>
      </c>
      <c r="CB24" s="1047">
        <f>SUM(CB23*BU25)</f>
        <v>0</v>
      </c>
      <c r="CC24" s="1914"/>
      <c r="CD24" s="3951">
        <f>SUM(CE24:CF24)</f>
        <v>3635.8</v>
      </c>
      <c r="CE24" s="3952">
        <v>3635.8</v>
      </c>
      <c r="CF24" s="3952">
        <v>0</v>
      </c>
      <c r="CG24" s="3952">
        <f>SUM(CH24:CI24)</f>
        <v>5275.37</v>
      </c>
      <c r="CH24" s="3952">
        <v>5275.37</v>
      </c>
      <c r="CI24" s="3952">
        <v>0</v>
      </c>
      <c r="CJ24" s="3952">
        <f>SUM(CJ23*30.19%)</f>
        <v>6890.6048470000014</v>
      </c>
      <c r="CK24" s="3952">
        <f>SUM(CK23*30.19%)</f>
        <v>6890.6048470000014</v>
      </c>
      <c r="CL24" s="3606">
        <v>0</v>
      </c>
      <c r="CM24" s="4093">
        <f t="shared" ref="CM24" si="98">SUM(CO24+CP24)</f>
        <v>7447.9673154782286</v>
      </c>
      <c r="CN24" s="4359">
        <f t="shared" si="28"/>
        <v>1.0473184900777393</v>
      </c>
      <c r="CO24" s="4041">
        <f>SUM(CO23*CO25)</f>
        <v>7447.9673154782286</v>
      </c>
      <c r="CP24" s="3747">
        <f>SUM(CP23*BI25)</f>
        <v>0</v>
      </c>
      <c r="CQ24" s="4093">
        <f t="shared" ref="CQ24" si="99">SUM(CS24+CT24)</f>
        <v>7321.2533157820017</v>
      </c>
      <c r="CR24" s="4359">
        <f t="shared" si="36"/>
        <v>1.0295002170896492</v>
      </c>
      <c r="CS24" s="4041">
        <f>SUM(CS23*CS25)</f>
        <v>7321.2533157820017</v>
      </c>
      <c r="CT24" s="3747">
        <f t="shared" si="94"/>
        <v>0</v>
      </c>
    </row>
    <row r="25" spans="1:98" s="189" customFormat="1" ht="21" customHeight="1">
      <c r="A25" s="1172" t="str">
        <f>A15</f>
        <v>то же в %</v>
      </c>
      <c r="B25" s="1274"/>
      <c r="C25" s="30"/>
      <c r="D25" s="30"/>
      <c r="E25" s="386">
        <f>E24/E23</f>
        <v>0.25641959945824422</v>
      </c>
      <c r="F25" s="386">
        <f t="shared" ref="F25:AC25" si="100">F24/F23</f>
        <v>1.0034613305135522</v>
      </c>
      <c r="G25" s="386">
        <f t="shared" si="100"/>
        <v>0.33138519200838545</v>
      </c>
      <c r="H25" s="386"/>
      <c r="I25" s="386">
        <f t="shared" si="100"/>
        <v>0.30199999999999999</v>
      </c>
      <c r="J25" s="386">
        <f t="shared" si="100"/>
        <v>0.32952418972529257</v>
      </c>
      <c r="K25" s="386">
        <f t="shared" si="100"/>
        <v>0.29698089956869994</v>
      </c>
      <c r="L25" s="386">
        <f t="shared" si="100"/>
        <v>0.30036949542673697</v>
      </c>
      <c r="M25" s="386">
        <f t="shared" si="100"/>
        <v>0.99460097823422844</v>
      </c>
      <c r="N25" s="386">
        <f t="shared" si="100"/>
        <v>0.90640590669222276</v>
      </c>
      <c r="O25" s="386">
        <f t="shared" si="100"/>
        <v>0.30200169020886153</v>
      </c>
      <c r="P25" s="386">
        <f t="shared" si="100"/>
        <v>1.0000055967180845</v>
      </c>
      <c r="Q25" s="387">
        <f t="shared" si="100"/>
        <v>0.30199999999999999</v>
      </c>
      <c r="R25" s="386">
        <f t="shared" si="100"/>
        <v>1</v>
      </c>
      <c r="S25" s="386">
        <f t="shared" si="100"/>
        <v>1.0054283294345403</v>
      </c>
      <c r="T25" s="386">
        <f t="shared" si="100"/>
        <v>0.30199999999999999</v>
      </c>
      <c r="U25" s="386"/>
      <c r="V25" s="386">
        <f t="shared" si="100"/>
        <v>0.30017797680560343</v>
      </c>
      <c r="W25" s="386"/>
      <c r="X25" s="1292">
        <v>0</v>
      </c>
      <c r="Y25" s="1297">
        <f t="shared" si="100"/>
        <v>0.30200024882155352</v>
      </c>
      <c r="Z25" s="1300">
        <f t="shared" si="20"/>
        <v>1.0000008239124289</v>
      </c>
      <c r="AA25" s="1048">
        <f t="shared" si="100"/>
        <v>0.30017797680560343</v>
      </c>
      <c r="AB25" s="1010"/>
      <c r="AC25" s="1010">
        <f t="shared" si="100"/>
        <v>0.30017797680560343</v>
      </c>
      <c r="AD25" s="1049"/>
      <c r="AE25" s="1048">
        <f t="shared" ref="AE25" si="101">AE24/AE23</f>
        <v>0.29822890263000695</v>
      </c>
      <c r="AF25" s="1010">
        <f t="shared" ref="AF25" si="102">AF24/AF23</f>
        <v>0.29822890263000695</v>
      </c>
      <c r="AG25" s="1049"/>
      <c r="AH25" s="1048">
        <v>0.30099999999999999</v>
      </c>
      <c r="AI25" s="1264">
        <f t="shared" si="23"/>
        <v>1.0027384527111025</v>
      </c>
      <c r="AJ25" s="1010">
        <v>0.30099999999999999</v>
      </c>
      <c r="AK25" s="1049">
        <v>0</v>
      </c>
      <c r="AL25" s="1048">
        <f>SUM(AL24/AL23)</f>
        <v>0.30017797680560343</v>
      </c>
      <c r="AM25" s="1264">
        <f t="shared" si="25"/>
        <v>1</v>
      </c>
      <c r="AN25" s="1010">
        <f>AA25</f>
        <v>0.30017797680560343</v>
      </c>
      <c r="AO25" s="1049">
        <v>0</v>
      </c>
      <c r="AP25" s="1328">
        <f t="shared" si="26"/>
        <v>-1.8222720159500883E-3</v>
      </c>
      <c r="AQ25" s="1329">
        <f t="shared" si="92"/>
        <v>-1.8222720159500883E-3</v>
      </c>
      <c r="AR25" s="1329">
        <f t="shared" si="27"/>
        <v>0</v>
      </c>
      <c r="AS25" s="1330">
        <f t="shared" si="2"/>
        <v>-1.8222720159500883E-3</v>
      </c>
      <c r="AT25" s="1048">
        <f>AT24/AT23</f>
        <v>0.29336281739850328</v>
      </c>
      <c r="AU25" s="1010">
        <f t="shared" ref="AU25" si="103">AU24/AU23</f>
        <v>0.29336281739850328</v>
      </c>
      <c r="AV25" s="1049">
        <v>0</v>
      </c>
      <c r="AW25" s="1048">
        <f>AW24/AW23</f>
        <v>0.29547968994107093</v>
      </c>
      <c r="AX25" s="1010">
        <f t="shared" ref="AX25" si="104">AX24/AX23</f>
        <v>0.29547968994107093</v>
      </c>
      <c r="AY25" s="2644"/>
      <c r="AZ25" s="1048">
        <f>AZ24/AZ23</f>
        <v>0.29570581882851249</v>
      </c>
      <c r="BA25" s="1010">
        <f t="shared" ref="BA25" si="105">BA24/BA23</f>
        <v>0.29570581882851249</v>
      </c>
      <c r="BB25" s="2644"/>
      <c r="BC25" s="1048">
        <f>SUM(BC24/BC23)</f>
        <v>0.30099999999999999</v>
      </c>
      <c r="BD25" s="2139">
        <f t="shared" si="33"/>
        <v>1.0027384527111025</v>
      </c>
      <c r="BE25" s="1010">
        <f>SUM(BE24/BE23)</f>
        <v>0.30099999999999999</v>
      </c>
      <c r="BF25" s="1049"/>
      <c r="BG25" s="1048">
        <f>AF25</f>
        <v>0.29822890263000695</v>
      </c>
      <c r="BH25" s="2139">
        <f t="shared" si="34"/>
        <v>0.99350693812937951</v>
      </c>
      <c r="BI25" s="1010">
        <f>BG25</f>
        <v>0.29822890263000695</v>
      </c>
      <c r="BJ25" s="1049"/>
      <c r="BK25" s="1916"/>
      <c r="BL25" s="2872">
        <f>BL24/BL23</f>
        <v>0.30023303206517127</v>
      </c>
      <c r="BM25" s="2873">
        <f t="shared" ref="BM25" si="106">BM24/BM23</f>
        <v>0.30023303206517127</v>
      </c>
      <c r="BN25" s="2874">
        <v>0</v>
      </c>
      <c r="BO25" s="2872">
        <f>BO24/BO23</f>
        <v>0.30104894179894176</v>
      </c>
      <c r="BP25" s="2873">
        <f t="shared" ref="BP25" si="107">BP24/BP23</f>
        <v>0.30104894179894176</v>
      </c>
      <c r="BQ25" s="2874">
        <v>0</v>
      </c>
      <c r="BR25" s="2872">
        <f>BR24/BR23</f>
        <v>0.3019422349703203</v>
      </c>
      <c r="BS25" s="2873">
        <f t="shared" ref="BS25" si="108">BS24/BS23</f>
        <v>0.3019422349703203</v>
      </c>
      <c r="BT25" s="2874">
        <v>0</v>
      </c>
      <c r="BU25" s="1048">
        <v>0.29820000000000002</v>
      </c>
      <c r="BV25" s="2139">
        <f t="shared" si="35"/>
        <v>0.99990308575140752</v>
      </c>
      <c r="BW25" s="1010">
        <v>0.29820000000000002</v>
      </c>
      <c r="BX25" s="1049">
        <v>0</v>
      </c>
      <c r="BY25" s="1010">
        <f>SUM(BY24/BY23)</f>
        <v>0.29822890263000701</v>
      </c>
      <c r="BZ25" s="2139">
        <f t="shared" si="93"/>
        <v>1.0000000000000002</v>
      </c>
      <c r="CA25" s="1010">
        <f>SUM(CA24/CA23)</f>
        <v>0.29822890263000701</v>
      </c>
      <c r="CB25" s="1049">
        <v>0</v>
      </c>
      <c r="CC25" s="1916"/>
      <c r="CD25" s="3954">
        <f>SUM(CD24/CD23)</f>
        <v>0.2999129742593532</v>
      </c>
      <c r="CE25" s="3955">
        <f t="shared" ref="CE25" si="109">CE24/CE23</f>
        <v>0.2999129742593532</v>
      </c>
      <c r="CF25" s="3955">
        <v>0</v>
      </c>
      <c r="CG25" s="3955">
        <f>SUM(CG24/CG23)</f>
        <v>0.30190706035256837</v>
      </c>
      <c r="CH25" s="3955">
        <f t="shared" ref="CH25" si="110">CH24/CH23</f>
        <v>0.30190706035256837</v>
      </c>
      <c r="CI25" s="3955">
        <v>0</v>
      </c>
      <c r="CJ25" s="3955">
        <f>SUM(CJ24/CJ23)</f>
        <v>0.3019</v>
      </c>
      <c r="CK25" s="3955">
        <f t="shared" ref="CK25" si="111">CK24/CK23</f>
        <v>0.3019</v>
      </c>
      <c r="CL25" s="3956">
        <v>0</v>
      </c>
      <c r="CM25" s="4094">
        <f>SUM(CM24/CM23)</f>
        <v>0.29820000000000002</v>
      </c>
      <c r="CN25" s="4359">
        <f t="shared" si="28"/>
        <v>0.99990308575140741</v>
      </c>
      <c r="CO25" s="4042">
        <v>0.29820000000000002</v>
      </c>
      <c r="CP25" s="3749">
        <v>0.29820000000000002</v>
      </c>
      <c r="CQ25" s="4042">
        <f>SUM(CQ24/CQ23)</f>
        <v>0.29820000000000002</v>
      </c>
      <c r="CR25" s="4359">
        <f t="shared" si="36"/>
        <v>0.99990308575140741</v>
      </c>
      <c r="CS25" s="4042">
        <v>0.29820000000000002</v>
      </c>
      <c r="CT25" s="3749">
        <v>0.29820000000000002</v>
      </c>
    </row>
    <row r="26" spans="1:98" ht="21" customHeight="1">
      <c r="A26" s="1171" t="s">
        <v>6</v>
      </c>
      <c r="B26" s="1273">
        <v>6189.4</v>
      </c>
      <c r="C26" s="17">
        <v>7305.4</v>
      </c>
      <c r="D26" s="30">
        <f t="shared" si="14"/>
        <v>118.03082689759911</v>
      </c>
      <c r="E26" s="17">
        <v>8983.7999999999993</v>
      </c>
      <c r="F26" s="30">
        <f t="shared" si="15"/>
        <v>122.97478577490624</v>
      </c>
      <c r="G26" s="17">
        <v>10591.4</v>
      </c>
      <c r="H26" s="30">
        <f t="shared" si="16"/>
        <v>117.89443220018256</v>
      </c>
      <c r="I26" s="141">
        <v>8659.2999999999993</v>
      </c>
      <c r="J26" s="141">
        <v>5710.6</v>
      </c>
      <c r="K26" s="141">
        <f>'цех вода'!K48</f>
        <v>7064.2471622034736</v>
      </c>
      <c r="L26" s="141">
        <v>11296.2</v>
      </c>
      <c r="M26" s="161">
        <f t="shared" si="17"/>
        <v>130.45165313593478</v>
      </c>
      <c r="N26" s="161">
        <f t="shared" si="18"/>
        <v>106.65445550163342</v>
      </c>
      <c r="O26" s="141">
        <v>13061</v>
      </c>
      <c r="P26" s="161">
        <f t="shared" si="19"/>
        <v>150.83205339923552</v>
      </c>
      <c r="Q26" s="235">
        <f>'цех вода'!P48</f>
        <v>10441.008114528178</v>
      </c>
      <c r="R26" s="161">
        <f t="shared" si="29"/>
        <v>120.57565986313188</v>
      </c>
      <c r="S26" s="161">
        <f t="shared" si="30"/>
        <v>92.42938434631273</v>
      </c>
      <c r="T26" s="141">
        <f t="shared" si="74"/>
        <v>10441.008114528178</v>
      </c>
      <c r="U26" s="141"/>
      <c r="V26" s="141">
        <v>7957</v>
      </c>
      <c r="W26" s="141"/>
      <c r="X26" s="1288">
        <v>0</v>
      </c>
      <c r="Y26" s="1296">
        <v>13533.8</v>
      </c>
      <c r="Z26" s="1300">
        <f t="shared" si="20"/>
        <v>1.2962158300756748</v>
      </c>
      <c r="AA26" s="1050">
        <f>'цех вода'!W48</f>
        <v>11085.989359774539</v>
      </c>
      <c r="AB26" s="1302">
        <f t="shared" si="1"/>
        <v>1.0617738477138907</v>
      </c>
      <c r="AC26" s="1009">
        <f t="shared" si="75"/>
        <v>11085.989359774539</v>
      </c>
      <c r="AD26" s="1047">
        <v>0</v>
      </c>
      <c r="AE26" s="1050">
        <v>9696.2999999999993</v>
      </c>
      <c r="AF26" s="1009">
        <f>SUM(AE26)</f>
        <v>9696.2999999999993</v>
      </c>
      <c r="AG26" s="1047">
        <v>0</v>
      </c>
      <c r="AH26" s="1267">
        <f t="shared" si="22"/>
        <v>11831.11</v>
      </c>
      <c r="AI26" s="1264">
        <f t="shared" si="23"/>
        <v>1.0672128229645546</v>
      </c>
      <c r="AJ26" s="1009">
        <v>11831.11</v>
      </c>
      <c r="AK26" s="1047">
        <v>0</v>
      </c>
      <c r="AL26" s="1267">
        <f t="shared" si="24"/>
        <v>11664.267955262609</v>
      </c>
      <c r="AM26" s="1264">
        <f t="shared" si="25"/>
        <v>1.0521630119532994</v>
      </c>
      <c r="AN26" s="1009">
        <f>'цех вода'!AB48</f>
        <v>11664.267955262609</v>
      </c>
      <c r="AO26" s="1047">
        <v>0</v>
      </c>
      <c r="AP26" s="1328">
        <f t="shared" si="26"/>
        <v>-2447.8106402254598</v>
      </c>
      <c r="AQ26" s="1329">
        <f t="shared" si="92"/>
        <v>-2447.8106402254598</v>
      </c>
      <c r="AR26" s="1329">
        <f t="shared" si="27"/>
        <v>0</v>
      </c>
      <c r="AS26" s="1330">
        <f t="shared" si="2"/>
        <v>-2447.8106402254598</v>
      </c>
      <c r="AT26" s="1050">
        <v>5322.04</v>
      </c>
      <c r="AU26" s="1009">
        <f>SUM(AT26)</f>
        <v>5322.04</v>
      </c>
      <c r="AV26" s="1047">
        <v>0</v>
      </c>
      <c r="AW26" s="1050">
        <v>7066.56</v>
      </c>
      <c r="AX26" s="1009">
        <f>SUM(AW26)</f>
        <v>7066.56</v>
      </c>
      <c r="AY26" s="2643">
        <v>0</v>
      </c>
      <c r="AZ26" s="1050">
        <v>9808.8700000000008</v>
      </c>
      <c r="BA26" s="1009">
        <f>SUM(AZ26)</f>
        <v>9808.8700000000008</v>
      </c>
      <c r="BB26" s="2643">
        <v>0</v>
      </c>
      <c r="BC26" s="1050">
        <v>12041.06</v>
      </c>
      <c r="BD26" s="2139">
        <f t="shared" ref="BD26" si="112">SUM(BC26/AL26)</f>
        <v>1.0323031026192597</v>
      </c>
      <c r="BE26" s="1009">
        <f>SUM(BC26)</f>
        <v>12041.06</v>
      </c>
      <c r="BF26" s="1047">
        <v>0</v>
      </c>
      <c r="BG26" s="1267">
        <f>'цех вода'!AG48</f>
        <v>10482.025535236962</v>
      </c>
      <c r="BH26" s="2139">
        <f t="shared" ref="BH26" si="113">SUM(BG26/AL26)</f>
        <v>0.89864409626390229</v>
      </c>
      <c r="BI26" s="1009">
        <f>SUM(BG26)</f>
        <v>10482.025535236962</v>
      </c>
      <c r="BJ26" s="1047">
        <v>0</v>
      </c>
      <c r="BK26" s="1914" t="str">
        <f>BK16</f>
        <v>Приложение</v>
      </c>
      <c r="BL26" s="2869">
        <f>SUM(BM26:BN26)</f>
        <v>4832.79</v>
      </c>
      <c r="BM26" s="2870">
        <f>SUM('цех вода'!AM48)</f>
        <v>4832.79</v>
      </c>
      <c r="BN26" s="2871">
        <v>0</v>
      </c>
      <c r="BO26" s="2869">
        <f>SUM(BP26:BQ26)</f>
        <v>7109.65</v>
      </c>
      <c r="BP26" s="2870">
        <f>SUM('цех вода'!AN48)</f>
        <v>7109.65</v>
      </c>
      <c r="BQ26" s="2871">
        <v>0</v>
      </c>
      <c r="BR26" s="2869">
        <f>SUM(BS26:BT26)</f>
        <v>10745.24</v>
      </c>
      <c r="BS26" s="2870">
        <f>SUM('цех вода'!AO48)</f>
        <v>10745.24</v>
      </c>
      <c r="BT26" s="2871">
        <v>0</v>
      </c>
      <c r="BU26" s="1050">
        <f>SUM('цех вода'!AP48)</f>
        <v>10602.075313440699</v>
      </c>
      <c r="BV26" s="2139">
        <f t="shared" si="35"/>
        <v>1.0114529179308112</v>
      </c>
      <c r="BW26" s="1009">
        <f>SUM(BU26)</f>
        <v>10602.075313440699</v>
      </c>
      <c r="BX26" s="1047">
        <v>0</v>
      </c>
      <c r="BY26" s="1267">
        <f>SUM('цех вода'!AQ48)</f>
        <v>10926.541354006786</v>
      </c>
      <c r="BZ26" s="2139">
        <f t="shared" si="93"/>
        <v>1.0424074352114021</v>
      </c>
      <c r="CA26" s="1009">
        <f>SUM(BY26)</f>
        <v>10926.541354006786</v>
      </c>
      <c r="CB26" s="1047">
        <v>0</v>
      </c>
      <c r="CC26" s="1914"/>
      <c r="CD26" s="3951">
        <f>SUM(CE26:CF26)</f>
        <v>6891.89</v>
      </c>
      <c r="CE26" s="3952">
        <f>SUM('цех вода'!AV48)</f>
        <v>6891.89</v>
      </c>
      <c r="CF26" s="3952">
        <v>0</v>
      </c>
      <c r="CG26" s="3952">
        <f>SUM('цех вода'!AW48)</f>
        <v>9414.31</v>
      </c>
      <c r="CH26" s="3952">
        <f>SUM(CG26)</f>
        <v>9414.31</v>
      </c>
      <c r="CI26" s="3952">
        <v>0</v>
      </c>
      <c r="CJ26" s="3952">
        <f>SUM(CK26:CL26)</f>
        <v>12698.964249999997</v>
      </c>
      <c r="CK26" s="3952">
        <f>SUM('цех вода'!AX48)</f>
        <v>12698.964249999997</v>
      </c>
      <c r="CL26" s="3606">
        <v>0</v>
      </c>
      <c r="CM26" s="4040">
        <f>SUM('цех вода'!AY48)</f>
        <v>11498.309649869745</v>
      </c>
      <c r="CN26" s="4359">
        <f t="shared" si="28"/>
        <v>1.0523283880359169</v>
      </c>
      <c r="CO26" s="4041">
        <f>SUM(CM26)</f>
        <v>11498.309649869745</v>
      </c>
      <c r="CP26" s="3747">
        <v>0</v>
      </c>
      <c r="CQ26" s="4093">
        <f>SUM('цех вода'!AZ48)</f>
        <v>13162.699803128975</v>
      </c>
      <c r="CR26" s="4359">
        <f t="shared" si="36"/>
        <v>1.2046538219801992</v>
      </c>
      <c r="CS26" s="4041">
        <f>SUM(CQ26)</f>
        <v>13162.699803128975</v>
      </c>
      <c r="CT26" s="3747">
        <f t="shared" ref="CT26" si="114">SUM(CB26*(1-0.01)*(1+0.058)*(1+0))</f>
        <v>0</v>
      </c>
    </row>
    <row r="27" spans="1:98" ht="21" customHeight="1">
      <c r="A27" s="1286" t="s">
        <v>16</v>
      </c>
      <c r="B27" s="1275">
        <f>SUM(B28:B34)</f>
        <v>12845.2</v>
      </c>
      <c r="C27" s="18">
        <f>SUM(C28:C34)</f>
        <v>12180.900000000001</v>
      </c>
      <c r="D27" s="30">
        <f t="shared" si="14"/>
        <v>94.828418397533724</v>
      </c>
      <c r="E27" s="18">
        <f>SUM(E28:E34)-E33</f>
        <v>13961.699999999999</v>
      </c>
      <c r="F27" s="18">
        <f>SUM(F28:F34)-F33</f>
        <v>568.47806769444355</v>
      </c>
      <c r="G27" s="18">
        <f>SUM(G28:G34)-G33</f>
        <v>16318.199999999999</v>
      </c>
      <c r="H27" s="30">
        <f t="shared" si="16"/>
        <v>116.87831711038055</v>
      </c>
      <c r="I27" s="134">
        <f>SUM(I28:I34)-I33</f>
        <v>15689.528200000002</v>
      </c>
      <c r="J27" s="134">
        <f>SUM(J28:J34)-J33</f>
        <v>8282.6</v>
      </c>
      <c r="K27" s="134">
        <f>SUM(K28:K34)-K33</f>
        <v>11231.541001831447</v>
      </c>
      <c r="L27" s="134">
        <f>SUM(L28:L34)-L33</f>
        <v>16770.900000000001</v>
      </c>
      <c r="M27" s="160">
        <f t="shared" si="17"/>
        <v>106.89231560194396</v>
      </c>
      <c r="N27" s="161">
        <f t="shared" si="18"/>
        <v>102.7742030370997</v>
      </c>
      <c r="O27" s="134">
        <f>SUM(O28:O34)</f>
        <v>19432.602000566199</v>
      </c>
      <c r="P27" s="161">
        <f t="shared" si="19"/>
        <v>123.85714696357917</v>
      </c>
      <c r="Q27" s="243">
        <f>SUM(Q28:Q34)-Q33</f>
        <v>16138.03883700253</v>
      </c>
      <c r="R27" s="161">
        <f t="shared" si="29"/>
        <v>102.85866235928323</v>
      </c>
      <c r="S27" s="161">
        <f t="shared" si="30"/>
        <v>96.226432910592337</v>
      </c>
      <c r="T27" s="134" t="e">
        <f>SUM(T28:T34)-T33</f>
        <v>#REF!</v>
      </c>
      <c r="U27" s="134" t="e">
        <f>SUM(U28:U34)</f>
        <v>#REF!</v>
      </c>
      <c r="V27" s="134">
        <f>SUM(V28:V34)-V33</f>
        <v>13925.8</v>
      </c>
      <c r="W27" s="134">
        <f>SUM(W28:W34)-W33</f>
        <v>10238.013705220976</v>
      </c>
      <c r="X27" s="1291">
        <f>SUM(X28:X34)-X33</f>
        <v>58.686294779024138</v>
      </c>
      <c r="Y27" s="1298">
        <f>SUM(Y28:Y34)-Y33</f>
        <v>20746.8</v>
      </c>
      <c r="Z27" s="1300">
        <f t="shared" si="20"/>
        <v>1.2855837199022071</v>
      </c>
      <c r="AA27" s="1270">
        <f>SUM(AA28:AA34)-AA33</f>
        <v>17844.931718610074</v>
      </c>
      <c r="AB27" s="1302">
        <f t="shared" si="1"/>
        <v>1.1057682968077787</v>
      </c>
      <c r="AC27" s="1268">
        <f>SUM(AC28:AC34)-AC33</f>
        <v>17642.358583262347</v>
      </c>
      <c r="AD27" s="1269">
        <f>SUM(AD28:AD34)-AD33</f>
        <v>202.57313534772925</v>
      </c>
      <c r="AE27" s="1270">
        <f>SUM(AE28:AE34)-AE33</f>
        <v>16058.300000000001</v>
      </c>
      <c r="AF27" s="1268">
        <f>SUM(AF28:AF34)-AF33</f>
        <v>15863.911081950979</v>
      </c>
      <c r="AG27" s="1269">
        <f>SUM(AG28:AG34)-AG33</f>
        <v>194.38891804902261</v>
      </c>
      <c r="AH27" s="1263">
        <f t="shared" si="22"/>
        <v>18846.049999999996</v>
      </c>
      <c r="AI27" s="1264">
        <f t="shared" si="23"/>
        <v>1.0561009869455471</v>
      </c>
      <c r="AJ27" s="1268">
        <f>SUM(AJ28:AJ34)-AJ33</f>
        <v>18631.679999999997</v>
      </c>
      <c r="AK27" s="1269">
        <f>SUM(AK28:AK34)-AK33</f>
        <v>214.36999999999998</v>
      </c>
      <c r="AL27" s="1263">
        <f t="shared" si="24"/>
        <v>18173.702953335123</v>
      </c>
      <c r="AM27" s="1264">
        <f t="shared" si="25"/>
        <v>1.0184237877683882</v>
      </c>
      <c r="AN27" s="1268">
        <f>SUM(AN28:AN34)-AN33</f>
        <v>17969.281918178836</v>
      </c>
      <c r="AO27" s="1269">
        <f>SUM(AO28:AO34)-AO33</f>
        <v>204.42103515628872</v>
      </c>
      <c r="AP27" s="1328">
        <f t="shared" si="26"/>
        <v>-2901.868281389925</v>
      </c>
      <c r="AQ27" s="1329">
        <f t="shared" si="92"/>
        <v>-2868.9266839998809</v>
      </c>
      <c r="AR27" s="1329">
        <f t="shared" si="27"/>
        <v>-32.94159739004408</v>
      </c>
      <c r="AS27" s="1330">
        <f t="shared" si="2"/>
        <v>-2901.868281389925</v>
      </c>
      <c r="AT27" s="1270">
        <f t="shared" ref="AT27:BC27" si="115">SUM(AT28:AT34)-AT33</f>
        <v>7881.34</v>
      </c>
      <c r="AU27" s="1268">
        <f t="shared" si="115"/>
        <v>7828.1401733250268</v>
      </c>
      <c r="AV27" s="1269">
        <f t="shared" si="115"/>
        <v>53.19982667497321</v>
      </c>
      <c r="AW27" s="1270">
        <f t="shared" si="115"/>
        <v>12325.890000000001</v>
      </c>
      <c r="AX27" s="1268">
        <f t="shared" si="115"/>
        <v>12251.507318863934</v>
      </c>
      <c r="AY27" s="2645">
        <f t="shared" si="115"/>
        <v>74.382681136067731</v>
      </c>
      <c r="AZ27" s="1270">
        <f t="shared" ref="AZ27:BB27" si="116">SUM(AZ28:AZ34)-AZ33</f>
        <v>16393.490000000002</v>
      </c>
      <c r="BA27" s="1268">
        <f t="shared" si="116"/>
        <v>16316.116136249411</v>
      </c>
      <c r="BB27" s="2645">
        <f t="shared" si="116"/>
        <v>77.373863750587688</v>
      </c>
      <c r="BC27" s="1270">
        <f t="shared" si="115"/>
        <v>20142.307000000001</v>
      </c>
      <c r="BD27" s="2139">
        <f t="shared" si="33"/>
        <v>1.1083215705527756</v>
      </c>
      <c r="BE27" s="1268">
        <f>SUM(BE28:BE34)-BE33</f>
        <v>21373.584955906259</v>
      </c>
      <c r="BF27" s="1269">
        <f>SUM(BF28:BF34)-BF33</f>
        <v>106.20804409374369</v>
      </c>
      <c r="BG27" s="1270">
        <f>SUM(BG28:BG34)-BG33</f>
        <v>18282.661760880437</v>
      </c>
      <c r="BH27" s="2139">
        <f t="shared" si="34"/>
        <v>1.0059954103918771</v>
      </c>
      <c r="BI27" s="1268">
        <f>SUM(BI28:BI34)-BI33</f>
        <v>18186.385721423845</v>
      </c>
      <c r="BJ27" s="1269">
        <f>SUM(BJ28:BJ34)-BJ33</f>
        <v>96.276039456590482</v>
      </c>
      <c r="BK27" s="1917"/>
      <c r="BL27" s="2875">
        <f t="shared" ref="BL27:BN27" si="117">SUM(BL28:BL34)-BL33</f>
        <v>8065.74</v>
      </c>
      <c r="BM27" s="2876">
        <f t="shared" si="117"/>
        <v>8059.3390765736103</v>
      </c>
      <c r="BN27" s="2877">
        <f t="shared" si="117"/>
        <v>6.4009234263892409</v>
      </c>
      <c r="BO27" s="2875">
        <f t="shared" ref="BO27:BQ27" si="118">SUM(BO28:BO34)-BO33</f>
        <v>12577.420000000002</v>
      </c>
      <c r="BP27" s="2876">
        <f t="shared" si="118"/>
        <v>12568.378579889411</v>
      </c>
      <c r="BQ27" s="2877">
        <f t="shared" si="118"/>
        <v>9.0414201105892431</v>
      </c>
      <c r="BR27" s="2875">
        <f t="shared" ref="BR27:BT27" si="119">SUM(BR28:BR34)-BR33</f>
        <v>16673.330000000002</v>
      </c>
      <c r="BS27" s="2876">
        <f t="shared" si="119"/>
        <v>16662.313143630527</v>
      </c>
      <c r="BT27" s="2877">
        <f t="shared" si="119"/>
        <v>11.016856369476642</v>
      </c>
      <c r="BU27" s="1270">
        <f t="shared" ref="BU27" si="120">SUM(BU28:BU34)-BU33</f>
        <v>20117.318246109822</v>
      </c>
      <c r="BV27" s="2139">
        <f t="shared" si="35"/>
        <v>1.1003495283796703</v>
      </c>
      <c r="BW27" s="1268">
        <f>SUM(BW28:BW34)-BW33</f>
        <v>20021.749038289825</v>
      </c>
      <c r="BX27" s="1269">
        <f>SUM(BX28:BX34)-BX33</f>
        <v>95.569207819999406</v>
      </c>
      <c r="BY27" s="1270">
        <f>SUM(BY28:BY34)-BY33</f>
        <v>19410.271992471779</v>
      </c>
      <c r="BZ27" s="2139">
        <f t="shared" si="93"/>
        <v>1.0616764805004542</v>
      </c>
      <c r="CA27" s="1268">
        <f>SUM(CA28:CA34)-CA33</f>
        <v>19307.839657113527</v>
      </c>
      <c r="CB27" s="1269">
        <f>SUM(CB28:CB34)-CB33</f>
        <v>102.43233535825075</v>
      </c>
      <c r="CC27" s="1917"/>
      <c r="CD27" s="3946">
        <f t="shared" ref="CD27" si="121">SUM(CD28:CD34)-CD33</f>
        <v>7502.7900000000009</v>
      </c>
      <c r="CE27" s="3947">
        <f t="shared" ref="CE27:CF27" si="122">SUM(CE28:CE34)-CE33</f>
        <v>7498.5472494816868</v>
      </c>
      <c r="CF27" s="3947">
        <f t="shared" si="122"/>
        <v>4.2427505183136409</v>
      </c>
      <c r="CG27" s="3947">
        <f t="shared" ref="CG27" si="123">SUM(CG28:CG34)-CG33</f>
        <v>11136.8</v>
      </c>
      <c r="CH27" s="3947">
        <f t="shared" ref="CH27:CI27" si="124">SUM(CH28:CH34)-CH33</f>
        <v>11131.293934492207</v>
      </c>
      <c r="CI27" s="3947">
        <f t="shared" si="124"/>
        <v>5.5060655077934371</v>
      </c>
      <c r="CJ27" s="3947">
        <f t="shared" ref="CJ27" si="125">SUM(CJ28:CJ34)-CJ33</f>
        <v>14847.421917333335</v>
      </c>
      <c r="CK27" s="3947">
        <f t="shared" ref="CK27:CL27" si="126">SUM(CK28:CK34)-CK33</f>
        <v>14840.075576458396</v>
      </c>
      <c r="CL27" s="3605">
        <f t="shared" si="126"/>
        <v>7.3463408749385053</v>
      </c>
      <c r="CM27" s="4095">
        <f t="shared" ref="CM27" si="127">SUM(CM28:CM34)-CM33</f>
        <v>20349.980513819024</v>
      </c>
      <c r="CN27" s="4359">
        <f t="shared" si="28"/>
        <v>1.0484129496851826</v>
      </c>
      <c r="CO27" s="4043">
        <f>SUM(CO28:CO34)-CO33</f>
        <v>20240.861747615694</v>
      </c>
      <c r="CP27" s="4044">
        <f>SUM(CP28:CP34)-CP33</f>
        <v>109.11876620332848</v>
      </c>
      <c r="CQ27" s="4095">
        <f>SUM(CQ28:CQ34)-CQ33</f>
        <v>18691.259066916737</v>
      </c>
      <c r="CR27" s="4359">
        <f t="shared" si="36"/>
        <v>0.96295709169691646</v>
      </c>
      <c r="CS27" s="4043">
        <f>SUM(CS28:CS34)-CS33</f>
        <v>18582.628269257038</v>
      </c>
      <c r="CT27" s="4044">
        <f>SUM(CT28:CT34)-CT33</f>
        <v>108.63079765970073</v>
      </c>
    </row>
    <row r="28" spans="1:98" ht="21" customHeight="1">
      <c r="A28" s="1279" t="s">
        <v>3</v>
      </c>
      <c r="B28" s="1273">
        <v>853.3</v>
      </c>
      <c r="C28" s="17">
        <v>417.9</v>
      </c>
      <c r="D28" s="30">
        <f t="shared" si="14"/>
        <v>48.974569319114025</v>
      </c>
      <c r="E28" s="17">
        <v>562.4</v>
      </c>
      <c r="F28" s="30">
        <f t="shared" si="15"/>
        <v>134.5776501555396</v>
      </c>
      <c r="G28" s="17">
        <v>623.79999999999995</v>
      </c>
      <c r="H28" s="30">
        <f t="shared" si="16"/>
        <v>110.91749644381224</v>
      </c>
      <c r="I28" s="141">
        <v>583.20000000000005</v>
      </c>
      <c r="J28" s="141">
        <v>332.5</v>
      </c>
      <c r="K28" s="141">
        <v>504.5</v>
      </c>
      <c r="L28" s="141">
        <v>710</v>
      </c>
      <c r="M28" s="161">
        <f t="shared" si="17"/>
        <v>121.7421124828532</v>
      </c>
      <c r="N28" s="161">
        <f t="shared" si="18"/>
        <v>113.81853158063481</v>
      </c>
      <c r="O28" s="141">
        <v>686.4</v>
      </c>
      <c r="P28" s="161">
        <f t="shared" si="19"/>
        <v>117.6954732510288</v>
      </c>
      <c r="Q28" s="235">
        <v>0</v>
      </c>
      <c r="R28" s="161">
        <f t="shared" si="29"/>
        <v>0</v>
      </c>
      <c r="S28" s="161">
        <f t="shared" si="30"/>
        <v>0</v>
      </c>
      <c r="T28" s="141" t="e">
        <f>Q28/Q56*T56</f>
        <v>#REF!</v>
      </c>
      <c r="U28" s="141" t="e">
        <f t="shared" ref="U28:U34" si="128">Q28-T28</f>
        <v>#REF!</v>
      </c>
      <c r="V28" s="141">
        <v>286</v>
      </c>
      <c r="W28" s="141">
        <v>300</v>
      </c>
      <c r="X28" s="1288"/>
      <c r="Y28" s="1296">
        <v>780</v>
      </c>
      <c r="Z28" s="1300"/>
      <c r="AA28" s="1050">
        <f>Y28</f>
        <v>780</v>
      </c>
      <c r="AB28" s="1302"/>
      <c r="AC28" s="1009">
        <f>$AC$56/$AA$56*AA28</f>
        <v>771.14555056512506</v>
      </c>
      <c r="AD28" s="1047">
        <f t="shared" si="32"/>
        <v>8.8544494348749367</v>
      </c>
      <c r="AE28" s="1050">
        <f>SUM(AF28:AG28)</f>
        <v>292.5</v>
      </c>
      <c r="AF28" s="1009">
        <v>292.5</v>
      </c>
      <c r="AG28" s="1047">
        <v>0</v>
      </c>
      <c r="AH28" s="1267">
        <f t="shared" si="22"/>
        <v>828.26</v>
      </c>
      <c r="AI28" s="1264">
        <f t="shared" si="23"/>
        <v>1.0618717948717948</v>
      </c>
      <c r="AJ28" s="1009">
        <v>819</v>
      </c>
      <c r="AK28" s="1047">
        <v>9.26</v>
      </c>
      <c r="AL28" s="1267">
        <f t="shared" si="24"/>
        <v>215.84899999999999</v>
      </c>
      <c r="AM28" s="1264">
        <f t="shared" si="25"/>
        <v>0.27672948717948714</v>
      </c>
      <c r="AN28" s="1009">
        <f>'Ремонт вода 2015'!G49/1000</f>
        <v>215.84899999999999</v>
      </c>
      <c r="AO28" s="1047">
        <v>0</v>
      </c>
      <c r="AP28" s="1328">
        <f t="shared" si="26"/>
        <v>0</v>
      </c>
      <c r="AQ28" s="1329">
        <f t="shared" si="92"/>
        <v>0</v>
      </c>
      <c r="AR28" s="1329">
        <f t="shared" si="27"/>
        <v>0</v>
      </c>
      <c r="AS28" s="1330">
        <f t="shared" si="2"/>
        <v>0</v>
      </c>
      <c r="AT28" s="1050">
        <v>151.91</v>
      </c>
      <c r="AU28" s="1009">
        <v>151.91</v>
      </c>
      <c r="AV28" s="1047">
        <v>0</v>
      </c>
      <c r="AW28" s="1050">
        <f>SUM(AX28:AY28)</f>
        <v>233.59</v>
      </c>
      <c r="AX28" s="1009">
        <v>233.59</v>
      </c>
      <c r="AY28" s="2643">
        <v>0</v>
      </c>
      <c r="AZ28" s="1050">
        <f>SUM(BA28:BB28)</f>
        <v>339.39</v>
      </c>
      <c r="BA28" s="1009">
        <v>339.39</v>
      </c>
      <c r="BB28" s="2643">
        <v>0</v>
      </c>
      <c r="BC28" s="1267">
        <v>256.13</v>
      </c>
      <c r="BD28" s="2139">
        <f t="shared" si="33"/>
        <v>1.1866165699169327</v>
      </c>
      <c r="BE28" s="1009">
        <f>SUM('Ремонт вода 2016'!K191/1000)</f>
        <v>1593.616</v>
      </c>
      <c r="BF28" s="1047">
        <v>0</v>
      </c>
      <c r="BG28" s="1267">
        <f>' текРемвода 2016'!I197/1000</f>
        <v>256.13299999999998</v>
      </c>
      <c r="BH28" s="2139">
        <f t="shared" si="34"/>
        <v>1.186630468521976</v>
      </c>
      <c r="BI28" s="1009">
        <f>BG28</f>
        <v>256.13299999999998</v>
      </c>
      <c r="BJ28" s="1047">
        <v>0</v>
      </c>
      <c r="BK28" s="1914" t="s">
        <v>980</v>
      </c>
      <c r="BL28" s="2869">
        <f>SUM(BM28:BN28)</f>
        <v>129.63999999999999</v>
      </c>
      <c r="BM28" s="2870">
        <v>129.63999999999999</v>
      </c>
      <c r="BN28" s="2871">
        <v>0</v>
      </c>
      <c r="BO28" s="2869">
        <f>SUM(BP28:BQ28)</f>
        <v>192.39</v>
      </c>
      <c r="BP28" s="2870">
        <v>192.39</v>
      </c>
      <c r="BQ28" s="2871">
        <v>0</v>
      </c>
      <c r="BR28" s="2869">
        <f>SUM(BS28:BT28)</f>
        <v>291.54000000000002</v>
      </c>
      <c r="BS28" s="2870">
        <v>291.54000000000002</v>
      </c>
      <c r="BT28" s="2871">
        <v>0</v>
      </c>
      <c r="BU28" s="1267">
        <f>SUM(AE28/2)</f>
        <v>146.25</v>
      </c>
      <c r="BV28" s="2139">
        <f t="shared" si="35"/>
        <v>0.57099241409736357</v>
      </c>
      <c r="BW28" s="1009">
        <f>BU28*BW56/(BW56+BX56)</f>
        <v>145.55522565320666</v>
      </c>
      <c r="BX28" s="1047">
        <f>SUM(BU28-BW28)</f>
        <v>0.69477434679333783</v>
      </c>
      <c r="BY28" s="1267">
        <f>BG28*(1-0.01)*(1+0.071)*(1+0)</f>
        <v>271.57525856999996</v>
      </c>
      <c r="BZ28" s="2139">
        <f t="shared" si="93"/>
        <v>1.06029</v>
      </c>
      <c r="CA28" s="1009">
        <f>BY28</f>
        <v>271.57525856999996</v>
      </c>
      <c r="CB28" s="1047">
        <v>0</v>
      </c>
      <c r="CC28" s="1914"/>
      <c r="CD28" s="3951">
        <f>SUM(CE28:CF28)</f>
        <v>199.69</v>
      </c>
      <c r="CE28" s="3952">
        <v>199.69</v>
      </c>
      <c r="CF28" s="3952">
        <v>0</v>
      </c>
      <c r="CG28" s="3952">
        <f>SUM(CH28:CI28)</f>
        <v>367.96</v>
      </c>
      <c r="CH28" s="3952">
        <v>367.96</v>
      </c>
      <c r="CI28" s="3952">
        <v>0</v>
      </c>
      <c r="CJ28" s="3952">
        <f>SUM(CK28:CL28)</f>
        <v>490.61333333333329</v>
      </c>
      <c r="CK28" s="3952">
        <f>SUM(CG28/9*12)</f>
        <v>490.61333333333329</v>
      </c>
      <c r="CL28" s="3606">
        <v>0</v>
      </c>
      <c r="CM28" s="4093">
        <f>BY28*(1-0.01)*(1+0.058)*(1+0)</f>
        <v>284.45335733138938</v>
      </c>
      <c r="CN28" s="4359">
        <f t="shared" si="28"/>
        <v>1.04742</v>
      </c>
      <c r="CO28" s="4041">
        <f>CM28*CO56/(CO56+CP56)</f>
        <v>282.92403820595177</v>
      </c>
      <c r="CP28" s="3747">
        <f>SUM(CM28-CO28)</f>
        <v>1.5293191254376097</v>
      </c>
      <c r="CQ28" s="4093">
        <f>BY28*(1-0.01)*(1+0.04)*(1+0)</f>
        <v>279.61388622367195</v>
      </c>
      <c r="CR28" s="4359">
        <f t="shared" si="36"/>
        <v>1.0296000000000001</v>
      </c>
      <c r="CS28" s="4041">
        <f>SUM(CQ28-CT28)</f>
        <v>279.61388622367195</v>
      </c>
      <c r="CT28" s="3747">
        <f>SUM(CB28*(1-0.01)*(1+0.058)*(1+0))</f>
        <v>0</v>
      </c>
    </row>
    <row r="29" spans="1:98" ht="21" customHeight="1">
      <c r="A29" s="1279" t="s">
        <v>2</v>
      </c>
      <c r="B29" s="1273">
        <v>332.9</v>
      </c>
      <c r="C29" s="17">
        <v>352.9</v>
      </c>
      <c r="D29" s="30">
        <f t="shared" si="14"/>
        <v>106.00781015319916</v>
      </c>
      <c r="E29" s="17">
        <v>309.39999999999998</v>
      </c>
      <c r="F29" s="30">
        <f t="shared" si="15"/>
        <v>87.673561915556817</v>
      </c>
      <c r="G29" s="17">
        <v>267</v>
      </c>
      <c r="H29" s="30">
        <f t="shared" si="16"/>
        <v>86.296056884292184</v>
      </c>
      <c r="I29" s="141">
        <v>257</v>
      </c>
      <c r="J29" s="141">
        <v>129.80000000000001</v>
      </c>
      <c r="K29" s="141">
        <v>203.5</v>
      </c>
      <c r="L29" s="141">
        <v>272.89999999999998</v>
      </c>
      <c r="M29" s="161">
        <f t="shared" si="17"/>
        <v>106.18677042801556</v>
      </c>
      <c r="N29" s="161">
        <f t="shared" si="18"/>
        <v>102.20973782771534</v>
      </c>
      <c r="O29" s="141">
        <v>257</v>
      </c>
      <c r="P29" s="161">
        <f t="shared" si="19"/>
        <v>100</v>
      </c>
      <c r="Q29" s="235">
        <v>257</v>
      </c>
      <c r="R29" s="161">
        <f t="shared" si="29"/>
        <v>100</v>
      </c>
      <c r="S29" s="161">
        <f t="shared" si="30"/>
        <v>94.173689996335668</v>
      </c>
      <c r="T29" s="141" t="e">
        <f>Q29/Q56*T56</f>
        <v>#REF!</v>
      </c>
      <c r="U29" s="141" t="e">
        <f t="shared" si="128"/>
        <v>#REF!</v>
      </c>
      <c r="V29" s="141">
        <v>205.4</v>
      </c>
      <c r="W29" s="141">
        <f>272.9*(объемы!$AA$10-объемы!$AA$19)/объемы!$AA$10</f>
        <v>271.29792232984926</v>
      </c>
      <c r="X29" s="1288">
        <f>272.9-W29</f>
        <v>1.6020776701507202</v>
      </c>
      <c r="Y29" s="1296">
        <v>298.89999999999998</v>
      </c>
      <c r="Z29" s="1300">
        <f t="shared" si="20"/>
        <v>1.1630350194552528</v>
      </c>
      <c r="AA29" s="1050">
        <f>Аморт!G23</f>
        <v>272.89999999999998</v>
      </c>
      <c r="AB29" s="1302">
        <f t="shared" si="1"/>
        <v>1.0618677042801556</v>
      </c>
      <c r="AC29" s="1009">
        <f>$AC$56/$AA$56*AA29</f>
        <v>269.80207788361872</v>
      </c>
      <c r="AD29" s="1047">
        <f t="shared" si="32"/>
        <v>3.0979221163812554</v>
      </c>
      <c r="AE29" s="1050">
        <f>SUM(Аморт!L23)</f>
        <v>72.099999999999994</v>
      </c>
      <c r="AF29" s="1009">
        <f>AF56/AE56*AE29</f>
        <v>71.211022530329288</v>
      </c>
      <c r="AG29" s="1047">
        <f>AE29-AF29</f>
        <v>0.88897746967070645</v>
      </c>
      <c r="AH29" s="1267">
        <f t="shared" si="22"/>
        <v>273</v>
      </c>
      <c r="AI29" s="1264">
        <f t="shared" si="23"/>
        <v>1.0003664345914256</v>
      </c>
      <c r="AJ29" s="1009">
        <v>269.89</v>
      </c>
      <c r="AK29" s="1047">
        <v>3.11</v>
      </c>
      <c r="AL29" s="1267">
        <f t="shared" si="24"/>
        <v>273</v>
      </c>
      <c r="AM29" s="1264">
        <f t="shared" si="25"/>
        <v>1.0003664345914256</v>
      </c>
      <c r="AN29" s="1009">
        <f>Аморт!O23*AN56/(AN56+AO56)</f>
        <v>269.89233787385257</v>
      </c>
      <c r="AO29" s="1047">
        <f>-AN29+Аморт!O23</f>
        <v>3.1076621261474315</v>
      </c>
      <c r="AP29" s="1328">
        <f t="shared" si="26"/>
        <v>-26</v>
      </c>
      <c r="AQ29" s="1329">
        <f t="shared" si="92"/>
        <v>-25.70485168550417</v>
      </c>
      <c r="AR29" s="1329">
        <f t="shared" si="27"/>
        <v>-0.29514831449582957</v>
      </c>
      <c r="AS29" s="1330">
        <f t="shared" si="2"/>
        <v>-26</v>
      </c>
      <c r="AT29" s="1050">
        <f>SUM(Аморт!Q23)</f>
        <v>26.95</v>
      </c>
      <c r="AU29" s="1009">
        <f>AU56/AT56*AT29</f>
        <v>26.764509565531931</v>
      </c>
      <c r="AV29" s="1047">
        <f>AT29-AU29</f>
        <v>0.18549043446806834</v>
      </c>
      <c r="AW29" s="1050">
        <v>40.42</v>
      </c>
      <c r="AX29" s="1009">
        <v>40.17</v>
      </c>
      <c r="AY29" s="2643">
        <v>0.25</v>
      </c>
      <c r="AZ29" s="1050">
        <v>53.89</v>
      </c>
      <c r="BA29" s="1009">
        <f>BA56/AZ56*AZ29</f>
        <v>53.630273355870514</v>
      </c>
      <c r="BB29" s="1047">
        <f>AZ29-BA29</f>
        <v>0.25972664412948632</v>
      </c>
      <c r="BC29" s="1267">
        <f>SUM(Аморт!U23)</f>
        <v>273</v>
      </c>
      <c r="BD29" s="2139">
        <f t="shared" si="33"/>
        <v>1</v>
      </c>
      <c r="BE29" s="1009">
        <f>BE56/BC56*BC29</f>
        <v>271.54196228678882</v>
      </c>
      <c r="BF29" s="1047">
        <f>BC29-BE29</f>
        <v>1.4580377132111835</v>
      </c>
      <c r="BG29" s="1267">
        <f>SUM(Аморт!V23)</f>
        <v>53.893333333333338</v>
      </c>
      <c r="BH29" s="2139">
        <f t="shared" si="34"/>
        <v>0.19741147741147744</v>
      </c>
      <c r="BI29" s="1009">
        <f>BI56/BG56*BG29</f>
        <v>53.605499954246675</v>
      </c>
      <c r="BJ29" s="1047">
        <f>BG29-BI29</f>
        <v>0.2878333790866634</v>
      </c>
      <c r="BK29" s="1914" t="str">
        <f>BK20</f>
        <v>Приложение</v>
      </c>
      <c r="BL29" s="2869">
        <f>SUM(Аморт!AB23)</f>
        <v>26.94</v>
      </c>
      <c r="BM29" s="2870">
        <f>BM56/BL56*BL29</f>
        <v>26.918271332631026</v>
      </c>
      <c r="BN29" s="2871">
        <f>BL29-BM29</f>
        <v>2.1728667368975607E-2</v>
      </c>
      <c r="BO29" s="2869">
        <f>SUM(Аморт!AC23)</f>
        <v>40.409999999999997</v>
      </c>
      <c r="BP29" s="2870">
        <f>BP56/BO56*BO29</f>
        <v>40.380499563854997</v>
      </c>
      <c r="BQ29" s="2871">
        <f>BO29-BP29</f>
        <v>2.9500436144999753E-2</v>
      </c>
      <c r="BR29" s="2869">
        <f>SUM(Аморт!AD23)</f>
        <v>53.89</v>
      </c>
      <c r="BS29" s="2870">
        <f>BS56/BR56*BR29</f>
        <v>53.85375863750231</v>
      </c>
      <c r="BT29" s="2871">
        <f>BR29-BS29</f>
        <v>3.6241362497690943E-2</v>
      </c>
      <c r="BU29" s="1267">
        <f>SUM(Аморт!AE23)</f>
        <v>53.89</v>
      </c>
      <c r="BV29" s="2139">
        <f t="shared" si="35"/>
        <v>0.9999381494309747</v>
      </c>
      <c r="BW29" s="1009">
        <f>BW56/BU56*BU29</f>
        <v>53.633990498812352</v>
      </c>
      <c r="BX29" s="1047">
        <f>BU29-BW29</f>
        <v>0.25600950118764843</v>
      </c>
      <c r="BY29" s="1267">
        <f>SUM(Аморт!AF23)</f>
        <v>53.89</v>
      </c>
      <c r="BZ29" s="2139">
        <f t="shared" si="93"/>
        <v>0.9999381494309747</v>
      </c>
      <c r="CA29" s="1009">
        <v>53.89</v>
      </c>
      <c r="CB29" s="1047">
        <f>BY29-CA29</f>
        <v>0</v>
      </c>
      <c r="CC29" s="1914"/>
      <c r="CD29" s="3951">
        <f>SUM(CE29:CF29)</f>
        <v>26.94</v>
      </c>
      <c r="CE29" s="3952">
        <f>SUM(Аморт!AH23)</f>
        <v>26.94</v>
      </c>
      <c r="CF29" s="3952">
        <v>0</v>
      </c>
      <c r="CG29" s="3952">
        <f>SUM(CH29:CI29)</f>
        <v>40.409999999999997</v>
      </c>
      <c r="CH29" s="3952">
        <f>SUM(Аморт!AI23)</f>
        <v>40.409999999999997</v>
      </c>
      <c r="CI29" s="3952">
        <v>0</v>
      </c>
      <c r="CJ29" s="3952">
        <f>SUM(CK29)</f>
        <v>53.879999999999995</v>
      </c>
      <c r="CK29" s="3952">
        <f>SUM(Аморт!AJ23)</f>
        <v>53.879999999999995</v>
      </c>
      <c r="CL29" s="3606">
        <v>0</v>
      </c>
      <c r="CM29" s="4093">
        <f>SUM(Аморт!AK23)</f>
        <v>53.89</v>
      </c>
      <c r="CN29" s="4359">
        <f t="shared" si="28"/>
        <v>1</v>
      </c>
      <c r="CO29" s="4041">
        <f>SUM(CM29)</f>
        <v>53.89</v>
      </c>
      <c r="CP29" s="3747">
        <f>CM29-CO29</f>
        <v>0</v>
      </c>
      <c r="CQ29" s="4093">
        <f>SUM(Аморт!AL23)</f>
        <v>53.89</v>
      </c>
      <c r="CR29" s="4359">
        <f t="shared" si="36"/>
        <v>1</v>
      </c>
      <c r="CS29" s="4041">
        <f>SUM(CQ29)</f>
        <v>53.89</v>
      </c>
      <c r="CT29" s="3747">
        <f>CQ29-CS29</f>
        <v>0</v>
      </c>
    </row>
    <row r="30" spans="1:98" ht="21" customHeight="1">
      <c r="A30" s="1279" t="s">
        <v>219</v>
      </c>
      <c r="B30" s="1273">
        <v>35.4</v>
      </c>
      <c r="C30" s="128"/>
      <c r="D30" s="30">
        <f t="shared" si="14"/>
        <v>0</v>
      </c>
      <c r="E30" s="2">
        <v>8.6999999999999993</v>
      </c>
      <c r="F30" s="30"/>
      <c r="G30" s="17"/>
      <c r="H30" s="30">
        <f t="shared" si="16"/>
        <v>0</v>
      </c>
      <c r="I30" s="141"/>
      <c r="J30" s="141"/>
      <c r="K30" s="141"/>
      <c r="L30" s="141">
        <v>33.299999999999997</v>
      </c>
      <c r="M30" s="161"/>
      <c r="N30" s="161"/>
      <c r="O30" s="141"/>
      <c r="P30" s="161"/>
      <c r="Q30" s="235"/>
      <c r="R30" s="161"/>
      <c r="S30" s="161"/>
      <c r="T30" s="141"/>
      <c r="U30" s="141">
        <f t="shared" si="128"/>
        <v>0</v>
      </c>
      <c r="V30" s="141">
        <v>0</v>
      </c>
      <c r="W30" s="141">
        <v>0</v>
      </c>
      <c r="X30" s="1288">
        <v>0</v>
      </c>
      <c r="Y30" s="1296">
        <v>0</v>
      </c>
      <c r="Z30" s="1300"/>
      <c r="AA30" s="1050">
        <v>0</v>
      </c>
      <c r="AB30" s="1302"/>
      <c r="AC30" s="1009">
        <f>$AC$56/$AA$56*AA30</f>
        <v>0</v>
      </c>
      <c r="AD30" s="1047">
        <f t="shared" si="32"/>
        <v>0</v>
      </c>
      <c r="AE30" s="1050">
        <v>0</v>
      </c>
      <c r="AF30" s="1009">
        <v>0</v>
      </c>
      <c r="AG30" s="1047">
        <v>0</v>
      </c>
      <c r="AH30" s="1267">
        <f t="shared" si="22"/>
        <v>0</v>
      </c>
      <c r="AI30" s="1264"/>
      <c r="AJ30" s="1009">
        <v>0</v>
      </c>
      <c r="AK30" s="1047">
        <v>0</v>
      </c>
      <c r="AL30" s="1267">
        <f t="shared" si="24"/>
        <v>0</v>
      </c>
      <c r="AM30" s="1264"/>
      <c r="AN30" s="1009">
        <v>0</v>
      </c>
      <c r="AO30" s="1047">
        <v>0</v>
      </c>
      <c r="AP30" s="1328">
        <f t="shared" si="26"/>
        <v>0</v>
      </c>
      <c r="AQ30" s="1329"/>
      <c r="AR30" s="1329"/>
      <c r="AS30" s="1330">
        <f t="shared" si="2"/>
        <v>0</v>
      </c>
      <c r="AT30" s="1050">
        <v>0</v>
      </c>
      <c r="AU30" s="1009">
        <v>0</v>
      </c>
      <c r="AV30" s="1047">
        <v>0</v>
      </c>
      <c r="AW30" s="1050">
        <v>0</v>
      </c>
      <c r="AX30" s="1009">
        <v>0</v>
      </c>
      <c r="AY30" s="2643">
        <v>0</v>
      </c>
      <c r="AZ30" s="1050">
        <v>0</v>
      </c>
      <c r="BA30" s="1009">
        <v>0</v>
      </c>
      <c r="BB30" s="2643">
        <v>0</v>
      </c>
      <c r="BC30" s="1267">
        <f t="shared" ref="BC30" si="129">SUM(BE30+BF30)</f>
        <v>0</v>
      </c>
      <c r="BD30" s="2139"/>
      <c r="BE30" s="1009">
        <v>0</v>
      </c>
      <c r="BF30" s="1047">
        <v>0</v>
      </c>
      <c r="BG30" s="1267">
        <f t="shared" ref="BG30" si="130">SUM(BI30+BJ30)</f>
        <v>0</v>
      </c>
      <c r="BH30" s="2139"/>
      <c r="BI30" s="1009">
        <v>0</v>
      </c>
      <c r="BJ30" s="1047">
        <v>0</v>
      </c>
      <c r="BK30" s="1914"/>
      <c r="BL30" s="2869">
        <v>0</v>
      </c>
      <c r="BM30" s="2870">
        <v>0</v>
      </c>
      <c r="BN30" s="2871">
        <v>0</v>
      </c>
      <c r="BO30" s="2869">
        <v>0</v>
      </c>
      <c r="BP30" s="2870">
        <v>0</v>
      </c>
      <c r="BQ30" s="2871">
        <v>0</v>
      </c>
      <c r="BR30" s="2869">
        <v>0</v>
      </c>
      <c r="BS30" s="2870">
        <v>0</v>
      </c>
      <c r="BT30" s="2871">
        <v>0</v>
      </c>
      <c r="BU30" s="1267">
        <f t="shared" ref="BU30" si="131">SUM(BW30+BX30)</f>
        <v>0</v>
      </c>
      <c r="BV30" s="2139"/>
      <c r="BW30" s="1009">
        <v>0</v>
      </c>
      <c r="BX30" s="1047">
        <v>0</v>
      </c>
      <c r="BY30" s="1267">
        <f t="shared" ref="BY30" si="132">SUM(CA30+CB30)</f>
        <v>0</v>
      </c>
      <c r="BZ30" s="2139"/>
      <c r="CA30" s="1009">
        <v>0</v>
      </c>
      <c r="CB30" s="1047">
        <v>0</v>
      </c>
      <c r="CC30" s="1914"/>
      <c r="CD30" s="3953">
        <f t="shared" ref="CD30" si="133">SUM(CF30+CG30)</f>
        <v>0</v>
      </c>
      <c r="CE30" s="3952">
        <v>0</v>
      </c>
      <c r="CF30" s="3952">
        <v>0</v>
      </c>
      <c r="CG30" s="4361">
        <f t="shared" ref="CG30" si="134">SUM(CI30+CJ30)</f>
        <v>0</v>
      </c>
      <c r="CH30" s="3952">
        <v>0</v>
      </c>
      <c r="CI30" s="3952">
        <v>0</v>
      </c>
      <c r="CJ30" s="4361">
        <f t="shared" ref="CJ30" si="135">SUM(CL30+CM30)</f>
        <v>0</v>
      </c>
      <c r="CK30" s="3952">
        <v>0</v>
      </c>
      <c r="CL30" s="3606">
        <v>0</v>
      </c>
      <c r="CM30" s="4093">
        <f t="shared" ref="CM30" si="136">SUM(CO30+CP30)</f>
        <v>0</v>
      </c>
      <c r="CN30" s="4359"/>
      <c r="CO30" s="4041">
        <v>0</v>
      </c>
      <c r="CP30" s="3747">
        <v>0</v>
      </c>
      <c r="CQ30" s="4093">
        <f t="shared" ref="CQ30" si="137">SUM(CS30+CT30)</f>
        <v>0</v>
      </c>
      <c r="CR30" s="4359"/>
      <c r="CS30" s="4041">
        <v>0</v>
      </c>
      <c r="CT30" s="3747">
        <v>0</v>
      </c>
    </row>
    <row r="31" spans="1:98" ht="21" customHeight="1">
      <c r="A31" s="1279" t="s">
        <v>4</v>
      </c>
      <c r="B31" s="1273">
        <v>6114.5</v>
      </c>
      <c r="C31" s="17">
        <v>6562.1</v>
      </c>
      <c r="D31" s="30">
        <f t="shared" si="14"/>
        <v>107.32030419494644</v>
      </c>
      <c r="E31" s="17">
        <v>7516.4</v>
      </c>
      <c r="F31" s="30">
        <f t="shared" ref="F31:F42" si="138">E31/C31*100</f>
        <v>114.54260069185169</v>
      </c>
      <c r="G31" s="17">
        <v>8370</v>
      </c>
      <c r="H31" s="30">
        <f t="shared" si="16"/>
        <v>111.35650045234422</v>
      </c>
      <c r="I31" s="141">
        <v>8699.1</v>
      </c>
      <c r="J31" s="141">
        <v>4218.3999999999996</v>
      </c>
      <c r="K31" s="141">
        <v>5882</v>
      </c>
      <c r="L31" s="141">
        <v>8778.6</v>
      </c>
      <c r="M31" s="161">
        <f t="shared" si="17"/>
        <v>100.91388764354934</v>
      </c>
      <c r="N31" s="161">
        <f t="shared" si="18"/>
        <v>104.88172043010752</v>
      </c>
      <c r="O31" s="141">
        <v>10597</v>
      </c>
      <c r="P31" s="161">
        <f t="shared" si="19"/>
        <v>121.81719948040602</v>
      </c>
      <c r="Q31" s="235">
        <f>ЗП!AP11</f>
        <v>9316.8646200000003</v>
      </c>
      <c r="R31" s="161">
        <f t="shared" si="29"/>
        <v>107.10147739421319</v>
      </c>
      <c r="S31" s="161">
        <f t="shared" si="30"/>
        <v>106.13155423416035</v>
      </c>
      <c r="T31" s="141" t="e">
        <f>Q31/Q56*T56</f>
        <v>#REF!</v>
      </c>
      <c r="U31" s="141" t="e">
        <f t="shared" si="128"/>
        <v>#REF!</v>
      </c>
      <c r="V31" s="141">
        <v>7252.1</v>
      </c>
      <c r="W31" s="141">
        <f>9723.8*(объемы!$AA$10-объемы!$AA$19)/объемы!$AA$10</f>
        <v>9666.7157828911259</v>
      </c>
      <c r="X31" s="1288">
        <f>9723.8-W31</f>
        <v>57.084217108873418</v>
      </c>
      <c r="Y31" s="1296">
        <v>11262.6</v>
      </c>
      <c r="Z31" s="1300">
        <f t="shared" si="20"/>
        <v>1.2088401473413273</v>
      </c>
      <c r="AA31" s="1050">
        <f>ЗП!U27</f>
        <v>9838.6090387200002</v>
      </c>
      <c r="AB31" s="1302">
        <f t="shared" si="1"/>
        <v>1.056</v>
      </c>
      <c r="AC31" s="1009">
        <f>$AC$56/$AA$56*AA31</f>
        <v>9726.9225435368589</v>
      </c>
      <c r="AD31" s="1047">
        <f t="shared" si="32"/>
        <v>111.68649518314123</v>
      </c>
      <c r="AE31" s="1050">
        <f>SUM(ЗП!AS27)</f>
        <v>9116.1</v>
      </c>
      <c r="AF31" s="1009">
        <f>AF56/AE56*AE31</f>
        <v>9003.7004506065859</v>
      </c>
      <c r="AG31" s="1047">
        <f>AE31-AF31</f>
        <v>112.39954939341442</v>
      </c>
      <c r="AH31" s="1267">
        <f t="shared" si="22"/>
        <v>10364.799999999999</v>
      </c>
      <c r="AI31" s="1264">
        <f t="shared" si="23"/>
        <v>1.0534822513232476</v>
      </c>
      <c r="AJ31" s="1009">
        <v>10246.81</v>
      </c>
      <c r="AK31" s="1047">
        <v>117.99</v>
      </c>
      <c r="AL31" s="1267">
        <f t="shared" si="24"/>
        <v>10364.799999999999</v>
      </c>
      <c r="AM31" s="1264">
        <f t="shared" si="25"/>
        <v>1.0534822513232476</v>
      </c>
      <c r="AN31" s="1009">
        <f>ЗП!BB27*AN56/(AN56+AO56)</f>
        <v>10246.813566281709</v>
      </c>
      <c r="AO31" s="1047">
        <f>-AN31+ЗП!BB27</f>
        <v>117.98643371828985</v>
      </c>
      <c r="AP31" s="1328">
        <f t="shared" si="26"/>
        <v>-1423.9909612800002</v>
      </c>
      <c r="AQ31" s="1329">
        <f t="shared" ref="AQ31:AQ36" si="139">AP31*AC31/AA31</f>
        <v>-1407.8260177384966</v>
      </c>
      <c r="AR31" s="1329">
        <f t="shared" si="27"/>
        <v>-16.16494354150359</v>
      </c>
      <c r="AS31" s="1330">
        <f t="shared" si="2"/>
        <v>-1423.9909612800002</v>
      </c>
      <c r="AT31" s="1050">
        <f>SUM(ЗП!BG27)</f>
        <v>4499.5</v>
      </c>
      <c r="AU31" s="1009">
        <f>AU56/AT56*AT31</f>
        <v>4468.5310126200711</v>
      </c>
      <c r="AV31" s="1047">
        <f>AT31-AU31</f>
        <v>30.968987379928876</v>
      </c>
      <c r="AW31" s="1050">
        <v>6931.08</v>
      </c>
      <c r="AX31" s="1009">
        <f>AX56/AW56*AW31</f>
        <v>6888.4460255853382</v>
      </c>
      <c r="AY31" s="2643">
        <f>AW31-AX31</f>
        <v>42.633974414661679</v>
      </c>
      <c r="AZ31" s="1050">
        <v>9142.15</v>
      </c>
      <c r="BA31" s="1009">
        <f>BA56/AZ56*AZ31</f>
        <v>9098.0887652694673</v>
      </c>
      <c r="BB31" s="2643">
        <f>AZ31-BA31</f>
        <v>44.061234730532306</v>
      </c>
      <c r="BC31" s="1267">
        <f>SUM(ЗП!BS27)</f>
        <v>11401.28</v>
      </c>
      <c r="BD31" s="2139">
        <f t="shared" si="33"/>
        <v>1.1000000000000001</v>
      </c>
      <c r="BE31" s="1009">
        <f>BE56/BC56*BC31</f>
        <v>11340.388072458316</v>
      </c>
      <c r="BF31" s="1047">
        <f>BC31-BE31</f>
        <v>60.891927541684709</v>
      </c>
      <c r="BG31" s="1267">
        <f>SUM(ЗП!BW27)</f>
        <v>10629.419452631584</v>
      </c>
      <c r="BH31" s="2139">
        <f t="shared" si="34"/>
        <v>1.0255305893631894</v>
      </c>
      <c r="BI31" s="1009">
        <f>BI56/BG56*BG31</f>
        <v>10572.649875959507</v>
      </c>
      <c r="BJ31" s="1047">
        <f>BG31-BI31</f>
        <v>56.769576672077164</v>
      </c>
      <c r="BK31" s="1914" t="str">
        <f>BK23</f>
        <v>Приложение</v>
      </c>
      <c r="BL31" s="2869">
        <f>SUM(ЗП!CB27)</f>
        <v>4533.79</v>
      </c>
      <c r="BM31" s="2870">
        <f>BM56/BL56*BL31</f>
        <v>4530.1332362720568</v>
      </c>
      <c r="BN31" s="2871">
        <f>BL31-BM31</f>
        <v>3.6567637279431437</v>
      </c>
      <c r="BO31" s="2869">
        <f>SUM(ЗП!CF27)</f>
        <v>7131.68</v>
      </c>
      <c r="BP31" s="2870">
        <f>BP56/BO56*BO31</f>
        <v>7126.4736730896666</v>
      </c>
      <c r="BQ31" s="2871">
        <f>BO31-BP31</f>
        <v>5.2063269103337007</v>
      </c>
      <c r="BR31" s="2869">
        <f>SUM(ЗП!CJ27)</f>
        <v>9289.84</v>
      </c>
      <c r="BS31" s="2870">
        <f>BS56/BR56*BR31</f>
        <v>9283.5925244203827</v>
      </c>
      <c r="BT31" s="2871">
        <f>BR31-BS31</f>
        <v>6.2474755796174577</v>
      </c>
      <c r="BU31" s="1267">
        <f>SUM(ЗП!CN27)</f>
        <v>11692.361397894741</v>
      </c>
      <c r="BV31" s="2139">
        <f t="shared" si="35"/>
        <v>1.0999999999999999</v>
      </c>
      <c r="BW31" s="1009">
        <f>BW56/BU56*BU31</f>
        <v>11636.81573804726</v>
      </c>
      <c r="BX31" s="1047">
        <f>BU31-BW31</f>
        <v>55.545659847481147</v>
      </c>
      <c r="BY31" s="1267">
        <f>SUM(ЗП!CR27)</f>
        <v>11270.267151430742</v>
      </c>
      <c r="BZ31" s="2139">
        <f t="shared" si="93"/>
        <v>1.06029</v>
      </c>
      <c r="CA31" s="1009">
        <f>CA56/BY56*BY31</f>
        <v>11209.777160595168</v>
      </c>
      <c r="CB31" s="1047">
        <f>BY31-CA31</f>
        <v>60.489990835574645</v>
      </c>
      <c r="CC31" s="1914"/>
      <c r="CD31" s="3953">
        <f>SUM(ЗП!CV27)</f>
        <v>4329.59</v>
      </c>
      <c r="CE31" s="3952">
        <f>CE56/CD56*CD31</f>
        <v>4327.0654032049069</v>
      </c>
      <c r="CF31" s="3952">
        <f>CD31-CE31</f>
        <v>2.5245967950932027</v>
      </c>
      <c r="CG31" s="4361">
        <f>SUM(ЗП!CY27)</f>
        <v>6450.84</v>
      </c>
      <c r="CH31" s="3952">
        <f>CH56/CG56*CG31</f>
        <v>6447.5292874707393</v>
      </c>
      <c r="CI31" s="3952">
        <f>CG31-CH31</f>
        <v>3.3107125292608544</v>
      </c>
      <c r="CJ31" s="4361">
        <f>SUM(ЗП!DB27)</f>
        <v>8572.09</v>
      </c>
      <c r="CK31" s="3952">
        <f>CK56/CJ56*CJ31</f>
        <v>8567.6871607646081</v>
      </c>
      <c r="CL31" s="3606">
        <f>CJ31-CK31</f>
        <v>4.4028392353920935</v>
      </c>
      <c r="CM31" s="4093">
        <f>SUM(ЗП!DE27)</f>
        <v>11804.703219751589</v>
      </c>
      <c r="CN31" s="4359">
        <f t="shared" si="28"/>
        <v>1.04742</v>
      </c>
      <c r="CO31" s="4041">
        <f>CO56/CM56*CM31</f>
        <v>11741.237073408838</v>
      </c>
      <c r="CP31" s="3747">
        <f>CM31-CO31</f>
        <v>63.466146342751017</v>
      </c>
      <c r="CQ31" s="4093">
        <f>SUM(ЗП!DI27)</f>
        <v>11603.867059113092</v>
      </c>
      <c r="CR31" s="4359">
        <f t="shared" si="36"/>
        <v>1.0296000000000001</v>
      </c>
      <c r="CS31" s="4041">
        <f>SUM(CQ31-CT31)</f>
        <v>11539.716652584582</v>
      </c>
      <c r="CT31" s="3747">
        <f>SUM(CB31*(1-0.01)*(1+0.058)*(1+0)*1.0125)</f>
        <v>64.150406528510061</v>
      </c>
    </row>
    <row r="32" spans="1:98" ht="21" customHeight="1">
      <c r="A32" s="1279" t="s">
        <v>5</v>
      </c>
      <c r="B32" s="1273">
        <v>1537.3</v>
      </c>
      <c r="C32" s="17">
        <v>1692.9</v>
      </c>
      <c r="D32" s="30">
        <f t="shared" si="14"/>
        <v>110.1216418395889</v>
      </c>
      <c r="E32" s="17">
        <v>2020.4</v>
      </c>
      <c r="F32" s="30">
        <f t="shared" si="138"/>
        <v>119.34550180164216</v>
      </c>
      <c r="G32" s="17">
        <v>2846.8</v>
      </c>
      <c r="H32" s="30">
        <f t="shared" si="16"/>
        <v>140.90279152643041</v>
      </c>
      <c r="I32" s="141">
        <f>I31*30.2/100</f>
        <v>2627.1282000000001</v>
      </c>
      <c r="J32" s="141">
        <v>1433.5</v>
      </c>
      <c r="K32" s="141">
        <v>1767.4</v>
      </c>
      <c r="L32" s="141">
        <v>2640.5</v>
      </c>
      <c r="M32" s="161">
        <f t="shared" si="17"/>
        <v>100.50898924536686</v>
      </c>
      <c r="N32" s="161">
        <f t="shared" si="18"/>
        <v>92.75326682590979</v>
      </c>
      <c r="O32" s="141">
        <v>3200.3</v>
      </c>
      <c r="P32" s="161">
        <f t="shared" si="19"/>
        <v>121.81742786667206</v>
      </c>
      <c r="Q32" s="235">
        <f>Q31*0.302</f>
        <v>2813.6931152400002</v>
      </c>
      <c r="R32" s="161">
        <f t="shared" si="29"/>
        <v>107.10147739421321</v>
      </c>
      <c r="S32" s="161">
        <f t="shared" si="30"/>
        <v>106.5591030198826</v>
      </c>
      <c r="T32" s="141" t="e">
        <f>Q32/Q56*T56</f>
        <v>#REF!</v>
      </c>
      <c r="U32" s="141" t="e">
        <f t="shared" si="128"/>
        <v>#REF!</v>
      </c>
      <c r="V32" s="141">
        <v>2190.9</v>
      </c>
      <c r="W32" s="141"/>
      <c r="X32" s="1288"/>
      <c r="Y32" s="1296">
        <v>3401.3</v>
      </c>
      <c r="Z32" s="1300">
        <f t="shared" si="20"/>
        <v>1.2088382992364393</v>
      </c>
      <c r="AA32" s="1050">
        <f>AA31*0.302</f>
        <v>2971.25992969344</v>
      </c>
      <c r="AB32" s="1302">
        <f t="shared" si="1"/>
        <v>1.0559999999999998</v>
      </c>
      <c r="AC32" s="1009">
        <f>$AC$56/$AA$56*AA32</f>
        <v>2937.5306081481317</v>
      </c>
      <c r="AD32" s="1047">
        <f t="shared" si="32"/>
        <v>33.729321545308267</v>
      </c>
      <c r="AE32" s="1050">
        <v>2737.5</v>
      </c>
      <c r="AF32" s="1009">
        <f>AF56/AE56*AE32</f>
        <v>2703.7472146570935</v>
      </c>
      <c r="AG32" s="1047">
        <f>AE32-AF32</f>
        <v>33.752785342906463</v>
      </c>
      <c r="AH32" s="1267">
        <f t="shared" si="22"/>
        <v>3130.17</v>
      </c>
      <c r="AI32" s="1264">
        <f t="shared" si="23"/>
        <v>1.0534823859462727</v>
      </c>
      <c r="AJ32" s="1009">
        <v>3094.54</v>
      </c>
      <c r="AK32" s="1047">
        <v>35.630000000000003</v>
      </c>
      <c r="AL32" s="1267">
        <f t="shared" si="24"/>
        <v>3130.1695999999997</v>
      </c>
      <c r="AM32" s="1264">
        <f t="shared" si="25"/>
        <v>1.0534822513232476</v>
      </c>
      <c r="AN32" s="1009">
        <f>AN31*0.302</f>
        <v>3094.537697017076</v>
      </c>
      <c r="AO32" s="1047">
        <f>AO31*0.302</f>
        <v>35.631902982923535</v>
      </c>
      <c r="AP32" s="1328">
        <f t="shared" si="26"/>
        <v>-430.04007030656021</v>
      </c>
      <c r="AQ32" s="1329">
        <f t="shared" si="139"/>
        <v>-425.15831638668908</v>
      </c>
      <c r="AR32" s="1329">
        <f t="shared" si="27"/>
        <v>-4.8817539198711302</v>
      </c>
      <c r="AS32" s="1330">
        <f t="shared" si="2"/>
        <v>-430.04007030656021</v>
      </c>
      <c r="AT32" s="1050">
        <v>1349.84</v>
      </c>
      <c r="AU32" s="1009">
        <f>AT32*AU56/(AU56+AV56)</f>
        <v>1340.5493726136408</v>
      </c>
      <c r="AV32" s="1047">
        <f>AT32-AU32</f>
        <v>9.2906273863591196</v>
      </c>
      <c r="AW32" s="1050">
        <v>2082.86</v>
      </c>
      <c r="AX32" s="1009">
        <f>AW32*AX56/(AX56+AY56)</f>
        <v>2070.0480572797715</v>
      </c>
      <c r="AY32" s="2643">
        <f>AW32-AX32</f>
        <v>12.811942720228672</v>
      </c>
      <c r="AZ32" s="1050">
        <v>2748.41</v>
      </c>
      <c r="BA32" s="1009">
        <f>AZ32*BA56/(BA56+BB56)</f>
        <v>2735.1638447579899</v>
      </c>
      <c r="BB32" s="2643">
        <f>AZ32-BA32</f>
        <v>13.246155242009991</v>
      </c>
      <c r="BC32" s="1267">
        <f t="shared" ref="BC32" si="140">SUM(BE32+BF32)</f>
        <v>3443.1870000000008</v>
      </c>
      <c r="BD32" s="2139">
        <f t="shared" si="33"/>
        <v>1.1000001405674635</v>
      </c>
      <c r="BE32" s="1009">
        <f>SUM(BE31*AH33)</f>
        <v>3424.7976355324613</v>
      </c>
      <c r="BF32" s="1047">
        <f>SUM(BF31*AH33)</f>
        <v>18.389364467539679</v>
      </c>
      <c r="BG32" s="1267">
        <f t="shared" ref="BG32" si="141">SUM(BI32+BJ32)</f>
        <v>3191.9390695120683</v>
      </c>
      <c r="BH32" s="2139">
        <f t="shared" si="34"/>
        <v>1.0197335855258669</v>
      </c>
      <c r="BI32" s="1009">
        <f>BI31*BI33</f>
        <v>3174.8915693596114</v>
      </c>
      <c r="BJ32" s="1047">
        <f>BJ31*BJ33</f>
        <v>17.047500152456781</v>
      </c>
      <c r="BK32" s="1914" t="s">
        <v>250</v>
      </c>
      <c r="BL32" s="2869">
        <v>1321.82</v>
      </c>
      <c r="BM32" s="2870">
        <f>BL32*BM56/(BM56+BN56)</f>
        <v>1320.7538757571767</v>
      </c>
      <c r="BN32" s="2871">
        <f>BL32-BM32</f>
        <v>1.0661242428232072</v>
      </c>
      <c r="BO32" s="2869">
        <v>2043.06</v>
      </c>
      <c r="BP32" s="2870">
        <f>BO32*BP56/(BP56+BQ56)</f>
        <v>2041.5685087584654</v>
      </c>
      <c r="BQ32" s="2871">
        <f>BO32-BP32</f>
        <v>1.4914912415345043</v>
      </c>
      <c r="BR32" s="2869">
        <v>2681.41</v>
      </c>
      <c r="BS32" s="2870">
        <f>BR32*BS56/(BS56+BT56)</f>
        <v>2679.6067349820942</v>
      </c>
      <c r="BT32" s="2871">
        <f>BR32-BS32</f>
        <v>1.8032650179056873</v>
      </c>
      <c r="BU32" s="1267">
        <f t="shared" ref="BU32" si="142">SUM(BW32+BX32)</f>
        <v>3514.7238362071589</v>
      </c>
      <c r="BV32" s="2139">
        <f t="shared" si="35"/>
        <v>1.1011249775342462</v>
      </c>
      <c r="BW32" s="1009">
        <f>SUM(BW31*BW33)</f>
        <v>3498.0268108570062</v>
      </c>
      <c r="BX32" s="1047">
        <f>SUM(BX31*BX33)</f>
        <v>16.697025350152831</v>
      </c>
      <c r="BY32" s="1267">
        <f>BG32*(1-0.01)*(1+0.071)*(1+0)</f>
        <v>3384.3810760129504</v>
      </c>
      <c r="BZ32" s="2139">
        <f t="shared" si="93"/>
        <v>1.06029</v>
      </c>
      <c r="CA32" s="1009">
        <f>CA31*CA33</f>
        <v>3366.2163619452699</v>
      </c>
      <c r="CB32" s="1047">
        <f>CB31*CB33</f>
        <v>18.164714067680872</v>
      </c>
      <c r="CC32" s="1914"/>
      <c r="CD32" s="3951">
        <v>1298.73</v>
      </c>
      <c r="CE32" s="3952">
        <f>CD32*CE56/(CE56+CF56)</f>
        <v>1297.9727066776088</v>
      </c>
      <c r="CF32" s="3952">
        <f>CD32-CE32</f>
        <v>0.75729332239120595</v>
      </c>
      <c r="CG32" s="3952">
        <v>1939.21</v>
      </c>
      <c r="CH32" s="3952">
        <f>CG32*CH56/(CH56+CI56)</f>
        <v>1938.2147549088388</v>
      </c>
      <c r="CI32" s="3952">
        <f>CG32-CH32</f>
        <v>0.99524509116122317</v>
      </c>
      <c r="CJ32" s="3952">
        <f>SUM(CJ31*30.06%)</f>
        <v>2576.770254</v>
      </c>
      <c r="CK32" s="3952">
        <f>CJ32*CK56/(CK56+CL56)</f>
        <v>2575.446760525841</v>
      </c>
      <c r="CL32" s="3606">
        <f>CJ32-CK32</f>
        <v>1.3234934741590223</v>
      </c>
      <c r="CM32" s="4093">
        <f t="shared" ref="CM32" si="143">SUM(CO32+CP32)</f>
        <v>3544.9523768914023</v>
      </c>
      <c r="CN32" s="4359">
        <f t="shared" si="28"/>
        <v>1.0474448052013152</v>
      </c>
      <c r="CO32" s="4041">
        <f>SUM(CO31*CO33)</f>
        <v>3525.8934931446743</v>
      </c>
      <c r="CP32" s="3747">
        <f>SUM(CP31*CP33)</f>
        <v>19.058883746728132</v>
      </c>
      <c r="CQ32" s="4093">
        <f t="shared" ref="CQ32" si="144">SUM(CS32+CT32)</f>
        <v>3484.64082164003</v>
      </c>
      <c r="CR32" s="4359">
        <f t="shared" si="36"/>
        <v>1.0296242483855256</v>
      </c>
      <c r="CS32" s="4041">
        <f>CS31*CS33</f>
        <v>3465.3769107711501</v>
      </c>
      <c r="CT32" s="3747">
        <f>SUM(CB32*(1-0.01)*(1+0.058)*(1+0)*1.0125)</f>
        <v>19.263910868879929</v>
      </c>
    </row>
    <row r="33" spans="1:98" s="189" customFormat="1" ht="21" customHeight="1">
      <c r="A33" s="1280" t="str">
        <f>A25</f>
        <v>то же в %</v>
      </c>
      <c r="B33" s="1274"/>
      <c r="C33" s="30"/>
      <c r="D33" s="30"/>
      <c r="E33" s="386">
        <f>E32/E31</f>
        <v>0.26879889308711619</v>
      </c>
      <c r="F33" s="386">
        <f>F32/F31</f>
        <v>1.0419311337509394</v>
      </c>
      <c r="G33" s="386">
        <f>G32/G31</f>
        <v>0.3401194743130227</v>
      </c>
      <c r="H33" s="386"/>
      <c r="I33" s="386">
        <f t="shared" ref="I33:T33" si="145">I32/I31</f>
        <v>0.30199999999999999</v>
      </c>
      <c r="J33" s="386">
        <f t="shared" si="145"/>
        <v>0.33982078513180358</v>
      </c>
      <c r="K33" s="386">
        <f t="shared" si="145"/>
        <v>0.30047602856171374</v>
      </c>
      <c r="L33" s="386">
        <f t="shared" si="145"/>
        <v>0.30078828059143825</v>
      </c>
      <c r="M33" s="386">
        <f t="shared" si="145"/>
        <v>0.99598768407761007</v>
      </c>
      <c r="N33" s="386">
        <f t="shared" si="145"/>
        <v>0.88436065355850024</v>
      </c>
      <c r="O33" s="386">
        <f t="shared" si="145"/>
        <v>0.3020005661979806</v>
      </c>
      <c r="P33" s="386">
        <f t="shared" si="145"/>
        <v>1.0000018748277502</v>
      </c>
      <c r="Q33" s="387">
        <f t="shared" si="145"/>
        <v>0.30199999999999999</v>
      </c>
      <c r="R33" s="386">
        <f t="shared" si="145"/>
        <v>1.0000000000000002</v>
      </c>
      <c r="S33" s="386">
        <f t="shared" si="145"/>
        <v>1.0040284794546488</v>
      </c>
      <c r="T33" s="386" t="e">
        <f t="shared" si="145"/>
        <v>#REF!</v>
      </c>
      <c r="U33" s="386"/>
      <c r="V33" s="386">
        <f>V32/V31</f>
        <v>0.3021055969994898</v>
      </c>
      <c r="W33" s="386"/>
      <c r="X33" s="1292">
        <v>0</v>
      </c>
      <c r="Y33" s="1297">
        <f>Y32/Y31</f>
        <v>0.30199953829488752</v>
      </c>
      <c r="Z33" s="1300">
        <f>Y33/Q33</f>
        <v>0.9999984711751243</v>
      </c>
      <c r="AA33" s="1048">
        <f>AA32/AA31</f>
        <v>0.30199999999999999</v>
      </c>
      <c r="AB33" s="1010"/>
      <c r="AC33" s="1010">
        <f>AC32/AC31</f>
        <v>0.30200000000000005</v>
      </c>
      <c r="AD33" s="1049"/>
      <c r="AE33" s="1048">
        <f>AE32/AE31</f>
        <v>0.30029288840622631</v>
      </c>
      <c r="AF33" s="1010">
        <f>AF32/AF31</f>
        <v>0.30029288840622637</v>
      </c>
      <c r="AG33" s="1049"/>
      <c r="AH33" s="1048">
        <f>AH32/AH31</f>
        <v>0.30200003859215813</v>
      </c>
      <c r="AI33" s="1264">
        <f t="shared" si="23"/>
        <v>1.000000127788603</v>
      </c>
      <c r="AJ33" s="1010">
        <f>AJ32/AJ31</f>
        <v>0.30200032985875608</v>
      </c>
      <c r="AK33" s="1049">
        <f>AK32/AK31</f>
        <v>0.30197474362234089</v>
      </c>
      <c r="AL33" s="1048">
        <f>AL32/AL31</f>
        <v>0.30199999999999999</v>
      </c>
      <c r="AM33" s="1264">
        <f t="shared" si="25"/>
        <v>1</v>
      </c>
      <c r="AN33" s="1010">
        <f>AN32/AN31</f>
        <v>0.30199999999999999</v>
      </c>
      <c r="AO33" s="1049">
        <f>AO32/AO31</f>
        <v>0.30199999999999999</v>
      </c>
      <c r="AP33" s="1328">
        <f>AA33-Y33</f>
        <v>4.6170511247556334E-7</v>
      </c>
      <c r="AQ33" s="1329">
        <f t="shared" si="139"/>
        <v>4.6170511247556339E-7</v>
      </c>
      <c r="AR33" s="1329">
        <f>AP33-AQ33</f>
        <v>0</v>
      </c>
      <c r="AS33" s="1330">
        <f>AQ33+AR33</f>
        <v>4.6170511247556339E-7</v>
      </c>
      <c r="AT33" s="1048">
        <f>AT32/AT31</f>
        <v>0.29999777753083673</v>
      </c>
      <c r="AU33" s="1010">
        <f t="shared" ref="AU33" si="146">AU32/AU31</f>
        <v>0.29999777753083678</v>
      </c>
      <c r="AV33" s="1049">
        <f t="shared" ref="AV33" si="147">AV32/AV31</f>
        <v>0.29999777753083434</v>
      </c>
      <c r="AW33" s="1048">
        <f>AW32/AW31</f>
        <v>0.30051016580388629</v>
      </c>
      <c r="AX33" s="1010">
        <f t="shared" ref="AX33" si="148">AX32/AX31</f>
        <v>0.30051016580388629</v>
      </c>
      <c r="AY33" s="2644">
        <f t="shared" ref="AY33" si="149">AY32/AY31</f>
        <v>0.30051016580388734</v>
      </c>
      <c r="AZ33" s="1048">
        <f>AZ32/AZ31</f>
        <v>0.30063059564763212</v>
      </c>
      <c r="BA33" s="1010">
        <f t="shared" ref="BA33:BB33" si="150">BA32/BA31</f>
        <v>0.30063059564763212</v>
      </c>
      <c r="BB33" s="2644">
        <f t="shared" si="150"/>
        <v>0.30063059564763051</v>
      </c>
      <c r="BC33" s="1048">
        <f>SUM(BC32/BC31)</f>
        <v>0.30200003859215813</v>
      </c>
      <c r="BD33" s="2139">
        <f t="shared" si="33"/>
        <v>1.000000127788603</v>
      </c>
      <c r="BE33" s="1010">
        <f>SUM(BE32/BE31)</f>
        <v>0.30200003859215813</v>
      </c>
      <c r="BF33" s="1049">
        <f>SUM(BF32/BF31)</f>
        <v>0.30200003859215813</v>
      </c>
      <c r="BG33" s="1048">
        <f>AF33</f>
        <v>0.30029288840622637</v>
      </c>
      <c r="BH33" s="2139">
        <f t="shared" si="34"/>
        <v>0.99434731260339859</v>
      </c>
      <c r="BI33" s="1010">
        <f>BG33</f>
        <v>0.30029288840622637</v>
      </c>
      <c r="BJ33" s="1049">
        <f>BG33</f>
        <v>0.30029288840622637</v>
      </c>
      <c r="BK33" s="1916"/>
      <c r="BL33" s="2872">
        <f>BL32/BL31</f>
        <v>0.29154857194532607</v>
      </c>
      <c r="BM33" s="2873">
        <f t="shared" ref="BM33:BN33" si="151">BM32/BM31</f>
        <v>0.29154857194532613</v>
      </c>
      <c r="BN33" s="2874">
        <f t="shared" si="151"/>
        <v>0.29154857194530331</v>
      </c>
      <c r="BO33" s="2872">
        <f>BO32/BO31</f>
        <v>0.28647667870684046</v>
      </c>
      <c r="BP33" s="2873">
        <f t="shared" ref="BP33:BQ33" si="152">BP32/BP31</f>
        <v>0.28647667870684046</v>
      </c>
      <c r="BQ33" s="2874">
        <f t="shared" si="152"/>
        <v>0.28647667870685184</v>
      </c>
      <c r="BR33" s="2872">
        <f>BR32/BR31</f>
        <v>0.28863898624734113</v>
      </c>
      <c r="BS33" s="2873">
        <f t="shared" ref="BS33:BT33" si="153">BS32/BS31</f>
        <v>0.28863898624734119</v>
      </c>
      <c r="BT33" s="2874">
        <f t="shared" si="153"/>
        <v>0.28863898624732259</v>
      </c>
      <c r="BU33" s="1048">
        <v>0.30059999999999998</v>
      </c>
      <c r="BV33" s="2139">
        <f t="shared" si="35"/>
        <v>1.0010227068493149</v>
      </c>
      <c r="BW33" s="1010">
        <v>0.30059999999999998</v>
      </c>
      <c r="BX33" s="1049">
        <v>0.30059999999999998</v>
      </c>
      <c r="BY33" s="1048">
        <f>SUM(BY32/BY31)</f>
        <v>0.30029288840622637</v>
      </c>
      <c r="BZ33" s="2139">
        <f t="shared" si="93"/>
        <v>1</v>
      </c>
      <c r="CA33" s="1010">
        <f>BY33</f>
        <v>0.30029288840622637</v>
      </c>
      <c r="CB33" s="1049">
        <f>BY33</f>
        <v>0.30029288840622637</v>
      </c>
      <c r="CC33" s="1916"/>
      <c r="CD33" s="3954">
        <f>SUM(CD32/CD31)</f>
        <v>0.2999660475934211</v>
      </c>
      <c r="CE33" s="3955">
        <f t="shared" ref="CE33:CF33" si="154">CE32/CE31</f>
        <v>0.29996604759342105</v>
      </c>
      <c r="CF33" s="3955">
        <f t="shared" si="154"/>
        <v>0.29996604759345274</v>
      </c>
      <c r="CG33" s="3955">
        <f>SUM(CG32/CG31)</f>
        <v>0.30061356350490787</v>
      </c>
      <c r="CH33" s="3955">
        <f t="shared" ref="CH33:CI33" si="155">CH32/CH31</f>
        <v>0.30061356350490792</v>
      </c>
      <c r="CI33" s="3955">
        <f t="shared" si="155"/>
        <v>0.30061356350483875</v>
      </c>
      <c r="CJ33" s="3955">
        <f>SUM(CJ32/CJ31)</f>
        <v>0.30059999999999998</v>
      </c>
      <c r="CK33" s="3955">
        <f t="shared" ref="CK33:CL33" si="156">CK32/CK31</f>
        <v>0.30059999999999998</v>
      </c>
      <c r="CL33" s="3956">
        <f t="shared" si="156"/>
        <v>0.30060000000003612</v>
      </c>
      <c r="CM33" s="4094">
        <f>SUM(CM32/CM31)</f>
        <v>0.30030000000000001</v>
      </c>
      <c r="CN33" s="4359">
        <f t="shared" si="28"/>
        <v>1.0000236821917807</v>
      </c>
      <c r="CO33" s="4042">
        <v>0.30030000000000001</v>
      </c>
      <c r="CP33" s="3749">
        <v>0.30030000000000001</v>
      </c>
      <c r="CQ33" s="4094">
        <f>SUM(CQ32/CQ31)</f>
        <v>0.30029996068451759</v>
      </c>
      <c r="CR33" s="4359">
        <f t="shared" si="36"/>
        <v>1.0000235512679929</v>
      </c>
      <c r="CS33" s="4042">
        <v>0.30030000000000001</v>
      </c>
      <c r="CT33" s="3749">
        <v>0.30030000000000001</v>
      </c>
    </row>
    <row r="34" spans="1:98" ht="21" customHeight="1">
      <c r="A34" s="1279" t="s">
        <v>6</v>
      </c>
      <c r="B34" s="1273">
        <v>3971.8</v>
      </c>
      <c r="C34" s="17">
        <v>3155.1</v>
      </c>
      <c r="D34" s="30">
        <f t="shared" si="14"/>
        <v>79.437534619064394</v>
      </c>
      <c r="E34" s="17">
        <v>3544.4</v>
      </c>
      <c r="F34" s="30">
        <f t="shared" si="138"/>
        <v>112.33875312985326</v>
      </c>
      <c r="G34" s="17">
        <v>4210.6000000000004</v>
      </c>
      <c r="H34" s="30">
        <f t="shared" si="16"/>
        <v>118.79584696986795</v>
      </c>
      <c r="I34" s="141">
        <v>3523.1</v>
      </c>
      <c r="J34" s="141">
        <v>2168.4</v>
      </c>
      <c r="K34" s="141">
        <f>'цех вода'!K49</f>
        <v>2874.1410018314482</v>
      </c>
      <c r="L34" s="141">
        <v>4335.6000000000004</v>
      </c>
      <c r="M34" s="161">
        <f t="shared" si="17"/>
        <v>123.06207601260255</v>
      </c>
      <c r="N34" s="161">
        <f t="shared" si="18"/>
        <v>102.96869804778417</v>
      </c>
      <c r="O34" s="141">
        <v>4691.6000000000004</v>
      </c>
      <c r="P34" s="161">
        <f t="shared" si="19"/>
        <v>133.16681331781669</v>
      </c>
      <c r="Q34" s="235">
        <f>'цех вода'!P49</f>
        <v>3750.4811017625302</v>
      </c>
      <c r="R34" s="161">
        <f t="shared" si="29"/>
        <v>106.45400646483296</v>
      </c>
      <c r="S34" s="161">
        <f t="shared" si="30"/>
        <v>86.50431547565573</v>
      </c>
      <c r="T34" s="141" t="e">
        <f>Q34/Q56*T56</f>
        <v>#REF!</v>
      </c>
      <c r="U34" s="141" t="e">
        <f t="shared" si="128"/>
        <v>#REF!</v>
      </c>
      <c r="V34" s="141">
        <v>3991.4</v>
      </c>
      <c r="W34" s="141"/>
      <c r="X34" s="1288"/>
      <c r="Y34" s="1296">
        <v>5004</v>
      </c>
      <c r="Z34" s="1300">
        <f t="shared" si="20"/>
        <v>1.3342288267092937</v>
      </c>
      <c r="AA34" s="1050">
        <f>'цех вода'!W49</f>
        <v>3982.1627501966336</v>
      </c>
      <c r="AB34" s="1302">
        <f t="shared" si="1"/>
        <v>1.0617738477138907</v>
      </c>
      <c r="AC34" s="1009">
        <f>$AC$56/$AA$56*AA34</f>
        <v>3936.9578031286101</v>
      </c>
      <c r="AD34" s="1047">
        <f t="shared" si="32"/>
        <v>45.204947068023557</v>
      </c>
      <c r="AE34" s="1050">
        <v>3840.1</v>
      </c>
      <c r="AF34" s="1009">
        <f>AE34*AF56/(AF56+AG56)</f>
        <v>3792.7523941569689</v>
      </c>
      <c r="AG34" s="1047">
        <f>SUM(AE34-AF34)</f>
        <v>47.347605843031033</v>
      </c>
      <c r="AH34" s="1267">
        <f t="shared" si="22"/>
        <v>4249.82</v>
      </c>
      <c r="AI34" s="1264">
        <f t="shared" si="23"/>
        <v>1.0672140408601205</v>
      </c>
      <c r="AJ34" s="1009">
        <v>4201.4399999999996</v>
      </c>
      <c r="AK34" s="1047">
        <v>48.38</v>
      </c>
      <c r="AL34" s="1267">
        <f t="shared" si="24"/>
        <v>4189.8843533351246</v>
      </c>
      <c r="AM34" s="1264">
        <f t="shared" si="25"/>
        <v>1.0521630119532994</v>
      </c>
      <c r="AN34" s="1009">
        <f>'цех вода'!AB49*AN56/(AN56+AO56)</f>
        <v>4142.1893170061967</v>
      </c>
      <c r="AO34" s="1047">
        <f>'цех вода'!AB49-AN34</f>
        <v>47.695036328927927</v>
      </c>
      <c r="AP34" s="1328">
        <f t="shared" si="26"/>
        <v>-1021.8372498033664</v>
      </c>
      <c r="AQ34" s="1329">
        <f t="shared" si="139"/>
        <v>-1010.2374981891927</v>
      </c>
      <c r="AR34" s="1329">
        <f t="shared" si="27"/>
        <v>-11.59975161417367</v>
      </c>
      <c r="AS34" s="1330">
        <f t="shared" si="2"/>
        <v>-1021.8372498033664</v>
      </c>
      <c r="AT34" s="1050">
        <v>1853.14</v>
      </c>
      <c r="AU34" s="1009">
        <f>AT34*AU56/(AU56+AV56)</f>
        <v>1840.385278525783</v>
      </c>
      <c r="AV34" s="1047">
        <f>SUM(AT34-AU34)</f>
        <v>12.754721474217149</v>
      </c>
      <c r="AW34" s="1050">
        <v>3037.94</v>
      </c>
      <c r="AX34" s="1009">
        <f>AW34*AX56/(AX56+AY56)</f>
        <v>3019.2532359988227</v>
      </c>
      <c r="AY34" s="2643">
        <f>SUM(AW34-AX34)</f>
        <v>18.68676400117738</v>
      </c>
      <c r="AZ34" s="1050">
        <v>4109.6499999999996</v>
      </c>
      <c r="BA34" s="1009">
        <f>AZ34*BA56/(BA56+BB56)</f>
        <v>4089.8432528660837</v>
      </c>
      <c r="BB34" s="2643">
        <f>SUM(AZ34-BA34)</f>
        <v>19.806747133915906</v>
      </c>
      <c r="BC34" s="1050">
        <v>4768.71</v>
      </c>
      <c r="BD34" s="2139">
        <f t="shared" si="33"/>
        <v>1.1381483587259713</v>
      </c>
      <c r="BE34" s="1009">
        <f>BC34*BE56/(BE56+BF56)</f>
        <v>4743.2412856286919</v>
      </c>
      <c r="BF34" s="1047">
        <f>SUM(BC34-BE34)</f>
        <v>25.468714371308124</v>
      </c>
      <c r="BG34" s="1050">
        <f>SUM('цех вода'!AG49)</f>
        <v>4151.2769054034479</v>
      </c>
      <c r="BH34" s="2139">
        <f t="shared" si="34"/>
        <v>0.99078555762501053</v>
      </c>
      <c r="BI34" s="1009">
        <f>BG34*BI56/(BI56+BJ56)</f>
        <v>4129.1057761504781</v>
      </c>
      <c r="BJ34" s="1047">
        <f>SUM(BG34-BI34)</f>
        <v>22.171129252969877</v>
      </c>
      <c r="BK34" s="1914" t="str">
        <f>BK26</f>
        <v>Приложение</v>
      </c>
      <c r="BL34" s="2869">
        <f>SUM('цех вода'!AM49)</f>
        <v>2053.5500000000002</v>
      </c>
      <c r="BM34" s="2870">
        <f>BL34*BM56/(BM56+BN56)</f>
        <v>2051.8936932117463</v>
      </c>
      <c r="BN34" s="2871">
        <f>SUM(BL34-BM34)</f>
        <v>1.6563067882539144</v>
      </c>
      <c r="BO34" s="2869">
        <f>SUM('цех вода'!AN49)</f>
        <v>3169.88</v>
      </c>
      <c r="BP34" s="2870">
        <f>BO34*BP56/(BP56+BQ56)</f>
        <v>3167.5658984774241</v>
      </c>
      <c r="BQ34" s="2871">
        <f>SUM(BO34-BP34)</f>
        <v>2.3141015225760384</v>
      </c>
      <c r="BR34" s="2869">
        <f>SUM('цех вода'!AO49)</f>
        <v>4356.6499999999996</v>
      </c>
      <c r="BS34" s="2870">
        <f>BR34*BS56/(BS56+BT56)</f>
        <v>4353.7201255905438</v>
      </c>
      <c r="BT34" s="2871">
        <f>SUM(BR34-BS34)</f>
        <v>2.929874409455806</v>
      </c>
      <c r="BU34" s="1050">
        <f>SUM('цех вода'!AP49)</f>
        <v>4710.0930120079202</v>
      </c>
      <c r="BV34" s="2139">
        <f t="shared" si="35"/>
        <v>1.1346130646879031</v>
      </c>
      <c r="BW34" s="1009">
        <f>BU34*BW56/(BW56+BX56)</f>
        <v>4687.7172732335357</v>
      </c>
      <c r="BX34" s="1047">
        <f>SUM(BU34-BW34)</f>
        <v>22.375738774384445</v>
      </c>
      <c r="BY34" s="1050">
        <f>SUM('цех вода'!AQ49)</f>
        <v>4430.158506458084</v>
      </c>
      <c r="BZ34" s="2139">
        <f t="shared" si="93"/>
        <v>1.0671797154007323</v>
      </c>
      <c r="CA34" s="1009">
        <f>BY34*CA56/(CA56+CB56)</f>
        <v>4406.3808760030888</v>
      </c>
      <c r="CB34" s="1047">
        <f>SUM(BY34-CA34)</f>
        <v>23.777630454995233</v>
      </c>
      <c r="CC34" s="1914"/>
      <c r="CD34" s="3951">
        <f>SUM('цех вода'!AV49)</f>
        <v>1647.84</v>
      </c>
      <c r="CE34" s="3952">
        <f>CD34*CE56/(CE56+CF56)</f>
        <v>1646.8791395991707</v>
      </c>
      <c r="CF34" s="3952">
        <f>SUM(CD34-CE34)</f>
        <v>0.96086040082923319</v>
      </c>
      <c r="CG34" s="3952">
        <f>SUM('цех вода'!AW49)</f>
        <v>2338.38</v>
      </c>
      <c r="CH34" s="3952">
        <f>CG34*CH56/(CH56+CI56)</f>
        <v>2337.1798921126287</v>
      </c>
      <c r="CI34" s="3952">
        <f>SUM(CG34-CH34)</f>
        <v>1.2001078873713595</v>
      </c>
      <c r="CJ34" s="3952">
        <f>SUM('цех вода'!AX49)</f>
        <v>3154.0683299999996</v>
      </c>
      <c r="CK34" s="3952">
        <f>CJ34*CK56/(CK56+CL56)</f>
        <v>3152.4483218346122</v>
      </c>
      <c r="CL34" s="3606">
        <f>SUM(CJ34-CK34)</f>
        <v>1.6200081653873895</v>
      </c>
      <c r="CM34" s="4040">
        <f>SUM('цех вода'!AY49)</f>
        <v>4661.9815598446403</v>
      </c>
      <c r="CN34" s="4359">
        <f t="shared" si="28"/>
        <v>1.0523283880359169</v>
      </c>
      <c r="CO34" s="4041">
        <f>CM34*CO56/(CO56+CP56)</f>
        <v>4636.9171428562286</v>
      </c>
      <c r="CP34" s="3747">
        <f>SUM(CM34-CO34)</f>
        <v>25.064416988411722</v>
      </c>
      <c r="CQ34" s="4040">
        <f>SUM('цех вода'!AZ49)</f>
        <v>3269.2472999399411</v>
      </c>
      <c r="CR34" s="4359">
        <f t="shared" si="36"/>
        <v>0.7379526703557403</v>
      </c>
      <c r="CS34" s="4041">
        <f>SUM(CQ34-CT34)</f>
        <v>3244.0308196776305</v>
      </c>
      <c r="CT34" s="3747">
        <f>SUM(CB34*(1-0.01)*(1+0.058)*(1+0)*1.0125)</f>
        <v>25.216480262310743</v>
      </c>
    </row>
    <row r="35" spans="1:98" ht="21" customHeight="1">
      <c r="A35" s="1282" t="s">
        <v>541</v>
      </c>
      <c r="B35" s="1276">
        <f>SUM(B36:B42)</f>
        <v>7249.7</v>
      </c>
      <c r="C35" s="388">
        <f>SUM(C36:C42)</f>
        <v>10354.4</v>
      </c>
      <c r="D35" s="30">
        <f t="shared" si="14"/>
        <v>142.82522035394567</v>
      </c>
      <c r="E35" s="18">
        <f>SUM(E36:E42)-E41</f>
        <v>11764.7</v>
      </c>
      <c r="F35" s="133">
        <f t="shared" si="138"/>
        <v>113.62029668546705</v>
      </c>
      <c r="G35" s="388">
        <v>16478.3</v>
      </c>
      <c r="H35" s="30">
        <f t="shared" si="16"/>
        <v>140.06562003280999</v>
      </c>
      <c r="I35" s="18">
        <f>SUM(I36:I42)-I41</f>
        <v>14063.7084</v>
      </c>
      <c r="J35" s="18">
        <f>SUM(J36:J42)-J41</f>
        <v>8204.1999999999989</v>
      </c>
      <c r="K35" s="18">
        <f>SUM(K36:K42)-K41</f>
        <v>10064.388220844954</v>
      </c>
      <c r="L35" s="18">
        <f>SUM(L36:L42)-L41</f>
        <v>14542.8</v>
      </c>
      <c r="M35" s="160">
        <f t="shared" si="17"/>
        <v>103.40658087023475</v>
      </c>
      <c r="N35" s="161">
        <f t="shared" si="18"/>
        <v>88.25424952816735</v>
      </c>
      <c r="O35" s="389">
        <v>18477</v>
      </c>
      <c r="P35" s="161">
        <f t="shared" si="19"/>
        <v>131.38071036797095</v>
      </c>
      <c r="Q35" s="390">
        <f>SUM(Q36:Q42)-Q41</f>
        <v>13651.565713400467</v>
      </c>
      <c r="R35" s="161">
        <f t="shared" si="29"/>
        <v>97.069459385267592</v>
      </c>
      <c r="S35" s="161">
        <f t="shared" si="30"/>
        <v>93.871645854996757</v>
      </c>
      <c r="T35" s="389" t="e">
        <f t="shared" ref="T35:Y35" si="157">SUM(T36:T42)-T41</f>
        <v>#REF!</v>
      </c>
      <c r="U35" s="389" t="e">
        <f t="shared" si="157"/>
        <v>#REF!</v>
      </c>
      <c r="V35" s="389">
        <f t="shared" si="157"/>
        <v>11610.7</v>
      </c>
      <c r="W35" s="389">
        <f t="shared" si="157"/>
        <v>10720.805947139374</v>
      </c>
      <c r="X35" s="1293">
        <f t="shared" si="157"/>
        <v>55.994052860625288</v>
      </c>
      <c r="Y35" s="1298">
        <f t="shared" si="157"/>
        <v>18050.300000000003</v>
      </c>
      <c r="Z35" s="1300">
        <f t="shared" si="20"/>
        <v>1.3222146366904795</v>
      </c>
      <c r="AA35" s="1270">
        <f>SUM(AA36:AA42)-AA41</f>
        <v>14017.542644702471</v>
      </c>
      <c r="AB35" s="1302">
        <f t="shared" si="1"/>
        <v>1.0268084217580082</v>
      </c>
      <c r="AC35" s="1268">
        <f>SUM(AC36:AC42)-AC41</f>
        <v>13858.417487588729</v>
      </c>
      <c r="AD35" s="1269">
        <f>SUM(AD36:AD42)-AD41</f>
        <v>159.12515711374499</v>
      </c>
      <c r="AE35" s="1270">
        <f>SUM(AE36:AE42)-AE41</f>
        <v>14424.1</v>
      </c>
      <c r="AF35" s="1268">
        <f>SUM(AF36:AF42)-AF41</f>
        <v>14257.620782371874</v>
      </c>
      <c r="AG35" s="1269">
        <f>SUM(AG36:AG42)-AG41</f>
        <v>166.47921762812553</v>
      </c>
      <c r="AH35" s="1263">
        <f t="shared" si="22"/>
        <v>16341.494330000001</v>
      </c>
      <c r="AI35" s="1264">
        <f t="shared" si="23"/>
        <v>1.1657888079388723</v>
      </c>
      <c r="AJ35" s="1268">
        <f>SUM(AJ36:AJ42)-AJ41</f>
        <v>16173.394330000001</v>
      </c>
      <c r="AK35" s="1269">
        <f>SUM(AK36:AK42)-AK41</f>
        <v>168.1</v>
      </c>
      <c r="AL35" s="1263">
        <f t="shared" si="24"/>
        <v>14730.639229466891</v>
      </c>
      <c r="AM35" s="1264">
        <f t="shared" si="25"/>
        <v>1.0508717257253299</v>
      </c>
      <c r="AN35" s="1268">
        <f>SUM(AN36:AN42)-AN41</f>
        <v>14562.954798597453</v>
      </c>
      <c r="AO35" s="1269">
        <f>SUM(AO36:AO42)-AO41</f>
        <v>167.68443086943867</v>
      </c>
      <c r="AP35" s="1328">
        <f t="shared" si="26"/>
        <v>-4032.7573552975318</v>
      </c>
      <c r="AQ35" s="1329">
        <f t="shared" si="139"/>
        <v>-3986.978065444197</v>
      </c>
      <c r="AR35" s="1329">
        <f t="shared" si="27"/>
        <v>-45.779289853334831</v>
      </c>
      <c r="AS35" s="1330">
        <f t="shared" si="2"/>
        <v>-4032.7573552975318</v>
      </c>
      <c r="AT35" s="1270">
        <f t="shared" ref="AT35:BC35" si="158">SUM(AT36:AT42)-AT41</f>
        <v>6773.28</v>
      </c>
      <c r="AU35" s="1268">
        <f t="shared" si="158"/>
        <v>6728.6354464249835</v>
      </c>
      <c r="AV35" s="1269">
        <f t="shared" si="158"/>
        <v>44.644553575017312</v>
      </c>
      <c r="AW35" s="1270">
        <f t="shared" si="158"/>
        <v>10801.189999999999</v>
      </c>
      <c r="AX35" s="1268">
        <f t="shared" si="158"/>
        <v>10739.356626406423</v>
      </c>
      <c r="AY35" s="2645">
        <f t="shared" si="158"/>
        <v>61.833373593577107</v>
      </c>
      <c r="AZ35" s="1270">
        <f t="shared" ref="AZ35:BB35" si="159">SUM(AZ36:AZ42)-AZ41</f>
        <v>14627.66</v>
      </c>
      <c r="BA35" s="1268">
        <f t="shared" si="159"/>
        <v>14562.613199432866</v>
      </c>
      <c r="BB35" s="2645">
        <f t="shared" si="159"/>
        <v>65.04680056713164</v>
      </c>
      <c r="BC35" s="1270">
        <f t="shared" si="158"/>
        <v>17093.778010000002</v>
      </c>
      <c r="BD35" s="2139">
        <f t="shared" si="33"/>
        <v>1.1604233695307622</v>
      </c>
      <c r="BE35" s="1268">
        <f>SUM(BE36:BE42)-BE41</f>
        <v>17007.407284607951</v>
      </c>
      <c r="BF35" s="1269">
        <f>SUM(BF36:BF42)-BF41</f>
        <v>86.370725392052066</v>
      </c>
      <c r="BG35" s="1270">
        <f>SUM(BG36:BG42)-BG41</f>
        <v>15209.268497895879</v>
      </c>
      <c r="BH35" s="2139">
        <f t="shared" si="34"/>
        <v>1.0324920908708122</v>
      </c>
      <c r="BI35" s="1268">
        <f>SUM(BI36:BI42)-BI41</f>
        <v>15129.344202078384</v>
      </c>
      <c r="BJ35" s="1269">
        <f>SUM(BJ36:BJ42)-BJ41</f>
        <v>79.924295817495477</v>
      </c>
      <c r="BK35" s="1917"/>
      <c r="BL35" s="2875">
        <f t="shared" ref="BL35:BN35" si="160">SUM(BL36:BL42)-BL41</f>
        <v>6654.2200000000012</v>
      </c>
      <c r="BM35" s="2876">
        <f t="shared" si="160"/>
        <v>6649.1185944495655</v>
      </c>
      <c r="BN35" s="2877">
        <f t="shared" si="160"/>
        <v>5.1014055504346061</v>
      </c>
      <c r="BO35" s="2875">
        <f t="shared" ref="BO35:BQ35" si="161">SUM(BO36:BO42)-BO41</f>
        <v>10437.17</v>
      </c>
      <c r="BP35" s="2876">
        <f t="shared" si="161"/>
        <v>10430.090041330823</v>
      </c>
      <c r="BQ35" s="2877">
        <f t="shared" si="161"/>
        <v>7.079958669177131</v>
      </c>
      <c r="BR35" s="2875">
        <f t="shared" ref="BR35:BT35" si="162">SUM(BR36:BR42)-BR41</f>
        <v>14459.76</v>
      </c>
      <c r="BS35" s="2876">
        <f t="shared" si="162"/>
        <v>14450.899205433849</v>
      </c>
      <c r="BT35" s="2877">
        <f t="shared" si="162"/>
        <v>8.860794566149707</v>
      </c>
      <c r="BU35" s="1270">
        <f t="shared" ref="BU35" si="163">SUM(BU36:BU42)-BU41</f>
        <v>17008.355185336066</v>
      </c>
      <c r="BV35" s="2139">
        <f t="shared" si="35"/>
        <v>1.1182888373421169</v>
      </c>
      <c r="BW35" s="1268">
        <f>SUM(BW36:BW42)-BW41</f>
        <v>16927.555398232333</v>
      </c>
      <c r="BX35" s="1269">
        <f>SUM(BX36:BX42)-BX41</f>
        <v>80.799787103734261</v>
      </c>
      <c r="BY35" s="1270">
        <f>SUM(BY36:BY42)-BY41</f>
        <v>16032.260209645359</v>
      </c>
      <c r="BZ35" s="2139">
        <f t="shared" si="93"/>
        <v>1.0541111962000893</v>
      </c>
      <c r="CA35" s="1268">
        <f>SUM(CA36:CA42)-CA41</f>
        <v>15964.024940901316</v>
      </c>
      <c r="CB35" s="1269">
        <f>SUM(CB36:CB42)-CB41</f>
        <v>68.235268744043779</v>
      </c>
      <c r="CC35" s="1917"/>
      <c r="CD35" s="3946">
        <f t="shared" ref="CD35" si="164">SUM(CD36:CD42)-CD41</f>
        <v>7436.8</v>
      </c>
      <c r="CE35" s="3947">
        <f t="shared" ref="CE35:CF35" si="165">SUM(CE36:CE42)-CE41</f>
        <v>7432.9335141672427</v>
      </c>
      <c r="CF35" s="3947">
        <f t="shared" si="165"/>
        <v>3.8664858327574625</v>
      </c>
      <c r="CG35" s="3947">
        <f t="shared" ref="CG35" si="166">SUM(CG36:CG42)-CG41</f>
        <v>11717.99</v>
      </c>
      <c r="CH35" s="3947">
        <f t="shared" ref="CH35:CI35" si="167">SUM(CH36:CH42)-CH41</f>
        <v>11712.726821900917</v>
      </c>
      <c r="CI35" s="3947">
        <f t="shared" si="167"/>
        <v>5.2631780990836887</v>
      </c>
      <c r="CJ35" s="3947">
        <f t="shared" ref="CJ35" si="168">SUM(CJ36:CJ42)-CJ41</f>
        <v>15753.766998333331</v>
      </c>
      <c r="CK35" s="3947">
        <f t="shared" ref="CK35:CL35" si="169">SUM(CK36:CK42)-CK41</f>
        <v>15746.67725844589</v>
      </c>
      <c r="CL35" s="3605">
        <f t="shared" si="169"/>
        <v>7.0897398874421924</v>
      </c>
      <c r="CM35" s="4095">
        <f t="shared" ref="CM35" si="170">SUM(CM36:CM42)-CM41</f>
        <v>17133.379389755646</v>
      </c>
      <c r="CN35" s="4359">
        <f t="shared" si="28"/>
        <v>1.0686814688454114</v>
      </c>
      <c r="CO35" s="4043">
        <f>SUM(CO36:CO42)-CO41</f>
        <v>17061.719664977933</v>
      </c>
      <c r="CP35" s="4044">
        <f>SUM(CP36:CP42)-CP41</f>
        <v>71.659724777713777</v>
      </c>
      <c r="CQ35" s="4095">
        <f>SUM(CQ36:CQ42)-CQ41</f>
        <v>16783.007553220203</v>
      </c>
      <c r="CR35" s="4359">
        <f t="shared" si="36"/>
        <v>1.0468272928306877</v>
      </c>
      <c r="CS35" s="4043">
        <f>SUM(CS36:CS42)-CS41</f>
        <v>16710.64318071747</v>
      </c>
      <c r="CT35" s="4044">
        <f>SUM(CT36:CT42)-CT41</f>
        <v>72.364372502734909</v>
      </c>
    </row>
    <row r="36" spans="1:98" ht="21" customHeight="1">
      <c r="A36" s="1279" t="s">
        <v>2</v>
      </c>
      <c r="B36" s="1273">
        <v>928.8</v>
      </c>
      <c r="C36" s="17">
        <v>1802</v>
      </c>
      <c r="D36" s="30">
        <f t="shared" si="14"/>
        <v>194.01378122308356</v>
      </c>
      <c r="E36" s="391">
        <v>1837.4</v>
      </c>
      <c r="F36" s="30">
        <f t="shared" si="138"/>
        <v>101.96448390677027</v>
      </c>
      <c r="G36" s="30">
        <v>2253.5</v>
      </c>
      <c r="H36" s="30">
        <f t="shared" si="16"/>
        <v>122.6461304016545</v>
      </c>
      <c r="I36" s="141">
        <v>2250</v>
      </c>
      <c r="J36" s="141">
        <v>949.2</v>
      </c>
      <c r="K36" s="141">
        <v>1968.8</v>
      </c>
      <c r="L36" s="141">
        <v>2598.4</v>
      </c>
      <c r="M36" s="161">
        <f t="shared" si="17"/>
        <v>115.48444444444445</v>
      </c>
      <c r="N36" s="161">
        <f t="shared" si="18"/>
        <v>115.30508098513424</v>
      </c>
      <c r="O36" s="141">
        <v>2628</v>
      </c>
      <c r="P36" s="161">
        <f t="shared" si="19"/>
        <v>116.8</v>
      </c>
      <c r="Q36" s="235">
        <v>2628</v>
      </c>
      <c r="R36" s="161">
        <f t="shared" si="29"/>
        <v>116.8</v>
      </c>
      <c r="S36" s="161">
        <f t="shared" si="30"/>
        <v>101.13916256157636</v>
      </c>
      <c r="T36" s="141" t="e">
        <f>Q36/Q56*T56</f>
        <v>#REF!</v>
      </c>
      <c r="U36" s="141" t="e">
        <f t="shared" ref="U36:U42" si="171">Q36-T36</f>
        <v>#REF!</v>
      </c>
      <c r="V36" s="141">
        <v>2012.2</v>
      </c>
      <c r="W36" s="141">
        <f>2690.2*(объемы!$AA$10-объемы!$AA$19)/объемы!$AA$10</f>
        <v>2674.407001288972</v>
      </c>
      <c r="X36" s="1288">
        <f>2690.2-W36</f>
        <v>15.792998711027849</v>
      </c>
      <c r="Y36" s="1296">
        <v>2715.2</v>
      </c>
      <c r="Z36" s="1300">
        <f t="shared" si="20"/>
        <v>1.0331811263318111</v>
      </c>
      <c r="AA36" s="1050">
        <f>Аморт!G24</f>
        <v>2690.2</v>
      </c>
      <c r="AB36" s="1302">
        <f t="shared" si="1"/>
        <v>1.0236681887366819</v>
      </c>
      <c r="AC36" s="1009">
        <f>$AC$56/$AA$56*AA36</f>
        <v>2659.6612309362813</v>
      </c>
      <c r="AD36" s="1047">
        <f t="shared" si="32"/>
        <v>30.538769063718519</v>
      </c>
      <c r="AE36" s="1050">
        <f>SUM(Аморт!L24)</f>
        <v>2798.4</v>
      </c>
      <c r="AF36" s="1009">
        <f>AF56/AE56*AE36</f>
        <v>2763.8963307749445</v>
      </c>
      <c r="AG36" s="1047">
        <f>AE36-AF36</f>
        <v>34.503669225055546</v>
      </c>
      <c r="AH36" s="1267">
        <f t="shared" si="22"/>
        <v>2797</v>
      </c>
      <c r="AI36" s="1264">
        <f t="shared" si="23"/>
        <v>1.0396996505835998</v>
      </c>
      <c r="AJ36" s="1009">
        <v>2765.16</v>
      </c>
      <c r="AK36" s="1047">
        <v>31.84</v>
      </c>
      <c r="AL36" s="1267">
        <f t="shared" si="24"/>
        <v>2797</v>
      </c>
      <c r="AM36" s="1264">
        <f t="shared" si="25"/>
        <v>1.0396996505835998</v>
      </c>
      <c r="AN36" s="1009">
        <f>Аморт!O24*AN56/(AN56+AO56)</f>
        <v>2765.1606924291777</v>
      </c>
      <c r="AO36" s="1047">
        <f>-AN36+Аморт!O24</f>
        <v>31.839307570822257</v>
      </c>
      <c r="AP36" s="1328">
        <f t="shared" si="26"/>
        <v>-25</v>
      </c>
      <c r="AQ36" s="1329">
        <f t="shared" si="139"/>
        <v>-24.716203543754013</v>
      </c>
      <c r="AR36" s="1329">
        <f t="shared" si="27"/>
        <v>-0.28379645624598737</v>
      </c>
      <c r="AS36" s="1330">
        <f>AQ36+AR36</f>
        <v>-25</v>
      </c>
      <c r="AT36" s="1050">
        <f>SUM(Аморт!Q24)</f>
        <v>1412.82</v>
      </c>
      <c r="AU36" s="1009">
        <f>AU56/AT56*AT36</f>
        <v>1403.0958962662271</v>
      </c>
      <c r="AV36" s="1047">
        <f>AT36-AU36</f>
        <v>9.7241037337728358</v>
      </c>
      <c r="AW36" s="1050">
        <v>2176.46</v>
      </c>
      <c r="AX36" s="1009">
        <f>AX56/AW56*AW36</f>
        <v>2163.0723115077976</v>
      </c>
      <c r="AY36" s="2643">
        <f>AW36-AX36</f>
        <v>13.387688492202415</v>
      </c>
      <c r="AZ36" s="1050">
        <v>3059.78</v>
      </c>
      <c r="BA36" s="1009">
        <f>BA56/AZ56*AZ36</f>
        <v>3045.0331751498516</v>
      </c>
      <c r="BB36" s="2643">
        <f>AZ36-BA36</f>
        <v>14.746824850148641</v>
      </c>
      <c r="BC36" s="1267">
        <f>SUM(Аморт!U24)</f>
        <v>2797</v>
      </c>
      <c r="BD36" s="2139">
        <f t="shared" si="33"/>
        <v>1</v>
      </c>
      <c r="BE36" s="1009">
        <f>BE56/BC56*BC36</f>
        <v>2782.0617894364409</v>
      </c>
      <c r="BF36" s="1047">
        <f>BC36-BE36</f>
        <v>14.938210563559096</v>
      </c>
      <c r="BG36" s="1267">
        <f>SUM(Аморт!V24)</f>
        <v>2901.9466666666667</v>
      </c>
      <c r="BH36" s="2139">
        <f t="shared" si="34"/>
        <v>1.0375211536169706</v>
      </c>
      <c r="BI36" s="1009">
        <f>BI56/BG56*BG36</f>
        <v>2886.4479572097898</v>
      </c>
      <c r="BJ36" s="1047">
        <f>BG36-BI36</f>
        <v>15.498709456876895</v>
      </c>
      <c r="BK36" s="1914" t="str">
        <f>BK29</f>
        <v>Приложение</v>
      </c>
      <c r="BL36" s="2869">
        <f>SUM(Аморт!AB24)</f>
        <v>1766.64</v>
      </c>
      <c r="BM36" s="2870">
        <f>BM56/BL56*BL36</f>
        <v>1765.2151027126679</v>
      </c>
      <c r="BN36" s="2871">
        <f>BL36-BM36</f>
        <v>1.4248972873322145</v>
      </c>
      <c r="BO36" s="2869">
        <f>SUM(Аморт!AC24)</f>
        <v>2649.96</v>
      </c>
      <c r="BP36" s="2870">
        <f>BP56/BO56*BO36</f>
        <v>2648.0254546952042</v>
      </c>
      <c r="BQ36" s="2871">
        <f>BO36-BP36</f>
        <v>1.9345453047958472</v>
      </c>
      <c r="BR36" s="2869">
        <f>SUM(Аморт!AD24)</f>
        <v>3533.24</v>
      </c>
      <c r="BS36" s="2870">
        <f>BS56/BR56*BR36</f>
        <v>3530.863873972326</v>
      </c>
      <c r="BT36" s="2871">
        <f>BR36-BS36</f>
        <v>2.376126027673763</v>
      </c>
      <c r="BU36" s="1267">
        <f>SUM(Аморт!AE24)</f>
        <v>3059.78</v>
      </c>
      <c r="BV36" s="2139">
        <f t="shared" si="35"/>
        <v>1.0543887781075691</v>
      </c>
      <c r="BW36" s="1009">
        <f>BW56/BU56*BU36</f>
        <v>3045.2442280285036</v>
      </c>
      <c r="BX36" s="1047">
        <f>BU36-BW36</f>
        <v>14.535771971496615</v>
      </c>
      <c r="BY36" s="1267">
        <f>SUM(Аморт!AF24)</f>
        <v>3059.78</v>
      </c>
      <c r="BZ36" s="2139">
        <f t="shared" si="93"/>
        <v>1.0543887781075691</v>
      </c>
      <c r="CA36" s="1009">
        <f>SUM(BY36)</f>
        <v>3059.78</v>
      </c>
      <c r="CB36" s="1047">
        <f>BY36-CA36</f>
        <v>0</v>
      </c>
      <c r="CC36" s="1914"/>
      <c r="CD36" s="3953">
        <f>SUM(Аморт!AH24)</f>
        <v>1766.63</v>
      </c>
      <c r="CE36" s="3952">
        <f>CE56/CD56*CD36</f>
        <v>1765.5998727971667</v>
      </c>
      <c r="CF36" s="3952">
        <f>CD36-CE36</f>
        <v>1.0301272028334552</v>
      </c>
      <c r="CG36" s="4361">
        <f>SUM(Аморт!AI24)</f>
        <v>2649.95</v>
      </c>
      <c r="CH36" s="3952">
        <f>CH56/CG56*CG36</f>
        <v>2648.5899875571376</v>
      </c>
      <c r="CI36" s="3952">
        <f>CG36-CH36</f>
        <v>1.3600124428621712</v>
      </c>
      <c r="CJ36" s="4361">
        <f>SUM(Аморт!AJ24)</f>
        <v>3533.2666666666664</v>
      </c>
      <c r="CK36" s="3952">
        <f>CK56/CJ56*CJ36</f>
        <v>3531.4518927773224</v>
      </c>
      <c r="CL36" s="3606">
        <f>CJ36-CK36</f>
        <v>1.8147738893439964</v>
      </c>
      <c r="CM36" s="4093">
        <f>SUM(Аморт!AK24)</f>
        <v>3533.24</v>
      </c>
      <c r="CN36" s="4359">
        <f t="shared" si="28"/>
        <v>1.1547366150507552</v>
      </c>
      <c r="CO36" s="4041">
        <f>SUM(CM36)</f>
        <v>3533.24</v>
      </c>
      <c r="CP36" s="3747">
        <f>CM36-CO36</f>
        <v>0</v>
      </c>
      <c r="CQ36" s="4093">
        <f>SUM(Аморт!AL24)</f>
        <v>3533.24</v>
      </c>
      <c r="CR36" s="4359">
        <f t="shared" si="36"/>
        <v>1.1547366150507552</v>
      </c>
      <c r="CS36" s="4041">
        <f>SUM(CQ36)</f>
        <v>3533.24</v>
      </c>
      <c r="CT36" s="3747">
        <f>CQ36-CS36</f>
        <v>0</v>
      </c>
    </row>
    <row r="37" spans="1:98" ht="21" customHeight="1">
      <c r="A37" s="1279" t="s">
        <v>219</v>
      </c>
      <c r="B37" s="1273">
        <v>6.1</v>
      </c>
      <c r="C37" s="17">
        <v>5.6</v>
      </c>
      <c r="D37" s="30">
        <f t="shared" si="14"/>
        <v>91.803278688524586</v>
      </c>
      <c r="E37" s="391">
        <v>33.5</v>
      </c>
      <c r="F37" s="30">
        <f t="shared" si="138"/>
        <v>598.21428571428578</v>
      </c>
      <c r="G37" s="30"/>
      <c r="H37" s="30">
        <f t="shared" si="16"/>
        <v>0</v>
      </c>
      <c r="I37" s="141"/>
      <c r="J37" s="141"/>
      <c r="K37" s="141"/>
      <c r="L37" s="141">
        <f>K37/9*12</f>
        <v>0</v>
      </c>
      <c r="M37" s="161"/>
      <c r="N37" s="161"/>
      <c r="O37" s="141"/>
      <c r="P37" s="161"/>
      <c r="Q37" s="235"/>
      <c r="R37" s="161"/>
      <c r="S37" s="161"/>
      <c r="T37" s="141"/>
      <c r="U37" s="141">
        <f t="shared" si="171"/>
        <v>0</v>
      </c>
      <c r="V37" s="141">
        <v>0</v>
      </c>
      <c r="W37" s="141"/>
      <c r="X37" s="1288">
        <v>0</v>
      </c>
      <c r="Y37" s="1296">
        <v>0</v>
      </c>
      <c r="Z37" s="1300"/>
      <c r="AA37" s="1050">
        <v>0</v>
      </c>
      <c r="AB37" s="1302"/>
      <c r="AC37" s="1009">
        <f>$AC$56/$AA$56*AA37</f>
        <v>0</v>
      </c>
      <c r="AD37" s="1047">
        <f t="shared" si="32"/>
        <v>0</v>
      </c>
      <c r="AE37" s="1050">
        <v>0</v>
      </c>
      <c r="AF37" s="1009">
        <v>0</v>
      </c>
      <c r="AG37" s="1047">
        <v>0</v>
      </c>
      <c r="AH37" s="1267">
        <f t="shared" si="22"/>
        <v>0</v>
      </c>
      <c r="AI37" s="1264"/>
      <c r="AJ37" s="1009">
        <v>0</v>
      </c>
      <c r="AK37" s="1047">
        <v>0</v>
      </c>
      <c r="AL37" s="1267">
        <f t="shared" si="24"/>
        <v>0</v>
      </c>
      <c r="AM37" s="1264"/>
      <c r="AN37" s="1009">
        <v>0</v>
      </c>
      <c r="AO37" s="1047">
        <v>0</v>
      </c>
      <c r="AP37" s="1328">
        <f t="shared" si="26"/>
        <v>0</v>
      </c>
      <c r="AQ37" s="1329"/>
      <c r="AR37" s="1329"/>
      <c r="AS37" s="1330">
        <f t="shared" ref="AS37:AS63" si="172">AQ37+AR37</f>
        <v>0</v>
      </c>
      <c r="AT37" s="1050">
        <v>0</v>
      </c>
      <c r="AU37" s="1009">
        <v>0</v>
      </c>
      <c r="AV37" s="1047">
        <v>0</v>
      </c>
      <c r="AW37" s="1050">
        <v>0</v>
      </c>
      <c r="AX37" s="1009">
        <v>0</v>
      </c>
      <c r="AY37" s="2643">
        <v>0</v>
      </c>
      <c r="AZ37" s="1050">
        <v>0</v>
      </c>
      <c r="BA37" s="1009">
        <v>0</v>
      </c>
      <c r="BB37" s="2643">
        <v>0</v>
      </c>
      <c r="BC37" s="1267">
        <f t="shared" ref="BC37:BC38" si="173">SUM(BE37+BF37)</f>
        <v>0</v>
      </c>
      <c r="BD37" s="2139"/>
      <c r="BE37" s="1009">
        <v>0</v>
      </c>
      <c r="BF37" s="1047">
        <v>0</v>
      </c>
      <c r="BG37" s="1267">
        <f t="shared" ref="BG37" si="174">SUM(BI37+BJ37)</f>
        <v>0</v>
      </c>
      <c r="BH37" s="2139"/>
      <c r="BI37" s="1009">
        <v>0</v>
      </c>
      <c r="BJ37" s="1047">
        <v>0</v>
      </c>
      <c r="BK37" s="1914"/>
      <c r="BL37" s="2869">
        <v>0</v>
      </c>
      <c r="BM37" s="2870">
        <v>0</v>
      </c>
      <c r="BN37" s="2871">
        <v>0</v>
      </c>
      <c r="BO37" s="2869">
        <v>0</v>
      </c>
      <c r="BP37" s="2870">
        <v>0</v>
      </c>
      <c r="BQ37" s="2871">
        <v>0</v>
      </c>
      <c r="BR37" s="2869">
        <v>0</v>
      </c>
      <c r="BS37" s="2870">
        <v>0</v>
      </c>
      <c r="BT37" s="2871">
        <v>0</v>
      </c>
      <c r="BU37" s="1267">
        <f t="shared" ref="BU37" si="175">SUM(BW37+BX37)</f>
        <v>0</v>
      </c>
      <c r="BV37" s="2139"/>
      <c r="BW37" s="1009">
        <v>0</v>
      </c>
      <c r="BX37" s="1047">
        <v>0</v>
      </c>
      <c r="BY37" s="1267">
        <f t="shared" ref="BY37" si="176">SUM(CA37+CB37)</f>
        <v>0</v>
      </c>
      <c r="BZ37" s="2139"/>
      <c r="CA37" s="1009">
        <v>0</v>
      </c>
      <c r="CB37" s="1047">
        <v>0</v>
      </c>
      <c r="CC37" s="1914"/>
      <c r="CD37" s="3953">
        <f t="shared" ref="CD37" si="177">SUM(CF37+CG37)</f>
        <v>0</v>
      </c>
      <c r="CE37" s="3952">
        <v>0</v>
      </c>
      <c r="CF37" s="3952">
        <v>0</v>
      </c>
      <c r="CG37" s="4361">
        <f t="shared" ref="CG37" si="178">SUM(CI37+CJ37)</f>
        <v>0</v>
      </c>
      <c r="CH37" s="3952">
        <v>0</v>
      </c>
      <c r="CI37" s="3952">
        <v>0</v>
      </c>
      <c r="CJ37" s="4361">
        <f t="shared" ref="CJ37" si="179">SUM(CL37+CM37)</f>
        <v>0</v>
      </c>
      <c r="CK37" s="3952">
        <v>0</v>
      </c>
      <c r="CL37" s="3606">
        <v>0</v>
      </c>
      <c r="CM37" s="4093">
        <f t="shared" ref="CM37" si="180">SUM(CO37+CP37)</f>
        <v>0</v>
      </c>
      <c r="CN37" s="4359"/>
      <c r="CO37" s="4041">
        <v>0</v>
      </c>
      <c r="CP37" s="3747">
        <v>0</v>
      </c>
      <c r="CQ37" s="4093">
        <f t="shared" ref="CQ37" si="181">SUM(CS37+CT37)</f>
        <v>0</v>
      </c>
      <c r="CR37" s="4359"/>
      <c r="CS37" s="4041">
        <v>0</v>
      </c>
      <c r="CT37" s="3747">
        <v>0</v>
      </c>
    </row>
    <row r="38" spans="1:98" ht="21" customHeight="1">
      <c r="A38" s="1279" t="s">
        <v>3</v>
      </c>
      <c r="B38" s="1273">
        <v>398.6</v>
      </c>
      <c r="C38" s="17">
        <v>1512.8</v>
      </c>
      <c r="D38" s="30">
        <f t="shared" si="14"/>
        <v>379.52834922227794</v>
      </c>
      <c r="E38" s="17">
        <v>1300.3</v>
      </c>
      <c r="F38" s="30">
        <f t="shared" si="138"/>
        <v>85.953199365415117</v>
      </c>
      <c r="G38" s="30">
        <f>G35-G36-G39-G40-G42</f>
        <v>3074.9069999999965</v>
      </c>
      <c r="H38" s="30">
        <f t="shared" si="16"/>
        <v>236.47673613781407</v>
      </c>
      <c r="I38" s="141">
        <v>1667.9</v>
      </c>
      <c r="J38" s="141">
        <v>1509.7</v>
      </c>
      <c r="K38" s="141">
        <v>1071.7</v>
      </c>
      <c r="L38" s="141">
        <v>2187.1</v>
      </c>
      <c r="M38" s="161">
        <f t="shared" si="17"/>
        <v>131.12896456622099</v>
      </c>
      <c r="N38" s="161"/>
      <c r="O38" s="141">
        <f>O35-O36-O39-O40-O42</f>
        <v>3385.7971999999991</v>
      </c>
      <c r="P38" s="161">
        <f t="shared" si="19"/>
        <v>202.99761376581324</v>
      </c>
      <c r="Q38" s="235">
        <v>300</v>
      </c>
      <c r="R38" s="161">
        <f t="shared" si="29"/>
        <v>17.986689849511361</v>
      </c>
      <c r="S38" s="161">
        <f t="shared" si="30"/>
        <v>13.716793928032555</v>
      </c>
      <c r="T38" s="141">
        <v>285.7</v>
      </c>
      <c r="U38" s="141">
        <v>14.3</v>
      </c>
      <c r="V38" s="141">
        <v>816.6</v>
      </c>
      <c r="W38" s="141">
        <f>3058.7-W12-W22-W28</f>
        <v>1238.6999999999998</v>
      </c>
      <c r="X38" s="1288">
        <v>0</v>
      </c>
      <c r="Y38" s="1296">
        <v>2406</v>
      </c>
      <c r="Z38" s="1300">
        <f t="shared" si="20"/>
        <v>8.02</v>
      </c>
      <c r="AA38" s="1050">
        <v>0</v>
      </c>
      <c r="AB38" s="1302">
        <f t="shared" si="1"/>
        <v>0</v>
      </c>
      <c r="AC38" s="1009">
        <f>$AC$56/$AA$56*AA38</f>
        <v>0</v>
      </c>
      <c r="AD38" s="1047">
        <f t="shared" si="32"/>
        <v>0</v>
      </c>
      <c r="AE38" s="1050">
        <v>921.9</v>
      </c>
      <c r="AF38" s="1009">
        <f>SUM(AE38)</f>
        <v>921.9</v>
      </c>
      <c r="AG38" s="1047">
        <v>0</v>
      </c>
      <c r="AH38" s="1267">
        <f t="shared" si="22"/>
        <v>1575</v>
      </c>
      <c r="AI38" s="1264"/>
      <c r="AJ38" s="1009">
        <v>1575</v>
      </c>
      <c r="AK38" s="1047">
        <v>0</v>
      </c>
      <c r="AL38" s="1267">
        <f t="shared" si="24"/>
        <v>0</v>
      </c>
      <c r="AM38" s="1264"/>
      <c r="AN38" s="1009">
        <v>0</v>
      </c>
      <c r="AO38" s="1047">
        <v>0</v>
      </c>
      <c r="AP38" s="1328">
        <f t="shared" si="26"/>
        <v>-2406</v>
      </c>
      <c r="AQ38" s="1329">
        <f>AP38</f>
        <v>-2406</v>
      </c>
      <c r="AR38" s="1329">
        <f t="shared" si="27"/>
        <v>0</v>
      </c>
      <c r="AS38" s="1330">
        <f t="shared" si="172"/>
        <v>-2406</v>
      </c>
      <c r="AT38" s="1050">
        <v>286.85000000000002</v>
      </c>
      <c r="AU38" s="1009">
        <v>286.85000000000002</v>
      </c>
      <c r="AV38" s="1047">
        <v>0</v>
      </c>
      <c r="AW38" s="1050">
        <v>748.83</v>
      </c>
      <c r="AX38" s="1009">
        <v>748.83</v>
      </c>
      <c r="AY38" s="2643">
        <v>0</v>
      </c>
      <c r="AZ38" s="1050">
        <v>1131.27</v>
      </c>
      <c r="BA38" s="1009">
        <f>SUM(AZ38)</f>
        <v>1131.27</v>
      </c>
      <c r="BB38" s="2643">
        <v>0</v>
      </c>
      <c r="BC38" s="1267">
        <f t="shared" si="173"/>
        <v>921.9</v>
      </c>
      <c r="BD38" s="2139"/>
      <c r="BE38" s="1009">
        <v>921.9</v>
      </c>
      <c r="BF38" s="1047">
        <v>0</v>
      </c>
      <c r="BG38" s="1267">
        <f>BI38+BJ38</f>
        <v>244.40677966101694</v>
      </c>
      <c r="BH38" s="2139"/>
      <c r="BI38" s="1009">
        <f>'Кап Рем'!G10</f>
        <v>244.40677966101694</v>
      </c>
      <c r="BJ38" s="1047">
        <v>0</v>
      </c>
      <c r="BK38" s="1914" t="s">
        <v>980</v>
      </c>
      <c r="BL38" s="2869">
        <f>SUM(BM38:BN38)</f>
        <v>329.31</v>
      </c>
      <c r="BM38" s="2870">
        <v>329.31</v>
      </c>
      <c r="BN38" s="2871">
        <v>0</v>
      </c>
      <c r="BO38" s="2869">
        <f>SUM(BP38:BQ38)</f>
        <v>738.97</v>
      </c>
      <c r="BP38" s="2870">
        <v>738.97</v>
      </c>
      <c r="BQ38" s="2871">
        <v>0</v>
      </c>
      <c r="BR38" s="2869">
        <f>SUM(BS38:BT38)</f>
        <v>1283.98</v>
      </c>
      <c r="BS38" s="2870">
        <v>1283.98</v>
      </c>
      <c r="BT38" s="2871">
        <v>0</v>
      </c>
      <c r="BU38" s="1267">
        <f>SUM(AZ38/2)</f>
        <v>565.63499999999999</v>
      </c>
      <c r="BV38" s="2139">
        <f t="shared" si="35"/>
        <v>2.3143179611650484</v>
      </c>
      <c r="BW38" s="1009">
        <f>BW56/BU56*BU38</f>
        <v>562.94789786223271</v>
      </c>
      <c r="BX38" s="1047">
        <f>BU38-BW38</f>
        <v>2.6871021377672832</v>
      </c>
      <c r="BY38" s="1267">
        <f>BG38*(1-0.01)*(1+0.071)*(1+0)</f>
        <v>259.14206440677964</v>
      </c>
      <c r="BZ38" s="2139">
        <f t="shared" si="93"/>
        <v>1.06029</v>
      </c>
      <c r="CA38" s="1009">
        <f>SUM(BY38)</f>
        <v>259.14206440677964</v>
      </c>
      <c r="CB38" s="1047">
        <v>0</v>
      </c>
      <c r="CC38" s="1914"/>
      <c r="CD38" s="3951">
        <f>SUM(CE38:CF38)</f>
        <v>805.92</v>
      </c>
      <c r="CE38" s="3952">
        <v>805.92</v>
      </c>
      <c r="CF38" s="3952">
        <v>0</v>
      </c>
      <c r="CG38" s="3952">
        <f>SUM(CH38:CI38)</f>
        <v>1462.82</v>
      </c>
      <c r="CH38" s="3952">
        <v>1462.82</v>
      </c>
      <c r="CI38" s="3952">
        <v>0</v>
      </c>
      <c r="CJ38" s="3952">
        <f>SUM(CK38:CL38)</f>
        <v>1950.4266666666667</v>
      </c>
      <c r="CK38" s="3952">
        <f>SUM(CG38/9*12)</f>
        <v>1950.4266666666667</v>
      </c>
      <c r="CL38" s="3606">
        <v>0</v>
      </c>
      <c r="CM38" s="4093">
        <f>BY38*(1-0.01)*(1+0.058)*(1+0)</f>
        <v>271.43058110094915</v>
      </c>
      <c r="CN38" s="4359">
        <f t="shared" si="28"/>
        <v>1.04742</v>
      </c>
      <c r="CO38" s="4041">
        <f>SUM(CM38)</f>
        <v>271.43058110094915</v>
      </c>
      <c r="CP38" s="3747">
        <f>CM38-CO38</f>
        <v>0</v>
      </c>
      <c r="CQ38" s="4093">
        <f>BY38*(1-0.01)*(1+0.04)*(1+0)</f>
        <v>266.81266951322033</v>
      </c>
      <c r="CR38" s="4359">
        <f t="shared" si="36"/>
        <v>1.0296000000000001</v>
      </c>
      <c r="CS38" s="4041">
        <f>SUM(CQ38)</f>
        <v>266.81266951322033</v>
      </c>
      <c r="CT38" s="3747">
        <f>SUM(CB38*(1-0.01)*(1+0.058)*(1+0))</f>
        <v>0</v>
      </c>
    </row>
    <row r="39" spans="1:98" ht="21" customHeight="1">
      <c r="A39" s="1279" t="s">
        <v>4</v>
      </c>
      <c r="B39" s="1273">
        <v>3889.5</v>
      </c>
      <c r="C39" s="17">
        <v>4434.3</v>
      </c>
      <c r="D39" s="30">
        <f t="shared" si="14"/>
        <v>114.00694176629386</v>
      </c>
      <c r="E39" s="17">
        <v>5312</v>
      </c>
      <c r="F39" s="30">
        <f t="shared" si="138"/>
        <v>119.79342850055249</v>
      </c>
      <c r="G39" s="17">
        <v>6821.5</v>
      </c>
      <c r="H39" s="30">
        <f t="shared" si="16"/>
        <v>128.4167921686747</v>
      </c>
      <c r="I39" s="141">
        <v>6174.2</v>
      </c>
      <c r="J39" s="141">
        <v>3312</v>
      </c>
      <c r="K39" s="141">
        <v>4099.3</v>
      </c>
      <c r="L39" s="141">
        <v>5838.5</v>
      </c>
      <c r="M39" s="161">
        <f t="shared" si="17"/>
        <v>94.562858346020533</v>
      </c>
      <c r="N39" s="161">
        <f t="shared" si="18"/>
        <v>85.589679689217917</v>
      </c>
      <c r="O39" s="141">
        <f>ЗП!AF12</f>
        <v>7541.4</v>
      </c>
      <c r="P39" s="161">
        <f t="shared" si="19"/>
        <v>122.14375951540279</v>
      </c>
      <c r="Q39" s="235">
        <f>ЗП!AP12</f>
        <v>6612.6753000000008</v>
      </c>
      <c r="R39" s="161">
        <f t="shared" si="29"/>
        <v>107.10173463768587</v>
      </c>
      <c r="S39" s="161">
        <f t="shared" si="30"/>
        <v>113.25983214866832</v>
      </c>
      <c r="T39" s="141" t="e">
        <f>Q39/Q56*T56</f>
        <v>#REF!</v>
      </c>
      <c r="U39" s="141" t="e">
        <f t="shared" si="171"/>
        <v>#REF!</v>
      </c>
      <c r="V39" s="141">
        <v>5176.6000000000004</v>
      </c>
      <c r="W39" s="141">
        <f>6847.9*(объемы!$AA$10-объемы!$AA$19)/объемы!$AA$10</f>
        <v>6807.6989458504022</v>
      </c>
      <c r="X39" s="1288">
        <f>6847.9-W39</f>
        <v>40.201054149597439</v>
      </c>
      <c r="Y39" s="1296">
        <v>7766.2</v>
      </c>
      <c r="Z39" s="1300">
        <f t="shared" si="20"/>
        <v>1.174441454882867</v>
      </c>
      <c r="AA39" s="1050">
        <f>ЗП!U28</f>
        <v>6982.9851168000005</v>
      </c>
      <c r="AB39" s="1302">
        <f t="shared" si="1"/>
        <v>1.056</v>
      </c>
      <c r="AC39" s="1009">
        <f>$AC$56/$AA$56*AA39</f>
        <v>6903.7152595933467</v>
      </c>
      <c r="AD39" s="1047">
        <f t="shared" si="32"/>
        <v>79.269857206653796</v>
      </c>
      <c r="AE39" s="1050">
        <f>SUM(ЗП!AS28)</f>
        <v>6448.8</v>
      </c>
      <c r="AF39" s="1009">
        <f>AF56/AE56*AE39</f>
        <v>6369.2876850705625</v>
      </c>
      <c r="AG39" s="1047">
        <f>AE39-AF39</f>
        <v>79.512314929437707</v>
      </c>
      <c r="AH39" s="1267">
        <f t="shared" si="22"/>
        <v>7359.1</v>
      </c>
      <c r="AI39" s="1264">
        <f t="shared" si="23"/>
        <v>1.0538616189078114</v>
      </c>
      <c r="AJ39" s="1009">
        <v>7275.33</v>
      </c>
      <c r="AK39" s="1047">
        <v>83.77</v>
      </c>
      <c r="AL39" s="1267">
        <f t="shared" si="24"/>
        <v>7359.1</v>
      </c>
      <c r="AM39" s="1264">
        <f t="shared" si="25"/>
        <v>1.0538616189078114</v>
      </c>
      <c r="AN39" s="1009">
        <f>ЗП!BB28*AN56/(AN56+AO56)</f>
        <v>7275.3285847892603</v>
      </c>
      <c r="AO39" s="1047">
        <f>-AN39+ЗП!BB28</f>
        <v>83.771415210740088</v>
      </c>
      <c r="AP39" s="1328">
        <f t="shared" si="26"/>
        <v>-783.21488319999935</v>
      </c>
      <c r="AQ39" s="1329">
        <f t="shared" ref="AQ39:AQ45" si="182">AP39*AC39/AA39</f>
        <v>-774.32393886674822</v>
      </c>
      <c r="AR39" s="1329">
        <f t="shared" si="27"/>
        <v>-8.8909443332511273</v>
      </c>
      <c r="AS39" s="1330">
        <f t="shared" si="172"/>
        <v>-783.21488319999935</v>
      </c>
      <c r="AT39" s="1050">
        <f>SUM(ЗП!BG28)</f>
        <v>2995.9</v>
      </c>
      <c r="AU39" s="1009">
        <f>AU56/AT56*AT39</f>
        <v>2975.2799334833808</v>
      </c>
      <c r="AV39" s="1047">
        <f>AT39-AU39</f>
        <v>20.620066516619318</v>
      </c>
      <c r="AW39" s="1050">
        <v>4670.4799999999996</v>
      </c>
      <c r="AX39" s="1009">
        <f>AX56/AW56*AW39</f>
        <v>4641.7512701593123</v>
      </c>
      <c r="AY39" s="2643">
        <f>AW39-AX39</f>
        <v>28.728729840687265</v>
      </c>
      <c r="AZ39" s="1050">
        <v>6134.37</v>
      </c>
      <c r="BA39" s="1009">
        <f>BA56/AZ56*AZ39</f>
        <v>6104.8049724633775</v>
      </c>
      <c r="BB39" s="2643">
        <f>AZ39-BA39</f>
        <v>29.565027536622438</v>
      </c>
      <c r="BC39" s="1267">
        <f>SUM(ЗП!BS28)</f>
        <v>8095.010000000002</v>
      </c>
      <c r="BD39" s="2139">
        <f t="shared" si="33"/>
        <v>1.1000000000000003</v>
      </c>
      <c r="BE39" s="1009">
        <f>BE56/BC56*BC39</f>
        <v>8051.7761909566998</v>
      </c>
      <c r="BF39" s="1047">
        <f>BC39-BE39</f>
        <v>43.233809043302244</v>
      </c>
      <c r="BG39" s="1267">
        <f>SUM(ЗП!BW28)</f>
        <v>7369.5470048780498</v>
      </c>
      <c r="BH39" s="2139">
        <f t="shared" si="34"/>
        <v>1.0014196036034364</v>
      </c>
      <c r="BI39" s="1009">
        <f>BI56/BG56*BG39</f>
        <v>7330.1877467740405</v>
      </c>
      <c r="BJ39" s="1047">
        <f>BG39-BI39</f>
        <v>39.359258104009314</v>
      </c>
      <c r="BK39" s="1914" t="str">
        <f>BK31</f>
        <v>Приложение</v>
      </c>
      <c r="BL39" s="2869">
        <f>SUM(ЗП!CB28)</f>
        <v>2581.4899999999998</v>
      </c>
      <c r="BM39" s="2870">
        <f>BM56/BL56*BL39</f>
        <v>2579.40787908217</v>
      </c>
      <c r="BN39" s="2871">
        <f>BL39-BM39</f>
        <v>2.0821209178297977</v>
      </c>
      <c r="BO39" s="2869">
        <f>SUM(ЗП!CF28)</f>
        <v>3954.86</v>
      </c>
      <c r="BP39" s="2870">
        <f>BP56/BO56*BO39</f>
        <v>3951.972841007364</v>
      </c>
      <c r="BQ39" s="2871">
        <f>BO39-BP39</f>
        <v>2.8871589926361594</v>
      </c>
      <c r="BR39" s="2869">
        <f>SUM(ЗП!CJ28)</f>
        <v>5452.53</v>
      </c>
      <c r="BS39" s="2870">
        <f>BS56/BR56*BR39</f>
        <v>5448.8631394273607</v>
      </c>
      <c r="BT39" s="2871">
        <f>BR39-BS39</f>
        <v>3.6668605726390524</v>
      </c>
      <c r="BU39" s="1267">
        <f>SUM(ЗП!CN28)</f>
        <v>8106.5017053658539</v>
      </c>
      <c r="BV39" s="2139">
        <f t="shared" si="35"/>
        <v>1.0999999999999999</v>
      </c>
      <c r="BW39" s="1009">
        <f>BW56/BU56*BU39</f>
        <v>8067.9910084282492</v>
      </c>
      <c r="BX39" s="1047">
        <f>BU39-BW39</f>
        <v>38.510696937604735</v>
      </c>
      <c r="BY39" s="1267">
        <f>SUM(ЗП!CR28)</f>
        <v>7813.8569938021474</v>
      </c>
      <c r="BZ39" s="2139">
        <f t="shared" si="93"/>
        <v>1.06029</v>
      </c>
      <c r="CA39" s="1009">
        <f>CA56/BY56*BY39</f>
        <v>7771.9183128822742</v>
      </c>
      <c r="CB39" s="1047">
        <f>BY39-CA39</f>
        <v>41.93868091987315</v>
      </c>
      <c r="CC39" s="1914"/>
      <c r="CD39" s="3953">
        <f>SUM(ЗП!CV28)</f>
        <v>2886.1</v>
      </c>
      <c r="CE39" s="3952">
        <f>CE56/CD56*CD39</f>
        <v>2884.417106513476</v>
      </c>
      <c r="CF39" s="3952">
        <f>CD39-CE39</f>
        <v>1.6828934865238807</v>
      </c>
      <c r="CG39" s="4361">
        <f>SUM(ЗП!CY28)</f>
        <v>4446</v>
      </c>
      <c r="CH39" s="3952">
        <f>CH56/CG56*CG39</f>
        <v>4443.718215316906</v>
      </c>
      <c r="CI39" s="3952">
        <f>CG39-CH39</f>
        <v>2.2817846830939743</v>
      </c>
      <c r="CJ39" s="4361">
        <f>SUM(ЗП!DB28)</f>
        <v>6005.9</v>
      </c>
      <c r="CK39" s="3952">
        <f>CK56/CJ56*CJ39</f>
        <v>6002.8152199564111</v>
      </c>
      <c r="CL39" s="3606">
        <f>CJ39-CK39</f>
        <v>3.0847800435885802</v>
      </c>
      <c r="CM39" s="4093">
        <f>SUM(ЗП!DE28)</f>
        <v>8184.390092448245</v>
      </c>
      <c r="CN39" s="4359">
        <f t="shared" si="28"/>
        <v>1.04742</v>
      </c>
      <c r="CO39" s="4041">
        <f>CO56/CM56*CM39</f>
        <v>8140.3879951770177</v>
      </c>
      <c r="CP39" s="3747">
        <f>CM39-CO39</f>
        <v>44.002097271227285</v>
      </c>
      <c r="CQ39" s="4093">
        <f>SUM(ЗП!DI28)</f>
        <v>8045.1471608186912</v>
      </c>
      <c r="CR39" s="4359">
        <f t="shared" si="36"/>
        <v>1.0296000000000001</v>
      </c>
      <c r="CS39" s="4041">
        <f>SUM(CQ39-CT39)</f>
        <v>8000.6706549849841</v>
      </c>
      <c r="CT39" s="3747">
        <f>SUM(CB39*(1-0.01)*(1+0.058)*(1+0)*1.0125)</f>
        <v>44.476505833707201</v>
      </c>
    </row>
    <row r="40" spans="1:98" ht="21" customHeight="1">
      <c r="A40" s="1279" t="s">
        <v>5</v>
      </c>
      <c r="B40" s="1273">
        <v>991</v>
      </c>
      <c r="C40" s="17">
        <v>1109.0999999999999</v>
      </c>
      <c r="D40" s="30">
        <f t="shared" si="14"/>
        <v>111.91725529767911</v>
      </c>
      <c r="E40" s="17">
        <v>1349.6</v>
      </c>
      <c r="F40" s="30">
        <f t="shared" si="138"/>
        <v>121.68424848976649</v>
      </c>
      <c r="G40" s="17">
        <f>G39*0.302</f>
        <v>2060.0929999999998</v>
      </c>
      <c r="H40" s="30">
        <f t="shared" si="16"/>
        <v>152.64470954356847</v>
      </c>
      <c r="I40" s="141">
        <f>I39*30.2/100</f>
        <v>1864.6084000000001</v>
      </c>
      <c r="J40" s="141">
        <v>1103.4000000000001</v>
      </c>
      <c r="K40" s="141">
        <v>1205.7</v>
      </c>
      <c r="L40" s="141">
        <v>1728</v>
      </c>
      <c r="M40" s="161">
        <f t="shared" si="17"/>
        <v>92.673614470470042</v>
      </c>
      <c r="N40" s="161"/>
      <c r="O40" s="141">
        <f>O39*0.302</f>
        <v>2277.5027999999998</v>
      </c>
      <c r="P40" s="161">
        <f t="shared" si="19"/>
        <v>122.14375951540279</v>
      </c>
      <c r="Q40" s="235">
        <f>Q39*0.302</f>
        <v>1997.0279406000002</v>
      </c>
      <c r="R40" s="161">
        <f t="shared" si="29"/>
        <v>107.10173463768587</v>
      </c>
      <c r="S40" s="161">
        <f t="shared" si="30"/>
        <v>115.5687465625</v>
      </c>
      <c r="T40" s="141" t="e">
        <f>Q40/Q56*T56</f>
        <v>#REF!</v>
      </c>
      <c r="U40" s="141" t="e">
        <f t="shared" si="171"/>
        <v>#REF!</v>
      </c>
      <c r="V40" s="141">
        <v>1556.7</v>
      </c>
      <c r="W40" s="141"/>
      <c r="X40" s="1288">
        <v>0</v>
      </c>
      <c r="Y40" s="1296">
        <v>2345.4</v>
      </c>
      <c r="Z40" s="1300">
        <f t="shared" si="20"/>
        <v>1.1744452605381839</v>
      </c>
      <c r="AA40" s="1050">
        <f>AA39*V41</f>
        <v>2099.9136366191242</v>
      </c>
      <c r="AB40" s="1302">
        <f t="shared" si="1"/>
        <v>1.0515194073790537</v>
      </c>
      <c r="AC40" s="1009">
        <f>$AC$56/$AA$56*AA40</f>
        <v>2076.0757146793185</v>
      </c>
      <c r="AD40" s="1047">
        <f t="shared" si="32"/>
        <v>23.83792193980571</v>
      </c>
      <c r="AE40" s="1050">
        <v>1965.4</v>
      </c>
      <c r="AF40" s="1009">
        <f>AF56/AE56*AE40</f>
        <v>1941.167041346868</v>
      </c>
      <c r="AG40" s="1047">
        <f>AE40-AF40</f>
        <v>24.232958653132073</v>
      </c>
      <c r="AH40" s="1267">
        <f t="shared" si="22"/>
        <v>2215.0943299999999</v>
      </c>
      <c r="AI40" s="1264">
        <f t="shared" si="23"/>
        <v>1.0548502049666755</v>
      </c>
      <c r="AJ40" s="1009">
        <f>AJ39*AJ41</f>
        <v>2189.8743300000001</v>
      </c>
      <c r="AK40" s="1047">
        <v>25.22</v>
      </c>
      <c r="AL40" s="1267">
        <f t="shared" si="24"/>
        <v>2213.0183846540194</v>
      </c>
      <c r="AM40" s="1264">
        <f t="shared" si="25"/>
        <v>1.0538616189078112</v>
      </c>
      <c r="AN40" s="1009">
        <f>AN39*AA41</f>
        <v>2187.8267604105858</v>
      </c>
      <c r="AO40" s="1047">
        <f>AO39*AA41</f>
        <v>25.191624243433733</v>
      </c>
      <c r="AP40" s="1328">
        <f t="shared" si="26"/>
        <v>-245.4863633808759</v>
      </c>
      <c r="AQ40" s="1329">
        <f t="shared" si="182"/>
        <v>-242.69963698150755</v>
      </c>
      <c r="AR40" s="1329">
        <f t="shared" si="27"/>
        <v>-2.786726399368348</v>
      </c>
      <c r="AS40" s="1330">
        <f t="shared" si="172"/>
        <v>-245.4863633808759</v>
      </c>
      <c r="AT40" s="1050">
        <v>927.99</v>
      </c>
      <c r="AU40" s="1009">
        <f>AU56/AT56*AT40</f>
        <v>921.60286574092686</v>
      </c>
      <c r="AV40" s="1047">
        <f>AT40-AU40</f>
        <v>6.3871342590731501</v>
      </c>
      <c r="AW40" s="1050">
        <v>1450.94</v>
      </c>
      <c r="AX40" s="1009">
        <f>AX56/AW56*AW40</f>
        <v>1442.0150793761998</v>
      </c>
      <c r="AY40" s="2643">
        <f>AW40-AX40</f>
        <v>8.9249206238002898</v>
      </c>
      <c r="AZ40" s="1050">
        <v>1903.67</v>
      </c>
      <c r="BA40" s="1009">
        <f>BA56/AZ56*AZ40</f>
        <v>1894.4951285835966</v>
      </c>
      <c r="BB40" s="2643">
        <f>AZ40-BA40</f>
        <v>9.1748714164034482</v>
      </c>
      <c r="BC40" s="1267">
        <f t="shared" ref="BC40" si="183">SUM(BE40+BF40)</f>
        <v>2436.5980100000006</v>
      </c>
      <c r="BD40" s="2139">
        <f t="shared" si="33"/>
        <v>1.1010292670392503</v>
      </c>
      <c r="BE40" s="1009">
        <f>SUM(BE39*AH41)</f>
        <v>2423.5846334779667</v>
      </c>
      <c r="BF40" s="1047">
        <f>SUM(BF39*AH41)</f>
        <v>13.013376522033974</v>
      </c>
      <c r="BG40" s="1267">
        <f t="shared" ref="BG40" si="184">SUM(BI40+BJ40)</f>
        <v>2218.2336484682928</v>
      </c>
      <c r="BH40" s="2139">
        <f t="shared" si="34"/>
        <v>1.0023566292311163</v>
      </c>
      <c r="BI40" s="1009">
        <f>SUM(BI39*BC41)</f>
        <v>2206.386511778986</v>
      </c>
      <c r="BJ40" s="1047">
        <f>SUM(BJ39*BC41)</f>
        <v>11.847136689306803</v>
      </c>
      <c r="BK40" s="1914" t="s">
        <v>250</v>
      </c>
      <c r="BL40" s="2869">
        <v>802.19</v>
      </c>
      <c r="BM40" s="2870">
        <f>BM56/BL56*BL40</f>
        <v>801.54298739136163</v>
      </c>
      <c r="BN40" s="2871">
        <f>BL40-BM40</f>
        <v>0.64701260863841981</v>
      </c>
      <c r="BO40" s="2869">
        <v>1225.6600000000001</v>
      </c>
      <c r="BP40" s="2870">
        <f>BP56/BO56*BO40</f>
        <v>1224.7652337400277</v>
      </c>
      <c r="BQ40" s="2871">
        <f>BO40-BP40</f>
        <v>0.89476625997235715</v>
      </c>
      <c r="BR40" s="2869">
        <v>1684.77</v>
      </c>
      <c r="BS40" s="2870">
        <f>BS56/BR56*BR40</f>
        <v>1683.6369816237661</v>
      </c>
      <c r="BT40" s="2871">
        <f>BR40-BS40</f>
        <v>1.1330183762338493</v>
      </c>
      <c r="BU40" s="1267">
        <f t="shared" ref="BU40" si="185">SUM(BW40+BX40)</f>
        <v>2515.4474791750245</v>
      </c>
      <c r="BV40" s="2139">
        <f t="shared" si="35"/>
        <v>1.1339867109634552</v>
      </c>
      <c r="BW40" s="1009">
        <f>SUM(BW39*BW41)</f>
        <v>2503.4976099152859</v>
      </c>
      <c r="BX40" s="1047">
        <f>SUM(BX39*BX41)</f>
        <v>11.949869259738749</v>
      </c>
      <c r="BY40" s="1267">
        <f>BG40*(1-0.01)*(1+0.071)*(1+0)</f>
        <v>2351.9709551344463</v>
      </c>
      <c r="BZ40" s="2139">
        <f t="shared" si="93"/>
        <v>1.06029</v>
      </c>
      <c r="CA40" s="1009">
        <f>SUM(CA39*BY41)</f>
        <v>2339.3474121775644</v>
      </c>
      <c r="CB40" s="1047">
        <f>SUM(CB39*BY41)</f>
        <v>12.623542956881817</v>
      </c>
      <c r="CC40" s="1914"/>
      <c r="CD40" s="3951">
        <v>892.01</v>
      </c>
      <c r="CE40" s="3952">
        <f>CE56/CD56*CD40</f>
        <v>891.48986631824459</v>
      </c>
      <c r="CF40" s="3952">
        <f>CD40-CE40</f>
        <v>0.52013368175539654</v>
      </c>
      <c r="CG40" s="3952">
        <v>1359.73</v>
      </c>
      <c r="CH40" s="3952">
        <f>CH56/CG56*CG40</f>
        <v>1359.03215675053</v>
      </c>
      <c r="CI40" s="3952">
        <f>CG40-CH40</f>
        <v>0.69784324946999732</v>
      </c>
      <c r="CJ40" s="3952">
        <f>SUM(CJ39*30.58%)</f>
        <v>1836.6042199999997</v>
      </c>
      <c r="CK40" s="3952">
        <f>CK56/CJ56*CJ40</f>
        <v>1835.6608942626704</v>
      </c>
      <c r="CL40" s="3606">
        <f>CJ40-CK40</f>
        <v>0.94332573732935998</v>
      </c>
      <c r="CM40" s="4093">
        <f t="shared" ref="CM40" si="186">SUM(CO40+CP40)</f>
        <v>2463.5014178269216</v>
      </c>
      <c r="CN40" s="4359">
        <f t="shared" si="28"/>
        <v>1.04742</v>
      </c>
      <c r="CO40" s="4041">
        <f>SUM(CO39*CO41)</f>
        <v>2450.2567865482824</v>
      </c>
      <c r="CP40" s="3747">
        <f>SUM(CP39*CP41)</f>
        <v>13.244631278639412</v>
      </c>
      <c r="CQ40" s="4093">
        <f t="shared" ref="CQ40" si="187">SUM(CS40+CT40)</f>
        <v>2421.5892954064261</v>
      </c>
      <c r="CR40" s="4359">
        <f t="shared" si="36"/>
        <v>1.0296000000000001</v>
      </c>
      <c r="CS40" s="4041">
        <f>SUM(CS39*CS41)</f>
        <v>2408.2018671504802</v>
      </c>
      <c r="CT40" s="3747">
        <f>SUM(CB40*(1-0.01)*(1+0.058)*(1+0)*1.0125)</f>
        <v>13.387428255945867</v>
      </c>
    </row>
    <row r="41" spans="1:98" s="189" customFormat="1" ht="21" customHeight="1">
      <c r="A41" s="1280" t="str">
        <f>A25</f>
        <v>то же в %</v>
      </c>
      <c r="B41" s="1274"/>
      <c r="C41" s="30"/>
      <c r="D41" s="30"/>
      <c r="E41" s="386">
        <f>E40/E39</f>
        <v>0.25406626506024094</v>
      </c>
      <c r="F41" s="386">
        <f t="shared" ref="F41:AD41" si="188">F40/F39</f>
        <v>1.0157840042887267</v>
      </c>
      <c r="G41" s="386">
        <f t="shared" si="188"/>
        <v>0.30199999999999999</v>
      </c>
      <c r="H41" s="386">
        <f t="shared" si="188"/>
        <v>1.1886662714878482</v>
      </c>
      <c r="I41" s="386">
        <f t="shared" si="188"/>
        <v>0.30200000000000005</v>
      </c>
      <c r="J41" s="386">
        <f t="shared" si="188"/>
        <v>0.33315217391304353</v>
      </c>
      <c r="K41" s="386">
        <f t="shared" si="188"/>
        <v>0.29412338691971801</v>
      </c>
      <c r="L41" s="386">
        <f t="shared" si="188"/>
        <v>0.29596642973366449</v>
      </c>
      <c r="M41" s="386">
        <f t="shared" si="188"/>
        <v>0.9800212905088227</v>
      </c>
      <c r="N41" s="386">
        <f t="shared" si="188"/>
        <v>0</v>
      </c>
      <c r="O41" s="386">
        <f t="shared" si="188"/>
        <v>0.30199999999999999</v>
      </c>
      <c r="P41" s="386">
        <f t="shared" si="188"/>
        <v>1</v>
      </c>
      <c r="Q41" s="387">
        <f t="shared" si="188"/>
        <v>0.30199999999999999</v>
      </c>
      <c r="R41" s="386">
        <f t="shared" si="188"/>
        <v>1</v>
      </c>
      <c r="S41" s="386">
        <f t="shared" si="188"/>
        <v>1.0203859953703702</v>
      </c>
      <c r="T41" s="386" t="e">
        <f t="shared" si="188"/>
        <v>#REF!</v>
      </c>
      <c r="U41" s="386" t="e">
        <f t="shared" si="188"/>
        <v>#REF!</v>
      </c>
      <c r="V41" s="386">
        <f t="shared" si="188"/>
        <v>0.30071861839817637</v>
      </c>
      <c r="W41" s="386"/>
      <c r="X41" s="1292">
        <v>0</v>
      </c>
      <c r="Y41" s="1297">
        <f t="shared" si="188"/>
        <v>0.30200097859957253</v>
      </c>
      <c r="Z41" s="1300">
        <f t="shared" si="20"/>
        <v>1.0000032403959356</v>
      </c>
      <c r="AA41" s="1048">
        <f t="shared" si="188"/>
        <v>0.30071861839817632</v>
      </c>
      <c r="AB41" s="1010">
        <f t="shared" si="188"/>
        <v>0.99575701456349774</v>
      </c>
      <c r="AC41" s="1010">
        <f t="shared" si="188"/>
        <v>0.30071861839817632</v>
      </c>
      <c r="AD41" s="1049">
        <f t="shared" si="188"/>
        <v>0.3007186183981771</v>
      </c>
      <c r="AE41" s="1048">
        <f t="shared" ref="AE41" si="189">AE40/AE39</f>
        <v>0.30476987966753505</v>
      </c>
      <c r="AF41" s="1010">
        <f t="shared" ref="AF41:AG41" si="190">AF40/AF39</f>
        <v>0.30476987966753499</v>
      </c>
      <c r="AG41" s="1049">
        <f t="shared" si="190"/>
        <v>0.30476987966753749</v>
      </c>
      <c r="AH41" s="1048">
        <v>0.30099999999999999</v>
      </c>
      <c r="AI41" s="1264">
        <f t="shared" si="23"/>
        <v>1.0009356973084091</v>
      </c>
      <c r="AJ41" s="1010">
        <v>0.30099999999999999</v>
      </c>
      <c r="AK41" s="1049">
        <v>0.30099999999999999</v>
      </c>
      <c r="AL41" s="1048">
        <f>SUM(AL40/AL39)</f>
        <v>0.30071861839817632</v>
      </c>
      <c r="AM41" s="1264">
        <f t="shared" si="25"/>
        <v>1</v>
      </c>
      <c r="AN41" s="1010">
        <f>AN40/AN39</f>
        <v>0.30071861839817632</v>
      </c>
      <c r="AO41" s="1049">
        <f>AO40/AO39</f>
        <v>0.30071861839817632</v>
      </c>
      <c r="AP41" s="1328">
        <f t="shared" si="26"/>
        <v>-1.2823602013962154E-3</v>
      </c>
      <c r="AQ41" s="1329">
        <f t="shared" si="182"/>
        <v>-1.2823602013962154E-3</v>
      </c>
      <c r="AR41" s="1329">
        <f t="shared" si="27"/>
        <v>0</v>
      </c>
      <c r="AS41" s="1330">
        <f t="shared" si="172"/>
        <v>-1.2823602013962154E-3</v>
      </c>
      <c r="AT41" s="1048">
        <f t="shared" ref="AT41" si="191">AT40/AT39</f>
        <v>0.30975332955038554</v>
      </c>
      <c r="AU41" s="1010">
        <f t="shared" ref="AU41:AW41" si="192">AU40/AU39</f>
        <v>0.30975332955038554</v>
      </c>
      <c r="AV41" s="1049">
        <f t="shared" si="192"/>
        <v>0.30975332955038049</v>
      </c>
      <c r="AW41" s="1048">
        <f t="shared" si="192"/>
        <v>0.31066185916650968</v>
      </c>
      <c r="AX41" s="1010">
        <f t="shared" ref="AX41:AZ41" si="193">AX40/AX39</f>
        <v>0.31066185916650968</v>
      </c>
      <c r="AY41" s="2644">
        <f t="shared" si="193"/>
        <v>0.31066185916650962</v>
      </c>
      <c r="AZ41" s="1048">
        <f t="shared" si="193"/>
        <v>0.31032852599370436</v>
      </c>
      <c r="BA41" s="1010">
        <f t="shared" ref="BA41:BB41" si="194">BA40/BA39</f>
        <v>0.31032852599370431</v>
      </c>
      <c r="BB41" s="2644">
        <f t="shared" si="194"/>
        <v>0.31032852599370864</v>
      </c>
      <c r="BC41" s="1048">
        <f>SUM(BC40/BC39)</f>
        <v>0.30099999999999999</v>
      </c>
      <c r="BD41" s="2139">
        <f t="shared" si="33"/>
        <v>1.0009356973084091</v>
      </c>
      <c r="BE41" s="1010">
        <f>SUM(BE40/BE39)</f>
        <v>0.30099999999999999</v>
      </c>
      <c r="BF41" s="1049">
        <f>SUM(BF40/BF39)</f>
        <v>0.30099999999999999</v>
      </c>
      <c r="BG41" s="1048">
        <f>SUM(BG40/BG39)</f>
        <v>0.30099999999999999</v>
      </c>
      <c r="BH41" s="2139">
        <f t="shared" si="34"/>
        <v>1.0009356973084091</v>
      </c>
      <c r="BI41" s="1010">
        <f>SUM(BI40/BI39)</f>
        <v>0.30099999999999999</v>
      </c>
      <c r="BJ41" s="1049">
        <f>SUM(BJ40/BJ39)</f>
        <v>0.30099999999999999</v>
      </c>
      <c r="BK41" s="1916"/>
      <c r="BL41" s="2872">
        <f t="shared" ref="BL41:BN41" si="195">BL40/BL39</f>
        <v>0.31074689423549973</v>
      </c>
      <c r="BM41" s="2873">
        <f t="shared" si="195"/>
        <v>0.31074689423549967</v>
      </c>
      <c r="BN41" s="2874">
        <f t="shared" si="195"/>
        <v>0.31074689423551993</v>
      </c>
      <c r="BO41" s="2872">
        <f t="shared" ref="BO41:BQ41" si="196">BO40/BO39</f>
        <v>0.30991236099381519</v>
      </c>
      <c r="BP41" s="2873">
        <f t="shared" si="196"/>
        <v>0.30991236099381525</v>
      </c>
      <c r="BQ41" s="2874">
        <f t="shared" si="196"/>
        <v>0.30991236099380132</v>
      </c>
      <c r="BR41" s="2872">
        <f t="shared" ref="BR41:BT41" si="197">BR40/BR39</f>
        <v>0.30898867131405056</v>
      </c>
      <c r="BS41" s="2873">
        <f t="shared" si="197"/>
        <v>0.3089886713140505</v>
      </c>
      <c r="BT41" s="2874">
        <f t="shared" si="197"/>
        <v>0.30898867131411323</v>
      </c>
      <c r="BU41" s="1048">
        <v>0.31030000000000002</v>
      </c>
      <c r="BV41" s="2139">
        <f t="shared" si="35"/>
        <v>1.0308970099667776</v>
      </c>
      <c r="BW41" s="1010">
        <v>0.31030000000000002</v>
      </c>
      <c r="BX41" s="1049">
        <v>0.31030000000000002</v>
      </c>
      <c r="BY41" s="1048">
        <f>SUM(BY40/BY39)</f>
        <v>0.30099999999999999</v>
      </c>
      <c r="BZ41" s="2139">
        <f t="shared" si="93"/>
        <v>1</v>
      </c>
      <c r="CA41" s="1010">
        <f>SUM(CA40/CA39)</f>
        <v>0.30099999999999999</v>
      </c>
      <c r="CB41" s="1049">
        <f>SUM(CB40/CB39)</f>
        <v>0.30099999999999999</v>
      </c>
      <c r="CC41" s="1916"/>
      <c r="CD41" s="3954">
        <f>SUM(CD40/CD39)</f>
        <v>0.30907106475867085</v>
      </c>
      <c r="CE41" s="3955">
        <f t="shared" ref="CE41:CF41" si="198">CE40/CE39</f>
        <v>0.30907106475867085</v>
      </c>
      <c r="CF41" s="3955">
        <f t="shared" si="198"/>
        <v>0.30907106475868801</v>
      </c>
      <c r="CG41" s="3955">
        <f>SUM(CG40/CG39)</f>
        <v>0.30583220872694555</v>
      </c>
      <c r="CH41" s="3955">
        <f t="shared" ref="CH41:CI41" si="199">CH40/CH39</f>
        <v>0.30583220872694555</v>
      </c>
      <c r="CI41" s="3955">
        <f t="shared" si="199"/>
        <v>0.30583220872696909</v>
      </c>
      <c r="CJ41" s="3955">
        <f>SUM(CJ40/CJ39)</f>
        <v>0.30579999999999996</v>
      </c>
      <c r="CK41" s="3955">
        <f t="shared" ref="CK41:CL41" si="200">CK40/CK39</f>
        <v>0.30579999999999996</v>
      </c>
      <c r="CL41" s="3956">
        <f t="shared" si="200"/>
        <v>0.30579999999999097</v>
      </c>
      <c r="CM41" s="4094">
        <f>SUM(CM40/CM39)</f>
        <v>0.30099999999999999</v>
      </c>
      <c r="CN41" s="4359">
        <f t="shared" si="28"/>
        <v>1</v>
      </c>
      <c r="CO41" s="4042">
        <v>0.30099999999999999</v>
      </c>
      <c r="CP41" s="3749">
        <v>0.30099999999999999</v>
      </c>
      <c r="CQ41" s="4094">
        <f>SUM(CQ40/CQ39)</f>
        <v>0.30099999999999999</v>
      </c>
      <c r="CR41" s="4359">
        <f t="shared" si="36"/>
        <v>1</v>
      </c>
      <c r="CS41" s="4042">
        <v>0.30099999999999999</v>
      </c>
      <c r="CT41" s="3749">
        <v>0.30099999999999999</v>
      </c>
    </row>
    <row r="42" spans="1:98" ht="21" customHeight="1">
      <c r="A42" s="1279" t="s">
        <v>6</v>
      </c>
      <c r="B42" s="1273">
        <v>1035.7</v>
      </c>
      <c r="C42" s="17">
        <v>1490.6</v>
      </c>
      <c r="D42" s="30">
        <f t="shared" si="14"/>
        <v>143.92198513082937</v>
      </c>
      <c r="E42" s="17">
        <v>1931.9</v>
      </c>
      <c r="F42" s="30">
        <f t="shared" si="138"/>
        <v>129.60552797531199</v>
      </c>
      <c r="G42" s="17">
        <f>'цех вода'!G45-вода!G16-вода!G26-вода!G34</f>
        <v>2268.3000000000029</v>
      </c>
      <c r="H42" s="30">
        <f t="shared" si="16"/>
        <v>117.4129095708889</v>
      </c>
      <c r="I42" s="141">
        <v>2107</v>
      </c>
      <c r="J42" s="141">
        <v>1329.9</v>
      </c>
      <c r="K42" s="141">
        <f>'цех вода'!K50</f>
        <v>1718.888220844955</v>
      </c>
      <c r="L42" s="141">
        <v>2190.8000000000002</v>
      </c>
      <c r="M42" s="161">
        <f t="shared" si="17"/>
        <v>103.97721879449455</v>
      </c>
      <c r="N42" s="161"/>
      <c r="O42" s="141">
        <f>'цех вода'!N50</f>
        <v>2644.3000000000011</v>
      </c>
      <c r="P42" s="161">
        <f t="shared" si="19"/>
        <v>125.50071191267209</v>
      </c>
      <c r="Q42" s="235">
        <f>'цех вода'!P50</f>
        <v>2113.8624728004652</v>
      </c>
      <c r="R42" s="161">
        <f t="shared" si="29"/>
        <v>100.32569875654795</v>
      </c>
      <c r="S42" s="161">
        <f t="shared" si="30"/>
        <v>96.48815377033344</v>
      </c>
      <c r="T42" s="141" t="e">
        <f>Q42/Q56*T56</f>
        <v>#REF!</v>
      </c>
      <c r="U42" s="141" t="e">
        <f t="shared" si="171"/>
        <v>#REF!</v>
      </c>
      <c r="V42" s="141">
        <v>2048.6</v>
      </c>
      <c r="W42" s="141"/>
      <c r="X42" s="1288"/>
      <c r="Y42" s="1296">
        <v>2817.5</v>
      </c>
      <c r="Z42" s="1300">
        <f t="shared" si="20"/>
        <v>1.3328681672783325</v>
      </c>
      <c r="AA42" s="1050">
        <f>'цех вода'!W50</f>
        <v>2244.4438912833493</v>
      </c>
      <c r="AB42" s="1302">
        <f t="shared" si="1"/>
        <v>1.0617738477138905</v>
      </c>
      <c r="AC42" s="1009">
        <f>$AC$56/$AA$56*AA42</f>
        <v>2218.9652823797824</v>
      </c>
      <c r="AD42" s="1047">
        <f t="shared" si="32"/>
        <v>25.478608903566965</v>
      </c>
      <c r="AE42" s="1050">
        <v>2289.6</v>
      </c>
      <c r="AF42" s="1009">
        <f>AE42*AF56/(AF56+AG56)</f>
        <v>2261.3697251794997</v>
      </c>
      <c r="AG42" s="1047">
        <f>SUM(AE42-AF42)</f>
        <v>28.230274820500199</v>
      </c>
      <c r="AH42" s="1267">
        <f t="shared" si="22"/>
        <v>2395.3000000000002</v>
      </c>
      <c r="AI42" s="1264">
        <f t="shared" si="23"/>
        <v>1.0672131343102513</v>
      </c>
      <c r="AJ42" s="1009">
        <v>2368.0300000000002</v>
      </c>
      <c r="AK42" s="1047">
        <v>27.27</v>
      </c>
      <c r="AL42" s="1267">
        <f t="shared" si="24"/>
        <v>2361.5208448128728</v>
      </c>
      <c r="AM42" s="1264">
        <f t="shared" si="25"/>
        <v>1.0521630119532996</v>
      </c>
      <c r="AN42" s="1009">
        <f>'цех вода'!AB50*AN56/(AN56+AO56)</f>
        <v>2334.6387609684302</v>
      </c>
      <c r="AO42" s="1047">
        <f>'цех вода'!AB50-AN42</f>
        <v>26.882083844442604</v>
      </c>
      <c r="AP42" s="1328">
        <f t="shared" si="26"/>
        <v>-573.05610871665067</v>
      </c>
      <c r="AQ42" s="1329">
        <f t="shared" si="182"/>
        <v>-566.55085700129462</v>
      </c>
      <c r="AR42" s="1329">
        <f t="shared" si="27"/>
        <v>-6.505251715356053</v>
      </c>
      <c r="AS42" s="1330">
        <f t="shared" si="172"/>
        <v>-573.05610871665067</v>
      </c>
      <c r="AT42" s="1050">
        <v>1149.72</v>
      </c>
      <c r="AU42" s="1009">
        <f>AT42*AU56/(AU56+AV56)</f>
        <v>1141.806750934448</v>
      </c>
      <c r="AV42" s="1047">
        <f>SUM(AT42-AU42)</f>
        <v>7.9132490655520087</v>
      </c>
      <c r="AW42" s="1050">
        <v>1754.48</v>
      </c>
      <c r="AX42" s="1009">
        <f>AW42*AX56/(AX56+AY56)</f>
        <v>1743.6879653631129</v>
      </c>
      <c r="AY42" s="2643">
        <f>SUM(AW42-AX42)</f>
        <v>10.792034636887138</v>
      </c>
      <c r="AZ42" s="1050">
        <v>2398.5700000000002</v>
      </c>
      <c r="BA42" s="1009">
        <f>AZ42*BA56/(BA56+BB56)</f>
        <v>2387.0099232360431</v>
      </c>
      <c r="BB42" s="2643">
        <f>SUM(AZ42-BA42)</f>
        <v>11.560076763957113</v>
      </c>
      <c r="BC42" s="1050">
        <v>2843.27</v>
      </c>
      <c r="BD42" s="2139">
        <f t="shared" si="33"/>
        <v>1.2039995354033393</v>
      </c>
      <c r="BE42" s="1009">
        <f>BC42*BE56/(BE56+BF56)</f>
        <v>2828.0846707368432</v>
      </c>
      <c r="BF42" s="1047">
        <f>SUM(BC42-BE42)</f>
        <v>15.185329263156746</v>
      </c>
      <c r="BG42" s="1050">
        <f>SUM('цех вода'!AG50)</f>
        <v>2475.1343982218523</v>
      </c>
      <c r="BH42" s="2139">
        <f t="shared" si="34"/>
        <v>1.0481103326521695</v>
      </c>
      <c r="BI42" s="1009">
        <f>BG42*BI56/(BI56+BJ56)</f>
        <v>2461.9152066545498</v>
      </c>
      <c r="BJ42" s="1047">
        <f>SUM(BG42-BI42)</f>
        <v>13.21919156730246</v>
      </c>
      <c r="BK42" s="1914" t="str">
        <f>BK34</f>
        <v>Приложение</v>
      </c>
      <c r="BL42" s="2869">
        <f>SUM('цех вода'!AM50)</f>
        <v>1174.5899999999999</v>
      </c>
      <c r="BM42" s="2870">
        <f>BL42*BM56/(BM56+BN56)</f>
        <v>1173.6426252633657</v>
      </c>
      <c r="BN42" s="2871">
        <f>SUM(BL42-BM42)</f>
        <v>0.94737473663417404</v>
      </c>
      <c r="BO42" s="2869">
        <f>SUM('цех вода'!AN50)</f>
        <v>1867.72</v>
      </c>
      <c r="BP42" s="2870">
        <f>BO42*BP56/(BP56+BQ56)</f>
        <v>1866.3565118882273</v>
      </c>
      <c r="BQ42" s="2871">
        <f>SUM(BO42-BP42)</f>
        <v>1.3634881117727673</v>
      </c>
      <c r="BR42" s="2869">
        <f>SUM('цех вода'!AO50)</f>
        <v>2505.2399999999998</v>
      </c>
      <c r="BS42" s="2870">
        <f>BR42*BS56/(BS56+BT56)</f>
        <v>2503.5552104103967</v>
      </c>
      <c r="BT42" s="2871">
        <f>SUM(BR42-BS42)</f>
        <v>1.6847895896030423</v>
      </c>
      <c r="BU42" s="1050">
        <f>SUM('цех вода'!AP50)</f>
        <v>2760.9910007951876</v>
      </c>
      <c r="BV42" s="2139">
        <f t="shared" si="35"/>
        <v>1.1154913457542734</v>
      </c>
      <c r="BW42" s="1009">
        <f>BU42*BW56/(BW56+BX56)</f>
        <v>2747.8746539980607</v>
      </c>
      <c r="BX42" s="1047">
        <f>SUM(BU42-BW42)</f>
        <v>13.11634679712688</v>
      </c>
      <c r="BY42" s="1050">
        <f>SUM('цех вода'!AQ50)</f>
        <v>2547.5101963019865</v>
      </c>
      <c r="BZ42" s="2139">
        <f t="shared" si="93"/>
        <v>1.0292411588365178</v>
      </c>
      <c r="CA42" s="1009">
        <f>BY42*CA56/(CA56+CB56)</f>
        <v>2533.8371514346977</v>
      </c>
      <c r="CB42" s="1047">
        <f>SUM(BY42-CA42)</f>
        <v>13.673044867288809</v>
      </c>
      <c r="CC42" s="1914"/>
      <c r="CD42" s="3951">
        <f>SUM('цех вода'!AV50)</f>
        <v>1086.1400000000001</v>
      </c>
      <c r="CE42" s="3952">
        <f>CD42*CE56/(CE56+CF56)</f>
        <v>1085.5066685383554</v>
      </c>
      <c r="CF42" s="3952">
        <f>SUM(CD42-CE42)</f>
        <v>0.63333146164472964</v>
      </c>
      <c r="CG42" s="3952">
        <f>SUM('цех вода'!AW50)</f>
        <v>1799.49</v>
      </c>
      <c r="CH42" s="3952">
        <f>CG42*CH56/(CH56+CI56)</f>
        <v>1798.5664622763425</v>
      </c>
      <c r="CI42" s="3952">
        <f>SUM(CG42-CH42)</f>
        <v>0.92353772365754594</v>
      </c>
      <c r="CJ42" s="3952">
        <f>SUM('цех вода'!AX50)</f>
        <v>2427.5694449999996</v>
      </c>
      <c r="CK42" s="3952">
        <f>CJ42*CK56/(CK56+CL56)</f>
        <v>2426.3225847828194</v>
      </c>
      <c r="CL42" s="3606">
        <f>SUM(CJ42-CK42)</f>
        <v>1.2468602171802559</v>
      </c>
      <c r="CM42" s="4040">
        <f>SUM('цех вода'!AY50)</f>
        <v>2680.8172983795316</v>
      </c>
      <c r="CN42" s="4359">
        <f t="shared" si="28"/>
        <v>1.0523283880359169</v>
      </c>
      <c r="CO42" s="4041">
        <f>CM42*CO56/(CO56+CP56)</f>
        <v>2666.4043021516845</v>
      </c>
      <c r="CP42" s="3747">
        <f>SUM(CM42-CO42)</f>
        <v>14.412996227847088</v>
      </c>
      <c r="CQ42" s="4040">
        <f>SUM('цех вода'!AZ50)</f>
        <v>2516.2184274818646</v>
      </c>
      <c r="CR42" s="4359">
        <f t="shared" si="36"/>
        <v>0.98771672479837547</v>
      </c>
      <c r="CS42" s="4041">
        <f>SUM(CQ42-CT42)</f>
        <v>2501.717989068783</v>
      </c>
      <c r="CT42" s="3747">
        <f>SUM(CB42*(1-0.01)*(1+0.058)*(1+0)*1.0125)</f>
        <v>14.500438413081838</v>
      </c>
    </row>
    <row r="43" spans="1:98" ht="21" customHeight="1">
      <c r="A43" s="1281" t="s">
        <v>10</v>
      </c>
      <c r="B43" s="1275">
        <v>1494.1</v>
      </c>
      <c r="C43" s="18">
        <v>1404.8</v>
      </c>
      <c r="D43" s="30">
        <f>C43/B43*100</f>
        <v>94.02315775383174</v>
      </c>
      <c r="E43" s="18">
        <v>1410.5</v>
      </c>
      <c r="F43" s="133">
        <f>E43/C43*100</f>
        <v>100.40575170842826</v>
      </c>
      <c r="G43" s="18">
        <v>1428.5</v>
      </c>
      <c r="H43" s="30">
        <f t="shared" si="16"/>
        <v>101.27614321162707</v>
      </c>
      <c r="I43" s="134">
        <f>SUM(I44:I46)</f>
        <v>1137.367</v>
      </c>
      <c r="J43" s="134">
        <v>677.2</v>
      </c>
      <c r="K43" s="134">
        <v>1258.5</v>
      </c>
      <c r="L43" s="134">
        <v>1566.1</v>
      </c>
      <c r="M43" s="160">
        <f t="shared" si="17"/>
        <v>137.6952206279943</v>
      </c>
      <c r="N43" s="161">
        <f t="shared" si="18"/>
        <v>109.63248162408119</v>
      </c>
      <c r="O43" s="134">
        <v>1885.8</v>
      </c>
      <c r="P43" s="161">
        <f t="shared" si="19"/>
        <v>165.80400169866013</v>
      </c>
      <c r="Q43" s="243">
        <f>SUM(Q44:Q47)</f>
        <v>3665.1</v>
      </c>
      <c r="R43" s="134">
        <f t="shared" ref="R43:AO43" si="201">SUM(R44:R47)</f>
        <v>185.27161278777811</v>
      </c>
      <c r="S43" s="134">
        <f t="shared" si="201"/>
        <v>0</v>
      </c>
      <c r="T43" s="134" t="e">
        <f t="shared" si="201"/>
        <v>#REF!</v>
      </c>
      <c r="U43" s="134" t="e">
        <f t="shared" si="201"/>
        <v>#REF!</v>
      </c>
      <c r="V43" s="134" t="e">
        <f t="shared" si="201"/>
        <v>#REF!</v>
      </c>
      <c r="W43" s="134">
        <f t="shared" si="201"/>
        <v>0</v>
      </c>
      <c r="X43" s="1291">
        <f t="shared" si="201"/>
        <v>0</v>
      </c>
      <c r="Y43" s="1298">
        <f t="shared" si="201"/>
        <v>4337.3</v>
      </c>
      <c r="Z43" s="1300">
        <f t="shared" si="20"/>
        <v>1.1834056369539714</v>
      </c>
      <c r="AA43" s="1270" t="e">
        <f t="shared" si="201"/>
        <v>#REF!</v>
      </c>
      <c r="AB43" s="1302" t="e">
        <f t="shared" si="1"/>
        <v>#REF!</v>
      </c>
      <c r="AC43" s="1268" t="e">
        <f t="shared" si="201"/>
        <v>#REF!</v>
      </c>
      <c r="AD43" s="1269" t="e">
        <f t="shared" si="201"/>
        <v>#REF!</v>
      </c>
      <c r="AE43" s="1270">
        <f>SUM(AE44:AE47)</f>
        <v>4024.3500000000004</v>
      </c>
      <c r="AF43" s="1268">
        <f>SUM(AF44:AF47)</f>
        <v>3976.8345704382273</v>
      </c>
      <c r="AG43" s="1269">
        <f>SUM(AG44:AG47)</f>
        <v>47.515429561772656</v>
      </c>
      <c r="AH43" s="1263">
        <f t="shared" si="22"/>
        <v>3223.45</v>
      </c>
      <c r="AI43" s="1264" t="e">
        <f t="shared" si="23"/>
        <v>#REF!</v>
      </c>
      <c r="AJ43" s="1268">
        <f t="shared" si="201"/>
        <v>3186.56</v>
      </c>
      <c r="AK43" s="1269">
        <f t="shared" si="201"/>
        <v>36.89</v>
      </c>
      <c r="AL43" s="1263">
        <f t="shared" si="24"/>
        <v>3223.1722248582328</v>
      </c>
      <c r="AM43" s="1264" t="e">
        <f t="shared" si="25"/>
        <v>#REF!</v>
      </c>
      <c r="AN43" s="1268">
        <f t="shared" si="201"/>
        <v>3186.5738414565994</v>
      </c>
      <c r="AO43" s="1269">
        <f t="shared" si="201"/>
        <v>36.598383401633441</v>
      </c>
      <c r="AP43" s="1328" t="e">
        <f t="shared" si="26"/>
        <v>#REF!</v>
      </c>
      <c r="AQ43" s="1329" t="e">
        <f t="shared" si="182"/>
        <v>#REF!</v>
      </c>
      <c r="AR43" s="1329" t="e">
        <f t="shared" si="27"/>
        <v>#REF!</v>
      </c>
      <c r="AS43" s="1330" t="e">
        <f t="shared" si="172"/>
        <v>#REF!</v>
      </c>
      <c r="AT43" s="1270">
        <f t="shared" ref="AT43:BC43" si="202">SUM(AT44:AT47)</f>
        <v>917.55000000000007</v>
      </c>
      <c r="AU43" s="1268">
        <f t="shared" si="202"/>
        <v>911.23472177565213</v>
      </c>
      <c r="AV43" s="1269">
        <f t="shared" si="202"/>
        <v>6.3152782243478924</v>
      </c>
      <c r="AW43" s="1270">
        <f t="shared" si="202"/>
        <v>2879.55</v>
      </c>
      <c r="AX43" s="1268">
        <f t="shared" si="202"/>
        <v>2861.8375134862476</v>
      </c>
      <c r="AY43" s="2645">
        <f t="shared" si="202"/>
        <v>17.712486513752381</v>
      </c>
      <c r="AZ43" s="1270">
        <f t="shared" ref="AZ43:BB43" si="203">SUM(AZ44:AZ47)</f>
        <v>4009.7699999999995</v>
      </c>
      <c r="BA43" s="1268">
        <f t="shared" si="203"/>
        <v>3990.4446315488758</v>
      </c>
      <c r="BB43" s="2645">
        <f t="shared" si="203"/>
        <v>19.325368451124206</v>
      </c>
      <c r="BC43" s="1270">
        <f t="shared" si="202"/>
        <v>4420.8999999999996</v>
      </c>
      <c r="BD43" s="2139">
        <f t="shared" si="33"/>
        <v>1.3715990619131273</v>
      </c>
      <c r="BE43" s="1268">
        <f>SUM(BE44:BE47)</f>
        <v>4381.0563420773306</v>
      </c>
      <c r="BF43" s="1269">
        <f>SUM(BF44:BF47)</f>
        <v>39.843657922669166</v>
      </c>
      <c r="BG43" s="1270">
        <f>SUM(BG44:BG47)</f>
        <v>3125.4374758921222</v>
      </c>
      <c r="BH43" s="2139">
        <f t="shared" si="34"/>
        <v>0.96967746612720662</v>
      </c>
      <c r="BI43" s="1268">
        <f>SUM(BI44:BI47)</f>
        <v>3107.8150351902632</v>
      </c>
      <c r="BJ43" s="1269">
        <f>SUM(BJ44:BJ47)</f>
        <v>17.622440701858665</v>
      </c>
      <c r="BK43" s="1918" t="s">
        <v>250</v>
      </c>
      <c r="BL43" s="2875">
        <f t="shared" ref="BL43:BU43" si="204">SUM(BL44:BL47)</f>
        <v>1984.73</v>
      </c>
      <c r="BM43" s="2876">
        <f t="shared" si="204"/>
        <v>1983.1292005201474</v>
      </c>
      <c r="BN43" s="2877">
        <f t="shared" si="204"/>
        <v>1.60079947985259</v>
      </c>
      <c r="BO43" s="2875">
        <f t="shared" ref="BO43:BQ43" si="205">SUM(BO44:BO47)</f>
        <v>2969.96</v>
      </c>
      <c r="BP43" s="2876">
        <f t="shared" si="205"/>
        <v>2967.7918456982625</v>
      </c>
      <c r="BQ43" s="2877">
        <f t="shared" si="205"/>
        <v>2.1681543017374878</v>
      </c>
      <c r="BR43" s="2875">
        <f t="shared" ref="BR43:BT43" si="206">SUM(BR44:BR47)</f>
        <v>4091.9520000000002</v>
      </c>
      <c r="BS43" s="2876">
        <f t="shared" si="206"/>
        <v>4089.2001366532722</v>
      </c>
      <c r="BT43" s="2877">
        <f t="shared" si="206"/>
        <v>2.7518633467274043</v>
      </c>
      <c r="BU43" s="1270">
        <f t="shared" si="204"/>
        <v>3628.2425283182315</v>
      </c>
      <c r="BV43" s="2139">
        <f t="shared" si="35"/>
        <v>1.1608750955040588</v>
      </c>
      <c r="BW43" s="1268">
        <f>SUM(BW44:BW47)</f>
        <v>3611.0062217704012</v>
      </c>
      <c r="BX43" s="1269">
        <f>SUM(BX44:BX47)</f>
        <v>17.236306547830125</v>
      </c>
      <c r="BY43" s="1270">
        <f>SUM(BY44:BY47)</f>
        <v>3621.9039999999995</v>
      </c>
      <c r="BZ43" s="2139">
        <f t="shared" si="93"/>
        <v>1.1588470503529003</v>
      </c>
      <c r="CA43" s="1268">
        <f>SUM(CA44:CA47)</f>
        <v>3603.174</v>
      </c>
      <c r="CB43" s="1269">
        <f>SUM(CB44:CB47)</f>
        <v>18.73</v>
      </c>
      <c r="CC43" s="1918"/>
      <c r="CD43" s="3946">
        <f t="shared" ref="CD43:CF43" si="207">SUM(CD44:CD47)</f>
        <v>2184.0039999999999</v>
      </c>
      <c r="CE43" s="3947">
        <f t="shared" si="207"/>
        <v>2182.7305007774708</v>
      </c>
      <c r="CF43" s="3947">
        <f t="shared" si="207"/>
        <v>1.2734992225292316</v>
      </c>
      <c r="CG43" s="3947">
        <f t="shared" ref="CG43:CI43" si="208">SUM(CG44:CG47)</f>
        <v>3241.674</v>
      </c>
      <c r="CH43" s="3947">
        <f t="shared" si="208"/>
        <v>3240.0103018261843</v>
      </c>
      <c r="CI43" s="3947">
        <f t="shared" si="208"/>
        <v>1.663698173815888</v>
      </c>
      <c r="CJ43" s="3947">
        <f t="shared" ref="CJ43:CL43" si="209">SUM(CJ44:CJ47)</f>
        <v>4322.232</v>
      </c>
      <c r="CK43" s="3947">
        <f t="shared" si="209"/>
        <v>4320.0119938365006</v>
      </c>
      <c r="CL43" s="3605">
        <f t="shared" si="209"/>
        <v>2.2200061634995052</v>
      </c>
      <c r="CM43" s="4095">
        <f t="shared" ref="CM43" si="210">SUM(CM44:CM47)</f>
        <v>3632.6157539878122</v>
      </c>
      <c r="CN43" s="4359">
        <f t="shared" si="28"/>
        <v>1.0029574925199047</v>
      </c>
      <c r="CO43" s="4043">
        <f>SUM(CO44:CO47)</f>
        <v>3612.0164393374689</v>
      </c>
      <c r="CP43" s="4044">
        <f>SUM(CP44:CP47)</f>
        <v>20.599314650343089</v>
      </c>
      <c r="CQ43" s="4095">
        <f>SUM(CQ44:CQ47)</f>
        <v>3523.8224121041176</v>
      </c>
      <c r="CR43" s="4359">
        <f t="shared" si="36"/>
        <v>0.97291988194720735</v>
      </c>
      <c r="CS43" s="4043">
        <f>SUM(CS44:CS47)</f>
        <v>3502.9312821041176</v>
      </c>
      <c r="CT43" s="4044">
        <f>SUM(CT44:CT47)</f>
        <v>20.891130000000004</v>
      </c>
    </row>
    <row r="44" spans="1:98" ht="21" customHeight="1">
      <c r="A44" s="1280" t="s">
        <v>844</v>
      </c>
      <c r="B44" s="1274"/>
      <c r="C44" s="30"/>
      <c r="D44" s="30"/>
      <c r="E44" s="30"/>
      <c r="F44" s="133"/>
      <c r="G44" s="133"/>
      <c r="H44" s="30"/>
      <c r="I44" s="161">
        <v>995.76700000000005</v>
      </c>
      <c r="J44" s="161"/>
      <c r="K44" s="161">
        <v>1206</v>
      </c>
      <c r="L44" s="161">
        <v>1608</v>
      </c>
      <c r="M44" s="160">
        <f t="shared" si="17"/>
        <v>161.48355990909519</v>
      </c>
      <c r="N44" s="161"/>
      <c r="O44" s="161">
        <v>1768.8</v>
      </c>
      <c r="P44" s="161">
        <f t="shared" si="19"/>
        <v>177.63191590000471</v>
      </c>
      <c r="Q44" s="392">
        <v>1022.1</v>
      </c>
      <c r="R44" s="161">
        <f t="shared" si="29"/>
        <v>102.64449414371033</v>
      </c>
      <c r="S44" s="161"/>
      <c r="T44" s="141" t="e">
        <f>Q44/Q56*T56</f>
        <v>#REF!</v>
      </c>
      <c r="U44" s="141" t="e">
        <f>Q44-T44</f>
        <v>#REF!</v>
      </c>
      <c r="V44" s="141">
        <v>1206</v>
      </c>
      <c r="W44" s="141"/>
      <c r="X44" s="1288"/>
      <c r="Y44" s="1296">
        <v>1688.4</v>
      </c>
      <c r="Z44" s="1300">
        <f t="shared" si="20"/>
        <v>1.6518931611388319</v>
      </c>
      <c r="AA44" s="1050" t="e">
        <f>Q44*(объемы!F39/объемы!#REF!)</f>
        <v>#REF!</v>
      </c>
      <c r="AB44" s="1302" t="e">
        <f t="shared" si="1"/>
        <v>#REF!</v>
      </c>
      <c r="AC44" s="1009" t="e">
        <f>$AC$56/$AA$56*AA44</f>
        <v>#REF!</v>
      </c>
      <c r="AD44" s="1047" t="e">
        <f t="shared" si="32"/>
        <v>#REF!</v>
      </c>
      <c r="AE44" s="1050">
        <v>1608</v>
      </c>
      <c r="AF44" s="1009">
        <f>AF56/AE56*AE44</f>
        <v>1588.1737063629612</v>
      </c>
      <c r="AG44" s="1047">
        <f>AE44-AF44</f>
        <v>19.826293637038816</v>
      </c>
      <c r="AH44" s="1267">
        <f t="shared" si="22"/>
        <v>777.31000000000006</v>
      </c>
      <c r="AI44" s="1264" t="e">
        <f t="shared" si="23"/>
        <v>#REF!</v>
      </c>
      <c r="AJ44" s="1009">
        <v>768.46</v>
      </c>
      <c r="AK44" s="1047">
        <v>8.85</v>
      </c>
      <c r="AL44" s="1267">
        <f t="shared" si="24"/>
        <v>777.30736823713823</v>
      </c>
      <c r="AM44" s="1264" t="e">
        <f t="shared" si="25"/>
        <v>#REF!</v>
      </c>
      <c r="AN44" s="1009">
        <f>вод.налог!D26*AN56/(AN56+AO56)</f>
        <v>768.45898483550479</v>
      </c>
      <c r="AO44" s="1047">
        <f>вод.налог!D26-вода!AN44</f>
        <v>8.8483834016334413</v>
      </c>
      <c r="AP44" s="1328" t="e">
        <f t="shared" si="26"/>
        <v>#REF!</v>
      </c>
      <c r="AQ44" s="1329" t="e">
        <f t="shared" si="182"/>
        <v>#REF!</v>
      </c>
      <c r="AR44" s="1329" t="e">
        <f t="shared" si="27"/>
        <v>#REF!</v>
      </c>
      <c r="AS44" s="1330" t="e">
        <f t="shared" si="172"/>
        <v>#REF!</v>
      </c>
      <c r="AT44" s="1050">
        <v>872.97</v>
      </c>
      <c r="AU44" s="1009">
        <f>AT44*AU56/(AU56+AV56)</f>
        <v>866.96155530324347</v>
      </c>
      <c r="AV44" s="1047">
        <f>SUM(AT44-AU44)</f>
        <v>6.0084446967565555</v>
      </c>
      <c r="AW44" s="1050">
        <v>1309.47</v>
      </c>
      <c r="AX44" s="1009">
        <f>AW44*AX56/(AX56+AY56)</f>
        <v>1301.415279743306</v>
      </c>
      <c r="AY44" s="2643">
        <f>SUM(AW44-AX44)</f>
        <v>8.0547202566940541</v>
      </c>
      <c r="AZ44" s="1050">
        <v>1745.85</v>
      </c>
      <c r="BA44" s="1009">
        <f>AZ44*BA56/(BA56+BB56)</f>
        <v>1737.4357531702826</v>
      </c>
      <c r="BB44" s="2643">
        <f>SUM(AZ44-BA44)</f>
        <v>8.4142468297172854</v>
      </c>
      <c r="BC44" s="1050">
        <v>2004.55</v>
      </c>
      <c r="BD44" s="2139">
        <f t="shared" ref="BD44" si="211">SUM(BC44/AL44)</f>
        <v>2.5788382844564248</v>
      </c>
      <c r="BE44" s="1009">
        <f>BC44*BE56/(BE56+BF56)</f>
        <v>1993.8441044028666</v>
      </c>
      <c r="BF44" s="1047">
        <f>SUM(BC44-BE44)</f>
        <v>10.705895597133349</v>
      </c>
      <c r="BG44" s="2172">
        <f>BI44+BJ44</f>
        <v>1193.4749305587886</v>
      </c>
      <c r="BH44" s="2173">
        <f t="shared" ref="BH44" si="212">SUM(BG44/AL44)</f>
        <v>1.5353963944346498</v>
      </c>
      <c r="BI44" s="2174">
        <f>вод.налог!D36</f>
        <v>1186.1707105587886</v>
      </c>
      <c r="BJ44" s="2175">
        <f>0.341*BJ56</f>
        <v>7.3042199999999999</v>
      </c>
      <c r="BK44" s="1918" t="s">
        <v>980</v>
      </c>
      <c r="BL44" s="2869">
        <v>1002.27</v>
      </c>
      <c r="BM44" s="2870">
        <f>BL44*BM56/(BM56+BN56)</f>
        <v>1001.4616113049775</v>
      </c>
      <c r="BN44" s="2871">
        <f>SUM(BL44-BM44)</f>
        <v>0.80838869502247235</v>
      </c>
      <c r="BO44" s="2869">
        <v>1503.41</v>
      </c>
      <c r="BP44" s="2870">
        <f>BO44*BP56/(BP56+BQ56)</f>
        <v>1502.3124684309637</v>
      </c>
      <c r="BQ44" s="2871">
        <f>SUM(BO44-BP44)</f>
        <v>1.0975315690363914</v>
      </c>
      <c r="BR44" s="2869">
        <v>2004.55</v>
      </c>
      <c r="BS44" s="2870">
        <f>BR44*BS56/(BS56+BT56)</f>
        <v>2003.2019275710754</v>
      </c>
      <c r="BT44" s="2871">
        <f>SUM(BR44-BS44)</f>
        <v>1.3480724289245245</v>
      </c>
      <c r="BU44" s="1050">
        <f>SUM(вод.налог!G36)</f>
        <v>1363.8491949848983</v>
      </c>
      <c r="BV44" s="2139">
        <f t="shared" si="35"/>
        <v>1.1427547911260607</v>
      </c>
      <c r="BW44" s="1009">
        <f>BU44*BW56/(BW56+BX56)</f>
        <v>1357.3701014220248</v>
      </c>
      <c r="BX44" s="1047">
        <f>SUM(BU44-BW44)</f>
        <v>6.4790935628734587</v>
      </c>
      <c r="BY44" s="1050">
        <f>SUM(CA44:CB44)</f>
        <v>1357.51</v>
      </c>
      <c r="BZ44" s="2139">
        <f t="shared" si="93"/>
        <v>1.137443246809055</v>
      </c>
      <c r="CA44" s="1009">
        <v>1349.53</v>
      </c>
      <c r="CB44" s="1047">
        <v>7.98</v>
      </c>
      <c r="CC44" s="1918"/>
      <c r="CD44" s="3951">
        <v>1002.28</v>
      </c>
      <c r="CE44" s="3952">
        <f>CD44*CE56/(CE56+CF56)</f>
        <v>1001.695567553559</v>
      </c>
      <c r="CF44" s="3952">
        <f>SUM(CD44-CE44)</f>
        <v>0.58443244644092829</v>
      </c>
      <c r="CG44" s="3952">
        <v>1503.42</v>
      </c>
      <c r="CH44" s="3952">
        <f>CG44*CH56/(CH56+CI56)</f>
        <v>1502.64841189198</v>
      </c>
      <c r="CI44" s="3952">
        <f>SUM(CG44-CH44)</f>
        <v>0.77158810802006883</v>
      </c>
      <c r="CJ44" s="3952">
        <f>SUM(CG44/9*12)</f>
        <v>2004.5600000000002</v>
      </c>
      <c r="CK44" s="3952">
        <f>CJ44*CK56/(CK56+CL56)</f>
        <v>2003.5304079847858</v>
      </c>
      <c r="CL44" s="3606">
        <f>SUM(CJ44-CK44)</f>
        <v>1.0295920152143481</v>
      </c>
      <c r="CM44" s="4040">
        <f>SUM(CO44:CP44)</f>
        <v>1544.14</v>
      </c>
      <c r="CN44" s="4359">
        <f t="shared" si="28"/>
        <v>1.1374796502419873</v>
      </c>
      <c r="CO44" s="4041">
        <f>SUM('налоги 2018'!D47)</f>
        <v>1535.8381720430109</v>
      </c>
      <c r="CP44" s="3747">
        <f>SUM('налоги 2018'!D56)</f>
        <v>8.3018279569892002</v>
      </c>
      <c r="CQ44" s="4040">
        <f>SUM(CS44:CT44)</f>
        <v>1436.4224121041175</v>
      </c>
      <c r="CR44" s="4359">
        <f t="shared" si="36"/>
        <v>1.0581302621005499</v>
      </c>
      <c r="CS44" s="4041">
        <f>SUM('Расчет налог. обяз. 2018'!G9)</f>
        <v>1426.7512821041175</v>
      </c>
      <c r="CT44" s="3747">
        <f>SUM('Расчет налог. обяз. 2018'!G18)</f>
        <v>9.6711300000000016</v>
      </c>
    </row>
    <row r="45" spans="1:98" ht="21" customHeight="1">
      <c r="A45" s="1280" t="s">
        <v>542</v>
      </c>
      <c r="B45" s="1274"/>
      <c r="C45" s="30"/>
      <c r="D45" s="30"/>
      <c r="E45" s="30"/>
      <c r="F45" s="133"/>
      <c r="G45" s="133"/>
      <c r="H45" s="30"/>
      <c r="I45" s="161">
        <v>141.6</v>
      </c>
      <c r="J45" s="161"/>
      <c r="K45" s="161">
        <v>52.5</v>
      </c>
      <c r="L45" s="161">
        <v>86.5</v>
      </c>
      <c r="M45" s="160">
        <f t="shared" si="17"/>
        <v>61.087570621468934</v>
      </c>
      <c r="N45" s="161"/>
      <c r="O45" s="161">
        <v>117</v>
      </c>
      <c r="P45" s="161">
        <f t="shared" si="19"/>
        <v>82.627118644067792</v>
      </c>
      <c r="Q45" s="392">
        <v>117</v>
      </c>
      <c r="R45" s="161">
        <f t="shared" si="29"/>
        <v>82.627118644067792</v>
      </c>
      <c r="S45" s="161"/>
      <c r="T45" s="141" t="e">
        <f>Q45/Q56*T56</f>
        <v>#REF!</v>
      </c>
      <c r="U45" s="141" t="e">
        <f>Q45-T45</f>
        <v>#REF!</v>
      </c>
      <c r="V45" s="141">
        <v>92.8</v>
      </c>
      <c r="W45" s="141"/>
      <c r="X45" s="1288"/>
      <c r="Y45" s="1296">
        <v>122.9</v>
      </c>
      <c r="Z45" s="1300">
        <f t="shared" si="20"/>
        <v>1.0504273504273505</v>
      </c>
      <c r="AA45" s="1050">
        <f>Y45</f>
        <v>122.9</v>
      </c>
      <c r="AB45" s="1302">
        <f t="shared" si="1"/>
        <v>1.0504273504273505</v>
      </c>
      <c r="AC45" s="1009">
        <f>$AC$56/$AA$56*AA45</f>
        <v>121.50485662109472</v>
      </c>
      <c r="AD45" s="1047">
        <v>1.21</v>
      </c>
      <c r="AE45" s="1050">
        <v>93.2</v>
      </c>
      <c r="AF45" s="1009">
        <f>AF56/AE56*AE45</f>
        <v>92.050864075266162</v>
      </c>
      <c r="AG45" s="1047">
        <f>AE45-AF45</f>
        <v>1.1491359247338409</v>
      </c>
      <c r="AH45" s="1267">
        <f t="shared" si="22"/>
        <v>123</v>
      </c>
      <c r="AI45" s="1264">
        <f t="shared" si="23"/>
        <v>1.000813669650122</v>
      </c>
      <c r="AJ45" s="1009">
        <v>121.5</v>
      </c>
      <c r="AK45" s="1047">
        <v>1.5</v>
      </c>
      <c r="AL45" s="1267">
        <f t="shared" si="24"/>
        <v>122.71485662109471</v>
      </c>
      <c r="AM45" s="1264">
        <f t="shared" si="25"/>
        <v>0.99849354451663719</v>
      </c>
      <c r="AN45" s="1009">
        <f>AC45</f>
        <v>121.50485662109472</v>
      </c>
      <c r="AO45" s="1047">
        <f>AD45</f>
        <v>1.21</v>
      </c>
      <c r="AP45" s="1328">
        <f t="shared" si="26"/>
        <v>0</v>
      </c>
      <c r="AQ45" s="1329">
        <f t="shared" si="182"/>
        <v>0</v>
      </c>
      <c r="AR45" s="1329">
        <f t="shared" si="27"/>
        <v>0</v>
      </c>
      <c r="AS45" s="1330">
        <f t="shared" si="172"/>
        <v>0</v>
      </c>
      <c r="AT45" s="1050">
        <v>44.58</v>
      </c>
      <c r="AU45" s="1009">
        <f>AT45*AU56/(AU56+AV56)</f>
        <v>44.273166472408661</v>
      </c>
      <c r="AV45" s="1047">
        <f>SUM(AT45-AU45)</f>
        <v>0.30683352759133697</v>
      </c>
      <c r="AW45" s="1050">
        <v>66.88</v>
      </c>
      <c r="AX45" s="1009">
        <f>AW45*AX56/(AX56+AY56)</f>
        <v>66.468612422760586</v>
      </c>
      <c r="AY45" s="2643">
        <f>SUM(AW45-AX45)</f>
        <v>0.41138757723940955</v>
      </c>
      <c r="AZ45" s="1050">
        <v>88.7</v>
      </c>
      <c r="BA45" s="1009">
        <f>AZ45*BA56/(BA56+BB56)</f>
        <v>88.272504113299576</v>
      </c>
      <c r="BB45" s="2643">
        <f>SUM(AZ45-BA45)</f>
        <v>0.42749588670042726</v>
      </c>
      <c r="BC45" s="1050">
        <f>SUM(AE45)</f>
        <v>93.2</v>
      </c>
      <c r="BD45" s="2139">
        <f t="shared" ref="BD45" si="213">SUM(BC45/AL45)</f>
        <v>0.75948424311632123</v>
      </c>
      <c r="BE45" s="1009">
        <f>BC45*BE56/(BE56+BF56)</f>
        <v>92.702237674464186</v>
      </c>
      <c r="BF45" s="1047">
        <f>SUM(BC45-BE45)</f>
        <v>0.49776232553581679</v>
      </c>
      <c r="BG45" s="1050">
        <f>AW45/3*4</f>
        <v>89.173333333333332</v>
      </c>
      <c r="BH45" s="2139">
        <f t="shared" ref="BH45" si="214">SUM(BG45/AL45)</f>
        <v>0.72667104691873485</v>
      </c>
      <c r="BI45" s="1009">
        <f>BG45*BI56/(BI56+BJ56)</f>
        <v>88.69707661900091</v>
      </c>
      <c r="BJ45" s="1047">
        <f>SUM(BG45-BI45)</f>
        <v>0.47625671433242189</v>
      </c>
      <c r="BK45" s="1918" t="s">
        <v>1013</v>
      </c>
      <c r="BL45" s="2869">
        <v>43.95</v>
      </c>
      <c r="BM45" s="2870">
        <f>BL45*BM56/(BM56+BN56)</f>
        <v>43.914551784303406</v>
      </c>
      <c r="BN45" s="2871">
        <f>SUM(BL45-BM45)</f>
        <v>3.5448215696597174E-2</v>
      </c>
      <c r="BO45" s="2869">
        <v>66.38</v>
      </c>
      <c r="BP45" s="2870">
        <f>BO45*BP56/(BP56+BQ56)</f>
        <v>66.331540733696968</v>
      </c>
      <c r="BQ45" s="2871">
        <f>SUM(BO45-BP45)</f>
        <v>4.8459266303026993E-2</v>
      </c>
      <c r="BR45" s="2869">
        <v>91.16</v>
      </c>
      <c r="BS45" s="2870">
        <f>BR45*BS56/(BS56+BT56)</f>
        <v>91.098694329090947</v>
      </c>
      <c r="BT45" s="2871">
        <f>SUM(BR45-BS45)</f>
        <v>6.1305670909050036E-2</v>
      </c>
      <c r="BU45" s="1050">
        <f>SUM(BG45)</f>
        <v>89.173333333333332</v>
      </c>
      <c r="BV45" s="2139">
        <f t="shared" si="35"/>
        <v>1</v>
      </c>
      <c r="BW45" s="1009">
        <f>BU45*BW56/(BW56+BX56)</f>
        <v>88.749707046714178</v>
      </c>
      <c r="BX45" s="1047">
        <f>SUM(BU45-BW45)</f>
        <v>0.4236262866191538</v>
      </c>
      <c r="BY45" s="1050">
        <f>SUM(CA45:CB45)</f>
        <v>89.17</v>
      </c>
      <c r="BZ45" s="2139">
        <f t="shared" si="93"/>
        <v>0.99996261961722488</v>
      </c>
      <c r="CA45" s="1009">
        <v>88.75</v>
      </c>
      <c r="CB45" s="1047">
        <v>0.42</v>
      </c>
      <c r="CC45" s="1918"/>
      <c r="CD45" s="3951">
        <v>43.56</v>
      </c>
      <c r="CE45" s="3952">
        <f>CD45*CE56/(CE56+CF56)</f>
        <v>43.534600034554252</v>
      </c>
      <c r="CF45" s="3952">
        <f>SUM(CD45-CE45)</f>
        <v>2.5399965445750183E-2</v>
      </c>
      <c r="CG45" s="3952">
        <v>65.34</v>
      </c>
      <c r="CH45" s="3952">
        <f>CG45*CH56/(CH56+CI56)</f>
        <v>65.306466079353712</v>
      </c>
      <c r="CI45" s="3952">
        <f>SUM(CG45-CH45)</f>
        <v>3.3533920646291904E-2</v>
      </c>
      <c r="CJ45" s="3952">
        <f>SUM(CG45/9*12)</f>
        <v>87.12</v>
      </c>
      <c r="CK45" s="3952">
        <f>CJ45*CK56/(CK56+CL56)</f>
        <v>87.075252994988688</v>
      </c>
      <c r="CL45" s="3606">
        <f>SUM(CJ45-CK45)</f>
        <v>4.4747005011316787E-2</v>
      </c>
      <c r="CM45" s="4040">
        <f>SUM(CO45:CP45)</f>
        <v>91.16</v>
      </c>
      <c r="CN45" s="4359">
        <f t="shared" si="28"/>
        <v>1.0223169227318605</v>
      </c>
      <c r="CO45" s="4041">
        <f>SUM('налоги 2018'!D49)</f>
        <v>90.669892473118281</v>
      </c>
      <c r="CP45" s="3747">
        <f>SUM('налоги 2018'!D58)</f>
        <v>0.49010752688171522</v>
      </c>
      <c r="CQ45" s="4040">
        <f>SUM(CS45:CT45)</f>
        <v>91.16</v>
      </c>
      <c r="CR45" s="4359">
        <f t="shared" si="36"/>
        <v>1.0223169227318605</v>
      </c>
      <c r="CS45" s="4041">
        <f>SUM('Расчет налог. обяз. 2018'!G11)</f>
        <v>90.67</v>
      </c>
      <c r="CT45" s="3747">
        <f>SUM('Расчет налог. обяз. 2018'!G20)</f>
        <v>0.49</v>
      </c>
    </row>
    <row r="46" spans="1:98" ht="21" customHeight="1">
      <c r="A46" s="1280" t="s">
        <v>543</v>
      </c>
      <c r="B46" s="1274"/>
      <c r="C46" s="30"/>
      <c r="D46" s="30"/>
      <c r="E46" s="30"/>
      <c r="F46" s="133"/>
      <c r="G46" s="133"/>
      <c r="H46" s="30"/>
      <c r="I46" s="161">
        <v>0</v>
      </c>
      <c r="J46" s="161"/>
      <c r="K46" s="161">
        <v>0</v>
      </c>
      <c r="L46" s="161">
        <v>0</v>
      </c>
      <c r="M46" s="160" t="e">
        <f t="shared" si="17"/>
        <v>#DIV/0!</v>
      </c>
      <c r="N46" s="161"/>
      <c r="O46" s="161"/>
      <c r="P46" s="161"/>
      <c r="Q46" s="392"/>
      <c r="R46" s="161"/>
      <c r="S46" s="161"/>
      <c r="T46" s="141"/>
      <c r="U46" s="141">
        <f>Q46-T46</f>
        <v>0</v>
      </c>
      <c r="V46" s="141"/>
      <c r="W46" s="141"/>
      <c r="X46" s="1288"/>
      <c r="Y46" s="1296">
        <v>0</v>
      </c>
      <c r="Z46" s="1300"/>
      <c r="AA46" s="1050">
        <v>0</v>
      </c>
      <c r="AB46" s="1302"/>
      <c r="AC46" s="1009">
        <f>$AC$56/$AA$56*AA46</f>
        <v>0</v>
      </c>
      <c r="AD46" s="1047">
        <f t="shared" si="32"/>
        <v>0</v>
      </c>
      <c r="AE46" s="1050">
        <v>0</v>
      </c>
      <c r="AF46" s="1009">
        <f>AE46*AF56/(AF56+AG56)</f>
        <v>0</v>
      </c>
      <c r="AG46" s="1047">
        <f>SUM(AE46-AF46)</f>
        <v>0</v>
      </c>
      <c r="AH46" s="1267">
        <f t="shared" si="22"/>
        <v>0</v>
      </c>
      <c r="AI46" s="1264"/>
      <c r="AJ46" s="1009">
        <v>0</v>
      </c>
      <c r="AK46" s="1047">
        <v>0</v>
      </c>
      <c r="AL46" s="1267">
        <f t="shared" si="24"/>
        <v>0</v>
      </c>
      <c r="AM46" s="1264"/>
      <c r="AN46" s="1009"/>
      <c r="AO46" s="1047"/>
      <c r="AP46" s="1328">
        <f t="shared" si="26"/>
        <v>0</v>
      </c>
      <c r="AQ46" s="1329"/>
      <c r="AR46" s="1329"/>
      <c r="AS46" s="1330">
        <f t="shared" si="172"/>
        <v>0</v>
      </c>
      <c r="AT46" s="1050">
        <v>0</v>
      </c>
      <c r="AU46" s="1009">
        <f>AT46*AU56/(AU56+AV56)</f>
        <v>0</v>
      </c>
      <c r="AV46" s="1047">
        <f>SUM(AT46-AU46)</f>
        <v>0</v>
      </c>
      <c r="AW46" s="1050">
        <v>0</v>
      </c>
      <c r="AX46" s="1009">
        <f>AW46*AX56/(AX56+AY56)</f>
        <v>0</v>
      </c>
      <c r="AY46" s="2643">
        <f>SUM(AW46-AX46)</f>
        <v>0</v>
      </c>
      <c r="AZ46" s="1050">
        <v>0</v>
      </c>
      <c r="BA46" s="1009">
        <f>AZ46*BA56/(BA56+BB56)</f>
        <v>0</v>
      </c>
      <c r="BB46" s="2643">
        <f>SUM(AZ46-BA46)</f>
        <v>0</v>
      </c>
      <c r="BC46" s="1050">
        <v>0</v>
      </c>
      <c r="BD46" s="2139"/>
      <c r="BE46" s="1009">
        <f>BC46*BE56/(BE56+BF56)</f>
        <v>0</v>
      </c>
      <c r="BF46" s="1047">
        <f>SUM(BC46-BE46)</f>
        <v>0</v>
      </c>
      <c r="BG46" s="1050">
        <v>0</v>
      </c>
      <c r="BH46" s="2139"/>
      <c r="BI46" s="1009">
        <f>BG46*BI56/(BI56+BJ56)</f>
        <v>0</v>
      </c>
      <c r="BJ46" s="1047">
        <f>SUM(BG46-BI46)</f>
        <v>0</v>
      </c>
      <c r="BK46" s="1918"/>
      <c r="BL46" s="2869">
        <v>0</v>
      </c>
      <c r="BM46" s="2870">
        <f>BL46*BM56/(BM56+BN56)</f>
        <v>0</v>
      </c>
      <c r="BN46" s="2871">
        <f>SUM(BL46-BM46)</f>
        <v>0</v>
      </c>
      <c r="BO46" s="2869">
        <v>0</v>
      </c>
      <c r="BP46" s="2870">
        <f>BO46*BP56/(BP56+BQ56)</f>
        <v>0</v>
      </c>
      <c r="BQ46" s="2871">
        <f>SUM(BO46-BP46)</f>
        <v>0</v>
      </c>
      <c r="BR46" s="2869">
        <v>0</v>
      </c>
      <c r="BS46" s="2870">
        <f>BR46*BS56/(BS56+BT56)</f>
        <v>0</v>
      </c>
      <c r="BT46" s="2871">
        <f>SUM(BR46-BS46)</f>
        <v>0</v>
      </c>
      <c r="BU46" s="1050">
        <v>0</v>
      </c>
      <c r="BV46" s="2139"/>
      <c r="BW46" s="1009">
        <f>BU46*BW56/(BW56+BX56)</f>
        <v>0</v>
      </c>
      <c r="BX46" s="1047">
        <f>SUM(BU46-BW46)</f>
        <v>0</v>
      </c>
      <c r="BY46" s="1050">
        <v>0</v>
      </c>
      <c r="BZ46" s="2139"/>
      <c r="CA46" s="1009">
        <f>BY46*CA56/(CA56+CB56)</f>
        <v>0</v>
      </c>
      <c r="CB46" s="1047">
        <f>SUM(BY46-CA46)</f>
        <v>0</v>
      </c>
      <c r="CC46" s="1918"/>
      <c r="CD46" s="3951">
        <v>0</v>
      </c>
      <c r="CE46" s="3952">
        <f>CD46*CE56/(CE56+CF56)</f>
        <v>0</v>
      </c>
      <c r="CF46" s="3952">
        <f>SUM(CD46-CE46)</f>
        <v>0</v>
      </c>
      <c r="CG46" s="3952">
        <v>0</v>
      </c>
      <c r="CH46" s="3952">
        <f>CG46*CH56/(CH56+CI56)</f>
        <v>0</v>
      </c>
      <c r="CI46" s="3952">
        <f>SUM(CG46-CH46)</f>
        <v>0</v>
      </c>
      <c r="CJ46" s="3952">
        <v>0</v>
      </c>
      <c r="CK46" s="3952">
        <f>CJ46*CK56/(CK56+CL56)</f>
        <v>0</v>
      </c>
      <c r="CL46" s="3606">
        <f>SUM(CJ46-CK46)</f>
        <v>0</v>
      </c>
      <c r="CM46" s="4040">
        <v>0</v>
      </c>
      <c r="CN46" s="4359"/>
      <c r="CO46" s="4041">
        <f>CM46*CO56/(CO56+CP56)</f>
        <v>0</v>
      </c>
      <c r="CP46" s="3747">
        <f>SUM(CM46-CO46)</f>
        <v>0</v>
      </c>
      <c r="CQ46" s="4040">
        <v>0</v>
      </c>
      <c r="CR46" s="4359"/>
      <c r="CS46" s="4041">
        <f>CQ46*CS56/(CS56+CT56)</f>
        <v>0</v>
      </c>
      <c r="CT46" s="3747">
        <f>SUM(CQ46-CS46)</f>
        <v>0</v>
      </c>
    </row>
    <row r="47" spans="1:98" ht="21" customHeight="1">
      <c r="A47" s="1280" t="s">
        <v>544</v>
      </c>
      <c r="B47" s="1274"/>
      <c r="C47" s="30"/>
      <c r="D47" s="30"/>
      <c r="E47" s="30"/>
      <c r="F47" s="133"/>
      <c r="G47" s="133"/>
      <c r="H47" s="30"/>
      <c r="I47" s="161"/>
      <c r="J47" s="161"/>
      <c r="K47" s="161"/>
      <c r="L47" s="161">
        <v>0</v>
      </c>
      <c r="M47" s="160"/>
      <c r="N47" s="161"/>
      <c r="O47" s="161"/>
      <c r="P47" s="161"/>
      <c r="Q47" s="392">
        <v>2526</v>
      </c>
      <c r="R47" s="161"/>
      <c r="S47" s="161"/>
      <c r="T47" s="141" t="e">
        <f>Q47/Q56*T56</f>
        <v>#REF!</v>
      </c>
      <c r="U47" s="141" t="e">
        <f>Q47-T47</f>
        <v>#REF!</v>
      </c>
      <c r="V47" s="141" t="e">
        <f>3064*#REF!</f>
        <v>#REF!</v>
      </c>
      <c r="W47" s="141"/>
      <c r="X47" s="1288">
        <v>0</v>
      </c>
      <c r="Y47" s="1296">
        <v>2526</v>
      </c>
      <c r="Z47" s="1300">
        <f t="shared" si="20"/>
        <v>1</v>
      </c>
      <c r="AA47" s="1050">
        <f>AC47+AD47</f>
        <v>2323.15</v>
      </c>
      <c r="AB47" s="1302">
        <f t="shared" si="1"/>
        <v>0.91969517022961211</v>
      </c>
      <c r="AC47" s="1009">
        <v>2296.61</v>
      </c>
      <c r="AD47" s="1047">
        <v>26.54</v>
      </c>
      <c r="AE47" s="1050">
        <v>2323.15</v>
      </c>
      <c r="AF47" s="1009">
        <v>2296.61</v>
      </c>
      <c r="AG47" s="1047">
        <v>26.54</v>
      </c>
      <c r="AH47" s="1267">
        <f t="shared" si="22"/>
        <v>2323.14</v>
      </c>
      <c r="AI47" s="1264">
        <f t="shared" si="23"/>
        <v>0.99999569549964473</v>
      </c>
      <c r="AJ47" s="1009">
        <v>2296.6</v>
      </c>
      <c r="AK47" s="1047">
        <v>26.54</v>
      </c>
      <c r="AL47" s="1267">
        <f t="shared" si="24"/>
        <v>2323.15</v>
      </c>
      <c r="AM47" s="1264">
        <f t="shared" si="25"/>
        <v>1</v>
      </c>
      <c r="AN47" s="1009">
        <f>AC47</f>
        <v>2296.61</v>
      </c>
      <c r="AO47" s="1047">
        <f>AD47</f>
        <v>26.54</v>
      </c>
      <c r="AP47" s="1328">
        <f t="shared" si="26"/>
        <v>-202.84999999999991</v>
      </c>
      <c r="AQ47" s="1329">
        <f>AP47*AC47/AA47</f>
        <v>-200.53261240126545</v>
      </c>
      <c r="AR47" s="1329">
        <f t="shared" si="27"/>
        <v>-2.3173875987344559</v>
      </c>
      <c r="AS47" s="1330">
        <f t="shared" si="172"/>
        <v>-202.84999999999991</v>
      </c>
      <c r="AT47" s="1050">
        <v>0</v>
      </c>
      <c r="AU47" s="1009">
        <f>AT47*AU56/(AU56+AV56)</f>
        <v>0</v>
      </c>
      <c r="AV47" s="1047">
        <f>SUM(AT47-AU47)</f>
        <v>0</v>
      </c>
      <c r="AW47" s="1050">
        <v>1503.2</v>
      </c>
      <c r="AX47" s="1009">
        <f>AW47*AX56/(AX56+AY56)</f>
        <v>1493.9536213201811</v>
      </c>
      <c r="AY47" s="2643">
        <f>SUM(AW47-AX47)</f>
        <v>9.2463786798189176</v>
      </c>
      <c r="AZ47" s="2670">
        <v>2175.2199999999998</v>
      </c>
      <c r="BA47" s="2671">
        <f>AZ47*BA56/(BA56+BB56)</f>
        <v>2164.7363742652933</v>
      </c>
      <c r="BB47" s="2672">
        <f>SUM(AZ47-BA47)</f>
        <v>10.483625734706493</v>
      </c>
      <c r="BC47" s="1050">
        <f>SUM(BE47:BF47)</f>
        <v>2323.15</v>
      </c>
      <c r="BD47" s="2139">
        <f t="shared" ref="BD47" si="215">SUM(BC47/AL47)</f>
        <v>1</v>
      </c>
      <c r="BE47" s="1009">
        <v>2294.5100000000002</v>
      </c>
      <c r="BF47" s="1047">
        <v>28.64</v>
      </c>
      <c r="BG47" s="1050">
        <f>'налог на имущ'!C15</f>
        <v>1842.7892119999999</v>
      </c>
      <c r="BH47" s="2139">
        <f t="shared" ref="BH47" si="216">SUM(BG47/AL47)</f>
        <v>0.7932286817467662</v>
      </c>
      <c r="BI47" s="1009">
        <f>BG47*BI56/BG56</f>
        <v>1832.9472480124737</v>
      </c>
      <c r="BJ47" s="1047">
        <f>BG47-BI47</f>
        <v>9.8419639875262419</v>
      </c>
      <c r="BK47" s="1918" t="s">
        <v>980</v>
      </c>
      <c r="BL47" s="2955">
        <v>938.51</v>
      </c>
      <c r="BM47" s="2870">
        <f>BL47*BM56/(BM56+BN56)</f>
        <v>937.75303743086647</v>
      </c>
      <c r="BN47" s="2871">
        <f>SUM(BL47-BM47)</f>
        <v>0.75696256913352045</v>
      </c>
      <c r="BO47" s="2955">
        <v>1400.17</v>
      </c>
      <c r="BP47" s="2870">
        <f>BO47*BP56/(BP56+BQ56)</f>
        <v>1399.147836533602</v>
      </c>
      <c r="BQ47" s="2871">
        <f>SUM(BO47-BP47)</f>
        <v>1.0221634663980694</v>
      </c>
      <c r="BR47" s="2869">
        <f>SUM(3327.07*60%)</f>
        <v>1996.242</v>
      </c>
      <c r="BS47" s="2870">
        <f>BR47*BS56/(BS56+BT56)</f>
        <v>1994.8995147531061</v>
      </c>
      <c r="BT47" s="2871">
        <f>SUM(BR47-BS47)</f>
        <v>1.3424852468938298</v>
      </c>
      <c r="BU47" s="1050">
        <f>SUM(AZ47)</f>
        <v>2175.2199999999998</v>
      </c>
      <c r="BV47" s="2139">
        <f t="shared" si="35"/>
        <v>1.1803954493738376</v>
      </c>
      <c r="BW47" s="1009">
        <f>BW56/BU56*BU47</f>
        <v>2164.8864133016623</v>
      </c>
      <c r="BX47" s="1047">
        <f>BU47-BW47</f>
        <v>10.333586698337513</v>
      </c>
      <c r="BY47" s="1050">
        <f>SUM(CA47:CB47)</f>
        <v>2175.2239999999997</v>
      </c>
      <c r="BZ47" s="2139">
        <f t="shared" si="93"/>
        <v>1.1803976199964861</v>
      </c>
      <c r="CA47" s="1009">
        <v>2164.8939999999998</v>
      </c>
      <c r="CB47" s="1047">
        <v>10.33</v>
      </c>
      <c r="CC47" s="1918"/>
      <c r="CD47" s="3951">
        <f>SUM(1896.94*60%)</f>
        <v>1138.164</v>
      </c>
      <c r="CE47" s="3952">
        <f>CD47*CE56/(CE56+CF56)</f>
        <v>1137.5003331893574</v>
      </c>
      <c r="CF47" s="3952">
        <f>SUM(CD47-CE47)</f>
        <v>0.66366681064255317</v>
      </c>
      <c r="CG47" s="3952">
        <f>SUM(2788.19*60%)</f>
        <v>1672.914</v>
      </c>
      <c r="CH47" s="3952">
        <f>CG47*CH56/(CH56+CI56)</f>
        <v>1672.0554238548505</v>
      </c>
      <c r="CI47" s="3952">
        <f>SUM(CG47-CH47)</f>
        <v>0.85857614514952729</v>
      </c>
      <c r="CJ47" s="3952">
        <f>SUM(CG47/9*12)</f>
        <v>2230.5520000000001</v>
      </c>
      <c r="CK47" s="3952">
        <f>CJ47*CK56/(CK56+CL56)</f>
        <v>2229.4063328567263</v>
      </c>
      <c r="CL47" s="3606">
        <f>SUM(CJ47-CK47)</f>
        <v>1.1456671432738403</v>
      </c>
      <c r="CM47" s="4040">
        <f>SUM(CO47:CP47)</f>
        <v>1997.3157539878121</v>
      </c>
      <c r="CN47" s="4359">
        <f t="shared" si="28"/>
        <v>0.91821152855421428</v>
      </c>
      <c r="CO47" s="4041">
        <f>SUM('налоги 2018'!D45)</f>
        <v>1985.5083748213399</v>
      </c>
      <c r="CP47" s="3747">
        <f>SUM('налоги 2018'!E54)</f>
        <v>11.807379166472174</v>
      </c>
      <c r="CQ47" s="4040">
        <f>SUM(CS47:CT47)</f>
        <v>1996.24</v>
      </c>
      <c r="CR47" s="4359">
        <f t="shared" si="36"/>
        <v>0.91771697995240964</v>
      </c>
      <c r="CS47" s="4041">
        <f>SUM('Расчет налог. обяз. 2018'!G7)</f>
        <v>1985.51</v>
      </c>
      <c r="CT47" s="3747">
        <f>SUM('Расчет налог. обяз. 2018'!G16)</f>
        <v>10.73</v>
      </c>
    </row>
    <row r="48" spans="1:98" ht="21" customHeight="1">
      <c r="A48" s="1281" t="s">
        <v>11</v>
      </c>
      <c r="B48" s="1275">
        <v>8687.7999999999993</v>
      </c>
      <c r="C48" s="18">
        <v>9434.2999999999993</v>
      </c>
      <c r="D48" s="133">
        <f>C48/B48*100</f>
        <v>108.59250903565921</v>
      </c>
      <c r="E48" s="18">
        <v>9717.6</v>
      </c>
      <c r="F48" s="133">
        <f>E48/C48*100</f>
        <v>103.00287249716462</v>
      </c>
      <c r="G48" s="18">
        <v>10985.6</v>
      </c>
      <c r="H48" s="133">
        <f t="shared" si="16"/>
        <v>113.04848933893142</v>
      </c>
      <c r="I48" s="134">
        <v>9819.5</v>
      </c>
      <c r="J48" s="134">
        <v>5737.6</v>
      </c>
      <c r="K48" s="134">
        <v>8579.1</v>
      </c>
      <c r="L48" s="134">
        <v>12008</v>
      </c>
      <c r="M48" s="160">
        <f t="shared" si="17"/>
        <v>122.28728550333521</v>
      </c>
      <c r="N48" s="160">
        <f t="shared" si="18"/>
        <v>109.3067288086222</v>
      </c>
      <c r="O48" s="134">
        <v>14719.1</v>
      </c>
      <c r="P48" s="160">
        <f t="shared" si="19"/>
        <v>149.89663424817965</v>
      </c>
      <c r="Q48" s="243" t="e">
        <f>#REF!-800</f>
        <v>#REF!</v>
      </c>
      <c r="R48" s="160" t="e">
        <f t="shared" si="29"/>
        <v>#REF!</v>
      </c>
      <c r="S48" s="160" t="e">
        <f t="shared" si="30"/>
        <v>#REF!</v>
      </c>
      <c r="T48" s="134" t="e">
        <f>Q48/Q56*T56</f>
        <v>#REF!</v>
      </c>
      <c r="U48" s="134" t="e">
        <f>Q48-T48</f>
        <v>#REF!</v>
      </c>
      <c r="V48" s="134">
        <v>10509.8</v>
      </c>
      <c r="W48" s="134">
        <f>'ОХР '!X56*(объемы!$AA$10-объемы!$AA$19)/объемы!$AA$10</f>
        <v>13772.470342151944</v>
      </c>
      <c r="X48" s="1291">
        <f>'ОХР '!X56-W48</f>
        <v>81.329657848054921</v>
      </c>
      <c r="Y48" s="1298">
        <v>15517.1</v>
      </c>
      <c r="Z48" s="1306" t="e">
        <f t="shared" si="20"/>
        <v>#REF!</v>
      </c>
      <c r="AA48" s="1270">
        <v>9765</v>
      </c>
      <c r="AB48" s="1307" t="e">
        <f>AA48/Q48</f>
        <v>#REF!</v>
      </c>
      <c r="AC48" s="1268">
        <f>AA48-AD48</f>
        <v>9598.7999999999993</v>
      </c>
      <c r="AD48" s="1269">
        <v>166.2</v>
      </c>
      <c r="AE48" s="1270">
        <f>SUM('ОХР '!AD56)</f>
        <v>14207.04</v>
      </c>
      <c r="AF48" s="1268">
        <f>AF56/AE56*AE48</f>
        <v>14031.870256994307</v>
      </c>
      <c r="AG48" s="1269">
        <f>AE48-AF48</f>
        <v>175.16974300569382</v>
      </c>
      <c r="AH48" s="1263">
        <f t="shared" si="22"/>
        <v>13395.76</v>
      </c>
      <c r="AI48" s="1252">
        <f t="shared" si="23"/>
        <v>1.3718136200716846</v>
      </c>
      <c r="AJ48" s="1268">
        <v>13243.27</v>
      </c>
      <c r="AK48" s="1269">
        <v>152.49</v>
      </c>
      <c r="AL48" s="1263">
        <f t="shared" si="24"/>
        <v>13073.01213648671</v>
      </c>
      <c r="AM48" s="1252">
        <f t="shared" si="25"/>
        <v>1.3387621235521465</v>
      </c>
      <c r="AN48" s="1268">
        <f>'ОХР '!AH56*AN56/(AN56+AO56)</f>
        <v>12924.197100987714</v>
      </c>
      <c r="AO48" s="1269">
        <f>'ОХР '!AD49-вода!AN48</f>
        <v>148.81503549899571</v>
      </c>
      <c r="AP48" s="1328">
        <f t="shared" si="26"/>
        <v>-5752.1</v>
      </c>
      <c r="AQ48" s="1329">
        <f>AP48*AC48/AA48</f>
        <v>-5654.1994347158216</v>
      </c>
      <c r="AR48" s="1329">
        <f t="shared" si="27"/>
        <v>-97.900565284178811</v>
      </c>
      <c r="AS48" s="1330">
        <f t="shared" si="172"/>
        <v>-5752.1</v>
      </c>
      <c r="AT48" s="1270">
        <v>6505.01</v>
      </c>
      <c r="AU48" s="1268">
        <f>AU56/AT56*AT48</f>
        <v>6460.2375647080098</v>
      </c>
      <c r="AV48" s="1269">
        <f>AT48-AU48</f>
        <v>44.772435291990405</v>
      </c>
      <c r="AW48" s="1270">
        <v>9743.8700000000008</v>
      </c>
      <c r="AX48" s="1268">
        <f>AX56/AW56*AW48</f>
        <v>9683.9341885132217</v>
      </c>
      <c r="AY48" s="2645">
        <f>AW48-AX48</f>
        <v>59.93581148677913</v>
      </c>
      <c r="AZ48" s="1270">
        <v>12858.36</v>
      </c>
      <c r="BA48" s="1268">
        <f>BA56/AZ56*AZ48</f>
        <v>12796.388229879221</v>
      </c>
      <c r="BB48" s="2645">
        <f>AZ48-BA48</f>
        <v>61.971770120779183</v>
      </c>
      <c r="BC48" s="1263">
        <v>14993.56</v>
      </c>
      <c r="BD48" s="2140">
        <f t="shared" ref="BD48:BD50" si="217">SUM(BC48/AL48)</f>
        <v>1.1469093613210264</v>
      </c>
      <c r="BE48" s="1268">
        <f>BE56/BC56*BC48</f>
        <v>14913.482432471448</v>
      </c>
      <c r="BF48" s="1269">
        <f>BC48-BE48</f>
        <v>80.077567528551299</v>
      </c>
      <c r="BG48" s="1263">
        <f>SUM('ОХР '!AP56)-3000</f>
        <v>9920.4365701392053</v>
      </c>
      <c r="BH48" s="2140">
        <f t="shared" ref="BH48:BH50" si="218">SUM(BG48/AL48)</f>
        <v>0.75884857036515074</v>
      </c>
      <c r="BI48" s="1268">
        <f>BI56/BG56*BG48</f>
        <v>9867.4535274623486</v>
      </c>
      <c r="BJ48" s="1269">
        <f>BG48-BI48</f>
        <v>52.983042676856712</v>
      </c>
      <c r="BK48" s="1914" t="s">
        <v>1661</v>
      </c>
      <c r="BL48" s="2875">
        <f>SUM('ОХР '!AY49)</f>
        <v>6282.929999999993</v>
      </c>
      <c r="BM48" s="2876">
        <f>BM56/BL56*BL48</f>
        <v>6277.8624537463711</v>
      </c>
      <c r="BN48" s="2877">
        <f>BL48-BM48</f>
        <v>5.0675462536219129</v>
      </c>
      <c r="BO48" s="2875">
        <f>SUM('ОХР '!BB49)</f>
        <v>9402.3000000000102</v>
      </c>
      <c r="BP48" s="2876">
        <f>BP56/BO56*BO48</f>
        <v>9395.4360566501928</v>
      </c>
      <c r="BQ48" s="2877">
        <f>BO48-BP48</f>
        <v>6.8639433498174185</v>
      </c>
      <c r="BR48" s="2875">
        <f>SUM('ОХР '!BE51)</f>
        <v>12499.652</v>
      </c>
      <c r="BS48" s="2876">
        <f>BS56/BR56*BR48</f>
        <v>12491.245905748247</v>
      </c>
      <c r="BT48" s="2877">
        <f>BR48-BS48</f>
        <v>8.4060942517535295</v>
      </c>
      <c r="BU48" s="1263">
        <f>SUM('ОХР '!BH49)</f>
        <v>16008.32334611606</v>
      </c>
      <c r="BV48" s="2139">
        <f t="shared" si="35"/>
        <v>1.6136712565958604</v>
      </c>
      <c r="BW48" s="1268">
        <f>BW56/BU56*BU48</f>
        <v>15932.274304091756</v>
      </c>
      <c r="BX48" s="1269">
        <f>BU48-BW48</f>
        <v>76.049042024304072</v>
      </c>
      <c r="BY48" s="1263">
        <f>SUM('ОХР '!BM49)-4496.16</f>
        <v>10405.569747911368</v>
      </c>
      <c r="BZ48" s="2139">
        <f t="shared" si="93"/>
        <v>1.0489024020608555</v>
      </c>
      <c r="CA48" s="1268">
        <v>10353.7749</v>
      </c>
      <c r="CB48" s="1269">
        <v>51.8</v>
      </c>
      <c r="CC48" s="1914"/>
      <c r="CD48" s="3948">
        <f>SUM('ОХР '!BR49)</f>
        <v>6741.71</v>
      </c>
      <c r="CE48" s="3947">
        <f>CE56/CD56*CD48</f>
        <v>6737.7788888648929</v>
      </c>
      <c r="CF48" s="3947">
        <f>CD48-CE48</f>
        <v>3.9311111351071304</v>
      </c>
      <c r="CG48" s="3949">
        <f>SUM('ОХР '!BU49)</f>
        <v>10271.630000000001</v>
      </c>
      <c r="CH48" s="3947">
        <f>CH56/CG56*CG48</f>
        <v>10266.358374268015</v>
      </c>
      <c r="CI48" s="3947">
        <f>CG48-CH48</f>
        <v>5.2716257319862052</v>
      </c>
      <c r="CJ48" s="3949">
        <f>SUM('ОХР '!BX49)</f>
        <v>13525.529999999999</v>
      </c>
      <c r="CK48" s="3947">
        <f>CK56/CJ56*CJ48</f>
        <v>13518.58295042825</v>
      </c>
      <c r="CL48" s="3605">
        <f>CJ48-CK48</f>
        <v>6.9470495717487211</v>
      </c>
      <c r="CM48" s="4098">
        <f>SUM('ОХР '!CB51)</f>
        <v>11106.581954328365</v>
      </c>
      <c r="CN48" s="4359">
        <f t="shared" si="28"/>
        <v>1.0673689402310438</v>
      </c>
      <c r="CO48" s="4043">
        <f>CO56/CM56*CM48</f>
        <v>11046.8691481223</v>
      </c>
      <c r="CP48" s="4044">
        <f>CM48-CO48</f>
        <v>59.712806206065579</v>
      </c>
      <c r="CQ48" s="4098">
        <f>SUM('ОХР '!CH51)</f>
        <v>10744.469720171532</v>
      </c>
      <c r="CR48" s="4359">
        <f t="shared" si="36"/>
        <v>1.0325690933289058</v>
      </c>
      <c r="CS48" s="4041">
        <f>SUM(CQ48-CT48)</f>
        <v>10689.535159721532</v>
      </c>
      <c r="CT48" s="3747">
        <f>SUM(CB48*(1-0.01)*(1+0.058)*(1+0)*1.0125)</f>
        <v>54.934560449999992</v>
      </c>
    </row>
    <row r="49" spans="1:98" ht="21" customHeight="1">
      <c r="A49" s="1841" t="s">
        <v>907</v>
      </c>
      <c r="B49" s="1842"/>
      <c r="C49" s="1843"/>
      <c r="D49" s="1844"/>
      <c r="E49" s="1843"/>
      <c r="F49" s="1844"/>
      <c r="G49" s="1843"/>
      <c r="H49" s="1844"/>
      <c r="I49" s="1845"/>
      <c r="J49" s="1845"/>
      <c r="K49" s="1845"/>
      <c r="L49" s="1845"/>
      <c r="M49" s="1846"/>
      <c r="N49" s="1846"/>
      <c r="O49" s="1845"/>
      <c r="P49" s="1846"/>
      <c r="Q49" s="1847"/>
      <c r="R49" s="1846"/>
      <c r="S49" s="1846"/>
      <c r="T49" s="1845"/>
      <c r="U49" s="1845"/>
      <c r="V49" s="1845"/>
      <c r="W49" s="1845"/>
      <c r="X49" s="1848"/>
      <c r="Y49" s="1849"/>
      <c r="Z49" s="1850"/>
      <c r="AA49" s="1851"/>
      <c r="AB49" s="1852"/>
      <c r="AC49" s="1853"/>
      <c r="AD49" s="1854"/>
      <c r="AE49" s="1851"/>
      <c r="AF49" s="1853"/>
      <c r="AG49" s="1854"/>
      <c r="AH49" s="1855"/>
      <c r="AI49" s="1856"/>
      <c r="AJ49" s="1853"/>
      <c r="AK49" s="1854"/>
      <c r="AL49" s="1855"/>
      <c r="AM49" s="1856"/>
      <c r="AN49" s="1853"/>
      <c r="AO49" s="1854"/>
      <c r="AP49" s="1328"/>
      <c r="AQ49" s="1329"/>
      <c r="AR49" s="1329"/>
      <c r="AS49" s="1330"/>
      <c r="AT49" s="1851"/>
      <c r="AU49" s="1853"/>
      <c r="AV49" s="1854"/>
      <c r="AW49" s="1851"/>
      <c r="AX49" s="1853"/>
      <c r="AY49" s="2645"/>
      <c r="AZ49" s="1851"/>
      <c r="BA49" s="1853"/>
      <c r="BB49" s="2645"/>
      <c r="BC49" s="1855">
        <v>1162.33</v>
      </c>
      <c r="BD49" s="2141"/>
      <c r="BE49" s="1853">
        <v>1162.33</v>
      </c>
      <c r="BF49" s="1854"/>
      <c r="BG49" s="1855">
        <f>BI49+BJ49</f>
        <v>395.92538655008684</v>
      </c>
      <c r="BH49" s="2141"/>
      <c r="BI49" s="1853">
        <f>'Резерв ДЗ'!F7</f>
        <v>395.92538655008684</v>
      </c>
      <c r="BJ49" s="1854"/>
      <c r="BK49" s="1471" t="s">
        <v>980</v>
      </c>
      <c r="BL49" s="2875"/>
      <c r="BM49" s="2876"/>
      <c r="BN49" s="2877"/>
      <c r="BO49" s="2875"/>
      <c r="BP49" s="2876"/>
      <c r="BQ49" s="2877"/>
      <c r="BR49" s="2875"/>
      <c r="BS49" s="2876"/>
      <c r="BT49" s="2877"/>
      <c r="BU49" s="1855">
        <f>SUM(BW49:BX49)</f>
        <v>404.91360275906646</v>
      </c>
      <c r="BV49" s="2139">
        <f t="shared" si="35"/>
        <v>1.0227017931012174</v>
      </c>
      <c r="BW49" s="1853">
        <f>SUM('Резерв ДЗ'!F17:F20)</f>
        <v>404.91360275906646</v>
      </c>
      <c r="BX49" s="1854"/>
      <c r="BY49" s="1855">
        <f>CA49+CB49</f>
        <v>397.28</v>
      </c>
      <c r="BZ49" s="2139">
        <f t="shared" si="93"/>
        <v>1.0034213856851075</v>
      </c>
      <c r="CA49" s="1853">
        <v>397.28</v>
      </c>
      <c r="CB49" s="1854">
        <v>0</v>
      </c>
      <c r="CC49" s="1471"/>
      <c r="CD49" s="3948">
        <f>SUM(CE49:CF49)</f>
        <v>0</v>
      </c>
      <c r="CE49" s="3947">
        <v>0</v>
      </c>
      <c r="CF49" s="3947">
        <v>0</v>
      </c>
      <c r="CG49" s="3949">
        <f>SUM(CH49:CI49)</f>
        <v>0</v>
      </c>
      <c r="CH49" s="3947">
        <v>0</v>
      </c>
      <c r="CI49" s="3947">
        <v>0</v>
      </c>
      <c r="CJ49" s="3949">
        <f>SUM(CK49:CL49)</f>
        <v>0</v>
      </c>
      <c r="CK49" s="3947">
        <v>0</v>
      </c>
      <c r="CL49" s="3605">
        <v>0</v>
      </c>
      <c r="CM49" s="4098">
        <f>SUM(CO49:CP49)</f>
        <v>444.98581689171959</v>
      </c>
      <c r="CN49" s="4359">
        <f t="shared" si="28"/>
        <v>1.1200810936662293</v>
      </c>
      <c r="CO49" s="4043">
        <f>SUM('рез к 2018'!F27:F30)</f>
        <v>444.98581689171959</v>
      </c>
      <c r="CP49" s="4044">
        <v>0</v>
      </c>
      <c r="CQ49" s="4098">
        <f>CS49+CT49</f>
        <v>436.83960362466541</v>
      </c>
      <c r="CR49" s="4359">
        <f t="shared" si="36"/>
        <v>1.0995761267233826</v>
      </c>
      <c r="CS49" s="4043">
        <f>SUM('рез к 2017'!F37:F40)</f>
        <v>436.83960362466541</v>
      </c>
      <c r="CT49" s="4044">
        <v>0</v>
      </c>
    </row>
    <row r="50" spans="1:98" ht="42" customHeight="1">
      <c r="A50" s="1283" t="s">
        <v>524</v>
      </c>
      <c r="B50" s="1275"/>
      <c r="C50" s="18"/>
      <c r="D50" s="133"/>
      <c r="E50" s="18"/>
      <c r="F50" s="133"/>
      <c r="G50" s="18"/>
      <c r="H50" s="133"/>
      <c r="I50" s="134"/>
      <c r="J50" s="134"/>
      <c r="K50" s="134"/>
      <c r="L50" s="134"/>
      <c r="M50" s="160"/>
      <c r="N50" s="160"/>
      <c r="O50" s="134"/>
      <c r="P50" s="160"/>
      <c r="Q50" s="243"/>
      <c r="R50" s="160"/>
      <c r="S50" s="160"/>
      <c r="T50" s="134"/>
      <c r="U50" s="134"/>
      <c r="V50" s="134"/>
      <c r="W50" s="134"/>
      <c r="X50" s="1291"/>
      <c r="Y50" s="1298"/>
      <c r="Z50" s="1306"/>
      <c r="AA50" s="1270"/>
      <c r="AB50" s="1307"/>
      <c r="AC50" s="1268"/>
      <c r="AD50" s="1269"/>
      <c r="AE50" s="1270"/>
      <c r="AF50" s="1268"/>
      <c r="AG50" s="1269"/>
      <c r="AH50" s="1263">
        <f t="shared" si="22"/>
        <v>1147.31</v>
      </c>
      <c r="AI50" s="1252"/>
      <c r="AJ50" s="1268">
        <v>1147.31</v>
      </c>
      <c r="AK50" s="1269">
        <v>0</v>
      </c>
      <c r="AL50" s="1263">
        <f t="shared" si="24"/>
        <v>1287.3</v>
      </c>
      <c r="AM50" s="1252"/>
      <c r="AN50" s="1268">
        <v>1269.8</v>
      </c>
      <c r="AO50" s="1269">
        <v>17.5</v>
      </c>
      <c r="AP50" s="1328"/>
      <c r="AQ50" s="1329"/>
      <c r="AR50" s="1329"/>
      <c r="AS50" s="1330"/>
      <c r="AT50" s="1270"/>
      <c r="AU50" s="1268"/>
      <c r="AV50" s="1269"/>
      <c r="AW50" s="1270"/>
      <c r="AX50" s="1268"/>
      <c r="AY50" s="2645"/>
      <c r="AZ50" s="1270"/>
      <c r="BA50" s="1268"/>
      <c r="BB50" s="2645"/>
      <c r="BC50" s="1270">
        <v>1785.8</v>
      </c>
      <c r="BD50" s="2140">
        <f t="shared" si="217"/>
        <v>1.3872446205235764</v>
      </c>
      <c r="BE50" s="1268">
        <f>SUM(BC50)</f>
        <v>1785.8</v>
      </c>
      <c r="BF50" s="1269">
        <v>0</v>
      </c>
      <c r="BG50" s="1263">
        <f>BI50+BJ50</f>
        <v>1785.8</v>
      </c>
      <c r="BH50" s="2140">
        <f t="shared" si="218"/>
        <v>1.3872446205235764</v>
      </c>
      <c r="BI50" s="1268">
        <f>'Выпадающ15-16'!G14</f>
        <v>1785.8</v>
      </c>
      <c r="BJ50" s="1269">
        <v>0</v>
      </c>
      <c r="BK50" s="1914" t="s">
        <v>980</v>
      </c>
      <c r="BL50" s="2875"/>
      <c r="BM50" s="2876"/>
      <c r="BN50" s="2877"/>
      <c r="BO50" s="2875"/>
      <c r="BP50" s="2876"/>
      <c r="BQ50" s="2877"/>
      <c r="BR50" s="2875"/>
      <c r="BS50" s="2876"/>
      <c r="BT50" s="2877"/>
      <c r="BU50" s="1270">
        <f>SUM('Выпадающ15-16'!J14)</f>
        <v>3771.829999999999</v>
      </c>
      <c r="BV50" s="2139">
        <f t="shared" si="35"/>
        <v>2.1121234180759321</v>
      </c>
      <c r="BW50" s="1268">
        <f>SUM(BU50)</f>
        <v>3771.829999999999</v>
      </c>
      <c r="BX50" s="1269">
        <v>0</v>
      </c>
      <c r="BY50" s="1263">
        <f>SUM('Выпадающ15-16'!K14)</f>
        <v>2254.38</v>
      </c>
      <c r="BZ50" s="2139">
        <f t="shared" si="93"/>
        <v>1.2623922051741516</v>
      </c>
      <c r="CA50" s="1268">
        <f>SUM(BY50)</f>
        <v>2254.38</v>
      </c>
      <c r="CB50" s="1269">
        <v>0</v>
      </c>
      <c r="CC50" s="1914"/>
      <c r="CD50" s="3948">
        <f t="shared" ref="CD50:CD51" si="219">SUM(CE50:CF50)</f>
        <v>0</v>
      </c>
      <c r="CE50" s="3947">
        <v>0</v>
      </c>
      <c r="CF50" s="3947">
        <v>0</v>
      </c>
      <c r="CG50" s="3949">
        <f t="shared" ref="CG50:CG51" si="220">SUM(CH50:CI50)</f>
        <v>0</v>
      </c>
      <c r="CH50" s="3947">
        <v>0</v>
      </c>
      <c r="CI50" s="3947">
        <v>0</v>
      </c>
      <c r="CJ50" s="3949">
        <f t="shared" ref="CJ50:CJ51" si="221">SUM(CK50:CL50)</f>
        <v>0</v>
      </c>
      <c r="CK50" s="3947">
        <v>0</v>
      </c>
      <c r="CL50" s="3605">
        <v>0</v>
      </c>
      <c r="CM50" s="4095">
        <f>SUM('выпадающие расходы на 2018'!F13)</f>
        <v>4704.75</v>
      </c>
      <c r="CN50" s="4359">
        <f t="shared" si="28"/>
        <v>2.0869374284725732</v>
      </c>
      <c r="CO50" s="4043">
        <f>SUM(CM50)</f>
        <v>4704.75</v>
      </c>
      <c r="CP50" s="4044">
        <v>0</v>
      </c>
      <c r="CQ50" s="4098">
        <v>0</v>
      </c>
      <c r="CR50" s="4359">
        <f t="shared" si="36"/>
        <v>0</v>
      </c>
      <c r="CS50" s="4043">
        <f>SUM(CQ50)</f>
        <v>0</v>
      </c>
      <c r="CT50" s="4044">
        <v>0</v>
      </c>
    </row>
    <row r="51" spans="1:98" ht="21" customHeight="1">
      <c r="A51" s="1281" t="s">
        <v>12</v>
      </c>
      <c r="B51" s="1275" t="e">
        <f>#REF!+B17+B27+B35+B43+B48</f>
        <v>#REF!</v>
      </c>
      <c r="C51" s="18" t="e">
        <f>#REF!+C17+C27+C35+C43+C48</f>
        <v>#REF!</v>
      </c>
      <c r="D51" s="133" t="e">
        <f>C51/B51*100</f>
        <v>#REF!</v>
      </c>
      <c r="E51" s="18">
        <f>E8+E17+E27+E35+E43+E48</f>
        <v>91860.9</v>
      </c>
      <c r="F51" s="18" t="e">
        <f>#REF!+F17+F27+F35+F43+F48</f>
        <v>#REF!</v>
      </c>
      <c r="G51" s="18">
        <f>G8+G17+G27+G35+G43+G48</f>
        <v>106293.40000000001</v>
      </c>
      <c r="H51" s="133">
        <f t="shared" si="16"/>
        <v>115.71125473405988</v>
      </c>
      <c r="I51" s="134">
        <f>I8+I17+I27+I35+I43+I48</f>
        <v>99255.762351999991</v>
      </c>
      <c r="J51" s="134" t="e">
        <f>#REF!+J17+J27+J35+J43+J48</f>
        <v>#REF!</v>
      </c>
      <c r="K51" s="134">
        <f>K8+K17+K27+K35+K43+K48</f>
        <v>78008.310588443768</v>
      </c>
      <c r="L51" s="134">
        <f>L8+L17+L27+L35+L43+L48</f>
        <v>112599.10000000002</v>
      </c>
      <c r="M51" s="134" t="e">
        <f>#REF!+M17+M27+M35+M43+M48</f>
        <v>#REF!</v>
      </c>
      <c r="N51" s="160">
        <f t="shared" si="18"/>
        <v>105.93235327875486</v>
      </c>
      <c r="O51" s="134">
        <f>O8+O17+O27+O35+O43+O48</f>
        <v>131545.64200056618</v>
      </c>
      <c r="P51" s="160">
        <f t="shared" si="19"/>
        <v>132.53199500302418</v>
      </c>
      <c r="Q51" s="243" t="e">
        <f t="shared" ref="Q51:Y51" si="222">Q8+Q17+Q27+Q35+Q43+Q48</f>
        <v>#REF!</v>
      </c>
      <c r="R51" s="134" t="e">
        <f t="shared" si="222"/>
        <v>#REF!</v>
      </c>
      <c r="S51" s="134" t="e">
        <f t="shared" si="222"/>
        <v>#REF!</v>
      </c>
      <c r="T51" s="134" t="e">
        <f t="shared" si="222"/>
        <v>#REF!</v>
      </c>
      <c r="U51" s="134" t="e">
        <f t="shared" si="222"/>
        <v>#REF!</v>
      </c>
      <c r="V51" s="134" t="e">
        <f t="shared" si="222"/>
        <v>#REF!</v>
      </c>
      <c r="W51" s="134">
        <f t="shared" si="222"/>
        <v>72136.82706190896</v>
      </c>
      <c r="X51" s="1291">
        <f t="shared" si="222"/>
        <v>257.54293809104547</v>
      </c>
      <c r="Y51" s="1298">
        <f t="shared" si="222"/>
        <v>138793.20000000001</v>
      </c>
      <c r="Z51" s="1306" t="e">
        <f t="shared" si="20"/>
        <v>#REF!</v>
      </c>
      <c r="AA51" s="1270" t="e">
        <f>AA8+AA17+AA27+AA35+AA43+AA48</f>
        <v>#REF!</v>
      </c>
      <c r="AB51" s="1307" t="e">
        <f t="shared" ref="AB51:AB60" si="223">AA51/Q51</f>
        <v>#REF!</v>
      </c>
      <c r="AC51" s="1268" t="e">
        <f>AC8+AC17+AC27+AC35+AC43+AC48+0.02</f>
        <v>#REF!</v>
      </c>
      <c r="AD51" s="1269" t="e">
        <f>AD8+AD17+AD27+AD35+AD43+AD48</f>
        <v>#REF!</v>
      </c>
      <c r="AE51" s="1270">
        <f>AE8+AE17+AE27+AE35+AE43+AE48</f>
        <v>113320.02939110002</v>
      </c>
      <c r="AF51" s="1268">
        <f>AF8+AF17+AF27+AF35+AF43+AF48</f>
        <v>112515.45483007004</v>
      </c>
      <c r="AG51" s="1269">
        <f t="shared" ref="AG51" si="224">AG8+AG17+AG27+AG35+AG43+AG48</f>
        <v>804.57456102995798</v>
      </c>
      <c r="AH51" s="1263">
        <f t="shared" si="22"/>
        <v>121571.42432999999</v>
      </c>
      <c r="AI51" s="1252" t="e">
        <f t="shared" si="23"/>
        <v>#REF!</v>
      </c>
      <c r="AJ51" s="1268">
        <f>AJ8+AJ17+AJ27+AJ35+AJ43+AJ48+AJ50</f>
        <v>120777.48432999999</v>
      </c>
      <c r="AK51" s="1269">
        <f>AK8+AK17+AK27+AK35+AK43+AK48</f>
        <v>793.93999999999994</v>
      </c>
      <c r="AL51" s="1263">
        <f t="shared" si="24"/>
        <v>113871.15082286556</v>
      </c>
      <c r="AM51" s="1252" t="e">
        <f t="shared" si="25"/>
        <v>#REF!</v>
      </c>
      <c r="AN51" s="1268">
        <f>AN8+AN17+AN27+AN35+AN43+AN48+AN50</f>
        <v>113100.92994092536</v>
      </c>
      <c r="AO51" s="1269">
        <f>AO8+AO17+AO27+AO35+AO43+AO48+AO50</f>
        <v>770.22088194020273</v>
      </c>
      <c r="AP51" s="1328" t="e">
        <f t="shared" si="26"/>
        <v>#REF!</v>
      </c>
      <c r="AQ51" s="1329" t="e">
        <f>AP51*AC51/AA51</f>
        <v>#REF!</v>
      </c>
      <c r="AR51" s="1329" t="e">
        <f t="shared" si="27"/>
        <v>#REF!</v>
      </c>
      <c r="AS51" s="1330" t="e">
        <f t="shared" si="172"/>
        <v>#REF!</v>
      </c>
      <c r="AT51" s="1270">
        <f>AT8+AT17+AT27+AT35+AT43+AT48</f>
        <v>56673.297081399993</v>
      </c>
      <c r="AU51" s="1270">
        <f t="shared" ref="AU51:AV51" si="225">AU8+AU17+AU27+AU35+AU43+AU48</f>
        <v>56463.165167590261</v>
      </c>
      <c r="AV51" s="1270">
        <f t="shared" si="225"/>
        <v>210.13191380973541</v>
      </c>
      <c r="AW51" s="1270">
        <f>AW8+AW17+AW27+AW35+AW43+AW48</f>
        <v>86434.29</v>
      </c>
      <c r="AX51" s="1268">
        <f>AX8+AX17+AX27+AX35+AX43+AX48</f>
        <v>86140.291554596537</v>
      </c>
      <c r="AY51" s="2645">
        <f t="shared" ref="AY51" si="226">AY8+AY17+AY27+AY35+AY43+AY48</f>
        <v>293.99844540346618</v>
      </c>
      <c r="AZ51" s="1270">
        <f>AZ8+AZ17+AZ27+AZ35+AZ43+AZ48</f>
        <v>116214.42000000001</v>
      </c>
      <c r="BA51" s="1268">
        <f>BA8+BA17+BA27+BA35+BA43+BA48</f>
        <v>115906.66084339835</v>
      </c>
      <c r="BB51" s="2645">
        <f t="shared" ref="BB51" si="227">BB8+BB17+BB27+BB35+BB43+BB48</f>
        <v>307.75915660164389</v>
      </c>
      <c r="BC51" s="1263">
        <f t="shared" ref="BC51" si="228">SUM(BE51+BF51)</f>
        <v>135173.02728099888</v>
      </c>
      <c r="BD51" s="2140">
        <f t="shared" si="33"/>
        <v>1.1870700024035927</v>
      </c>
      <c r="BE51" s="1268">
        <f>BE8+BE17+BE27+BE35+BE43+BE48+BE50+BE49</f>
        <v>134749.65181062307</v>
      </c>
      <c r="BF51" s="1269">
        <f>BF8+BF17+BF27+BF35+BF43+BF48</f>
        <v>423.37547037580555</v>
      </c>
      <c r="BG51" s="1268">
        <f>BG8+BG17+BG27+BG35+BG43+BG48+BG50+BG49</f>
        <v>120491.19481209799</v>
      </c>
      <c r="BH51" s="2140">
        <f t="shared" si="34"/>
        <v>1.0581362701737367</v>
      </c>
      <c r="BI51" s="1268">
        <f>BI8+BI17+BI27+BI35+BI43+BI48+BI50+BI49</f>
        <v>120147.21128591217</v>
      </c>
      <c r="BJ51" s="1268">
        <f>BJ8+BJ17+BJ27+BJ35+BJ43+BJ48+BJ50+BJ49</f>
        <v>343.9835261858193</v>
      </c>
      <c r="BK51" s="1914"/>
      <c r="BL51" s="2878">
        <f>BL8+BL17+BL27+BL35+BL43+BL48</f>
        <v>58948.359424089991</v>
      </c>
      <c r="BM51" s="2734">
        <f t="shared" ref="BM51:BN51" si="229">BM8+BM17+BM27+BM35+BM43+BM48</f>
        <v>58923.740327763939</v>
      </c>
      <c r="BN51" s="2879">
        <f t="shared" si="229"/>
        <v>24.619096326047917</v>
      </c>
      <c r="BO51" s="2878">
        <f>BO8+BO17+BO27+BO35+BO43+BO48</f>
        <v>89325.18489619001</v>
      </c>
      <c r="BP51" s="2734">
        <f t="shared" ref="BP51:BQ51" si="230">BP8+BP17+BP27+BP35+BP43+BP48</f>
        <v>89291.215527233813</v>
      </c>
      <c r="BQ51" s="2879">
        <f t="shared" si="230"/>
        <v>33.969368956207575</v>
      </c>
      <c r="BR51" s="2878">
        <f>BR8+BR17+BR27+BR35+BR43+BR48</f>
        <v>120577.874</v>
      </c>
      <c r="BS51" s="2734">
        <f t="shared" ref="BS51:BT51" si="231">BS8+BS17+BS27+BS35+BS43+BS48</f>
        <v>120535.93171852251</v>
      </c>
      <c r="BT51" s="2879">
        <f t="shared" si="231"/>
        <v>41.942281477499833</v>
      </c>
      <c r="BU51" s="1263">
        <f t="shared" ref="BU51" si="232">SUM(BW51+BX51)</f>
        <v>139982.63437959022</v>
      </c>
      <c r="BV51" s="2139">
        <f t="shared" si="35"/>
        <v>1.161766505825496</v>
      </c>
      <c r="BW51" s="1268">
        <f>BW8+BW17+BW27+BW35+BW43+BW48+BW50+BW49</f>
        <v>139617.67429327508</v>
      </c>
      <c r="BX51" s="1269">
        <f>BX8+BX17+BX27+BX35+BX43+BX48</f>
        <v>364.96008631513166</v>
      </c>
      <c r="BY51" s="1268">
        <f>BY8+BY17+BY27+BY35+BY43+BY48+BY50+BY49</f>
        <v>126864.26461703915</v>
      </c>
      <c r="BZ51" s="2139">
        <f t="shared" si="93"/>
        <v>1.052892411058582</v>
      </c>
      <c r="CA51" s="1268">
        <f>CA8+CA17+CA27+CA35+CA43+CA48+CA50+CA49</f>
        <v>126521.14347948736</v>
      </c>
      <c r="CB51" s="1268">
        <f>CB8+CB17+CB27+CB35+CB43+CB48+CB50+CB49</f>
        <v>343.12628964042437</v>
      </c>
      <c r="CC51" s="1914"/>
      <c r="CD51" s="3948">
        <f t="shared" si="219"/>
        <v>65796.292000000001</v>
      </c>
      <c r="CE51" s="3947">
        <f>CE8+CE17+CE27+CE35+CE43+CE48</f>
        <v>65778.854641499653</v>
      </c>
      <c r="CF51" s="3947">
        <f t="shared" ref="CF51" si="233">CF8+CF17+CF27+CF35+CF43+CF48</f>
        <v>17.437358500344963</v>
      </c>
      <c r="CG51" s="3949">
        <f t="shared" si="220"/>
        <v>101095.20400000001</v>
      </c>
      <c r="CH51" s="3947">
        <f>CH8+CH17+CH27+CH35+CH43+CH48</f>
        <v>101071.75809065199</v>
      </c>
      <c r="CI51" s="3947">
        <f t="shared" ref="CI51" si="234">CI8+CI17+CI27+CI35+CI43+CI48</f>
        <v>23.445909348019782</v>
      </c>
      <c r="CJ51" s="3949">
        <f t="shared" si="221"/>
        <v>134881.29909601744</v>
      </c>
      <c r="CK51" s="3947">
        <f>CK8+CK17+CK27+CK35+CK43+CK48</f>
        <v>134849.7924975577</v>
      </c>
      <c r="CL51" s="3605">
        <f t="shared" ref="CL51" si="235">CL8+CL17+CL27+CL35+CL43+CL48</f>
        <v>31.506598459729588</v>
      </c>
      <c r="CM51" s="4098">
        <f t="shared" ref="CM51" si="236">SUM(CO51+CP51)</f>
        <v>135333.11283248686</v>
      </c>
      <c r="CN51" s="4359">
        <f t="shared" si="28"/>
        <v>1.0667551909989179</v>
      </c>
      <c r="CO51" s="4043">
        <f>CO8+CO17+CO27+CO35+CO43+CO48+CO50+CO49</f>
        <v>134965.78180506316</v>
      </c>
      <c r="CP51" s="4044">
        <f>CP8+CP17+CP27+CP35+CP43+CP48</f>
        <v>367.33102742369073</v>
      </c>
      <c r="CQ51" s="4043">
        <f>CQ8+CQ17+CQ27+CQ35+CQ43+CQ48+CQ50+CQ49</f>
        <v>128142.39052398229</v>
      </c>
      <c r="CR51" s="4359">
        <f t="shared" si="36"/>
        <v>1.010074751237485</v>
      </c>
      <c r="CS51" s="4043">
        <f>CS8+CS17+CS27+CS35+CS43+CS48+CS50+CS49</f>
        <v>127775.59244154149</v>
      </c>
      <c r="CT51" s="4044">
        <f>CT8+CT17+CT27+CT35+CT43+CT48+CT50+CT49</f>
        <v>366.79808244080681</v>
      </c>
    </row>
    <row r="52" spans="1:98" ht="80.25" customHeight="1">
      <c r="A52" s="4469" t="s">
        <v>1906</v>
      </c>
      <c r="B52" s="4435"/>
      <c r="C52" s="4455"/>
      <c r="D52" s="4456"/>
      <c r="E52" s="4455"/>
      <c r="F52" s="4455"/>
      <c r="G52" s="4455"/>
      <c r="H52" s="4456"/>
      <c r="I52" s="3922"/>
      <c r="J52" s="3922"/>
      <c r="K52" s="3922"/>
      <c r="L52" s="3922"/>
      <c r="M52" s="3922"/>
      <c r="N52" s="4457"/>
      <c r="O52" s="3922"/>
      <c r="P52" s="4457"/>
      <c r="Q52" s="4458"/>
      <c r="R52" s="3922"/>
      <c r="S52" s="3922"/>
      <c r="T52" s="3922"/>
      <c r="U52" s="3922"/>
      <c r="V52" s="3922"/>
      <c r="W52" s="3922"/>
      <c r="X52" s="4459"/>
      <c r="Y52" s="4460"/>
      <c r="Z52" s="4461"/>
      <c r="AA52" s="4095"/>
      <c r="AB52" s="4462"/>
      <c r="AC52" s="4043"/>
      <c r="AD52" s="4044"/>
      <c r="AE52" s="4095"/>
      <c r="AF52" s="4043"/>
      <c r="AG52" s="4044"/>
      <c r="AH52" s="4098"/>
      <c r="AI52" s="4463"/>
      <c r="AJ52" s="4043"/>
      <c r="AK52" s="4044"/>
      <c r="AL52" s="4098"/>
      <c r="AM52" s="4463"/>
      <c r="AN52" s="4043"/>
      <c r="AO52" s="4044"/>
      <c r="AP52" s="1328"/>
      <c r="AQ52" s="1329"/>
      <c r="AR52" s="1329"/>
      <c r="AS52" s="1330"/>
      <c r="AT52" s="4095"/>
      <c r="AU52" s="4464"/>
      <c r="AV52" s="4465"/>
      <c r="AW52" s="4095"/>
      <c r="AX52" s="4043"/>
      <c r="AY52" s="4466"/>
      <c r="AZ52" s="4095"/>
      <c r="BA52" s="4043"/>
      <c r="BB52" s="4466"/>
      <c r="BC52" s="4098"/>
      <c r="BD52" s="4467"/>
      <c r="BE52" s="4043"/>
      <c r="BF52" s="4044"/>
      <c r="BG52" s="4464"/>
      <c r="BH52" s="4467"/>
      <c r="BI52" s="4043"/>
      <c r="BJ52" s="4466"/>
      <c r="BK52" s="4468"/>
      <c r="BL52" s="4095"/>
      <c r="BM52" s="4043"/>
      <c r="BN52" s="4044"/>
      <c r="BO52" s="4095"/>
      <c r="BP52" s="4043"/>
      <c r="BQ52" s="4044"/>
      <c r="BR52" s="4095"/>
      <c r="BS52" s="4043"/>
      <c r="BT52" s="4044"/>
      <c r="BU52" s="4098"/>
      <c r="BV52" s="4359"/>
      <c r="BW52" s="4043"/>
      <c r="BX52" s="4044"/>
      <c r="BY52" s="4464"/>
      <c r="BZ52" s="4359"/>
      <c r="CA52" s="4043"/>
      <c r="CB52" s="4466"/>
      <c r="CC52" s="4468"/>
      <c r="CD52" s="3948"/>
      <c r="CE52" s="3947"/>
      <c r="CF52" s="3947"/>
      <c r="CG52" s="3949"/>
      <c r="CH52" s="3947"/>
      <c r="CI52" s="3947"/>
      <c r="CJ52" s="3949"/>
      <c r="CK52" s="3947"/>
      <c r="CL52" s="3605"/>
      <c r="CM52" s="4098"/>
      <c r="CN52" s="4359"/>
      <c r="CO52" s="4043"/>
      <c r="CP52" s="4044"/>
      <c r="CQ52" s="4464">
        <f>SUM(CS52:CT52)</f>
        <v>11701.17</v>
      </c>
      <c r="CR52" s="4359"/>
      <c r="CS52" s="4043">
        <v>11446.45</v>
      </c>
      <c r="CT52" s="4044">
        <v>254.72</v>
      </c>
    </row>
    <row r="53" spans="1:98" ht="81" customHeight="1">
      <c r="A53" s="4469" t="s">
        <v>1907</v>
      </c>
      <c r="B53" s="4435"/>
      <c r="C53" s="4455"/>
      <c r="D53" s="4456"/>
      <c r="E53" s="4455"/>
      <c r="F53" s="4455"/>
      <c r="G53" s="4455"/>
      <c r="H53" s="4456"/>
      <c r="I53" s="3922"/>
      <c r="J53" s="3922"/>
      <c r="K53" s="3922"/>
      <c r="L53" s="3922"/>
      <c r="M53" s="3922"/>
      <c r="N53" s="4457"/>
      <c r="O53" s="3922"/>
      <c r="P53" s="4457"/>
      <c r="Q53" s="4458"/>
      <c r="R53" s="3922"/>
      <c r="S53" s="3922"/>
      <c r="T53" s="3922"/>
      <c r="U53" s="3922"/>
      <c r="V53" s="3922"/>
      <c r="W53" s="3922"/>
      <c r="X53" s="4459"/>
      <c r="Y53" s="4460"/>
      <c r="Z53" s="4461"/>
      <c r="AA53" s="4095"/>
      <c r="AB53" s="4462"/>
      <c r="AC53" s="4043"/>
      <c r="AD53" s="4044"/>
      <c r="AE53" s="4095"/>
      <c r="AF53" s="4043"/>
      <c r="AG53" s="4044"/>
      <c r="AH53" s="4098"/>
      <c r="AI53" s="4463"/>
      <c r="AJ53" s="4043"/>
      <c r="AK53" s="4044"/>
      <c r="AL53" s="4098"/>
      <c r="AM53" s="4463"/>
      <c r="AN53" s="4043"/>
      <c r="AO53" s="4044"/>
      <c r="AP53" s="1328"/>
      <c r="AQ53" s="1329"/>
      <c r="AR53" s="1329"/>
      <c r="AS53" s="1330"/>
      <c r="AT53" s="4095"/>
      <c r="AU53" s="4464"/>
      <c r="AV53" s="4465"/>
      <c r="AW53" s="4095"/>
      <c r="AX53" s="4043"/>
      <c r="AY53" s="4466"/>
      <c r="AZ53" s="4095"/>
      <c r="BA53" s="4043"/>
      <c r="BB53" s="4466"/>
      <c r="BC53" s="4098"/>
      <c r="BD53" s="4467"/>
      <c r="BE53" s="4043"/>
      <c r="BF53" s="4044"/>
      <c r="BG53" s="4464"/>
      <c r="BH53" s="4467"/>
      <c r="BI53" s="4043"/>
      <c r="BJ53" s="4466"/>
      <c r="BK53" s="4468"/>
      <c r="BL53" s="4095"/>
      <c r="BM53" s="4043"/>
      <c r="BN53" s="4044"/>
      <c r="BO53" s="4095"/>
      <c r="BP53" s="4043"/>
      <c r="BQ53" s="4044"/>
      <c r="BR53" s="4095"/>
      <c r="BS53" s="4043"/>
      <c r="BT53" s="4044"/>
      <c r="BU53" s="4098"/>
      <c r="BV53" s="4359"/>
      <c r="BW53" s="4043"/>
      <c r="BX53" s="4044"/>
      <c r="BY53" s="4464"/>
      <c r="BZ53" s="4359"/>
      <c r="CA53" s="4043"/>
      <c r="CB53" s="4466"/>
      <c r="CC53" s="4468"/>
      <c r="CD53" s="3948"/>
      <c r="CE53" s="3947"/>
      <c r="CF53" s="3947"/>
      <c r="CG53" s="3949"/>
      <c r="CH53" s="3947"/>
      <c r="CI53" s="3947"/>
      <c r="CJ53" s="3949"/>
      <c r="CK53" s="3947"/>
      <c r="CL53" s="3605"/>
      <c r="CM53" s="4098"/>
      <c r="CN53" s="4359"/>
      <c r="CO53" s="4043"/>
      <c r="CP53" s="4044"/>
      <c r="CQ53" s="4464"/>
      <c r="CR53" s="4359"/>
      <c r="CS53" s="4043"/>
      <c r="CT53" s="4044"/>
    </row>
    <row r="54" spans="1:98" ht="362.25" customHeight="1">
      <c r="A54" s="4470" t="s">
        <v>1908</v>
      </c>
      <c r="B54" s="4435"/>
      <c r="C54" s="4455"/>
      <c r="D54" s="4456"/>
      <c r="E54" s="4455"/>
      <c r="F54" s="4455"/>
      <c r="G54" s="4455"/>
      <c r="H54" s="4456"/>
      <c r="I54" s="3922"/>
      <c r="J54" s="3922"/>
      <c r="K54" s="3922"/>
      <c r="L54" s="3922"/>
      <c r="M54" s="3922"/>
      <c r="N54" s="4457"/>
      <c r="O54" s="3922"/>
      <c r="P54" s="4457"/>
      <c r="Q54" s="4458"/>
      <c r="R54" s="3922"/>
      <c r="S54" s="3922"/>
      <c r="T54" s="3922"/>
      <c r="U54" s="3922"/>
      <c r="V54" s="3922"/>
      <c r="W54" s="3922"/>
      <c r="X54" s="4459"/>
      <c r="Y54" s="4460"/>
      <c r="Z54" s="4461"/>
      <c r="AA54" s="4095"/>
      <c r="AB54" s="4462"/>
      <c r="AC54" s="4043"/>
      <c r="AD54" s="4044"/>
      <c r="AE54" s="4095"/>
      <c r="AF54" s="4043"/>
      <c r="AG54" s="4044"/>
      <c r="AH54" s="4098"/>
      <c r="AI54" s="4463"/>
      <c r="AJ54" s="4043"/>
      <c r="AK54" s="4044"/>
      <c r="AL54" s="4098"/>
      <c r="AM54" s="4463"/>
      <c r="AN54" s="4043"/>
      <c r="AO54" s="4044"/>
      <c r="AP54" s="1328"/>
      <c r="AQ54" s="1329"/>
      <c r="AR54" s="1329"/>
      <c r="AS54" s="1330"/>
      <c r="AT54" s="4095"/>
      <c r="AU54" s="4464"/>
      <c r="AV54" s="4465"/>
      <c r="AW54" s="4095"/>
      <c r="AX54" s="4043"/>
      <c r="AY54" s="4466"/>
      <c r="AZ54" s="4095"/>
      <c r="BA54" s="4043"/>
      <c r="BB54" s="4466"/>
      <c r="BC54" s="4098"/>
      <c r="BD54" s="4467"/>
      <c r="BE54" s="4043"/>
      <c r="BF54" s="4044"/>
      <c r="BG54" s="4464"/>
      <c r="BH54" s="4467"/>
      <c r="BI54" s="4043"/>
      <c r="BJ54" s="4466"/>
      <c r="BK54" s="4468"/>
      <c r="BL54" s="4095"/>
      <c r="BM54" s="4043"/>
      <c r="BN54" s="4044"/>
      <c r="BO54" s="4095"/>
      <c r="BP54" s="4043"/>
      <c r="BQ54" s="4044"/>
      <c r="BR54" s="4095"/>
      <c r="BS54" s="4043"/>
      <c r="BT54" s="4044"/>
      <c r="BU54" s="4098"/>
      <c r="BV54" s="4359"/>
      <c r="BW54" s="4043"/>
      <c r="BX54" s="4044"/>
      <c r="BY54" s="4464"/>
      <c r="BZ54" s="4359"/>
      <c r="CA54" s="4043"/>
      <c r="CB54" s="4466"/>
      <c r="CC54" s="4468"/>
      <c r="CD54" s="3948"/>
      <c r="CE54" s="3947"/>
      <c r="CF54" s="3947"/>
      <c r="CG54" s="3949"/>
      <c r="CH54" s="3947"/>
      <c r="CI54" s="3947"/>
      <c r="CJ54" s="3949"/>
      <c r="CK54" s="3947"/>
      <c r="CL54" s="3605"/>
      <c r="CM54" s="4098"/>
      <c r="CN54" s="4359"/>
      <c r="CO54" s="4043"/>
      <c r="CP54" s="4044"/>
      <c r="CQ54" s="4464">
        <f>SUM(CS54:CT54)</f>
        <v>-1405.8046569334567</v>
      </c>
      <c r="CR54" s="4359"/>
      <c r="CS54" s="4043">
        <f>-А!C24</f>
        <v>-1402.0984566147722</v>
      </c>
      <c r="CT54" s="4044">
        <f>-А!C39</f>
        <v>-3.706200318684449</v>
      </c>
    </row>
    <row r="55" spans="1:98" ht="20.25" customHeight="1">
      <c r="A55" s="4471" t="s">
        <v>1909</v>
      </c>
      <c r="B55" s="4435"/>
      <c r="C55" s="4455"/>
      <c r="D55" s="4456"/>
      <c r="E55" s="4455"/>
      <c r="F55" s="4455"/>
      <c r="G55" s="4455"/>
      <c r="H55" s="4456"/>
      <c r="I55" s="3922"/>
      <c r="J55" s="3922"/>
      <c r="K55" s="3922"/>
      <c r="L55" s="3922"/>
      <c r="M55" s="3922"/>
      <c r="N55" s="4457"/>
      <c r="O55" s="3922"/>
      <c r="P55" s="4457"/>
      <c r="Q55" s="4458"/>
      <c r="R55" s="3922"/>
      <c r="S55" s="3922"/>
      <c r="T55" s="3922"/>
      <c r="U55" s="3922"/>
      <c r="V55" s="3922"/>
      <c r="W55" s="3922"/>
      <c r="X55" s="4459"/>
      <c r="Y55" s="4460"/>
      <c r="Z55" s="4461"/>
      <c r="AA55" s="4095"/>
      <c r="AB55" s="4462"/>
      <c r="AC55" s="4043"/>
      <c r="AD55" s="4044"/>
      <c r="AE55" s="4095"/>
      <c r="AF55" s="4043"/>
      <c r="AG55" s="4044"/>
      <c r="AH55" s="4098"/>
      <c r="AI55" s="4463"/>
      <c r="AJ55" s="4043"/>
      <c r="AK55" s="4044"/>
      <c r="AL55" s="4098"/>
      <c r="AM55" s="4463"/>
      <c r="AN55" s="4043"/>
      <c r="AO55" s="4044"/>
      <c r="AP55" s="1328"/>
      <c r="AQ55" s="1329"/>
      <c r="AR55" s="1329"/>
      <c r="AS55" s="1330"/>
      <c r="AT55" s="4095"/>
      <c r="AU55" s="4464"/>
      <c r="AV55" s="4465"/>
      <c r="AW55" s="4095"/>
      <c r="AX55" s="4043"/>
      <c r="AY55" s="4466"/>
      <c r="AZ55" s="4095"/>
      <c r="BA55" s="4043"/>
      <c r="BB55" s="4466"/>
      <c r="BC55" s="4098"/>
      <c r="BD55" s="4467"/>
      <c r="BE55" s="4043"/>
      <c r="BF55" s="4044"/>
      <c r="BG55" s="4464"/>
      <c r="BH55" s="4467"/>
      <c r="BI55" s="4043"/>
      <c r="BJ55" s="4466"/>
      <c r="BK55" s="4468"/>
      <c r="BL55" s="4095"/>
      <c r="BM55" s="4043"/>
      <c r="BN55" s="4044"/>
      <c r="BO55" s="4095"/>
      <c r="BP55" s="4043"/>
      <c r="BQ55" s="4044"/>
      <c r="BR55" s="4095"/>
      <c r="BS55" s="4043"/>
      <c r="BT55" s="4044"/>
      <c r="BU55" s="4098"/>
      <c r="BV55" s="4359"/>
      <c r="BW55" s="4043"/>
      <c r="BX55" s="4044"/>
      <c r="BY55" s="4464"/>
      <c r="BZ55" s="4359"/>
      <c r="CA55" s="4043"/>
      <c r="CB55" s="4466"/>
      <c r="CC55" s="4468"/>
      <c r="CD55" s="3948"/>
      <c r="CE55" s="3947"/>
      <c r="CF55" s="3947"/>
      <c r="CG55" s="3949"/>
      <c r="CH55" s="3947"/>
      <c r="CI55" s="3947"/>
      <c r="CJ55" s="3949"/>
      <c r="CK55" s="3947"/>
      <c r="CL55" s="3605"/>
      <c r="CM55" s="4098"/>
      <c r="CN55" s="4359"/>
      <c r="CO55" s="4043"/>
      <c r="CP55" s="4044"/>
      <c r="CQ55" s="4095">
        <f>SUM(CQ51+CQ52+CQ53+CQ54)</f>
        <v>138437.75586704884</v>
      </c>
      <c r="CR55" s="4551"/>
      <c r="CS55" s="4044">
        <f>SUM(CS51+CS52+CS53+CS54)</f>
        <v>137819.94398492674</v>
      </c>
      <c r="CT55" s="4044">
        <f>SUM(CT51+CT52+CT53+CT54)</f>
        <v>617.81188212212237</v>
      </c>
    </row>
    <row r="56" spans="1:98" ht="21" customHeight="1">
      <c r="A56" s="1281" t="s">
        <v>13</v>
      </c>
      <c r="B56" s="1275">
        <f>объемы!B16</f>
        <v>5323.9</v>
      </c>
      <c r="C56" s="18">
        <f>объемы!C16</f>
        <v>5023.2000000000007</v>
      </c>
      <c r="D56" s="133">
        <f>C56/B56*100</f>
        <v>94.351884896410539</v>
      </c>
      <c r="E56" s="18">
        <f>объемы!E16</f>
        <v>4902.7999999999993</v>
      </c>
      <c r="F56" s="133">
        <f>E56/C56*100</f>
        <v>97.603121516164975</v>
      </c>
      <c r="G56" s="18">
        <f>объемы!F16</f>
        <v>4524.3</v>
      </c>
      <c r="H56" s="133">
        <f t="shared" si="16"/>
        <v>92.279921677408851</v>
      </c>
      <c r="I56" s="134">
        <f>объемы!H16</f>
        <v>4645</v>
      </c>
      <c r="J56" s="134" t="e">
        <f>объемы!#REF!</f>
        <v>#REF!</v>
      </c>
      <c r="K56" s="134">
        <f>объемы!J16</f>
        <v>3263.8</v>
      </c>
      <c r="L56" s="134">
        <v>4431.5</v>
      </c>
      <c r="M56" s="160">
        <f t="shared" si="17"/>
        <v>95.403659849300325</v>
      </c>
      <c r="N56" s="160">
        <f t="shared" si="18"/>
        <v>97.948853966359422</v>
      </c>
      <c r="O56" s="134">
        <f>объемы!K16</f>
        <v>4100</v>
      </c>
      <c r="P56" s="160">
        <f t="shared" si="19"/>
        <v>88.266953713670617</v>
      </c>
      <c r="Q56" s="243" t="e">
        <f>объемы!#REF!</f>
        <v>#REF!</v>
      </c>
      <c r="R56" s="160" t="e">
        <f t="shared" si="29"/>
        <v>#REF!</v>
      </c>
      <c r="S56" s="160" t="e">
        <f t="shared" si="30"/>
        <v>#REF!</v>
      </c>
      <c r="T56" s="134" t="e">
        <f>объемы!#REF!+объемы!#REF!</f>
        <v>#REF!</v>
      </c>
      <c r="U56" s="134" t="e">
        <f>объемы!#REF!</f>
        <v>#REF!</v>
      </c>
      <c r="V56" s="134" t="e">
        <f>объемы!#REF!</f>
        <v>#REF!</v>
      </c>
      <c r="W56" s="134">
        <f>объемы!AA16-X56</f>
        <v>4181.7</v>
      </c>
      <c r="X56" s="1291">
        <f>объемы!AA19</f>
        <v>46</v>
      </c>
      <c r="Y56" s="1298">
        <f>объемы!E49</f>
        <v>4000</v>
      </c>
      <c r="Z56" s="1306" t="e">
        <f t="shared" si="20"/>
        <v>#REF!</v>
      </c>
      <c r="AA56" s="1270">
        <f>объемы!F49</f>
        <v>4052.2</v>
      </c>
      <c r="AB56" s="1307" t="e">
        <f t="shared" si="223"/>
        <v>#REF!</v>
      </c>
      <c r="AC56" s="1268">
        <f>объемы!F50+объемы!F52</f>
        <v>4006.2</v>
      </c>
      <c r="AD56" s="1269">
        <f>объемы!F51</f>
        <v>46</v>
      </c>
      <c r="AE56" s="1263">
        <f>SUM(AF56+AG56)</f>
        <v>4039</v>
      </c>
      <c r="AF56" s="1268">
        <f>SUM(объемы!I49-объемы!I51)</f>
        <v>3989.2</v>
      </c>
      <c r="AG56" s="1269">
        <f>SUM(объемы!I51)</f>
        <v>49.8</v>
      </c>
      <c r="AH56" s="1263">
        <f t="shared" si="22"/>
        <v>4052.4</v>
      </c>
      <c r="AI56" s="1252">
        <f t="shared" si="23"/>
        <v>1.0000493559054342</v>
      </c>
      <c r="AJ56" s="1268">
        <v>4006.27</v>
      </c>
      <c r="AK56" s="1269">
        <v>46.13</v>
      </c>
      <c r="AL56" s="1263">
        <f t="shared" si="24"/>
        <v>4052.4000000000005</v>
      </c>
      <c r="AM56" s="1252">
        <f t="shared" si="25"/>
        <v>1.0000493559054342</v>
      </c>
      <c r="AN56" s="1268">
        <f>SUM(объемы!K49-объемы!K51)</f>
        <v>4006.2700000000004</v>
      </c>
      <c r="AO56" s="1269">
        <f>SUM(объемы!K46)</f>
        <v>46.13</v>
      </c>
      <c r="AP56" s="1328">
        <f>объемы!F49-объемы!E49</f>
        <v>52.199999999999818</v>
      </c>
      <c r="AQ56" s="1329">
        <f>AP56-AR56</f>
        <v>31.199999999999818</v>
      </c>
      <c r="AR56" s="1329">
        <f>объемы!F51-объемы!E51</f>
        <v>21</v>
      </c>
      <c r="AS56" s="1330">
        <f t="shared" si="172"/>
        <v>52.199999999999818</v>
      </c>
      <c r="AT56" s="1270">
        <f>SUM(AU56:AV56)</f>
        <v>1990.48</v>
      </c>
      <c r="AU56" s="1268">
        <f>SUM(объемы!N49-объемы!N51)</f>
        <v>1976.78</v>
      </c>
      <c r="AV56" s="1269">
        <f>объемы!O49</f>
        <v>13.7</v>
      </c>
      <c r="AW56" s="1270">
        <f>SUM(AX56:AY56)</f>
        <v>2854.7599999999998</v>
      </c>
      <c r="AX56" s="1268">
        <f>объемы!P49</f>
        <v>2837.2</v>
      </c>
      <c r="AY56" s="2645">
        <f>объемы!Q49</f>
        <v>17.559999999999999</v>
      </c>
      <c r="AZ56" s="1270">
        <f>SUM(BA56:BB56)</f>
        <v>3780.42</v>
      </c>
      <c r="BA56" s="1268">
        <f>SUM(объемы!R49)</f>
        <v>3762.2000000000003</v>
      </c>
      <c r="BB56" s="2645">
        <f>SUM(объемы!S49)</f>
        <v>18.22</v>
      </c>
      <c r="BC56" s="1263">
        <f>SUM(BE56+BF56)</f>
        <v>4010.6369999999997</v>
      </c>
      <c r="BD56" s="2140">
        <f t="shared" si="33"/>
        <v>0.9896942552561443</v>
      </c>
      <c r="BE56" s="1268">
        <f>SUM(объемы!T49-объемы!T51)</f>
        <v>3989.2169999999996</v>
      </c>
      <c r="BF56" s="1269">
        <f>SUM(объемы!T51)</f>
        <v>21.42</v>
      </c>
      <c r="BG56" s="1263">
        <f>SUM(BI56+BJ56)</f>
        <v>4010.6370000000002</v>
      </c>
      <c r="BH56" s="2140">
        <f t="shared" si="34"/>
        <v>0.98969425525614441</v>
      </c>
      <c r="BI56" s="1268">
        <f>SUM(объемы!U49-объемы!U51)</f>
        <v>3989.2170000000001</v>
      </c>
      <c r="BJ56" s="1269">
        <f>объемы!V49</f>
        <v>21.419999999999998</v>
      </c>
      <c r="BK56" s="1914"/>
      <c r="BL56" s="2875">
        <f>SUM(BM56:BN56)</f>
        <v>1822.56</v>
      </c>
      <c r="BM56" s="2876">
        <f>SUM(объемы!AA49-объемы!AA51)</f>
        <v>1821.09</v>
      </c>
      <c r="BN56" s="2877">
        <f>SUM(объемы!AA51)</f>
        <v>1.47</v>
      </c>
      <c r="BO56" s="2875">
        <f>SUM(BP56:BQ56)</f>
        <v>2671.13</v>
      </c>
      <c r="BP56" s="2876">
        <f>SUM(объемы!AB49-объемы!AB51)</f>
        <v>2669.1800000000003</v>
      </c>
      <c r="BQ56" s="2877">
        <f>SUM(объемы!AB51)</f>
        <v>1.95</v>
      </c>
      <c r="BR56" s="2875">
        <f>SUM(BS56:BT56)</f>
        <v>3568.7400000000002</v>
      </c>
      <c r="BS56" s="2876">
        <f>SUM(объемы!AC49-объемы!AC51)</f>
        <v>3566.34</v>
      </c>
      <c r="BT56" s="2877">
        <f>SUM(объемы!AC51)</f>
        <v>2.4</v>
      </c>
      <c r="BU56" s="1263">
        <f>SUM(объемы!AD49)</f>
        <v>3789</v>
      </c>
      <c r="BV56" s="2139">
        <f t="shared" si="35"/>
        <v>0.94473770625464226</v>
      </c>
      <c r="BW56" s="1268">
        <f>SUM(объемы!AD49-объемы!AD51)</f>
        <v>3771</v>
      </c>
      <c r="BX56" s="1269">
        <f>SUM(объемы!AD51)</f>
        <v>18</v>
      </c>
      <c r="BY56" s="1263">
        <f>SUM(CA56+CB56)</f>
        <v>3791.3490000000002</v>
      </c>
      <c r="BZ56" s="2140">
        <f>SUM(BY56/BG56)</f>
        <v>0.9453233987518691</v>
      </c>
      <c r="CA56" s="1268">
        <f>SUM(объемы!AE49-объемы!AE51)</f>
        <v>3771</v>
      </c>
      <c r="CB56" s="1269">
        <f>SUM(объемы!AE51)</f>
        <v>20.349</v>
      </c>
      <c r="CC56" s="1914"/>
      <c r="CD56" s="3948">
        <f>SUM(CE56:CF56)</f>
        <v>1852.1599999999999</v>
      </c>
      <c r="CE56" s="3947">
        <f>SUM(объемы!AF49-объемы!AF51)</f>
        <v>1851.08</v>
      </c>
      <c r="CF56" s="3947">
        <f>SUM(объемы!AF51)</f>
        <v>1.08</v>
      </c>
      <c r="CG56" s="3949">
        <f>SUM(CH56:CI56)</f>
        <v>2708.38</v>
      </c>
      <c r="CH56" s="3947">
        <f>SUM(объемы!AG49-объемы!AG51)</f>
        <v>2706.9900000000002</v>
      </c>
      <c r="CI56" s="3947">
        <f>SUM(объемы!AG51)</f>
        <v>1.39</v>
      </c>
      <c r="CJ56" s="3949">
        <f>SUM(CK56:CL56)</f>
        <v>3601.85</v>
      </c>
      <c r="CK56" s="3947">
        <f>SUM(объемы!AH49-объемы!AH51)</f>
        <v>3600</v>
      </c>
      <c r="CL56" s="3605">
        <f>SUM(объемы!AH51)</f>
        <v>1.85</v>
      </c>
      <c r="CM56" s="4098">
        <f>SUM(объемы!AI49)</f>
        <v>3720</v>
      </c>
      <c r="CN56" s="4359">
        <f t="shared" si="28"/>
        <v>0.98118110466749431</v>
      </c>
      <c r="CO56" s="4043">
        <f>SUM(объемы!AI49-объемы!AI51)</f>
        <v>3700</v>
      </c>
      <c r="CP56" s="4044">
        <f>SUM(объемы!AI51)</f>
        <v>20</v>
      </c>
      <c r="CQ56" s="4098">
        <f>SUM(объемы!AJ49)</f>
        <v>3621.42</v>
      </c>
      <c r="CR56" s="4359">
        <f t="shared" si="36"/>
        <v>0.95517980539380576</v>
      </c>
      <c r="CS56" s="4043">
        <f>SUM(объемы!AJ49-объемы!AJ51)</f>
        <v>3600</v>
      </c>
      <c r="CT56" s="4044">
        <f>SUM(объемы!AJ51)</f>
        <v>21.42</v>
      </c>
    </row>
    <row r="57" spans="1:98" ht="21" customHeight="1">
      <c r="A57" s="1281" t="s">
        <v>14</v>
      </c>
      <c r="B57" s="1277" t="e">
        <f>B51/B56</f>
        <v>#REF!</v>
      </c>
      <c r="C57" s="57" t="e">
        <f>C51/C56</f>
        <v>#REF!</v>
      </c>
      <c r="D57" s="133" t="e">
        <f>C57/B57*100</f>
        <v>#REF!</v>
      </c>
      <c r="E57" s="57">
        <f>E51/E56</f>
        <v>18.736415925593541</v>
      </c>
      <c r="F57" s="57" t="e">
        <f>F51/F56</f>
        <v>#REF!</v>
      </c>
      <c r="G57" s="57">
        <f>G51/G56</f>
        <v>23.49388855734589</v>
      </c>
      <c r="H57" s="133">
        <f t="shared" si="16"/>
        <v>125.39158316427927</v>
      </c>
      <c r="I57" s="134" t="e">
        <f>#REF!/#REF!</f>
        <v>#REF!</v>
      </c>
      <c r="J57" s="134" t="e">
        <f>J51/J56</f>
        <v>#REF!</v>
      </c>
      <c r="K57" s="134">
        <f>K51/K56</f>
        <v>23.901069486011327</v>
      </c>
      <c r="L57" s="134">
        <f>L51/L56</f>
        <v>25.40880063184024</v>
      </c>
      <c r="M57" s="160" t="e">
        <f t="shared" si="17"/>
        <v>#REF!</v>
      </c>
      <c r="N57" s="160">
        <f t="shared" si="18"/>
        <v>108.1506816967326</v>
      </c>
      <c r="O57" s="134">
        <f>O51/O56</f>
        <v>32.084302926967361</v>
      </c>
      <c r="P57" s="160" t="e">
        <f t="shared" si="19"/>
        <v>#REF!</v>
      </c>
      <c r="Q57" s="243" t="e">
        <f>Q51/Q56</f>
        <v>#REF!</v>
      </c>
      <c r="R57" s="160" t="e">
        <f t="shared" si="29"/>
        <v>#REF!</v>
      </c>
      <c r="S57" s="160" t="e">
        <f t="shared" si="30"/>
        <v>#REF!</v>
      </c>
      <c r="T57" s="134" t="e">
        <f t="shared" ref="T57:Y57" si="237">T51/T56</f>
        <v>#REF!</v>
      </c>
      <c r="U57" s="134" t="e">
        <f t="shared" si="237"/>
        <v>#REF!</v>
      </c>
      <c r="V57" s="134" t="e">
        <f t="shared" si="237"/>
        <v>#REF!</v>
      </c>
      <c r="W57" s="134">
        <f t="shared" si="237"/>
        <v>17.250598336061639</v>
      </c>
      <c r="X57" s="1291">
        <f t="shared" si="237"/>
        <v>5.59875952371838</v>
      </c>
      <c r="Y57" s="1298">
        <f t="shared" si="237"/>
        <v>34.698300000000003</v>
      </c>
      <c r="Z57" s="1306" t="e">
        <f t="shared" si="20"/>
        <v>#REF!</v>
      </c>
      <c r="AA57" s="1270" t="e">
        <f>AA51/AA56</f>
        <v>#REF!</v>
      </c>
      <c r="AB57" s="1307" t="e">
        <f t="shared" si="223"/>
        <v>#REF!</v>
      </c>
      <c r="AC57" s="1268" t="e">
        <f t="shared" ref="AC57:AH57" si="238">AC51/AC56</f>
        <v>#REF!</v>
      </c>
      <c r="AD57" s="1269" t="e">
        <f t="shared" si="238"/>
        <v>#REF!</v>
      </c>
      <c r="AE57" s="1270">
        <f t="shared" si="238"/>
        <v>28.056456893067594</v>
      </c>
      <c r="AF57" s="1268">
        <f t="shared" si="238"/>
        <v>28.205017254103591</v>
      </c>
      <c r="AG57" s="1269">
        <f t="shared" si="238"/>
        <v>16.156115683332491</v>
      </c>
      <c r="AH57" s="1270">
        <f t="shared" si="238"/>
        <v>29.999857943440922</v>
      </c>
      <c r="AI57" s="1252" t="e">
        <f t="shared" si="23"/>
        <v>#REF!</v>
      </c>
      <c r="AJ57" s="1268">
        <f>AJ51/AJ56</f>
        <v>30.147115478986688</v>
      </c>
      <c r="AK57" s="1269">
        <f>AK51/AK56</f>
        <v>17.210925644916539</v>
      </c>
      <c r="AL57" s="1270">
        <f>AL51/AL56</f>
        <v>28.099681873177758</v>
      </c>
      <c r="AM57" s="1252" t="e">
        <f t="shared" si="25"/>
        <v>#REF!</v>
      </c>
      <c r="AN57" s="1268">
        <f>AN51/AN56</f>
        <v>28.23098042341763</v>
      </c>
      <c r="AO57" s="1269">
        <f>AO51/AO56</f>
        <v>16.696745760680745</v>
      </c>
      <c r="AP57" s="1328" t="e">
        <f t="shared" si="26"/>
        <v>#REF!</v>
      </c>
      <c r="AQ57" s="1329" t="e">
        <f t="shared" ref="AQ57" si="239">AP57*AC57/AA57</f>
        <v>#REF!</v>
      </c>
      <c r="AR57" s="1329" t="e">
        <f t="shared" si="27"/>
        <v>#REF!</v>
      </c>
      <c r="AS57" s="1330" t="e">
        <f t="shared" si="172"/>
        <v>#REF!</v>
      </c>
      <c r="AT57" s="1270">
        <f t="shared" ref="AT57:BC57" si="240">AT51/AT56</f>
        <v>28.472176098930909</v>
      </c>
      <c r="AU57" s="1268">
        <f t="shared" si="240"/>
        <v>28.563201351485883</v>
      </c>
      <c r="AV57" s="1269">
        <f t="shared" si="240"/>
        <v>15.338095898520834</v>
      </c>
      <c r="AW57" s="1270">
        <f t="shared" si="240"/>
        <v>30.2772527287758</v>
      </c>
      <c r="AX57" s="1268">
        <f t="shared" si="240"/>
        <v>30.361021977511822</v>
      </c>
      <c r="AY57" s="2645">
        <f t="shared" si="240"/>
        <v>16.742508280379624</v>
      </c>
      <c r="AZ57" s="1270">
        <f t="shared" si="240"/>
        <v>30.741139873347407</v>
      </c>
      <c r="BA57" s="1268">
        <f t="shared" si="240"/>
        <v>30.808213503641046</v>
      </c>
      <c r="BB57" s="2645">
        <f t="shared" si="240"/>
        <v>16.891281921056198</v>
      </c>
      <c r="BC57" s="1270">
        <f t="shared" si="240"/>
        <v>33.703630440999497</v>
      </c>
      <c r="BD57" s="2140">
        <f t="shared" si="33"/>
        <v>1.1994310324620054</v>
      </c>
      <c r="BE57" s="1268">
        <f>BE51/BE56</f>
        <v>33.77847126657263</v>
      </c>
      <c r="BF57" s="1269">
        <f>BF51/BF56</f>
        <v>19.765428122119772</v>
      </c>
      <c r="BG57" s="1270">
        <f>BG51/BG56</f>
        <v>30.042907102312672</v>
      </c>
      <c r="BH57" s="2140">
        <f t="shared" si="34"/>
        <v>1.069154705661981</v>
      </c>
      <c r="BI57" s="1268">
        <f>BI51/BI56</f>
        <v>30.117993402191999</v>
      </c>
      <c r="BJ57" s="1269">
        <f>BJ51/BJ56</f>
        <v>16.058988150598474</v>
      </c>
      <c r="BK57" s="1919"/>
      <c r="BL57" s="2875">
        <f t="shared" ref="BL57:BU57" si="241">BL51/BL56</f>
        <v>32.343714019889603</v>
      </c>
      <c r="BM57" s="2876">
        <f t="shared" si="241"/>
        <v>32.356303273184707</v>
      </c>
      <c r="BN57" s="2877">
        <f t="shared" si="241"/>
        <v>16.747684575542802</v>
      </c>
      <c r="BO57" s="2875">
        <f t="shared" si="241"/>
        <v>33.440972508335427</v>
      </c>
      <c r="BP57" s="2876">
        <f t="shared" si="241"/>
        <v>33.452676674946538</v>
      </c>
      <c r="BQ57" s="2877">
        <f t="shared" si="241"/>
        <v>17.420189208311577</v>
      </c>
      <c r="BR57" s="2875">
        <f t="shared" si="241"/>
        <v>33.787239754086876</v>
      </c>
      <c r="BS57" s="2876">
        <f t="shared" si="241"/>
        <v>33.798216580169729</v>
      </c>
      <c r="BT57" s="2877">
        <f t="shared" si="241"/>
        <v>17.475950615624932</v>
      </c>
      <c r="BU57" s="1270">
        <f t="shared" si="241"/>
        <v>36.944479910158414</v>
      </c>
      <c r="BV57" s="2139">
        <f t="shared" si="35"/>
        <v>1.2297238674121009</v>
      </c>
      <c r="BW57" s="1268">
        <f>BW51/BW56</f>
        <v>37.024045158651575</v>
      </c>
      <c r="BX57" s="1269">
        <f>BX51/BX56</f>
        <v>20.275560350840649</v>
      </c>
      <c r="BY57" s="1270">
        <f>BY51/BY56</f>
        <v>33.461510564455857</v>
      </c>
      <c r="BZ57" s="2139">
        <f t="shared" si="93"/>
        <v>1.1137907010963004</v>
      </c>
      <c r="CA57" s="1268">
        <f>CA51/CA56</f>
        <v>33.551085515642363</v>
      </c>
      <c r="CB57" s="1269">
        <f>CB51/CB56</f>
        <v>16.862071337187299</v>
      </c>
      <c r="CC57" s="1919"/>
      <c r="CD57" s="3946">
        <f t="shared" ref="CD57:CM57" si="242">CD51/CD56</f>
        <v>35.524086472011064</v>
      </c>
      <c r="CE57" s="3947">
        <f t="shared" si="242"/>
        <v>35.535392658069696</v>
      </c>
      <c r="CF57" s="3947">
        <f t="shared" si="242"/>
        <v>16.145702315134223</v>
      </c>
      <c r="CG57" s="3947">
        <f t="shared" si="242"/>
        <v>37.326816768695679</v>
      </c>
      <c r="CH57" s="3947">
        <f t="shared" si="242"/>
        <v>37.337322299178048</v>
      </c>
      <c r="CI57" s="3947">
        <f t="shared" si="242"/>
        <v>16.867560682028621</v>
      </c>
      <c r="CJ57" s="3947">
        <f t="shared" si="242"/>
        <v>37.447783526803569</v>
      </c>
      <c r="CK57" s="3947">
        <f t="shared" si="242"/>
        <v>37.458275693766026</v>
      </c>
      <c r="CL57" s="3605">
        <f t="shared" si="242"/>
        <v>17.030593762015993</v>
      </c>
      <c r="CM57" s="4095">
        <f t="shared" si="242"/>
        <v>36.379869040991089</v>
      </c>
      <c r="CN57" s="4359">
        <f t="shared" si="28"/>
        <v>1.0872153835049883</v>
      </c>
      <c r="CO57" s="4043">
        <f>CO51/CO56</f>
        <v>36.477238325692745</v>
      </c>
      <c r="CP57" s="4044">
        <f>CP51/CP56</f>
        <v>18.366551371184535</v>
      </c>
      <c r="CQ57" s="4095">
        <f>CQ51/CQ56</f>
        <v>35.384570285684148</v>
      </c>
      <c r="CR57" s="4359">
        <f t="shared" si="36"/>
        <v>1.0574707982033256</v>
      </c>
      <c r="CS57" s="4043">
        <f>CS51/CS56</f>
        <v>35.493220122650413</v>
      </c>
      <c r="CT57" s="4044">
        <f>CT55/CT56</f>
        <v>28.842758269006644</v>
      </c>
    </row>
    <row r="58" spans="1:98" ht="21" customHeight="1">
      <c r="A58" s="1285" t="s">
        <v>436</v>
      </c>
      <c r="B58" s="1341"/>
      <c r="C58" s="59"/>
      <c r="D58" s="59"/>
      <c r="E58" s="59"/>
      <c r="F58" s="133"/>
      <c r="G58" s="133"/>
      <c r="H58" s="133"/>
      <c r="I58" s="134">
        <v>0</v>
      </c>
      <c r="J58" s="1342"/>
      <c r="K58" s="1342"/>
      <c r="L58" s="1342"/>
      <c r="M58" s="160" t="e">
        <f t="shared" si="17"/>
        <v>#DIV/0!</v>
      </c>
      <c r="N58" s="160"/>
      <c r="O58" s="134"/>
      <c r="P58" s="160"/>
      <c r="Q58" s="243">
        <f>T58+U58</f>
        <v>129.11000000000001</v>
      </c>
      <c r="R58" s="160"/>
      <c r="S58" s="160"/>
      <c r="T58" s="134">
        <v>4.16</v>
      </c>
      <c r="U58" s="134">
        <v>124.95</v>
      </c>
      <c r="V58" s="134">
        <v>0</v>
      </c>
      <c r="W58" s="134"/>
      <c r="X58" s="1291"/>
      <c r="Y58" s="1298">
        <f>E96</f>
        <v>0</v>
      </c>
      <c r="Z58" s="1306">
        <f t="shared" si="20"/>
        <v>0</v>
      </c>
      <c r="AA58" s="1270">
        <f>AC58+AD58</f>
        <v>0</v>
      </c>
      <c r="AB58" s="1307">
        <f t="shared" si="223"/>
        <v>0</v>
      </c>
      <c r="AC58" s="1268">
        <f>G89</f>
        <v>0</v>
      </c>
      <c r="AD58" s="1269">
        <v>0</v>
      </c>
      <c r="AE58" s="1270">
        <v>0</v>
      </c>
      <c r="AF58" s="1268">
        <v>0</v>
      </c>
      <c r="AG58" s="1269">
        <v>0</v>
      </c>
      <c r="AH58" s="1263">
        <f t="shared" si="22"/>
        <v>6078.58</v>
      </c>
      <c r="AI58" s="1252"/>
      <c r="AJ58" s="1268">
        <v>6038.88</v>
      </c>
      <c r="AK58" s="1269">
        <v>39.700000000000003</v>
      </c>
      <c r="AL58" s="1263">
        <f t="shared" si="24"/>
        <v>5753.5575411432783</v>
      </c>
      <c r="AM58" s="1252"/>
      <c r="AN58" s="1268">
        <f>AN51*0.05</f>
        <v>5655.0464970462681</v>
      </c>
      <c r="AO58" s="1269">
        <f>AO51*0.05+60</f>
        <v>98.511044097010142</v>
      </c>
      <c r="AP58" s="1328">
        <f t="shared" si="26"/>
        <v>0</v>
      </c>
      <c r="AQ58" s="1329">
        <f>AP58</f>
        <v>0</v>
      </c>
      <c r="AR58" s="1329">
        <f t="shared" si="27"/>
        <v>0</v>
      </c>
      <c r="AS58" s="1330">
        <f t="shared" si="172"/>
        <v>0</v>
      </c>
      <c r="AT58" s="1270">
        <v>0</v>
      </c>
      <c r="AU58" s="1268">
        <f>Y89</f>
        <v>0</v>
      </c>
      <c r="AV58" s="1269">
        <v>0</v>
      </c>
      <c r="AW58" s="1270">
        <f>AY58+BN58</f>
        <v>0</v>
      </c>
      <c r="AX58" s="1268">
        <f>AB89</f>
        <v>0</v>
      </c>
      <c r="AY58" s="2645">
        <v>0</v>
      </c>
      <c r="AZ58" s="1270">
        <f>BB58+BQ58</f>
        <v>0</v>
      </c>
      <c r="BA58" s="1268">
        <f>AE89</f>
        <v>0</v>
      </c>
      <c r="BB58" s="2645">
        <v>0</v>
      </c>
      <c r="BC58" s="1263">
        <f t="shared" ref="BC58" si="243">SUM(BE58+BF58)</f>
        <v>6800.9889110875247</v>
      </c>
      <c r="BD58" s="2140">
        <f t="shared" si="33"/>
        <v>1.1820493429420214</v>
      </c>
      <c r="BE58" s="1268">
        <f>SUM(BE51*0.05)</f>
        <v>6737.4825905311536</v>
      </c>
      <c r="BF58" s="1269">
        <f>SUM(BF51*0.15)</f>
        <v>63.506320556370831</v>
      </c>
      <c r="BG58" s="1263">
        <f t="shared" ref="BG58" si="244">SUM(BI58+BJ58)</f>
        <v>6007.360564295609</v>
      </c>
      <c r="BH58" s="2140">
        <f t="shared" si="34"/>
        <v>1.0441123637571021</v>
      </c>
      <c r="BI58" s="1268">
        <f>SUM(BI51*0.05)</f>
        <v>6007.360564295609</v>
      </c>
      <c r="BJ58" s="1269">
        <v>0</v>
      </c>
      <c r="BK58" s="1921">
        <v>0.05</v>
      </c>
      <c r="BL58" s="2875">
        <v>0</v>
      </c>
      <c r="BM58" s="2876">
        <f>AQ89</f>
        <v>0</v>
      </c>
      <c r="BN58" s="2877">
        <v>0</v>
      </c>
      <c r="BO58" s="2875">
        <v>0</v>
      </c>
      <c r="BP58" s="2876">
        <f>AT89</f>
        <v>0</v>
      </c>
      <c r="BQ58" s="2877">
        <v>0</v>
      </c>
      <c r="BR58" s="2875">
        <v>0</v>
      </c>
      <c r="BS58" s="2876">
        <f>AW89</f>
        <v>0</v>
      </c>
      <c r="BT58" s="2877">
        <v>0</v>
      </c>
      <c r="BU58" s="1263">
        <f t="shared" ref="BU58" si="245">SUM(BW58+BX58)</f>
        <v>6999.1317189795109</v>
      </c>
      <c r="BV58" s="2139">
        <f t="shared" si="35"/>
        <v>1.1650926632535485</v>
      </c>
      <c r="BW58" s="1268">
        <f>SUM(BW51*0.05)</f>
        <v>6980.8837146637543</v>
      </c>
      <c r="BX58" s="1269">
        <f>SUM(BX51*0.05)</f>
        <v>18.248004315756585</v>
      </c>
      <c r="BY58" s="1263">
        <f t="shared" ref="BY58" si="246">SUM(CA58+CB58)</f>
        <v>6213.1949999999997</v>
      </c>
      <c r="BZ58" s="2139">
        <f t="shared" si="93"/>
        <v>1.0342637059156654</v>
      </c>
      <c r="CA58" s="1268">
        <v>6213.1949999999997</v>
      </c>
      <c r="CB58" s="1269">
        <v>0</v>
      </c>
      <c r="CC58" s="1921"/>
      <c r="CD58" s="3948">
        <f>SUM(CE58:CF58)</f>
        <v>0</v>
      </c>
      <c r="CE58" s="3947">
        <v>0</v>
      </c>
      <c r="CF58" s="3947">
        <v>0</v>
      </c>
      <c r="CG58" s="3949">
        <f>SUM(CH58:CI58)</f>
        <v>0</v>
      </c>
      <c r="CH58" s="3947">
        <v>0</v>
      </c>
      <c r="CI58" s="3947">
        <v>0</v>
      </c>
      <c r="CJ58" s="3949">
        <f>SUM(CK58:CL58)</f>
        <v>0</v>
      </c>
      <c r="CK58" s="3947">
        <v>0</v>
      </c>
      <c r="CL58" s="3605">
        <v>0</v>
      </c>
      <c r="CM58" s="4098">
        <f t="shared" ref="CM58" si="247">SUM(CO58+CP58)</f>
        <v>6766.6556416243429</v>
      </c>
      <c r="CN58" s="4359">
        <f t="shared" si="28"/>
        <v>1.0890782667571746</v>
      </c>
      <c r="CO58" s="4043">
        <f>SUM(CO51*0.05)</f>
        <v>6748.2890902531581</v>
      </c>
      <c r="CP58" s="4044">
        <f>SUM(CP51*0.05)</f>
        <v>18.366551371184539</v>
      </c>
      <c r="CQ58" s="4098">
        <f t="shared" ref="CQ58" si="248">SUM(CS58+CT58)</f>
        <v>0</v>
      </c>
      <c r="CR58" s="4359">
        <f t="shared" si="36"/>
        <v>0</v>
      </c>
      <c r="CS58" s="4043">
        <f>SUM(CS51*0)</f>
        <v>0</v>
      </c>
      <c r="CT58" s="4044">
        <f>SUM(CT51*0)</f>
        <v>0</v>
      </c>
    </row>
    <row r="59" spans="1:98" ht="21" customHeight="1">
      <c r="A59" s="1285" t="s">
        <v>547</v>
      </c>
      <c r="B59" s="1341"/>
      <c r="C59" s="59"/>
      <c r="D59" s="59"/>
      <c r="E59" s="59"/>
      <c r="F59" s="133"/>
      <c r="G59" s="133"/>
      <c r="H59" s="133"/>
      <c r="I59" s="134"/>
      <c r="J59" s="1342"/>
      <c r="K59" s="1342"/>
      <c r="L59" s="1342"/>
      <c r="M59" s="160"/>
      <c r="N59" s="160"/>
      <c r="O59" s="134"/>
      <c r="P59" s="160"/>
      <c r="Q59" s="243"/>
      <c r="R59" s="160"/>
      <c r="S59" s="160"/>
      <c r="T59" s="134"/>
      <c r="U59" s="134"/>
      <c r="V59" s="134"/>
      <c r="W59" s="134"/>
      <c r="X59" s="1291"/>
      <c r="Y59" s="1295">
        <f>SUM(Y51+Y58)</f>
        <v>138793.20000000001</v>
      </c>
      <c r="Z59" s="1306"/>
      <c r="AA59" s="1263" t="e">
        <f>SUM(AA51+AA58)</f>
        <v>#REF!</v>
      </c>
      <c r="AB59" s="1307"/>
      <c r="AC59" s="1265" t="e">
        <f t="shared" ref="AC59:AH59" si="249">SUM(AC51+AC58)</f>
        <v>#REF!</v>
      </c>
      <c r="AD59" s="1266" t="e">
        <f t="shared" si="249"/>
        <v>#REF!</v>
      </c>
      <c r="AE59" s="1263">
        <f t="shared" si="249"/>
        <v>113320.02939110002</v>
      </c>
      <c r="AF59" s="1265">
        <f t="shared" si="249"/>
        <v>112515.45483007004</v>
      </c>
      <c r="AG59" s="1266">
        <f t="shared" si="249"/>
        <v>804.57456102995798</v>
      </c>
      <c r="AH59" s="1263">
        <f t="shared" si="249"/>
        <v>127650.00433</v>
      </c>
      <c r="AI59" s="1252" t="e">
        <f t="shared" si="23"/>
        <v>#REF!</v>
      </c>
      <c r="AJ59" s="1265">
        <f>SUM(AJ51+AJ58)</f>
        <v>126816.36433</v>
      </c>
      <c r="AK59" s="1266">
        <f>SUM(AK51+AK58)</f>
        <v>833.64</v>
      </c>
      <c r="AL59" s="1263">
        <f>SUM(AL51+AL58)</f>
        <v>119624.70836400884</v>
      </c>
      <c r="AM59" s="1252" t="e">
        <f t="shared" si="25"/>
        <v>#REF!</v>
      </c>
      <c r="AN59" s="1265">
        <f>SUM(AN51+AN58)</f>
        <v>118755.97643797162</v>
      </c>
      <c r="AO59" s="1266">
        <f>SUM(AO51+AO58)</f>
        <v>868.73192603721282</v>
      </c>
      <c r="AP59" s="1328"/>
      <c r="AQ59" s="1329"/>
      <c r="AR59" s="1329"/>
      <c r="AS59" s="1330"/>
      <c r="AT59" s="1263">
        <f t="shared" ref="AT59:BC59" si="250">SUM(AT51+AT58)</f>
        <v>56673.297081399993</v>
      </c>
      <c r="AU59" s="1265">
        <f t="shared" si="250"/>
        <v>56463.165167590261</v>
      </c>
      <c r="AV59" s="1266">
        <f t="shared" si="250"/>
        <v>210.13191380973541</v>
      </c>
      <c r="AW59" s="1263">
        <f t="shared" si="250"/>
        <v>86434.29</v>
      </c>
      <c r="AX59" s="1265">
        <f t="shared" si="250"/>
        <v>86140.291554596537</v>
      </c>
      <c r="AY59" s="2646">
        <f t="shared" si="250"/>
        <v>293.99844540346618</v>
      </c>
      <c r="AZ59" s="1263">
        <f t="shared" si="250"/>
        <v>116214.42000000001</v>
      </c>
      <c r="BA59" s="1265">
        <f t="shared" si="250"/>
        <v>115906.66084339835</v>
      </c>
      <c r="BB59" s="2646">
        <f t="shared" si="250"/>
        <v>307.75915660164389</v>
      </c>
      <c r="BC59" s="1263">
        <f t="shared" si="250"/>
        <v>141974.01619208642</v>
      </c>
      <c r="BD59" s="2140">
        <f t="shared" si="33"/>
        <v>1.1868285250909063</v>
      </c>
      <c r="BE59" s="1265">
        <f>SUM(BE51+BE58)</f>
        <v>141487.13440115421</v>
      </c>
      <c r="BF59" s="1266">
        <f>SUM(BF51+BF58)</f>
        <v>486.88179093217639</v>
      </c>
      <c r="BG59" s="1263">
        <f>SUM(BG51+BG58)</f>
        <v>126498.5553763936</v>
      </c>
      <c r="BH59" s="2140">
        <f t="shared" si="34"/>
        <v>1.0574617661049437</v>
      </c>
      <c r="BI59" s="1265">
        <f>SUM(BI51+BI58)</f>
        <v>126154.57185020778</v>
      </c>
      <c r="BJ59" s="1266">
        <f>SUM(BJ51+BJ58)</f>
        <v>343.9835261858193</v>
      </c>
      <c r="BK59" s="1914"/>
      <c r="BL59" s="2880">
        <f t="shared" ref="BL59:BU59" si="251">SUM(BL51+BL58)</f>
        <v>58948.359424089991</v>
      </c>
      <c r="BM59" s="2881">
        <f t="shared" si="251"/>
        <v>58923.740327763939</v>
      </c>
      <c r="BN59" s="2882">
        <f t="shared" si="251"/>
        <v>24.619096326047917</v>
      </c>
      <c r="BO59" s="2880">
        <f t="shared" si="251"/>
        <v>89325.18489619001</v>
      </c>
      <c r="BP59" s="2881">
        <f t="shared" si="251"/>
        <v>89291.215527233813</v>
      </c>
      <c r="BQ59" s="2882">
        <f t="shared" si="251"/>
        <v>33.969368956207575</v>
      </c>
      <c r="BR59" s="2880">
        <f t="shared" si="251"/>
        <v>120577.874</v>
      </c>
      <c r="BS59" s="2881">
        <f t="shared" si="251"/>
        <v>120535.93171852251</v>
      </c>
      <c r="BT59" s="2882">
        <f t="shared" si="251"/>
        <v>41.942281477499833</v>
      </c>
      <c r="BU59" s="1263">
        <f t="shared" si="251"/>
        <v>146981.76609856973</v>
      </c>
      <c r="BV59" s="2139">
        <f t="shared" si="35"/>
        <v>1.1619244635737442</v>
      </c>
      <c r="BW59" s="1265">
        <f>SUM(BW51+BW58)</f>
        <v>146598.55800793885</v>
      </c>
      <c r="BX59" s="1266">
        <f>SUM(BX51+BX58)</f>
        <v>383.20809063088825</v>
      </c>
      <c r="BY59" s="1263">
        <f>SUM(BY51+BY58)</f>
        <v>133077.45961703916</v>
      </c>
      <c r="BZ59" s="2139">
        <f t="shared" si="93"/>
        <v>1.0520077420731815</v>
      </c>
      <c r="CA59" s="1265">
        <f>SUM(CA51+CA58)</f>
        <v>132734.33847948737</v>
      </c>
      <c r="CB59" s="1266">
        <f>SUM(CB51+CB58)</f>
        <v>343.12628964042437</v>
      </c>
      <c r="CC59" s="1914"/>
      <c r="CD59" s="3948">
        <f t="shared" ref="CD59:CM59" si="252">SUM(CD51+CD58)</f>
        <v>65796.292000000001</v>
      </c>
      <c r="CE59" s="3949">
        <f t="shared" si="252"/>
        <v>65778.854641499653</v>
      </c>
      <c r="CF59" s="3949">
        <f t="shared" si="252"/>
        <v>17.437358500344963</v>
      </c>
      <c r="CG59" s="3949">
        <f t="shared" si="252"/>
        <v>101095.20400000001</v>
      </c>
      <c r="CH59" s="3949">
        <f t="shared" si="252"/>
        <v>101071.75809065199</v>
      </c>
      <c r="CI59" s="3949">
        <f t="shared" si="252"/>
        <v>23.445909348019782</v>
      </c>
      <c r="CJ59" s="3949">
        <f t="shared" si="252"/>
        <v>134881.29909601744</v>
      </c>
      <c r="CK59" s="3949">
        <f t="shared" si="252"/>
        <v>134849.7924975577</v>
      </c>
      <c r="CL59" s="3950">
        <f t="shared" si="252"/>
        <v>31.506598459729588</v>
      </c>
      <c r="CM59" s="4098">
        <f t="shared" si="252"/>
        <v>142099.76847411122</v>
      </c>
      <c r="CN59" s="4359">
        <f t="shared" si="28"/>
        <v>1.0677974232678908</v>
      </c>
      <c r="CO59" s="4045">
        <f>SUM(CO51+CO58)</f>
        <v>141714.07089531631</v>
      </c>
      <c r="CP59" s="4046">
        <f>SUM(CP51+CP58)</f>
        <v>385.69757879487526</v>
      </c>
      <c r="CQ59" s="4098">
        <f>SUM(CQ55+CQ58)</f>
        <v>138437.75586704884</v>
      </c>
      <c r="CR59" s="4359">
        <f t="shared" si="36"/>
        <v>1.0402795204043958</v>
      </c>
      <c r="CS59" s="4045">
        <f>SUM(CS55+CS58)</f>
        <v>137819.94398492674</v>
      </c>
      <c r="CT59" s="4046">
        <f>SUM(CT55+CT58)</f>
        <v>617.81188212212237</v>
      </c>
    </row>
    <row r="60" spans="1:98" ht="21" customHeight="1">
      <c r="A60" s="1286" t="s">
        <v>70</v>
      </c>
      <c r="B60" s="1341"/>
      <c r="C60" s="59"/>
      <c r="D60" s="59"/>
      <c r="E60" s="59"/>
      <c r="F60" s="133"/>
      <c r="G60" s="133"/>
      <c r="H60" s="133"/>
      <c r="I60" s="134" t="e">
        <f>(#REF!+I58)/#REF!</f>
        <v>#REF!</v>
      </c>
      <c r="J60" s="1342"/>
      <c r="K60" s="1342"/>
      <c r="L60" s="1342"/>
      <c r="M60" s="160" t="e">
        <f>L60/I60*100</f>
        <v>#REF!</v>
      </c>
      <c r="N60" s="160"/>
      <c r="O60" s="134">
        <f>(O51+O58)/O56</f>
        <v>32.084302926967361</v>
      </c>
      <c r="P60" s="160" t="e">
        <f t="shared" si="19"/>
        <v>#REF!</v>
      </c>
      <c r="Q60" s="243" t="e">
        <f>(Q51+Q58)/Q56</f>
        <v>#REF!</v>
      </c>
      <c r="R60" s="160" t="e">
        <f t="shared" si="29"/>
        <v>#REF!</v>
      </c>
      <c r="S60" s="160"/>
      <c r="T60" s="134" t="e">
        <f>T57</f>
        <v>#REF!</v>
      </c>
      <c r="U60" s="134" t="e">
        <f>(U51+U58)/U56</f>
        <v>#REF!</v>
      </c>
      <c r="V60" s="134" t="e">
        <f>(V51+V58)/V56</f>
        <v>#REF!</v>
      </c>
      <c r="W60" s="134">
        <f>(W51+W58)/W56</f>
        <v>17.250598336061639</v>
      </c>
      <c r="X60" s="1291">
        <f>(X51+X58)/X56</f>
        <v>5.59875952371838</v>
      </c>
      <c r="Y60" s="1298">
        <f>(Y51+Y58)/Y56</f>
        <v>34.698300000000003</v>
      </c>
      <c r="Z60" s="1306" t="e">
        <f t="shared" si="20"/>
        <v>#REF!</v>
      </c>
      <c r="AA60" s="1270" t="e">
        <f>(AA51+AA58)/AA56</f>
        <v>#REF!</v>
      </c>
      <c r="AB60" s="1307" t="e">
        <f t="shared" si="223"/>
        <v>#REF!</v>
      </c>
      <c r="AC60" s="1268" t="e">
        <f>AC57</f>
        <v>#REF!</v>
      </c>
      <c r="AD60" s="1269" t="e">
        <f>(AD51+AD58)/AD56</f>
        <v>#REF!</v>
      </c>
      <c r="AE60" s="1270">
        <f>(AE51+AE58)/AE56</f>
        <v>28.056456893067594</v>
      </c>
      <c r="AF60" s="1268">
        <f>AF57</f>
        <v>28.205017254103591</v>
      </c>
      <c r="AG60" s="1269">
        <f>(AG51+AG58)/AG56</f>
        <v>16.156115683332491</v>
      </c>
      <c r="AH60" s="1270">
        <f>(AH51+AH58)/AH56</f>
        <v>31.499853008093968</v>
      </c>
      <c r="AI60" s="1252" t="e">
        <f t="shared" si="23"/>
        <v>#REF!</v>
      </c>
      <c r="AJ60" s="1268">
        <f>(AJ51+AJ58)/AJ56</f>
        <v>31.654472696548162</v>
      </c>
      <c r="AK60" s="1269">
        <f>(AK51+AK58)/AK56</f>
        <v>18.071536960763058</v>
      </c>
      <c r="AL60" s="1270">
        <f>(AL51+AL58)/AL56</f>
        <v>29.519472007701317</v>
      </c>
      <c r="AM60" s="1252" t="e">
        <f t="shared" si="25"/>
        <v>#REF!</v>
      </c>
      <c r="AN60" s="1268">
        <f>(AN51+AN58)/AN56</f>
        <v>29.642529444588508</v>
      </c>
      <c r="AO60" s="1269">
        <f>(AO51+AO58)/AO56</f>
        <v>18.832255062588615</v>
      </c>
      <c r="AP60" s="1328" t="e">
        <f t="shared" si="26"/>
        <v>#REF!</v>
      </c>
      <c r="AQ60" s="1329" t="e">
        <f>AP60</f>
        <v>#REF!</v>
      </c>
      <c r="AR60" s="1329" t="e">
        <f t="shared" si="27"/>
        <v>#REF!</v>
      </c>
      <c r="AS60" s="1330" t="e">
        <f t="shared" si="172"/>
        <v>#REF!</v>
      </c>
      <c r="AT60" s="1270">
        <f>(AT51+AT58)/AT56</f>
        <v>28.472176098930909</v>
      </c>
      <c r="AU60" s="1268">
        <f>AU57</f>
        <v>28.563201351485883</v>
      </c>
      <c r="AV60" s="1269">
        <f>(AV51+AV58)/AV56</f>
        <v>15.338095898520834</v>
      </c>
      <c r="AW60" s="1270">
        <f>(AW51+AW58)/AW56</f>
        <v>30.2772527287758</v>
      </c>
      <c r="AX60" s="1268">
        <f>AX57</f>
        <v>30.361021977511822</v>
      </c>
      <c r="AY60" s="2645">
        <f>(AY51+AY58)/AY56</f>
        <v>16.742508280379624</v>
      </c>
      <c r="AZ60" s="1270">
        <f>(AZ51+AZ58)/AZ56</f>
        <v>30.741139873347407</v>
      </c>
      <c r="BA60" s="1268">
        <f>BA57</f>
        <v>30.808213503641046</v>
      </c>
      <c r="BB60" s="2645">
        <f>(BB51+BB58)/BB56</f>
        <v>16.891281921056198</v>
      </c>
      <c r="BC60" s="1270">
        <f>(BC51+BC58)/BC56</f>
        <v>35.399368277928524</v>
      </c>
      <c r="BD60" s="2140">
        <f t="shared" si="33"/>
        <v>1.1991870406317973</v>
      </c>
      <c r="BE60" s="1268">
        <f>(BE51+BE58)/BE56</f>
        <v>35.467394829901259</v>
      </c>
      <c r="BF60" s="1269">
        <f>(BF51+BF58)/BF56</f>
        <v>22.730242340437737</v>
      </c>
      <c r="BG60" s="1270">
        <f>(BG51+BG58)/BG56</f>
        <v>31.540764067252557</v>
      </c>
      <c r="BH60" s="2140">
        <f t="shared" si="34"/>
        <v>1.068473177942475</v>
      </c>
      <c r="BI60" s="1268">
        <f>(BI51+BI58)/BI56</f>
        <v>31.623893072301602</v>
      </c>
      <c r="BJ60" s="1269">
        <f>(BJ51+BJ58)/BJ56</f>
        <v>16.058988150598474</v>
      </c>
      <c r="BK60" s="1914"/>
      <c r="BL60" s="2875">
        <f>(BL51+BL58)/BL56</f>
        <v>32.343714019889603</v>
      </c>
      <c r="BM60" s="2876">
        <f>BM57</f>
        <v>32.356303273184707</v>
      </c>
      <c r="BN60" s="2877">
        <f>(BN51+BN58)/BN56</f>
        <v>16.747684575542802</v>
      </c>
      <c r="BO60" s="2875">
        <f>(BO51+BO58)/BO56</f>
        <v>33.440972508335427</v>
      </c>
      <c r="BP60" s="2876">
        <f>BP57</f>
        <v>33.452676674946538</v>
      </c>
      <c r="BQ60" s="2877">
        <f>(BQ51+BQ58)/BQ56</f>
        <v>17.420189208311577</v>
      </c>
      <c r="BR60" s="2875">
        <f>(BR51+BR58)/BR56</f>
        <v>33.787239754086876</v>
      </c>
      <c r="BS60" s="2876">
        <f>BS57</f>
        <v>33.798216580169729</v>
      </c>
      <c r="BT60" s="2877">
        <f>(BT51+BT58)/BT56</f>
        <v>17.475950615624932</v>
      </c>
      <c r="BU60" s="1270">
        <f>(BU51+BU58)/BU56</f>
        <v>38.791703905666331</v>
      </c>
      <c r="BV60" s="2139">
        <f t="shared" si="35"/>
        <v>1.2298910648756958</v>
      </c>
      <c r="BW60" s="1268">
        <f>(BW51+BW58)/BW56</f>
        <v>38.875247416584152</v>
      </c>
      <c r="BX60" s="1269">
        <f>(BX51+BX58)/BX56</f>
        <v>21.28933836838268</v>
      </c>
      <c r="BY60" s="1270">
        <f>(BY51+BY58)/BY56</f>
        <v>35.100292697147943</v>
      </c>
      <c r="BZ60" s="2139">
        <f t="shared" si="93"/>
        <v>1.1128548637029085</v>
      </c>
      <c r="CA60" s="1268">
        <f>(CA51+CA58)/CA56</f>
        <v>35.198710813971722</v>
      </c>
      <c r="CB60" s="1269">
        <f>(CB51+CB58)/CB56</f>
        <v>16.862071337187299</v>
      </c>
      <c r="CC60" s="1914"/>
      <c r="CD60" s="3946">
        <f t="shared" ref="CD60:CM60" si="253">(CD51+CD58)/CD56</f>
        <v>35.524086472011064</v>
      </c>
      <c r="CE60" s="3947">
        <f t="shared" si="253"/>
        <v>35.535392658069696</v>
      </c>
      <c r="CF60" s="3947">
        <f t="shared" si="253"/>
        <v>16.145702315134223</v>
      </c>
      <c r="CG60" s="3947">
        <f t="shared" si="253"/>
        <v>37.326816768695679</v>
      </c>
      <c r="CH60" s="3947">
        <f t="shared" si="253"/>
        <v>37.337322299178048</v>
      </c>
      <c r="CI60" s="3947">
        <f t="shared" si="253"/>
        <v>16.867560682028621</v>
      </c>
      <c r="CJ60" s="3947">
        <f t="shared" si="253"/>
        <v>37.447783526803569</v>
      </c>
      <c r="CK60" s="3947">
        <f t="shared" si="253"/>
        <v>37.458275693766026</v>
      </c>
      <c r="CL60" s="3605">
        <f t="shared" si="253"/>
        <v>17.030593762015993</v>
      </c>
      <c r="CM60" s="4095">
        <f t="shared" si="253"/>
        <v>38.19886249304065</v>
      </c>
      <c r="CN60" s="4359">
        <f t="shared" si="28"/>
        <v>1.0882776056207781</v>
      </c>
      <c r="CO60" s="4043">
        <f>(CO51+CO58)/CO56</f>
        <v>38.30110024197738</v>
      </c>
      <c r="CP60" s="4044">
        <f>(CP51+CP58)/CP56</f>
        <v>19.284878939743763</v>
      </c>
      <c r="CQ60" s="4095">
        <f>(CQ55+CQ58)/CQ56</f>
        <v>38.22747868710308</v>
      </c>
      <c r="CR60" s="4359">
        <f t="shared" si="36"/>
        <v>1.0890928750064024</v>
      </c>
      <c r="CS60" s="4043">
        <f>(CS55+CS58)/CS56</f>
        <v>38.28331777359076</v>
      </c>
      <c r="CT60" s="4044">
        <f>(CT55+CT58)/CT56</f>
        <v>28.842758269006644</v>
      </c>
    </row>
    <row r="61" spans="1:98" ht="21" customHeight="1">
      <c r="A61" s="1286" t="s">
        <v>326</v>
      </c>
      <c r="B61" s="1341"/>
      <c r="C61" s="59"/>
      <c r="D61" s="59"/>
      <c r="E61" s="59"/>
      <c r="F61" s="133"/>
      <c r="G61" s="133"/>
      <c r="H61" s="133"/>
      <c r="I61" s="134"/>
      <c r="J61" s="1342"/>
      <c r="K61" s="1342"/>
      <c r="L61" s="1342"/>
      <c r="M61" s="160"/>
      <c r="N61" s="160"/>
      <c r="O61" s="134"/>
      <c r="P61" s="160"/>
      <c r="Q61" s="243"/>
      <c r="R61" s="160"/>
      <c r="S61" s="160"/>
      <c r="T61" s="134"/>
      <c r="U61" s="134"/>
      <c r="V61" s="134"/>
      <c r="W61" s="134"/>
      <c r="X61" s="1291"/>
      <c r="Y61" s="1298">
        <v>4665</v>
      </c>
      <c r="Z61" s="1306"/>
      <c r="AA61" s="1270">
        <f>AC61+AD61</f>
        <v>4665</v>
      </c>
      <c r="AB61" s="1307"/>
      <c r="AC61" s="1268">
        <f>4665</f>
        <v>4665</v>
      </c>
      <c r="AD61" s="1269">
        <v>0</v>
      </c>
      <c r="AE61" s="1270">
        <f>AF61</f>
        <v>824.7</v>
      </c>
      <c r="AF61" s="1268">
        <f>'кап влож'!N16</f>
        <v>824.7</v>
      </c>
      <c r="AG61" s="1269">
        <v>0</v>
      </c>
      <c r="AH61" s="1263">
        <f t="shared" si="22"/>
        <v>4274</v>
      </c>
      <c r="AI61" s="1252">
        <f t="shared" si="23"/>
        <v>0.91618435155412647</v>
      </c>
      <c r="AJ61" s="1268">
        <v>4274</v>
      </c>
      <c r="AK61" s="1269">
        <v>0</v>
      </c>
      <c r="AL61" s="1263">
        <f t="shared" si="24"/>
        <v>4444</v>
      </c>
      <c r="AM61" s="1252">
        <f t="shared" si="25"/>
        <v>0.95262593783494109</v>
      </c>
      <c r="AN61" s="1268">
        <v>4444</v>
      </c>
      <c r="AO61" s="1269">
        <v>0</v>
      </c>
      <c r="AP61" s="1328">
        <f t="shared" si="26"/>
        <v>0</v>
      </c>
      <c r="AQ61" s="1329">
        <f>AP61*AC61/AA61</f>
        <v>0</v>
      </c>
      <c r="AR61" s="1329">
        <f t="shared" si="27"/>
        <v>0</v>
      </c>
      <c r="AS61" s="1330">
        <f t="shared" si="172"/>
        <v>0</v>
      </c>
      <c r="AT61" s="1270">
        <v>0</v>
      </c>
      <c r="AU61" s="1268">
        <v>0</v>
      </c>
      <c r="AV61" s="1269">
        <v>0</v>
      </c>
      <c r="AW61" s="1270">
        <f>AY61+BN61</f>
        <v>0</v>
      </c>
      <c r="AX61" s="1268">
        <v>0</v>
      </c>
      <c r="AY61" s="2645">
        <v>0</v>
      </c>
      <c r="AZ61" s="1270">
        <f>BB61+BQ61</f>
        <v>0</v>
      </c>
      <c r="BA61" s="1268">
        <v>0</v>
      </c>
      <c r="BB61" s="2645">
        <v>0</v>
      </c>
      <c r="BC61" s="1263">
        <f t="shared" ref="BC61" si="254">SUM(BE61+BF61)</f>
        <v>3976</v>
      </c>
      <c r="BD61" s="2140">
        <f t="shared" si="33"/>
        <v>0.89468946894689472</v>
      </c>
      <c r="BE61" s="1268">
        <v>3976</v>
      </c>
      <c r="BF61" s="1269">
        <v>0</v>
      </c>
      <c r="BG61" s="1263">
        <f t="shared" ref="BG61" si="255">SUM(BI61+BJ61)</f>
        <v>3976</v>
      </c>
      <c r="BH61" s="2140">
        <f t="shared" si="34"/>
        <v>0.89468946894689472</v>
      </c>
      <c r="BI61" s="1268">
        <f>BE61</f>
        <v>3976</v>
      </c>
      <c r="BJ61" s="1269">
        <v>0</v>
      </c>
      <c r="BK61" s="1920" t="s">
        <v>981</v>
      </c>
      <c r="BL61" s="2875">
        <v>0</v>
      </c>
      <c r="BM61" s="2876">
        <v>0</v>
      </c>
      <c r="BN61" s="2877">
        <v>0</v>
      </c>
      <c r="BO61" s="2875">
        <v>0</v>
      </c>
      <c r="BP61" s="2876">
        <v>0</v>
      </c>
      <c r="BQ61" s="2877">
        <v>0</v>
      </c>
      <c r="BR61" s="2875">
        <v>0</v>
      </c>
      <c r="BS61" s="2876">
        <v>0</v>
      </c>
      <c r="BT61" s="2877">
        <v>0</v>
      </c>
      <c r="BU61" s="1263">
        <f t="shared" ref="BU61" si="256">SUM(BW61+BX61)</f>
        <v>0</v>
      </c>
      <c r="BV61" s="2139">
        <f t="shared" si="35"/>
        <v>0</v>
      </c>
      <c r="BW61" s="1268">
        <v>0</v>
      </c>
      <c r="BX61" s="1269">
        <v>0</v>
      </c>
      <c r="BY61" s="1263">
        <f t="shared" ref="BY61" si="257">SUM(CA61+CB61)</f>
        <v>-1205.4349999999999</v>
      </c>
      <c r="BZ61" s="2139">
        <f t="shared" si="93"/>
        <v>-0.30317781690140844</v>
      </c>
      <c r="CA61" s="1268">
        <v>-1205.4349999999999</v>
      </c>
      <c r="CB61" s="1269">
        <v>0</v>
      </c>
      <c r="CC61" s="1920"/>
      <c r="CD61" s="3948">
        <f t="shared" ref="CD61" si="258">SUM(CF61+CG61)</f>
        <v>0</v>
      </c>
      <c r="CE61" s="3947">
        <v>0</v>
      </c>
      <c r="CF61" s="3947">
        <v>0</v>
      </c>
      <c r="CG61" s="3949">
        <f t="shared" ref="CG61" si="259">SUM(CI61+CJ61)</f>
        <v>0</v>
      </c>
      <c r="CH61" s="3947">
        <v>0</v>
      </c>
      <c r="CI61" s="3947">
        <v>0</v>
      </c>
      <c r="CJ61" s="3949">
        <f t="shared" ref="CJ61" si="260">SUM(CL61+CM61)</f>
        <v>0</v>
      </c>
      <c r="CK61" s="3947">
        <v>0</v>
      </c>
      <c r="CL61" s="3605">
        <v>0</v>
      </c>
      <c r="CM61" s="4098">
        <f t="shared" ref="CM61" si="261">SUM(CO61+CP61)</f>
        <v>0</v>
      </c>
      <c r="CN61" s="4359">
        <f t="shared" si="28"/>
        <v>0</v>
      </c>
      <c r="CO61" s="4043">
        <v>0</v>
      </c>
      <c r="CP61" s="4044">
        <v>0</v>
      </c>
      <c r="CQ61" s="4098">
        <f t="shared" ref="CQ61" si="262">SUM(CS61+CT61)</f>
        <v>-6624.9</v>
      </c>
      <c r="CR61" s="4359">
        <f t="shared" si="36"/>
        <v>5.4958583415945279</v>
      </c>
      <c r="CS61" s="4043">
        <v>-6624.9</v>
      </c>
      <c r="CT61" s="4044">
        <v>0</v>
      </c>
    </row>
    <row r="62" spans="1:98" ht="21" customHeight="1">
      <c r="A62" s="1285" t="s">
        <v>548</v>
      </c>
      <c r="B62" s="1341"/>
      <c r="C62" s="59"/>
      <c r="D62" s="59"/>
      <c r="E62" s="59"/>
      <c r="F62" s="133"/>
      <c r="G62" s="133"/>
      <c r="H62" s="133"/>
      <c r="I62" s="134"/>
      <c r="J62" s="1342"/>
      <c r="K62" s="1342"/>
      <c r="L62" s="1342"/>
      <c r="M62" s="160"/>
      <c r="N62" s="160"/>
      <c r="O62" s="134"/>
      <c r="P62" s="160"/>
      <c r="Q62" s="243"/>
      <c r="R62" s="160"/>
      <c r="S62" s="160"/>
      <c r="T62" s="134"/>
      <c r="U62" s="134"/>
      <c r="V62" s="134"/>
      <c r="W62" s="134"/>
      <c r="X62" s="1291"/>
      <c r="Y62" s="1298">
        <f>Y51+Y58+Y61</f>
        <v>143458.20000000001</v>
      </c>
      <c r="Z62" s="1306"/>
      <c r="AA62" s="1270" t="e">
        <f>AC62+AD62</f>
        <v>#REF!</v>
      </c>
      <c r="AB62" s="1307"/>
      <c r="AC62" s="1268" t="e">
        <f>AC51+AC58+AC61+0.02</f>
        <v>#REF!</v>
      </c>
      <c r="AD62" s="1269" t="e">
        <f>AD51+AD58+AD61</f>
        <v>#REF!</v>
      </c>
      <c r="AE62" s="1270">
        <f>SUM(AF62:AG62)</f>
        <v>114144.7293911</v>
      </c>
      <c r="AF62" s="1268">
        <f>AF51+AF58+AF61</f>
        <v>113340.15483007004</v>
      </c>
      <c r="AG62" s="1269">
        <f>AG51+AG58+AG61</f>
        <v>804.57456102995798</v>
      </c>
      <c r="AH62" s="1270">
        <f>AH51+AH58+AH61</f>
        <v>131924.00433</v>
      </c>
      <c r="AI62" s="1252" t="e">
        <f t="shared" si="23"/>
        <v>#REF!</v>
      </c>
      <c r="AJ62" s="1268">
        <f>AJ51+AJ58+AJ61</f>
        <v>131090.36433000001</v>
      </c>
      <c r="AK62" s="1269">
        <f>AK51+AK58+AK61</f>
        <v>833.64</v>
      </c>
      <c r="AL62" s="1270">
        <f>AL51+AL58+AL61</f>
        <v>124068.70836400884</v>
      </c>
      <c r="AM62" s="1252" t="e">
        <f t="shared" si="25"/>
        <v>#REF!</v>
      </c>
      <c r="AN62" s="1268">
        <f>AN51+AN58+AN61</f>
        <v>123199.97643797162</v>
      </c>
      <c r="AO62" s="1269">
        <f>AO51+AO58+AO61</f>
        <v>868.73192603721282</v>
      </c>
      <c r="AP62" s="1328" t="e">
        <f t="shared" si="26"/>
        <v>#REF!</v>
      </c>
      <c r="AQ62" s="1329" t="e">
        <f>AP62-AR62</f>
        <v>#REF!</v>
      </c>
      <c r="AR62" s="1329" t="e">
        <f>AR51</f>
        <v>#REF!</v>
      </c>
      <c r="AS62" s="1330" t="e">
        <f t="shared" si="172"/>
        <v>#REF!</v>
      </c>
      <c r="AT62" s="1270">
        <f>AU62+AV62</f>
        <v>56673.2970814</v>
      </c>
      <c r="AU62" s="1268">
        <f>AU51+AU58+AU61</f>
        <v>56463.165167590261</v>
      </c>
      <c r="AV62" s="1269">
        <f>AV51+AV58+AV61</f>
        <v>210.13191380973541</v>
      </c>
      <c r="AW62" s="1270">
        <f>AX62+AY62</f>
        <v>86434.310000000012</v>
      </c>
      <c r="AX62" s="1268">
        <f>AX51+AX58+AX61+0.02</f>
        <v>86140.311554596541</v>
      </c>
      <c r="AY62" s="2645">
        <f>AY51+AY58+AY61</f>
        <v>293.99844540346618</v>
      </c>
      <c r="AZ62" s="1270">
        <f>BA62+BB62</f>
        <v>116214.42</v>
      </c>
      <c r="BA62" s="1268">
        <f>BA51+BA58+BA61</f>
        <v>115906.66084339835</v>
      </c>
      <c r="BB62" s="2645">
        <f>BB51+BB58+BB61</f>
        <v>307.75915660164389</v>
      </c>
      <c r="BC62" s="1270">
        <f>BC51+BC58+BC61</f>
        <v>145950.01619208642</v>
      </c>
      <c r="BD62" s="2140">
        <f t="shared" si="33"/>
        <v>1.1763644364208208</v>
      </c>
      <c r="BE62" s="1268">
        <f>BE51+BE58+BE61</f>
        <v>145463.13440115421</v>
      </c>
      <c r="BF62" s="1269">
        <f>BF51+BF58+BF61</f>
        <v>486.88179093217639</v>
      </c>
      <c r="BG62" s="1270">
        <f>BG51+BG58+BG61</f>
        <v>130474.5553763936</v>
      </c>
      <c r="BH62" s="2140">
        <f t="shared" si="34"/>
        <v>1.0516314475813713</v>
      </c>
      <c r="BI62" s="1268">
        <f>BI51+BI58+BI61</f>
        <v>130130.57185020778</v>
      </c>
      <c r="BJ62" s="1269">
        <f>BJ51+BJ58+BJ61</f>
        <v>343.9835261858193</v>
      </c>
      <c r="BK62" s="1914"/>
      <c r="BL62" s="2875">
        <f>BM62+BN62</f>
        <v>58948.359424089984</v>
      </c>
      <c r="BM62" s="2876">
        <f>BM51+BM58+BM61</f>
        <v>58923.740327763939</v>
      </c>
      <c r="BN62" s="2877">
        <f>BN51+BN58+BN61</f>
        <v>24.619096326047917</v>
      </c>
      <c r="BO62" s="2875">
        <f>BP62+BQ62</f>
        <v>89325.184896190025</v>
      </c>
      <c r="BP62" s="2876">
        <f>BP51+BP58+BP61</f>
        <v>89291.215527233813</v>
      </c>
      <c r="BQ62" s="2877">
        <f>BQ51+BQ58+BQ61</f>
        <v>33.969368956207575</v>
      </c>
      <c r="BR62" s="2875">
        <f>BS62+BT62</f>
        <v>120577.87400000001</v>
      </c>
      <c r="BS62" s="2876">
        <f>BS51+BS58+BS61</f>
        <v>120535.93171852251</v>
      </c>
      <c r="BT62" s="2877">
        <f>BT51+BT58+BT61</f>
        <v>41.942281477499833</v>
      </c>
      <c r="BU62" s="1270">
        <f>BU51+BU58+BU61</f>
        <v>146981.76609856973</v>
      </c>
      <c r="BV62" s="2139">
        <f t="shared" si="35"/>
        <v>1.1265167041539712</v>
      </c>
      <c r="BW62" s="1268">
        <f>BW51+BW58+BW61</f>
        <v>146598.55800793885</v>
      </c>
      <c r="BX62" s="1269">
        <f>BX51+BX58+BX61</f>
        <v>383.20809063088825</v>
      </c>
      <c r="BY62" s="1270">
        <f>BY51+BY58+BY61</f>
        <v>131872.02461703916</v>
      </c>
      <c r="BZ62" s="2139">
        <f t="shared" si="93"/>
        <v>1.0107106649002491</v>
      </c>
      <c r="CA62" s="1268">
        <f>CA51+CA58+CA61</f>
        <v>131528.90347948737</v>
      </c>
      <c r="CB62" s="1269">
        <f>CB51+CB58+CB61</f>
        <v>343.12628964042437</v>
      </c>
      <c r="CC62" s="1914"/>
      <c r="CD62" s="3946">
        <f t="shared" ref="CD62:CM62" si="263">CD51+CD58+CD61</f>
        <v>65796.292000000001</v>
      </c>
      <c r="CE62" s="3947">
        <f t="shared" si="263"/>
        <v>65778.854641499653</v>
      </c>
      <c r="CF62" s="3947">
        <f t="shared" si="263"/>
        <v>17.437358500344963</v>
      </c>
      <c r="CG62" s="3947">
        <f t="shared" si="263"/>
        <v>101095.20400000001</v>
      </c>
      <c r="CH62" s="3947">
        <f t="shared" si="263"/>
        <v>101071.75809065199</v>
      </c>
      <c r="CI62" s="3947">
        <f t="shared" si="263"/>
        <v>23.445909348019782</v>
      </c>
      <c r="CJ62" s="3947">
        <f t="shared" si="263"/>
        <v>134881.29909601744</v>
      </c>
      <c r="CK62" s="3947">
        <f t="shared" si="263"/>
        <v>134849.7924975577</v>
      </c>
      <c r="CL62" s="3605">
        <f t="shared" si="263"/>
        <v>31.506598459729588</v>
      </c>
      <c r="CM62" s="4095">
        <f t="shared" si="263"/>
        <v>142099.76847411122</v>
      </c>
      <c r="CN62" s="4359">
        <f t="shared" si="28"/>
        <v>1.0775581014000033</v>
      </c>
      <c r="CO62" s="4043">
        <f>CO51+CO58+CO61</f>
        <v>141714.07089531631</v>
      </c>
      <c r="CP62" s="4044">
        <f>CP51+CP58+CP61</f>
        <v>385.69757879487526</v>
      </c>
      <c r="CQ62" s="4095">
        <f>CQ55+CQ58+CQ61</f>
        <v>131812.85586704884</v>
      </c>
      <c r="CR62" s="4359">
        <f t="shared" si="36"/>
        <v>0.99955131689103771</v>
      </c>
      <c r="CS62" s="4043">
        <f>CS55+CS58+CS61</f>
        <v>131195.04398492674</v>
      </c>
      <c r="CT62" s="4044">
        <f>CT55+CT58+CT61</f>
        <v>617.81188212212237</v>
      </c>
    </row>
    <row r="63" spans="1:98" ht="21" customHeight="1" thickBot="1">
      <c r="A63" s="1287" t="s">
        <v>327</v>
      </c>
      <c r="B63" s="1343"/>
      <c r="C63" s="1344"/>
      <c r="D63" s="1344"/>
      <c r="E63" s="1344"/>
      <c r="F63" s="396"/>
      <c r="G63" s="396"/>
      <c r="H63" s="396"/>
      <c r="I63" s="267"/>
      <c r="J63" s="1345"/>
      <c r="K63" s="1345"/>
      <c r="L63" s="1345"/>
      <c r="M63" s="397"/>
      <c r="N63" s="397"/>
      <c r="O63" s="267"/>
      <c r="P63" s="397"/>
      <c r="Q63" s="398"/>
      <c r="R63" s="397"/>
      <c r="S63" s="397"/>
      <c r="T63" s="267"/>
      <c r="U63" s="267"/>
      <c r="V63" s="267"/>
      <c r="W63" s="267"/>
      <c r="X63" s="1294"/>
      <c r="Y63" s="1299">
        <f>Y62/Y56</f>
        <v>35.864550000000001</v>
      </c>
      <c r="Z63" s="1323"/>
      <c r="AA63" s="399" t="e">
        <f>AA62/AA56</f>
        <v>#REF!</v>
      </c>
      <c r="AB63" s="1324"/>
      <c r="AC63" s="1271" t="e">
        <f>AC62/AC56+0.02</f>
        <v>#REF!</v>
      </c>
      <c r="AD63" s="1272" t="e">
        <f>AD62/AD56</f>
        <v>#REF!</v>
      </c>
      <c r="AE63" s="399">
        <f>AE62/AE56</f>
        <v>28.260641097078484</v>
      </c>
      <c r="AF63" s="1271">
        <f>AF62/AF56+0.02</f>
        <v>28.431750433688467</v>
      </c>
      <c r="AG63" s="1272">
        <f>AG62/AG56</f>
        <v>16.156115683332491</v>
      </c>
      <c r="AH63" s="399">
        <f>AH62/AH56</f>
        <v>32.554536652354159</v>
      </c>
      <c r="AI63" s="1325" t="e">
        <f t="shared" si="23"/>
        <v>#REF!</v>
      </c>
      <c r="AJ63" s="1271">
        <f>AJ62/AJ56</f>
        <v>32.721300444053945</v>
      </c>
      <c r="AK63" s="1272">
        <f>AK62/AK56</f>
        <v>18.071536960763058</v>
      </c>
      <c r="AL63" s="399">
        <f>AL62/AL56</f>
        <v>30.616106101078081</v>
      </c>
      <c r="AM63" s="1325" t="e">
        <f t="shared" si="25"/>
        <v>#REF!</v>
      </c>
      <c r="AN63" s="1271">
        <f>AN62/AN56</f>
        <v>30.751790677605754</v>
      </c>
      <c r="AO63" s="1272">
        <f>AO62/AO56</f>
        <v>18.832255062588615</v>
      </c>
      <c r="AP63" s="1337" t="e">
        <f t="shared" si="26"/>
        <v>#REF!</v>
      </c>
      <c r="AQ63" s="1338" t="e">
        <f>AP63</f>
        <v>#REF!</v>
      </c>
      <c r="AR63" s="1338" t="e">
        <f t="shared" si="27"/>
        <v>#REF!</v>
      </c>
      <c r="AS63" s="1339" t="e">
        <f t="shared" si="172"/>
        <v>#REF!</v>
      </c>
      <c r="AT63" s="399">
        <f>AT62/AT56</f>
        <v>28.472176098930913</v>
      </c>
      <c r="AU63" s="1271">
        <f>AU62/AU56+0.02</f>
        <v>28.583201351485883</v>
      </c>
      <c r="AV63" s="1272">
        <f>AV62/AV56</f>
        <v>15.338095898520834</v>
      </c>
      <c r="AW63" s="399">
        <f>AW62/AW56</f>
        <v>30.277259734618678</v>
      </c>
      <c r="AX63" s="1271">
        <f>AX62/AX56+0.02</f>
        <v>30.381029026715265</v>
      </c>
      <c r="AY63" s="2647">
        <f>AY62/AY56</f>
        <v>16.742508280379624</v>
      </c>
      <c r="AZ63" s="399">
        <f>AZ62/AZ56</f>
        <v>30.741139873347404</v>
      </c>
      <c r="BA63" s="1271">
        <f>BA62/BA56+0.02</f>
        <v>30.828213503641045</v>
      </c>
      <c r="BB63" s="2647">
        <f>BB62/BB56</f>
        <v>16.891281921056198</v>
      </c>
      <c r="BC63" s="399">
        <f>BC62/BC56</f>
        <v>36.390731993966654</v>
      </c>
      <c r="BD63" s="2142">
        <f t="shared" si="33"/>
        <v>1.1886139887882488</v>
      </c>
      <c r="BE63" s="1271">
        <f>BE62/BE56</f>
        <v>36.464081648392209</v>
      </c>
      <c r="BF63" s="1272">
        <f>BF62/BF56</f>
        <v>22.730242340437737</v>
      </c>
      <c r="BG63" s="399">
        <f>BG62/BG56</f>
        <v>32.532127783290683</v>
      </c>
      <c r="BH63" s="2142">
        <f t="shared" si="34"/>
        <v>1.0625821479677042</v>
      </c>
      <c r="BI63" s="1271">
        <f>BI62/BI56</f>
        <v>32.620579890792548</v>
      </c>
      <c r="BJ63" s="1272">
        <f>BJ62/BJ56</f>
        <v>16.058988150598474</v>
      </c>
      <c r="BK63" s="1472"/>
      <c r="BL63" s="399">
        <f>BL62/BL56</f>
        <v>32.343714019889596</v>
      </c>
      <c r="BM63" s="2883">
        <f>BM62/BM56+0.02</f>
        <v>32.37630327318471</v>
      </c>
      <c r="BN63" s="2884">
        <f>BN62/BN56</f>
        <v>16.747684575542802</v>
      </c>
      <c r="BO63" s="399">
        <f>BO62/BO56</f>
        <v>33.440972508335435</v>
      </c>
      <c r="BP63" s="2883">
        <f>BP62/BP56+0.02</f>
        <v>33.472676674946541</v>
      </c>
      <c r="BQ63" s="2884">
        <f>BQ62/BQ56</f>
        <v>17.420189208311577</v>
      </c>
      <c r="BR63" s="399">
        <f>BR62/BR56</f>
        <v>33.787239754086876</v>
      </c>
      <c r="BS63" s="2883">
        <f>BS62/BS56+0.02</f>
        <v>33.818216580169732</v>
      </c>
      <c r="BT63" s="2884">
        <f>BT62/BT56</f>
        <v>17.475950615624932</v>
      </c>
      <c r="BU63" s="399">
        <f>BU62/BU56</f>
        <v>38.791703905666331</v>
      </c>
      <c r="BV63" s="3803">
        <f t="shared" si="35"/>
        <v>1.1924121337550728</v>
      </c>
      <c r="BW63" s="1271">
        <f>BW62/BW56</f>
        <v>38.875247416584152</v>
      </c>
      <c r="BX63" s="1272">
        <f>BX62/BX56</f>
        <v>21.28933836838268</v>
      </c>
      <c r="BY63" s="399">
        <f>BY62/BY56</f>
        <v>34.782349136689646</v>
      </c>
      <c r="BZ63" s="3804">
        <f t="shared" si="93"/>
        <v>1.0691692030840581</v>
      </c>
      <c r="CA63" s="1271">
        <f>CA62/CA56</f>
        <v>34.879051572391241</v>
      </c>
      <c r="CB63" s="1272">
        <f>CB62/CB56</f>
        <v>16.862071337187299</v>
      </c>
      <c r="CC63" s="1472"/>
      <c r="CD63" s="3910">
        <f t="shared" ref="CD63:CM63" si="264">CD62/CD56</f>
        <v>35.524086472011064</v>
      </c>
      <c r="CE63" s="3911">
        <f t="shared" si="264"/>
        <v>35.535392658069696</v>
      </c>
      <c r="CF63" s="3911">
        <f t="shared" si="264"/>
        <v>16.145702315134223</v>
      </c>
      <c r="CG63" s="3911">
        <f t="shared" ref="CG63:CI63" si="265">CG62/CG56</f>
        <v>37.326816768695679</v>
      </c>
      <c r="CH63" s="3911">
        <f t="shared" si="265"/>
        <v>37.337322299178048</v>
      </c>
      <c r="CI63" s="3911">
        <f t="shared" si="265"/>
        <v>16.867560682028621</v>
      </c>
      <c r="CJ63" s="3911">
        <f t="shared" ref="CJ63:CL63" si="266">CJ62/CJ56</f>
        <v>37.447783526803569</v>
      </c>
      <c r="CK63" s="3911">
        <f t="shared" si="266"/>
        <v>37.458275693766026</v>
      </c>
      <c r="CL63" s="3912">
        <f t="shared" si="266"/>
        <v>17.030593762015993</v>
      </c>
      <c r="CM63" s="4096">
        <f t="shared" si="264"/>
        <v>38.19886249304065</v>
      </c>
      <c r="CN63" s="4360">
        <f t="shared" si="28"/>
        <v>1.0982254919851617</v>
      </c>
      <c r="CO63" s="4047">
        <f>CO62/CO56</f>
        <v>38.30110024197738</v>
      </c>
      <c r="CP63" s="4048">
        <f>CP62/CP56</f>
        <v>19.284878939743763</v>
      </c>
      <c r="CQ63" s="4096">
        <f>CQ62/CQ56</f>
        <v>36.398113410498873</v>
      </c>
      <c r="CR63" s="4360">
        <f t="shared" si="36"/>
        <v>1.0464535695234243</v>
      </c>
      <c r="CS63" s="4047">
        <f>CS62/CS56</f>
        <v>36.443067773590762</v>
      </c>
      <c r="CT63" s="4048">
        <f>CT62/CT56</f>
        <v>28.842758269006644</v>
      </c>
    </row>
    <row r="64" spans="1:98">
      <c r="A64" s="27"/>
      <c r="Q64" s="26"/>
      <c r="R64" s="26"/>
      <c r="S64" s="26"/>
      <c r="T64" s="26"/>
      <c r="Y64" s="379"/>
      <c r="Z64" s="381"/>
      <c r="AA64" s="379"/>
      <c r="AB64" s="381"/>
      <c r="AC64" s="380"/>
      <c r="AD64" s="381"/>
      <c r="AE64" s="381"/>
      <c r="AF64" s="381"/>
      <c r="AG64" s="381"/>
      <c r="AH64" s="381"/>
      <c r="AI64" s="381"/>
      <c r="AJ64" s="381"/>
      <c r="AK64" s="381"/>
      <c r="AL64" s="156">
        <f>AN56</f>
        <v>4006.2700000000004</v>
      </c>
      <c r="AM64" s="189"/>
      <c r="AN64">
        <f>AL64/2</f>
        <v>2003.1350000000002</v>
      </c>
      <c r="AO64">
        <f>AN64</f>
        <v>2003.1350000000002</v>
      </c>
      <c r="BG64" s="156">
        <f>BI56</f>
        <v>3989.2170000000001</v>
      </c>
      <c r="BI64">
        <f>BG64/2</f>
        <v>1994.6085</v>
      </c>
      <c r="BJ64">
        <f>BI64</f>
        <v>1994.6085</v>
      </c>
      <c r="BK64" s="164"/>
    </row>
    <row r="65" spans="1:63" hidden="1">
      <c r="A65" s="5288" t="s">
        <v>438</v>
      </c>
      <c r="B65" s="5289"/>
      <c r="C65" s="5289"/>
      <c r="D65" s="5289"/>
      <c r="E65" s="5289"/>
      <c r="F65" s="5289"/>
      <c r="G65" s="5289"/>
      <c r="H65" s="5289"/>
      <c r="K65" s="5289" t="s">
        <v>439</v>
      </c>
      <c r="L65" s="5289"/>
      <c r="M65" s="5289"/>
      <c r="N65" s="5289"/>
      <c r="O65" s="5289"/>
      <c r="P65" s="5289"/>
      <c r="Q65" s="5289"/>
      <c r="R65" s="5289"/>
      <c r="S65" s="5289"/>
      <c r="T65" s="5289"/>
      <c r="Y65" s="379"/>
      <c r="Z65" s="381"/>
      <c r="AA65" s="379"/>
      <c r="AB65" s="381"/>
      <c r="AC65" s="380"/>
      <c r="AD65" s="381"/>
      <c r="AE65" s="381"/>
      <c r="AF65" s="381"/>
      <c r="AG65" s="381"/>
      <c r="AH65" s="381"/>
      <c r="AI65" s="381"/>
      <c r="AJ65" s="381"/>
      <c r="AK65" s="381"/>
      <c r="AM65" s="189"/>
      <c r="BK65" s="164"/>
    </row>
    <row r="66" spans="1:63" ht="25.5" hidden="1">
      <c r="A66" s="382" t="s">
        <v>259</v>
      </c>
      <c r="B66" s="25"/>
      <c r="C66" s="25"/>
      <c r="D66" s="25"/>
      <c r="E66" s="155">
        <f>H66/2</f>
        <v>2003.1350000000002</v>
      </c>
      <c r="F66" s="155"/>
      <c r="G66" s="155">
        <f>H66-E66</f>
        <v>2003.1350000000002</v>
      </c>
      <c r="H66" s="155">
        <f>AN56</f>
        <v>4006.2700000000004</v>
      </c>
      <c r="K66" s="190" t="s">
        <v>259</v>
      </c>
      <c r="L66" s="169">
        <f>E66</f>
        <v>2003.1350000000002</v>
      </c>
      <c r="M66" s="25"/>
      <c r="N66" s="25"/>
      <c r="O66" s="155">
        <f>BN51/2</f>
        <v>12.309548163023958</v>
      </c>
      <c r="P66" s="155">
        <f>S66/2</f>
        <v>2026.1</v>
      </c>
      <c r="Q66" s="155">
        <f>G66</f>
        <v>2003.1350000000002</v>
      </c>
      <c r="R66" s="155">
        <f>BN51</f>
        <v>24.619096326047917</v>
      </c>
      <c r="S66" s="155">
        <f>AA56</f>
        <v>4052.2</v>
      </c>
      <c r="T66" s="155">
        <f>AN56</f>
        <v>4006.2700000000004</v>
      </c>
      <c r="X66" s="232" t="s">
        <v>328</v>
      </c>
      <c r="Y66" s="25" t="s">
        <v>261</v>
      </c>
      <c r="Z66" s="25" t="s">
        <v>262</v>
      </c>
      <c r="AA66" s="25">
        <v>2014</v>
      </c>
      <c r="AM66" s="189"/>
      <c r="BK66" s="164"/>
    </row>
    <row r="67" spans="1:63" ht="38.25" hidden="1">
      <c r="A67" s="14" t="s">
        <v>294</v>
      </c>
      <c r="B67" s="25"/>
      <c r="C67" s="25"/>
      <c r="D67" s="25"/>
      <c r="E67" s="236" t="e">
        <f>#REF!</f>
        <v>#REF!</v>
      </c>
      <c r="F67" s="236"/>
      <c r="G67" s="236" t="e">
        <f>G68/G66</f>
        <v>#REF!</v>
      </c>
      <c r="H67" s="236">
        <f>AN60</f>
        <v>29.642529444588508</v>
      </c>
      <c r="K67" s="190" t="s">
        <v>294</v>
      </c>
      <c r="L67" s="236">
        <v>30</v>
      </c>
      <c r="M67" s="237"/>
      <c r="N67" s="237"/>
      <c r="O67" s="236">
        <v>26.38</v>
      </c>
      <c r="P67" s="236" t="e">
        <f>P68/P66</f>
        <v>#REF!</v>
      </c>
      <c r="Q67" s="236">
        <f>Q68/Q66</f>
        <v>31.503581355211512</v>
      </c>
      <c r="R67" s="236">
        <f>BN60</f>
        <v>16.747684575542802</v>
      </c>
      <c r="S67" s="236" t="e">
        <f>AA63</f>
        <v>#REF!</v>
      </c>
      <c r="T67" s="236">
        <f>AN63</f>
        <v>30.751790677605754</v>
      </c>
      <c r="X67" s="233" t="s">
        <v>259</v>
      </c>
      <c r="Y67" s="155">
        <f>AA67/2</f>
        <v>1400</v>
      </c>
      <c r="Z67" s="155">
        <f>AA67/2</f>
        <v>1400</v>
      </c>
      <c r="AA67" s="155">
        <f>объемы!F50</f>
        <v>2800</v>
      </c>
      <c r="AD67" s="156"/>
      <c r="AE67" s="156"/>
      <c r="AF67" s="156"/>
      <c r="AG67" s="156"/>
      <c r="AH67" s="156"/>
      <c r="AI67" s="156"/>
      <c r="AJ67" s="336"/>
      <c r="AK67" s="336"/>
      <c r="AL67" s="156"/>
      <c r="AM67" s="2143"/>
      <c r="AN67" s="156"/>
      <c r="AO67" s="156"/>
      <c r="AP67" s="156"/>
      <c r="AQ67" s="156"/>
      <c r="AR67" s="156"/>
      <c r="AS67" s="156"/>
      <c r="AT67" s="156"/>
      <c r="AU67" s="156"/>
      <c r="AV67" s="156"/>
      <c r="AW67" s="156"/>
      <c r="AX67" s="156"/>
      <c r="AY67" s="156"/>
      <c r="AZ67" s="156"/>
      <c r="BA67" s="156"/>
      <c r="BB67" s="156"/>
      <c r="BC67" s="156"/>
      <c r="BD67" s="2143"/>
      <c r="BE67" s="156"/>
      <c r="BF67" s="156"/>
      <c r="BG67" s="156"/>
      <c r="BH67" s="2143"/>
      <c r="BI67" s="156"/>
      <c r="BJ67" s="156"/>
      <c r="BK67" s="238"/>
    </row>
    <row r="68" spans="1:63" hidden="1">
      <c r="A68" s="14" t="s">
        <v>260</v>
      </c>
      <c r="B68" s="25"/>
      <c r="C68" s="25"/>
      <c r="D68" s="25"/>
      <c r="E68" s="155" t="e">
        <f>E66*E67</f>
        <v>#REF!</v>
      </c>
      <c r="F68" s="155"/>
      <c r="G68" s="155" t="e">
        <f>H68-E68</f>
        <v>#REF!</v>
      </c>
      <c r="H68" s="155">
        <f>AN51+AN58</f>
        <v>118755.97643797162</v>
      </c>
      <c r="K68" s="190" t="s">
        <v>260</v>
      </c>
      <c r="L68" s="155">
        <f>L66*L67</f>
        <v>60094.05</v>
      </c>
      <c r="M68" s="25"/>
      <c r="N68" s="25"/>
      <c r="O68" s="155">
        <f>O66*O67</f>
        <v>324.72588054057201</v>
      </c>
      <c r="P68" s="155" t="e">
        <f>S68-L68</f>
        <v>#REF!</v>
      </c>
      <c r="Q68" s="155">
        <f>T68-L68</f>
        <v>63105.926437971619</v>
      </c>
      <c r="R68" s="155">
        <f>BN48+BN57</f>
        <v>21.815230829164715</v>
      </c>
      <c r="S68" s="155" t="e">
        <f>S66*S67</f>
        <v>#REF!</v>
      </c>
      <c r="T68" s="155">
        <f>AN62</f>
        <v>123199.97643797162</v>
      </c>
      <c r="V68" s="156"/>
      <c r="X68" s="233" t="s">
        <v>118</v>
      </c>
      <c r="Y68" s="155">
        <v>19.14</v>
      </c>
      <c r="Z68" s="155">
        <f>Y68*1.184</f>
        <v>22.661760000000001</v>
      </c>
      <c r="AA68" s="234">
        <f>AA69/AA67</f>
        <v>20.900880000000001</v>
      </c>
      <c r="AD68" s="156"/>
      <c r="AE68" s="156"/>
      <c r="AF68" s="156"/>
      <c r="AG68" s="156"/>
      <c r="AH68" s="156"/>
      <c r="AI68" s="156"/>
      <c r="AJ68" s="336"/>
      <c r="AK68" s="336"/>
      <c r="AL68" s="156"/>
      <c r="AM68" s="2143"/>
      <c r="AN68" s="156"/>
      <c r="AO68" s="156"/>
      <c r="AP68" s="156"/>
      <c r="AQ68" s="156"/>
      <c r="AR68" s="156"/>
      <c r="AS68" s="156"/>
      <c r="AT68" s="156"/>
      <c r="AU68" s="156"/>
      <c r="AV68" s="156"/>
      <c r="AW68" s="156"/>
      <c r="AX68" s="156"/>
      <c r="AY68" s="156"/>
      <c r="AZ68" s="156"/>
      <c r="BA68" s="156"/>
      <c r="BB68" s="156"/>
      <c r="BC68" s="156"/>
      <c r="BD68" s="2143"/>
      <c r="BE68" s="156"/>
      <c r="BF68" s="156"/>
      <c r="BG68" s="156"/>
      <c r="BH68" s="2143"/>
      <c r="BI68" s="156"/>
      <c r="BJ68" s="156"/>
      <c r="BK68" s="238"/>
    </row>
    <row r="69" spans="1:63" ht="26.25" hidden="1" customHeight="1">
      <c r="A69" s="25"/>
      <c r="B69" s="25"/>
      <c r="C69" s="25"/>
      <c r="D69" s="25"/>
      <c r="E69" s="25"/>
      <c r="F69" s="25"/>
      <c r="G69" s="346" t="e">
        <f>G67/E67</f>
        <v>#REF!</v>
      </c>
      <c r="H69" s="25"/>
      <c r="K69" s="25"/>
      <c r="L69" s="25"/>
      <c r="M69" s="25"/>
      <c r="N69" s="25"/>
      <c r="O69" s="25"/>
      <c r="P69" s="191" t="e">
        <f>P67/L67</f>
        <v>#REF!</v>
      </c>
      <c r="Q69" s="341">
        <f>Q67/L67</f>
        <v>1.0501193785070504</v>
      </c>
      <c r="R69" s="25"/>
      <c r="S69" s="25"/>
      <c r="T69" s="342" t="e">
        <f>G67/L67</f>
        <v>#REF!</v>
      </c>
      <c r="X69" s="233" t="s">
        <v>322</v>
      </c>
      <c r="Y69" s="155">
        <f>Y67*Y68</f>
        <v>26796</v>
      </c>
      <c r="Z69" s="155">
        <f>Z67*Z68</f>
        <v>31726.464</v>
      </c>
      <c r="AA69" s="155">
        <f>Y69+Z69</f>
        <v>58522.464</v>
      </c>
      <c r="AD69" s="156"/>
      <c r="AE69" s="156"/>
      <c r="AF69" s="156"/>
      <c r="AG69" s="156"/>
      <c r="AH69" s="156"/>
      <c r="AI69" s="156"/>
      <c r="AJ69" s="336"/>
      <c r="AK69" s="336"/>
      <c r="AL69" s="156"/>
      <c r="AM69" s="2143"/>
      <c r="AN69" s="156"/>
      <c r="AO69" s="156"/>
      <c r="AP69" s="156"/>
      <c r="AQ69" s="156"/>
      <c r="AR69" s="156"/>
      <c r="AS69" s="156"/>
      <c r="AT69" s="156"/>
      <c r="AU69" s="156"/>
      <c r="AV69" s="156"/>
      <c r="AW69" s="156"/>
      <c r="AX69" s="156"/>
      <c r="AY69" s="156"/>
      <c r="AZ69" s="156"/>
      <c r="BA69" s="156"/>
      <c r="BB69" s="156"/>
      <c r="BC69" s="156"/>
      <c r="BD69" s="2143"/>
      <c r="BE69" s="156"/>
      <c r="BF69" s="156"/>
      <c r="BG69" s="156"/>
      <c r="BH69" s="2143"/>
      <c r="BI69" s="156"/>
      <c r="BJ69" s="156"/>
      <c r="BK69" s="238"/>
    </row>
    <row r="70" spans="1:63" ht="18" hidden="1" customHeight="1">
      <c r="A70" s="5293" t="s">
        <v>440</v>
      </c>
      <c r="B70" s="5287"/>
      <c r="C70" s="5287"/>
      <c r="D70" s="5287"/>
      <c r="E70" s="5287"/>
      <c r="F70" s="5287"/>
      <c r="G70" s="5287"/>
      <c r="H70" s="5294"/>
      <c r="K70" s="5287" t="s">
        <v>441</v>
      </c>
      <c r="L70" s="5287"/>
      <c r="M70" s="5287"/>
      <c r="N70" s="5287"/>
      <c r="O70" s="5287"/>
      <c r="P70" s="5287"/>
      <c r="Q70" s="5287"/>
      <c r="R70" s="5287"/>
      <c r="S70" s="5287"/>
      <c r="T70" s="5287"/>
      <c r="X70" s="233" t="s">
        <v>363</v>
      </c>
      <c r="Y70" s="25"/>
      <c r="Z70" s="163">
        <f>Z68/Y68</f>
        <v>1.1839999999999999</v>
      </c>
      <c r="AA70" s="25"/>
      <c r="AM70" s="189"/>
      <c r="BK70" s="239"/>
    </row>
    <row r="71" spans="1:63" hidden="1">
      <c r="A71" s="25"/>
      <c r="B71" s="25"/>
      <c r="C71" s="25"/>
      <c r="D71" s="25"/>
      <c r="E71" s="25" t="s">
        <v>261</v>
      </c>
      <c r="F71" s="25"/>
      <c r="G71" s="25" t="s">
        <v>262</v>
      </c>
      <c r="H71" s="25" t="s">
        <v>238</v>
      </c>
      <c r="K71" s="25" t="s">
        <v>331</v>
      </c>
      <c r="L71" s="170" t="s">
        <v>261</v>
      </c>
      <c r="M71" s="170"/>
      <c r="N71" s="170"/>
      <c r="O71" s="170" t="s">
        <v>261</v>
      </c>
      <c r="P71" s="170" t="s">
        <v>262</v>
      </c>
      <c r="Q71" s="170" t="s">
        <v>262</v>
      </c>
      <c r="R71" s="170" t="s">
        <v>238</v>
      </c>
      <c r="S71" s="170" t="s">
        <v>238</v>
      </c>
      <c r="T71" s="25">
        <v>2014</v>
      </c>
      <c r="X71" s="233"/>
      <c r="Y71" s="25"/>
      <c r="Z71" s="155">
        <f>Z69-Y69</f>
        <v>4930.4639999999999</v>
      </c>
      <c r="AA71" s="25"/>
      <c r="AM71" s="189"/>
      <c r="BK71" s="238"/>
    </row>
    <row r="72" spans="1:63" hidden="1">
      <c r="A72" s="14" t="s">
        <v>259</v>
      </c>
      <c r="B72" s="25"/>
      <c r="C72" s="25"/>
      <c r="D72" s="25"/>
      <c r="E72" s="155">
        <f>H72/2</f>
        <v>23.065000000000001</v>
      </c>
      <c r="F72" s="155"/>
      <c r="G72" s="155">
        <f>H72-E72</f>
        <v>23.065000000000001</v>
      </c>
      <c r="H72" s="155">
        <f>AO56</f>
        <v>46.13</v>
      </c>
      <c r="K72" s="190" t="s">
        <v>259</v>
      </c>
      <c r="L72" s="169">
        <f>T72/2</f>
        <v>1822.35</v>
      </c>
      <c r="M72" s="25"/>
      <c r="N72" s="25"/>
      <c r="O72" s="155" t="e">
        <f>#REF!/2</f>
        <v>#REF!</v>
      </c>
      <c r="P72" s="155" t="e">
        <f>S72/2</f>
        <v>#REF!</v>
      </c>
      <c r="Q72" s="155">
        <f>T72/2</f>
        <v>1822.35</v>
      </c>
      <c r="R72" s="155" t="e">
        <f>#REF!</f>
        <v>#REF!</v>
      </c>
      <c r="S72" s="155" t="e">
        <f>AA57</f>
        <v>#REF!</v>
      </c>
      <c r="T72" s="155">
        <f>стоки!Z55</f>
        <v>3644.7</v>
      </c>
      <c r="X72" s="233"/>
      <c r="Y72" s="25"/>
      <c r="Z72" s="25"/>
      <c r="AA72" s="25"/>
      <c r="AM72" s="189"/>
      <c r="BK72" s="164"/>
    </row>
    <row r="73" spans="1:63" ht="27.75" hidden="1" customHeight="1">
      <c r="A73" s="14" t="s">
        <v>295</v>
      </c>
      <c r="B73" s="25"/>
      <c r="C73" s="25"/>
      <c r="D73" s="25"/>
      <c r="E73" s="236">
        <v>17.57</v>
      </c>
      <c r="F73" s="236"/>
      <c r="G73" s="236">
        <f>G74/G72</f>
        <v>20.094510125177226</v>
      </c>
      <c r="H73" s="236">
        <f>AO63</f>
        <v>18.832255062588615</v>
      </c>
      <c r="K73" s="190" t="s">
        <v>333</v>
      </c>
      <c r="L73" s="236">
        <f>стоки!L111</f>
        <v>24.29</v>
      </c>
      <c r="M73" s="236"/>
      <c r="N73" s="236"/>
      <c r="O73" s="236">
        <v>26.38</v>
      </c>
      <c r="P73" s="236" t="e">
        <f>P74/P72</f>
        <v>#REF!</v>
      </c>
      <c r="Q73" s="236">
        <f>Q74/Q72</f>
        <v>24.290849083410784</v>
      </c>
      <c r="R73" s="236">
        <f>BN66</f>
        <v>0</v>
      </c>
      <c r="S73" s="236">
        <f>AA69</f>
        <v>58522.464</v>
      </c>
      <c r="T73" s="236">
        <f>стоки!AK67</f>
        <v>24.290424541705391</v>
      </c>
      <c r="X73" s="232" t="s">
        <v>329</v>
      </c>
      <c r="Y73" s="25" t="s">
        <v>261</v>
      </c>
      <c r="Z73" s="25" t="s">
        <v>262</v>
      </c>
      <c r="AA73" s="25">
        <v>2014</v>
      </c>
      <c r="AM73" s="189"/>
      <c r="BK73" s="164"/>
    </row>
    <row r="74" spans="1:63" hidden="1">
      <c r="A74" s="14" t="s">
        <v>260</v>
      </c>
      <c r="B74" s="25"/>
      <c r="C74" s="25"/>
      <c r="D74" s="25"/>
      <c r="E74" s="155">
        <f>E72*E73</f>
        <v>405.25205000000005</v>
      </c>
      <c r="F74" s="155"/>
      <c r="G74" s="155">
        <f>H74-E74</f>
        <v>463.47987603721276</v>
      </c>
      <c r="H74" s="155">
        <f>AO62</f>
        <v>868.73192603721282</v>
      </c>
      <c r="K74" s="190" t="s">
        <v>260</v>
      </c>
      <c r="L74" s="155">
        <f>L72*L73</f>
        <v>44264.881499999996</v>
      </c>
      <c r="M74" s="25"/>
      <c r="N74" s="25"/>
      <c r="O74" s="155" t="e">
        <f>O72*O73</f>
        <v>#REF!</v>
      </c>
      <c r="P74" s="155" t="e">
        <f>S74-L74</f>
        <v>#REF!</v>
      </c>
      <c r="Q74" s="155">
        <f>T74-L74</f>
        <v>44266.428827153642</v>
      </c>
      <c r="R74" s="155" t="e">
        <f>#REF!+BN64</f>
        <v>#REF!</v>
      </c>
      <c r="S74" s="155" t="e">
        <f>S72*S73</f>
        <v>#REF!</v>
      </c>
      <c r="T74" s="155">
        <f>стоки!AK66</f>
        <v>88531.310327153638</v>
      </c>
      <c r="X74" s="233" t="s">
        <v>259</v>
      </c>
      <c r="Y74" s="155">
        <f>AA74/2</f>
        <v>1300</v>
      </c>
      <c r="Z74" s="155">
        <f>AA74/2</f>
        <v>1300</v>
      </c>
      <c r="AA74" s="155">
        <f>объемы!F59</f>
        <v>2600</v>
      </c>
      <c r="AM74" s="189"/>
      <c r="BK74" s="164"/>
    </row>
    <row r="75" spans="1:63" ht="26.25" hidden="1" customHeight="1">
      <c r="A75" s="25"/>
      <c r="B75" s="25"/>
      <c r="C75" s="25"/>
      <c r="D75" s="25"/>
      <c r="E75" s="25"/>
      <c r="F75" s="25"/>
      <c r="G75" s="340">
        <f>G73/E73</f>
        <v>1.1436829894807756</v>
      </c>
      <c r="H75" s="25"/>
      <c r="K75" s="25"/>
      <c r="L75" s="25"/>
      <c r="M75" s="25"/>
      <c r="N75" s="25"/>
      <c r="O75" s="25"/>
      <c r="P75" s="191" t="e">
        <f>P73/L73</f>
        <v>#REF!</v>
      </c>
      <c r="Q75" s="341">
        <f>Q73/L73</f>
        <v>1.0000349560893695</v>
      </c>
      <c r="R75" s="25"/>
      <c r="S75" s="25"/>
      <c r="T75" s="25"/>
      <c r="X75" s="233" t="s">
        <v>118</v>
      </c>
      <c r="Y75" s="155">
        <v>15.5</v>
      </c>
      <c r="Z75" s="155">
        <f>Y75*1.184</f>
        <v>18.352</v>
      </c>
      <c r="AA75" s="234">
        <f>AA76/AA74</f>
        <v>16.926000000000002</v>
      </c>
      <c r="AM75" s="189"/>
    </row>
    <row r="76" spans="1:63" hidden="1">
      <c r="A76" s="165"/>
      <c r="B76" s="165"/>
      <c r="C76" s="165"/>
      <c r="D76" s="165"/>
      <c r="E76" s="165"/>
      <c r="F76" s="165"/>
      <c r="G76" s="166"/>
      <c r="H76" s="165"/>
      <c r="X76" s="233" t="s">
        <v>322</v>
      </c>
      <c r="Y76" s="155">
        <f>Y74*Y75</f>
        <v>20150</v>
      </c>
      <c r="Z76" s="155">
        <f>Z74*Z75</f>
        <v>23857.600000000002</v>
      </c>
      <c r="AA76" s="155">
        <f>Y76+Z76</f>
        <v>44007.600000000006</v>
      </c>
      <c r="AM76" s="189"/>
    </row>
    <row r="77" spans="1:63" hidden="1">
      <c r="X77" s="25" t="s">
        <v>362</v>
      </c>
      <c r="Y77" s="25"/>
      <c r="Z77" s="163">
        <f>Z75/Y75</f>
        <v>1.1839999999999999</v>
      </c>
      <c r="AA77" s="25"/>
      <c r="AM77" s="189"/>
    </row>
    <row r="78" spans="1:63" hidden="1">
      <c r="A78" t="s">
        <v>334</v>
      </c>
      <c r="E78" s="156" t="e">
        <f>E68+стоки!E112</f>
        <v>#REF!</v>
      </c>
      <c r="G78" s="156" t="e">
        <f>G68+стоки!G112</f>
        <v>#REF!</v>
      </c>
      <c r="H78" s="156" t="e">
        <f>E78+G78</f>
        <v>#REF!</v>
      </c>
      <c r="X78" s="25"/>
      <c r="Y78" s="25"/>
      <c r="Z78" s="155">
        <f>Z76-Y76</f>
        <v>3707.6000000000022</v>
      </c>
      <c r="AA78" s="25"/>
      <c r="AM78" s="189"/>
    </row>
    <row r="79" spans="1:63" ht="28.5" hidden="1" customHeight="1">
      <c r="G79" s="162" t="e">
        <f>G78/E78</f>
        <v>#REF!</v>
      </c>
      <c r="AM79" s="189"/>
    </row>
    <row r="80" spans="1:63" hidden="1">
      <c r="AM80" s="189"/>
    </row>
    <row r="81" spans="1:39" hidden="1">
      <c r="A81" t="s">
        <v>335</v>
      </c>
      <c r="E81" s="156">
        <f>L68+L74</f>
        <v>104358.93150000001</v>
      </c>
      <c r="G81" s="156">
        <f>Q68+Q74</f>
        <v>107372.35526512525</v>
      </c>
      <c r="H81" s="156">
        <f>E81+G81</f>
        <v>211731.28676512526</v>
      </c>
      <c r="L81" s="232" t="s">
        <v>332</v>
      </c>
      <c r="M81" s="25"/>
      <c r="N81" s="25"/>
      <c r="O81" s="25"/>
      <c r="P81" s="25"/>
      <c r="Q81" s="25" t="s">
        <v>261</v>
      </c>
      <c r="R81" s="25"/>
      <c r="S81" s="25"/>
      <c r="T81" s="25" t="s">
        <v>262</v>
      </c>
      <c r="U81" s="25" t="s">
        <v>163</v>
      </c>
      <c r="AB81">
        <f>E73*1.048</f>
        <v>18.413360000000001</v>
      </c>
      <c r="AD81">
        <f>(E73+AB81)/2</f>
        <v>17.991680000000002</v>
      </c>
      <c r="AM81" s="189"/>
    </row>
    <row r="82" spans="1:39" hidden="1">
      <c r="G82" s="162">
        <f>G81/E81</f>
        <v>1.0288755712789686</v>
      </c>
      <c r="L82" s="25" t="s">
        <v>299</v>
      </c>
      <c r="M82" s="25"/>
      <c r="N82" s="25"/>
      <c r="O82" s="25"/>
      <c r="P82" s="25"/>
      <c r="Q82" s="155">
        <v>8509.5</v>
      </c>
      <c r="R82" s="155"/>
      <c r="S82" s="155"/>
      <c r="T82" s="155">
        <v>11223.9</v>
      </c>
      <c r="U82" s="155">
        <f>T82+Q82</f>
        <v>19733.400000000001</v>
      </c>
      <c r="AM82" s="189"/>
    </row>
    <row r="83" spans="1:39" hidden="1">
      <c r="L83" s="25" t="s">
        <v>330</v>
      </c>
      <c r="M83" s="25"/>
      <c r="N83" s="25"/>
      <c r="O83" s="25"/>
      <c r="P83" s="25"/>
      <c r="Q83" s="155">
        <v>6353.75</v>
      </c>
      <c r="R83" s="155"/>
      <c r="S83" s="155"/>
      <c r="T83" s="155">
        <v>7524.4</v>
      </c>
      <c r="U83" s="155">
        <f>T83+Q83</f>
        <v>13878.15</v>
      </c>
      <c r="AM83" s="189"/>
    </row>
    <row r="84" spans="1:39" hidden="1">
      <c r="L84" s="25" t="s">
        <v>293</v>
      </c>
      <c r="M84" s="25"/>
      <c r="N84" s="25"/>
      <c r="O84" s="25"/>
      <c r="P84" s="25"/>
      <c r="Q84" s="155">
        <f>Q83+Q82</f>
        <v>14863.25</v>
      </c>
      <c r="R84" s="155">
        <f>R83+R82</f>
        <v>0</v>
      </c>
      <c r="S84" s="155">
        <f>S83+S82</f>
        <v>0</v>
      </c>
      <c r="T84" s="155">
        <f>T83+T82</f>
        <v>18748.3</v>
      </c>
      <c r="U84" s="155">
        <f>U83+U82</f>
        <v>33611.550000000003</v>
      </c>
      <c r="AM84" s="189"/>
    </row>
    <row r="85" spans="1:39" hidden="1">
      <c r="L85" s="25"/>
      <c r="M85" s="25"/>
      <c r="N85" s="25"/>
      <c r="O85" s="25"/>
      <c r="P85" s="25"/>
      <c r="Q85" s="25"/>
      <c r="R85" s="25"/>
      <c r="S85" s="25"/>
      <c r="T85" s="25"/>
      <c r="U85" s="25"/>
      <c r="AM85" s="189"/>
    </row>
    <row r="86" spans="1:39" hidden="1">
      <c r="L86" s="232" t="s">
        <v>366</v>
      </c>
      <c r="M86" s="25"/>
      <c r="N86" s="25"/>
      <c r="O86" s="25"/>
      <c r="P86" s="25"/>
      <c r="Q86" s="25" t="s">
        <v>261</v>
      </c>
      <c r="R86" s="25"/>
      <c r="S86" s="25"/>
      <c r="T86" s="25" t="s">
        <v>262</v>
      </c>
      <c r="U86" s="25" t="s">
        <v>238</v>
      </c>
      <c r="AM86" s="189"/>
    </row>
    <row r="87" spans="1:39" ht="25.5" hidden="1">
      <c r="A87" s="25" t="s">
        <v>282</v>
      </c>
      <c r="B87" s="25"/>
      <c r="C87" s="25"/>
      <c r="D87" s="25"/>
      <c r="E87" s="145" t="s">
        <v>283</v>
      </c>
      <c r="F87" s="145"/>
      <c r="G87" s="145" t="s">
        <v>284</v>
      </c>
      <c r="H87" s="5202" t="s">
        <v>246</v>
      </c>
      <c r="I87" s="5281"/>
      <c r="L87" s="25" t="s">
        <v>299</v>
      </c>
      <c r="M87" s="25"/>
      <c r="N87" s="25"/>
      <c r="O87" s="25"/>
      <c r="P87" s="25"/>
      <c r="Q87" s="155">
        <f>(L67-Y68)*Y67</f>
        <v>15204</v>
      </c>
      <c r="R87" s="155"/>
      <c r="S87" s="155"/>
      <c r="T87" s="155">
        <f>(Q67-Z68)*Z67</f>
        <v>12378.549897296116</v>
      </c>
      <c r="U87" s="155">
        <f>T87+Q87</f>
        <v>27582.549897296114</v>
      </c>
      <c r="AM87" s="189"/>
    </row>
    <row r="88" spans="1:39" hidden="1">
      <c r="A88" s="25" t="s">
        <v>285</v>
      </c>
      <c r="B88" s="25"/>
      <c r="C88" s="25"/>
      <c r="D88" s="25"/>
      <c r="E88" s="155">
        <v>0</v>
      </c>
      <c r="F88" s="25"/>
      <c r="G88" s="25"/>
      <c r="H88" s="5202"/>
      <c r="I88" s="5281"/>
      <c r="L88" s="25" t="s">
        <v>330</v>
      </c>
      <c r="M88" s="25"/>
      <c r="N88" s="25"/>
      <c r="O88" s="25"/>
      <c r="P88" s="25"/>
      <c r="Q88" s="155">
        <f>(L73-Y75)*Y74</f>
        <v>11426.999999999998</v>
      </c>
      <c r="R88" s="155"/>
      <c r="S88" s="155"/>
      <c r="T88" s="155">
        <f>(Q73-Z75)*Z74</f>
        <v>7720.5038084340185</v>
      </c>
      <c r="U88" s="155">
        <f>T88+Q88</f>
        <v>19147.503808434016</v>
      </c>
      <c r="AM88" s="189"/>
    </row>
    <row r="89" spans="1:39" ht="31.5" hidden="1" customHeight="1">
      <c r="A89" s="25" t="s">
        <v>286</v>
      </c>
      <c r="B89" s="25"/>
      <c r="C89" s="25"/>
      <c r="D89" s="25"/>
      <c r="E89" s="155">
        <v>0</v>
      </c>
      <c r="F89" s="25"/>
      <c r="G89" s="25">
        <v>0</v>
      </c>
      <c r="H89" s="5295" t="s">
        <v>250</v>
      </c>
      <c r="I89" s="5296"/>
      <c r="L89" s="25" t="s">
        <v>293</v>
      </c>
      <c r="M89" s="25"/>
      <c r="N89" s="25"/>
      <c r="O89" s="25"/>
      <c r="P89" s="25"/>
      <c r="Q89" s="155">
        <f>Q88+Q87</f>
        <v>26631</v>
      </c>
      <c r="R89" s="155">
        <f>R88+R87</f>
        <v>0</v>
      </c>
      <c r="S89" s="155">
        <f>S88+S87</f>
        <v>0</v>
      </c>
      <c r="T89" s="155">
        <f>T88+T87</f>
        <v>20099.053705730134</v>
      </c>
      <c r="U89" s="155">
        <f>U88+U87</f>
        <v>46730.053705730126</v>
      </c>
      <c r="AM89" s="189"/>
    </row>
    <row r="90" spans="1:39" hidden="1">
      <c r="A90" s="25" t="s">
        <v>287</v>
      </c>
      <c r="B90" s="25"/>
      <c r="C90" s="25"/>
      <c r="D90" s="25"/>
      <c r="E90" s="155">
        <v>0</v>
      </c>
      <c r="F90" s="25"/>
      <c r="G90" s="25"/>
      <c r="H90" s="5202"/>
      <c r="I90" s="5281"/>
      <c r="L90" s="232" t="s">
        <v>437</v>
      </c>
      <c r="M90" s="25"/>
      <c r="N90" s="25"/>
      <c r="O90" s="25"/>
      <c r="P90" s="25"/>
      <c r="Q90" s="25" t="s">
        <v>261</v>
      </c>
      <c r="R90" s="25"/>
      <c r="S90" s="25"/>
      <c r="T90" s="25" t="s">
        <v>262</v>
      </c>
      <c r="U90" s="25" t="s">
        <v>379</v>
      </c>
      <c r="AM90" s="189"/>
    </row>
    <row r="91" spans="1:39" hidden="1">
      <c r="A91" s="25" t="s">
        <v>288</v>
      </c>
      <c r="B91" s="25"/>
      <c r="C91" s="25"/>
      <c r="D91" s="25"/>
      <c r="E91" s="155">
        <v>0</v>
      </c>
      <c r="F91" s="25"/>
      <c r="G91" s="25"/>
      <c r="H91" s="5202"/>
      <c r="I91" s="5281"/>
      <c r="L91" s="25" t="s">
        <v>299</v>
      </c>
      <c r="M91" s="25"/>
      <c r="N91" s="25"/>
      <c r="O91" s="25"/>
      <c r="P91" s="25"/>
      <c r="Q91" s="155" t="e">
        <f>(L71-Y72)*Y71</f>
        <v>#VALUE!</v>
      </c>
      <c r="R91" s="155"/>
      <c r="S91" s="155"/>
      <c r="T91" s="155" t="e">
        <f>(Q71-Z72)*Z71</f>
        <v>#VALUE!</v>
      </c>
      <c r="U91" s="155" t="e">
        <f>T91+Q91</f>
        <v>#VALUE!</v>
      </c>
      <c r="AM91" s="189"/>
    </row>
    <row r="92" spans="1:39" hidden="1">
      <c r="A92" s="25" t="s">
        <v>289</v>
      </c>
      <c r="B92" s="25"/>
      <c r="C92" s="25"/>
      <c r="D92" s="25"/>
      <c r="E92" s="155">
        <v>0</v>
      </c>
      <c r="F92" s="25"/>
      <c r="G92" s="25"/>
      <c r="H92" s="5202"/>
      <c r="I92" s="5281"/>
      <c r="L92" s="25" t="s">
        <v>330</v>
      </c>
      <c r="M92" s="25"/>
      <c r="N92" s="25"/>
      <c r="O92" s="25"/>
      <c r="P92" s="25"/>
      <c r="Q92" s="155">
        <f>(L77-Y79)*Y78</f>
        <v>0</v>
      </c>
      <c r="R92" s="155"/>
      <c r="S92" s="155"/>
      <c r="T92" s="155">
        <f>(Q77-Z79)*Z78</f>
        <v>0</v>
      </c>
      <c r="U92" s="155">
        <f>T92+Q92</f>
        <v>0</v>
      </c>
      <c r="AM92" s="189"/>
    </row>
    <row r="93" spans="1:39" hidden="1">
      <c r="A93" s="25" t="s">
        <v>290</v>
      </c>
      <c r="B93" s="25"/>
      <c r="C93" s="25"/>
      <c r="D93" s="25"/>
      <c r="E93" s="155">
        <v>0</v>
      </c>
      <c r="F93" s="25"/>
      <c r="G93" s="25"/>
      <c r="H93" s="5202"/>
      <c r="I93" s="5281"/>
      <c r="L93" s="25" t="s">
        <v>293</v>
      </c>
      <c r="M93" s="25"/>
      <c r="N93" s="25"/>
      <c r="O93" s="25"/>
      <c r="P93" s="25"/>
      <c r="Q93" s="155" t="e">
        <f>Q92+Q91</f>
        <v>#VALUE!</v>
      </c>
      <c r="R93" s="155">
        <f>R92+R91</f>
        <v>0</v>
      </c>
      <c r="S93" s="155">
        <f>S92+S91</f>
        <v>0</v>
      </c>
      <c r="T93" s="155" t="e">
        <f>T92+T91</f>
        <v>#VALUE!</v>
      </c>
      <c r="U93" s="155" t="e">
        <f>U92+U91</f>
        <v>#VALUE!</v>
      </c>
      <c r="AM93" s="189"/>
    </row>
    <row r="94" spans="1:39" hidden="1">
      <c r="A94" s="25" t="s">
        <v>291</v>
      </c>
      <c r="B94" s="25"/>
      <c r="C94" s="25"/>
      <c r="D94" s="25"/>
      <c r="E94" s="155">
        <v>0</v>
      </c>
      <c r="F94" s="25"/>
      <c r="G94" s="25"/>
      <c r="H94" s="5202"/>
      <c r="I94" s="5281"/>
      <c r="L94" s="232"/>
      <c r="M94" s="25"/>
      <c r="N94" s="25"/>
      <c r="O94" s="25"/>
      <c r="P94" s="25"/>
      <c r="Q94" s="25"/>
      <c r="R94" s="25"/>
      <c r="S94" s="25"/>
      <c r="T94" s="25"/>
      <c r="U94" s="25"/>
      <c r="AM94" s="189"/>
    </row>
    <row r="95" spans="1:39" hidden="1">
      <c r="A95" s="25" t="s">
        <v>292</v>
      </c>
      <c r="B95" s="25"/>
      <c r="C95" s="25"/>
      <c r="D95" s="25"/>
      <c r="E95" s="155">
        <v>0</v>
      </c>
      <c r="F95" s="25"/>
      <c r="G95" s="25"/>
      <c r="H95" s="5202"/>
      <c r="I95" s="5281"/>
      <c r="AM95" s="189"/>
    </row>
    <row r="96" spans="1:39" hidden="1">
      <c r="A96" s="25" t="s">
        <v>293</v>
      </c>
      <c r="B96" s="25"/>
      <c r="C96" s="25"/>
      <c r="D96" s="25"/>
      <c r="E96" s="155">
        <f>SUM(E88:E95)</f>
        <v>0</v>
      </c>
      <c r="F96" s="25"/>
      <c r="G96" s="25"/>
      <c r="H96" s="5202"/>
      <c r="I96" s="5281"/>
      <c r="AM96" s="189"/>
    </row>
    <row r="97" spans="1:98" hidden="1">
      <c r="AM97" s="189"/>
    </row>
    <row r="98" spans="1:98" hidden="1">
      <c r="AM98" s="189"/>
    </row>
    <row r="99" spans="1:98" hidden="1">
      <c r="AM99" s="189"/>
    </row>
    <row r="100" spans="1:98" hidden="1">
      <c r="AM100" s="189"/>
    </row>
    <row r="101" spans="1:98" hidden="1">
      <c r="AM101" s="189"/>
    </row>
    <row r="102" spans="1:98" hidden="1">
      <c r="AM102" s="189"/>
    </row>
    <row r="103" spans="1:98" hidden="1">
      <c r="AM103" s="189"/>
    </row>
    <row r="104" spans="1:98" hidden="1">
      <c r="AM104" s="189"/>
    </row>
    <row r="105" spans="1:98">
      <c r="AL105" s="156">
        <f>SUM(AN63)</f>
        <v>30.751790677605754</v>
      </c>
      <c r="AM105" s="189"/>
      <c r="AN105" s="1798">
        <f>SUM('расчет тарифов '!E9)</f>
        <v>30</v>
      </c>
      <c r="AO105" s="1798">
        <f>AO106/AO64</f>
        <v>31.503581355211512</v>
      </c>
      <c r="BG105" s="156">
        <f>BI63</f>
        <v>32.620579890792548</v>
      </c>
      <c r="BI105" s="1798">
        <v>31.52</v>
      </c>
      <c r="BJ105" s="1798">
        <f>BJ106/BJ64</f>
        <v>33.721159781585101</v>
      </c>
      <c r="BK105" s="2385">
        <f>BJ105/BI105</f>
        <v>1.069833749415771</v>
      </c>
    </row>
    <row r="106" spans="1:98">
      <c r="AL106" s="156">
        <f>AN62</f>
        <v>123199.97643797162</v>
      </c>
      <c r="AM106" s="189"/>
      <c r="AN106">
        <f>AN105*AN64</f>
        <v>60094.05</v>
      </c>
      <c r="AO106" s="156">
        <f>AL106-AN106</f>
        <v>63105.926437971619</v>
      </c>
      <c r="BG106" s="156">
        <f>BI62</f>
        <v>130130.57185020778</v>
      </c>
      <c r="BI106">
        <f>BI105*BI64</f>
        <v>62870.05992</v>
      </c>
      <c r="BJ106" s="156">
        <f>BG106-BI106</f>
        <v>67260.51193020778</v>
      </c>
    </row>
    <row r="107" spans="1:98" ht="25.5">
      <c r="A107" s="5112" t="s">
        <v>1856</v>
      </c>
      <c r="B107" s="5112"/>
      <c r="C107" s="5112"/>
      <c r="D107" s="5112"/>
      <c r="E107" s="5112"/>
      <c r="F107" s="5112"/>
      <c r="G107" s="5112"/>
      <c r="H107" s="5112"/>
      <c r="I107" s="5112"/>
      <c r="J107" s="5112"/>
      <c r="K107" s="5112"/>
      <c r="L107" s="5112"/>
      <c r="M107" s="5112"/>
      <c r="N107" s="5112"/>
      <c r="O107" s="5112"/>
      <c r="P107" s="5112"/>
      <c r="Q107" s="5112"/>
      <c r="R107" s="5112"/>
      <c r="S107" s="5112"/>
      <c r="T107" s="5112"/>
      <c r="U107" s="5112"/>
      <c r="V107" s="5112"/>
      <c r="W107" s="5112"/>
      <c r="X107" s="5112"/>
      <c r="Y107" s="5112"/>
      <c r="Z107" s="5112"/>
      <c r="AA107" s="5112"/>
      <c r="AB107" s="5112"/>
      <c r="AC107" s="5112"/>
      <c r="AD107" s="5112"/>
      <c r="AE107" s="5112"/>
      <c r="AF107" s="5112"/>
      <c r="AG107" s="5112"/>
      <c r="AH107" s="5112"/>
      <c r="AI107" s="5112"/>
      <c r="AJ107" s="5112"/>
      <c r="AK107" s="5112"/>
      <c r="AL107" s="5112"/>
      <c r="AM107" s="5112"/>
      <c r="AN107" s="5112"/>
      <c r="AO107" s="5112"/>
      <c r="AP107" s="5112"/>
      <c r="AQ107" s="5112"/>
      <c r="AR107" s="5112"/>
      <c r="AS107" s="5112"/>
      <c r="AT107" s="5112"/>
      <c r="AU107" s="5112"/>
      <c r="AV107" s="5112"/>
      <c r="AW107" s="5112"/>
      <c r="AX107" s="5112"/>
      <c r="AY107" s="5112"/>
      <c r="AZ107" s="5112"/>
      <c r="BA107" s="5112"/>
      <c r="BB107" s="5112"/>
      <c r="BC107" s="5112"/>
      <c r="BD107" s="5112"/>
      <c r="BE107" s="5112"/>
      <c r="BF107" s="5112"/>
      <c r="BG107" s="5112"/>
      <c r="BH107" s="5112"/>
      <c r="BI107" s="5112"/>
      <c r="BJ107" s="5112"/>
      <c r="BK107" s="5112"/>
      <c r="BL107" s="4894"/>
      <c r="BM107" s="4894"/>
      <c r="BN107" s="4894"/>
      <c r="BO107" s="4894"/>
      <c r="BP107" s="4894"/>
      <c r="BQ107" s="4894"/>
      <c r="BR107" s="4894"/>
      <c r="BS107" s="4894"/>
      <c r="BT107" s="4894"/>
      <c r="BU107" s="4894"/>
      <c r="BV107" s="4894"/>
      <c r="BW107" s="4894"/>
      <c r="BX107" s="4894"/>
      <c r="BY107" s="4894"/>
      <c r="BZ107" s="4894"/>
      <c r="CA107" s="4894"/>
      <c r="CB107" s="4894"/>
      <c r="CC107" s="4894"/>
      <c r="CD107" s="4894"/>
      <c r="CE107" s="4894"/>
      <c r="CF107" s="4894"/>
      <c r="CG107" s="4894"/>
      <c r="CH107" s="4894"/>
      <c r="CI107" s="4894"/>
      <c r="CJ107" s="4894"/>
      <c r="CK107" s="4894"/>
      <c r="CL107" s="4894"/>
      <c r="CM107" s="4894"/>
      <c r="CN107" s="4894"/>
      <c r="CO107" s="4894"/>
      <c r="CP107" s="4894"/>
      <c r="CQ107" s="4894"/>
      <c r="CR107" s="4894"/>
      <c r="CS107" s="4894"/>
      <c r="CT107" s="4894"/>
    </row>
    <row r="108" spans="1:98" ht="13.5" thickBot="1">
      <c r="A108" s="1322"/>
      <c r="B108" s="1322"/>
      <c r="C108" s="1322"/>
      <c r="D108" s="1322"/>
      <c r="E108" s="1322"/>
      <c r="F108" s="1322"/>
      <c r="G108" s="1322"/>
      <c r="H108" s="1322"/>
      <c r="I108" s="1322"/>
      <c r="J108" s="1322"/>
      <c r="K108" s="1322"/>
      <c r="L108" s="1322"/>
      <c r="M108" s="1322"/>
      <c r="N108" s="1322"/>
      <c r="O108" s="1322"/>
      <c r="P108" s="1322"/>
      <c r="Q108" s="1322"/>
      <c r="R108" s="1322"/>
      <c r="S108" s="1322"/>
      <c r="T108" s="1322"/>
      <c r="U108" s="1322"/>
      <c r="V108" s="1322"/>
      <c r="W108" s="1322"/>
      <c r="X108" s="1322"/>
      <c r="Y108" s="1322"/>
      <c r="Z108" s="1322"/>
      <c r="AA108" s="1322"/>
      <c r="AB108" s="1322"/>
      <c r="AC108" s="1322"/>
      <c r="AD108" s="1322"/>
      <c r="AE108" s="1322"/>
      <c r="AF108" s="1322"/>
      <c r="AG108" s="1322"/>
      <c r="AH108" s="1322"/>
      <c r="AI108" s="1322"/>
      <c r="AJ108" s="384"/>
      <c r="AK108" s="384"/>
      <c r="AL108" s="1322"/>
      <c r="AM108" s="1322"/>
      <c r="AN108" s="1322"/>
      <c r="AO108" s="1322"/>
      <c r="AP108" s="1322"/>
      <c r="AQ108" s="1322"/>
      <c r="AR108" s="1322"/>
      <c r="AS108" s="1322"/>
      <c r="AT108" s="1322"/>
      <c r="AU108" s="1322"/>
      <c r="AV108" s="1322"/>
      <c r="AW108" s="1322"/>
      <c r="AX108" s="1322"/>
      <c r="AY108" s="1322"/>
      <c r="AZ108" s="2621"/>
      <c r="BA108" s="2621"/>
      <c r="BB108" s="2621"/>
      <c r="BC108" s="1322"/>
      <c r="BD108" s="2137"/>
      <c r="BE108" s="1322"/>
      <c r="BF108" s="1322"/>
      <c r="BG108" s="1322"/>
      <c r="BH108" s="2137"/>
      <c r="BI108" s="1322"/>
      <c r="BJ108" s="1322"/>
      <c r="BK108" s="1322"/>
    </row>
    <row r="109" spans="1:98" ht="21" thickBot="1">
      <c r="A109" s="5256" t="s">
        <v>545</v>
      </c>
      <c r="B109" s="5290" t="s">
        <v>58</v>
      </c>
      <c r="C109" s="5266" t="s">
        <v>59</v>
      </c>
      <c r="D109" s="5266"/>
      <c r="E109" s="5262" t="s">
        <v>67</v>
      </c>
      <c r="F109" s="5262"/>
      <c r="G109" s="5263" t="s">
        <v>95</v>
      </c>
      <c r="H109" s="5264"/>
      <c r="I109" s="5263" t="s">
        <v>124</v>
      </c>
      <c r="J109" s="5265"/>
      <c r="K109" s="5265"/>
      <c r="L109" s="5265"/>
      <c r="M109" s="5265"/>
      <c r="N109" s="5264"/>
      <c r="O109" s="5292" t="s">
        <v>163</v>
      </c>
      <c r="P109" s="5164"/>
      <c r="Q109" s="5164"/>
      <c r="R109" s="5164"/>
      <c r="S109" s="5164"/>
      <c r="T109" s="5164"/>
      <c r="U109" s="5164"/>
      <c r="V109" s="5164"/>
      <c r="W109" s="5164"/>
      <c r="X109" s="5164"/>
      <c r="Y109" s="5259" t="s">
        <v>238</v>
      </c>
      <c r="Z109" s="5269"/>
      <c r="AA109" s="5269"/>
      <c r="AB109" s="5269"/>
      <c r="AC109" s="5269"/>
      <c r="AD109" s="5269"/>
      <c r="AE109" s="5270"/>
      <c r="AF109" s="5270"/>
      <c r="AG109" s="5271"/>
      <c r="AH109" s="5259" t="s">
        <v>379</v>
      </c>
      <c r="AI109" s="5260"/>
      <c r="AJ109" s="5260"/>
      <c r="AK109" s="5260"/>
      <c r="AL109" s="5260"/>
      <c r="AM109" s="5260"/>
      <c r="AN109" s="5260"/>
      <c r="AO109" s="5260"/>
      <c r="AP109" s="5260"/>
      <c r="AQ109" s="5260"/>
      <c r="AR109" s="5260"/>
      <c r="AS109" s="5260"/>
      <c r="AT109" s="5260"/>
      <c r="AU109" s="5260"/>
      <c r="AV109" s="5260"/>
      <c r="AW109" s="5260"/>
      <c r="AX109" s="5260"/>
      <c r="AY109" s="5260"/>
      <c r="AZ109" s="5260"/>
      <c r="BA109" s="5260"/>
      <c r="BB109" s="5261"/>
      <c r="BC109" s="5275" t="s">
        <v>832</v>
      </c>
      <c r="BD109" s="5276"/>
      <c r="BE109" s="5276"/>
      <c r="BF109" s="5276"/>
      <c r="BG109" s="5276"/>
      <c r="BH109" s="5276"/>
      <c r="BI109" s="5276"/>
      <c r="BJ109" s="5277"/>
      <c r="BK109" s="5160" t="s">
        <v>160</v>
      </c>
      <c r="BL109" s="5245" t="s">
        <v>1658</v>
      </c>
      <c r="BM109" s="5246"/>
      <c r="BN109" s="5246"/>
      <c r="BO109" s="5246"/>
      <c r="BP109" s="5246"/>
      <c r="BQ109" s="5246"/>
      <c r="BR109" s="5246"/>
      <c r="BS109" s="5246"/>
      <c r="BT109" s="5247"/>
      <c r="BU109" s="5231" t="s">
        <v>911</v>
      </c>
      <c r="BV109" s="5232"/>
      <c r="BW109" s="5232"/>
      <c r="BX109" s="5232"/>
      <c r="BY109" s="5232"/>
      <c r="BZ109" s="5232"/>
      <c r="CA109" s="5232"/>
      <c r="CB109" s="5233"/>
      <c r="CC109" s="5160" t="s">
        <v>160</v>
      </c>
      <c r="CD109" s="5313" t="s">
        <v>1897</v>
      </c>
      <c r="CE109" s="5314"/>
      <c r="CF109" s="5314"/>
      <c r="CG109" s="5315"/>
      <c r="CH109" s="5315"/>
      <c r="CI109" s="5315"/>
      <c r="CJ109" s="5315"/>
      <c r="CK109" s="5315"/>
      <c r="CL109" s="5316"/>
      <c r="CM109" s="5231" t="s">
        <v>1849</v>
      </c>
      <c r="CN109" s="5232"/>
      <c r="CO109" s="5232"/>
      <c r="CP109" s="5232"/>
      <c r="CQ109" s="5232"/>
      <c r="CR109" s="5232"/>
      <c r="CS109" s="5232"/>
      <c r="CT109" s="5233"/>
    </row>
    <row r="110" spans="1:98" ht="19.5" customHeight="1" thickBot="1">
      <c r="A110" s="5257"/>
      <c r="B110" s="5279"/>
      <c r="C110" s="5267" t="s">
        <v>61</v>
      </c>
      <c r="D110" s="5267" t="s">
        <v>62</v>
      </c>
      <c r="E110" s="5267" t="s">
        <v>61</v>
      </c>
      <c r="F110" s="5272" t="s">
        <v>66</v>
      </c>
      <c r="G110" s="5267" t="s">
        <v>61</v>
      </c>
      <c r="H110" s="5272" t="s">
        <v>112</v>
      </c>
      <c r="I110" s="5267" t="s">
        <v>60</v>
      </c>
      <c r="J110" s="5272" t="s">
        <v>120</v>
      </c>
      <c r="K110" s="5272" t="s">
        <v>110</v>
      </c>
      <c r="L110" s="5272" t="s">
        <v>61</v>
      </c>
      <c r="M110" s="5267" t="s">
        <v>65</v>
      </c>
      <c r="N110" s="5267" t="s">
        <v>223</v>
      </c>
      <c r="O110" s="5273" t="s">
        <v>126</v>
      </c>
      <c r="P110" s="5273" t="s">
        <v>97</v>
      </c>
      <c r="Q110" s="5273" t="s">
        <v>127</v>
      </c>
      <c r="R110" s="5273" t="s">
        <v>97</v>
      </c>
      <c r="S110" s="5272" t="s">
        <v>161</v>
      </c>
      <c r="T110" s="5278" t="s">
        <v>23</v>
      </c>
      <c r="U110" s="5279"/>
      <c r="V110" s="5272" t="s">
        <v>110</v>
      </c>
      <c r="W110" s="5285" t="s">
        <v>385</v>
      </c>
      <c r="X110" s="5286"/>
      <c r="Y110" s="5297" t="s">
        <v>126</v>
      </c>
      <c r="Z110" s="5282" t="s">
        <v>97</v>
      </c>
      <c r="AA110" s="5234" t="s">
        <v>127</v>
      </c>
      <c r="AB110" s="5235"/>
      <c r="AC110" s="5235"/>
      <c r="AD110" s="5235"/>
      <c r="AE110" s="5234" t="s">
        <v>831</v>
      </c>
      <c r="AF110" s="5235"/>
      <c r="AG110" s="5235"/>
      <c r="AH110" s="5234" t="str">
        <f>Y110</f>
        <v>предложение предприятия</v>
      </c>
      <c r="AI110" s="5235"/>
      <c r="AJ110" s="5235"/>
      <c r="AK110" s="5235"/>
      <c r="AL110" s="5234" t="str">
        <f>AA110</f>
        <v>предложение агентства</v>
      </c>
      <c r="AM110" s="5235"/>
      <c r="AN110" s="5235"/>
      <c r="AO110" s="5235"/>
      <c r="AP110" s="1409"/>
      <c r="AQ110" s="1409"/>
      <c r="AR110" s="1409"/>
      <c r="AS110" s="1409"/>
      <c r="AT110" s="5234" t="s">
        <v>862</v>
      </c>
      <c r="AU110" s="5235"/>
      <c r="AV110" s="5235"/>
      <c r="AW110" s="5234" t="s">
        <v>863</v>
      </c>
      <c r="AX110" s="5235"/>
      <c r="AY110" s="5235"/>
      <c r="AZ110" s="5234" t="s">
        <v>1639</v>
      </c>
      <c r="BA110" s="5235"/>
      <c r="BB110" s="5235"/>
      <c r="BC110" s="5234" t="s">
        <v>864</v>
      </c>
      <c r="BD110" s="5234"/>
      <c r="BE110" s="5235"/>
      <c r="BF110" s="5235"/>
      <c r="BG110" s="5234" t="s">
        <v>865</v>
      </c>
      <c r="BH110" s="5234"/>
      <c r="BI110" s="5235"/>
      <c r="BJ110" s="5235"/>
      <c r="BK110" s="5251"/>
      <c r="BL110" s="5248"/>
      <c r="BM110" s="5249"/>
      <c r="BN110" s="5249"/>
      <c r="BO110" s="5249"/>
      <c r="BP110" s="5249"/>
      <c r="BQ110" s="5249"/>
      <c r="BR110" s="5249"/>
      <c r="BS110" s="5249"/>
      <c r="BT110" s="5250"/>
      <c r="BU110" s="5234" t="s">
        <v>1659</v>
      </c>
      <c r="BV110" s="5234"/>
      <c r="BW110" s="5235"/>
      <c r="BX110" s="5235"/>
      <c r="BY110" s="5234" t="s">
        <v>1660</v>
      </c>
      <c r="BZ110" s="5234"/>
      <c r="CA110" s="5235"/>
      <c r="CB110" s="5235"/>
      <c r="CC110" s="5251"/>
      <c r="CD110" s="5141" t="s">
        <v>598</v>
      </c>
      <c r="CE110" s="5142"/>
      <c r="CF110" s="5142"/>
      <c r="CG110" s="5142" t="s">
        <v>229</v>
      </c>
      <c r="CH110" s="5142"/>
      <c r="CI110" s="5142"/>
      <c r="CJ110" s="5142" t="s">
        <v>301</v>
      </c>
      <c r="CK110" s="5142"/>
      <c r="CL110" s="5143"/>
      <c r="CM110" s="5234" t="s">
        <v>126</v>
      </c>
      <c r="CN110" s="5234"/>
      <c r="CO110" s="5235"/>
      <c r="CP110" s="5235"/>
      <c r="CQ110" s="5234" t="s">
        <v>127</v>
      </c>
      <c r="CR110" s="5234"/>
      <c r="CS110" s="5235"/>
      <c r="CT110" s="5235"/>
    </row>
    <row r="111" spans="1:98" ht="18.75">
      <c r="A111" s="5257"/>
      <c r="B111" s="5279"/>
      <c r="C111" s="5267"/>
      <c r="D111" s="5267"/>
      <c r="E111" s="5267"/>
      <c r="F111" s="5273"/>
      <c r="G111" s="5267"/>
      <c r="H111" s="5273"/>
      <c r="I111" s="5267"/>
      <c r="J111" s="5273"/>
      <c r="K111" s="5273"/>
      <c r="L111" s="5273"/>
      <c r="M111" s="5267"/>
      <c r="N111" s="5267"/>
      <c r="O111" s="5273"/>
      <c r="P111" s="5273"/>
      <c r="Q111" s="5273"/>
      <c r="R111" s="5273"/>
      <c r="S111" s="5273"/>
      <c r="T111" s="5273" t="s">
        <v>164</v>
      </c>
      <c r="U111" s="5273" t="s">
        <v>165</v>
      </c>
      <c r="V111" s="5273"/>
      <c r="W111" s="5285"/>
      <c r="X111" s="5286"/>
      <c r="Y111" s="5298"/>
      <c r="Z111" s="5283"/>
      <c r="AA111" s="5236" t="s">
        <v>301</v>
      </c>
      <c r="AB111" s="1319"/>
      <c r="AC111" s="5240" t="s">
        <v>50</v>
      </c>
      <c r="AD111" s="5241"/>
      <c r="AE111" s="5236" t="s">
        <v>301</v>
      </c>
      <c r="AF111" s="5240" t="s">
        <v>50</v>
      </c>
      <c r="AG111" s="5241"/>
      <c r="AH111" s="5236" t="s">
        <v>301</v>
      </c>
      <c r="AI111" s="5240" t="s">
        <v>97</v>
      </c>
      <c r="AJ111" s="5240" t="s">
        <v>50</v>
      </c>
      <c r="AK111" s="5241"/>
      <c r="AL111" s="5236" t="s">
        <v>301</v>
      </c>
      <c r="AM111" s="5240" t="s">
        <v>97</v>
      </c>
      <c r="AN111" s="5240" t="s">
        <v>50</v>
      </c>
      <c r="AO111" s="5241"/>
      <c r="AP111" s="1326"/>
      <c r="AQ111" s="1320"/>
      <c r="AR111" s="1320"/>
      <c r="AS111" s="1327"/>
      <c r="AT111" s="5236" t="s">
        <v>301</v>
      </c>
      <c r="AU111" s="5240" t="s">
        <v>50</v>
      </c>
      <c r="AV111" s="5241"/>
      <c r="AW111" s="5236" t="s">
        <v>301</v>
      </c>
      <c r="AX111" s="5240" t="s">
        <v>50</v>
      </c>
      <c r="AY111" s="5241"/>
      <c r="AZ111" s="5236" t="s">
        <v>301</v>
      </c>
      <c r="BA111" s="5240" t="s">
        <v>50</v>
      </c>
      <c r="BB111" s="5241"/>
      <c r="BC111" s="5236" t="s">
        <v>301</v>
      </c>
      <c r="BD111" s="5238" t="s">
        <v>97</v>
      </c>
      <c r="BE111" s="5240" t="s">
        <v>50</v>
      </c>
      <c r="BF111" s="5241"/>
      <c r="BG111" s="5236" t="s">
        <v>301</v>
      </c>
      <c r="BH111" s="5238" t="s">
        <v>97</v>
      </c>
      <c r="BI111" s="5240" t="s">
        <v>50</v>
      </c>
      <c r="BJ111" s="5241"/>
      <c r="BK111" s="5251"/>
      <c r="BL111" s="5236" t="s">
        <v>301</v>
      </c>
      <c r="BM111" s="5240" t="s">
        <v>50</v>
      </c>
      <c r="BN111" s="5241"/>
      <c r="BO111" s="5236" t="s">
        <v>301</v>
      </c>
      <c r="BP111" s="5240" t="s">
        <v>50</v>
      </c>
      <c r="BQ111" s="5241"/>
      <c r="BR111" s="5236" t="s">
        <v>301</v>
      </c>
      <c r="BS111" s="5240" t="s">
        <v>50</v>
      </c>
      <c r="BT111" s="5241"/>
      <c r="BU111" s="5236" t="s">
        <v>301</v>
      </c>
      <c r="BV111" s="5238" t="s">
        <v>97</v>
      </c>
      <c r="BW111" s="5240" t="s">
        <v>50</v>
      </c>
      <c r="BX111" s="5241"/>
      <c r="BY111" s="5236" t="s">
        <v>301</v>
      </c>
      <c r="BZ111" s="5243" t="s">
        <v>97</v>
      </c>
      <c r="CA111" s="5240" t="s">
        <v>50</v>
      </c>
      <c r="CB111" s="5241"/>
      <c r="CC111" s="5251"/>
      <c r="CD111" s="5317" t="s">
        <v>301</v>
      </c>
      <c r="CE111" s="5318" t="s">
        <v>50</v>
      </c>
      <c r="CF111" s="5319"/>
      <c r="CG111" s="5318" t="s">
        <v>301</v>
      </c>
      <c r="CH111" s="5318" t="s">
        <v>50</v>
      </c>
      <c r="CI111" s="5319"/>
      <c r="CJ111" s="5318" t="s">
        <v>301</v>
      </c>
      <c r="CK111" s="5318" t="s">
        <v>50</v>
      </c>
      <c r="CL111" s="5320"/>
      <c r="CM111" s="5236" t="s">
        <v>301</v>
      </c>
      <c r="CN111" s="5238" t="s">
        <v>97</v>
      </c>
      <c r="CO111" s="5240" t="s">
        <v>50</v>
      </c>
      <c r="CP111" s="5241"/>
      <c r="CQ111" s="5236" t="s">
        <v>301</v>
      </c>
      <c r="CR111" s="5243" t="s">
        <v>97</v>
      </c>
      <c r="CS111" s="5240" t="s">
        <v>50</v>
      </c>
      <c r="CT111" s="5241"/>
    </row>
    <row r="112" spans="1:98" ht="57" thickBot="1">
      <c r="A112" s="5258"/>
      <c r="B112" s="5291"/>
      <c r="C112" s="5268"/>
      <c r="D112" s="5268"/>
      <c r="E112" s="5268"/>
      <c r="F112" s="5274"/>
      <c r="G112" s="5268"/>
      <c r="H112" s="5274"/>
      <c r="I112" s="5268"/>
      <c r="J112" s="5274"/>
      <c r="K112" s="5274"/>
      <c r="L112" s="5274"/>
      <c r="M112" s="5268"/>
      <c r="N112" s="5268"/>
      <c r="O112" s="5274"/>
      <c r="P112" s="5274"/>
      <c r="Q112" s="5274"/>
      <c r="R112" s="5274"/>
      <c r="S112" s="5274"/>
      <c r="T112" s="5274"/>
      <c r="U112" s="5274"/>
      <c r="V112" s="5274"/>
      <c r="W112" s="1427" t="str">
        <f>T111</f>
        <v>питьевая</v>
      </c>
      <c r="X112" s="1428" t="str">
        <f>U111</f>
        <v>техническая</v>
      </c>
      <c r="Y112" s="5299"/>
      <c r="Z112" s="5284"/>
      <c r="AA112" s="5237"/>
      <c r="AB112" s="1250"/>
      <c r="AC112" s="1250" t="s">
        <v>383</v>
      </c>
      <c r="AD112" s="593" t="s">
        <v>384</v>
      </c>
      <c r="AE112" s="5255"/>
      <c r="AF112" s="1250" t="s">
        <v>383</v>
      </c>
      <c r="AG112" s="593" t="s">
        <v>384</v>
      </c>
      <c r="AH112" s="5237"/>
      <c r="AI112" s="5280"/>
      <c r="AJ112" s="1250" t="s">
        <v>383</v>
      </c>
      <c r="AK112" s="593" t="s">
        <v>384</v>
      </c>
      <c r="AL112" s="5255"/>
      <c r="AM112" s="5280"/>
      <c r="AN112" s="1250" t="s">
        <v>383</v>
      </c>
      <c r="AO112" s="593" t="s">
        <v>384</v>
      </c>
      <c r="AP112" s="1429"/>
      <c r="AQ112" s="1430" t="s">
        <v>370</v>
      </c>
      <c r="AR112" s="1430" t="s">
        <v>371</v>
      </c>
      <c r="AS112" s="1431"/>
      <c r="AT112" s="5255"/>
      <c r="AU112" s="1250" t="s">
        <v>383</v>
      </c>
      <c r="AV112" s="593" t="s">
        <v>384</v>
      </c>
      <c r="AW112" s="5255"/>
      <c r="AX112" s="1250" t="s">
        <v>383</v>
      </c>
      <c r="AY112" s="593" t="s">
        <v>384</v>
      </c>
      <c r="AZ112" s="5255"/>
      <c r="BA112" s="2620" t="s">
        <v>383</v>
      </c>
      <c r="BB112" s="593" t="s">
        <v>384</v>
      </c>
      <c r="BC112" s="5237"/>
      <c r="BD112" s="5239"/>
      <c r="BE112" s="1250" t="s">
        <v>383</v>
      </c>
      <c r="BF112" s="593" t="s">
        <v>384</v>
      </c>
      <c r="BG112" s="5242"/>
      <c r="BH112" s="5300"/>
      <c r="BI112" s="2150" t="s">
        <v>383</v>
      </c>
      <c r="BJ112" s="2151" t="s">
        <v>384</v>
      </c>
      <c r="BK112" s="5252"/>
      <c r="BL112" s="5255"/>
      <c r="BM112" s="2867" t="s">
        <v>383</v>
      </c>
      <c r="BN112" s="2868" t="s">
        <v>384</v>
      </c>
      <c r="BO112" s="5255"/>
      <c r="BP112" s="2867" t="s">
        <v>383</v>
      </c>
      <c r="BQ112" s="2868" t="s">
        <v>384</v>
      </c>
      <c r="BR112" s="5255"/>
      <c r="BS112" s="2867" t="s">
        <v>383</v>
      </c>
      <c r="BT112" s="2868" t="s">
        <v>384</v>
      </c>
      <c r="BU112" s="5237"/>
      <c r="BV112" s="5239"/>
      <c r="BW112" s="3767" t="s">
        <v>383</v>
      </c>
      <c r="BX112" s="593" t="s">
        <v>384</v>
      </c>
      <c r="BY112" s="5242"/>
      <c r="BZ112" s="5244"/>
      <c r="CA112" s="2150" t="s">
        <v>383</v>
      </c>
      <c r="CB112" s="2151" t="s">
        <v>384</v>
      </c>
      <c r="CC112" s="5252"/>
      <c r="CD112" s="5306"/>
      <c r="CE112" s="3968" t="s">
        <v>383</v>
      </c>
      <c r="CF112" s="3968" t="s">
        <v>384</v>
      </c>
      <c r="CG112" s="5310"/>
      <c r="CH112" s="3968" t="s">
        <v>383</v>
      </c>
      <c r="CI112" s="3968" t="s">
        <v>384</v>
      </c>
      <c r="CJ112" s="5310"/>
      <c r="CK112" s="3968" t="s">
        <v>383</v>
      </c>
      <c r="CL112" s="3969" t="s">
        <v>384</v>
      </c>
      <c r="CM112" s="5237"/>
      <c r="CN112" s="5239"/>
      <c r="CO112" s="4111" t="s">
        <v>383</v>
      </c>
      <c r="CP112" s="593" t="s">
        <v>384</v>
      </c>
      <c r="CQ112" s="5242"/>
      <c r="CR112" s="5244"/>
      <c r="CS112" s="2150" t="s">
        <v>383</v>
      </c>
      <c r="CT112" s="2151" t="s">
        <v>384</v>
      </c>
    </row>
    <row r="113" spans="1:98" ht="21" customHeight="1">
      <c r="A113" s="1279" t="s">
        <v>1</v>
      </c>
      <c r="B113" s="430"/>
      <c r="C113" s="430"/>
      <c r="D113" s="430"/>
      <c r="E113" s="430"/>
      <c r="F113" s="430"/>
      <c r="G113" s="430"/>
      <c r="H113" s="430"/>
      <c r="I113" s="430"/>
      <c r="J113" s="430"/>
      <c r="K113" s="430"/>
      <c r="L113" s="430"/>
      <c r="M113" s="430"/>
      <c r="N113" s="430"/>
      <c r="O113" s="430"/>
      <c r="P113" s="430"/>
      <c r="Q113" s="430"/>
      <c r="R113" s="430"/>
      <c r="S113" s="430"/>
      <c r="T113" s="430"/>
      <c r="U113" s="430"/>
      <c r="V113" s="430"/>
      <c r="W113" s="430"/>
      <c r="X113" s="430"/>
      <c r="Y113" s="1448">
        <f>SUM(Y9+Y18)</f>
        <v>14248.9</v>
      </c>
      <c r="Z113" s="1446"/>
      <c r="AA113" s="1438">
        <f t="shared" ref="AA113:AD113" si="267">SUM(AA9+AA18)</f>
        <v>10632.187629227585</v>
      </c>
      <c r="AB113" s="1438" t="e">
        <f t="shared" si="267"/>
        <v>#REF!</v>
      </c>
      <c r="AC113" s="1438">
        <f t="shared" si="267"/>
        <v>10580.935255861641</v>
      </c>
      <c r="AD113" s="1439">
        <f t="shared" si="267"/>
        <v>51.25237336594455</v>
      </c>
      <c r="AE113" s="1437">
        <f t="shared" ref="AE113:AH113" si="268">SUM(AE9+AE18)</f>
        <v>10706.2</v>
      </c>
      <c r="AF113" s="1438">
        <f t="shared" si="268"/>
        <v>10649.963852438723</v>
      </c>
      <c r="AG113" s="1439">
        <f t="shared" si="268"/>
        <v>56.236147561277903</v>
      </c>
      <c r="AH113" s="1437">
        <f t="shared" si="268"/>
        <v>11185.75</v>
      </c>
      <c r="AI113" s="1443">
        <f t="shared" ref="AI113:AI136" si="269">SUM(AH113/AA113)</f>
        <v>1.052064766920656</v>
      </c>
      <c r="AJ113" s="1438">
        <f t="shared" ref="AJ113:AK113" si="270">SUM(AJ9+AJ18)</f>
        <v>11125.779999999999</v>
      </c>
      <c r="AK113" s="1439">
        <f t="shared" si="270"/>
        <v>59.97</v>
      </c>
      <c r="AL113" s="1437">
        <f t="shared" ref="AL113:AO113" si="271">SUM(AL9+AL18)</f>
        <v>9764.1258207348183</v>
      </c>
      <c r="AM113" s="1443">
        <f t="shared" ref="AM113:AM136" si="272">SUM(AL113/AA113)</f>
        <v>0.91835529631677215</v>
      </c>
      <c r="AN113" s="1438">
        <f t="shared" si="271"/>
        <v>9711.8097209720399</v>
      </c>
      <c r="AO113" s="1439">
        <f t="shared" si="271"/>
        <v>52.316099762777412</v>
      </c>
      <c r="AP113" s="430"/>
      <c r="AQ113" s="430"/>
      <c r="AR113" s="430"/>
      <c r="AS113" s="430"/>
      <c r="AT113" s="1437">
        <f t="shared" ref="AT113:AV113" si="273">SUM(AT9+AT18)</f>
        <v>4771</v>
      </c>
      <c r="AU113" s="1438">
        <f t="shared" si="273"/>
        <v>4756.9013504280374</v>
      </c>
      <c r="AV113" s="1439">
        <f t="shared" si="273"/>
        <v>14.098649571962596</v>
      </c>
      <c r="AW113" s="1437">
        <f t="shared" ref="AW113:AY113" si="274">SUM(AW9+AW18)</f>
        <v>6969.9</v>
      </c>
      <c r="AX113" s="1438">
        <f t="shared" si="274"/>
        <v>6952.9966946433324</v>
      </c>
      <c r="AY113" s="2648">
        <f t="shared" si="274"/>
        <v>16.903305356667261</v>
      </c>
      <c r="AZ113" s="1437">
        <f t="shared" ref="AZ113:BB113" si="275">SUM(AZ9+AZ18)</f>
        <v>9901.2000000000007</v>
      </c>
      <c r="BA113" s="1438">
        <f t="shared" si="275"/>
        <v>9882.8210023753963</v>
      </c>
      <c r="BB113" s="2648">
        <f t="shared" si="275"/>
        <v>18.378997624602562</v>
      </c>
      <c r="BC113" s="1437">
        <f t="shared" ref="BC113:BF113" si="276">SUM(BC9+BC18)</f>
        <v>10789.21</v>
      </c>
      <c r="BD113" s="2144">
        <f t="shared" ref="BD113:BD136" si="277">SUM(BC113/AL113)</f>
        <v>1.1049847367890673</v>
      </c>
      <c r="BE113" s="1438">
        <f t="shared" si="276"/>
        <v>10761.038575061768</v>
      </c>
      <c r="BF113" s="1439">
        <f t="shared" si="276"/>
        <v>28.171424938233031</v>
      </c>
      <c r="BG113" s="1437">
        <f t="shared" ref="BG113:BJ113" si="278">SUM(BG9+BG18)</f>
        <v>9240.9366810833944</v>
      </c>
      <c r="BH113" s="2147">
        <f>BG113/AL113</f>
        <v>0.94641720628585158</v>
      </c>
      <c r="BI113" s="1438">
        <f t="shared" si="278"/>
        <v>9220.2964819146728</v>
      </c>
      <c r="BJ113" s="1439">
        <f t="shared" si="278"/>
        <v>20.640199168723029</v>
      </c>
      <c r="BK113" s="1444"/>
      <c r="BL113" s="2885">
        <f t="shared" ref="BL113:BU113" si="279">SUM(BL9+BL18)</f>
        <v>5524.85</v>
      </c>
      <c r="BM113" s="2886">
        <f t="shared" si="279"/>
        <v>5524.04628127469</v>
      </c>
      <c r="BN113" s="2887">
        <f t="shared" si="279"/>
        <v>0.8037187253095226</v>
      </c>
      <c r="BO113" s="2885">
        <f t="shared" si="279"/>
        <v>7617.33</v>
      </c>
      <c r="BP113" s="2886">
        <f t="shared" si="279"/>
        <v>7616.3432720983255</v>
      </c>
      <c r="BQ113" s="2888">
        <f t="shared" si="279"/>
        <v>0.98672790167461244</v>
      </c>
      <c r="BR113" s="2885">
        <f t="shared" si="279"/>
        <v>10452.76</v>
      </c>
      <c r="BS113" s="2886">
        <f t="shared" si="279"/>
        <v>10451.462136888651</v>
      </c>
      <c r="BT113" s="2887">
        <f t="shared" si="279"/>
        <v>1.2978631113503525</v>
      </c>
      <c r="BU113" s="2885">
        <f t="shared" si="279"/>
        <v>9859.6723553297688</v>
      </c>
      <c r="BV113" s="2144">
        <f>SUM(BU113/BG113)</f>
        <v>1.066955947822146</v>
      </c>
      <c r="BW113" s="2886">
        <f t="shared" ref="BW113:BY113" si="280">SUM(BW9+BW18)</f>
        <v>9839.6176473047071</v>
      </c>
      <c r="BX113" s="2887">
        <f t="shared" si="280"/>
        <v>20.0547080250617</v>
      </c>
      <c r="BY113" s="2885">
        <f t="shared" si="280"/>
        <v>8799.36</v>
      </c>
      <c r="BZ113" s="2138">
        <f t="shared" ref="BZ113:BZ136" si="281">SUM(BY113/BG113)</f>
        <v>0.95221515996453898</v>
      </c>
      <c r="CA113" s="2886">
        <f t="shared" ref="CA113:CB113" si="282">SUM(CA9+CA18)</f>
        <v>8778.432462107814</v>
      </c>
      <c r="CB113" s="2887">
        <f t="shared" si="282"/>
        <v>20.927537892185683</v>
      </c>
      <c r="CC113" s="1444"/>
      <c r="CD113" s="2696">
        <f t="shared" ref="CD113:CE113" si="283">SUM(CD9+CD18)</f>
        <v>5284.31</v>
      </c>
      <c r="CE113" s="2697">
        <f t="shared" si="283"/>
        <v>5283.7298533604007</v>
      </c>
      <c r="CF113" s="2697">
        <f t="shared" ref="CF113:CH113" si="284">SUM(CF9+CF18)</f>
        <v>0.58014663959920654</v>
      </c>
      <c r="CG113" s="2697">
        <f t="shared" si="284"/>
        <v>8098.9</v>
      </c>
      <c r="CH113" s="2697">
        <f t="shared" si="284"/>
        <v>8098.1189172863478</v>
      </c>
      <c r="CI113" s="2697">
        <f t="shared" ref="CI113:CK113" si="285">SUM(CI9+CI18)</f>
        <v>0.78108271365158544</v>
      </c>
      <c r="CJ113" s="2697">
        <f t="shared" si="285"/>
        <v>10957.859999976852</v>
      </c>
      <c r="CK113" s="2697">
        <f t="shared" si="285"/>
        <v>10956.802360528429</v>
      </c>
      <c r="CL113" s="2697">
        <f t="shared" ref="CL113" si="286">SUM(CL9+CL18)</f>
        <v>1.0576394484237426</v>
      </c>
      <c r="CM113" s="2885">
        <f t="shared" ref="CM113" si="287">SUM(CM9+CM18)</f>
        <v>9346.5909530999998</v>
      </c>
      <c r="CN113" s="4359">
        <f t="shared" ref="CN113:CN136" si="288">SUM(CM113/BY113)</f>
        <v>1.0621898584783438</v>
      </c>
      <c r="CO113" s="2886">
        <f t="shared" ref="CO113:CQ113" si="289">SUM(CO9+CO18)</f>
        <v>9324.1652976000005</v>
      </c>
      <c r="CP113" s="2887">
        <f t="shared" si="289"/>
        <v>22.425655500000175</v>
      </c>
      <c r="CQ113" s="2885">
        <f t="shared" si="289"/>
        <v>9024.296779152719</v>
      </c>
      <c r="CR113" s="4359">
        <f t="shared" ref="CR113:CR136" si="290">SUM(CQ113/BY113)</f>
        <v>1.0255628567478452</v>
      </c>
      <c r="CS113" s="2886">
        <f t="shared" ref="CS113:CT113" si="291">SUM(CS9+CS18)</f>
        <v>9000.702411125807</v>
      </c>
      <c r="CT113" s="2887">
        <f t="shared" si="291"/>
        <v>23.59436802691198</v>
      </c>
    </row>
    <row r="114" spans="1:98" ht="21" customHeight="1">
      <c r="A114" s="1279" t="s">
        <v>2</v>
      </c>
      <c r="B114" s="430"/>
      <c r="C114" s="430"/>
      <c r="D114" s="430"/>
      <c r="E114" s="430"/>
      <c r="F114" s="430"/>
      <c r="G114" s="430"/>
      <c r="H114" s="430"/>
      <c r="I114" s="430"/>
      <c r="J114" s="430"/>
      <c r="K114" s="430"/>
      <c r="L114" s="430"/>
      <c r="M114" s="430"/>
      <c r="N114" s="430"/>
      <c r="O114" s="430"/>
      <c r="P114" s="430"/>
      <c r="Q114" s="430"/>
      <c r="R114" s="430"/>
      <c r="S114" s="430"/>
      <c r="T114" s="430"/>
      <c r="U114" s="430"/>
      <c r="V114" s="430"/>
      <c r="W114" s="430"/>
      <c r="X114" s="430"/>
      <c r="Y114" s="1449">
        <f>SUM(Y10+Y20+Y29+Y36)</f>
        <v>7436.7999999999993</v>
      </c>
      <c r="Z114" s="1447"/>
      <c r="AA114" s="1441">
        <f t="shared" ref="AA114:AD114" si="292">SUM(AA10+AA20+AA29+AA36)</f>
        <v>7295.0999999999995</v>
      </c>
      <c r="AB114" s="1441">
        <f t="shared" si="292"/>
        <v>4.1429188038024671</v>
      </c>
      <c r="AC114" s="1441">
        <f t="shared" si="292"/>
        <v>7218.8177829327269</v>
      </c>
      <c r="AD114" s="1442">
        <f t="shared" si="292"/>
        <v>76.2822170672722</v>
      </c>
      <c r="AE114" s="1440">
        <f t="shared" ref="AE114:AH114" si="293">SUM(AE10+AE20+AE29+AE36)</f>
        <v>7609.7999999999993</v>
      </c>
      <c r="AF114" s="1441">
        <f t="shared" si="293"/>
        <v>7528.8401683585043</v>
      </c>
      <c r="AG114" s="1442">
        <f t="shared" si="293"/>
        <v>80.959831641495228</v>
      </c>
      <c r="AH114" s="1440">
        <f t="shared" si="293"/>
        <v>7550.3</v>
      </c>
      <c r="AI114" s="1264">
        <f t="shared" si="269"/>
        <v>1.0349823854368001</v>
      </c>
      <c r="AJ114" s="1441">
        <f t="shared" ref="AJ114:AK114" si="294">SUM(AJ10+AJ20+AJ29+AJ36)</f>
        <v>7472.56</v>
      </c>
      <c r="AK114" s="1442">
        <f t="shared" si="294"/>
        <v>77.739999999999995</v>
      </c>
      <c r="AL114" s="1440">
        <f t="shared" ref="AL114:AO114" si="295">SUM(AL10+AL20+AL29+AL36)</f>
        <v>7550.3</v>
      </c>
      <c r="AM114" s="1264">
        <f t="shared" si="272"/>
        <v>1.0349823854368001</v>
      </c>
      <c r="AN114" s="1441">
        <f t="shared" si="295"/>
        <v>7472.5617749975318</v>
      </c>
      <c r="AO114" s="1442">
        <f t="shared" si="295"/>
        <v>77.738225002467686</v>
      </c>
      <c r="AP114" s="430"/>
      <c r="AQ114" s="430"/>
      <c r="AR114" s="430"/>
      <c r="AS114" s="430"/>
      <c r="AT114" s="1440">
        <f t="shared" ref="AT114:AV114" si="296">SUM(AT10+AT20+AT29+AT36)</f>
        <v>3993.2199999999993</v>
      </c>
      <c r="AU114" s="1441">
        <f t="shared" si="296"/>
        <v>3970.7304376833731</v>
      </c>
      <c r="AV114" s="1442">
        <f t="shared" si="296"/>
        <v>22.489562316627246</v>
      </c>
      <c r="AW114" s="1440">
        <f t="shared" ref="AW114:AY114" si="297">SUM(AW10+AW20+AW29+AW36)</f>
        <v>6102.07</v>
      </c>
      <c r="AX114" s="1441">
        <f t="shared" si="297"/>
        <v>6071.6187511384487</v>
      </c>
      <c r="AY114" s="2649">
        <f t="shared" si="297"/>
        <v>30.451248861550539</v>
      </c>
      <c r="AZ114" s="1440">
        <f t="shared" ref="AZ114:BB114" si="298">SUM(AZ10+AZ20+AZ29+AZ36)</f>
        <v>8296.6500000000015</v>
      </c>
      <c r="BA114" s="1441">
        <f t="shared" si="298"/>
        <v>8264.1877359658465</v>
      </c>
      <c r="BB114" s="2649">
        <f t="shared" si="298"/>
        <v>32.462264034154586</v>
      </c>
      <c r="BC114" s="1440">
        <f t="shared" ref="BC114:BF114" si="299">SUM(BC10+BC20+BC29+BC36)</f>
        <v>7550.3</v>
      </c>
      <c r="BD114" s="2139">
        <f t="shared" si="277"/>
        <v>1</v>
      </c>
      <c r="BE114" s="1441">
        <f t="shared" si="299"/>
        <v>7513.8271599000345</v>
      </c>
      <c r="BF114" s="1442">
        <f t="shared" si="299"/>
        <v>36.472840099964401</v>
      </c>
      <c r="BG114" s="2152">
        <f t="shared" ref="BG114:BJ114" si="300">SUM(BG10+BG20+BG29+BG36)</f>
        <v>8136.0933333333332</v>
      </c>
      <c r="BH114" s="2149">
        <f t="shared" ref="BH114:BH123" si="301">BG114/AL114</f>
        <v>1.077585438106212</v>
      </c>
      <c r="BI114" s="2153">
        <f t="shared" si="300"/>
        <v>8100.8420048286598</v>
      </c>
      <c r="BJ114" s="2154">
        <f t="shared" si="300"/>
        <v>35.251328504673751</v>
      </c>
      <c r="BK114" s="1445"/>
      <c r="BL114" s="2889">
        <f t="shared" ref="BL114:BU114" si="302">SUM(BL10+BL20+BL29+BL36)</f>
        <v>4386.96</v>
      </c>
      <c r="BM114" s="2890">
        <f t="shared" si="302"/>
        <v>4384.0740877666576</v>
      </c>
      <c r="BN114" s="2891">
        <f t="shared" si="302"/>
        <v>2.8859122333422107</v>
      </c>
      <c r="BO114" s="2889">
        <f t="shared" si="302"/>
        <v>6404.4</v>
      </c>
      <c r="BP114" s="2890">
        <f t="shared" si="302"/>
        <v>6400.4842678941131</v>
      </c>
      <c r="BQ114" s="2892">
        <f t="shared" si="302"/>
        <v>3.9157321058873009</v>
      </c>
      <c r="BR114" s="2889">
        <f t="shared" si="302"/>
        <v>8497.9000000000015</v>
      </c>
      <c r="BS114" s="2890">
        <f t="shared" si="302"/>
        <v>8493.089085223357</v>
      </c>
      <c r="BT114" s="2891">
        <f t="shared" si="302"/>
        <v>4.8109147766437275</v>
      </c>
      <c r="BU114" s="3805">
        <f t="shared" si="302"/>
        <v>8296.6500000000015</v>
      </c>
      <c r="BV114" s="2139">
        <f>SUM(BU114/BG114)</f>
        <v>1.019733877192494</v>
      </c>
      <c r="BW114" s="1015">
        <f t="shared" ref="BW114:BY114" si="303">SUM(BW10+BW20+BW29+BW36)</f>
        <v>8264.6523277909746</v>
      </c>
      <c r="BX114" s="3806">
        <f t="shared" si="303"/>
        <v>31.997672209026362</v>
      </c>
      <c r="BY114" s="3807">
        <f t="shared" si="303"/>
        <v>8296.68</v>
      </c>
      <c r="BZ114" s="2139">
        <f t="shared" si="281"/>
        <v>1.0197375644658289</v>
      </c>
      <c r="CA114" s="3808">
        <f t="shared" ref="CA114:CB114" si="304">SUM(CA10+CA20+CA29+CA36)</f>
        <v>8277.2407919081052</v>
      </c>
      <c r="CB114" s="3809">
        <f t="shared" si="304"/>
        <v>19.43920809189558</v>
      </c>
      <c r="CC114" s="1445"/>
      <c r="CD114" s="3980">
        <f t="shared" ref="CD114:CE114" si="305">SUM(CD10+CD20+CD29+CD36)</f>
        <v>4743.4799999999996</v>
      </c>
      <c r="CE114" s="3981">
        <f t="shared" si="305"/>
        <v>4741.4004507170011</v>
      </c>
      <c r="CF114" s="3981">
        <f t="shared" ref="CF114:CH114" si="306">SUM(CF10+CF20+CF29+CF36)</f>
        <v>2.0795492829990962</v>
      </c>
      <c r="CG114" s="3981">
        <f t="shared" si="306"/>
        <v>7471.7499999999991</v>
      </c>
      <c r="CH114" s="3981">
        <f t="shared" si="306"/>
        <v>7469.0055508828154</v>
      </c>
      <c r="CI114" s="3981">
        <f t="shared" ref="CI114:CK114" si="307">SUM(CI10+CI20+CI29+CI36)</f>
        <v>2.7444491171841037</v>
      </c>
      <c r="CJ114" s="3981">
        <f t="shared" si="307"/>
        <v>9962.3333333333321</v>
      </c>
      <c r="CK114" s="3981">
        <f t="shared" si="307"/>
        <v>9958.6711943399459</v>
      </c>
      <c r="CL114" s="3981">
        <f t="shared" ref="CL114" si="308">SUM(CL10+CL20+CL29+CL36)</f>
        <v>3.6621389933879982</v>
      </c>
      <c r="CM114" s="3805">
        <f t="shared" ref="CM114" si="309">SUM(CM10+CM20+CM29+CM36)</f>
        <v>8497.9000000000015</v>
      </c>
      <c r="CN114" s="4359">
        <f t="shared" si="288"/>
        <v>1.0242530747238656</v>
      </c>
      <c r="CO114" s="1015">
        <f t="shared" ref="CO114:CQ114" si="310">SUM(CO10+CO20+CO29+CO36)</f>
        <v>8478.724838709677</v>
      </c>
      <c r="CP114" s="3806">
        <f t="shared" si="310"/>
        <v>19.175161290322649</v>
      </c>
      <c r="CQ114" s="3807">
        <f t="shared" si="310"/>
        <v>8497.9000000000015</v>
      </c>
      <c r="CR114" s="4359">
        <f t="shared" si="290"/>
        <v>1.0242530747238656</v>
      </c>
      <c r="CS114" s="3808">
        <f t="shared" ref="CS114:CT114" si="311">SUM(CS10+CS20+CS29+CS36)</f>
        <v>8476.8043680103401</v>
      </c>
      <c r="CT114" s="3809">
        <f t="shared" si="311"/>
        <v>21.095631989661342</v>
      </c>
    </row>
    <row r="115" spans="1:98" ht="21" customHeight="1">
      <c r="A115" s="1279" t="s">
        <v>3</v>
      </c>
      <c r="B115" s="430"/>
      <c r="C115" s="430"/>
      <c r="D115" s="430"/>
      <c r="E115" s="430"/>
      <c r="F115" s="430"/>
      <c r="G115" s="430"/>
      <c r="H115" s="430"/>
      <c r="I115" s="430"/>
      <c r="J115" s="430"/>
      <c r="K115" s="430"/>
      <c r="L115" s="430"/>
      <c r="M115" s="430"/>
      <c r="N115" s="430"/>
      <c r="O115" s="430"/>
      <c r="P115" s="430"/>
      <c r="Q115" s="430"/>
      <c r="R115" s="430"/>
      <c r="S115" s="430"/>
      <c r="T115" s="430"/>
      <c r="U115" s="430"/>
      <c r="V115" s="430"/>
      <c r="W115" s="430"/>
      <c r="X115" s="430"/>
      <c r="Y115" s="1449">
        <f>SUM(Y12+Y22+Y28+Y38)</f>
        <v>4740</v>
      </c>
      <c r="Z115" s="1447"/>
      <c r="AA115" s="1441">
        <f t="shared" ref="AA115:AD115" si="312">SUM(AA12+AA22+AA28+AA38)</f>
        <v>780</v>
      </c>
      <c r="AB115" s="1441">
        <f t="shared" si="312"/>
        <v>0</v>
      </c>
      <c r="AC115" s="1441">
        <f t="shared" si="312"/>
        <v>771.14555056512506</v>
      </c>
      <c r="AD115" s="1442">
        <f t="shared" si="312"/>
        <v>8.8544494348749367</v>
      </c>
      <c r="AE115" s="1440">
        <f t="shared" ref="AE115:AH115" si="313">SUM(AE12+AE22+AE28+AE38)</f>
        <v>2799.1</v>
      </c>
      <c r="AF115" s="1441">
        <f t="shared" si="313"/>
        <v>2799.1</v>
      </c>
      <c r="AG115" s="1442">
        <f t="shared" si="313"/>
        <v>0</v>
      </c>
      <c r="AH115" s="1440">
        <f t="shared" si="313"/>
        <v>3679.26</v>
      </c>
      <c r="AI115" s="1264">
        <f t="shared" si="269"/>
        <v>4.7170000000000005</v>
      </c>
      <c r="AJ115" s="1441">
        <f t="shared" ref="AJ115:AK115" si="314">SUM(AJ12+AJ22+AJ28+AJ38)</f>
        <v>3670</v>
      </c>
      <c r="AK115" s="1442">
        <f t="shared" si="314"/>
        <v>9.26</v>
      </c>
      <c r="AL115" s="1440">
        <f t="shared" ref="AL115:AO115" si="315">SUM(AL12+AL22+AL28+AL38)</f>
        <v>215.84899999999999</v>
      </c>
      <c r="AM115" s="1264">
        <f t="shared" si="272"/>
        <v>0.27672948717948714</v>
      </c>
      <c r="AN115" s="1441">
        <f t="shared" si="315"/>
        <v>215.84899999999999</v>
      </c>
      <c r="AO115" s="1442">
        <f t="shared" si="315"/>
        <v>0</v>
      </c>
      <c r="AP115" s="430"/>
      <c r="AQ115" s="430"/>
      <c r="AR115" s="430"/>
      <c r="AS115" s="430"/>
      <c r="AT115" s="1440">
        <f t="shared" ref="AT115:AV115" si="316">SUM(AT12+AT22+AT28+AT38)</f>
        <v>2859.89</v>
      </c>
      <c r="AU115" s="1441">
        <f t="shared" si="316"/>
        <v>2859.89</v>
      </c>
      <c r="AV115" s="1442">
        <f t="shared" si="316"/>
        <v>0</v>
      </c>
      <c r="AW115" s="1440">
        <f t="shared" ref="AW115:AY115" si="317">SUM(AW12+AW22+AW28+AW38)</f>
        <v>3640.4300000000003</v>
      </c>
      <c r="AX115" s="1441">
        <f t="shared" si="317"/>
        <v>3640.4300000000003</v>
      </c>
      <c r="AY115" s="2649">
        <f t="shared" si="317"/>
        <v>0</v>
      </c>
      <c r="AZ115" s="1440">
        <f t="shared" ref="AZ115:BB115" si="318">SUM(AZ12+AZ22+AZ28+AZ38)</f>
        <v>4225</v>
      </c>
      <c r="BA115" s="1441">
        <f t="shared" si="318"/>
        <v>4225</v>
      </c>
      <c r="BB115" s="2649">
        <f t="shared" si="318"/>
        <v>0</v>
      </c>
      <c r="BC115" s="1440">
        <f t="shared" ref="BC115:BF115" si="319">SUM(BC12+BC22+BC28+BC38)</f>
        <v>2762.73</v>
      </c>
      <c r="BD115" s="2139">
        <f t="shared" si="277"/>
        <v>12.799364370462685</v>
      </c>
      <c r="BE115" s="1441">
        <f t="shared" si="319"/>
        <v>4100.2159999999994</v>
      </c>
      <c r="BF115" s="1442">
        <f t="shared" si="319"/>
        <v>0</v>
      </c>
      <c r="BG115" s="2152">
        <f t="shared" ref="BG115:BJ115" si="320">SUM(BG12+BG22+BG28+BG38)</f>
        <v>500.53977966101695</v>
      </c>
      <c r="BH115" s="2149">
        <f t="shared" si="301"/>
        <v>2.3189349019963816</v>
      </c>
      <c r="BI115" s="2153">
        <f t="shared" si="320"/>
        <v>500.53977966101695</v>
      </c>
      <c r="BJ115" s="2154">
        <f t="shared" si="320"/>
        <v>0</v>
      </c>
      <c r="BK115" s="1445"/>
      <c r="BL115" s="2889">
        <f t="shared" ref="BL115:BU115" si="321">SUM(BL12+BL22+BL28+BL38)</f>
        <v>1023.45</v>
      </c>
      <c r="BM115" s="2890">
        <f t="shared" si="321"/>
        <v>1023.45</v>
      </c>
      <c r="BN115" s="2891">
        <f t="shared" si="321"/>
        <v>0</v>
      </c>
      <c r="BO115" s="2889">
        <f t="shared" si="321"/>
        <v>1643.94</v>
      </c>
      <c r="BP115" s="2890">
        <f t="shared" si="321"/>
        <v>1643.94</v>
      </c>
      <c r="BQ115" s="2892">
        <f t="shared" si="321"/>
        <v>0</v>
      </c>
      <c r="BR115" s="2889">
        <f t="shared" si="321"/>
        <v>2916.66</v>
      </c>
      <c r="BS115" s="2890">
        <f t="shared" si="321"/>
        <v>2916.66</v>
      </c>
      <c r="BT115" s="2891">
        <f t="shared" si="321"/>
        <v>0</v>
      </c>
      <c r="BU115" s="3805">
        <f t="shared" si="321"/>
        <v>2089.0549999999998</v>
      </c>
      <c r="BV115" s="2139">
        <f t="shared" ref="BV115:BV136" si="322">SUM(BU115/BG115)</f>
        <v>4.1736043465212314</v>
      </c>
      <c r="BW115" s="1015">
        <f t="shared" ref="BW115:BY115" si="323">SUM(BW12+BW22+BW28+BW38)</f>
        <v>2085.6731235154393</v>
      </c>
      <c r="BX115" s="3806">
        <f t="shared" si="323"/>
        <v>3.3818764845606211</v>
      </c>
      <c r="BY115" s="3807">
        <f t="shared" si="323"/>
        <v>530.71732297677954</v>
      </c>
      <c r="BZ115" s="2139">
        <f t="shared" si="281"/>
        <v>1.0602899999999997</v>
      </c>
      <c r="CA115" s="3808">
        <f t="shared" ref="CA115:CB115" si="324">SUM(CA12+CA22+CA28+CA38)</f>
        <v>530.71732297677954</v>
      </c>
      <c r="CB115" s="3809">
        <f t="shared" si="324"/>
        <v>0</v>
      </c>
      <c r="CC115" s="1445"/>
      <c r="CD115" s="3980">
        <f t="shared" ref="CD115:CE115" si="325">SUM(CD12+CD22+CD28+CD38)</f>
        <v>3206.1500000000005</v>
      </c>
      <c r="CE115" s="3981">
        <f t="shared" si="325"/>
        <v>3206.1500000000005</v>
      </c>
      <c r="CF115" s="3981">
        <f t="shared" ref="CF115:CH115" si="326">SUM(CF12+CF22+CF28+CF38)</f>
        <v>0</v>
      </c>
      <c r="CG115" s="3981">
        <f t="shared" si="326"/>
        <v>4459.1000000000004</v>
      </c>
      <c r="CH115" s="3981">
        <f t="shared" si="326"/>
        <v>4459.1000000000004</v>
      </c>
      <c r="CI115" s="3981">
        <f t="shared" ref="CI115:CK115" si="327">SUM(CI12+CI22+CI28+CI38)</f>
        <v>0</v>
      </c>
      <c r="CJ115" s="3981">
        <f t="shared" si="327"/>
        <v>5945.4666666666672</v>
      </c>
      <c r="CK115" s="3981">
        <f t="shared" si="327"/>
        <v>5945.4666666666672</v>
      </c>
      <c r="CL115" s="3981">
        <f t="shared" ref="CL115" si="328">SUM(CL12+CL22+CL28+CL38)</f>
        <v>0</v>
      </c>
      <c r="CM115" s="3805">
        <f t="shared" ref="CM115" si="329">SUM(CM12+CM22+CM28+CM38)</f>
        <v>555.88393843233848</v>
      </c>
      <c r="CN115" s="4359">
        <f t="shared" si="288"/>
        <v>1.04742</v>
      </c>
      <c r="CO115" s="1015">
        <f t="shared" ref="CO115:CQ115" si="330">SUM(CO12+CO22+CO28+CO38)</f>
        <v>554.35461930690099</v>
      </c>
      <c r="CP115" s="3806">
        <f t="shared" si="330"/>
        <v>1.5293191254376097</v>
      </c>
      <c r="CQ115" s="3807">
        <f t="shared" si="330"/>
        <v>546.42655573689228</v>
      </c>
      <c r="CR115" s="4359">
        <f t="shared" si="290"/>
        <v>1.0296000000000001</v>
      </c>
      <c r="CS115" s="3808">
        <f t="shared" ref="CS115:CT115" si="331">SUM(CS12+CS22+CS28+CS38)</f>
        <v>546.42655573689228</v>
      </c>
      <c r="CT115" s="3809">
        <f t="shared" si="331"/>
        <v>0</v>
      </c>
    </row>
    <row r="116" spans="1:98" ht="21" customHeight="1">
      <c r="A116" s="1279" t="s">
        <v>4</v>
      </c>
      <c r="B116" s="430"/>
      <c r="C116" s="430"/>
      <c r="D116" s="430"/>
      <c r="E116" s="430"/>
      <c r="F116" s="430"/>
      <c r="G116" s="430"/>
      <c r="H116" s="430"/>
      <c r="I116" s="430"/>
      <c r="J116" s="430"/>
      <c r="K116" s="430"/>
      <c r="L116" s="430"/>
      <c r="M116" s="430"/>
      <c r="N116" s="430"/>
      <c r="O116" s="430"/>
      <c r="P116" s="430"/>
      <c r="Q116" s="430"/>
      <c r="R116" s="430"/>
      <c r="S116" s="430"/>
      <c r="T116" s="430"/>
      <c r="U116" s="430"/>
      <c r="V116" s="430"/>
      <c r="W116" s="430"/>
      <c r="X116" s="430"/>
      <c r="Y116" s="1449">
        <f>SUM(Y13+Y23+Y31+Y39)</f>
        <v>47903.399999999994</v>
      </c>
      <c r="Z116" s="1447"/>
      <c r="AA116" s="1441">
        <f t="shared" ref="AA116:AD116" si="332">SUM(AA13+AA23+AA31+AA39)</f>
        <v>41422.018619520008</v>
      </c>
      <c r="AB116" s="1441">
        <f t="shared" si="332"/>
        <v>4.2240000000000002</v>
      </c>
      <c r="AC116" s="1441">
        <f t="shared" si="332"/>
        <v>41158.026872560535</v>
      </c>
      <c r="AD116" s="1442">
        <f t="shared" si="332"/>
        <v>263.99174695946112</v>
      </c>
      <c r="AE116" s="1440">
        <f t="shared" ref="AE116:AH116" si="333">SUM(AE13+AE23+AE31+AE39)</f>
        <v>40440.100000000006</v>
      </c>
      <c r="AF116" s="1441">
        <f t="shared" si="333"/>
        <v>40170.590636296118</v>
      </c>
      <c r="AG116" s="1442">
        <f t="shared" si="333"/>
        <v>269.50936370388717</v>
      </c>
      <c r="AH116" s="1440">
        <f t="shared" si="333"/>
        <v>43632.09</v>
      </c>
      <c r="AI116" s="1264">
        <f t="shared" si="269"/>
        <v>1.053354989788897</v>
      </c>
      <c r="AJ116" s="1441">
        <f t="shared" ref="AJ116:AK116" si="334">SUM(AJ13+AJ23+AJ31+AJ39)</f>
        <v>43351.78</v>
      </c>
      <c r="AK116" s="1442">
        <f t="shared" si="334"/>
        <v>280.31</v>
      </c>
      <c r="AL116" s="1440">
        <f t="shared" ref="AL116:AO116" si="335">SUM(AL13+AL23+AL31+AL39)</f>
        <v>42354.204645413141</v>
      </c>
      <c r="AM116" s="1264">
        <f t="shared" si="272"/>
        <v>1.0225046015853472</v>
      </c>
      <c r="AN116" s="1441">
        <f t="shared" si="335"/>
        <v>42088.441456922927</v>
      </c>
      <c r="AO116" s="1442">
        <f t="shared" si="335"/>
        <v>265.763188490213</v>
      </c>
      <c r="AP116" s="430"/>
      <c r="AQ116" s="430"/>
      <c r="AR116" s="430"/>
      <c r="AS116" s="430"/>
      <c r="AT116" s="1440">
        <f t="shared" ref="AT116:AV116" si="336">SUM(AT13+AT23+AT31+AT39)</f>
        <v>19727</v>
      </c>
      <c r="AU116" s="1441">
        <f t="shared" si="336"/>
        <v>19654.408198022586</v>
      </c>
      <c r="AV116" s="1442">
        <f t="shared" si="336"/>
        <v>72.59180197741307</v>
      </c>
      <c r="AW116" s="1440">
        <f t="shared" ref="AW116:AY116" si="337">SUM(AW13+AW23+AW31+AW39)</f>
        <v>30621.16</v>
      </c>
      <c r="AX116" s="1441">
        <f t="shared" si="337"/>
        <v>30521.039348036262</v>
      </c>
      <c r="AY116" s="2649">
        <f t="shared" si="337"/>
        <v>100.12065196373806</v>
      </c>
      <c r="AZ116" s="1440">
        <f t="shared" ref="AZ116:BB116" si="338">SUM(AZ13+AZ23+AZ31+AZ39)</f>
        <v>40773.21</v>
      </c>
      <c r="BA116" s="1441">
        <f t="shared" si="338"/>
        <v>40669.573912052096</v>
      </c>
      <c r="BB116" s="2649">
        <f t="shared" si="338"/>
        <v>103.63608794789889</v>
      </c>
      <c r="BC116" s="1440">
        <f t="shared" ref="BC116:BF116" si="339">SUM(BC13+BC23+BC31+BC39)</f>
        <v>47704.91</v>
      </c>
      <c r="BD116" s="2139">
        <f t="shared" si="277"/>
        <v>1.1263323299158288</v>
      </c>
      <c r="BE116" s="1441">
        <f t="shared" si="339"/>
        <v>47560.244138990885</v>
      </c>
      <c r="BF116" s="1442">
        <f t="shared" si="339"/>
        <v>144.66586100911263</v>
      </c>
      <c r="BG116" s="2152">
        <f t="shared" ref="BG116:BJ116" si="340">SUM(BG13+BG23+BG31+BG39)</f>
        <v>47464.129975317854</v>
      </c>
      <c r="BH116" s="2149">
        <f t="shared" si="301"/>
        <v>1.1206474155915498</v>
      </c>
      <c r="BI116" s="2153">
        <f t="shared" si="340"/>
        <v>47330.74686058973</v>
      </c>
      <c r="BJ116" s="2154">
        <f t="shared" si="340"/>
        <v>133.38311472812438</v>
      </c>
      <c r="BK116" s="1445"/>
      <c r="BL116" s="2889">
        <f t="shared" ref="BL116:BU116" si="341">SUM(BL13+BL23+BL31+BL39)</f>
        <v>20226.46</v>
      </c>
      <c r="BM116" s="2890">
        <f t="shared" si="341"/>
        <v>20218.034140604424</v>
      </c>
      <c r="BN116" s="2891">
        <f t="shared" si="341"/>
        <v>8.4258593955755714</v>
      </c>
      <c r="BO116" s="2889">
        <f t="shared" si="341"/>
        <v>31364.93</v>
      </c>
      <c r="BP116" s="2890">
        <f t="shared" si="341"/>
        <v>31353.070744366618</v>
      </c>
      <c r="BQ116" s="2892">
        <f t="shared" si="341"/>
        <v>11.859255633383782</v>
      </c>
      <c r="BR116" s="2889">
        <f t="shared" si="341"/>
        <v>41402.899999999994</v>
      </c>
      <c r="BS116" s="2890">
        <f t="shared" si="341"/>
        <v>41388.385330957142</v>
      </c>
      <c r="BT116" s="2891">
        <f t="shared" si="341"/>
        <v>14.514669042857349</v>
      </c>
      <c r="BU116" s="3805">
        <f t="shared" si="341"/>
        <v>52210.542972849631</v>
      </c>
      <c r="BV116" s="2139">
        <f t="shared" si="322"/>
        <v>1.0999999999999999</v>
      </c>
      <c r="BW116" s="1015">
        <f t="shared" ref="BW116:BY116" si="342">SUM(BW13+BW23+BW31+BW39)</f>
        <v>52080.035515256954</v>
      </c>
      <c r="BX116" s="3806">
        <f t="shared" si="342"/>
        <v>130.50745759268739</v>
      </c>
      <c r="BY116" s="3807">
        <f t="shared" si="342"/>
        <v>50325.742371529755</v>
      </c>
      <c r="BZ116" s="2139">
        <f t="shared" si="281"/>
        <v>1.0602899999999997</v>
      </c>
      <c r="CA116" s="3808">
        <f t="shared" ref="CA116:CB116" si="343">SUM(CA13+CA23+CA31+CA39)</f>
        <v>50183.617947489562</v>
      </c>
      <c r="CB116" s="3809">
        <f t="shared" si="343"/>
        <v>142.12442404019475</v>
      </c>
      <c r="CC116" s="1445"/>
      <c r="CD116" s="3980">
        <f t="shared" ref="CD116:CE116" si="344">SUM(CD13+CD23+CD31+CD39)</f>
        <v>22046.699999999997</v>
      </c>
      <c r="CE116" s="3981">
        <f t="shared" si="344"/>
        <v>22040.913373574636</v>
      </c>
      <c r="CF116" s="3981">
        <f t="shared" ref="CF116:CH116" si="345">SUM(CF13+CF23+CF31+CF39)</f>
        <v>5.7866264253625559</v>
      </c>
      <c r="CG116" s="3981">
        <f t="shared" si="345"/>
        <v>32924.229999999996</v>
      </c>
      <c r="CH116" s="3981">
        <f t="shared" si="345"/>
        <v>32916.300341458729</v>
      </c>
      <c r="CI116" s="3981">
        <f t="shared" ref="CI116:CK116" si="346">SUM(CI13+CI23+CI31+CI39)</f>
        <v>7.9296585412675995</v>
      </c>
      <c r="CJ116" s="3981">
        <f t="shared" si="346"/>
        <v>43801.760000000002</v>
      </c>
      <c r="CK116" s="3981">
        <f t="shared" si="346"/>
        <v>43790.985365992485</v>
      </c>
      <c r="CL116" s="3981">
        <f t="shared" ref="CL116" si="347">SUM(CL13+CL23+CL31+CL39)</f>
        <v>10.774634007523673</v>
      </c>
      <c r="CM116" s="3805">
        <f t="shared" ref="CM116" si="348">SUM(CM13+CM23+CM31+CM39)</f>
        <v>52712.189074787704</v>
      </c>
      <c r="CN116" s="4359">
        <f t="shared" si="288"/>
        <v>1.0474200000000002</v>
      </c>
      <c r="CO116" s="1015">
        <f t="shared" ref="CO116:CQ116" si="349">SUM(CO13+CO23+CO31+CO39)</f>
        <v>52563.072016404723</v>
      </c>
      <c r="CP116" s="3806">
        <f t="shared" si="349"/>
        <v>149.11705838297712</v>
      </c>
      <c r="CQ116" s="3807">
        <f t="shared" si="349"/>
        <v>51815.384345727041</v>
      </c>
      <c r="CR116" s="4359">
        <f t="shared" si="290"/>
        <v>1.0296000000000001</v>
      </c>
      <c r="CS116" s="3808">
        <f t="shared" ref="CS116:CT116" si="350">SUM(CS13+CS23+CS31+CS39)</f>
        <v>51664.659581946013</v>
      </c>
      <c r="CT116" s="3809">
        <f t="shared" si="350"/>
        <v>150.72476378103303</v>
      </c>
    </row>
    <row r="117" spans="1:98" ht="21" customHeight="1">
      <c r="A117" s="1279" t="s">
        <v>5</v>
      </c>
      <c r="B117" s="430"/>
      <c r="C117" s="430"/>
      <c r="D117" s="430"/>
      <c r="E117" s="430"/>
      <c r="F117" s="430"/>
      <c r="G117" s="430"/>
      <c r="H117" s="430"/>
      <c r="I117" s="430"/>
      <c r="J117" s="430"/>
      <c r="K117" s="430"/>
      <c r="L117" s="430"/>
      <c r="M117" s="430"/>
      <c r="N117" s="430"/>
      <c r="O117" s="430"/>
      <c r="P117" s="430"/>
      <c r="Q117" s="430"/>
      <c r="R117" s="430"/>
      <c r="S117" s="430"/>
      <c r="T117" s="430"/>
      <c r="U117" s="430"/>
      <c r="V117" s="430"/>
      <c r="W117" s="430"/>
      <c r="X117" s="430"/>
      <c r="Y117" s="1449">
        <f>SUM(Y14+Y24+Y32+Y40)</f>
        <v>14466.800000000001</v>
      </c>
      <c r="Z117" s="1447"/>
      <c r="AA117" s="1441">
        <f t="shared" ref="AA117:AD117" si="351">SUM(AA14+AA24+AA32+AA40)</f>
        <v>12453.395960809921</v>
      </c>
      <c r="AB117" s="1441">
        <f t="shared" si="351"/>
        <v>4.2055363909018268</v>
      </c>
      <c r="AC117" s="1441">
        <f t="shared" si="351"/>
        <v>12373.931019474236</v>
      </c>
      <c r="AD117" s="1442">
        <f t="shared" si="351"/>
        <v>79.464941335686717</v>
      </c>
      <c r="AE117" s="1440">
        <f t="shared" ref="AE117:AH117" si="352">SUM(AE14+AE24+AE32+AE40)</f>
        <v>12129.699999999999</v>
      </c>
      <c r="AF117" s="1441">
        <f t="shared" si="352"/>
        <v>12048.470146075761</v>
      </c>
      <c r="AG117" s="1442">
        <f t="shared" si="352"/>
        <v>81.229853924238569</v>
      </c>
      <c r="AH117" s="1440">
        <f t="shared" si="352"/>
        <v>13143.624329999999</v>
      </c>
      <c r="AI117" s="1264">
        <f t="shared" si="269"/>
        <v>1.0554249115150747</v>
      </c>
      <c r="AJ117" s="1441">
        <f t="shared" ref="AJ117:AK117" si="353">SUM(AJ14+AJ24+AJ32+AJ40)</f>
        <v>13059.134329999999</v>
      </c>
      <c r="AK117" s="1442">
        <f t="shared" si="353"/>
        <v>84.490000000000009</v>
      </c>
      <c r="AL117" s="1440">
        <f t="shared" ref="AL117:AO117" si="354">SUM(AL14+AL24+AL32+AL40)</f>
        <v>12734.667591698035</v>
      </c>
      <c r="AM117" s="1264">
        <f t="shared" si="272"/>
        <v>1.0225859381467721</v>
      </c>
      <c r="AN117" s="1441">
        <f t="shared" si="354"/>
        <v>12654.653785637802</v>
      </c>
      <c r="AO117" s="1442">
        <f t="shared" si="354"/>
        <v>80.013806060233861</v>
      </c>
      <c r="AP117" s="430"/>
      <c r="AQ117" s="430"/>
      <c r="AR117" s="430"/>
      <c r="AS117" s="430"/>
      <c r="AT117" s="1440">
        <f t="shared" ref="AT117:AV117" si="355">SUM(AT14+AT24+AT32+AT40)</f>
        <v>5887.33</v>
      </c>
      <c r="AU117" s="1441">
        <f t="shared" si="355"/>
        <v>5865.3422383545676</v>
      </c>
      <c r="AV117" s="1442">
        <f t="shared" si="355"/>
        <v>21.987761645432215</v>
      </c>
      <c r="AW117" s="1440">
        <f t="shared" ref="AW117:AY117" si="356">SUM(AW14+AW24+AW32+AW40)</f>
        <v>9177.8300000000017</v>
      </c>
      <c r="AX117" s="1441">
        <f t="shared" si="356"/>
        <v>9147.4473543134973</v>
      </c>
      <c r="AY117" s="2649">
        <f t="shared" si="356"/>
        <v>30.382645686502656</v>
      </c>
      <c r="AZ117" s="1440">
        <f t="shared" ref="AZ117:BB117" si="357">SUM(AZ14+AZ24+AZ32+AZ40)</f>
        <v>12222.1</v>
      </c>
      <c r="BA117" s="1441">
        <f t="shared" si="357"/>
        <v>12190.657894413847</v>
      </c>
      <c r="BB117" s="2649">
        <f t="shared" si="357"/>
        <v>31.442105586151683</v>
      </c>
      <c r="BC117" s="1440">
        <f t="shared" ref="BC117:BF117" si="358">SUM(BC14+BC24+BC32+BC40)</f>
        <v>14370.571280998902</v>
      </c>
      <c r="BD117" s="2139">
        <f t="shared" si="277"/>
        <v>1.1284606510159199</v>
      </c>
      <c r="BE117" s="1441">
        <f t="shared" si="358"/>
        <v>14326.96600714799</v>
      </c>
      <c r="BF117" s="1442">
        <f t="shared" si="358"/>
        <v>43.605273850911409</v>
      </c>
      <c r="BG117" s="2152">
        <f t="shared" ref="BG117:BJ117" si="359">SUM(BG14+BG24+BG32+BG40)</f>
        <v>14216.857982124668</v>
      </c>
      <c r="BH117" s="2149">
        <f t="shared" si="301"/>
        <v>1.1163901907728553</v>
      </c>
      <c r="BI117" s="2153">
        <f t="shared" si="359"/>
        <v>14176.749847993546</v>
      </c>
      <c r="BJ117" s="2154">
        <f t="shared" si="359"/>
        <v>40.108134131122803</v>
      </c>
      <c r="BK117" s="1445"/>
      <c r="BL117" s="2889">
        <f t="shared" ref="BL117:BU117" si="360">SUM(BL14+BL24+BL32+BL40)</f>
        <v>6064.8799999999992</v>
      </c>
      <c r="BM117" s="2890">
        <f t="shared" si="360"/>
        <v>6062.3565467803528</v>
      </c>
      <c r="BN117" s="2891">
        <f t="shared" si="360"/>
        <v>2.5234532196470809</v>
      </c>
      <c r="BO117" s="2889">
        <f t="shared" si="360"/>
        <v>9376.9299999999985</v>
      </c>
      <c r="BP117" s="2890">
        <f t="shared" si="360"/>
        <v>9373.407563241024</v>
      </c>
      <c r="BQ117" s="2892">
        <f t="shared" si="360"/>
        <v>3.5224367589746635</v>
      </c>
      <c r="BR117" s="2889">
        <f t="shared" si="360"/>
        <v>12414.38</v>
      </c>
      <c r="BS117" s="2890">
        <f t="shared" si="360"/>
        <v>12410.055851981369</v>
      </c>
      <c r="BT117" s="2891">
        <f t="shared" si="360"/>
        <v>4.3241480186288754</v>
      </c>
      <c r="BU117" s="3805">
        <f t="shared" si="360"/>
        <v>15716.818531309636</v>
      </c>
      <c r="BV117" s="2139">
        <f t="shared" si="322"/>
        <v>1.1055057700562896</v>
      </c>
      <c r="BW117" s="1015">
        <f t="shared" ref="BW117:BY117" si="361">SUM(BW14+BW24+BW32+BW40)</f>
        <v>15677.199855356657</v>
      </c>
      <c r="BX117" s="3806">
        <f t="shared" si="361"/>
        <v>39.618675952979629</v>
      </c>
      <c r="BY117" s="3807">
        <f t="shared" si="361"/>
        <v>15074.000484730654</v>
      </c>
      <c r="BZ117" s="2139">
        <f t="shared" si="281"/>
        <v>1.060290572198421</v>
      </c>
      <c r="CA117" s="3808">
        <f t="shared" ref="CA117:CB117" si="362">SUM(CA14+CA24+CA32+CA40)</f>
        <v>15031.263806268384</v>
      </c>
      <c r="CB117" s="3809">
        <f t="shared" si="362"/>
        <v>42.736678462271527</v>
      </c>
      <c r="CC117" s="1445"/>
      <c r="CD117" s="3980">
        <f t="shared" ref="CD117:CE117" si="363">SUM(CD14+CD24+CD32+CD40)</f>
        <v>6640.8900000000012</v>
      </c>
      <c r="CE117" s="3981">
        <f t="shared" si="363"/>
        <v>6639.1377230908774</v>
      </c>
      <c r="CF117" s="3981">
        <f t="shared" ref="CF117:CH117" si="364">SUM(CF14+CF24+CF32+CF40)</f>
        <v>1.7522769091224291</v>
      </c>
      <c r="CG117" s="3981">
        <f t="shared" si="364"/>
        <v>9943.7599999999984</v>
      </c>
      <c r="CH117" s="3981">
        <f t="shared" si="364"/>
        <v>9941.364079892779</v>
      </c>
      <c r="CI117" s="3981">
        <f t="shared" ref="CI117:CK117" si="365">SUM(CI14+CI24+CI32+CI40)</f>
        <v>2.3959201072220822</v>
      </c>
      <c r="CJ117" s="3981">
        <f t="shared" si="365"/>
        <v>13228.351069000002</v>
      </c>
      <c r="CK117" s="3981">
        <f t="shared" si="365"/>
        <v>13225.09584445964</v>
      </c>
      <c r="CL117" s="3981">
        <f t="shared" ref="CL117" si="366">SUM(CL14+CL24+CL32+CL40)</f>
        <v>3.2552245403610414</v>
      </c>
      <c r="CM117" s="3805">
        <f t="shared" ref="CM117" si="367">SUM(CM14+CM24+CM32+CM40)</f>
        <v>15788.171653853722</v>
      </c>
      <c r="CN117" s="4359">
        <f t="shared" si="288"/>
        <v>1.0473776798565513</v>
      </c>
      <c r="CO117" s="1015">
        <f t="shared" ref="CO117:CQ117" si="368">SUM(CO14+CO24+CO32+CO40)</f>
        <v>15743.331845582885</v>
      </c>
      <c r="CP117" s="3806">
        <f t="shared" si="368"/>
        <v>44.839808270836187</v>
      </c>
      <c r="CQ117" s="3807">
        <f t="shared" si="368"/>
        <v>15519.563362321327</v>
      </c>
      <c r="CR117" s="4359">
        <f t="shared" si="290"/>
        <v>1.0295583695941903</v>
      </c>
      <c r="CS117" s="3808">
        <f t="shared" ref="CS117:CT117" si="369">SUM(CS14+CS24+CS32+CS40)</f>
        <v>15474.240569919439</v>
      </c>
      <c r="CT117" s="3809">
        <f t="shared" si="369"/>
        <v>45.322792401889345</v>
      </c>
    </row>
    <row r="118" spans="1:98" ht="21" customHeight="1">
      <c r="A118" s="1279" t="s">
        <v>8</v>
      </c>
      <c r="B118" s="430"/>
      <c r="C118" s="430"/>
      <c r="D118" s="430"/>
      <c r="E118" s="430"/>
      <c r="F118" s="430"/>
      <c r="G118" s="430"/>
      <c r="H118" s="430"/>
      <c r="I118" s="430"/>
      <c r="J118" s="430"/>
      <c r="K118" s="430"/>
      <c r="L118" s="430"/>
      <c r="M118" s="430"/>
      <c r="N118" s="430"/>
      <c r="O118" s="430"/>
      <c r="P118" s="430"/>
      <c r="Q118" s="430"/>
      <c r="R118" s="430"/>
      <c r="S118" s="430"/>
      <c r="T118" s="430"/>
      <c r="U118" s="430"/>
      <c r="V118" s="430"/>
      <c r="W118" s="430"/>
      <c r="X118" s="430"/>
      <c r="Y118" s="1449">
        <f>SUM(Y19)</f>
        <v>6984.1</v>
      </c>
      <c r="Z118" s="1447"/>
      <c r="AA118" s="1441">
        <f t="shared" ref="AA118:AD118" si="370">SUM(AA19)</f>
        <v>4253.0293007044547</v>
      </c>
      <c r="AB118" s="1441" t="e">
        <f t="shared" si="370"/>
        <v>#REF!</v>
      </c>
      <c r="AC118" s="1441">
        <f t="shared" si="370"/>
        <v>4253.0293007044547</v>
      </c>
      <c r="AD118" s="1442">
        <f t="shared" si="370"/>
        <v>0</v>
      </c>
      <c r="AE118" s="1440">
        <f t="shared" ref="AE118:AH118" si="371">SUM(AE19)</f>
        <v>4087.3393910999998</v>
      </c>
      <c r="AF118" s="1441">
        <f t="shared" si="371"/>
        <v>4087.3393910999998</v>
      </c>
      <c r="AG118" s="1442">
        <f t="shared" si="371"/>
        <v>0</v>
      </c>
      <c r="AH118" s="1440">
        <f t="shared" si="371"/>
        <v>4631.88</v>
      </c>
      <c r="AI118" s="1264">
        <f t="shared" si="269"/>
        <v>1.0890778484015602</v>
      </c>
      <c r="AJ118" s="1441">
        <f t="shared" ref="AJ118:AK118" si="372">SUM(AJ19)</f>
        <v>4631.88</v>
      </c>
      <c r="AK118" s="1442">
        <f t="shared" si="372"/>
        <v>0</v>
      </c>
      <c r="AL118" s="1440">
        <f t="shared" ref="AL118:AO118" si="373">SUM(AL19)</f>
        <v>3968.311174693004</v>
      </c>
      <c r="AM118" s="1264">
        <f t="shared" si="272"/>
        <v>0.93305521643965839</v>
      </c>
      <c r="AN118" s="1441">
        <f t="shared" si="373"/>
        <v>3968.311174693004</v>
      </c>
      <c r="AO118" s="1442">
        <f t="shared" si="373"/>
        <v>0</v>
      </c>
      <c r="AP118" s="430"/>
      <c r="AQ118" s="430"/>
      <c r="AR118" s="430"/>
      <c r="AS118" s="430"/>
      <c r="AT118" s="1440">
        <f t="shared" ref="AT118:AV118" si="374">SUM(AT19)</f>
        <v>2640.0770813999998</v>
      </c>
      <c r="AU118" s="1441">
        <f t="shared" si="374"/>
        <v>2640.0770813999998</v>
      </c>
      <c r="AV118" s="1442">
        <f t="shared" si="374"/>
        <v>0</v>
      </c>
      <c r="AW118" s="1440">
        <f t="shared" ref="AW118:AY118" si="375">SUM(AW19)</f>
        <v>3975.16</v>
      </c>
      <c r="AX118" s="1441">
        <f t="shared" si="375"/>
        <v>3975.16</v>
      </c>
      <c r="AY118" s="2649">
        <f t="shared" si="375"/>
        <v>0</v>
      </c>
      <c r="AZ118" s="1440">
        <f t="shared" ref="AZ118:BB118" si="376">SUM(AZ19)</f>
        <v>5707.19</v>
      </c>
      <c r="BA118" s="1441">
        <f t="shared" si="376"/>
        <v>5707.19</v>
      </c>
      <c r="BB118" s="2649">
        <f t="shared" si="376"/>
        <v>0</v>
      </c>
      <c r="BC118" s="1440">
        <f t="shared" ref="BC118:BF118" si="377">SUM(BC19)</f>
        <v>6791.38</v>
      </c>
      <c r="BD118" s="2139">
        <f t="shared" si="277"/>
        <v>1.711403088374337</v>
      </c>
      <c r="BE118" s="1441">
        <f t="shared" si="377"/>
        <v>6791.38</v>
      </c>
      <c r="BF118" s="1442">
        <f t="shared" si="377"/>
        <v>0</v>
      </c>
      <c r="BG118" s="2152">
        <f t="shared" ref="BG118:BJ118" si="378">SUM(BG19)</f>
        <v>6985.4283978386675</v>
      </c>
      <c r="BH118" s="2149">
        <f t="shared" si="301"/>
        <v>1.7603025796935075</v>
      </c>
      <c r="BI118" s="2153">
        <f t="shared" si="378"/>
        <v>6985.4283978386675</v>
      </c>
      <c r="BJ118" s="2154">
        <f t="shared" si="378"/>
        <v>0</v>
      </c>
      <c r="BK118" s="1445"/>
      <c r="BL118" s="2889">
        <f t="shared" ref="BL118:BU118" si="379">SUM(BL19)</f>
        <v>4515.2094240899987</v>
      </c>
      <c r="BM118" s="2890">
        <f t="shared" si="379"/>
        <v>4515.2094240899987</v>
      </c>
      <c r="BN118" s="2891">
        <f t="shared" si="379"/>
        <v>0</v>
      </c>
      <c r="BO118" s="2889">
        <f t="shared" si="379"/>
        <v>7061.8548961899996</v>
      </c>
      <c r="BP118" s="2890">
        <f t="shared" si="379"/>
        <v>7061.8548961899996</v>
      </c>
      <c r="BQ118" s="2892">
        <f t="shared" si="379"/>
        <v>0</v>
      </c>
      <c r="BR118" s="2889">
        <f t="shared" si="379"/>
        <v>8877.3599999999988</v>
      </c>
      <c r="BS118" s="2890">
        <f t="shared" si="379"/>
        <v>8877.3599999999988</v>
      </c>
      <c r="BT118" s="2891">
        <f t="shared" si="379"/>
        <v>0</v>
      </c>
      <c r="BU118" s="3805">
        <f t="shared" si="379"/>
        <v>7687.4405852046175</v>
      </c>
      <c r="BV118" s="2139">
        <f t="shared" si="322"/>
        <v>1.1004966549486295</v>
      </c>
      <c r="BW118" s="1015">
        <f t="shared" ref="BW118:BY118" si="380">SUM(BW19)</f>
        <v>7687.4405852046175</v>
      </c>
      <c r="BX118" s="3806">
        <f t="shared" si="380"/>
        <v>0</v>
      </c>
      <c r="BY118" s="3807">
        <f t="shared" si="380"/>
        <v>7406.5798759443596</v>
      </c>
      <c r="BZ118" s="2139">
        <f t="shared" si="281"/>
        <v>1.0602899999999997</v>
      </c>
      <c r="CA118" s="3808">
        <f t="shared" ref="CA118:CB118" si="381">SUM(CA19)</f>
        <v>7406.5798759443596</v>
      </c>
      <c r="CB118" s="3809">
        <f t="shared" si="381"/>
        <v>0</v>
      </c>
      <c r="CC118" s="1445"/>
      <c r="CD118" s="3980">
        <f t="shared" ref="CD118:CE118" si="382">SUM(CD19)</f>
        <v>4568.6679999999997</v>
      </c>
      <c r="CE118" s="3981">
        <f t="shared" si="382"/>
        <v>4568.6679999999997</v>
      </c>
      <c r="CF118" s="3981">
        <f t="shared" ref="CF118:CH118" si="383">SUM(CF19)</f>
        <v>0</v>
      </c>
      <c r="CG118" s="3981">
        <f t="shared" si="383"/>
        <v>10087.929999999998</v>
      </c>
      <c r="CH118" s="3981">
        <f t="shared" si="383"/>
        <v>10087.929999999998</v>
      </c>
      <c r="CI118" s="3981">
        <f t="shared" ref="CI118:CK118" si="384">SUM(CI19)</f>
        <v>0</v>
      </c>
      <c r="CJ118" s="3981">
        <f t="shared" si="384"/>
        <v>13449.449360373917</v>
      </c>
      <c r="CK118" s="3981">
        <f t="shared" si="384"/>
        <v>13449.449360373917</v>
      </c>
      <c r="CL118" s="3981">
        <f t="shared" ref="CL118" si="385">SUM(CL19)</f>
        <v>0</v>
      </c>
      <c r="CM118" s="3805">
        <f t="shared" ref="CM118" si="386">SUM(CM19)</f>
        <v>7757.7998936616423</v>
      </c>
      <c r="CN118" s="4359">
        <f t="shared" si="288"/>
        <v>1.0474200000000002</v>
      </c>
      <c r="CO118" s="1015">
        <f t="shared" ref="CO118:CQ118" si="387">SUM(CO19)</f>
        <v>7757.7998936616423</v>
      </c>
      <c r="CP118" s="3806">
        <f t="shared" si="387"/>
        <v>0</v>
      </c>
      <c r="CQ118" s="3807">
        <f t="shared" si="387"/>
        <v>7625.8146402723114</v>
      </c>
      <c r="CR118" s="4359">
        <f t="shared" si="290"/>
        <v>1.0295999999999998</v>
      </c>
      <c r="CS118" s="3808">
        <f t="shared" ref="CS118:CT118" si="388">SUM(CS19)</f>
        <v>7625.8146402723114</v>
      </c>
      <c r="CT118" s="3809">
        <f t="shared" si="388"/>
        <v>0</v>
      </c>
    </row>
    <row r="119" spans="1:98" ht="21" customHeight="1">
      <c r="A119" s="1279" t="s">
        <v>6</v>
      </c>
      <c r="B119" s="430"/>
      <c r="C119" s="430"/>
      <c r="D119" s="430"/>
      <c r="E119" s="430"/>
      <c r="F119" s="430"/>
      <c r="G119" s="430"/>
      <c r="H119" s="430"/>
      <c r="I119" s="430"/>
      <c r="J119" s="430"/>
      <c r="K119" s="430"/>
      <c r="L119" s="430"/>
      <c r="M119" s="430"/>
      <c r="N119" s="430"/>
      <c r="O119" s="430"/>
      <c r="P119" s="430"/>
      <c r="Q119" s="430"/>
      <c r="R119" s="430"/>
      <c r="S119" s="430"/>
      <c r="T119" s="430"/>
      <c r="U119" s="430"/>
      <c r="V119" s="430"/>
      <c r="W119" s="430"/>
      <c r="X119" s="430"/>
      <c r="Y119" s="1449">
        <f>SUM(Y16+Y26+Y34+Y42)</f>
        <v>23158.799999999999</v>
      </c>
      <c r="Z119" s="1447"/>
      <c r="AA119" s="1441">
        <f t="shared" ref="AA119:AD119" si="389">SUM(AA16+AA26+AA34+AA42)</f>
        <v>18723.532385356291</v>
      </c>
      <c r="AB119" s="1441">
        <f t="shared" si="389"/>
        <v>4.2470953908555629</v>
      </c>
      <c r="AC119" s="1441">
        <f t="shared" si="389"/>
        <v>18580.748829384705</v>
      </c>
      <c r="AD119" s="1442">
        <f t="shared" si="389"/>
        <v>142.78355597159052</v>
      </c>
      <c r="AE119" s="1440">
        <f t="shared" ref="AE119:AH119" si="390">SUM(AE16+AE26+AE34+AE42)</f>
        <v>17316.399999999998</v>
      </c>
      <c r="AF119" s="1441">
        <f t="shared" si="390"/>
        <v>17222.445808368408</v>
      </c>
      <c r="AG119" s="1442">
        <f t="shared" si="390"/>
        <v>93.954191631592721</v>
      </c>
      <c r="AH119" s="1440">
        <f t="shared" si="390"/>
        <v>19982</v>
      </c>
      <c r="AI119" s="1264">
        <f t="shared" si="269"/>
        <v>1.0672131512763028</v>
      </c>
      <c r="AJ119" s="1441">
        <f t="shared" ref="AJ119:AK119" si="391">SUM(AJ16+AJ26+AJ34+AJ42)</f>
        <v>19889.21</v>
      </c>
      <c r="AK119" s="1442">
        <f t="shared" si="391"/>
        <v>92.79</v>
      </c>
      <c r="AL119" s="1440">
        <f t="shared" ref="AL119:AO119" si="392">SUM(AL16+AL26+AL34+AL42)</f>
        <v>19700.208228981621</v>
      </c>
      <c r="AM119" s="1264">
        <f t="shared" si="272"/>
        <v>1.0521630119532994</v>
      </c>
      <c r="AN119" s="1441">
        <f t="shared" si="392"/>
        <v>19608.73208525774</v>
      </c>
      <c r="AO119" s="1442">
        <f t="shared" si="392"/>
        <v>91.476143723881705</v>
      </c>
      <c r="AP119" s="430"/>
      <c r="AQ119" s="430"/>
      <c r="AR119" s="430"/>
      <c r="AS119" s="430"/>
      <c r="AT119" s="1440">
        <f t="shared" ref="AT119:AV119" si="393">SUM(AT16+AT26+AT34+AT42)</f>
        <v>9372.2199999999993</v>
      </c>
      <c r="AU119" s="1441">
        <f t="shared" si="393"/>
        <v>9344.3435752180376</v>
      </c>
      <c r="AV119" s="1442">
        <f t="shared" si="393"/>
        <v>27.876424781961987</v>
      </c>
      <c r="AW119" s="1440">
        <f t="shared" ref="AW119:AY119" si="394">SUM(AW16+AW26+AW34+AW42)</f>
        <v>13324.32</v>
      </c>
      <c r="AX119" s="1441">
        <f t="shared" si="394"/>
        <v>13285.827704465524</v>
      </c>
      <c r="AY119" s="2649">
        <f t="shared" si="394"/>
        <v>38.49229553447617</v>
      </c>
      <c r="AZ119" s="1440">
        <f t="shared" ref="AZ119:BB119" si="395">SUM(AZ16+AZ26+AZ34+AZ42)</f>
        <v>18220.940000000002</v>
      </c>
      <c r="BA119" s="1441">
        <f t="shared" si="395"/>
        <v>18180.397437163068</v>
      </c>
      <c r="BB119" s="2649">
        <f t="shared" si="395"/>
        <v>40.542562836932802</v>
      </c>
      <c r="BC119" s="1440">
        <f t="shared" ref="BC119:BF119" si="396">SUM(BC16+BC26+BC34+BC42)</f>
        <v>21503.85</v>
      </c>
      <c r="BD119" s="2139">
        <f t="shared" si="277"/>
        <v>1.0915544521181753</v>
      </c>
      <c r="BE119" s="1441">
        <f t="shared" si="396"/>
        <v>21453.311154973639</v>
      </c>
      <c r="BF119" s="1442">
        <f t="shared" si="396"/>
        <v>50.53884502636356</v>
      </c>
      <c r="BG119" s="2152">
        <f t="shared" ref="BG119:BJ119" si="397">SUM(BG16+BG26+BG34+BG42)</f>
        <v>18719.609230157621</v>
      </c>
      <c r="BH119" s="2149">
        <f t="shared" si="301"/>
        <v>0.95022392720796689</v>
      </c>
      <c r="BI119" s="2153">
        <f t="shared" si="397"/>
        <v>18675.613963883159</v>
      </c>
      <c r="BJ119" s="2154">
        <f t="shared" si="397"/>
        <v>43.995266274459937</v>
      </c>
      <c r="BK119" s="1445"/>
      <c r="BL119" s="2889">
        <f t="shared" ref="BL119:BU119" si="398">SUM(BL16+BL26+BL34+BL42)</f>
        <v>8938.89</v>
      </c>
      <c r="BM119" s="2890">
        <f t="shared" si="398"/>
        <v>8935.578192981302</v>
      </c>
      <c r="BN119" s="2891">
        <f t="shared" si="398"/>
        <v>3.311807018699028</v>
      </c>
      <c r="BO119" s="2889">
        <f t="shared" si="398"/>
        <v>13483.539999999999</v>
      </c>
      <c r="BP119" s="2890">
        <f t="shared" si="398"/>
        <v>13478.886881095266</v>
      </c>
      <c r="BQ119" s="2892">
        <f t="shared" si="398"/>
        <v>4.6531189047323096</v>
      </c>
      <c r="BR119" s="2889">
        <f t="shared" si="398"/>
        <v>19424.309999999998</v>
      </c>
      <c r="BS119" s="2890">
        <f t="shared" si="398"/>
        <v>19418.473271070459</v>
      </c>
      <c r="BT119" s="2891">
        <f t="shared" si="398"/>
        <v>5.8367289295385945</v>
      </c>
      <c r="BU119" s="3805">
        <f t="shared" si="398"/>
        <v>20309.145457703187</v>
      </c>
      <c r="BV119" s="2139">
        <f t="shared" si="322"/>
        <v>1.0849128957769478</v>
      </c>
      <c r="BW119" s="1015">
        <f t="shared" ref="BW119:BY119" si="399">SUM(BW16+BW26+BW34+BW42)</f>
        <v>20263.031110224507</v>
      </c>
      <c r="BX119" s="3806">
        <f t="shared" si="399"/>
        <v>46.114347478681793</v>
      </c>
      <c r="BY119" s="3807">
        <f t="shared" si="399"/>
        <v>19752.050813946229</v>
      </c>
      <c r="BZ119" s="2139">
        <f t="shared" si="281"/>
        <v>1.0551529452936084</v>
      </c>
      <c r="CA119" s="3808">
        <f t="shared" ref="CA119:CB119" si="400">SUM(CA16+CA26+CA34+CA42)</f>
        <v>19704.682372792351</v>
      </c>
      <c r="CB119" s="3809">
        <f t="shared" si="400"/>
        <v>47.368441153876802</v>
      </c>
      <c r="CC119" s="1445"/>
      <c r="CD119" s="3980">
        <f t="shared" ref="CD119:CE119" si="401">SUM(CD16+CD26+CD34+CD42)</f>
        <v>10380.379999999999</v>
      </c>
      <c r="CE119" s="3981">
        <f t="shared" si="401"/>
        <v>10378.345851114374</v>
      </c>
      <c r="CF119" s="3981">
        <f t="shared" ref="CF119:CH119" si="402">SUM(CF16+CF26+CF34+CF42)</f>
        <v>2.0341488856253136</v>
      </c>
      <c r="CG119" s="3981">
        <f t="shared" si="402"/>
        <v>14596.229999999998</v>
      </c>
      <c r="CH119" s="3981">
        <f t="shared" si="402"/>
        <v>14593.570525037107</v>
      </c>
      <c r="CI119" s="3981">
        <f t="shared" ref="CI119:CK119" si="403">SUM(CI16+CI26+CI34+CI42)</f>
        <v>2.6594749628923182</v>
      </c>
      <c r="CJ119" s="3981">
        <f t="shared" si="403"/>
        <v>19688.316666666662</v>
      </c>
      <c r="CK119" s="3981">
        <f t="shared" si="403"/>
        <v>19684.726760931877</v>
      </c>
      <c r="CL119" s="3981">
        <f t="shared" ref="CL119" si="404">SUM(CL16+CL26+CL34+CL42)</f>
        <v>3.5899057347849066</v>
      </c>
      <c r="CM119" s="3805">
        <f t="shared" ref="CM119" si="405">SUM(CM16+CM26+CM34+CM42)</f>
        <v>20785.643793443553</v>
      </c>
      <c r="CN119" s="4359">
        <f t="shared" si="288"/>
        <v>1.0523283880359167</v>
      </c>
      <c r="CO119" s="1015">
        <f t="shared" ref="CO119:CQ119" si="406">SUM(CO16+CO26+CO34+CO42)</f>
        <v>20735.711889445844</v>
      </c>
      <c r="CP119" s="3806">
        <f t="shared" si="406"/>
        <v>49.931903997708332</v>
      </c>
      <c r="CQ119" s="3807">
        <f t="shared" si="406"/>
        <v>20407.87310487168</v>
      </c>
      <c r="CR119" s="4359">
        <f t="shared" si="290"/>
        <v>1.0332027442164333</v>
      </c>
      <c r="CS119" s="3808">
        <f t="shared" ref="CS119:CT119" si="407">SUM(CS16+CS26+CS34+CS42)</f>
        <v>20357.638269080369</v>
      </c>
      <c r="CT119" s="3809">
        <f t="shared" si="407"/>
        <v>50.234835791311056</v>
      </c>
    </row>
    <row r="120" spans="1:98" ht="21" customHeight="1">
      <c r="A120" s="1279" t="s">
        <v>10</v>
      </c>
      <c r="B120" s="430"/>
      <c r="C120" s="430"/>
      <c r="D120" s="430"/>
      <c r="E120" s="430"/>
      <c r="F120" s="430"/>
      <c r="G120" s="430"/>
      <c r="H120" s="430"/>
      <c r="I120" s="430"/>
      <c r="J120" s="430"/>
      <c r="K120" s="430"/>
      <c r="L120" s="430"/>
      <c r="M120" s="430"/>
      <c r="N120" s="430"/>
      <c r="O120" s="430"/>
      <c r="P120" s="430"/>
      <c r="Q120" s="430"/>
      <c r="R120" s="430"/>
      <c r="S120" s="430"/>
      <c r="T120" s="430"/>
      <c r="U120" s="430"/>
      <c r="V120" s="430"/>
      <c r="W120" s="430"/>
      <c r="X120" s="430"/>
      <c r="Y120" s="1449">
        <f>SUM(Y43)</f>
        <v>4337.3</v>
      </c>
      <c r="Z120" s="1447"/>
      <c r="AA120" s="1441" t="e">
        <f t="shared" ref="AA120:AD120" si="408">SUM(AA43)</f>
        <v>#REF!</v>
      </c>
      <c r="AB120" s="1441" t="e">
        <f t="shared" si="408"/>
        <v>#REF!</v>
      </c>
      <c r="AC120" s="1441" t="e">
        <f t="shared" si="408"/>
        <v>#REF!</v>
      </c>
      <c r="AD120" s="1442" t="e">
        <f t="shared" si="408"/>
        <v>#REF!</v>
      </c>
      <c r="AE120" s="1440">
        <f t="shared" ref="AE120:AH120" si="409">SUM(AE43)</f>
        <v>4024.3500000000004</v>
      </c>
      <c r="AF120" s="1441">
        <f t="shared" si="409"/>
        <v>3976.8345704382273</v>
      </c>
      <c r="AG120" s="1442">
        <f t="shared" si="409"/>
        <v>47.515429561772656</v>
      </c>
      <c r="AH120" s="1440">
        <f t="shared" si="409"/>
        <v>3223.45</v>
      </c>
      <c r="AI120" s="1264" t="e">
        <f t="shared" si="269"/>
        <v>#REF!</v>
      </c>
      <c r="AJ120" s="1441">
        <f t="shared" ref="AJ120:AK120" si="410">SUM(AJ43)</f>
        <v>3186.56</v>
      </c>
      <c r="AK120" s="1442">
        <f t="shared" si="410"/>
        <v>36.89</v>
      </c>
      <c r="AL120" s="1440">
        <f t="shared" ref="AL120:AO120" si="411">SUM(AL43)</f>
        <v>3223.1722248582328</v>
      </c>
      <c r="AM120" s="1264" t="e">
        <f t="shared" si="272"/>
        <v>#REF!</v>
      </c>
      <c r="AN120" s="1441">
        <f t="shared" si="411"/>
        <v>3186.5738414565994</v>
      </c>
      <c r="AO120" s="1442">
        <f t="shared" si="411"/>
        <v>36.598383401633441</v>
      </c>
      <c r="AP120" s="430"/>
      <c r="AQ120" s="430"/>
      <c r="AR120" s="430"/>
      <c r="AS120" s="430"/>
      <c r="AT120" s="1440">
        <f t="shared" ref="AT120:AV120" si="412">SUM(AT43)</f>
        <v>917.55000000000007</v>
      </c>
      <c r="AU120" s="1441">
        <f t="shared" si="412"/>
        <v>911.23472177565213</v>
      </c>
      <c r="AV120" s="1442">
        <f t="shared" si="412"/>
        <v>6.3152782243478924</v>
      </c>
      <c r="AW120" s="1440">
        <f t="shared" ref="AW120:AY120" si="413">SUM(AW43)</f>
        <v>2879.55</v>
      </c>
      <c r="AX120" s="1441">
        <f t="shared" si="413"/>
        <v>2861.8375134862476</v>
      </c>
      <c r="AY120" s="2649">
        <f t="shared" si="413"/>
        <v>17.712486513752381</v>
      </c>
      <c r="AZ120" s="1440">
        <f t="shared" ref="AZ120:BB120" si="414">SUM(AZ43)</f>
        <v>4009.7699999999995</v>
      </c>
      <c r="BA120" s="1441">
        <f t="shared" si="414"/>
        <v>3990.4446315488758</v>
      </c>
      <c r="BB120" s="2649">
        <f t="shared" si="414"/>
        <v>19.325368451124206</v>
      </c>
      <c r="BC120" s="1440">
        <f t="shared" ref="BC120:BF120" si="415">SUM(BC43)</f>
        <v>4420.8999999999996</v>
      </c>
      <c r="BD120" s="2139">
        <f t="shared" si="277"/>
        <v>1.3715990619131273</v>
      </c>
      <c r="BE120" s="1441">
        <f t="shared" si="415"/>
        <v>4381.0563420773306</v>
      </c>
      <c r="BF120" s="1442">
        <f t="shared" si="415"/>
        <v>39.843657922669166</v>
      </c>
      <c r="BG120" s="2152">
        <f t="shared" ref="BG120:BJ120" si="416">SUM(BG43)</f>
        <v>3125.4374758921222</v>
      </c>
      <c r="BH120" s="2149">
        <f t="shared" si="301"/>
        <v>0.96967746612720662</v>
      </c>
      <c r="BI120" s="2153">
        <f t="shared" si="416"/>
        <v>3107.8150351902632</v>
      </c>
      <c r="BJ120" s="2154">
        <f t="shared" si="416"/>
        <v>17.622440701858665</v>
      </c>
      <c r="BK120" s="1445"/>
      <c r="BL120" s="2889">
        <f t="shared" ref="BL120:BU120" si="417">SUM(BL43)</f>
        <v>1984.73</v>
      </c>
      <c r="BM120" s="2890">
        <f t="shared" si="417"/>
        <v>1983.1292005201474</v>
      </c>
      <c r="BN120" s="2891">
        <f t="shared" si="417"/>
        <v>1.60079947985259</v>
      </c>
      <c r="BO120" s="2889">
        <f t="shared" si="417"/>
        <v>2969.96</v>
      </c>
      <c r="BP120" s="2890">
        <f t="shared" si="417"/>
        <v>2967.7918456982625</v>
      </c>
      <c r="BQ120" s="2892">
        <f t="shared" si="417"/>
        <v>2.1681543017374878</v>
      </c>
      <c r="BR120" s="2889">
        <f t="shared" si="417"/>
        <v>4091.9520000000002</v>
      </c>
      <c r="BS120" s="2890">
        <f t="shared" si="417"/>
        <v>4089.2001366532722</v>
      </c>
      <c r="BT120" s="2891">
        <f t="shared" si="417"/>
        <v>2.7518633467274043</v>
      </c>
      <c r="BU120" s="3805">
        <f t="shared" si="417"/>
        <v>3628.2425283182315</v>
      </c>
      <c r="BV120" s="2139">
        <f t="shared" si="322"/>
        <v>1.1608750955040588</v>
      </c>
      <c r="BW120" s="1015">
        <f t="shared" ref="BW120:BY120" si="418">SUM(BW43)</f>
        <v>3611.0062217704012</v>
      </c>
      <c r="BX120" s="3806">
        <f t="shared" si="418"/>
        <v>17.236306547830125</v>
      </c>
      <c r="BY120" s="3807">
        <f t="shared" si="418"/>
        <v>3621.9039999999995</v>
      </c>
      <c r="BZ120" s="2139">
        <f t="shared" si="281"/>
        <v>1.1588470503529003</v>
      </c>
      <c r="CA120" s="3808">
        <f t="shared" ref="CA120:CB120" si="419">SUM(CA43)</f>
        <v>3603.174</v>
      </c>
      <c r="CB120" s="3809">
        <f t="shared" si="419"/>
        <v>18.73</v>
      </c>
      <c r="CC120" s="1445"/>
      <c r="CD120" s="3980">
        <f t="shared" ref="CD120:CE120" si="420">SUM(CD43)</f>
        <v>2184.0039999999999</v>
      </c>
      <c r="CE120" s="3981">
        <f t="shared" si="420"/>
        <v>2182.7305007774708</v>
      </c>
      <c r="CF120" s="3981">
        <f t="shared" ref="CF120:CH120" si="421">SUM(CF43)</f>
        <v>1.2734992225292316</v>
      </c>
      <c r="CG120" s="3981">
        <f t="shared" si="421"/>
        <v>3241.674</v>
      </c>
      <c r="CH120" s="3981">
        <f t="shared" si="421"/>
        <v>3240.0103018261843</v>
      </c>
      <c r="CI120" s="3981">
        <f t="shared" ref="CI120:CK120" si="422">SUM(CI43)</f>
        <v>1.663698173815888</v>
      </c>
      <c r="CJ120" s="3981">
        <f t="shared" si="422"/>
        <v>4322.232</v>
      </c>
      <c r="CK120" s="3981">
        <f t="shared" si="422"/>
        <v>4320.0119938365006</v>
      </c>
      <c r="CL120" s="3981">
        <f t="shared" ref="CL120" si="423">SUM(CL43)</f>
        <v>2.2200061634995052</v>
      </c>
      <c r="CM120" s="3805">
        <f t="shared" ref="CM120" si="424">SUM(CM43)</f>
        <v>3632.6157539878122</v>
      </c>
      <c r="CN120" s="4359">
        <f t="shared" si="288"/>
        <v>1.0029574925199047</v>
      </c>
      <c r="CO120" s="1015">
        <f t="shared" ref="CO120:CQ120" si="425">SUM(CO43)</f>
        <v>3612.0164393374689</v>
      </c>
      <c r="CP120" s="3806">
        <f t="shared" si="425"/>
        <v>20.599314650343089</v>
      </c>
      <c r="CQ120" s="3807">
        <f t="shared" si="425"/>
        <v>3523.8224121041176</v>
      </c>
      <c r="CR120" s="4359">
        <f t="shared" si="290"/>
        <v>0.97291988194720735</v>
      </c>
      <c r="CS120" s="3808">
        <f t="shared" ref="CS120:CT120" si="426">SUM(CS43)</f>
        <v>3502.9312821041176</v>
      </c>
      <c r="CT120" s="3809">
        <f t="shared" si="426"/>
        <v>20.891130000000004</v>
      </c>
    </row>
    <row r="121" spans="1:98" ht="21" customHeight="1">
      <c r="A121" s="1279" t="s">
        <v>11</v>
      </c>
      <c r="B121" s="430"/>
      <c r="C121" s="430"/>
      <c r="D121" s="430"/>
      <c r="E121" s="430"/>
      <c r="F121" s="430"/>
      <c r="G121" s="430"/>
      <c r="H121" s="430"/>
      <c r="I121" s="430"/>
      <c r="J121" s="430"/>
      <c r="K121" s="430"/>
      <c r="L121" s="430"/>
      <c r="M121" s="430"/>
      <c r="N121" s="430"/>
      <c r="O121" s="430"/>
      <c r="P121" s="430"/>
      <c r="Q121" s="430"/>
      <c r="R121" s="430"/>
      <c r="S121" s="430"/>
      <c r="T121" s="430"/>
      <c r="U121" s="430"/>
      <c r="V121" s="430"/>
      <c r="W121" s="430"/>
      <c r="X121" s="430"/>
      <c r="Y121" s="1449">
        <f>SUM(Y48)</f>
        <v>15517.1</v>
      </c>
      <c r="Z121" s="1447"/>
      <c r="AA121" s="1441">
        <f t="shared" ref="AA121:AD121" si="427">SUM(AA48)</f>
        <v>9765</v>
      </c>
      <c r="AB121" s="1441" t="e">
        <f t="shared" si="427"/>
        <v>#REF!</v>
      </c>
      <c r="AC121" s="1441">
        <f t="shared" si="427"/>
        <v>9598.7999999999993</v>
      </c>
      <c r="AD121" s="1442">
        <f t="shared" si="427"/>
        <v>166.2</v>
      </c>
      <c r="AE121" s="1440">
        <f t="shared" ref="AE121:AH121" si="428">SUM(AE48)</f>
        <v>14207.04</v>
      </c>
      <c r="AF121" s="1441">
        <f t="shared" si="428"/>
        <v>14031.870256994307</v>
      </c>
      <c r="AG121" s="1442">
        <f t="shared" si="428"/>
        <v>175.16974300569382</v>
      </c>
      <c r="AH121" s="1440">
        <f t="shared" si="428"/>
        <v>13395.76</v>
      </c>
      <c r="AI121" s="1264">
        <f t="shared" si="269"/>
        <v>1.3718136200716846</v>
      </c>
      <c r="AJ121" s="1441">
        <f t="shared" ref="AJ121:AK121" si="429">SUM(AJ48)</f>
        <v>13243.27</v>
      </c>
      <c r="AK121" s="1442">
        <f t="shared" si="429"/>
        <v>152.49</v>
      </c>
      <c r="AL121" s="1440">
        <f t="shared" ref="AL121:AO121" si="430">SUM(AL48)</f>
        <v>13073.01213648671</v>
      </c>
      <c r="AM121" s="1264">
        <f t="shared" si="272"/>
        <v>1.3387621235521465</v>
      </c>
      <c r="AN121" s="1441">
        <f t="shared" si="430"/>
        <v>12924.197100987714</v>
      </c>
      <c r="AO121" s="1442">
        <f t="shared" si="430"/>
        <v>148.81503549899571</v>
      </c>
      <c r="AP121" s="430"/>
      <c r="AQ121" s="430"/>
      <c r="AR121" s="430"/>
      <c r="AS121" s="430"/>
      <c r="AT121" s="1440">
        <f t="shared" ref="AT121:AV121" si="431">SUM(AT48)</f>
        <v>6505.01</v>
      </c>
      <c r="AU121" s="1441">
        <f t="shared" si="431"/>
        <v>6460.2375647080098</v>
      </c>
      <c r="AV121" s="1442">
        <f t="shared" si="431"/>
        <v>44.772435291990405</v>
      </c>
      <c r="AW121" s="1440">
        <f t="shared" ref="AW121:AY121" si="432">SUM(AW48)</f>
        <v>9743.8700000000008</v>
      </c>
      <c r="AX121" s="1441">
        <f t="shared" si="432"/>
        <v>9683.9341885132217</v>
      </c>
      <c r="AY121" s="2649">
        <f t="shared" si="432"/>
        <v>59.93581148677913</v>
      </c>
      <c r="AZ121" s="1440">
        <f t="shared" ref="AZ121:BB121" si="433">SUM(AZ48)</f>
        <v>12858.36</v>
      </c>
      <c r="BA121" s="1441">
        <f t="shared" si="433"/>
        <v>12796.388229879221</v>
      </c>
      <c r="BB121" s="2649">
        <f t="shared" si="433"/>
        <v>61.971770120779183</v>
      </c>
      <c r="BC121" s="1440">
        <f t="shared" ref="BC121:BF121" si="434">SUM(BC48)</f>
        <v>14993.56</v>
      </c>
      <c r="BD121" s="2139">
        <f t="shared" si="277"/>
        <v>1.1469093613210264</v>
      </c>
      <c r="BE121" s="1441">
        <f t="shared" si="434"/>
        <v>14913.482432471448</v>
      </c>
      <c r="BF121" s="1442">
        <f t="shared" si="434"/>
        <v>80.077567528551299</v>
      </c>
      <c r="BG121" s="2152">
        <f t="shared" ref="BG121:BJ121" si="435">SUM(BG48)</f>
        <v>9920.4365701392053</v>
      </c>
      <c r="BH121" s="2149">
        <f t="shared" si="301"/>
        <v>0.75884857036515074</v>
      </c>
      <c r="BI121" s="2153">
        <f t="shared" si="435"/>
        <v>9867.4535274623486</v>
      </c>
      <c r="BJ121" s="2154">
        <f t="shared" si="435"/>
        <v>52.983042676856712</v>
      </c>
      <c r="BK121" s="1445"/>
      <c r="BL121" s="2889">
        <f t="shared" ref="BL121:BU122" si="436">SUM(BL48)</f>
        <v>6282.929999999993</v>
      </c>
      <c r="BM121" s="2890">
        <f t="shared" si="436"/>
        <v>6277.8624537463711</v>
      </c>
      <c r="BN121" s="2891">
        <f t="shared" si="436"/>
        <v>5.0675462536219129</v>
      </c>
      <c r="BO121" s="2889">
        <f t="shared" si="436"/>
        <v>9402.3000000000102</v>
      </c>
      <c r="BP121" s="2890">
        <f t="shared" si="436"/>
        <v>9395.4360566501928</v>
      </c>
      <c r="BQ121" s="2892">
        <f t="shared" si="436"/>
        <v>6.8639433498174185</v>
      </c>
      <c r="BR121" s="2889">
        <f t="shared" si="436"/>
        <v>12499.652</v>
      </c>
      <c r="BS121" s="2890">
        <f t="shared" si="436"/>
        <v>12491.245905748247</v>
      </c>
      <c r="BT121" s="2891">
        <f t="shared" si="436"/>
        <v>8.4060942517535295</v>
      </c>
      <c r="BU121" s="3805">
        <f t="shared" si="436"/>
        <v>16008.32334611606</v>
      </c>
      <c r="BV121" s="2139">
        <f t="shared" si="322"/>
        <v>1.6136712565958604</v>
      </c>
      <c r="BW121" s="1015">
        <f t="shared" ref="BW121:BY122" si="437">SUM(BW48)</f>
        <v>15932.274304091756</v>
      </c>
      <c r="BX121" s="3806">
        <f t="shared" si="437"/>
        <v>76.049042024304072</v>
      </c>
      <c r="BY121" s="3807">
        <f t="shared" si="437"/>
        <v>10405.569747911368</v>
      </c>
      <c r="BZ121" s="2139">
        <f t="shared" si="281"/>
        <v>1.0489024020608555</v>
      </c>
      <c r="CA121" s="3808">
        <f t="shared" ref="CA121:CB121" si="438">SUM(CA48)</f>
        <v>10353.7749</v>
      </c>
      <c r="CB121" s="3809">
        <f t="shared" si="438"/>
        <v>51.8</v>
      </c>
      <c r="CC121" s="1445"/>
      <c r="CD121" s="3980">
        <f t="shared" ref="CD121:CE121" si="439">SUM(CD48)</f>
        <v>6741.71</v>
      </c>
      <c r="CE121" s="3981">
        <f t="shared" si="439"/>
        <v>6737.7788888648929</v>
      </c>
      <c r="CF121" s="3981">
        <f t="shared" ref="CF121:CH121" si="440">SUM(CF48)</f>
        <v>3.9311111351071304</v>
      </c>
      <c r="CG121" s="3981">
        <f t="shared" si="440"/>
        <v>10271.630000000001</v>
      </c>
      <c r="CH121" s="3981">
        <f t="shared" si="440"/>
        <v>10266.358374268015</v>
      </c>
      <c r="CI121" s="3981">
        <f t="shared" ref="CI121:CK121" si="441">SUM(CI48)</f>
        <v>5.2716257319862052</v>
      </c>
      <c r="CJ121" s="3981">
        <f t="shared" si="441"/>
        <v>13525.529999999999</v>
      </c>
      <c r="CK121" s="3981">
        <f t="shared" si="441"/>
        <v>13518.58295042825</v>
      </c>
      <c r="CL121" s="3981">
        <f t="shared" ref="CL121" si="442">SUM(CL48)</f>
        <v>6.9470495717487211</v>
      </c>
      <c r="CM121" s="3805">
        <f t="shared" ref="CM121" si="443">SUM(CM48)</f>
        <v>11106.581954328365</v>
      </c>
      <c r="CN121" s="4359">
        <f t="shared" si="288"/>
        <v>1.0673689402310438</v>
      </c>
      <c r="CO121" s="1015">
        <f t="shared" ref="CO121:CQ121" si="444">SUM(CO48)</f>
        <v>11046.8691481223</v>
      </c>
      <c r="CP121" s="3806">
        <f t="shared" si="444"/>
        <v>59.712806206065579</v>
      </c>
      <c r="CQ121" s="3807">
        <f t="shared" si="444"/>
        <v>10744.469720171532</v>
      </c>
      <c r="CR121" s="4359">
        <f t="shared" si="290"/>
        <v>1.0325690933289058</v>
      </c>
      <c r="CS121" s="3808">
        <f t="shared" ref="CS121:CT121" si="445">SUM(CS48)</f>
        <v>10689.535159721532</v>
      </c>
      <c r="CT121" s="3809">
        <f t="shared" si="445"/>
        <v>54.934560449999992</v>
      </c>
    </row>
    <row r="122" spans="1:98" ht="21" customHeight="1">
      <c r="A122" s="1923" t="s">
        <v>907</v>
      </c>
      <c r="B122" s="430"/>
      <c r="C122" s="430"/>
      <c r="D122" s="430"/>
      <c r="E122" s="430"/>
      <c r="F122" s="430"/>
      <c r="G122" s="430"/>
      <c r="H122" s="430"/>
      <c r="I122" s="430"/>
      <c r="J122" s="430"/>
      <c r="K122" s="430"/>
      <c r="L122" s="430"/>
      <c r="M122" s="430"/>
      <c r="N122" s="430"/>
      <c r="O122" s="430"/>
      <c r="P122" s="430"/>
      <c r="Q122" s="430"/>
      <c r="R122" s="430"/>
      <c r="S122" s="430"/>
      <c r="T122" s="430"/>
      <c r="U122" s="430"/>
      <c r="V122" s="430"/>
      <c r="W122" s="430"/>
      <c r="X122" s="430"/>
      <c r="Y122" s="1924"/>
      <c r="Z122" s="1925"/>
      <c r="AA122" s="1926"/>
      <c r="AB122" s="1926"/>
      <c r="AC122" s="1926"/>
      <c r="AD122" s="1927"/>
      <c r="AE122" s="1928"/>
      <c r="AF122" s="1926"/>
      <c r="AG122" s="1927"/>
      <c r="AH122" s="1928"/>
      <c r="AI122" s="1929"/>
      <c r="AJ122" s="1926"/>
      <c r="AK122" s="1927"/>
      <c r="AL122" s="1928"/>
      <c r="AM122" s="1929"/>
      <c r="AN122" s="1926"/>
      <c r="AO122" s="1927"/>
      <c r="AP122" s="430"/>
      <c r="AQ122" s="430"/>
      <c r="AR122" s="430"/>
      <c r="AS122" s="430"/>
      <c r="AT122" s="1928"/>
      <c r="AU122" s="1926"/>
      <c r="AV122" s="1927"/>
      <c r="AW122" s="1928"/>
      <c r="AX122" s="1926"/>
      <c r="AY122" s="2649"/>
      <c r="AZ122" s="1928"/>
      <c r="BA122" s="1926"/>
      <c r="BB122" s="2649"/>
      <c r="BC122" s="1928"/>
      <c r="BD122" s="2145"/>
      <c r="BE122" s="1926"/>
      <c r="BF122" s="1927"/>
      <c r="BG122" s="2152">
        <f>BG49</f>
        <v>395.92538655008684</v>
      </c>
      <c r="BH122" s="2149"/>
      <c r="BI122" s="2153">
        <f>BI49</f>
        <v>395.92538655008684</v>
      </c>
      <c r="BJ122" s="2154">
        <f>BJ49</f>
        <v>0</v>
      </c>
      <c r="BK122" s="1930"/>
      <c r="BL122" s="2889"/>
      <c r="BM122" s="2890"/>
      <c r="BN122" s="2891"/>
      <c r="BO122" s="2889"/>
      <c r="BP122" s="2890"/>
      <c r="BQ122" s="2892"/>
      <c r="BR122" s="2889"/>
      <c r="BS122" s="2890"/>
      <c r="BT122" s="2891"/>
      <c r="BU122" s="3805">
        <f t="shared" si="436"/>
        <v>404.91360275906646</v>
      </c>
      <c r="BV122" s="2139">
        <f t="shared" si="322"/>
        <v>1.0227017931012174</v>
      </c>
      <c r="BW122" s="1015">
        <f t="shared" si="437"/>
        <v>404.91360275906646</v>
      </c>
      <c r="BX122" s="3806">
        <f t="shared" si="437"/>
        <v>0</v>
      </c>
      <c r="BY122" s="3807">
        <f>BY49</f>
        <v>397.28</v>
      </c>
      <c r="BZ122" s="2139">
        <f t="shared" si="281"/>
        <v>1.0034213856851075</v>
      </c>
      <c r="CA122" s="3808">
        <f>CA49</f>
        <v>397.28</v>
      </c>
      <c r="CB122" s="3809">
        <f>CB49</f>
        <v>0</v>
      </c>
      <c r="CC122" s="1930"/>
      <c r="CD122" s="3980">
        <f t="shared" ref="CD122:CL122" si="446">CD49</f>
        <v>0</v>
      </c>
      <c r="CE122" s="3981">
        <f t="shared" si="446"/>
        <v>0</v>
      </c>
      <c r="CF122" s="3981">
        <f t="shared" si="446"/>
        <v>0</v>
      </c>
      <c r="CG122" s="3981">
        <f t="shared" si="446"/>
        <v>0</v>
      </c>
      <c r="CH122" s="3981">
        <f t="shared" si="446"/>
        <v>0</v>
      </c>
      <c r="CI122" s="3981">
        <f t="shared" si="446"/>
        <v>0</v>
      </c>
      <c r="CJ122" s="3981">
        <f t="shared" si="446"/>
        <v>0</v>
      </c>
      <c r="CK122" s="3981">
        <f t="shared" si="446"/>
        <v>0</v>
      </c>
      <c r="CL122" s="3981">
        <f t="shared" si="446"/>
        <v>0</v>
      </c>
      <c r="CM122" s="3805">
        <f t="shared" ref="CM122" si="447">SUM(CM49)</f>
        <v>444.98581689171959</v>
      </c>
      <c r="CN122" s="4359">
        <f t="shared" si="288"/>
        <v>1.1200810936662293</v>
      </c>
      <c r="CO122" s="1015">
        <f t="shared" ref="CO122:CP122" si="448">SUM(CO49)</f>
        <v>444.98581689171959</v>
      </c>
      <c r="CP122" s="3806">
        <f t="shared" si="448"/>
        <v>0</v>
      </c>
      <c r="CQ122" s="3807">
        <f>CQ49</f>
        <v>436.83960362466541</v>
      </c>
      <c r="CR122" s="4359">
        <f t="shared" si="290"/>
        <v>1.0995761267233826</v>
      </c>
      <c r="CS122" s="3808">
        <f>CS49</f>
        <v>436.83960362466541</v>
      </c>
      <c r="CT122" s="3809">
        <f>CT49</f>
        <v>0</v>
      </c>
    </row>
    <row r="123" spans="1:98" ht="21" customHeight="1">
      <c r="A123" s="1284" t="s">
        <v>524</v>
      </c>
      <c r="B123" s="430"/>
      <c r="C123" s="430"/>
      <c r="D123" s="430"/>
      <c r="E123" s="430"/>
      <c r="F123" s="430"/>
      <c r="G123" s="430"/>
      <c r="H123" s="430"/>
      <c r="I123" s="430"/>
      <c r="J123" s="430"/>
      <c r="K123" s="430"/>
      <c r="L123" s="430"/>
      <c r="M123" s="430"/>
      <c r="N123" s="430"/>
      <c r="O123" s="430"/>
      <c r="P123" s="430"/>
      <c r="Q123" s="430"/>
      <c r="R123" s="430"/>
      <c r="S123" s="430"/>
      <c r="T123" s="430"/>
      <c r="U123" s="430"/>
      <c r="V123" s="430"/>
      <c r="W123" s="430"/>
      <c r="X123" s="430"/>
      <c r="Y123" s="1449">
        <f>SUM(Y50)</f>
        <v>0</v>
      </c>
      <c r="Z123" s="1447"/>
      <c r="AA123" s="1441">
        <f t="shared" ref="AA123:AD123" si="449">SUM(AA50)</f>
        <v>0</v>
      </c>
      <c r="AB123" s="1441">
        <f t="shared" si="449"/>
        <v>0</v>
      </c>
      <c r="AC123" s="1441">
        <f t="shared" si="449"/>
        <v>0</v>
      </c>
      <c r="AD123" s="1442">
        <f t="shared" si="449"/>
        <v>0</v>
      </c>
      <c r="AE123" s="1440">
        <f t="shared" ref="AE123:AH123" si="450">SUM(AE50)</f>
        <v>0</v>
      </c>
      <c r="AF123" s="1441">
        <f t="shared" si="450"/>
        <v>0</v>
      </c>
      <c r="AG123" s="1442">
        <f t="shared" si="450"/>
        <v>0</v>
      </c>
      <c r="AH123" s="1440">
        <f t="shared" si="450"/>
        <v>1147.31</v>
      </c>
      <c r="AI123" s="1264" t="e">
        <f t="shared" si="269"/>
        <v>#DIV/0!</v>
      </c>
      <c r="AJ123" s="1441">
        <f t="shared" ref="AJ123:AK123" si="451">SUM(AJ50)</f>
        <v>1147.31</v>
      </c>
      <c r="AK123" s="1442">
        <f t="shared" si="451"/>
        <v>0</v>
      </c>
      <c r="AL123" s="1440">
        <f t="shared" ref="AL123:AO123" si="452">SUM(AL50)</f>
        <v>1287.3</v>
      </c>
      <c r="AM123" s="1264" t="e">
        <f t="shared" si="272"/>
        <v>#DIV/0!</v>
      </c>
      <c r="AN123" s="1441">
        <f t="shared" si="452"/>
        <v>1269.8</v>
      </c>
      <c r="AO123" s="1442">
        <f t="shared" si="452"/>
        <v>17.5</v>
      </c>
      <c r="AP123" s="430"/>
      <c r="AQ123" s="430"/>
      <c r="AR123" s="430"/>
      <c r="AS123" s="430"/>
      <c r="AT123" s="1440">
        <f t="shared" ref="AT123:AV123" si="453">SUM(AT50)</f>
        <v>0</v>
      </c>
      <c r="AU123" s="1441">
        <f t="shared" si="453"/>
        <v>0</v>
      </c>
      <c r="AV123" s="1442">
        <f t="shared" si="453"/>
        <v>0</v>
      </c>
      <c r="AW123" s="1440">
        <f t="shared" ref="AW123:AY123" si="454">SUM(AW50)</f>
        <v>0</v>
      </c>
      <c r="AX123" s="1441">
        <f t="shared" si="454"/>
        <v>0</v>
      </c>
      <c r="AY123" s="2649">
        <f t="shared" si="454"/>
        <v>0</v>
      </c>
      <c r="AZ123" s="1440">
        <f t="shared" ref="AZ123:BB123" si="455">SUM(AZ50)</f>
        <v>0</v>
      </c>
      <c r="BA123" s="1441">
        <f t="shared" si="455"/>
        <v>0</v>
      </c>
      <c r="BB123" s="2649">
        <f t="shared" si="455"/>
        <v>0</v>
      </c>
      <c r="BC123" s="1440">
        <f t="shared" ref="BC123:BF123" si="456">SUM(BC50)</f>
        <v>1785.8</v>
      </c>
      <c r="BD123" s="2139">
        <f t="shared" si="277"/>
        <v>1.3872446205235764</v>
      </c>
      <c r="BE123" s="1441">
        <f t="shared" si="456"/>
        <v>1785.8</v>
      </c>
      <c r="BF123" s="1442">
        <f t="shared" si="456"/>
        <v>0</v>
      </c>
      <c r="BG123" s="2152">
        <f t="shared" ref="BG123:BJ123" si="457">SUM(BG50)</f>
        <v>1785.8</v>
      </c>
      <c r="BH123" s="2148">
        <f t="shared" si="301"/>
        <v>1.3872446205235764</v>
      </c>
      <c r="BI123" s="2153">
        <f t="shared" si="457"/>
        <v>1785.8</v>
      </c>
      <c r="BJ123" s="2154">
        <f t="shared" si="457"/>
        <v>0</v>
      </c>
      <c r="BK123" s="1445"/>
      <c r="BL123" s="2889">
        <f t="shared" ref="BL123:BU123" si="458">SUM(BL50)</f>
        <v>0</v>
      </c>
      <c r="BM123" s="2890">
        <f t="shared" si="458"/>
        <v>0</v>
      </c>
      <c r="BN123" s="2891">
        <f t="shared" si="458"/>
        <v>0</v>
      </c>
      <c r="BO123" s="2889">
        <f t="shared" si="458"/>
        <v>0</v>
      </c>
      <c r="BP123" s="2890">
        <f t="shared" si="458"/>
        <v>0</v>
      </c>
      <c r="BQ123" s="2892">
        <f t="shared" si="458"/>
        <v>0</v>
      </c>
      <c r="BR123" s="2889">
        <f t="shared" si="458"/>
        <v>0</v>
      </c>
      <c r="BS123" s="2890">
        <f t="shared" si="458"/>
        <v>0</v>
      </c>
      <c r="BT123" s="2891">
        <f t="shared" si="458"/>
        <v>0</v>
      </c>
      <c r="BU123" s="3805">
        <f t="shared" si="458"/>
        <v>3771.829999999999</v>
      </c>
      <c r="BV123" s="2139">
        <f t="shared" si="322"/>
        <v>2.1121234180759321</v>
      </c>
      <c r="BW123" s="1015">
        <f t="shared" ref="BW123:BY123" si="459">SUM(BW50)</f>
        <v>3771.829999999999</v>
      </c>
      <c r="BX123" s="3806">
        <f t="shared" si="459"/>
        <v>0</v>
      </c>
      <c r="BY123" s="3807">
        <f t="shared" si="459"/>
        <v>2254.38</v>
      </c>
      <c r="BZ123" s="2139">
        <f t="shared" si="281"/>
        <v>1.2623922051741516</v>
      </c>
      <c r="CA123" s="3808">
        <f t="shared" ref="CA123:CB123" si="460">SUM(CA50)</f>
        <v>2254.38</v>
      </c>
      <c r="CB123" s="3809">
        <f t="shared" si="460"/>
        <v>0</v>
      </c>
      <c r="CC123" s="1445"/>
      <c r="CD123" s="3980">
        <f t="shared" ref="CD123:CE123" si="461">SUM(CD50)</f>
        <v>0</v>
      </c>
      <c r="CE123" s="3981">
        <f t="shared" si="461"/>
        <v>0</v>
      </c>
      <c r="CF123" s="3981">
        <f t="shared" ref="CF123:CH123" si="462">SUM(CF50)</f>
        <v>0</v>
      </c>
      <c r="CG123" s="3981">
        <f t="shared" si="462"/>
        <v>0</v>
      </c>
      <c r="CH123" s="3981">
        <f t="shared" si="462"/>
        <v>0</v>
      </c>
      <c r="CI123" s="3981">
        <f t="shared" ref="CI123:CK123" si="463">SUM(CI50)</f>
        <v>0</v>
      </c>
      <c r="CJ123" s="3981">
        <f t="shared" si="463"/>
        <v>0</v>
      </c>
      <c r="CK123" s="3981">
        <f t="shared" si="463"/>
        <v>0</v>
      </c>
      <c r="CL123" s="3981">
        <f t="shared" ref="CL123" si="464">SUM(CL50)</f>
        <v>0</v>
      </c>
      <c r="CM123" s="3805">
        <f t="shared" ref="CM123" si="465">SUM(CM50)</f>
        <v>4704.75</v>
      </c>
      <c r="CN123" s="4359">
        <f t="shared" si="288"/>
        <v>2.0869374284725732</v>
      </c>
      <c r="CO123" s="1015">
        <f t="shared" ref="CO123:CQ123" si="466">SUM(CO50)</f>
        <v>4704.75</v>
      </c>
      <c r="CP123" s="3806">
        <f t="shared" si="466"/>
        <v>0</v>
      </c>
      <c r="CQ123" s="3807">
        <f t="shared" si="466"/>
        <v>0</v>
      </c>
      <c r="CR123" s="4359">
        <f t="shared" si="290"/>
        <v>0</v>
      </c>
      <c r="CS123" s="3808">
        <f t="shared" ref="CS123:CT123" si="467">SUM(CS50)</f>
        <v>0</v>
      </c>
      <c r="CT123" s="3809">
        <f t="shared" si="467"/>
        <v>0</v>
      </c>
    </row>
    <row r="124" spans="1:98" ht="21" customHeight="1">
      <c r="A124" s="1281" t="s">
        <v>12</v>
      </c>
      <c r="B124" s="1452"/>
      <c r="C124" s="1452"/>
      <c r="D124" s="1452"/>
      <c r="E124" s="1452"/>
      <c r="F124" s="1452"/>
      <c r="G124" s="1452"/>
      <c r="H124" s="1452"/>
      <c r="I124" s="1452"/>
      <c r="J124" s="1452"/>
      <c r="K124" s="1452"/>
      <c r="L124" s="1452"/>
      <c r="M124" s="1452"/>
      <c r="N124" s="1452"/>
      <c r="O124" s="1452"/>
      <c r="P124" s="1452"/>
      <c r="Q124" s="1452"/>
      <c r="R124" s="1452"/>
      <c r="S124" s="1452"/>
      <c r="T124" s="1452"/>
      <c r="U124" s="1452"/>
      <c r="V124" s="1452"/>
      <c r="W124" s="1452"/>
      <c r="X124" s="1452"/>
      <c r="Y124" s="1453">
        <f>SUM(Y113:Y123)</f>
        <v>138793.20000000001</v>
      </c>
      <c r="Z124" s="1454"/>
      <c r="AA124" s="1455" t="e">
        <f t="shared" ref="AA124:AE124" si="468">SUM(AA113:AA123)</f>
        <v>#REF!</v>
      </c>
      <c r="AB124" s="1455" t="e">
        <f t="shared" si="468"/>
        <v>#REF!</v>
      </c>
      <c r="AC124" s="1455" t="e">
        <f t="shared" si="468"/>
        <v>#REF!</v>
      </c>
      <c r="AD124" s="1456" t="e">
        <f t="shared" si="468"/>
        <v>#REF!</v>
      </c>
      <c r="AE124" s="1457">
        <f t="shared" si="468"/>
        <v>113320.02939110002</v>
      </c>
      <c r="AF124" s="1455">
        <f t="shared" ref="AF124" si="469">SUM(AF113:AF123)</f>
        <v>112515.45483007004</v>
      </c>
      <c r="AG124" s="1456">
        <f t="shared" ref="AG124" si="470">SUM(AG113:AG123)</f>
        <v>804.57456102995798</v>
      </c>
      <c r="AH124" s="1457">
        <f t="shared" ref="AH124:AJ124" si="471">SUM(AH113:AH123)</f>
        <v>121571.42432999998</v>
      </c>
      <c r="AI124" s="1252" t="e">
        <f t="shared" si="269"/>
        <v>#REF!</v>
      </c>
      <c r="AJ124" s="1455">
        <f t="shared" si="471"/>
        <v>120777.48432999999</v>
      </c>
      <c r="AK124" s="1456">
        <f t="shared" ref="AK124:AL124" si="472">SUM(AK113:AK123)</f>
        <v>793.93999999999994</v>
      </c>
      <c r="AL124" s="1457">
        <f t="shared" si="472"/>
        <v>113871.15082286556</v>
      </c>
      <c r="AM124" s="1252" t="e">
        <f t="shared" si="272"/>
        <v>#REF!</v>
      </c>
      <c r="AN124" s="1455">
        <f t="shared" ref="AN124" si="473">SUM(AN113:AN123)</f>
        <v>113100.92994092536</v>
      </c>
      <c r="AO124" s="1456">
        <f t="shared" ref="AO124" si="474">SUM(AO113:AO123)</f>
        <v>770.22088194020284</v>
      </c>
      <c r="AP124" s="1452"/>
      <c r="AQ124" s="1452"/>
      <c r="AR124" s="1452"/>
      <c r="AS124" s="1452"/>
      <c r="AT124" s="1457">
        <f t="shared" ref="AT124" si="475">SUM(AT113:AT123)</f>
        <v>56673.297081400007</v>
      </c>
      <c r="AU124" s="1455">
        <f t="shared" ref="AU124" si="476">SUM(AU113:AU123)</f>
        <v>56463.165167590269</v>
      </c>
      <c r="AV124" s="1456">
        <f t="shared" ref="AV124" si="477">SUM(AV113:AV123)</f>
        <v>210.13191380973541</v>
      </c>
      <c r="AW124" s="1457">
        <f t="shared" ref="AW124" si="478">SUM(AW113:AW123)</f>
        <v>86434.29</v>
      </c>
      <c r="AX124" s="1455">
        <f t="shared" ref="AX124" si="479">SUM(AX113:AX123)</f>
        <v>86140.291554596522</v>
      </c>
      <c r="AY124" s="2650">
        <f t="shared" ref="AY124:BC124" si="480">SUM(AY113:AY123)</f>
        <v>293.99844540346618</v>
      </c>
      <c r="AZ124" s="1457">
        <f t="shared" si="480"/>
        <v>116214.42000000001</v>
      </c>
      <c r="BA124" s="1455">
        <f t="shared" si="480"/>
        <v>115906.66084339833</v>
      </c>
      <c r="BB124" s="2650">
        <f t="shared" ref="BB124" si="481">SUM(BB113:BB123)</f>
        <v>307.75915660164389</v>
      </c>
      <c r="BC124" s="1457">
        <f t="shared" si="480"/>
        <v>132673.21128099889</v>
      </c>
      <c r="BD124" s="2140">
        <f t="shared" si="277"/>
        <v>1.1651169793425662</v>
      </c>
      <c r="BE124" s="1455">
        <f t="shared" ref="BE124" si="482">SUM(BE113:BE123)</f>
        <v>133587.32181062308</v>
      </c>
      <c r="BF124" s="1456">
        <f t="shared" ref="BF124" si="483">SUM(BF113:BF123)</f>
        <v>423.37547037580555</v>
      </c>
      <c r="BG124" s="2155">
        <f t="shared" ref="BG124" si="484">SUM(BG113:BG123)</f>
        <v>120491.19481209795</v>
      </c>
      <c r="BH124" s="2149">
        <f>BG124/AL124</f>
        <v>1.0581362701737362</v>
      </c>
      <c r="BI124" s="2156">
        <f t="shared" ref="BI124" si="485">SUM(BI113:BI123)</f>
        <v>120147.21128591216</v>
      </c>
      <c r="BJ124" s="2157">
        <f t="shared" ref="BJ124" si="486">SUM(BJ113:BJ123)</f>
        <v>343.9835261858193</v>
      </c>
      <c r="BK124" s="1445"/>
      <c r="BL124" s="2893">
        <f t="shared" ref="BL124:BU124" si="487">SUM(BL113:BL123)</f>
        <v>58948.359424089991</v>
      </c>
      <c r="BM124" s="2894">
        <f t="shared" si="487"/>
        <v>58923.740327763939</v>
      </c>
      <c r="BN124" s="2895">
        <f t="shared" si="487"/>
        <v>24.619096326047917</v>
      </c>
      <c r="BO124" s="2893">
        <f t="shared" si="487"/>
        <v>89325.18489619001</v>
      </c>
      <c r="BP124" s="2894">
        <f t="shared" si="487"/>
        <v>89291.215527233813</v>
      </c>
      <c r="BQ124" s="2896">
        <f t="shared" si="487"/>
        <v>33.969368956207575</v>
      </c>
      <c r="BR124" s="2893">
        <f t="shared" si="487"/>
        <v>120577.87400000001</v>
      </c>
      <c r="BS124" s="2894">
        <f t="shared" si="487"/>
        <v>120535.93171852249</v>
      </c>
      <c r="BT124" s="2895">
        <f t="shared" si="487"/>
        <v>41.942281477499833</v>
      </c>
      <c r="BU124" s="3810">
        <f t="shared" si="487"/>
        <v>139982.63437959019</v>
      </c>
      <c r="BV124" s="2139">
        <f t="shared" si="322"/>
        <v>1.1617665058254962</v>
      </c>
      <c r="BW124" s="1012">
        <f t="shared" ref="BW124:BY124" si="488">SUM(BW113:BW123)</f>
        <v>139617.67429327508</v>
      </c>
      <c r="BX124" s="3811">
        <f t="shared" si="488"/>
        <v>364.96008631513166</v>
      </c>
      <c r="BY124" s="3812">
        <f t="shared" si="488"/>
        <v>126864.26461703915</v>
      </c>
      <c r="BZ124" s="2139">
        <f t="shared" si="281"/>
        <v>1.0528924110585822</v>
      </c>
      <c r="CA124" s="3813">
        <f t="shared" ref="CA124:CB124" si="489">SUM(CA113:CA123)</f>
        <v>126521.14347948735</v>
      </c>
      <c r="CB124" s="3814">
        <f t="shared" si="489"/>
        <v>343.12628964042437</v>
      </c>
      <c r="CC124" s="1445"/>
      <c r="CD124" s="3992">
        <f t="shared" ref="CD124:CE124" si="490">SUM(CD113:CD123)</f>
        <v>65796.292000000001</v>
      </c>
      <c r="CE124" s="3993">
        <f t="shared" si="490"/>
        <v>65778.854641499653</v>
      </c>
      <c r="CF124" s="3993">
        <f t="shared" ref="CF124:CH124" si="491">SUM(CF113:CF123)</f>
        <v>17.437358500344963</v>
      </c>
      <c r="CG124" s="3993">
        <f t="shared" si="491"/>
        <v>101095.20399999998</v>
      </c>
      <c r="CH124" s="3993">
        <f t="shared" si="491"/>
        <v>101071.75809065199</v>
      </c>
      <c r="CI124" s="3993">
        <f t="shared" ref="CI124:CK124" si="492">SUM(CI113:CI123)</f>
        <v>23.445909348019782</v>
      </c>
      <c r="CJ124" s="3993">
        <f t="shared" si="492"/>
        <v>134881.29909601744</v>
      </c>
      <c r="CK124" s="3993">
        <f t="shared" si="492"/>
        <v>134849.79249755773</v>
      </c>
      <c r="CL124" s="3993">
        <f t="shared" ref="CL124" si="493">SUM(CL113:CL123)</f>
        <v>31.506598459729588</v>
      </c>
      <c r="CM124" s="3810">
        <f t="shared" ref="CM124" si="494">SUM(CM113:CM123)</f>
        <v>135333.11283248686</v>
      </c>
      <c r="CN124" s="4359">
        <f t="shared" si="288"/>
        <v>1.0667551909989179</v>
      </c>
      <c r="CO124" s="1012">
        <f t="shared" ref="CO124:CQ124" si="495">SUM(CO113:CO123)</f>
        <v>134965.78180506316</v>
      </c>
      <c r="CP124" s="3811">
        <f t="shared" si="495"/>
        <v>367.33102742369078</v>
      </c>
      <c r="CQ124" s="3812">
        <f t="shared" si="495"/>
        <v>128142.39052398228</v>
      </c>
      <c r="CR124" s="4359">
        <f t="shared" si="290"/>
        <v>1.0100747512374848</v>
      </c>
      <c r="CS124" s="3813">
        <f t="shared" ref="CS124:CT124" si="496">SUM(CS113:CS123)</f>
        <v>127775.59244154149</v>
      </c>
      <c r="CT124" s="3814">
        <f t="shared" si="496"/>
        <v>366.79808244080681</v>
      </c>
    </row>
    <row r="125" spans="1:98" ht="78.75" customHeight="1">
      <c r="A125" s="4469" t="s">
        <v>1906</v>
      </c>
      <c r="B125" s="1452"/>
      <c r="C125" s="1452"/>
      <c r="D125" s="1452"/>
      <c r="E125" s="1452"/>
      <c r="F125" s="1452"/>
      <c r="G125" s="1452"/>
      <c r="H125" s="1452"/>
      <c r="I125" s="1452"/>
      <c r="J125" s="1452"/>
      <c r="K125" s="1452"/>
      <c r="L125" s="1452"/>
      <c r="M125" s="1452"/>
      <c r="N125" s="1452"/>
      <c r="O125" s="1452"/>
      <c r="P125" s="1452"/>
      <c r="Q125" s="1452"/>
      <c r="R125" s="1452"/>
      <c r="S125" s="1452"/>
      <c r="T125" s="1452"/>
      <c r="U125" s="1452"/>
      <c r="V125" s="1452"/>
      <c r="W125" s="1452"/>
      <c r="X125" s="1452"/>
      <c r="Y125" s="3986"/>
      <c r="Z125" s="4472"/>
      <c r="AA125" s="3988"/>
      <c r="AB125" s="3988"/>
      <c r="AC125" s="3988"/>
      <c r="AD125" s="3989"/>
      <c r="AE125" s="3987"/>
      <c r="AF125" s="3988"/>
      <c r="AG125" s="3989"/>
      <c r="AH125" s="3987"/>
      <c r="AI125" s="4463"/>
      <c r="AJ125" s="3988"/>
      <c r="AK125" s="3989"/>
      <c r="AL125" s="3987"/>
      <c r="AM125" s="4463"/>
      <c r="AN125" s="3988"/>
      <c r="AO125" s="3989"/>
      <c r="AP125" s="1452"/>
      <c r="AQ125" s="1452"/>
      <c r="AR125" s="1452"/>
      <c r="AS125" s="1452"/>
      <c r="AT125" s="3987"/>
      <c r="AU125" s="3988"/>
      <c r="AV125" s="3989"/>
      <c r="AW125" s="3987"/>
      <c r="AX125" s="3988"/>
      <c r="AY125" s="4473"/>
      <c r="AZ125" s="3987"/>
      <c r="BA125" s="3988"/>
      <c r="BB125" s="4473"/>
      <c r="BC125" s="3987"/>
      <c r="BD125" s="4467"/>
      <c r="BE125" s="3988"/>
      <c r="BF125" s="3989"/>
      <c r="BG125" s="3987"/>
      <c r="BH125" s="4474"/>
      <c r="BI125" s="3988"/>
      <c r="BJ125" s="3989"/>
      <c r="BK125" s="4475"/>
      <c r="BL125" s="4021"/>
      <c r="BM125" s="4022"/>
      <c r="BN125" s="4023"/>
      <c r="BO125" s="4021"/>
      <c r="BP125" s="4022"/>
      <c r="BQ125" s="4476"/>
      <c r="BR125" s="4021"/>
      <c r="BS125" s="4022"/>
      <c r="BT125" s="4023"/>
      <c r="BU125" s="4021"/>
      <c r="BV125" s="4359"/>
      <c r="BW125" s="4022"/>
      <c r="BX125" s="4023"/>
      <c r="BY125" s="4021"/>
      <c r="BZ125" s="4359"/>
      <c r="CA125" s="4022"/>
      <c r="CB125" s="4023"/>
      <c r="CC125" s="4475"/>
      <c r="CD125" s="3992"/>
      <c r="CE125" s="3993"/>
      <c r="CF125" s="3993"/>
      <c r="CG125" s="3993"/>
      <c r="CH125" s="3993"/>
      <c r="CI125" s="3993"/>
      <c r="CJ125" s="3993"/>
      <c r="CK125" s="3993"/>
      <c r="CL125" s="3993"/>
      <c r="CM125" s="4021"/>
      <c r="CN125" s="4359"/>
      <c r="CO125" s="4022"/>
      <c r="CP125" s="4023"/>
      <c r="CQ125" s="4484">
        <f>SUM(CQ52)</f>
        <v>11701.17</v>
      </c>
      <c r="CR125" s="4359"/>
      <c r="CS125" s="4485">
        <f>SUM(CS52)</f>
        <v>11446.45</v>
      </c>
      <c r="CT125" s="4553">
        <f>SUM(CT52)</f>
        <v>254.72</v>
      </c>
    </row>
    <row r="126" spans="1:98" ht="81.75" customHeight="1">
      <c r="A126" s="4469" t="s">
        <v>1907</v>
      </c>
      <c r="B126" s="1452"/>
      <c r="C126" s="1452"/>
      <c r="D126" s="1452"/>
      <c r="E126" s="1452"/>
      <c r="F126" s="1452"/>
      <c r="G126" s="1452"/>
      <c r="H126" s="1452"/>
      <c r="I126" s="1452"/>
      <c r="J126" s="1452"/>
      <c r="K126" s="1452"/>
      <c r="L126" s="1452"/>
      <c r="M126" s="1452"/>
      <c r="N126" s="1452"/>
      <c r="O126" s="1452"/>
      <c r="P126" s="1452"/>
      <c r="Q126" s="1452"/>
      <c r="R126" s="1452"/>
      <c r="S126" s="1452"/>
      <c r="T126" s="1452"/>
      <c r="U126" s="1452"/>
      <c r="V126" s="1452"/>
      <c r="W126" s="1452"/>
      <c r="X126" s="1452"/>
      <c r="Y126" s="3986"/>
      <c r="Z126" s="4472"/>
      <c r="AA126" s="3988"/>
      <c r="AB126" s="3988"/>
      <c r="AC126" s="3988"/>
      <c r="AD126" s="3989"/>
      <c r="AE126" s="3987"/>
      <c r="AF126" s="3988"/>
      <c r="AG126" s="3989"/>
      <c r="AH126" s="3987"/>
      <c r="AI126" s="4463"/>
      <c r="AJ126" s="3988"/>
      <c r="AK126" s="3989"/>
      <c r="AL126" s="3987"/>
      <c r="AM126" s="4463"/>
      <c r="AN126" s="3988"/>
      <c r="AO126" s="3989"/>
      <c r="AP126" s="1452"/>
      <c r="AQ126" s="1452"/>
      <c r="AR126" s="1452"/>
      <c r="AS126" s="1452"/>
      <c r="AT126" s="3987"/>
      <c r="AU126" s="3988"/>
      <c r="AV126" s="3989"/>
      <c r="AW126" s="3987"/>
      <c r="AX126" s="3988"/>
      <c r="AY126" s="4473"/>
      <c r="AZ126" s="3987"/>
      <c r="BA126" s="3988"/>
      <c r="BB126" s="4473"/>
      <c r="BC126" s="3987"/>
      <c r="BD126" s="4467"/>
      <c r="BE126" s="3988"/>
      <c r="BF126" s="3989"/>
      <c r="BG126" s="3987"/>
      <c r="BH126" s="4474"/>
      <c r="BI126" s="3988"/>
      <c r="BJ126" s="3989"/>
      <c r="BK126" s="4475"/>
      <c r="BL126" s="4021"/>
      <c r="BM126" s="4022"/>
      <c r="BN126" s="4023"/>
      <c r="BO126" s="4021"/>
      <c r="BP126" s="4022"/>
      <c r="BQ126" s="4476"/>
      <c r="BR126" s="4021"/>
      <c r="BS126" s="4022"/>
      <c r="BT126" s="4023"/>
      <c r="BU126" s="4021"/>
      <c r="BV126" s="4359"/>
      <c r="BW126" s="4022"/>
      <c r="BX126" s="4023"/>
      <c r="BY126" s="4021"/>
      <c r="BZ126" s="4359"/>
      <c r="CA126" s="4022"/>
      <c r="CB126" s="4023"/>
      <c r="CC126" s="4475"/>
      <c r="CD126" s="3992"/>
      <c r="CE126" s="3993"/>
      <c r="CF126" s="3993"/>
      <c r="CG126" s="3993"/>
      <c r="CH126" s="3993"/>
      <c r="CI126" s="3993"/>
      <c r="CJ126" s="3993"/>
      <c r="CK126" s="3993"/>
      <c r="CL126" s="3993"/>
      <c r="CM126" s="4021"/>
      <c r="CN126" s="4359"/>
      <c r="CO126" s="4022"/>
      <c r="CP126" s="4023"/>
      <c r="CQ126" s="4484"/>
      <c r="CR126" s="4359"/>
      <c r="CS126" s="4485"/>
      <c r="CT126" s="4553"/>
    </row>
    <row r="127" spans="1:98" ht="358.5" customHeight="1">
      <c r="A127" s="4470" t="s">
        <v>1908</v>
      </c>
      <c r="B127" s="1452"/>
      <c r="C127" s="1452"/>
      <c r="D127" s="1452"/>
      <c r="E127" s="1452"/>
      <c r="F127" s="1452"/>
      <c r="G127" s="1452"/>
      <c r="H127" s="1452"/>
      <c r="I127" s="1452"/>
      <c r="J127" s="1452"/>
      <c r="K127" s="1452"/>
      <c r="L127" s="1452"/>
      <c r="M127" s="1452"/>
      <c r="N127" s="1452"/>
      <c r="O127" s="1452"/>
      <c r="P127" s="1452"/>
      <c r="Q127" s="1452"/>
      <c r="R127" s="1452"/>
      <c r="S127" s="1452"/>
      <c r="T127" s="1452"/>
      <c r="U127" s="1452"/>
      <c r="V127" s="1452"/>
      <c r="W127" s="1452"/>
      <c r="X127" s="1452"/>
      <c r="Y127" s="3986"/>
      <c r="Z127" s="4472"/>
      <c r="AA127" s="3988"/>
      <c r="AB127" s="3988"/>
      <c r="AC127" s="3988"/>
      <c r="AD127" s="3989"/>
      <c r="AE127" s="3987"/>
      <c r="AF127" s="3988"/>
      <c r="AG127" s="3989"/>
      <c r="AH127" s="3987"/>
      <c r="AI127" s="4463"/>
      <c r="AJ127" s="3988"/>
      <c r="AK127" s="3989"/>
      <c r="AL127" s="3987"/>
      <c r="AM127" s="4463"/>
      <c r="AN127" s="3988"/>
      <c r="AO127" s="3989"/>
      <c r="AP127" s="1452"/>
      <c r="AQ127" s="1452"/>
      <c r="AR127" s="1452"/>
      <c r="AS127" s="1452"/>
      <c r="AT127" s="3987"/>
      <c r="AU127" s="3988"/>
      <c r="AV127" s="3989"/>
      <c r="AW127" s="3987"/>
      <c r="AX127" s="3988"/>
      <c r="AY127" s="4473"/>
      <c r="AZ127" s="3987"/>
      <c r="BA127" s="3988"/>
      <c r="BB127" s="4473"/>
      <c r="BC127" s="3987"/>
      <c r="BD127" s="4467"/>
      <c r="BE127" s="3988"/>
      <c r="BF127" s="3989"/>
      <c r="BG127" s="3987"/>
      <c r="BH127" s="4474"/>
      <c r="BI127" s="3988"/>
      <c r="BJ127" s="3989"/>
      <c r="BK127" s="4475"/>
      <c r="BL127" s="4021"/>
      <c r="BM127" s="4022"/>
      <c r="BN127" s="4023"/>
      <c r="BO127" s="4021"/>
      <c r="BP127" s="4022"/>
      <c r="BQ127" s="4476"/>
      <c r="BR127" s="4021"/>
      <c r="BS127" s="4022"/>
      <c r="BT127" s="4023"/>
      <c r="BU127" s="4021"/>
      <c r="BV127" s="4359"/>
      <c r="BW127" s="4022"/>
      <c r="BX127" s="4023"/>
      <c r="BY127" s="4021"/>
      <c r="BZ127" s="4359"/>
      <c r="CA127" s="4022"/>
      <c r="CB127" s="4023"/>
      <c r="CC127" s="4475"/>
      <c r="CD127" s="3992"/>
      <c r="CE127" s="3993"/>
      <c r="CF127" s="3993"/>
      <c r="CG127" s="3993"/>
      <c r="CH127" s="3993"/>
      <c r="CI127" s="3993"/>
      <c r="CJ127" s="3993"/>
      <c r="CK127" s="3993"/>
      <c r="CL127" s="3993"/>
      <c r="CM127" s="4021"/>
      <c r="CN127" s="4359"/>
      <c r="CO127" s="4022"/>
      <c r="CP127" s="4023"/>
      <c r="CQ127" s="4484">
        <f>SUM(CS127:CT127)</f>
        <v>-1405.8046569334567</v>
      </c>
      <c r="CR127" s="4359"/>
      <c r="CS127" s="4485">
        <f>SUM(CS54)</f>
        <v>-1402.0984566147722</v>
      </c>
      <c r="CT127" s="4553">
        <f>-А!C39</f>
        <v>-3.706200318684449</v>
      </c>
    </row>
    <row r="128" spans="1:98" ht="21" customHeight="1">
      <c r="A128" s="4471" t="s">
        <v>1909</v>
      </c>
      <c r="B128" s="1452"/>
      <c r="C128" s="1452"/>
      <c r="D128" s="1452"/>
      <c r="E128" s="1452"/>
      <c r="F128" s="1452"/>
      <c r="G128" s="1452"/>
      <c r="H128" s="1452"/>
      <c r="I128" s="1452"/>
      <c r="J128" s="1452"/>
      <c r="K128" s="1452"/>
      <c r="L128" s="1452"/>
      <c r="M128" s="1452"/>
      <c r="N128" s="1452"/>
      <c r="O128" s="1452"/>
      <c r="P128" s="1452"/>
      <c r="Q128" s="1452"/>
      <c r="R128" s="1452"/>
      <c r="S128" s="1452"/>
      <c r="T128" s="1452"/>
      <c r="U128" s="1452"/>
      <c r="V128" s="1452"/>
      <c r="W128" s="1452"/>
      <c r="X128" s="1452"/>
      <c r="Y128" s="3986"/>
      <c r="Z128" s="4472"/>
      <c r="AA128" s="3988"/>
      <c r="AB128" s="3988"/>
      <c r="AC128" s="3988"/>
      <c r="AD128" s="3989"/>
      <c r="AE128" s="3987"/>
      <c r="AF128" s="3988"/>
      <c r="AG128" s="3989"/>
      <c r="AH128" s="3987"/>
      <c r="AI128" s="4463"/>
      <c r="AJ128" s="3988"/>
      <c r="AK128" s="3989"/>
      <c r="AL128" s="3987"/>
      <c r="AM128" s="4463"/>
      <c r="AN128" s="3988"/>
      <c r="AO128" s="3989"/>
      <c r="AP128" s="1452"/>
      <c r="AQ128" s="1452"/>
      <c r="AR128" s="1452"/>
      <c r="AS128" s="1452"/>
      <c r="AT128" s="3987"/>
      <c r="AU128" s="3988"/>
      <c r="AV128" s="3989"/>
      <c r="AW128" s="3987"/>
      <c r="AX128" s="3988"/>
      <c r="AY128" s="4473"/>
      <c r="AZ128" s="3987"/>
      <c r="BA128" s="3988"/>
      <c r="BB128" s="4473"/>
      <c r="BC128" s="3987"/>
      <c r="BD128" s="4467"/>
      <c r="BE128" s="3988"/>
      <c r="BF128" s="3989"/>
      <c r="BG128" s="3987"/>
      <c r="BH128" s="4474"/>
      <c r="BI128" s="3988"/>
      <c r="BJ128" s="3989"/>
      <c r="BK128" s="4475"/>
      <c r="BL128" s="4021"/>
      <c r="BM128" s="4022"/>
      <c r="BN128" s="4023"/>
      <c r="BO128" s="4021"/>
      <c r="BP128" s="4022"/>
      <c r="BQ128" s="4476"/>
      <c r="BR128" s="4021"/>
      <c r="BS128" s="4022"/>
      <c r="BT128" s="4023"/>
      <c r="BU128" s="4021"/>
      <c r="BV128" s="4359"/>
      <c r="BW128" s="4022"/>
      <c r="BX128" s="4023"/>
      <c r="BY128" s="4021"/>
      <c r="BZ128" s="4359"/>
      <c r="CA128" s="4022"/>
      <c r="CB128" s="4023"/>
      <c r="CC128" s="4475"/>
      <c r="CD128" s="3992"/>
      <c r="CE128" s="3993"/>
      <c r="CF128" s="3993"/>
      <c r="CG128" s="3993"/>
      <c r="CH128" s="3993"/>
      <c r="CI128" s="3993"/>
      <c r="CJ128" s="3993"/>
      <c r="CK128" s="3993"/>
      <c r="CL128" s="3993"/>
      <c r="CM128" s="4021"/>
      <c r="CN128" s="4359"/>
      <c r="CO128" s="4022"/>
      <c r="CP128" s="4023"/>
      <c r="CQ128" s="4554">
        <f>SUM(CQ124+CQ125+CQ126+CQ127)</f>
        <v>138437.75586704881</v>
      </c>
      <c r="CR128" s="4551"/>
      <c r="CS128" s="4555">
        <f>SUM(CS124+CS125+CS126+CS127)</f>
        <v>137819.94398492674</v>
      </c>
      <c r="CT128" s="4555">
        <f>SUM(CT124+CT125+CT126+CT127)</f>
        <v>617.81188212212237</v>
      </c>
    </row>
    <row r="129" spans="1:98" ht="21" customHeight="1">
      <c r="A129" s="1281" t="s">
        <v>13</v>
      </c>
      <c r="B129" s="1452"/>
      <c r="C129" s="1452"/>
      <c r="D129" s="1452"/>
      <c r="E129" s="1452"/>
      <c r="F129" s="1452"/>
      <c r="G129" s="1452"/>
      <c r="H129" s="1452"/>
      <c r="I129" s="1452"/>
      <c r="J129" s="1452"/>
      <c r="K129" s="1452"/>
      <c r="L129" s="1452"/>
      <c r="M129" s="1452"/>
      <c r="N129" s="1452"/>
      <c r="O129" s="1452"/>
      <c r="P129" s="1452"/>
      <c r="Q129" s="1452"/>
      <c r="R129" s="1452"/>
      <c r="S129" s="1452"/>
      <c r="T129" s="1452"/>
      <c r="U129" s="1452"/>
      <c r="V129" s="1452"/>
      <c r="W129" s="1452"/>
      <c r="X129" s="1452"/>
      <c r="Y129" s="1453">
        <f>SUM(Y56)</f>
        <v>4000</v>
      </c>
      <c r="Z129" s="1454"/>
      <c r="AA129" s="1455">
        <f t="shared" ref="AA129:AD129" si="497">SUM(AA56)</f>
        <v>4052.2</v>
      </c>
      <c r="AB129" s="1455" t="e">
        <f t="shared" si="497"/>
        <v>#REF!</v>
      </c>
      <c r="AC129" s="1455">
        <f t="shared" si="497"/>
        <v>4006.2</v>
      </c>
      <c r="AD129" s="1456">
        <f t="shared" si="497"/>
        <v>46</v>
      </c>
      <c r="AE129" s="1457">
        <f t="shared" ref="AE129:AH129" si="498">SUM(AE56)</f>
        <v>4039</v>
      </c>
      <c r="AF129" s="1455">
        <f t="shared" si="498"/>
        <v>3989.2</v>
      </c>
      <c r="AG129" s="1456">
        <f t="shared" si="498"/>
        <v>49.8</v>
      </c>
      <c r="AH129" s="1457">
        <f t="shared" si="498"/>
        <v>4052.4</v>
      </c>
      <c r="AI129" s="1252">
        <f t="shared" si="269"/>
        <v>1.0000493559054342</v>
      </c>
      <c r="AJ129" s="1455">
        <f t="shared" ref="AJ129:AK129" si="499">SUM(AJ56)</f>
        <v>4006.27</v>
      </c>
      <c r="AK129" s="1456">
        <f t="shared" si="499"/>
        <v>46.13</v>
      </c>
      <c r="AL129" s="1457">
        <f t="shared" ref="AL129:AO129" si="500">SUM(AL56)</f>
        <v>4052.4000000000005</v>
      </c>
      <c r="AM129" s="1252">
        <f t="shared" si="272"/>
        <v>1.0000493559054342</v>
      </c>
      <c r="AN129" s="1455">
        <f t="shared" si="500"/>
        <v>4006.2700000000004</v>
      </c>
      <c r="AO129" s="1456">
        <f t="shared" si="500"/>
        <v>46.13</v>
      </c>
      <c r="AP129" s="1452"/>
      <c r="AQ129" s="1452"/>
      <c r="AR129" s="1452"/>
      <c r="AS129" s="1452"/>
      <c r="AT129" s="1457">
        <f t="shared" ref="AT129:AV129" si="501">SUM(AT56)</f>
        <v>1990.48</v>
      </c>
      <c r="AU129" s="1455">
        <f t="shared" si="501"/>
        <v>1976.78</v>
      </c>
      <c r="AV129" s="1456">
        <f t="shared" si="501"/>
        <v>13.7</v>
      </c>
      <c r="AW129" s="1457">
        <f t="shared" ref="AW129:AY129" si="502">SUM(AW56)</f>
        <v>2854.7599999999998</v>
      </c>
      <c r="AX129" s="1455">
        <f t="shared" si="502"/>
        <v>2837.2</v>
      </c>
      <c r="AY129" s="2650">
        <f t="shared" si="502"/>
        <v>17.559999999999999</v>
      </c>
      <c r="AZ129" s="1457">
        <f t="shared" ref="AZ129:BB129" si="503">SUM(AZ56)</f>
        <v>3780.42</v>
      </c>
      <c r="BA129" s="1455">
        <f t="shared" si="503"/>
        <v>3762.2000000000003</v>
      </c>
      <c r="BB129" s="2650">
        <f t="shared" si="503"/>
        <v>18.22</v>
      </c>
      <c r="BC129" s="1457">
        <f t="shared" ref="BC129:BF129" si="504">SUM(BC56)</f>
        <v>4010.6369999999997</v>
      </c>
      <c r="BD129" s="2140">
        <f t="shared" si="277"/>
        <v>0.9896942552561443</v>
      </c>
      <c r="BE129" s="1455">
        <f t="shared" si="504"/>
        <v>3989.2169999999996</v>
      </c>
      <c r="BF129" s="1456">
        <f t="shared" si="504"/>
        <v>21.42</v>
      </c>
      <c r="BG129" s="2155">
        <f t="shared" ref="BG129:BJ129" si="505">SUM(BG56)</f>
        <v>4010.6370000000002</v>
      </c>
      <c r="BH129" s="2149">
        <f t="shared" ref="BH129:BH136" si="506">BG129/AL129</f>
        <v>0.98969425525614441</v>
      </c>
      <c r="BI129" s="2156">
        <f t="shared" si="505"/>
        <v>3989.2170000000001</v>
      </c>
      <c r="BJ129" s="2157">
        <f t="shared" si="505"/>
        <v>21.419999999999998</v>
      </c>
      <c r="BK129" s="1445"/>
      <c r="BL129" s="2893">
        <f t="shared" ref="BL129:BU129" si="507">SUM(BL56)</f>
        <v>1822.56</v>
      </c>
      <c r="BM129" s="2894">
        <f t="shared" si="507"/>
        <v>1821.09</v>
      </c>
      <c r="BN129" s="2895">
        <f t="shared" si="507"/>
        <v>1.47</v>
      </c>
      <c r="BO129" s="2893">
        <f t="shared" si="507"/>
        <v>2671.13</v>
      </c>
      <c r="BP129" s="2894">
        <f t="shared" si="507"/>
        <v>2669.1800000000003</v>
      </c>
      <c r="BQ129" s="2896">
        <f t="shared" si="507"/>
        <v>1.95</v>
      </c>
      <c r="BR129" s="2893">
        <f t="shared" si="507"/>
        <v>3568.7400000000002</v>
      </c>
      <c r="BS129" s="2894">
        <f t="shared" si="507"/>
        <v>3566.34</v>
      </c>
      <c r="BT129" s="2895">
        <f t="shared" si="507"/>
        <v>2.4</v>
      </c>
      <c r="BU129" s="3810">
        <f t="shared" si="507"/>
        <v>3789</v>
      </c>
      <c r="BV129" s="2139">
        <f t="shared" si="322"/>
        <v>0.94473770625464226</v>
      </c>
      <c r="BW129" s="1012">
        <f t="shared" ref="BW129:BY129" si="508">SUM(BW56)</f>
        <v>3771</v>
      </c>
      <c r="BX129" s="3811">
        <f t="shared" si="508"/>
        <v>18</v>
      </c>
      <c r="BY129" s="3812">
        <f t="shared" si="508"/>
        <v>3791.3490000000002</v>
      </c>
      <c r="BZ129" s="2139">
        <f t="shared" si="281"/>
        <v>0.9453233987518691</v>
      </c>
      <c r="CA129" s="3813">
        <f t="shared" ref="CA129:CB129" si="509">SUM(CA56)</f>
        <v>3771</v>
      </c>
      <c r="CB129" s="3814">
        <f t="shared" si="509"/>
        <v>20.349</v>
      </c>
      <c r="CC129" s="1445"/>
      <c r="CD129" s="3992">
        <f t="shared" ref="CD129:CE129" si="510">SUM(CD56)</f>
        <v>1852.1599999999999</v>
      </c>
      <c r="CE129" s="3993">
        <f t="shared" si="510"/>
        <v>1851.08</v>
      </c>
      <c r="CF129" s="3993">
        <f t="shared" ref="CF129:CH129" si="511">SUM(CF56)</f>
        <v>1.08</v>
      </c>
      <c r="CG129" s="3993">
        <f t="shared" si="511"/>
        <v>2708.38</v>
      </c>
      <c r="CH129" s="3993">
        <f t="shared" si="511"/>
        <v>2706.9900000000002</v>
      </c>
      <c r="CI129" s="3993">
        <f t="shared" ref="CI129:CK129" si="512">SUM(CI56)</f>
        <v>1.39</v>
      </c>
      <c r="CJ129" s="3993">
        <f t="shared" si="512"/>
        <v>3601.85</v>
      </c>
      <c r="CK129" s="3993">
        <f t="shared" si="512"/>
        <v>3600</v>
      </c>
      <c r="CL129" s="3993">
        <f t="shared" ref="CL129" si="513">SUM(CL56)</f>
        <v>1.85</v>
      </c>
      <c r="CM129" s="3810">
        <f t="shared" ref="CM129" si="514">SUM(CM56)</f>
        <v>3720</v>
      </c>
      <c r="CN129" s="4359">
        <f t="shared" si="288"/>
        <v>0.98118110466749431</v>
      </c>
      <c r="CO129" s="1012">
        <f t="shared" ref="CO129:CQ129" si="515">SUM(CO56)</f>
        <v>3700</v>
      </c>
      <c r="CP129" s="3811">
        <f t="shared" si="515"/>
        <v>20</v>
      </c>
      <c r="CQ129" s="3812">
        <f t="shared" si="515"/>
        <v>3621.42</v>
      </c>
      <c r="CR129" s="4359">
        <f t="shared" si="290"/>
        <v>0.95517980539380576</v>
      </c>
      <c r="CS129" s="3813">
        <f t="shared" ref="CS129:CT129" si="516">SUM(CS56)</f>
        <v>3600</v>
      </c>
      <c r="CT129" s="3814">
        <f t="shared" si="516"/>
        <v>21.42</v>
      </c>
    </row>
    <row r="130" spans="1:98" ht="21" customHeight="1">
      <c r="A130" s="1281" t="s">
        <v>14</v>
      </c>
      <c r="B130" s="1452"/>
      <c r="C130" s="1452"/>
      <c r="D130" s="1452"/>
      <c r="E130" s="1452"/>
      <c r="F130" s="1452"/>
      <c r="G130" s="1452"/>
      <c r="H130" s="1452"/>
      <c r="I130" s="1452"/>
      <c r="J130" s="1452"/>
      <c r="K130" s="1452"/>
      <c r="L130" s="1452"/>
      <c r="M130" s="1452"/>
      <c r="N130" s="1452"/>
      <c r="O130" s="1452"/>
      <c r="P130" s="1452"/>
      <c r="Q130" s="1452"/>
      <c r="R130" s="1452"/>
      <c r="S130" s="1452"/>
      <c r="T130" s="1452"/>
      <c r="U130" s="1452"/>
      <c r="V130" s="1452"/>
      <c r="W130" s="1452"/>
      <c r="X130" s="1452"/>
      <c r="Y130" s="1458">
        <f>SUM(Y124/Y129)</f>
        <v>34.698300000000003</v>
      </c>
      <c r="Z130" s="1454"/>
      <c r="AA130" s="1459" t="e">
        <f t="shared" ref="AA130:AE130" si="517">SUM(AA124/AA129)</f>
        <v>#REF!</v>
      </c>
      <c r="AB130" s="1459" t="e">
        <f t="shared" si="517"/>
        <v>#REF!</v>
      </c>
      <c r="AC130" s="1459" t="e">
        <f t="shared" si="517"/>
        <v>#REF!</v>
      </c>
      <c r="AD130" s="1460" t="e">
        <f t="shared" si="517"/>
        <v>#REF!</v>
      </c>
      <c r="AE130" s="1461">
        <f t="shared" si="517"/>
        <v>28.056456893067594</v>
      </c>
      <c r="AF130" s="1459">
        <f t="shared" ref="AF130" si="518">SUM(AF124/AF129)</f>
        <v>28.205017254103591</v>
      </c>
      <c r="AG130" s="1460">
        <f t="shared" ref="AG130" si="519">SUM(AG124/AG129)</f>
        <v>16.156115683332491</v>
      </c>
      <c r="AH130" s="1461">
        <f t="shared" ref="AH130:AJ130" si="520">SUM(AH124/AH129)</f>
        <v>29.999857943440919</v>
      </c>
      <c r="AI130" s="1252" t="e">
        <f t="shared" si="269"/>
        <v>#REF!</v>
      </c>
      <c r="AJ130" s="1459">
        <f t="shared" si="520"/>
        <v>30.147115478986688</v>
      </c>
      <c r="AK130" s="1460">
        <f t="shared" ref="AK130:AL130" si="521">SUM(AK124/AK129)</f>
        <v>17.210925644916539</v>
      </c>
      <c r="AL130" s="1461">
        <f t="shared" si="521"/>
        <v>28.099681873177758</v>
      </c>
      <c r="AM130" s="1252" t="e">
        <f t="shared" si="272"/>
        <v>#REF!</v>
      </c>
      <c r="AN130" s="1459">
        <f t="shared" ref="AN130" si="522">SUM(AN124/AN129)</f>
        <v>28.23098042341763</v>
      </c>
      <c r="AO130" s="1460">
        <f t="shared" ref="AO130" si="523">SUM(AO124/AO129)</f>
        <v>16.696745760680745</v>
      </c>
      <c r="AP130" s="1452"/>
      <c r="AQ130" s="1452"/>
      <c r="AR130" s="1452"/>
      <c r="AS130" s="1452"/>
      <c r="AT130" s="1461">
        <f t="shared" ref="AT130" si="524">SUM(AT124/AT129)</f>
        <v>28.472176098930916</v>
      </c>
      <c r="AU130" s="1459">
        <f t="shared" ref="AU130" si="525">SUM(AU124/AU129)</f>
        <v>28.563201351485887</v>
      </c>
      <c r="AV130" s="1460">
        <f t="shared" ref="AV130" si="526">SUM(AV124/AV129)</f>
        <v>15.338095898520834</v>
      </c>
      <c r="AW130" s="1461">
        <f t="shared" ref="AW130" si="527">SUM(AW124/AW129)</f>
        <v>30.2772527287758</v>
      </c>
      <c r="AX130" s="1459">
        <f t="shared" ref="AX130" si="528">SUM(AX124/AX129)</f>
        <v>30.361021977511818</v>
      </c>
      <c r="AY130" s="2651">
        <f t="shared" ref="AY130:BC130" si="529">SUM(AY124/AY129)</f>
        <v>16.742508280379624</v>
      </c>
      <c r="AZ130" s="1461">
        <f t="shared" si="529"/>
        <v>30.741139873347407</v>
      </c>
      <c r="BA130" s="1459">
        <f t="shared" si="529"/>
        <v>30.808213503641042</v>
      </c>
      <c r="BB130" s="2651">
        <f t="shared" ref="BB130" si="530">SUM(BB124/BB129)</f>
        <v>16.891281921056198</v>
      </c>
      <c r="BC130" s="1461">
        <f t="shared" si="529"/>
        <v>33.08033394221389</v>
      </c>
      <c r="BD130" s="2140">
        <f t="shared" si="277"/>
        <v>1.1772494112750209</v>
      </c>
      <c r="BE130" s="1459">
        <f t="shared" ref="BE130" si="531">SUM(BE124/BE129)</f>
        <v>33.487103311407502</v>
      </c>
      <c r="BF130" s="1460">
        <f t="shared" ref="BF130" si="532">SUM(BF124/BF129)</f>
        <v>19.765428122119772</v>
      </c>
      <c r="BG130" s="2158">
        <f t="shared" ref="BG130" si="533">SUM(BG124/BG129)</f>
        <v>30.042907102312661</v>
      </c>
      <c r="BH130" s="2149">
        <f t="shared" si="506"/>
        <v>1.0691547056619808</v>
      </c>
      <c r="BI130" s="2159">
        <f t="shared" ref="BI130" si="534">SUM(BI124/BI129)</f>
        <v>30.117993402191996</v>
      </c>
      <c r="BJ130" s="2160">
        <f t="shared" ref="BJ130" si="535">SUM(BJ124/BJ129)</f>
        <v>16.058988150598474</v>
      </c>
      <c r="BK130" s="1239"/>
      <c r="BL130" s="2897">
        <f t="shared" ref="BL130:BU130" si="536">SUM(BL124/BL129)</f>
        <v>32.343714019889603</v>
      </c>
      <c r="BM130" s="2898">
        <f t="shared" si="536"/>
        <v>32.356303273184707</v>
      </c>
      <c r="BN130" s="2899">
        <f t="shared" si="536"/>
        <v>16.747684575542802</v>
      </c>
      <c r="BO130" s="2897">
        <f t="shared" si="536"/>
        <v>33.440972508335427</v>
      </c>
      <c r="BP130" s="2898">
        <f t="shared" si="536"/>
        <v>33.452676674946538</v>
      </c>
      <c r="BQ130" s="2900">
        <f t="shared" si="536"/>
        <v>17.420189208311577</v>
      </c>
      <c r="BR130" s="2897">
        <f t="shared" si="536"/>
        <v>33.787239754086876</v>
      </c>
      <c r="BS130" s="2898">
        <f t="shared" si="536"/>
        <v>33.798216580169722</v>
      </c>
      <c r="BT130" s="2899">
        <f t="shared" si="536"/>
        <v>17.475950615624932</v>
      </c>
      <c r="BU130" s="3815">
        <f t="shared" si="536"/>
        <v>36.944479910158407</v>
      </c>
      <c r="BV130" s="2139">
        <f t="shared" si="322"/>
        <v>1.2297238674121012</v>
      </c>
      <c r="BW130" s="3816">
        <f t="shared" ref="BW130:BY130" si="537">SUM(BW124/BW129)</f>
        <v>37.024045158651575</v>
      </c>
      <c r="BX130" s="3817">
        <f t="shared" si="537"/>
        <v>20.275560350840649</v>
      </c>
      <c r="BY130" s="3818">
        <f t="shared" si="537"/>
        <v>33.461510564455857</v>
      </c>
      <c r="BZ130" s="2139">
        <f t="shared" si="281"/>
        <v>1.1137907010963009</v>
      </c>
      <c r="CA130" s="3819">
        <f t="shared" ref="CA130:CB130" si="538">SUM(CA124/CA129)</f>
        <v>33.551085515642363</v>
      </c>
      <c r="CB130" s="3820">
        <f t="shared" si="538"/>
        <v>16.862071337187299</v>
      </c>
      <c r="CC130" s="1239"/>
      <c r="CD130" s="4000">
        <f t="shared" ref="CD130:CE130" si="539">SUM(CD124/CD129)</f>
        <v>35.524086472011064</v>
      </c>
      <c r="CE130" s="4001">
        <f t="shared" si="539"/>
        <v>35.535392658069696</v>
      </c>
      <c r="CF130" s="4001">
        <f t="shared" ref="CF130:CH130" si="540">SUM(CF124/CF129)</f>
        <v>16.145702315134223</v>
      </c>
      <c r="CG130" s="4001">
        <f t="shared" si="540"/>
        <v>37.326816768695672</v>
      </c>
      <c r="CH130" s="4001">
        <f t="shared" si="540"/>
        <v>37.337322299178048</v>
      </c>
      <c r="CI130" s="4001">
        <f t="shared" ref="CI130:CK130" si="541">SUM(CI124/CI129)</f>
        <v>16.867560682028621</v>
      </c>
      <c r="CJ130" s="4001">
        <f t="shared" si="541"/>
        <v>37.447783526803569</v>
      </c>
      <c r="CK130" s="4001">
        <f t="shared" si="541"/>
        <v>37.458275693766041</v>
      </c>
      <c r="CL130" s="4001">
        <f t="shared" ref="CL130" si="542">SUM(CL124/CL129)</f>
        <v>17.030593762015993</v>
      </c>
      <c r="CM130" s="3815">
        <f t="shared" ref="CM130" si="543">SUM(CM124/CM129)</f>
        <v>36.379869040991089</v>
      </c>
      <c r="CN130" s="4359">
        <f t="shared" si="288"/>
        <v>1.0872153835049883</v>
      </c>
      <c r="CO130" s="3816">
        <f t="shared" ref="CO130:CQ130" si="544">SUM(CO124/CO129)</f>
        <v>36.477238325692745</v>
      </c>
      <c r="CP130" s="3817">
        <f t="shared" si="544"/>
        <v>18.366551371184539</v>
      </c>
      <c r="CQ130" s="3818">
        <f t="shared" si="544"/>
        <v>35.384570285684141</v>
      </c>
      <c r="CR130" s="4359">
        <f t="shared" si="290"/>
        <v>1.0574707982033253</v>
      </c>
      <c r="CS130" s="3819">
        <f t="shared" ref="CS130" si="545">SUM(CS124/CS129)</f>
        <v>35.493220122650413</v>
      </c>
      <c r="CT130" s="3820">
        <f>SUM(CT128/CT129)</f>
        <v>28.842758269006644</v>
      </c>
    </row>
    <row r="131" spans="1:98" ht="21" customHeight="1">
      <c r="A131" s="1285" t="s">
        <v>436</v>
      </c>
      <c r="B131" s="1452"/>
      <c r="C131" s="1452"/>
      <c r="D131" s="1452"/>
      <c r="E131" s="1452"/>
      <c r="F131" s="1452"/>
      <c r="G131" s="1452"/>
      <c r="H131" s="1452"/>
      <c r="I131" s="1452"/>
      <c r="J131" s="1452"/>
      <c r="K131" s="1452"/>
      <c r="L131" s="1452"/>
      <c r="M131" s="1452"/>
      <c r="N131" s="1452"/>
      <c r="O131" s="1452"/>
      <c r="P131" s="1452"/>
      <c r="Q131" s="1452"/>
      <c r="R131" s="1452"/>
      <c r="S131" s="1452"/>
      <c r="T131" s="1452"/>
      <c r="U131" s="1452"/>
      <c r="V131" s="1452"/>
      <c r="W131" s="1452"/>
      <c r="X131" s="1452"/>
      <c r="Y131" s="1453">
        <f>SUM(Y58)</f>
        <v>0</v>
      </c>
      <c r="Z131" s="1454"/>
      <c r="AA131" s="1455">
        <f t="shared" ref="AA131:AD131" si="546">SUM(AA58)</f>
        <v>0</v>
      </c>
      <c r="AB131" s="1455">
        <f t="shared" si="546"/>
        <v>0</v>
      </c>
      <c r="AC131" s="1455">
        <f t="shared" si="546"/>
        <v>0</v>
      </c>
      <c r="AD131" s="1456">
        <f t="shared" si="546"/>
        <v>0</v>
      </c>
      <c r="AE131" s="1457">
        <f t="shared" ref="AE131:AH131" si="547">SUM(AE58)</f>
        <v>0</v>
      </c>
      <c r="AF131" s="1455">
        <f t="shared" si="547"/>
        <v>0</v>
      </c>
      <c r="AG131" s="1456">
        <f t="shared" si="547"/>
        <v>0</v>
      </c>
      <c r="AH131" s="1457">
        <f t="shared" si="547"/>
        <v>6078.58</v>
      </c>
      <c r="AI131" s="1252" t="e">
        <f t="shared" si="269"/>
        <v>#DIV/0!</v>
      </c>
      <c r="AJ131" s="1455">
        <f t="shared" ref="AJ131:AK131" si="548">SUM(AJ58)</f>
        <v>6038.88</v>
      </c>
      <c r="AK131" s="1456">
        <f t="shared" si="548"/>
        <v>39.700000000000003</v>
      </c>
      <c r="AL131" s="1457">
        <f t="shared" ref="AL131:AO131" si="549">SUM(AL58)</f>
        <v>5753.5575411432783</v>
      </c>
      <c r="AM131" s="1252" t="e">
        <f t="shared" si="272"/>
        <v>#DIV/0!</v>
      </c>
      <c r="AN131" s="1455">
        <f t="shared" si="549"/>
        <v>5655.0464970462681</v>
      </c>
      <c r="AO131" s="1456">
        <f t="shared" si="549"/>
        <v>98.511044097010142</v>
      </c>
      <c r="AP131" s="1452"/>
      <c r="AQ131" s="1452"/>
      <c r="AR131" s="1452"/>
      <c r="AS131" s="1452"/>
      <c r="AT131" s="1457">
        <f t="shared" ref="AT131:AV131" si="550">SUM(AT58)</f>
        <v>0</v>
      </c>
      <c r="AU131" s="1455">
        <f t="shared" si="550"/>
        <v>0</v>
      </c>
      <c r="AV131" s="1456">
        <f t="shared" si="550"/>
        <v>0</v>
      </c>
      <c r="AW131" s="1457">
        <f t="shared" ref="AW131:AY131" si="551">SUM(AW58)</f>
        <v>0</v>
      </c>
      <c r="AX131" s="1455">
        <f t="shared" si="551"/>
        <v>0</v>
      </c>
      <c r="AY131" s="2650">
        <f t="shared" si="551"/>
        <v>0</v>
      </c>
      <c r="AZ131" s="1457">
        <f t="shared" ref="AZ131:BB131" si="552">SUM(AZ58)</f>
        <v>0</v>
      </c>
      <c r="BA131" s="1455">
        <f t="shared" si="552"/>
        <v>0</v>
      </c>
      <c r="BB131" s="2650">
        <f t="shared" si="552"/>
        <v>0</v>
      </c>
      <c r="BC131" s="1457">
        <f t="shared" ref="BC131:BF131" si="553">SUM(BC58)</f>
        <v>6800.9889110875247</v>
      </c>
      <c r="BD131" s="2140">
        <f t="shared" si="277"/>
        <v>1.1820493429420214</v>
      </c>
      <c r="BE131" s="1455">
        <f t="shared" si="553"/>
        <v>6737.4825905311536</v>
      </c>
      <c r="BF131" s="1456">
        <f t="shared" si="553"/>
        <v>63.506320556370831</v>
      </c>
      <c r="BG131" s="2155">
        <f t="shared" ref="BG131:BJ131" si="554">SUM(BG58)</f>
        <v>6007.360564295609</v>
      </c>
      <c r="BH131" s="2149">
        <f t="shared" si="506"/>
        <v>1.0441123637571021</v>
      </c>
      <c r="BI131" s="2156">
        <f t="shared" si="554"/>
        <v>6007.360564295609</v>
      </c>
      <c r="BJ131" s="2157">
        <f t="shared" si="554"/>
        <v>0</v>
      </c>
      <c r="BK131" s="1239"/>
      <c r="BL131" s="2893">
        <f t="shared" ref="BL131:BU131" si="555">SUM(BL58)</f>
        <v>0</v>
      </c>
      <c r="BM131" s="2894">
        <f t="shared" si="555"/>
        <v>0</v>
      </c>
      <c r="BN131" s="2895">
        <f t="shared" si="555"/>
        <v>0</v>
      </c>
      <c r="BO131" s="2893">
        <f t="shared" si="555"/>
        <v>0</v>
      </c>
      <c r="BP131" s="2894">
        <f t="shared" si="555"/>
        <v>0</v>
      </c>
      <c r="BQ131" s="2896">
        <f t="shared" si="555"/>
        <v>0</v>
      </c>
      <c r="BR131" s="2893">
        <f t="shared" si="555"/>
        <v>0</v>
      </c>
      <c r="BS131" s="2894">
        <f t="shared" si="555"/>
        <v>0</v>
      </c>
      <c r="BT131" s="2895">
        <f t="shared" si="555"/>
        <v>0</v>
      </c>
      <c r="BU131" s="3810">
        <f t="shared" si="555"/>
        <v>6999.1317189795109</v>
      </c>
      <c r="BV131" s="2139">
        <f t="shared" si="322"/>
        <v>1.1650926632535485</v>
      </c>
      <c r="BW131" s="1012">
        <f t="shared" ref="BW131:BY131" si="556">SUM(BW58)</f>
        <v>6980.8837146637543</v>
      </c>
      <c r="BX131" s="3811">
        <f t="shared" si="556"/>
        <v>18.248004315756585</v>
      </c>
      <c r="BY131" s="3812">
        <f t="shared" si="556"/>
        <v>6213.1949999999997</v>
      </c>
      <c r="BZ131" s="2139">
        <f t="shared" si="281"/>
        <v>1.0342637059156654</v>
      </c>
      <c r="CA131" s="3813">
        <f t="shared" ref="CA131:CB131" si="557">SUM(CA58)</f>
        <v>6213.1949999999997</v>
      </c>
      <c r="CB131" s="3814">
        <f t="shared" si="557"/>
        <v>0</v>
      </c>
      <c r="CC131" s="1239"/>
      <c r="CD131" s="3992">
        <f t="shared" ref="CD131" si="558">SUM(CD58)</f>
        <v>0</v>
      </c>
      <c r="CE131" s="3993">
        <f t="shared" ref="CE131:CG131" si="559">SUM(CE58)</f>
        <v>0</v>
      </c>
      <c r="CF131" s="3993">
        <f t="shared" si="559"/>
        <v>0</v>
      </c>
      <c r="CG131" s="3993">
        <f t="shared" si="559"/>
        <v>0</v>
      </c>
      <c r="CH131" s="3993">
        <f t="shared" ref="CH131:CJ131" si="560">SUM(CH58)</f>
        <v>0</v>
      </c>
      <c r="CI131" s="3993">
        <f t="shared" si="560"/>
        <v>0</v>
      </c>
      <c r="CJ131" s="3993">
        <f t="shared" si="560"/>
        <v>0</v>
      </c>
      <c r="CK131" s="3993">
        <f t="shared" ref="CK131:CL131" si="561">SUM(CK58)</f>
        <v>0</v>
      </c>
      <c r="CL131" s="3993">
        <f t="shared" si="561"/>
        <v>0</v>
      </c>
      <c r="CM131" s="3810">
        <f t="shared" ref="CM131" si="562">SUM(CM58)</f>
        <v>6766.6556416243429</v>
      </c>
      <c r="CN131" s="4359">
        <f t="shared" si="288"/>
        <v>1.0890782667571746</v>
      </c>
      <c r="CO131" s="1012">
        <f t="shared" ref="CO131:CQ131" si="563">SUM(CO58)</f>
        <v>6748.2890902531581</v>
      </c>
      <c r="CP131" s="3811">
        <f t="shared" si="563"/>
        <v>18.366551371184539</v>
      </c>
      <c r="CQ131" s="3812">
        <f t="shared" si="563"/>
        <v>0</v>
      </c>
      <c r="CR131" s="4359">
        <f t="shared" si="290"/>
        <v>0</v>
      </c>
      <c r="CS131" s="3813">
        <f t="shared" ref="CS131:CT131" si="564">SUM(CS58)</f>
        <v>0</v>
      </c>
      <c r="CT131" s="3814">
        <f t="shared" si="564"/>
        <v>0</v>
      </c>
    </row>
    <row r="132" spans="1:98" ht="21" customHeight="1">
      <c r="A132" s="1285" t="s">
        <v>547</v>
      </c>
      <c r="B132" s="1452"/>
      <c r="C132" s="1452"/>
      <c r="D132" s="1452"/>
      <c r="E132" s="1452"/>
      <c r="F132" s="1452"/>
      <c r="G132" s="1452"/>
      <c r="H132" s="1452"/>
      <c r="I132" s="1452"/>
      <c r="J132" s="1452"/>
      <c r="K132" s="1452"/>
      <c r="L132" s="1452"/>
      <c r="M132" s="1452"/>
      <c r="N132" s="1452"/>
      <c r="O132" s="1452"/>
      <c r="P132" s="1452"/>
      <c r="Q132" s="1452"/>
      <c r="R132" s="1452"/>
      <c r="S132" s="1452"/>
      <c r="T132" s="1452"/>
      <c r="U132" s="1452"/>
      <c r="V132" s="1452"/>
      <c r="W132" s="1452"/>
      <c r="X132" s="1452"/>
      <c r="Y132" s="1453">
        <f>SUM(Y124+Y131)</f>
        <v>138793.20000000001</v>
      </c>
      <c r="Z132" s="1454"/>
      <c r="AA132" s="1455" t="e">
        <f t="shared" ref="AA132:AE132" si="565">SUM(AA124+AA131)</f>
        <v>#REF!</v>
      </c>
      <c r="AB132" s="1455" t="e">
        <f t="shared" si="565"/>
        <v>#REF!</v>
      </c>
      <c r="AC132" s="1455" t="e">
        <f t="shared" si="565"/>
        <v>#REF!</v>
      </c>
      <c r="AD132" s="1456" t="e">
        <f t="shared" si="565"/>
        <v>#REF!</v>
      </c>
      <c r="AE132" s="1457">
        <f t="shared" si="565"/>
        <v>113320.02939110002</v>
      </c>
      <c r="AF132" s="1455">
        <f t="shared" ref="AF132" si="566">SUM(AF124+AF131)</f>
        <v>112515.45483007004</v>
      </c>
      <c r="AG132" s="1456">
        <f t="shared" ref="AG132" si="567">SUM(AG124+AG131)</f>
        <v>804.57456102995798</v>
      </c>
      <c r="AH132" s="1457">
        <f t="shared" ref="AH132:AJ132" si="568">SUM(AH124+AH131)</f>
        <v>127650.00432999998</v>
      </c>
      <c r="AI132" s="1252" t="e">
        <f t="shared" si="269"/>
        <v>#REF!</v>
      </c>
      <c r="AJ132" s="1455">
        <f t="shared" si="568"/>
        <v>126816.36433</v>
      </c>
      <c r="AK132" s="1456">
        <f t="shared" ref="AK132:AL132" si="569">SUM(AK124+AK131)</f>
        <v>833.64</v>
      </c>
      <c r="AL132" s="1457">
        <f t="shared" si="569"/>
        <v>119624.70836400884</v>
      </c>
      <c r="AM132" s="1252" t="e">
        <f t="shared" si="272"/>
        <v>#REF!</v>
      </c>
      <c r="AN132" s="1455">
        <f t="shared" ref="AN132" si="570">SUM(AN124+AN131)</f>
        <v>118755.97643797162</v>
      </c>
      <c r="AO132" s="1456">
        <f t="shared" ref="AO132" si="571">SUM(AO124+AO131)</f>
        <v>868.73192603721304</v>
      </c>
      <c r="AP132" s="1452"/>
      <c r="AQ132" s="1452"/>
      <c r="AR132" s="1452"/>
      <c r="AS132" s="1452"/>
      <c r="AT132" s="1457">
        <f t="shared" ref="AT132" si="572">SUM(AT124+AT131)</f>
        <v>56673.297081400007</v>
      </c>
      <c r="AU132" s="1455">
        <f t="shared" ref="AU132" si="573">SUM(AU124+AU131)</f>
        <v>56463.165167590269</v>
      </c>
      <c r="AV132" s="1456">
        <f t="shared" ref="AV132" si="574">SUM(AV124+AV131)</f>
        <v>210.13191380973541</v>
      </c>
      <c r="AW132" s="1457">
        <f t="shared" ref="AW132" si="575">SUM(AW124+AW131)</f>
        <v>86434.29</v>
      </c>
      <c r="AX132" s="1455">
        <f t="shared" ref="AX132" si="576">SUM(AX124+AX131)</f>
        <v>86140.291554596522</v>
      </c>
      <c r="AY132" s="2650">
        <f t="shared" ref="AY132:BC132" si="577">SUM(AY124+AY131)</f>
        <v>293.99844540346618</v>
      </c>
      <c r="AZ132" s="1457">
        <f t="shared" si="577"/>
        <v>116214.42000000001</v>
      </c>
      <c r="BA132" s="1455">
        <f t="shared" si="577"/>
        <v>115906.66084339833</v>
      </c>
      <c r="BB132" s="2650">
        <f t="shared" ref="BB132" si="578">SUM(BB124+BB131)</f>
        <v>307.75915660164389</v>
      </c>
      <c r="BC132" s="1457">
        <f t="shared" si="577"/>
        <v>139474.20019208643</v>
      </c>
      <c r="BD132" s="2140">
        <f t="shared" si="277"/>
        <v>1.1659313706970729</v>
      </c>
      <c r="BE132" s="1455">
        <f t="shared" ref="BE132" si="579">SUM(BE124+BE131)</f>
        <v>140324.80440115422</v>
      </c>
      <c r="BF132" s="1456">
        <f t="shared" ref="BF132" si="580">SUM(BF124+BF131)</f>
        <v>486.88179093217639</v>
      </c>
      <c r="BG132" s="2155">
        <f t="shared" ref="BG132" si="581">SUM(BG124+BG131)</f>
        <v>126498.55537639356</v>
      </c>
      <c r="BH132" s="2149">
        <f t="shared" si="506"/>
        <v>1.0574617661049432</v>
      </c>
      <c r="BI132" s="2156">
        <f t="shared" ref="BI132" si="582">SUM(BI124+BI131)</f>
        <v>126154.57185020777</v>
      </c>
      <c r="BJ132" s="2157">
        <f t="shared" ref="BJ132" si="583">SUM(BJ124+BJ131)</f>
        <v>343.9835261858193</v>
      </c>
      <c r="BK132" s="1239"/>
      <c r="BL132" s="2893">
        <f t="shared" ref="BL132:BU132" si="584">SUM(BL124+BL131)</f>
        <v>58948.359424089991</v>
      </c>
      <c r="BM132" s="2894">
        <f t="shared" si="584"/>
        <v>58923.740327763939</v>
      </c>
      <c r="BN132" s="2895">
        <f t="shared" si="584"/>
        <v>24.619096326047917</v>
      </c>
      <c r="BO132" s="2893">
        <f t="shared" si="584"/>
        <v>89325.18489619001</v>
      </c>
      <c r="BP132" s="2894">
        <f t="shared" si="584"/>
        <v>89291.215527233813</v>
      </c>
      <c r="BQ132" s="2896">
        <f t="shared" si="584"/>
        <v>33.969368956207575</v>
      </c>
      <c r="BR132" s="2893">
        <f t="shared" si="584"/>
        <v>120577.87400000001</v>
      </c>
      <c r="BS132" s="2894">
        <f t="shared" si="584"/>
        <v>120535.93171852249</v>
      </c>
      <c r="BT132" s="2895">
        <f t="shared" si="584"/>
        <v>41.942281477499833</v>
      </c>
      <c r="BU132" s="3810">
        <f t="shared" si="584"/>
        <v>146981.7660985697</v>
      </c>
      <c r="BV132" s="2139">
        <f t="shared" si="322"/>
        <v>1.1619244635737445</v>
      </c>
      <c r="BW132" s="1012">
        <f t="shared" ref="BW132:BY132" si="585">SUM(BW124+BW131)</f>
        <v>146598.55800793885</v>
      </c>
      <c r="BX132" s="3811">
        <f t="shared" si="585"/>
        <v>383.20809063088825</v>
      </c>
      <c r="BY132" s="3812">
        <f t="shared" si="585"/>
        <v>133077.45961703916</v>
      </c>
      <c r="BZ132" s="2139">
        <f t="shared" si="281"/>
        <v>1.0520077420731819</v>
      </c>
      <c r="CA132" s="3813">
        <f t="shared" ref="CA132:CB132" si="586">SUM(CA124+CA131)</f>
        <v>132734.33847948734</v>
      </c>
      <c r="CB132" s="3814">
        <f t="shared" si="586"/>
        <v>343.12628964042437</v>
      </c>
      <c r="CC132" s="1239"/>
      <c r="CD132" s="3992">
        <f t="shared" ref="CD132:CE132" si="587">SUM(CD124+CD131)</f>
        <v>65796.292000000001</v>
      </c>
      <c r="CE132" s="3993">
        <f t="shared" si="587"/>
        <v>65778.854641499653</v>
      </c>
      <c r="CF132" s="3993">
        <f t="shared" ref="CF132:CH132" si="588">SUM(CF124+CF131)</f>
        <v>17.437358500344963</v>
      </c>
      <c r="CG132" s="3993">
        <f t="shared" si="588"/>
        <v>101095.20399999998</v>
      </c>
      <c r="CH132" s="3993">
        <f t="shared" si="588"/>
        <v>101071.75809065199</v>
      </c>
      <c r="CI132" s="3993">
        <f t="shared" ref="CI132:CK132" si="589">SUM(CI124+CI131)</f>
        <v>23.445909348019782</v>
      </c>
      <c r="CJ132" s="3993">
        <f t="shared" si="589"/>
        <v>134881.29909601744</v>
      </c>
      <c r="CK132" s="3993">
        <f t="shared" si="589"/>
        <v>134849.79249755773</v>
      </c>
      <c r="CL132" s="3993">
        <f t="shared" ref="CL132" si="590">SUM(CL124+CL131)</f>
        <v>31.506598459729588</v>
      </c>
      <c r="CM132" s="3810">
        <f t="shared" ref="CM132" si="591">SUM(CM124+CM131)</f>
        <v>142099.76847411122</v>
      </c>
      <c r="CN132" s="4359">
        <f t="shared" si="288"/>
        <v>1.0677974232678908</v>
      </c>
      <c r="CO132" s="1012">
        <f t="shared" ref="CO132:CP132" si="592">SUM(CO124+CO131)</f>
        <v>141714.07089531631</v>
      </c>
      <c r="CP132" s="3811">
        <f t="shared" si="592"/>
        <v>385.69757879487531</v>
      </c>
      <c r="CQ132" s="3812">
        <f>SUM(CQ128+CQ131)</f>
        <v>138437.75586704881</v>
      </c>
      <c r="CR132" s="4359">
        <f t="shared" si="290"/>
        <v>1.0402795204043955</v>
      </c>
      <c r="CS132" s="3813">
        <f>SUM(CS128+CS131)</f>
        <v>137819.94398492674</v>
      </c>
      <c r="CT132" s="3814">
        <f>SUM(CT128+CT131)</f>
        <v>617.81188212212237</v>
      </c>
    </row>
    <row r="133" spans="1:98" ht="21" customHeight="1">
      <c r="A133" s="1286" t="s">
        <v>70</v>
      </c>
      <c r="B133" s="1452"/>
      <c r="C133" s="1452"/>
      <c r="D133" s="1452"/>
      <c r="E133" s="1452"/>
      <c r="F133" s="1452"/>
      <c r="G133" s="1452"/>
      <c r="H133" s="1452"/>
      <c r="I133" s="1452"/>
      <c r="J133" s="1452"/>
      <c r="K133" s="1452"/>
      <c r="L133" s="1452"/>
      <c r="M133" s="1452"/>
      <c r="N133" s="1452"/>
      <c r="O133" s="1452"/>
      <c r="P133" s="1452"/>
      <c r="Q133" s="1452"/>
      <c r="R133" s="1452"/>
      <c r="S133" s="1452"/>
      <c r="T133" s="1452"/>
      <c r="U133" s="1452"/>
      <c r="V133" s="1452"/>
      <c r="W133" s="1452"/>
      <c r="X133" s="1452"/>
      <c r="Y133" s="1458">
        <f>SUM(Y132/Y129)</f>
        <v>34.698300000000003</v>
      </c>
      <c r="Z133" s="1454"/>
      <c r="AA133" s="1459" t="e">
        <f t="shared" ref="AA133:AE133" si="593">SUM(AA132/AA129)</f>
        <v>#REF!</v>
      </c>
      <c r="AB133" s="1459" t="e">
        <f t="shared" si="593"/>
        <v>#REF!</v>
      </c>
      <c r="AC133" s="1459" t="e">
        <f t="shared" si="593"/>
        <v>#REF!</v>
      </c>
      <c r="AD133" s="1460" t="e">
        <f t="shared" si="593"/>
        <v>#REF!</v>
      </c>
      <c r="AE133" s="1461">
        <f t="shared" si="593"/>
        <v>28.056456893067594</v>
      </c>
      <c r="AF133" s="1459">
        <f t="shared" ref="AF133" si="594">SUM(AF132/AF129)</f>
        <v>28.205017254103591</v>
      </c>
      <c r="AG133" s="1460">
        <f t="shared" ref="AG133" si="595">SUM(AG132/AG129)</f>
        <v>16.156115683332491</v>
      </c>
      <c r="AH133" s="1461">
        <f t="shared" ref="AH133:AJ133" si="596">SUM(AH132/AH129)</f>
        <v>31.499853008093964</v>
      </c>
      <c r="AI133" s="1252" t="e">
        <f t="shared" si="269"/>
        <v>#REF!</v>
      </c>
      <c r="AJ133" s="1459">
        <f t="shared" si="596"/>
        <v>31.654472696548162</v>
      </c>
      <c r="AK133" s="1460">
        <f t="shared" ref="AK133:AL133" si="597">SUM(AK132/AK129)</f>
        <v>18.071536960763058</v>
      </c>
      <c r="AL133" s="1461">
        <f t="shared" si="597"/>
        <v>29.519472007701317</v>
      </c>
      <c r="AM133" s="1252" t="e">
        <f t="shared" si="272"/>
        <v>#REF!</v>
      </c>
      <c r="AN133" s="1459">
        <f t="shared" ref="AN133" si="598">SUM(AN132/AN129)</f>
        <v>29.642529444588508</v>
      </c>
      <c r="AO133" s="1460">
        <f t="shared" ref="AO133" si="599">SUM(AO132/AO129)</f>
        <v>18.832255062588619</v>
      </c>
      <c r="AP133" s="1452"/>
      <c r="AQ133" s="1452"/>
      <c r="AR133" s="1452"/>
      <c r="AS133" s="1452"/>
      <c r="AT133" s="1461">
        <f t="shared" ref="AT133" si="600">SUM(AT132/AT129)</f>
        <v>28.472176098930916</v>
      </c>
      <c r="AU133" s="1459">
        <f t="shared" ref="AU133" si="601">SUM(AU132/AU129)</f>
        <v>28.563201351485887</v>
      </c>
      <c r="AV133" s="1460">
        <f t="shared" ref="AV133" si="602">SUM(AV132/AV129)</f>
        <v>15.338095898520834</v>
      </c>
      <c r="AW133" s="1461">
        <f t="shared" ref="AW133" si="603">SUM(AW132/AW129)</f>
        <v>30.2772527287758</v>
      </c>
      <c r="AX133" s="1459">
        <f t="shared" ref="AX133" si="604">SUM(AX132/AX129)</f>
        <v>30.361021977511818</v>
      </c>
      <c r="AY133" s="2651">
        <f t="shared" ref="AY133:BC133" si="605">SUM(AY132/AY129)</f>
        <v>16.742508280379624</v>
      </c>
      <c r="AZ133" s="1461">
        <f t="shared" si="605"/>
        <v>30.741139873347407</v>
      </c>
      <c r="BA133" s="1459">
        <f t="shared" si="605"/>
        <v>30.808213503641042</v>
      </c>
      <c r="BB133" s="2651">
        <f t="shared" ref="BB133" si="606">SUM(BB132/BB129)</f>
        <v>16.891281921056198</v>
      </c>
      <c r="BC133" s="1461">
        <f t="shared" si="605"/>
        <v>34.776071779142924</v>
      </c>
      <c r="BD133" s="2140">
        <f t="shared" si="277"/>
        <v>1.1780722829348105</v>
      </c>
      <c r="BE133" s="1459">
        <f t="shared" ref="BE133" si="607">SUM(BE132/BE129)</f>
        <v>35.176026874736131</v>
      </c>
      <c r="BF133" s="1460">
        <f t="shared" ref="BF133" si="608">SUM(BF132/BF129)</f>
        <v>22.730242340437737</v>
      </c>
      <c r="BG133" s="2158">
        <f t="shared" ref="BG133" si="609">SUM(BG132/BG129)</f>
        <v>31.540764067252546</v>
      </c>
      <c r="BH133" s="2149">
        <f t="shared" si="506"/>
        <v>1.0684731779424745</v>
      </c>
      <c r="BI133" s="2159">
        <f t="shared" ref="BI133" si="610">SUM(BI132/BI129)</f>
        <v>31.623893072301598</v>
      </c>
      <c r="BJ133" s="2160">
        <f t="shared" ref="BJ133" si="611">SUM(BJ132/BJ129)</f>
        <v>16.058988150598474</v>
      </c>
      <c r="BK133" s="1239"/>
      <c r="BL133" s="2897">
        <f t="shared" ref="BL133:BU133" si="612">SUM(BL132/BL129)</f>
        <v>32.343714019889603</v>
      </c>
      <c r="BM133" s="2898">
        <f t="shared" si="612"/>
        <v>32.356303273184707</v>
      </c>
      <c r="BN133" s="2899">
        <f t="shared" si="612"/>
        <v>16.747684575542802</v>
      </c>
      <c r="BO133" s="2897">
        <f t="shared" si="612"/>
        <v>33.440972508335427</v>
      </c>
      <c r="BP133" s="2898">
        <f t="shared" si="612"/>
        <v>33.452676674946538</v>
      </c>
      <c r="BQ133" s="2900">
        <f t="shared" si="612"/>
        <v>17.420189208311577</v>
      </c>
      <c r="BR133" s="2897">
        <f t="shared" si="612"/>
        <v>33.787239754086876</v>
      </c>
      <c r="BS133" s="2898">
        <f t="shared" si="612"/>
        <v>33.798216580169722</v>
      </c>
      <c r="BT133" s="2899">
        <f t="shared" si="612"/>
        <v>17.475950615624932</v>
      </c>
      <c r="BU133" s="3815">
        <f t="shared" si="612"/>
        <v>38.791703905666324</v>
      </c>
      <c r="BV133" s="2139">
        <f t="shared" si="322"/>
        <v>1.229891064875696</v>
      </c>
      <c r="BW133" s="3816">
        <f t="shared" ref="BW133:BY133" si="613">SUM(BW132/BW129)</f>
        <v>38.875247416584152</v>
      </c>
      <c r="BX133" s="3817">
        <f t="shared" si="613"/>
        <v>21.28933836838268</v>
      </c>
      <c r="BY133" s="3818">
        <f t="shared" si="613"/>
        <v>35.100292697147943</v>
      </c>
      <c r="BZ133" s="2139">
        <f t="shared" si="281"/>
        <v>1.112854863702909</v>
      </c>
      <c r="CA133" s="3819">
        <f t="shared" ref="CA133:CB133" si="614">SUM(CA132/CA129)</f>
        <v>35.198710813971715</v>
      </c>
      <c r="CB133" s="3820">
        <f t="shared" si="614"/>
        <v>16.862071337187299</v>
      </c>
      <c r="CC133" s="1239"/>
      <c r="CD133" s="4000">
        <f t="shared" ref="CD133:CE133" si="615">SUM(CD132/CD129)</f>
        <v>35.524086472011064</v>
      </c>
      <c r="CE133" s="4001">
        <f t="shared" si="615"/>
        <v>35.535392658069696</v>
      </c>
      <c r="CF133" s="4001">
        <f t="shared" ref="CF133:CH133" si="616">SUM(CF132/CF129)</f>
        <v>16.145702315134223</v>
      </c>
      <c r="CG133" s="4001">
        <f t="shared" si="616"/>
        <v>37.326816768695672</v>
      </c>
      <c r="CH133" s="4001">
        <f t="shared" si="616"/>
        <v>37.337322299178048</v>
      </c>
      <c r="CI133" s="4001">
        <f t="shared" ref="CI133:CK133" si="617">SUM(CI132/CI129)</f>
        <v>16.867560682028621</v>
      </c>
      <c r="CJ133" s="4001">
        <f t="shared" si="617"/>
        <v>37.447783526803569</v>
      </c>
      <c r="CK133" s="4001">
        <f t="shared" si="617"/>
        <v>37.458275693766041</v>
      </c>
      <c r="CL133" s="4001">
        <f t="shared" ref="CL133" si="618">SUM(CL132/CL129)</f>
        <v>17.030593762015993</v>
      </c>
      <c r="CM133" s="3815">
        <f t="shared" ref="CM133" si="619">SUM(CM132/CM129)</f>
        <v>38.19886249304065</v>
      </c>
      <c r="CN133" s="4359">
        <f t="shared" si="288"/>
        <v>1.0882776056207781</v>
      </c>
      <c r="CO133" s="3816">
        <f t="shared" ref="CO133:CQ133" si="620">SUM(CO132/CO129)</f>
        <v>38.30110024197738</v>
      </c>
      <c r="CP133" s="3817">
        <f t="shared" si="620"/>
        <v>19.284878939743766</v>
      </c>
      <c r="CQ133" s="3818">
        <f t="shared" si="620"/>
        <v>38.227478687103073</v>
      </c>
      <c r="CR133" s="4359">
        <f t="shared" si="290"/>
        <v>1.0890928750064022</v>
      </c>
      <c r="CS133" s="3819">
        <f t="shared" ref="CS133:CT133" si="621">SUM(CS132/CS129)</f>
        <v>38.28331777359076</v>
      </c>
      <c r="CT133" s="3820">
        <f t="shared" si="621"/>
        <v>28.842758269006644</v>
      </c>
    </row>
    <row r="134" spans="1:98" ht="21" customHeight="1">
      <c r="A134" s="1286" t="s">
        <v>326</v>
      </c>
      <c r="B134" s="1452"/>
      <c r="C134" s="1452"/>
      <c r="D134" s="1452"/>
      <c r="E134" s="1452"/>
      <c r="F134" s="1452"/>
      <c r="G134" s="1452"/>
      <c r="H134" s="1452"/>
      <c r="I134" s="1452"/>
      <c r="J134" s="1452"/>
      <c r="K134" s="1452"/>
      <c r="L134" s="1452"/>
      <c r="M134" s="1452"/>
      <c r="N134" s="1452"/>
      <c r="O134" s="1452"/>
      <c r="P134" s="1452"/>
      <c r="Q134" s="1452"/>
      <c r="R134" s="1452"/>
      <c r="S134" s="1452"/>
      <c r="T134" s="1452"/>
      <c r="U134" s="1452"/>
      <c r="V134" s="1452"/>
      <c r="W134" s="1452"/>
      <c r="X134" s="1452"/>
      <c r="Y134" s="1453">
        <f>SUM(Y61)</f>
        <v>4665</v>
      </c>
      <c r="Z134" s="1454"/>
      <c r="AA134" s="1455">
        <f t="shared" ref="AA134:AD134" si="622">SUM(AA61)</f>
        <v>4665</v>
      </c>
      <c r="AB134" s="1455">
        <f t="shared" si="622"/>
        <v>0</v>
      </c>
      <c r="AC134" s="1455">
        <f t="shared" si="622"/>
        <v>4665</v>
      </c>
      <c r="AD134" s="1456">
        <f t="shared" si="622"/>
        <v>0</v>
      </c>
      <c r="AE134" s="1457">
        <f t="shared" ref="AE134:AH134" si="623">SUM(AE61)</f>
        <v>824.7</v>
      </c>
      <c r="AF134" s="1455">
        <f t="shared" si="623"/>
        <v>824.7</v>
      </c>
      <c r="AG134" s="1456">
        <f t="shared" si="623"/>
        <v>0</v>
      </c>
      <c r="AH134" s="1457">
        <f t="shared" si="623"/>
        <v>4274</v>
      </c>
      <c r="AI134" s="1252">
        <f t="shared" si="269"/>
        <v>0.91618435155412647</v>
      </c>
      <c r="AJ134" s="1455">
        <f t="shared" ref="AJ134:AK134" si="624">SUM(AJ61)</f>
        <v>4274</v>
      </c>
      <c r="AK134" s="1456">
        <f t="shared" si="624"/>
        <v>0</v>
      </c>
      <c r="AL134" s="1457">
        <f t="shared" ref="AL134:AO134" si="625">SUM(AL61)</f>
        <v>4444</v>
      </c>
      <c r="AM134" s="1252">
        <f t="shared" si="272"/>
        <v>0.95262593783494109</v>
      </c>
      <c r="AN134" s="1455">
        <f t="shared" si="625"/>
        <v>4444</v>
      </c>
      <c r="AO134" s="1456">
        <f t="shared" si="625"/>
        <v>0</v>
      </c>
      <c r="AP134" s="1452"/>
      <c r="AQ134" s="1452"/>
      <c r="AR134" s="1452"/>
      <c r="AS134" s="1452"/>
      <c r="AT134" s="1457">
        <f t="shared" ref="AT134:AV134" si="626">SUM(AT61)</f>
        <v>0</v>
      </c>
      <c r="AU134" s="1455">
        <f t="shared" si="626"/>
        <v>0</v>
      </c>
      <c r="AV134" s="1456">
        <f t="shared" si="626"/>
        <v>0</v>
      </c>
      <c r="AW134" s="1457">
        <f t="shared" ref="AW134:AY134" si="627">SUM(AW61)</f>
        <v>0</v>
      </c>
      <c r="AX134" s="1455">
        <f t="shared" si="627"/>
        <v>0</v>
      </c>
      <c r="AY134" s="2650">
        <f t="shared" si="627"/>
        <v>0</v>
      </c>
      <c r="AZ134" s="1457">
        <f t="shared" ref="AZ134:BB134" si="628">SUM(AZ61)</f>
        <v>0</v>
      </c>
      <c r="BA134" s="1455">
        <f t="shared" si="628"/>
        <v>0</v>
      </c>
      <c r="BB134" s="2650">
        <f t="shared" si="628"/>
        <v>0</v>
      </c>
      <c r="BC134" s="1457">
        <f t="shared" ref="BC134:BF134" si="629">SUM(BC61)</f>
        <v>3976</v>
      </c>
      <c r="BD134" s="2140">
        <f t="shared" si="277"/>
        <v>0.89468946894689472</v>
      </c>
      <c r="BE134" s="1455">
        <f t="shared" si="629"/>
        <v>3976</v>
      </c>
      <c r="BF134" s="1456">
        <f t="shared" si="629"/>
        <v>0</v>
      </c>
      <c r="BG134" s="2155">
        <f t="shared" ref="BG134:BJ134" si="630">SUM(BG61)</f>
        <v>3976</v>
      </c>
      <c r="BH134" s="2149">
        <f t="shared" si="506"/>
        <v>0.89468946894689472</v>
      </c>
      <c r="BI134" s="2156">
        <f t="shared" si="630"/>
        <v>3976</v>
      </c>
      <c r="BJ134" s="2157">
        <f t="shared" si="630"/>
        <v>0</v>
      </c>
      <c r="BK134" s="1239"/>
      <c r="BL134" s="2893">
        <f t="shared" ref="BL134:BU134" si="631">SUM(BL61)</f>
        <v>0</v>
      </c>
      <c r="BM134" s="2894">
        <f t="shared" si="631"/>
        <v>0</v>
      </c>
      <c r="BN134" s="2895">
        <f t="shared" si="631"/>
        <v>0</v>
      </c>
      <c r="BO134" s="2893">
        <f t="shared" si="631"/>
        <v>0</v>
      </c>
      <c r="BP134" s="2894">
        <f t="shared" si="631"/>
        <v>0</v>
      </c>
      <c r="BQ134" s="2896">
        <f t="shared" si="631"/>
        <v>0</v>
      </c>
      <c r="BR134" s="2893">
        <f t="shared" si="631"/>
        <v>0</v>
      </c>
      <c r="BS134" s="2894">
        <f t="shared" si="631"/>
        <v>0</v>
      </c>
      <c r="BT134" s="2895">
        <f t="shared" si="631"/>
        <v>0</v>
      </c>
      <c r="BU134" s="3810">
        <f t="shared" si="631"/>
        <v>0</v>
      </c>
      <c r="BV134" s="2139">
        <f t="shared" si="322"/>
        <v>0</v>
      </c>
      <c r="BW134" s="1012">
        <f t="shared" ref="BW134:BY134" si="632">SUM(BW61)</f>
        <v>0</v>
      </c>
      <c r="BX134" s="3811">
        <f t="shared" si="632"/>
        <v>0</v>
      </c>
      <c r="BY134" s="3812">
        <f t="shared" si="632"/>
        <v>-1205.4349999999999</v>
      </c>
      <c r="BZ134" s="2139">
        <f t="shared" si="281"/>
        <v>-0.30317781690140844</v>
      </c>
      <c r="CA134" s="3813">
        <f t="shared" ref="CA134:CB134" si="633">SUM(CA61)</f>
        <v>-1205.4349999999999</v>
      </c>
      <c r="CB134" s="3814">
        <f t="shared" si="633"/>
        <v>0</v>
      </c>
      <c r="CC134" s="1239"/>
      <c r="CD134" s="3992">
        <f t="shared" ref="CD134:CE134" si="634">SUM(CD61)</f>
        <v>0</v>
      </c>
      <c r="CE134" s="3993">
        <f t="shared" si="634"/>
        <v>0</v>
      </c>
      <c r="CF134" s="3993">
        <f t="shared" ref="CF134:CH134" si="635">SUM(CF61)</f>
        <v>0</v>
      </c>
      <c r="CG134" s="3993">
        <f t="shared" si="635"/>
        <v>0</v>
      </c>
      <c r="CH134" s="3993">
        <f t="shared" si="635"/>
        <v>0</v>
      </c>
      <c r="CI134" s="3993">
        <f t="shared" ref="CI134:CK134" si="636">SUM(CI61)</f>
        <v>0</v>
      </c>
      <c r="CJ134" s="3993">
        <f t="shared" si="636"/>
        <v>0</v>
      </c>
      <c r="CK134" s="3993">
        <f t="shared" si="636"/>
        <v>0</v>
      </c>
      <c r="CL134" s="3993">
        <f t="shared" ref="CL134" si="637">SUM(CL61)</f>
        <v>0</v>
      </c>
      <c r="CM134" s="3810">
        <f t="shared" ref="CM134" si="638">SUM(CM61)</f>
        <v>0</v>
      </c>
      <c r="CN134" s="4359">
        <f t="shared" si="288"/>
        <v>0</v>
      </c>
      <c r="CO134" s="1012">
        <f t="shared" ref="CO134:CQ134" si="639">SUM(CO61)</f>
        <v>0</v>
      </c>
      <c r="CP134" s="3811">
        <f t="shared" si="639"/>
        <v>0</v>
      </c>
      <c r="CQ134" s="3812">
        <f t="shared" si="639"/>
        <v>-6624.9</v>
      </c>
      <c r="CR134" s="4359">
        <f t="shared" si="290"/>
        <v>5.4958583415945279</v>
      </c>
      <c r="CS134" s="3813">
        <f t="shared" ref="CS134:CT134" si="640">SUM(CS61)</f>
        <v>-6624.9</v>
      </c>
      <c r="CT134" s="3814">
        <f t="shared" si="640"/>
        <v>0</v>
      </c>
    </row>
    <row r="135" spans="1:98" ht="21" customHeight="1">
      <c r="A135" s="1285" t="s">
        <v>548</v>
      </c>
      <c r="B135" s="1452"/>
      <c r="C135" s="1452"/>
      <c r="D135" s="1452"/>
      <c r="E135" s="1452"/>
      <c r="F135" s="1452"/>
      <c r="G135" s="1452"/>
      <c r="H135" s="1452"/>
      <c r="I135" s="1452"/>
      <c r="J135" s="1452"/>
      <c r="K135" s="1452"/>
      <c r="L135" s="1452"/>
      <c r="M135" s="1452"/>
      <c r="N135" s="1452"/>
      <c r="O135" s="1452"/>
      <c r="P135" s="1452"/>
      <c r="Q135" s="1452"/>
      <c r="R135" s="1452"/>
      <c r="S135" s="1452"/>
      <c r="T135" s="1452"/>
      <c r="U135" s="1452"/>
      <c r="V135" s="1452"/>
      <c r="W135" s="1452"/>
      <c r="X135" s="1452"/>
      <c r="Y135" s="1453">
        <f>SUM(Y132+Y134)</f>
        <v>143458.20000000001</v>
      </c>
      <c r="Z135" s="1454"/>
      <c r="AA135" s="1455" t="e">
        <f t="shared" ref="AA135:AE135" si="641">SUM(AA132+AA134)</f>
        <v>#REF!</v>
      </c>
      <c r="AB135" s="1455" t="e">
        <f t="shared" si="641"/>
        <v>#REF!</v>
      </c>
      <c r="AC135" s="1455" t="e">
        <f t="shared" si="641"/>
        <v>#REF!</v>
      </c>
      <c r="AD135" s="1456" t="e">
        <f t="shared" si="641"/>
        <v>#REF!</v>
      </c>
      <c r="AE135" s="1457">
        <f t="shared" si="641"/>
        <v>114144.72939110002</v>
      </c>
      <c r="AF135" s="1455">
        <f t="shared" ref="AF135" si="642">SUM(AF132+AF134)</f>
        <v>113340.15483007004</v>
      </c>
      <c r="AG135" s="1456">
        <f t="shared" ref="AG135" si="643">SUM(AG132+AG134)</f>
        <v>804.57456102995798</v>
      </c>
      <c r="AH135" s="1457">
        <f t="shared" ref="AH135:AJ135" si="644">SUM(AH132+AH134)</f>
        <v>131924.00432999997</v>
      </c>
      <c r="AI135" s="1252" t="e">
        <f t="shared" si="269"/>
        <v>#REF!</v>
      </c>
      <c r="AJ135" s="1455">
        <f t="shared" si="644"/>
        <v>131090.36433000001</v>
      </c>
      <c r="AK135" s="1456">
        <f t="shared" ref="AK135:AL135" si="645">SUM(AK132+AK134)</f>
        <v>833.64</v>
      </c>
      <c r="AL135" s="1457">
        <f t="shared" si="645"/>
        <v>124068.70836400884</v>
      </c>
      <c r="AM135" s="1252" t="e">
        <f t="shared" si="272"/>
        <v>#REF!</v>
      </c>
      <c r="AN135" s="1455">
        <f t="shared" ref="AN135" si="646">SUM(AN132+AN134)</f>
        <v>123199.97643797162</v>
      </c>
      <c r="AO135" s="1456">
        <f t="shared" ref="AO135" si="647">SUM(AO132+AO134)</f>
        <v>868.73192603721304</v>
      </c>
      <c r="AP135" s="1452"/>
      <c r="AQ135" s="1452"/>
      <c r="AR135" s="1452"/>
      <c r="AS135" s="1452"/>
      <c r="AT135" s="1457">
        <f t="shared" ref="AT135" si="648">SUM(AT132+AT134)</f>
        <v>56673.297081400007</v>
      </c>
      <c r="AU135" s="1455">
        <f t="shared" ref="AU135" si="649">SUM(AU132+AU134)</f>
        <v>56463.165167590269</v>
      </c>
      <c r="AV135" s="1456">
        <f t="shared" ref="AV135" si="650">SUM(AV132+AV134)</f>
        <v>210.13191380973541</v>
      </c>
      <c r="AW135" s="1457">
        <f t="shared" ref="AW135" si="651">SUM(AW132+AW134)</f>
        <v>86434.29</v>
      </c>
      <c r="AX135" s="1455">
        <f t="shared" ref="AX135" si="652">SUM(AX132+AX134)</f>
        <v>86140.291554596522</v>
      </c>
      <c r="AY135" s="2650">
        <f t="shared" ref="AY135:BC135" si="653">SUM(AY132+AY134)</f>
        <v>293.99844540346618</v>
      </c>
      <c r="AZ135" s="1457">
        <f t="shared" si="653"/>
        <v>116214.42000000001</v>
      </c>
      <c r="BA135" s="1455">
        <f t="shared" si="653"/>
        <v>115906.66084339833</v>
      </c>
      <c r="BB135" s="2650">
        <f t="shared" ref="BB135" si="654">SUM(BB132+BB134)</f>
        <v>307.75915660164389</v>
      </c>
      <c r="BC135" s="1457">
        <f t="shared" si="653"/>
        <v>143450.20019208643</v>
      </c>
      <c r="BD135" s="2140">
        <f t="shared" si="277"/>
        <v>1.1562157943259443</v>
      </c>
      <c r="BE135" s="1455">
        <f t="shared" ref="BE135" si="655">SUM(BE132+BE134)</f>
        <v>144300.80440115422</v>
      </c>
      <c r="BF135" s="1456">
        <f t="shared" ref="BF135" si="656">SUM(BF132+BF134)</f>
        <v>486.88179093217639</v>
      </c>
      <c r="BG135" s="2155">
        <f t="shared" ref="BG135" si="657">SUM(BG132+BG134)</f>
        <v>130474.55537639356</v>
      </c>
      <c r="BH135" s="2149">
        <f t="shared" si="506"/>
        <v>1.0516314475813711</v>
      </c>
      <c r="BI135" s="2156">
        <f t="shared" ref="BI135" si="658">SUM(BI132+BI134)</f>
        <v>130130.57185020777</v>
      </c>
      <c r="BJ135" s="2157">
        <f t="shared" ref="BJ135" si="659">SUM(BJ132+BJ134)</f>
        <v>343.9835261858193</v>
      </c>
      <c r="BK135" s="1239"/>
      <c r="BL135" s="2893">
        <f t="shared" ref="BL135:BU135" si="660">SUM(BL132+BL134)</f>
        <v>58948.359424089991</v>
      </c>
      <c r="BM135" s="2894">
        <f t="shared" si="660"/>
        <v>58923.740327763939</v>
      </c>
      <c r="BN135" s="2895">
        <f t="shared" si="660"/>
        <v>24.619096326047917</v>
      </c>
      <c r="BO135" s="2893">
        <f t="shared" si="660"/>
        <v>89325.18489619001</v>
      </c>
      <c r="BP135" s="2894">
        <f t="shared" si="660"/>
        <v>89291.215527233813</v>
      </c>
      <c r="BQ135" s="2896">
        <f t="shared" si="660"/>
        <v>33.969368956207575</v>
      </c>
      <c r="BR135" s="2893">
        <f t="shared" si="660"/>
        <v>120577.87400000001</v>
      </c>
      <c r="BS135" s="2894">
        <f t="shared" si="660"/>
        <v>120535.93171852249</v>
      </c>
      <c r="BT135" s="2895">
        <f t="shared" si="660"/>
        <v>41.942281477499833</v>
      </c>
      <c r="BU135" s="3810">
        <f t="shared" si="660"/>
        <v>146981.7660985697</v>
      </c>
      <c r="BV135" s="2139">
        <f t="shared" si="322"/>
        <v>1.1265167041539714</v>
      </c>
      <c r="BW135" s="1012">
        <f t="shared" ref="BW135:BY135" si="661">SUM(BW132+BW134)</f>
        <v>146598.55800793885</v>
      </c>
      <c r="BX135" s="3811">
        <f t="shared" si="661"/>
        <v>383.20809063088825</v>
      </c>
      <c r="BY135" s="3812">
        <f t="shared" si="661"/>
        <v>131872.02461703916</v>
      </c>
      <c r="BZ135" s="2139">
        <f t="shared" si="281"/>
        <v>1.0107106649002495</v>
      </c>
      <c r="CA135" s="3813">
        <f t="shared" ref="CA135:CB135" si="662">SUM(CA132+CA134)</f>
        <v>131528.90347948734</v>
      </c>
      <c r="CB135" s="3814">
        <f t="shared" si="662"/>
        <v>343.12628964042437</v>
      </c>
      <c r="CC135" s="1239"/>
      <c r="CD135" s="3992">
        <f t="shared" ref="CD135:CE135" si="663">SUM(CD132+CD134)</f>
        <v>65796.292000000001</v>
      </c>
      <c r="CE135" s="3993">
        <f t="shared" si="663"/>
        <v>65778.854641499653</v>
      </c>
      <c r="CF135" s="3993">
        <f t="shared" ref="CF135:CH135" si="664">SUM(CF132+CF134)</f>
        <v>17.437358500344963</v>
      </c>
      <c r="CG135" s="3993">
        <f t="shared" si="664"/>
        <v>101095.20399999998</v>
      </c>
      <c r="CH135" s="3993">
        <f t="shared" si="664"/>
        <v>101071.75809065199</v>
      </c>
      <c r="CI135" s="3993">
        <f t="shared" ref="CI135:CK135" si="665">SUM(CI132+CI134)</f>
        <v>23.445909348019782</v>
      </c>
      <c r="CJ135" s="3993">
        <f t="shared" si="665"/>
        <v>134881.29909601744</v>
      </c>
      <c r="CK135" s="3993">
        <f t="shared" si="665"/>
        <v>134849.79249755773</v>
      </c>
      <c r="CL135" s="3993">
        <f t="shared" ref="CL135" si="666">SUM(CL132+CL134)</f>
        <v>31.506598459729588</v>
      </c>
      <c r="CM135" s="3810">
        <f t="shared" ref="CM135" si="667">SUM(CM132+CM134)</f>
        <v>142099.76847411122</v>
      </c>
      <c r="CN135" s="4359">
        <f t="shared" si="288"/>
        <v>1.0775581014000033</v>
      </c>
      <c r="CO135" s="1012">
        <f t="shared" ref="CO135:CQ135" si="668">SUM(CO132+CO134)</f>
        <v>141714.07089531631</v>
      </c>
      <c r="CP135" s="3811">
        <f t="shared" si="668"/>
        <v>385.69757879487531</v>
      </c>
      <c r="CQ135" s="3812">
        <f t="shared" si="668"/>
        <v>131812.85586704881</v>
      </c>
      <c r="CR135" s="4359">
        <f t="shared" si="290"/>
        <v>0.99955131689103749</v>
      </c>
      <c r="CS135" s="3813">
        <f t="shared" ref="CS135:CT135" si="669">SUM(CS132+CS134)</f>
        <v>131195.04398492674</v>
      </c>
      <c r="CT135" s="3814">
        <f t="shared" si="669"/>
        <v>617.81188212212237</v>
      </c>
    </row>
    <row r="136" spans="1:98" ht="21" customHeight="1" thickBot="1">
      <c r="A136" s="1287" t="s">
        <v>327</v>
      </c>
      <c r="B136" s="2910"/>
      <c r="C136" s="2910"/>
      <c r="D136" s="2910"/>
      <c r="E136" s="2910"/>
      <c r="F136" s="2910"/>
      <c r="G136" s="2910"/>
      <c r="H136" s="2910"/>
      <c r="I136" s="2910"/>
      <c r="J136" s="2910"/>
      <c r="K136" s="2910"/>
      <c r="L136" s="2910"/>
      <c r="M136" s="2910"/>
      <c r="N136" s="2910"/>
      <c r="O136" s="2910"/>
      <c r="P136" s="2910"/>
      <c r="Q136" s="2910"/>
      <c r="R136" s="2910"/>
      <c r="S136" s="2910"/>
      <c r="T136" s="2910"/>
      <c r="U136" s="2910"/>
      <c r="V136" s="2910"/>
      <c r="W136" s="2910"/>
      <c r="X136" s="2910"/>
      <c r="Y136" s="1462">
        <f>SUM(Y135/Y129)</f>
        <v>35.864550000000001</v>
      </c>
      <c r="Z136" s="2911"/>
      <c r="AA136" s="2904" t="e">
        <f t="shared" ref="AA136:AE136" si="670">SUM(AA135/AA129)</f>
        <v>#REF!</v>
      </c>
      <c r="AB136" s="2904" t="e">
        <f t="shared" si="670"/>
        <v>#REF!</v>
      </c>
      <c r="AC136" s="2904" t="e">
        <f t="shared" si="670"/>
        <v>#REF!</v>
      </c>
      <c r="AD136" s="2905" t="e">
        <f t="shared" si="670"/>
        <v>#REF!</v>
      </c>
      <c r="AE136" s="2902">
        <f t="shared" si="670"/>
        <v>28.260641097078487</v>
      </c>
      <c r="AF136" s="2904">
        <f t="shared" ref="AF136" si="671">SUM(AF135/AF129)</f>
        <v>28.411750433688468</v>
      </c>
      <c r="AG136" s="2905">
        <f t="shared" ref="AG136" si="672">SUM(AG135/AG129)</f>
        <v>16.156115683332491</v>
      </c>
      <c r="AH136" s="2902">
        <f t="shared" ref="AH136:AJ136" si="673">SUM(AH135/AH129)</f>
        <v>32.554536652354152</v>
      </c>
      <c r="AI136" s="2912" t="e">
        <f t="shared" si="269"/>
        <v>#REF!</v>
      </c>
      <c r="AJ136" s="2904">
        <f t="shared" si="673"/>
        <v>32.721300444053945</v>
      </c>
      <c r="AK136" s="2905">
        <f t="shared" ref="AK136:AL136" si="674">SUM(AK135/AK129)</f>
        <v>18.071536960763058</v>
      </c>
      <c r="AL136" s="2902">
        <f t="shared" si="674"/>
        <v>30.616106101078081</v>
      </c>
      <c r="AM136" s="2912" t="e">
        <f t="shared" si="272"/>
        <v>#REF!</v>
      </c>
      <c r="AN136" s="2904">
        <f t="shared" ref="AN136" si="675">SUM(AN135/AN129)</f>
        <v>30.751790677605754</v>
      </c>
      <c r="AO136" s="2905">
        <f t="shared" ref="AO136" si="676">SUM(AO135/AO129)</f>
        <v>18.832255062588619</v>
      </c>
      <c r="AP136" s="2910"/>
      <c r="AQ136" s="2910"/>
      <c r="AR136" s="2910"/>
      <c r="AS136" s="2910"/>
      <c r="AT136" s="2902">
        <f t="shared" ref="AT136" si="677">SUM(AT135/AT129)</f>
        <v>28.472176098930916</v>
      </c>
      <c r="AU136" s="2904">
        <f t="shared" ref="AU136" si="678">SUM(AU135/AU129)</f>
        <v>28.563201351485887</v>
      </c>
      <c r="AV136" s="2905">
        <f t="shared" ref="AV136" si="679">SUM(AV135/AV129)</f>
        <v>15.338095898520834</v>
      </c>
      <c r="AW136" s="2902">
        <f t="shared" ref="AW136" si="680">SUM(AW135/AW129)</f>
        <v>30.2772527287758</v>
      </c>
      <c r="AX136" s="2904">
        <f t="shared" ref="AX136" si="681">SUM(AX135/AX129)</f>
        <v>30.361021977511818</v>
      </c>
      <c r="AY136" s="2913">
        <f t="shared" ref="AY136:BC136" si="682">SUM(AY135/AY129)</f>
        <v>16.742508280379624</v>
      </c>
      <c r="AZ136" s="2902">
        <f t="shared" si="682"/>
        <v>30.741139873347407</v>
      </c>
      <c r="BA136" s="2904">
        <f t="shared" si="682"/>
        <v>30.808213503641042</v>
      </c>
      <c r="BB136" s="2913">
        <f t="shared" ref="BB136" si="683">SUM(BB135/BB129)</f>
        <v>16.891281921056198</v>
      </c>
      <c r="BC136" s="2902">
        <f t="shared" si="682"/>
        <v>35.767435495181047</v>
      </c>
      <c r="BD136" s="2914">
        <f t="shared" si="277"/>
        <v>1.1682555376930044</v>
      </c>
      <c r="BE136" s="2904">
        <f t="shared" ref="BE136" si="684">SUM(BE135/BE129)</f>
        <v>36.172713693227074</v>
      </c>
      <c r="BF136" s="2905">
        <f t="shared" ref="BF136" si="685">SUM(BF135/BF129)</f>
        <v>22.730242340437737</v>
      </c>
      <c r="BG136" s="2902">
        <f t="shared" ref="BG136" si="686">SUM(BG135/BG129)</f>
        <v>32.532127783290676</v>
      </c>
      <c r="BH136" s="2903">
        <f t="shared" si="506"/>
        <v>1.062582147967704</v>
      </c>
      <c r="BI136" s="2904">
        <f t="shared" ref="BI136" si="687">SUM(BI135/BI129)</f>
        <v>32.620579890792541</v>
      </c>
      <c r="BJ136" s="2905">
        <f t="shared" ref="BJ136" si="688">SUM(BJ135/BJ129)</f>
        <v>16.058988150598474</v>
      </c>
      <c r="BK136" s="1240"/>
      <c r="BL136" s="2906">
        <f t="shared" ref="BL136:BU136" si="689">SUM(BL135/BL129)</f>
        <v>32.343714019889603</v>
      </c>
      <c r="BM136" s="2907">
        <f t="shared" si="689"/>
        <v>32.356303273184707</v>
      </c>
      <c r="BN136" s="2908">
        <f t="shared" si="689"/>
        <v>16.747684575542802</v>
      </c>
      <c r="BO136" s="2906">
        <f t="shared" si="689"/>
        <v>33.440972508335427</v>
      </c>
      <c r="BP136" s="2907">
        <f t="shared" si="689"/>
        <v>33.452676674946538</v>
      </c>
      <c r="BQ136" s="2909">
        <f t="shared" si="689"/>
        <v>17.420189208311577</v>
      </c>
      <c r="BR136" s="2906">
        <f t="shared" si="689"/>
        <v>33.787239754086876</v>
      </c>
      <c r="BS136" s="2907">
        <f t="shared" si="689"/>
        <v>33.798216580169722</v>
      </c>
      <c r="BT136" s="2908">
        <f t="shared" si="689"/>
        <v>17.475950615624932</v>
      </c>
      <c r="BU136" s="2906">
        <f t="shared" si="689"/>
        <v>38.791703905666324</v>
      </c>
      <c r="BV136" s="3821">
        <f t="shared" si="322"/>
        <v>1.1924121337550728</v>
      </c>
      <c r="BW136" s="2907">
        <f t="shared" ref="BW136:BY136" si="690">SUM(BW135/BW129)</f>
        <v>38.875247416584152</v>
      </c>
      <c r="BX136" s="2908">
        <f t="shared" si="690"/>
        <v>21.28933836838268</v>
      </c>
      <c r="BY136" s="2906">
        <f t="shared" si="690"/>
        <v>34.782349136689646</v>
      </c>
      <c r="BZ136" s="3804">
        <f t="shared" si="281"/>
        <v>1.0691692030840583</v>
      </c>
      <c r="CA136" s="2907">
        <f t="shared" ref="CA136:CB136" si="691">SUM(CA135/CA129)</f>
        <v>34.879051572391234</v>
      </c>
      <c r="CB136" s="2908">
        <f t="shared" si="691"/>
        <v>16.862071337187299</v>
      </c>
      <c r="CC136" s="1240"/>
      <c r="CD136" s="4009">
        <f t="shared" ref="CD136:CE136" si="692">SUM(CD135/CD129)</f>
        <v>35.524086472011064</v>
      </c>
      <c r="CE136" s="4010">
        <f t="shared" si="692"/>
        <v>35.535392658069696</v>
      </c>
      <c r="CF136" s="4010">
        <f t="shared" ref="CF136:CH136" si="693">SUM(CF135/CF129)</f>
        <v>16.145702315134223</v>
      </c>
      <c r="CG136" s="4010">
        <f t="shared" si="693"/>
        <v>37.326816768695672</v>
      </c>
      <c r="CH136" s="4010">
        <f t="shared" si="693"/>
        <v>37.337322299178048</v>
      </c>
      <c r="CI136" s="4010">
        <f t="shared" ref="CI136:CK136" si="694">SUM(CI135/CI129)</f>
        <v>16.867560682028621</v>
      </c>
      <c r="CJ136" s="4010">
        <f t="shared" si="694"/>
        <v>37.447783526803569</v>
      </c>
      <c r="CK136" s="4010">
        <f t="shared" si="694"/>
        <v>37.458275693766041</v>
      </c>
      <c r="CL136" s="4010">
        <f t="shared" ref="CL136" si="695">SUM(CL135/CL129)</f>
        <v>17.030593762015993</v>
      </c>
      <c r="CM136" s="2906">
        <f t="shared" ref="CM136" si="696">SUM(CM135/CM129)</f>
        <v>38.19886249304065</v>
      </c>
      <c r="CN136" s="4360">
        <f t="shared" si="288"/>
        <v>1.0982254919851617</v>
      </c>
      <c r="CO136" s="4029">
        <f t="shared" ref="CO136:CQ136" si="697">SUM(CO135/CO129)</f>
        <v>38.30110024197738</v>
      </c>
      <c r="CP136" s="4030">
        <f t="shared" si="697"/>
        <v>19.284878939743766</v>
      </c>
      <c r="CQ136" s="4027">
        <f t="shared" si="697"/>
        <v>36.398113410498866</v>
      </c>
      <c r="CR136" s="4360">
        <f t="shared" si="290"/>
        <v>1.0464535695234241</v>
      </c>
      <c r="CS136" s="2907">
        <f t="shared" ref="CS136:CT136" si="698">SUM(CS135/CS129)</f>
        <v>36.443067773590762</v>
      </c>
      <c r="CT136" s="2908">
        <f t="shared" si="698"/>
        <v>28.842758269006644</v>
      </c>
    </row>
    <row r="137" spans="1:98" ht="18.75">
      <c r="A137" s="430"/>
      <c r="B137" s="430"/>
      <c r="C137" s="430"/>
      <c r="D137" s="430"/>
      <c r="E137" s="430"/>
      <c r="F137" s="430"/>
      <c r="G137" s="430"/>
      <c r="H137" s="430"/>
      <c r="I137" s="430"/>
      <c r="J137" s="430"/>
      <c r="K137" s="430"/>
      <c r="L137" s="430"/>
      <c r="M137" s="430"/>
      <c r="N137" s="430"/>
      <c r="O137" s="430"/>
      <c r="P137" s="430"/>
      <c r="Q137" s="430"/>
      <c r="R137" s="430"/>
      <c r="S137" s="430"/>
      <c r="T137" s="430"/>
      <c r="U137" s="430"/>
      <c r="V137" s="430"/>
      <c r="W137" s="430"/>
      <c r="X137" s="430"/>
      <c r="Y137" s="430"/>
      <c r="Z137" s="430"/>
      <c r="AA137" s="430"/>
      <c r="AB137" s="430"/>
      <c r="AC137" s="430"/>
      <c r="AD137" s="430"/>
      <c r="AE137" s="430"/>
      <c r="AF137" s="430"/>
      <c r="AG137" s="430"/>
      <c r="AH137" s="430"/>
      <c r="AI137" s="430"/>
      <c r="AJ137" s="1436"/>
      <c r="AK137" s="1436"/>
      <c r="AL137" s="430"/>
      <c r="AM137" s="430"/>
      <c r="AN137" s="430"/>
      <c r="AO137" s="430"/>
      <c r="AP137" s="430"/>
      <c r="AQ137" s="430"/>
      <c r="AR137" s="430"/>
      <c r="AS137" s="430"/>
      <c r="AT137" s="430"/>
      <c r="AU137" s="430"/>
      <c r="AV137" s="430"/>
      <c r="AW137" s="430"/>
      <c r="AX137" s="430"/>
      <c r="AY137" s="430"/>
      <c r="AZ137" s="430"/>
      <c r="BA137" s="430"/>
      <c r="BB137" s="430"/>
      <c r="BC137" s="430"/>
      <c r="BD137" s="2146"/>
      <c r="BE137" s="430">
        <f>BI137</f>
        <v>31.52</v>
      </c>
      <c r="BF137" s="430"/>
      <c r="BG137" s="430"/>
      <c r="BH137" s="2146"/>
      <c r="BI137" s="430">
        <v>31.52</v>
      </c>
      <c r="BJ137" s="430"/>
      <c r="BU137" s="430"/>
      <c r="BV137" s="2146"/>
      <c r="BW137" s="430">
        <v>33.72</v>
      </c>
      <c r="BX137" s="430"/>
      <c r="BY137" s="430"/>
      <c r="BZ137" s="2146"/>
      <c r="CA137" s="1801">
        <v>33.722000000000001</v>
      </c>
      <c r="CB137" s="430">
        <v>16.059999999999999</v>
      </c>
      <c r="CM137" s="430"/>
      <c r="CN137" s="2146"/>
      <c r="CO137" s="430">
        <v>33.72</v>
      </c>
      <c r="CP137" s="430"/>
      <c r="CQ137" s="430"/>
      <c r="CR137" s="2146"/>
      <c r="CS137" s="1801">
        <v>33.722000000000001</v>
      </c>
      <c r="CT137" s="430">
        <v>17.93</v>
      </c>
    </row>
    <row r="138" spans="1:98" ht="18.75">
      <c r="A138" s="430"/>
      <c r="B138" s="430"/>
      <c r="C138" s="430"/>
      <c r="D138" s="430"/>
      <c r="E138" s="430"/>
      <c r="F138" s="430"/>
      <c r="G138" s="430"/>
      <c r="H138" s="430"/>
      <c r="I138" s="430"/>
      <c r="J138" s="430"/>
      <c r="K138" s="430"/>
      <c r="L138" s="430"/>
      <c r="M138" s="430"/>
      <c r="N138" s="430"/>
      <c r="O138" s="430"/>
      <c r="P138" s="430"/>
      <c r="Q138" s="430"/>
      <c r="R138" s="430"/>
      <c r="S138" s="430"/>
      <c r="T138" s="430"/>
      <c r="U138" s="430"/>
      <c r="V138" s="430"/>
      <c r="W138" s="430"/>
      <c r="X138" s="430"/>
      <c r="Y138" s="430"/>
      <c r="Z138" s="430"/>
      <c r="AA138" s="430"/>
      <c r="AB138" s="430"/>
      <c r="AC138" s="430"/>
      <c r="AD138" s="430"/>
      <c r="AE138" s="430"/>
      <c r="AF138" s="430"/>
      <c r="AG138" s="430"/>
      <c r="AH138" s="430"/>
      <c r="AI138" s="430"/>
      <c r="AJ138" s="1436"/>
      <c r="AK138" s="1436"/>
      <c r="AL138" s="430"/>
      <c r="AM138" s="430"/>
      <c r="AN138" s="430"/>
      <c r="AO138" s="430"/>
      <c r="AP138" s="430"/>
      <c r="AQ138" s="430"/>
      <c r="AR138" s="430"/>
      <c r="AS138" s="430"/>
      <c r="AT138" s="430"/>
      <c r="AU138" s="430"/>
      <c r="AV138" s="430"/>
      <c r="AW138" s="430"/>
      <c r="AX138" s="430"/>
      <c r="AY138" s="430"/>
      <c r="AZ138" s="430"/>
      <c r="BA138" s="430"/>
      <c r="BB138" s="430"/>
      <c r="BC138" s="430"/>
      <c r="BD138" s="2146"/>
      <c r="BE138" s="1801">
        <f>BE136*2-BE137</f>
        <v>40.825427386454152</v>
      </c>
      <c r="BF138" s="430"/>
      <c r="BG138" s="430"/>
      <c r="BH138" s="2146"/>
      <c r="BI138" s="1801">
        <f>BI136*2-BI137</f>
        <v>33.721159781585087</v>
      </c>
      <c r="BJ138" s="430"/>
      <c r="BU138" s="430"/>
      <c r="BV138" s="2146"/>
      <c r="BW138" s="1801">
        <f>BW136*2-BW137</f>
        <v>44.030494833168305</v>
      </c>
      <c r="BX138" s="430"/>
      <c r="BY138" s="430"/>
      <c r="BZ138" s="2146"/>
      <c r="CA138" s="1801">
        <f>CA136*2-CA137</f>
        <v>36.036103144782466</v>
      </c>
      <c r="CB138" s="1801">
        <f>CB136*2-CB137</f>
        <v>17.664142674374599</v>
      </c>
      <c r="CM138" s="430"/>
      <c r="CN138" s="2146"/>
      <c r="CO138" s="1801">
        <f>CO136*2-CO137</f>
        <v>42.882200483954762</v>
      </c>
      <c r="CP138" s="430"/>
      <c r="CQ138" s="430"/>
      <c r="CR138" s="2146"/>
      <c r="CS138" s="1801">
        <f>CS136*2-CS137</f>
        <v>39.164135547181523</v>
      </c>
      <c r="CT138" s="1801">
        <f>CT136*2-CT137</f>
        <v>39.755516538013289</v>
      </c>
    </row>
    <row r="139" spans="1:98">
      <c r="BW139" s="2901">
        <f>SUM(BW138/BW137)</f>
        <v>1.3057679369266995</v>
      </c>
      <c r="CA139" s="2901">
        <f>SUM(CA138/CA137)</f>
        <v>1.0686229507378704</v>
      </c>
      <c r="CB139" s="2901">
        <f>SUM(CB138/CB137)</f>
        <v>1.0998843508327896</v>
      </c>
      <c r="CO139" s="2901">
        <f>SUM(CO138/CO137)</f>
        <v>1.2717141306036406</v>
      </c>
      <c r="CQ139" s="657"/>
      <c r="CR139" s="657"/>
      <c r="CS139" s="2901">
        <f>SUM(CS138/CS137)</f>
        <v>1.1613823482350252</v>
      </c>
      <c r="CT139" s="2901">
        <f>SUM(CT138/CT137)</f>
        <v>2.217262495148538</v>
      </c>
    </row>
    <row r="140" spans="1:98">
      <c r="AG140">
        <f>AF117/AF116</f>
        <v>0.29993261127680237</v>
      </c>
      <c r="BE140" s="1932">
        <f>BE138/BE137</f>
        <v>1.2952229500778603</v>
      </c>
      <c r="BI140" s="1932">
        <f>BI138/BI137</f>
        <v>1.0698337494157706</v>
      </c>
    </row>
  </sheetData>
  <mergeCells count="221">
    <mergeCell ref="CD109:CL109"/>
    <mergeCell ref="CD110:CF110"/>
    <mergeCell ref="CG110:CI110"/>
    <mergeCell ref="CJ110:CL110"/>
    <mergeCell ref="CD111:CD112"/>
    <mergeCell ref="CE111:CF111"/>
    <mergeCell ref="CG111:CG112"/>
    <mergeCell ref="CH111:CI111"/>
    <mergeCell ref="CJ111:CJ112"/>
    <mergeCell ref="CK111:CL111"/>
    <mergeCell ref="CD4:CL4"/>
    <mergeCell ref="CD6:CD7"/>
    <mergeCell ref="CE6:CF6"/>
    <mergeCell ref="CD5:CF5"/>
    <mergeCell ref="CG5:CI5"/>
    <mergeCell ref="CG6:CG7"/>
    <mergeCell ref="CH6:CI6"/>
    <mergeCell ref="CJ5:CL5"/>
    <mergeCell ref="CJ6:CJ7"/>
    <mergeCell ref="CK6:CL6"/>
    <mergeCell ref="BL109:BT110"/>
    <mergeCell ref="C110:C112"/>
    <mergeCell ref="D110:D112"/>
    <mergeCell ref="E110:E112"/>
    <mergeCell ref="F110:F112"/>
    <mergeCell ref="BG110:BJ110"/>
    <mergeCell ref="AA111:AA112"/>
    <mergeCell ref="AC111:AD111"/>
    <mergeCell ref="AE111:AE112"/>
    <mergeCell ref="AF111:AG111"/>
    <mergeCell ref="AH111:AH112"/>
    <mergeCell ref="AI111:AI112"/>
    <mergeCell ref="AJ111:AK111"/>
    <mergeCell ref="AL111:AL112"/>
    <mergeCell ref="AM111:AM112"/>
    <mergeCell ref="AN111:AO111"/>
    <mergeCell ref="AZ110:BB110"/>
    <mergeCell ref="AZ111:AZ112"/>
    <mergeCell ref="BA111:BB111"/>
    <mergeCell ref="G110:G112"/>
    <mergeCell ref="H110:H112"/>
    <mergeCell ref="I110:I112"/>
    <mergeCell ref="J110:J112"/>
    <mergeCell ref="K110:K112"/>
    <mergeCell ref="L110:L112"/>
    <mergeCell ref="M110:M112"/>
    <mergeCell ref="N110:N112"/>
    <mergeCell ref="AT111:AT112"/>
    <mergeCell ref="AT110:AV110"/>
    <mergeCell ref="AU111:AV111"/>
    <mergeCell ref="AW111:AW112"/>
    <mergeCell ref="AX111:AY111"/>
    <mergeCell ref="BC111:BC112"/>
    <mergeCell ref="O110:O112"/>
    <mergeCell ref="P110:P112"/>
    <mergeCell ref="Q110:Q112"/>
    <mergeCell ref="R110:R112"/>
    <mergeCell ref="S110:S112"/>
    <mergeCell ref="T110:U110"/>
    <mergeCell ref="AW110:AY110"/>
    <mergeCell ref="BC110:BF110"/>
    <mergeCell ref="A109:A112"/>
    <mergeCell ref="B109:B112"/>
    <mergeCell ref="C109:D109"/>
    <mergeCell ref="E109:F109"/>
    <mergeCell ref="G109:H109"/>
    <mergeCell ref="I109:N109"/>
    <mergeCell ref="O109:X109"/>
    <mergeCell ref="Y109:AG109"/>
    <mergeCell ref="BC109:BJ109"/>
    <mergeCell ref="V110:V112"/>
    <mergeCell ref="W110:X111"/>
    <mergeCell ref="Y110:Y112"/>
    <mergeCell ref="T111:T112"/>
    <mergeCell ref="U111:U112"/>
    <mergeCell ref="BD111:BD112"/>
    <mergeCell ref="BE111:BF111"/>
    <mergeCell ref="BG111:BG112"/>
    <mergeCell ref="BH111:BH112"/>
    <mergeCell ref="BI111:BJ111"/>
    <mergeCell ref="Z110:Z112"/>
    <mergeCell ref="AA110:AD110"/>
    <mergeCell ref="AE110:AG110"/>
    <mergeCell ref="AH110:AK110"/>
    <mergeCell ref="AL110:AO110"/>
    <mergeCell ref="H91:I91"/>
    <mergeCell ref="H92:I92"/>
    <mergeCell ref="H93:I93"/>
    <mergeCell ref="H94:I94"/>
    <mergeCell ref="H87:I87"/>
    <mergeCell ref="H90:I90"/>
    <mergeCell ref="H89:I89"/>
    <mergeCell ref="H88:I88"/>
    <mergeCell ref="AW6:AW7"/>
    <mergeCell ref="AU6:AV6"/>
    <mergeCell ref="K5:K7"/>
    <mergeCell ref="L5:L7"/>
    <mergeCell ref="V5:V7"/>
    <mergeCell ref="Y5:Y7"/>
    <mergeCell ref="I5:I7"/>
    <mergeCell ref="AM6:AM7"/>
    <mergeCell ref="AJ6:AK6"/>
    <mergeCell ref="AN6:AO6"/>
    <mergeCell ref="AT5:AV5"/>
    <mergeCell ref="AT6:AT7"/>
    <mergeCell ref="H96:I96"/>
    <mergeCell ref="AE6:AE7"/>
    <mergeCell ref="AC6:AD6"/>
    <mergeCell ref="AA6:AA7"/>
    <mergeCell ref="AA5:AD5"/>
    <mergeCell ref="Z5:Z7"/>
    <mergeCell ref="W5:X6"/>
    <mergeCell ref="K70:T70"/>
    <mergeCell ref="H95:I95"/>
    <mergeCell ref="A65:H65"/>
    <mergeCell ref="J5:J7"/>
    <mergeCell ref="B4:B7"/>
    <mergeCell ref="G5:G7"/>
    <mergeCell ref="H5:H7"/>
    <mergeCell ref="S5:S7"/>
    <mergeCell ref="O4:X4"/>
    <mergeCell ref="R5:R7"/>
    <mergeCell ref="O5:O7"/>
    <mergeCell ref="D5:D7"/>
    <mergeCell ref="C5:C7"/>
    <mergeCell ref="K65:T65"/>
    <mergeCell ref="N5:N7"/>
    <mergeCell ref="Q5:Q7"/>
    <mergeCell ref="A70:H70"/>
    <mergeCell ref="BR6:BR7"/>
    <mergeCell ref="BS6:BT6"/>
    <mergeCell ref="BK4:BK7"/>
    <mergeCell ref="T5:U5"/>
    <mergeCell ref="T6:T7"/>
    <mergeCell ref="U6:U7"/>
    <mergeCell ref="BH6:BH7"/>
    <mergeCell ref="BI6:BJ6"/>
    <mergeCell ref="AX6:AY6"/>
    <mergeCell ref="BC5:BF5"/>
    <mergeCell ref="BC6:BC7"/>
    <mergeCell ref="BD6:BD7"/>
    <mergeCell ref="BE6:BF6"/>
    <mergeCell ref="AZ5:BB5"/>
    <mergeCell ref="AZ6:AZ7"/>
    <mergeCell ref="BA6:BB6"/>
    <mergeCell ref="AW5:AY5"/>
    <mergeCell ref="AH6:AH7"/>
    <mergeCell ref="AL6:AL7"/>
    <mergeCell ref="AI6:AI7"/>
    <mergeCell ref="A4:A7"/>
    <mergeCell ref="BL111:BL112"/>
    <mergeCell ref="BM111:BN111"/>
    <mergeCell ref="BO111:BO112"/>
    <mergeCell ref="BP111:BQ111"/>
    <mergeCell ref="BR111:BR112"/>
    <mergeCell ref="BS111:BT111"/>
    <mergeCell ref="AH4:BB4"/>
    <mergeCell ref="E4:F4"/>
    <mergeCell ref="G4:H4"/>
    <mergeCell ref="I4:N4"/>
    <mergeCell ref="C4:D4"/>
    <mergeCell ref="E5:E7"/>
    <mergeCell ref="M5:M7"/>
    <mergeCell ref="Y4:AG4"/>
    <mergeCell ref="AF6:AG6"/>
    <mergeCell ref="AE5:AG5"/>
    <mergeCell ref="F5:F7"/>
    <mergeCell ref="BC4:BJ4"/>
    <mergeCell ref="P5:P7"/>
    <mergeCell ref="AH5:AK5"/>
    <mergeCell ref="AH109:BB109"/>
    <mergeCell ref="BL6:BL7"/>
    <mergeCell ref="BM6:BN6"/>
    <mergeCell ref="BK109:BK112"/>
    <mergeCell ref="AL5:AO5"/>
    <mergeCell ref="CC4:CC7"/>
    <mergeCell ref="BU5:BX5"/>
    <mergeCell ref="BY5:CB5"/>
    <mergeCell ref="BU6:BU7"/>
    <mergeCell ref="BV6:BV7"/>
    <mergeCell ref="BW6:BX6"/>
    <mergeCell ref="BY6:BY7"/>
    <mergeCell ref="BZ6:BZ7"/>
    <mergeCell ref="CA6:CB6"/>
    <mergeCell ref="BU110:BX110"/>
    <mergeCell ref="BY110:CB110"/>
    <mergeCell ref="BU111:BU112"/>
    <mergeCell ref="BV111:BV112"/>
    <mergeCell ref="BW111:BX111"/>
    <mergeCell ref="BY111:BY112"/>
    <mergeCell ref="BZ111:BZ112"/>
    <mergeCell ref="CA111:CB111"/>
    <mergeCell ref="BU4:CB4"/>
    <mergeCell ref="BG5:BJ5"/>
    <mergeCell ref="BG6:BG7"/>
    <mergeCell ref="BO6:BO7"/>
    <mergeCell ref="BP6:BQ6"/>
    <mergeCell ref="A1:CT1"/>
    <mergeCell ref="A2:CT2"/>
    <mergeCell ref="CM109:CT109"/>
    <mergeCell ref="CM110:CP110"/>
    <mergeCell ref="CQ110:CT110"/>
    <mergeCell ref="CM111:CM112"/>
    <mergeCell ref="CN111:CN112"/>
    <mergeCell ref="CO111:CP111"/>
    <mergeCell ref="CQ111:CQ112"/>
    <mergeCell ref="CR111:CR112"/>
    <mergeCell ref="CS111:CT111"/>
    <mergeCell ref="A107:CT107"/>
    <mergeCell ref="BL4:BT5"/>
    <mergeCell ref="CM4:CT4"/>
    <mergeCell ref="CM5:CP5"/>
    <mergeCell ref="CQ5:CT5"/>
    <mergeCell ref="CM6:CM7"/>
    <mergeCell ref="CN6:CN7"/>
    <mergeCell ref="CO6:CP6"/>
    <mergeCell ref="CQ6:CQ7"/>
    <mergeCell ref="CR6:CR7"/>
    <mergeCell ref="CS6:CT6"/>
    <mergeCell ref="BU109:CB109"/>
    <mergeCell ref="CC109:CC112"/>
  </mergeCells>
  <phoneticPr fontId="9" type="noConversion"/>
  <printOptions horizontalCentered="1" verticalCentered="1"/>
  <pageMargins left="0" right="0" top="0.19685039370078741" bottom="0.19685039370078741" header="0" footer="0"/>
  <pageSetup paperSize="9" scale="28" orientation="landscape" r:id="rId1"/>
  <headerFooter scaleWithDoc="0" alignWithMargins="0"/>
  <rowBreaks count="1" manualBreakCount="1">
    <brk id="106" max="59" man="1"/>
  </rowBreaks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CO131"/>
  <sheetViews>
    <sheetView zoomScale="50" zoomScaleNormal="50" zoomScaleSheetLayoutView="75" zoomScalePageLayoutView="80" workbookViewId="0">
      <pane xSplit="22" ySplit="7" topLeftCell="BT8" activePane="bottomRight" state="frozen"/>
      <selection pane="topRight" activeCell="W1" sqref="W1"/>
      <selection pane="bottomLeft" activeCell="A7" sqref="A7"/>
      <selection pane="bottomRight" activeCell="CL66" sqref="CL66"/>
    </sheetView>
  </sheetViews>
  <sheetFormatPr defaultRowHeight="12.75" outlineLevelCol="1"/>
  <cols>
    <col min="1" max="1" width="54.42578125" customWidth="1"/>
    <col min="2" max="3" width="9.140625" hidden="1" customWidth="1"/>
    <col min="4" max="4" width="9.5703125" hidden="1" customWidth="1"/>
    <col min="5" max="5" width="14.7109375" hidden="1" customWidth="1"/>
    <col min="6" max="6" width="8.5703125" hidden="1" customWidth="1"/>
    <col min="7" max="7" width="16.7109375" hidden="1" customWidth="1"/>
    <col min="8" max="8" width="11.28515625" hidden="1" customWidth="1"/>
    <col min="9" max="9" width="12.5703125" hidden="1" customWidth="1"/>
    <col min="10" max="10" width="11.42578125" hidden="1" customWidth="1"/>
    <col min="11" max="11" width="14" hidden="1" customWidth="1"/>
    <col min="12" max="12" width="12.7109375" hidden="1" customWidth="1"/>
    <col min="13" max="13" width="8.140625" hidden="1" customWidth="1" outlineLevel="1"/>
    <col min="14" max="14" width="13" hidden="1" customWidth="1" outlineLevel="1"/>
    <col min="15" max="15" width="9.28515625" hidden="1" customWidth="1" outlineLevel="1"/>
    <col min="16" max="16" width="15.140625" hidden="1" customWidth="1"/>
    <col min="17" max="17" width="9.28515625" hidden="1" customWidth="1" outlineLevel="1"/>
    <col min="18" max="18" width="9.140625" hidden="1" customWidth="1" outlineLevel="1"/>
    <col min="19" max="19" width="13.7109375" hidden="1" customWidth="1"/>
    <col min="20" max="21" width="11.5703125" hidden="1" customWidth="1"/>
    <col min="22" max="22" width="0.28515625" hidden="1" customWidth="1"/>
    <col min="23" max="23" width="16.42578125" hidden="1" customWidth="1"/>
    <col min="24" max="24" width="10.28515625" hidden="1" customWidth="1"/>
    <col min="25" max="25" width="14.5703125" hidden="1" customWidth="1"/>
    <col min="26" max="26" width="13.140625" hidden="1" customWidth="1"/>
    <col min="27" max="27" width="13.28515625" hidden="1" customWidth="1"/>
    <col min="28" max="28" width="14.5703125" hidden="1" customWidth="1"/>
    <col min="29" max="29" width="13.140625" hidden="1" customWidth="1"/>
    <col min="30" max="30" width="13.28515625" hidden="1" customWidth="1"/>
    <col min="31" max="31" width="14.5703125" hidden="1" customWidth="1"/>
    <col min="32" max="32" width="10.7109375" hidden="1" customWidth="1"/>
    <col min="33" max="33" width="13.140625" hidden="1" customWidth="1"/>
    <col min="34" max="34" width="13.28515625" hidden="1" customWidth="1"/>
    <col min="35" max="35" width="14.5703125" hidden="1" customWidth="1"/>
    <col min="36" max="36" width="10.5703125" hidden="1" customWidth="1"/>
    <col min="37" max="37" width="13.85546875" hidden="1" customWidth="1"/>
    <col min="38" max="38" width="13.28515625" hidden="1" customWidth="1"/>
    <col min="39" max="41" width="12.85546875" hidden="1" customWidth="1" outlineLevel="1"/>
    <col min="42" max="42" width="14.5703125" hidden="1" customWidth="1" outlineLevel="1"/>
    <col min="43" max="43" width="13.140625" hidden="1" customWidth="1" outlineLevel="1"/>
    <col min="44" max="44" width="13.28515625" hidden="1" customWidth="1" outlineLevel="1"/>
    <col min="45" max="45" width="14.5703125" hidden="1" customWidth="1" outlineLevel="1"/>
    <col min="46" max="46" width="13.140625" hidden="1" customWidth="1" outlineLevel="1"/>
    <col min="47" max="50" width="12.85546875" hidden="1" customWidth="1" outlineLevel="1"/>
    <col min="51" max="51" width="14.5703125" customWidth="1" outlineLevel="1"/>
    <col min="52" max="52" width="12.5703125" style="189" hidden="1" customWidth="1" outlineLevel="1"/>
    <col min="53" max="53" width="13.140625" customWidth="1" outlineLevel="1"/>
    <col min="54" max="54" width="13.28515625" customWidth="1" outlineLevel="1"/>
    <col min="55" max="55" width="14.5703125" customWidth="1" outlineLevel="1"/>
    <col min="56" max="56" width="12" style="189" hidden="1" customWidth="1" outlineLevel="1"/>
    <col min="57" max="57" width="13.140625" customWidth="1" outlineLevel="1"/>
    <col min="58" max="58" width="13.28515625" customWidth="1" outlineLevel="1"/>
    <col min="59" max="59" width="33.42578125" hidden="1" customWidth="1"/>
    <col min="60" max="65" width="13" hidden="1" customWidth="1"/>
    <col min="66" max="68" width="13" customWidth="1"/>
    <col min="69" max="69" width="12.85546875" customWidth="1"/>
    <col min="70" max="70" width="12" customWidth="1"/>
    <col min="71" max="73" width="12.85546875" customWidth="1"/>
    <col min="74" max="74" width="12" customWidth="1"/>
    <col min="75" max="86" width="12.85546875" customWidth="1"/>
    <col min="87" max="87" width="12" customWidth="1"/>
    <col min="88" max="89" width="12.85546875" customWidth="1"/>
    <col min="90" max="90" width="14.5703125" customWidth="1"/>
    <col min="91" max="91" width="12" customWidth="1"/>
    <col min="92" max="92" width="14.85546875" customWidth="1"/>
    <col min="93" max="93" width="12.85546875" customWidth="1"/>
  </cols>
  <sheetData>
    <row r="1" spans="1:93">
      <c r="A1" s="5021" t="s">
        <v>1527</v>
      </c>
      <c r="B1" s="5021"/>
      <c r="C1" s="5021"/>
      <c r="D1" s="5021"/>
      <c r="E1" s="5021"/>
      <c r="F1" s="5021"/>
      <c r="G1" s="5021"/>
      <c r="H1" s="5021"/>
      <c r="I1" s="5021"/>
      <c r="J1" s="5021"/>
      <c r="K1" s="5021"/>
      <c r="L1" s="5021"/>
      <c r="M1" s="5021"/>
      <c r="N1" s="5021"/>
      <c r="O1" s="5021"/>
      <c r="P1" s="5021"/>
      <c r="Q1" s="5021"/>
      <c r="R1" s="5021"/>
      <c r="S1" s="5021"/>
      <c r="T1" s="5021"/>
      <c r="U1" s="5021"/>
      <c r="V1" s="5021"/>
      <c r="W1" s="5021"/>
      <c r="X1" s="5021"/>
      <c r="Y1" s="5021"/>
      <c r="Z1" s="5021"/>
      <c r="AA1" s="5021"/>
      <c r="AB1" s="5021"/>
      <c r="AC1" s="5021"/>
      <c r="AD1" s="5021"/>
      <c r="AE1" s="5021"/>
      <c r="AF1" s="5021"/>
      <c r="AG1" s="5021"/>
      <c r="AH1" s="5021"/>
      <c r="AI1" s="5021"/>
      <c r="AJ1" s="5021"/>
      <c r="AK1" s="5021"/>
      <c r="AL1" s="5021"/>
      <c r="AM1" s="5021"/>
      <c r="AN1" s="5021"/>
      <c r="AO1" s="5021"/>
      <c r="AP1" s="5021"/>
      <c r="AQ1" s="5021"/>
      <c r="AR1" s="5021"/>
      <c r="AS1" s="5021"/>
      <c r="AT1" s="5021"/>
      <c r="AU1" s="5021"/>
      <c r="AV1" s="5021"/>
      <c r="AW1" s="5021"/>
      <c r="AX1" s="5021"/>
      <c r="AY1" s="5021"/>
      <c r="AZ1" s="5021"/>
      <c r="BA1" s="5021"/>
      <c r="BB1" s="5021"/>
      <c r="BC1" s="5021"/>
      <c r="BD1" s="5021"/>
      <c r="BE1" s="5021"/>
      <c r="BF1" s="5021"/>
      <c r="BG1" s="5021"/>
      <c r="BH1" s="5021"/>
      <c r="BI1" s="5021"/>
      <c r="BJ1" s="5021"/>
      <c r="BK1" s="5021"/>
      <c r="BL1" s="5021"/>
      <c r="BM1" s="5021"/>
      <c r="BN1" s="5021"/>
      <c r="BO1" s="5021"/>
      <c r="BP1" s="5021"/>
      <c r="BQ1" s="5021"/>
      <c r="BR1" s="5021"/>
      <c r="BS1" s="5021"/>
      <c r="BT1" s="5021"/>
      <c r="BU1" s="5021"/>
      <c r="BV1" s="5021"/>
      <c r="BW1" s="5021"/>
      <c r="BX1" s="5021"/>
      <c r="BY1" s="5021"/>
      <c r="BZ1" s="5021"/>
      <c r="CA1" s="5021"/>
      <c r="CB1" s="5021"/>
      <c r="CC1" s="5021"/>
      <c r="CD1" s="5021"/>
      <c r="CE1" s="5021"/>
      <c r="CF1" s="5021"/>
      <c r="CG1" s="5021"/>
      <c r="CH1" s="4894"/>
      <c r="CI1" s="4894"/>
      <c r="CJ1" s="4894"/>
      <c r="CK1" s="4894"/>
      <c r="CL1" s="4894"/>
      <c r="CM1" s="4894"/>
      <c r="CN1" s="4894"/>
      <c r="CO1" s="4894"/>
    </row>
    <row r="2" spans="1:93" ht="21" customHeight="1">
      <c r="A2" s="5326" t="s">
        <v>1895</v>
      </c>
      <c r="B2" s="5326"/>
      <c r="C2" s="5326"/>
      <c r="D2" s="5326"/>
      <c r="E2" s="5326"/>
      <c r="F2" s="5326"/>
      <c r="G2" s="5326"/>
      <c r="H2" s="5326"/>
      <c r="I2" s="5326"/>
      <c r="J2" s="5326"/>
      <c r="K2" s="5326"/>
      <c r="L2" s="5326"/>
      <c r="M2" s="5326"/>
      <c r="N2" s="5326"/>
      <c r="O2" s="5326"/>
      <c r="P2" s="5326"/>
      <c r="Q2" s="5326"/>
      <c r="R2" s="5326"/>
      <c r="S2" s="5326"/>
      <c r="T2" s="5326"/>
      <c r="U2" s="5326"/>
      <c r="V2" s="5326"/>
      <c r="W2" s="5326"/>
      <c r="X2" s="5326"/>
      <c r="Y2" s="5326"/>
      <c r="Z2" s="5326"/>
      <c r="AA2" s="5326"/>
      <c r="AB2" s="5326"/>
      <c r="AC2" s="5326"/>
      <c r="AD2" s="5326"/>
      <c r="AE2" s="5326"/>
      <c r="AF2" s="5326"/>
      <c r="AG2" s="5326"/>
      <c r="AH2" s="5326"/>
      <c r="AI2" s="5326"/>
      <c r="AJ2" s="5326"/>
      <c r="AK2" s="5326"/>
      <c r="AL2" s="5326"/>
      <c r="AM2" s="5326"/>
      <c r="AN2" s="5326"/>
      <c r="AO2" s="5326"/>
      <c r="AP2" s="5326"/>
      <c r="AQ2" s="5326"/>
      <c r="AR2" s="5326"/>
      <c r="AS2" s="5326"/>
      <c r="AT2" s="5326"/>
      <c r="AU2" s="5326"/>
      <c r="AV2" s="5326"/>
      <c r="AW2" s="5326"/>
      <c r="AX2" s="5326"/>
      <c r="AY2" s="5326"/>
      <c r="AZ2" s="5326"/>
      <c r="BA2" s="5326"/>
      <c r="BB2" s="5326"/>
      <c r="BC2" s="5326"/>
      <c r="BD2" s="5326"/>
      <c r="BE2" s="5326"/>
      <c r="BF2" s="5326"/>
      <c r="BG2" s="5326"/>
      <c r="BH2" s="4894"/>
      <c r="BI2" s="4894"/>
      <c r="BJ2" s="4894"/>
      <c r="BK2" s="4894"/>
      <c r="BL2" s="4894"/>
      <c r="BM2" s="4894"/>
      <c r="BN2" s="4894"/>
      <c r="BO2" s="4894"/>
      <c r="BP2" s="4894"/>
      <c r="BQ2" s="4894"/>
      <c r="BR2" s="4894"/>
      <c r="BS2" s="4894"/>
      <c r="BT2" s="4894"/>
      <c r="BU2" s="4894"/>
      <c r="BV2" s="4894"/>
      <c r="BW2" s="4894"/>
      <c r="BX2" s="4894"/>
      <c r="BY2" s="4894"/>
      <c r="BZ2" s="4894"/>
      <c r="CA2" s="4894"/>
      <c r="CB2" s="4894"/>
      <c r="CC2" s="4894"/>
      <c r="CD2" s="4894"/>
      <c r="CE2" s="4894"/>
      <c r="CF2" s="4894"/>
      <c r="CG2" s="4894"/>
      <c r="CH2" s="4894"/>
      <c r="CI2" s="4894"/>
      <c r="CJ2" s="4894"/>
      <c r="CK2" s="4894"/>
      <c r="CL2" s="4894"/>
      <c r="CM2" s="4894"/>
      <c r="CN2" s="4894"/>
      <c r="CO2" s="4894"/>
    </row>
    <row r="3" spans="1:93" ht="13.5" thickBot="1">
      <c r="A3" s="406"/>
      <c r="B3" s="406"/>
      <c r="C3" s="406"/>
      <c r="D3" s="406"/>
      <c r="E3" s="406"/>
      <c r="F3" s="406"/>
      <c r="G3" s="406"/>
      <c r="H3" s="406"/>
      <c r="I3" s="406"/>
      <c r="J3" s="406"/>
      <c r="K3" s="406"/>
      <c r="L3" s="406"/>
      <c r="M3" s="406"/>
      <c r="N3" s="406"/>
      <c r="O3" s="406"/>
      <c r="P3" s="406"/>
      <c r="Q3" s="406"/>
      <c r="R3" s="406"/>
      <c r="S3" s="406"/>
      <c r="T3" s="406"/>
      <c r="U3" s="406"/>
      <c r="V3" s="406"/>
      <c r="W3" s="406"/>
      <c r="X3" s="406"/>
      <c r="Y3" s="406"/>
      <c r="Z3" s="406"/>
      <c r="AA3" s="406"/>
      <c r="AB3" s="406"/>
      <c r="AC3" s="406"/>
      <c r="AD3" s="406"/>
      <c r="AE3" s="406"/>
      <c r="AF3" s="406"/>
      <c r="AG3" s="406"/>
      <c r="AH3" s="406"/>
      <c r="AI3" s="406"/>
      <c r="AJ3" s="406"/>
      <c r="AK3" s="406"/>
      <c r="AL3" s="406"/>
      <c r="AM3" s="406"/>
      <c r="AN3" s="406"/>
      <c r="AO3" s="406"/>
      <c r="AP3" s="406"/>
      <c r="AQ3" s="406"/>
      <c r="AR3" s="406"/>
      <c r="AS3" s="406"/>
      <c r="AT3" s="406"/>
      <c r="AU3" s="406"/>
      <c r="AV3" s="406"/>
      <c r="AW3" s="406"/>
      <c r="AX3" s="406"/>
      <c r="AY3" s="406"/>
      <c r="AZ3" s="2161"/>
      <c r="BA3" s="406"/>
      <c r="BB3" s="406"/>
      <c r="BC3" s="406"/>
      <c r="BD3" s="2161"/>
      <c r="BE3" s="406"/>
      <c r="BF3" s="406"/>
      <c r="BG3" s="406"/>
    </row>
    <row r="4" spans="1:93" ht="39" customHeight="1" thickBot="1">
      <c r="A4" s="5369" t="s">
        <v>545</v>
      </c>
      <c r="B4" s="5391" t="s">
        <v>58</v>
      </c>
      <c r="C4" s="5338" t="s">
        <v>59</v>
      </c>
      <c r="D4" s="5338"/>
      <c r="E4" s="5352" t="s">
        <v>67</v>
      </c>
      <c r="F4" s="5352"/>
      <c r="G4" s="5352" t="s">
        <v>95</v>
      </c>
      <c r="H4" s="5352"/>
      <c r="I4" s="5352" t="s">
        <v>124</v>
      </c>
      <c r="J4" s="5352"/>
      <c r="K4" s="5352"/>
      <c r="L4" s="5352"/>
      <c r="M4" s="5352"/>
      <c r="N4" s="5094" t="s">
        <v>162</v>
      </c>
      <c r="O4" s="5094"/>
      <c r="P4" s="5094"/>
      <c r="Q4" s="5094"/>
      <c r="R4" s="5094"/>
      <c r="S4" s="5094"/>
      <c r="T4" s="5094"/>
      <c r="U4" s="5094"/>
      <c r="V4" s="5383"/>
      <c r="W4" s="5327" t="s">
        <v>238</v>
      </c>
      <c r="X4" s="5328"/>
      <c r="Y4" s="5328"/>
      <c r="Z4" s="5328"/>
      <c r="AA4" s="5328"/>
      <c r="AB4" s="5372"/>
      <c r="AC4" s="5372"/>
      <c r="AD4" s="5373"/>
      <c r="AE4" s="5327" t="s">
        <v>379</v>
      </c>
      <c r="AF4" s="5388"/>
      <c r="AG4" s="5388"/>
      <c r="AH4" s="5388"/>
      <c r="AI4" s="5388"/>
      <c r="AJ4" s="5388"/>
      <c r="AK4" s="5388"/>
      <c r="AL4" s="5388"/>
      <c r="AM4" s="5388"/>
      <c r="AN4" s="5388"/>
      <c r="AO4" s="5388"/>
      <c r="AP4" s="5388"/>
      <c r="AQ4" s="5388"/>
      <c r="AR4" s="5388"/>
      <c r="AS4" s="5388"/>
      <c r="AT4" s="5388"/>
      <c r="AU4" s="5388"/>
      <c r="AV4" s="5389"/>
      <c r="AW4" s="5389"/>
      <c r="AX4" s="5390"/>
      <c r="AY4" s="5327" t="s">
        <v>832</v>
      </c>
      <c r="AZ4" s="5328"/>
      <c r="BA4" s="5328"/>
      <c r="BB4" s="5328"/>
      <c r="BC4" s="5328"/>
      <c r="BD4" s="5328"/>
      <c r="BE4" s="5328"/>
      <c r="BF4" s="5329"/>
      <c r="BG4" s="5349" t="s">
        <v>160</v>
      </c>
      <c r="BH4" s="5245" t="s">
        <v>1595</v>
      </c>
      <c r="BI4" s="5246"/>
      <c r="BJ4" s="5246"/>
      <c r="BK4" s="5246"/>
      <c r="BL4" s="5246"/>
      <c r="BM4" s="5246"/>
      <c r="BN4" s="5246"/>
      <c r="BO4" s="5246"/>
      <c r="BP4" s="5247"/>
      <c r="BQ4" s="5327" t="s">
        <v>911</v>
      </c>
      <c r="BR4" s="5328"/>
      <c r="BS4" s="5328"/>
      <c r="BT4" s="5328"/>
      <c r="BU4" s="5328"/>
      <c r="BV4" s="5328"/>
      <c r="BW4" s="5328"/>
      <c r="BX4" s="5329"/>
      <c r="BY4" s="5301" t="s">
        <v>1897</v>
      </c>
      <c r="BZ4" s="5302"/>
      <c r="CA4" s="5302"/>
      <c r="CB4" s="5303"/>
      <c r="CC4" s="5303"/>
      <c r="CD4" s="5303"/>
      <c r="CE4" s="5303"/>
      <c r="CF4" s="5303"/>
      <c r="CG4" s="5304"/>
      <c r="CH4" s="5327" t="s">
        <v>1849</v>
      </c>
      <c r="CI4" s="5328"/>
      <c r="CJ4" s="5328"/>
      <c r="CK4" s="5328"/>
      <c r="CL4" s="5328"/>
      <c r="CM4" s="5328"/>
      <c r="CN4" s="5328"/>
      <c r="CO4" s="5329"/>
    </row>
    <row r="5" spans="1:93" ht="46.5" customHeight="1" thickBot="1">
      <c r="A5" s="5370"/>
      <c r="B5" s="5392"/>
      <c r="C5" s="5355" t="s">
        <v>61</v>
      </c>
      <c r="D5" s="5355" t="s">
        <v>62</v>
      </c>
      <c r="E5" s="5355" t="s">
        <v>61</v>
      </c>
      <c r="F5" s="5355" t="s">
        <v>66</v>
      </c>
      <c r="G5" s="5353" t="s">
        <v>61</v>
      </c>
      <c r="H5" s="5353" t="s">
        <v>112</v>
      </c>
      <c r="I5" s="5353" t="s">
        <v>60</v>
      </c>
      <c r="J5" s="5353" t="s">
        <v>63</v>
      </c>
      <c r="K5" s="5353" t="s">
        <v>110</v>
      </c>
      <c r="L5" s="5355" t="s">
        <v>61</v>
      </c>
      <c r="M5" s="5355" t="s">
        <v>123</v>
      </c>
      <c r="N5" s="5355" t="s">
        <v>126</v>
      </c>
      <c r="O5" s="5355" t="s">
        <v>97</v>
      </c>
      <c r="P5" s="5355" t="s">
        <v>127</v>
      </c>
      <c r="Q5" s="5355" t="s">
        <v>97</v>
      </c>
      <c r="R5" s="5355" t="s">
        <v>161</v>
      </c>
      <c r="S5" s="5382" t="s">
        <v>23</v>
      </c>
      <c r="T5" s="5382"/>
      <c r="U5" s="5353" t="s">
        <v>110</v>
      </c>
      <c r="V5" s="5384" t="s">
        <v>408</v>
      </c>
      <c r="W5" s="5297" t="s">
        <v>126</v>
      </c>
      <c r="X5" s="5394" t="s">
        <v>97</v>
      </c>
      <c r="Y5" s="5379" t="s">
        <v>127</v>
      </c>
      <c r="Z5" s="5395"/>
      <c r="AA5" s="5396"/>
      <c r="AB5" s="5379" t="s">
        <v>831</v>
      </c>
      <c r="AC5" s="5380"/>
      <c r="AD5" s="5381"/>
      <c r="AE5" s="5362" t="s">
        <v>126</v>
      </c>
      <c r="AF5" s="5386"/>
      <c r="AG5" s="5386"/>
      <c r="AH5" s="5387"/>
      <c r="AI5" s="5362" t="s">
        <v>127</v>
      </c>
      <c r="AJ5" s="5375"/>
      <c r="AK5" s="5375"/>
      <c r="AL5" s="5376"/>
      <c r="AM5" s="1346"/>
      <c r="AN5" s="1347"/>
      <c r="AO5" s="1348"/>
      <c r="AP5" s="5362" t="s">
        <v>862</v>
      </c>
      <c r="AQ5" s="5363"/>
      <c r="AR5" s="5364"/>
      <c r="AS5" s="5365" t="s">
        <v>863</v>
      </c>
      <c r="AT5" s="5366"/>
      <c r="AU5" s="5367"/>
      <c r="AV5" s="5365" t="s">
        <v>1639</v>
      </c>
      <c r="AW5" s="5366"/>
      <c r="AX5" s="5367"/>
      <c r="AY5" s="5330" t="s">
        <v>126</v>
      </c>
      <c r="AZ5" s="5331"/>
      <c r="BA5" s="5331"/>
      <c r="BB5" s="5331"/>
      <c r="BC5" s="5332" t="s">
        <v>127</v>
      </c>
      <c r="BD5" s="5333"/>
      <c r="BE5" s="5333"/>
      <c r="BF5" s="5334"/>
      <c r="BG5" s="5350"/>
      <c r="BH5" s="5248"/>
      <c r="BI5" s="5249"/>
      <c r="BJ5" s="5249"/>
      <c r="BK5" s="5249"/>
      <c r="BL5" s="5249"/>
      <c r="BM5" s="5249"/>
      <c r="BN5" s="5249"/>
      <c r="BO5" s="5249"/>
      <c r="BP5" s="5250"/>
      <c r="BQ5" s="5330" t="s">
        <v>126</v>
      </c>
      <c r="BR5" s="5331"/>
      <c r="BS5" s="5331"/>
      <c r="BT5" s="5331"/>
      <c r="BU5" s="5332" t="s">
        <v>127</v>
      </c>
      <c r="BV5" s="5333"/>
      <c r="BW5" s="5333"/>
      <c r="BX5" s="5334"/>
      <c r="BY5" s="5418" t="s">
        <v>598</v>
      </c>
      <c r="BZ5" s="5419"/>
      <c r="CA5" s="5419"/>
      <c r="CB5" s="5419" t="s">
        <v>229</v>
      </c>
      <c r="CC5" s="5419"/>
      <c r="CD5" s="5419"/>
      <c r="CE5" s="5419" t="s">
        <v>301</v>
      </c>
      <c r="CF5" s="5419"/>
      <c r="CG5" s="5420"/>
      <c r="CH5" s="5330" t="s">
        <v>126</v>
      </c>
      <c r="CI5" s="5331"/>
      <c r="CJ5" s="5331"/>
      <c r="CK5" s="5331"/>
      <c r="CL5" s="5332" t="s">
        <v>127</v>
      </c>
      <c r="CM5" s="5333"/>
      <c r="CN5" s="5333"/>
      <c r="CO5" s="5334"/>
    </row>
    <row r="6" spans="1:93" ht="20.25" customHeight="1">
      <c r="A6" s="5370"/>
      <c r="B6" s="5392"/>
      <c r="C6" s="5355"/>
      <c r="D6" s="5355"/>
      <c r="E6" s="5355"/>
      <c r="F6" s="5355"/>
      <c r="G6" s="5099"/>
      <c r="H6" s="5099"/>
      <c r="I6" s="5099"/>
      <c r="J6" s="5099"/>
      <c r="K6" s="5099"/>
      <c r="L6" s="5355"/>
      <c r="M6" s="5355"/>
      <c r="N6" s="5355"/>
      <c r="O6" s="5355"/>
      <c r="P6" s="5355"/>
      <c r="Q6" s="5355"/>
      <c r="R6" s="5355"/>
      <c r="S6" s="5353" t="s">
        <v>47</v>
      </c>
      <c r="T6" s="5353" t="s">
        <v>211</v>
      </c>
      <c r="U6" s="5099"/>
      <c r="V6" s="5069"/>
      <c r="W6" s="5298"/>
      <c r="X6" s="5283"/>
      <c r="Y6" s="5335" t="s">
        <v>301</v>
      </c>
      <c r="Z6" s="5338" t="s">
        <v>50</v>
      </c>
      <c r="AA6" s="5359"/>
      <c r="AB6" s="5335" t="s">
        <v>301</v>
      </c>
      <c r="AC6" s="5338" t="s">
        <v>50</v>
      </c>
      <c r="AD6" s="5374"/>
      <c r="AE6" s="5335" t="s">
        <v>301</v>
      </c>
      <c r="AF6" s="5378" t="s">
        <v>97</v>
      </c>
      <c r="AG6" s="5338" t="s">
        <v>50</v>
      </c>
      <c r="AH6" s="5374"/>
      <c r="AI6" s="5335" t="s">
        <v>301</v>
      </c>
      <c r="AJ6" s="5378" t="s">
        <v>97</v>
      </c>
      <c r="AK6" s="5338" t="s">
        <v>50</v>
      </c>
      <c r="AL6" s="5374"/>
      <c r="AM6" s="1349"/>
      <c r="AN6" s="1350"/>
      <c r="AO6" s="1351"/>
      <c r="AP6" s="5335" t="s">
        <v>301</v>
      </c>
      <c r="AQ6" s="5338" t="s">
        <v>50</v>
      </c>
      <c r="AR6" s="5374"/>
      <c r="AS6" s="5335" t="s">
        <v>301</v>
      </c>
      <c r="AT6" s="5338" t="s">
        <v>50</v>
      </c>
      <c r="AU6" s="5374"/>
      <c r="AV6" s="5335" t="s">
        <v>301</v>
      </c>
      <c r="AW6" s="5338" t="s">
        <v>50</v>
      </c>
      <c r="AX6" s="5374"/>
      <c r="AY6" s="5335" t="s">
        <v>301</v>
      </c>
      <c r="AZ6" s="5243" t="s">
        <v>97</v>
      </c>
      <c r="BA6" s="5338" t="s">
        <v>50</v>
      </c>
      <c r="BB6" s="5339"/>
      <c r="BC6" s="5346" t="s">
        <v>301</v>
      </c>
      <c r="BD6" s="5238" t="s">
        <v>97</v>
      </c>
      <c r="BE6" s="5347" t="s">
        <v>50</v>
      </c>
      <c r="BF6" s="5348"/>
      <c r="BG6" s="5350"/>
      <c r="BH6" s="5335" t="s">
        <v>301</v>
      </c>
      <c r="BI6" s="5338" t="s">
        <v>50</v>
      </c>
      <c r="BJ6" s="5374"/>
      <c r="BK6" s="5335" t="s">
        <v>301</v>
      </c>
      <c r="BL6" s="5338" t="s">
        <v>50</v>
      </c>
      <c r="BM6" s="5374"/>
      <c r="BN6" s="5335" t="s">
        <v>301</v>
      </c>
      <c r="BO6" s="5338" t="s">
        <v>50</v>
      </c>
      <c r="BP6" s="5374"/>
      <c r="BQ6" s="5335" t="s">
        <v>301</v>
      </c>
      <c r="BR6" s="5243" t="s">
        <v>97</v>
      </c>
      <c r="BS6" s="5338" t="s">
        <v>50</v>
      </c>
      <c r="BT6" s="5339"/>
      <c r="BU6" s="5346" t="s">
        <v>301</v>
      </c>
      <c r="BV6" s="5238" t="s">
        <v>97</v>
      </c>
      <c r="BW6" s="5347" t="s">
        <v>50</v>
      </c>
      <c r="BX6" s="5348"/>
      <c r="BY6" s="5321" t="s">
        <v>301</v>
      </c>
      <c r="BZ6" s="5323" t="s">
        <v>50</v>
      </c>
      <c r="CA6" s="5323"/>
      <c r="CB6" s="5323" t="s">
        <v>301</v>
      </c>
      <c r="CC6" s="5323" t="s">
        <v>50</v>
      </c>
      <c r="CD6" s="5323"/>
      <c r="CE6" s="5323" t="s">
        <v>301</v>
      </c>
      <c r="CF6" s="5323" t="s">
        <v>50</v>
      </c>
      <c r="CG6" s="5325"/>
      <c r="CH6" s="5335" t="s">
        <v>301</v>
      </c>
      <c r="CI6" s="5243" t="s">
        <v>97</v>
      </c>
      <c r="CJ6" s="5338" t="s">
        <v>50</v>
      </c>
      <c r="CK6" s="5339"/>
      <c r="CL6" s="5346" t="s">
        <v>301</v>
      </c>
      <c r="CM6" s="5238" t="s">
        <v>97</v>
      </c>
      <c r="CN6" s="5347" t="s">
        <v>50</v>
      </c>
      <c r="CO6" s="5348"/>
    </row>
    <row r="7" spans="1:93" ht="42.75" customHeight="1" thickBot="1">
      <c r="A7" s="5371"/>
      <c r="B7" s="5393"/>
      <c r="C7" s="5356"/>
      <c r="D7" s="5356"/>
      <c r="E7" s="5356"/>
      <c r="F7" s="5356"/>
      <c r="G7" s="5354"/>
      <c r="H7" s="5354"/>
      <c r="I7" s="5354"/>
      <c r="J7" s="5354"/>
      <c r="K7" s="5354"/>
      <c r="L7" s="5356"/>
      <c r="M7" s="5356"/>
      <c r="N7" s="5356"/>
      <c r="O7" s="5356"/>
      <c r="P7" s="5356"/>
      <c r="Q7" s="5356"/>
      <c r="R7" s="5356"/>
      <c r="S7" s="5354"/>
      <c r="T7" s="5354"/>
      <c r="U7" s="5354"/>
      <c r="V7" s="5385"/>
      <c r="W7" s="5299"/>
      <c r="X7" s="5284"/>
      <c r="Y7" s="5344"/>
      <c r="Z7" s="1250" t="s">
        <v>47</v>
      </c>
      <c r="AA7" s="593" t="s">
        <v>546</v>
      </c>
      <c r="AB7" s="5344"/>
      <c r="AC7" s="1250" t="s">
        <v>47</v>
      </c>
      <c r="AD7" s="593" t="s">
        <v>546</v>
      </c>
      <c r="AE7" s="5377"/>
      <c r="AF7" s="5280"/>
      <c r="AG7" s="1250" t="s">
        <v>47</v>
      </c>
      <c r="AH7" s="593" t="s">
        <v>546</v>
      </c>
      <c r="AI7" s="5377"/>
      <c r="AJ7" s="5280"/>
      <c r="AK7" s="1250" t="s">
        <v>47</v>
      </c>
      <c r="AL7" s="593" t="s">
        <v>546</v>
      </c>
      <c r="AM7" s="1415" t="s">
        <v>257</v>
      </c>
      <c r="AN7" s="1416" t="s">
        <v>372</v>
      </c>
      <c r="AO7" s="1417"/>
      <c r="AP7" s="5344"/>
      <c r="AQ7" s="1250" t="s">
        <v>47</v>
      </c>
      <c r="AR7" s="593" t="s">
        <v>546</v>
      </c>
      <c r="AS7" s="5344"/>
      <c r="AT7" s="1250" t="s">
        <v>47</v>
      </c>
      <c r="AU7" s="593" t="s">
        <v>546</v>
      </c>
      <c r="AV7" s="5344"/>
      <c r="AW7" s="2676" t="s">
        <v>47</v>
      </c>
      <c r="AX7" s="593" t="s">
        <v>546</v>
      </c>
      <c r="AY7" s="5344"/>
      <c r="AZ7" s="5345"/>
      <c r="BA7" s="1250" t="s">
        <v>47</v>
      </c>
      <c r="BB7" s="1251" t="s">
        <v>546</v>
      </c>
      <c r="BC7" s="5344"/>
      <c r="BD7" s="5345"/>
      <c r="BE7" s="1250" t="s">
        <v>47</v>
      </c>
      <c r="BF7" s="593" t="s">
        <v>546</v>
      </c>
      <c r="BG7" s="5351"/>
      <c r="BH7" s="5344"/>
      <c r="BI7" s="2858" t="s">
        <v>47</v>
      </c>
      <c r="BJ7" s="593" t="s">
        <v>546</v>
      </c>
      <c r="BK7" s="5344"/>
      <c r="BL7" s="2858" t="s">
        <v>47</v>
      </c>
      <c r="BM7" s="593" t="s">
        <v>546</v>
      </c>
      <c r="BN7" s="5344"/>
      <c r="BO7" s="2858" t="s">
        <v>47</v>
      </c>
      <c r="BP7" s="593" t="s">
        <v>546</v>
      </c>
      <c r="BQ7" s="5344"/>
      <c r="BR7" s="5345"/>
      <c r="BS7" s="3767" t="s">
        <v>47</v>
      </c>
      <c r="BT7" s="1251" t="s">
        <v>546</v>
      </c>
      <c r="BU7" s="5344"/>
      <c r="BV7" s="5345"/>
      <c r="BW7" s="3767" t="s">
        <v>47</v>
      </c>
      <c r="BX7" s="593" t="s">
        <v>546</v>
      </c>
      <c r="BY7" s="5322"/>
      <c r="BZ7" s="3968" t="s">
        <v>47</v>
      </c>
      <c r="CA7" s="3968" t="s">
        <v>546</v>
      </c>
      <c r="CB7" s="5324"/>
      <c r="CC7" s="3968" t="s">
        <v>47</v>
      </c>
      <c r="CD7" s="3968" t="s">
        <v>546</v>
      </c>
      <c r="CE7" s="5324"/>
      <c r="CF7" s="3968" t="s">
        <v>47</v>
      </c>
      <c r="CG7" s="3969" t="s">
        <v>546</v>
      </c>
      <c r="CH7" s="5344"/>
      <c r="CI7" s="5345"/>
      <c r="CJ7" s="4111" t="s">
        <v>47</v>
      </c>
      <c r="CK7" s="1251" t="s">
        <v>546</v>
      </c>
      <c r="CL7" s="5344"/>
      <c r="CM7" s="5345"/>
      <c r="CN7" s="4111" t="s">
        <v>47</v>
      </c>
      <c r="CO7" s="593" t="s">
        <v>546</v>
      </c>
    </row>
    <row r="8" spans="1:93" ht="21" customHeight="1">
      <c r="A8" s="1410" t="s">
        <v>0</v>
      </c>
      <c r="B8" s="1411">
        <f>SUM(B9:B16)</f>
        <v>7787.0999999999995</v>
      </c>
      <c r="C8" s="1412">
        <f>SUM(C9:C16)</f>
        <v>8710.3000000000011</v>
      </c>
      <c r="D8" s="1413">
        <f t="shared" ref="D8:D42" si="0">C8/B8*100</f>
        <v>111.85550461660954</v>
      </c>
      <c r="E8" s="1356">
        <f>SUM(E9:E16)-E15</f>
        <v>9918.1</v>
      </c>
      <c r="F8" s="1356">
        <f t="shared" ref="F8:Z8" si="1">SUM(F9:F16)-F15</f>
        <v>718.50644173639284</v>
      </c>
      <c r="G8" s="1356">
        <f t="shared" si="1"/>
        <v>11143.8</v>
      </c>
      <c r="H8" s="1414">
        <f t="shared" ref="H8:H60" si="2">G8/E8*100</f>
        <v>112.3582137707827</v>
      </c>
      <c r="I8" s="1356">
        <f t="shared" si="1"/>
        <v>12086.737939999999</v>
      </c>
      <c r="J8" s="1356">
        <f t="shared" si="1"/>
        <v>5759.5</v>
      </c>
      <c r="K8" s="1356">
        <f t="shared" si="1"/>
        <v>8100.2438109153081</v>
      </c>
      <c r="L8" s="1356">
        <f t="shared" si="1"/>
        <v>12055.1</v>
      </c>
      <c r="M8" s="1356">
        <f t="shared" si="1"/>
        <v>750.7566538578908</v>
      </c>
      <c r="N8" s="1356">
        <f t="shared" si="1"/>
        <v>15356.929999999998</v>
      </c>
      <c r="O8" s="1356">
        <f t="shared" si="1"/>
        <v>730.28673534554662</v>
      </c>
      <c r="P8" s="1356" t="e">
        <f t="shared" si="1"/>
        <v>#REF!</v>
      </c>
      <c r="Q8" s="1356" t="e">
        <f t="shared" si="1"/>
        <v>#REF!</v>
      </c>
      <c r="R8" s="1356" t="e">
        <f t="shared" si="1"/>
        <v>#REF!</v>
      </c>
      <c r="S8" s="1356">
        <f t="shared" si="1"/>
        <v>13172.8958</v>
      </c>
      <c r="T8" s="1356">
        <f t="shared" si="1"/>
        <v>0</v>
      </c>
      <c r="U8" s="1356">
        <f t="shared" si="1"/>
        <v>9205.5</v>
      </c>
      <c r="V8" s="1357">
        <f t="shared" si="1"/>
        <v>0</v>
      </c>
      <c r="W8" s="1358">
        <f t="shared" si="1"/>
        <v>16520.07</v>
      </c>
      <c r="X8" s="1785"/>
      <c r="Y8" s="1432">
        <f t="shared" si="1"/>
        <v>12416.762545040288</v>
      </c>
      <c r="Z8" s="1433">
        <f t="shared" si="1"/>
        <v>12416.762545040288</v>
      </c>
      <c r="AA8" s="1434">
        <f>AA9+AA10+AA12+AA13+AA14+AA16</f>
        <v>0</v>
      </c>
      <c r="AB8" s="1432">
        <f t="shared" ref="AB8:AC8" si="3">SUM(AB9:AB16)-AB15</f>
        <v>11735.1</v>
      </c>
      <c r="AC8" s="1433">
        <f t="shared" si="3"/>
        <v>11735.1</v>
      </c>
      <c r="AD8" s="1434">
        <f>AD9+AD10+AD12+AD13+AD14+AD16</f>
        <v>0</v>
      </c>
      <c r="AE8" s="1432">
        <v>15636.95</v>
      </c>
      <c r="AF8" s="1234">
        <f>SUM(AE8/Y8)</f>
        <v>1.2593419535308721</v>
      </c>
      <c r="AG8" s="1433">
        <v>15786.34</v>
      </c>
      <c r="AH8" s="1434">
        <v>0</v>
      </c>
      <c r="AI8" s="1432">
        <f>AI9+AI10+AI12+AI13+AI14+AI16</f>
        <v>13472.574404759991</v>
      </c>
      <c r="AJ8" s="1234">
        <f>SUM(AI8/Y8)</f>
        <v>1.0850311710391396</v>
      </c>
      <c r="AK8" s="1433">
        <f>AK9+AK10+AK12+AK13+AK14+AK16</f>
        <v>13472.574404759991</v>
      </c>
      <c r="AL8" s="1434">
        <f>AL9+AL10+AL12+AL13+AL14+AL16</f>
        <v>0</v>
      </c>
      <c r="AM8" s="1359" t="e">
        <f>#REF!</f>
        <v>#REF!</v>
      </c>
      <c r="AN8" s="1356">
        <v>0</v>
      </c>
      <c r="AO8" s="1357" t="e">
        <f>AM8+AN8</f>
        <v>#REF!</v>
      </c>
      <c r="AP8" s="1432">
        <f t="shared" ref="AP8:BE8" si="4">SUM(AP9:AP16)-AP15</f>
        <v>4689.5500000000011</v>
      </c>
      <c r="AQ8" s="1433">
        <f t="shared" si="4"/>
        <v>4689.5500000000011</v>
      </c>
      <c r="AR8" s="1434">
        <f>AR9+AR10+AR12+AR13+AR14+AR16</f>
        <v>0</v>
      </c>
      <c r="AS8" s="1432">
        <f t="shared" si="4"/>
        <v>7398.74</v>
      </c>
      <c r="AT8" s="1433">
        <f t="shared" si="4"/>
        <v>7398.74</v>
      </c>
      <c r="AU8" s="1434">
        <f>AU9+AU10+AU12+AU13+AU14+AU16</f>
        <v>0</v>
      </c>
      <c r="AV8" s="1432">
        <f t="shared" ref="AV8:AW8" si="5">SUM(AV9:AV16)-AV15</f>
        <v>12203.08</v>
      </c>
      <c r="AW8" s="1433">
        <f t="shared" si="5"/>
        <v>12203.08</v>
      </c>
      <c r="AX8" s="1434">
        <f>AX9+AX10+AX12+AX13+AX14+AX16</f>
        <v>0</v>
      </c>
      <c r="AY8" s="1432">
        <f t="shared" si="4"/>
        <v>15273.137040000001</v>
      </c>
      <c r="AZ8" s="1106">
        <f>SUM(AY8/AI8)</f>
        <v>1.133646516333497</v>
      </c>
      <c r="BA8" s="1433">
        <f t="shared" si="4"/>
        <v>15273.137040000001</v>
      </c>
      <c r="BB8" s="1434">
        <f>BB9+BB10+BB12+BB13+BB14+BB16</f>
        <v>0</v>
      </c>
      <c r="BC8" s="1432">
        <f t="shared" si="4"/>
        <v>12994.682901961944</v>
      </c>
      <c r="BD8" s="2162">
        <f>SUM(BC8/AI8)</f>
        <v>0.96452856830174905</v>
      </c>
      <c r="BE8" s="1433">
        <f t="shared" si="4"/>
        <v>12994.682901961944</v>
      </c>
      <c r="BF8" s="1434">
        <f>BF9+BF10+BF12+BF13+BF14+BF16</f>
        <v>0</v>
      </c>
      <c r="BG8" s="1972"/>
      <c r="BH8" s="1432">
        <f t="shared" ref="BH8:BI8" si="6">SUM(BH9:BH16)-BH15</f>
        <v>6154.53</v>
      </c>
      <c r="BI8" s="1433">
        <f t="shared" si="6"/>
        <v>6154.53</v>
      </c>
      <c r="BJ8" s="1434">
        <f>BJ9+BJ10+BJ12+BJ13+BJ14+BJ16</f>
        <v>0</v>
      </c>
      <c r="BK8" s="1432">
        <f t="shared" ref="BK8:BL8" si="7">SUM(BK9:BK16)-BK15</f>
        <v>9559.86</v>
      </c>
      <c r="BL8" s="1433">
        <f t="shared" si="7"/>
        <v>9559.86</v>
      </c>
      <c r="BM8" s="1434">
        <f>BM9+BM10+BM12+BM13+BM14+BM16</f>
        <v>0</v>
      </c>
      <c r="BN8" s="1432">
        <f t="shared" ref="BN8:BO8" si="8">SUM(BN9:BN16)-BN15</f>
        <v>12644.29</v>
      </c>
      <c r="BO8" s="1433">
        <f t="shared" si="8"/>
        <v>12644.29</v>
      </c>
      <c r="BP8" s="1434">
        <f>BP9+BP10+BP12+BP13+BP14+BP16</f>
        <v>0</v>
      </c>
      <c r="BQ8" s="1432">
        <f t="shared" ref="BQ8" si="9">SUM(BQ9:BQ16)-BQ15</f>
        <v>14713.221242638498</v>
      </c>
      <c r="BR8" s="2164">
        <f>SUM(BQ8/BC8)</f>
        <v>1.1322493479557771</v>
      </c>
      <c r="BS8" s="1433">
        <f t="shared" ref="BS8" si="10">SUM(BS9:BS16)-BS15</f>
        <v>14713.221242638498</v>
      </c>
      <c r="BT8" s="1434">
        <f>BT9+BT10+BT12+BT13+BT14+BT16</f>
        <v>0</v>
      </c>
      <c r="BU8" s="1432">
        <f t="shared" ref="BU8" si="11">SUM(BU9:BU16)-BU15</f>
        <v>13584.025208218196</v>
      </c>
      <c r="BV8" s="2162">
        <f>SUM(BU8/BC8)</f>
        <v>1.0453525731025937</v>
      </c>
      <c r="BW8" s="1433">
        <f t="shared" ref="BW8" si="12">SUM(BW9:BW16)-BW15</f>
        <v>13584.025208218196</v>
      </c>
      <c r="BX8" s="1434">
        <f>BX9+BX10+BX12+BX13+BX14+BX16</f>
        <v>0</v>
      </c>
      <c r="BY8" s="2716">
        <f t="shared" ref="BY8" si="13">SUM(BY9:BY16)-BY15</f>
        <v>6346.87</v>
      </c>
      <c r="BZ8" s="2717">
        <f t="shared" ref="BZ8" si="14">SUM(BZ9:BZ16)-BZ15</f>
        <v>6346.87</v>
      </c>
      <c r="CA8" s="2717">
        <f>CA9+CA10+CA12+CA13+CA14+CA16</f>
        <v>0</v>
      </c>
      <c r="CB8" s="2717">
        <f t="shared" ref="CB8" si="15">SUM(CB9:CB16)-CB15</f>
        <v>9521.2900000000009</v>
      </c>
      <c r="CC8" s="2717">
        <f t="shared" ref="CC8" si="16">SUM(CC9:CC16)-CC15</f>
        <v>9521.2900000000009</v>
      </c>
      <c r="CD8" s="2717">
        <f>CD9+CD10+CD12+CD13+CD14+CD16</f>
        <v>0</v>
      </c>
      <c r="CE8" s="2717">
        <f t="shared" ref="CE8" si="17">SUM(CE9:CE16)-CE15</f>
        <v>12688.129883333564</v>
      </c>
      <c r="CF8" s="2717">
        <f t="shared" ref="CF8" si="18">SUM(CF9:CF16)-CF15</f>
        <v>12688.129883333564</v>
      </c>
      <c r="CG8" s="2718">
        <f>CG9+CG10+CG12+CG13+CG14+CG16</f>
        <v>0</v>
      </c>
      <c r="CH8" s="1432">
        <f t="shared" ref="CH8" si="19">SUM(CH9:CH16)-CH15</f>
        <v>14300.504623258166</v>
      </c>
      <c r="CI8" s="2164">
        <f>SUM(CH8/BU8)</f>
        <v>1.052744264241096</v>
      </c>
      <c r="CJ8" s="1433">
        <f t="shared" ref="CJ8" si="20">SUM(CJ9:CJ16)-CJ15</f>
        <v>14300.504623258166</v>
      </c>
      <c r="CK8" s="1434">
        <f>CK9+CK10+CK12+CK13+CK14+CK16</f>
        <v>0</v>
      </c>
      <c r="CL8" s="1432">
        <f t="shared" ref="CL8" si="21">SUM(CL9:CL16)-CL15</f>
        <v>13874.519325460529</v>
      </c>
      <c r="CM8" s="2162">
        <f>SUM(CL8/BU8)</f>
        <v>1.021384980724755</v>
      </c>
      <c r="CN8" s="1433">
        <f t="shared" ref="CN8" si="22">SUM(CN9:CN16)-CN15</f>
        <v>13874.519325460529</v>
      </c>
      <c r="CO8" s="1434">
        <f>CO9+CO10+CO12+CO13+CO14+CO16</f>
        <v>0</v>
      </c>
    </row>
    <row r="9" spans="1:93" ht="21" customHeight="1">
      <c r="A9" s="1340" t="s">
        <v>1</v>
      </c>
      <c r="B9" s="1169">
        <v>1474.6</v>
      </c>
      <c r="C9" s="1360">
        <v>1358.2</v>
      </c>
      <c r="D9" s="1355">
        <f t="shared" si="0"/>
        <v>92.106333921063339</v>
      </c>
      <c r="E9" s="1360">
        <v>1536.5</v>
      </c>
      <c r="F9" s="1355">
        <f t="shared" ref="F9:F30" si="23">E9/C9*100</f>
        <v>113.12766897364158</v>
      </c>
      <c r="G9" s="1360">
        <v>1642.6</v>
      </c>
      <c r="H9" s="1355">
        <f t="shared" si="2"/>
        <v>106.90530426293523</v>
      </c>
      <c r="I9" s="377">
        <f>1775.3*0.9518</f>
        <v>1689.73054</v>
      </c>
      <c r="J9" s="377">
        <v>974.8</v>
      </c>
      <c r="K9" s="377">
        <v>1253.0999999999999</v>
      </c>
      <c r="L9" s="377">
        <v>1864.4</v>
      </c>
      <c r="M9" s="1361">
        <f t="shared" ref="M9:M60" si="24">L9/G9*100</f>
        <v>113.50298307561184</v>
      </c>
      <c r="N9" s="377">
        <v>2192.4</v>
      </c>
      <c r="O9" s="1362">
        <f t="shared" ref="O9:O55" si="25">N9/I9*100</f>
        <v>129.74849824280267</v>
      </c>
      <c r="P9" s="377" t="e">
        <f>электр!AC14</f>
        <v>#REF!</v>
      </c>
      <c r="Q9" s="1361" t="e">
        <f t="shared" ref="Q9:Q63" si="26">P9/I9*100</f>
        <v>#REF!</v>
      </c>
      <c r="R9" s="1361" t="e">
        <f t="shared" ref="R9:R26" si="27">P9/L9*100</f>
        <v>#REF!</v>
      </c>
      <c r="S9" s="377">
        <v>2037.2</v>
      </c>
      <c r="T9" s="377"/>
      <c r="U9" s="377">
        <v>1316.9</v>
      </c>
      <c r="V9" s="1136"/>
      <c r="W9" s="1296">
        <v>2285.4</v>
      </c>
      <c r="X9" s="1786"/>
      <c r="Y9" s="1050">
        <f>электр!Q52</f>
        <v>2047.0527990000001</v>
      </c>
      <c r="Z9" s="1009">
        <f>Y9</f>
        <v>2047.0527990000001</v>
      </c>
      <c r="AA9" s="1047">
        <v>0</v>
      </c>
      <c r="AB9" s="1050">
        <f>SUM(электр!AG52)</f>
        <v>1542.6</v>
      </c>
      <c r="AC9" s="1009">
        <f>AB9</f>
        <v>1542.6</v>
      </c>
      <c r="AD9" s="1047">
        <v>0</v>
      </c>
      <c r="AE9" s="1050">
        <v>2169.88</v>
      </c>
      <c r="AF9" s="1009">
        <f t="shared" ref="AF9:AF67" si="28">SUM(AE9/Y9)</f>
        <v>1.0600019701787868</v>
      </c>
      <c r="AG9" s="1009">
        <v>2169.88</v>
      </c>
      <c r="AH9" s="1047">
        <v>0</v>
      </c>
      <c r="AI9" s="1050">
        <f>электр!AN52</f>
        <v>1886.3204777318492</v>
      </c>
      <c r="AJ9" s="1009">
        <f t="shared" ref="AJ9:AJ67" si="29">SUM(AI9/Y9)</f>
        <v>0.92148110622907742</v>
      </c>
      <c r="AK9" s="1009">
        <f>AI9</f>
        <v>1886.3204777318492</v>
      </c>
      <c r="AL9" s="1047">
        <f>AA9*1.084</f>
        <v>0</v>
      </c>
      <c r="AM9" s="1331" t="e">
        <f>#REF!</f>
        <v>#REF!</v>
      </c>
      <c r="AN9" s="1334">
        <v>0</v>
      </c>
      <c r="AO9" s="1363" t="e">
        <f t="shared" ref="AO9:AO67" si="30">AM9+AN9</f>
        <v>#REF!</v>
      </c>
      <c r="AP9" s="1050">
        <f>SUM(электр!AT52)</f>
        <v>732.2</v>
      </c>
      <c r="AQ9" s="1009">
        <f>SUM(AP9)</f>
        <v>732.2</v>
      </c>
      <c r="AR9" s="1047">
        <v>0</v>
      </c>
      <c r="AS9" s="1050">
        <f>SUM(электр!AW52)</f>
        <v>972.9</v>
      </c>
      <c r="AT9" s="1009">
        <f>SUM(AS9)</f>
        <v>972.9</v>
      </c>
      <c r="AU9" s="1047">
        <v>0</v>
      </c>
      <c r="AV9" s="1050">
        <v>1384.79</v>
      </c>
      <c r="AW9" s="1009">
        <f>SUM(AV9)</f>
        <v>1384.79</v>
      </c>
      <c r="AX9" s="1047">
        <v>0</v>
      </c>
      <c r="AY9" s="1050">
        <v>1999.86</v>
      </c>
      <c r="AZ9" s="1114">
        <f>SUM(AY9/AI9)</f>
        <v>1.060191003389134</v>
      </c>
      <c r="BA9" s="1009">
        <f>SUM(AY9)</f>
        <v>1999.86</v>
      </c>
      <c r="BB9" s="1047">
        <v>0</v>
      </c>
      <c r="BC9" s="1050">
        <f>SUM(электр!BD52)</f>
        <v>1609.8565618924345</v>
      </c>
      <c r="BD9" s="1302">
        <f>SUM(BC9/AI9)</f>
        <v>0.85343746245503271</v>
      </c>
      <c r="BE9" s="1009">
        <f>SUM(BC9)</f>
        <v>1609.8565618924345</v>
      </c>
      <c r="BF9" s="1047">
        <v>0</v>
      </c>
      <c r="BG9" s="1973" t="s">
        <v>1515</v>
      </c>
      <c r="BH9" s="1050">
        <f>SUM(электр!BM52)</f>
        <v>398.75</v>
      </c>
      <c r="BI9" s="1009">
        <f>SUM(BH9)</f>
        <v>398.75</v>
      </c>
      <c r="BJ9" s="1047">
        <v>0</v>
      </c>
      <c r="BK9" s="1050">
        <f>SUM(электр!BP52)</f>
        <v>513.78</v>
      </c>
      <c r="BL9" s="1009">
        <f>SUM(BK9)</f>
        <v>513.78</v>
      </c>
      <c r="BM9" s="1047">
        <v>0</v>
      </c>
      <c r="BN9" s="1050">
        <f>SUM(электр!BS52)</f>
        <v>698.03</v>
      </c>
      <c r="BO9" s="1009">
        <f>SUM(BN9)</f>
        <v>698.03</v>
      </c>
      <c r="BP9" s="1047">
        <v>0</v>
      </c>
      <c r="BQ9" s="1050">
        <f>SUM('электр 2017-2018'!CH52)</f>
        <v>1647.6715686052219</v>
      </c>
      <c r="BR9" s="2165">
        <f>SUM(BQ9/BC9)</f>
        <v>1.0234896745510884</v>
      </c>
      <c r="BS9" s="1009">
        <f>SUM(BQ9)</f>
        <v>1647.6715686052219</v>
      </c>
      <c r="BT9" s="1047">
        <v>0</v>
      </c>
      <c r="BU9" s="1050">
        <f>SUM(электр!BZ52)</f>
        <v>1566.52</v>
      </c>
      <c r="BV9" s="3822">
        <f t="shared" ref="BV9:BV67" si="31">SUM(BU9/BC9)</f>
        <v>0.97308048249870716</v>
      </c>
      <c r="BW9" s="1009">
        <f>SUM(BU9)</f>
        <v>1566.52</v>
      </c>
      <c r="BX9" s="1047">
        <v>0</v>
      </c>
      <c r="BY9" s="3951">
        <f>SUM(BZ9)</f>
        <v>414.56</v>
      </c>
      <c r="BZ9" s="3952">
        <v>414.56</v>
      </c>
      <c r="CA9" s="3952">
        <v>0</v>
      </c>
      <c r="CB9" s="3952">
        <v>612.55999999999995</v>
      </c>
      <c r="CC9" s="3952">
        <f>SUM(CB9)</f>
        <v>612.55999999999995</v>
      </c>
      <c r="CD9" s="3952">
        <v>0</v>
      </c>
      <c r="CE9" s="3952">
        <f>SUM(CB9*1.36126159832)</f>
        <v>833.8544046668992</v>
      </c>
      <c r="CF9" s="3952">
        <f>SUM(CE9)</f>
        <v>833.8544046668992</v>
      </c>
      <c r="CG9" s="3606">
        <v>0</v>
      </c>
      <c r="CH9" s="1050">
        <f>SUM(электр!CO52)</f>
        <v>1654.7553628200001</v>
      </c>
      <c r="CI9" s="3978">
        <f t="shared" ref="CI9:CI67" si="32">SUM(CH9/BU9)</f>
        <v>1.0563257173990757</v>
      </c>
      <c r="CJ9" s="1009">
        <f>SUM(CH9)</f>
        <v>1654.7553628200001</v>
      </c>
      <c r="CK9" s="1047">
        <v>0</v>
      </c>
      <c r="CL9" s="1050">
        <f>SUM(электр!CS52)</f>
        <v>1652.3743028725801</v>
      </c>
      <c r="CM9" s="4017">
        <f t="shared" ref="CM9:CM67" si="33">SUM(CL9/BU9)</f>
        <v>1.0548057496058654</v>
      </c>
      <c r="CN9" s="1009">
        <f>SUM(CL9)</f>
        <v>1652.3743028725801</v>
      </c>
      <c r="CO9" s="1047">
        <v>0</v>
      </c>
    </row>
    <row r="10" spans="1:93" ht="21" customHeight="1">
      <c r="A10" s="1340" t="s">
        <v>2</v>
      </c>
      <c r="B10" s="1169">
        <v>207.4</v>
      </c>
      <c r="C10" s="1360">
        <v>234.2</v>
      </c>
      <c r="D10" s="1355">
        <f t="shared" si="0"/>
        <v>112.92189006750239</v>
      </c>
      <c r="E10" s="1360">
        <v>211</v>
      </c>
      <c r="F10" s="1355">
        <f t="shared" si="23"/>
        <v>90.093936806148605</v>
      </c>
      <c r="G10" s="1360">
        <v>222</v>
      </c>
      <c r="H10" s="1355">
        <f t="shared" si="2"/>
        <v>105.21327014218009</v>
      </c>
      <c r="I10" s="377">
        <v>206.5</v>
      </c>
      <c r="J10" s="377">
        <v>112.2</v>
      </c>
      <c r="K10" s="377">
        <v>181.3</v>
      </c>
      <c r="L10" s="377">
        <v>247.9</v>
      </c>
      <c r="M10" s="1361">
        <f t="shared" si="24"/>
        <v>111.66666666666667</v>
      </c>
      <c r="N10" s="377">
        <v>216.83</v>
      </c>
      <c r="O10" s="1362">
        <f t="shared" si="25"/>
        <v>105.00242130750605</v>
      </c>
      <c r="P10" s="377">
        <v>206.5</v>
      </c>
      <c r="Q10" s="1361">
        <f t="shared" si="26"/>
        <v>100</v>
      </c>
      <c r="R10" s="1361">
        <f t="shared" si="27"/>
        <v>83.299717628075825</v>
      </c>
      <c r="S10" s="377">
        <v>206.5</v>
      </c>
      <c r="T10" s="377"/>
      <c r="U10" s="377">
        <v>192.7</v>
      </c>
      <c r="V10" s="1136"/>
      <c r="W10" s="1296">
        <v>267.89999999999998</v>
      </c>
      <c r="X10" s="1786"/>
      <c r="Y10" s="1050">
        <f>Аморт!G26</f>
        <v>256.93</v>
      </c>
      <c r="Z10" s="1009">
        <f t="shared" ref="Z10:Z16" si="34">Y10</f>
        <v>256.93</v>
      </c>
      <c r="AA10" s="1047">
        <v>0</v>
      </c>
      <c r="AB10" s="1050">
        <f>SUM(Аморт!L26)</f>
        <v>275.8</v>
      </c>
      <c r="AC10" s="1009">
        <f t="shared" ref="AC10" si="35">AB10</f>
        <v>275.8</v>
      </c>
      <c r="AD10" s="1047">
        <v>0</v>
      </c>
      <c r="AE10" s="1050">
        <v>273.60000000000002</v>
      </c>
      <c r="AF10" s="1009">
        <f t="shared" si="28"/>
        <v>1.0648814852294399</v>
      </c>
      <c r="AG10" s="1009">
        <v>273.60000000000002</v>
      </c>
      <c r="AH10" s="1047">
        <v>0</v>
      </c>
      <c r="AI10" s="1050">
        <f>Аморт!O26</f>
        <v>273.60000000000002</v>
      </c>
      <c r="AJ10" s="1009">
        <f t="shared" si="29"/>
        <v>1.0648814852294399</v>
      </c>
      <c r="AK10" s="1009">
        <f>AI10</f>
        <v>273.60000000000002</v>
      </c>
      <c r="AL10" s="1047"/>
      <c r="AM10" s="1331" t="e">
        <f>#REF!</f>
        <v>#REF!</v>
      </c>
      <c r="AN10" s="1334">
        <v>0</v>
      </c>
      <c r="AO10" s="1363" t="e">
        <f t="shared" si="30"/>
        <v>#REF!</v>
      </c>
      <c r="AP10" s="1050">
        <f>SUM(Аморт!Q26)</f>
        <v>189.68</v>
      </c>
      <c r="AQ10" s="1009">
        <f t="shared" ref="AQ10" si="36">AP10</f>
        <v>189.68</v>
      </c>
      <c r="AR10" s="1047">
        <v>0</v>
      </c>
      <c r="AS10" s="1050">
        <f>SUM(Аморт!R26)</f>
        <v>307.45999999999998</v>
      </c>
      <c r="AT10" s="1009">
        <f t="shared" ref="AT10" si="37">AS10</f>
        <v>307.45999999999998</v>
      </c>
      <c r="AU10" s="1047">
        <v>0</v>
      </c>
      <c r="AV10" s="1050">
        <v>425.24</v>
      </c>
      <c r="AW10" s="1009">
        <f t="shared" ref="AW10:AW12" si="38">AV10</f>
        <v>425.24</v>
      </c>
      <c r="AX10" s="1047">
        <v>0</v>
      </c>
      <c r="AY10" s="1050">
        <f>SUM(Аморт!U26)</f>
        <v>273.60000000000002</v>
      </c>
      <c r="AZ10" s="1114">
        <f>SUM(AY10/AI10)</f>
        <v>1</v>
      </c>
      <c r="BA10" s="1009">
        <f>SUM(AY10)</f>
        <v>273.60000000000002</v>
      </c>
      <c r="BB10" s="1047">
        <v>0</v>
      </c>
      <c r="BC10" s="1050">
        <f>SUM(Аморт!V26)</f>
        <v>273.60000000000002</v>
      </c>
      <c r="BD10" s="1302">
        <f t="shared" ref="BD10:BD67" si="39">SUM(BC10/AI10)</f>
        <v>1</v>
      </c>
      <c r="BE10" s="1009">
        <f>SUM(BC10)</f>
        <v>273.60000000000002</v>
      </c>
      <c r="BF10" s="1047">
        <v>0</v>
      </c>
      <c r="BG10" s="1973" t="str">
        <f>вода!BK10</f>
        <v>Приложение</v>
      </c>
      <c r="BH10" s="1050">
        <f>SUM(Аморт!AB26)</f>
        <v>247.01</v>
      </c>
      <c r="BI10" s="1009">
        <f t="shared" ref="BI10" si="40">BH10</f>
        <v>247.01</v>
      </c>
      <c r="BJ10" s="1047">
        <v>0</v>
      </c>
      <c r="BK10" s="1050">
        <f>SUM(Аморт!AC26)</f>
        <v>369.43</v>
      </c>
      <c r="BL10" s="1009">
        <f t="shared" ref="BL10" si="41">BK10</f>
        <v>369.43</v>
      </c>
      <c r="BM10" s="1047">
        <v>0</v>
      </c>
      <c r="BN10" s="1050">
        <f>SUM(Аморт!AD26)</f>
        <v>498.59</v>
      </c>
      <c r="BO10" s="1009">
        <f t="shared" ref="BO10" si="42">BN10</f>
        <v>498.59</v>
      </c>
      <c r="BP10" s="1047">
        <v>0</v>
      </c>
      <c r="BQ10" s="1050">
        <f>SUM(Аморт!AE26)</f>
        <v>425.24</v>
      </c>
      <c r="BR10" s="2165">
        <f t="shared" ref="BR10:BR67" si="43">SUM(BQ10/BC10)</f>
        <v>1.5542397660818712</v>
      </c>
      <c r="BS10" s="1009">
        <f>SUM(BQ10)</f>
        <v>425.24</v>
      </c>
      <c r="BT10" s="1047">
        <v>0</v>
      </c>
      <c r="BU10" s="1050">
        <v>422.27</v>
      </c>
      <c r="BV10" s="3822">
        <f t="shared" si="31"/>
        <v>1.5433845029239763</v>
      </c>
      <c r="BW10" s="1009">
        <f>SUM(BU10)</f>
        <v>422.27</v>
      </c>
      <c r="BX10" s="1047">
        <v>0</v>
      </c>
      <c r="BY10" s="3951">
        <f>SUM(BZ10)</f>
        <v>258.36</v>
      </c>
      <c r="BZ10" s="3952">
        <f>SUM(Аморт!AH26)</f>
        <v>258.36</v>
      </c>
      <c r="CA10" s="3952">
        <v>0</v>
      </c>
      <c r="CB10" s="3952">
        <f>SUM(CC10)</f>
        <v>378.83</v>
      </c>
      <c r="CC10" s="3952">
        <f>SUM(Аморт!AI26)</f>
        <v>378.83</v>
      </c>
      <c r="CD10" s="3952">
        <v>0</v>
      </c>
      <c r="CE10" s="3952">
        <f>SUM(CF10)</f>
        <v>505.10666666666663</v>
      </c>
      <c r="CF10" s="3952">
        <f>SUM(Аморт!AJ26)</f>
        <v>505.10666666666663</v>
      </c>
      <c r="CG10" s="3606">
        <v>0</v>
      </c>
      <c r="CH10" s="1050">
        <f>SUM(Аморт!AK26)</f>
        <v>498.59</v>
      </c>
      <c r="CI10" s="3978">
        <f t="shared" si="32"/>
        <v>1.1807374428683071</v>
      </c>
      <c r="CJ10" s="1009">
        <f>SUM(CH10)</f>
        <v>498.59</v>
      </c>
      <c r="CK10" s="1047">
        <v>0</v>
      </c>
      <c r="CL10" s="1050">
        <f>SUM(Аморт!AL26)</f>
        <v>498.59</v>
      </c>
      <c r="CM10" s="4017">
        <f t="shared" si="33"/>
        <v>1.1807374428683071</v>
      </c>
      <c r="CN10" s="1009">
        <f>SUM(CL10)</f>
        <v>498.59</v>
      </c>
      <c r="CO10" s="1047">
        <v>0</v>
      </c>
    </row>
    <row r="11" spans="1:93" ht="21" customHeight="1">
      <c r="A11" s="1340" t="s">
        <v>219</v>
      </c>
      <c r="B11" s="1169"/>
      <c r="C11" s="1360"/>
      <c r="D11" s="1355"/>
      <c r="E11" s="1360"/>
      <c r="F11" s="1355"/>
      <c r="G11" s="1360"/>
      <c r="H11" s="1355"/>
      <c r="I11" s="377"/>
      <c r="J11" s="377"/>
      <c r="K11" s="377">
        <v>31.8</v>
      </c>
      <c r="L11" s="377">
        <v>31.8</v>
      </c>
      <c r="M11" s="1361"/>
      <c r="N11" s="377"/>
      <c r="O11" s="1362"/>
      <c r="P11" s="377"/>
      <c r="Q11" s="1361"/>
      <c r="R11" s="1361"/>
      <c r="S11" s="377"/>
      <c r="T11" s="377"/>
      <c r="U11" s="377"/>
      <c r="V11" s="1136"/>
      <c r="W11" s="1296">
        <v>0</v>
      </c>
      <c r="X11" s="1786"/>
      <c r="Y11" s="1050">
        <v>0</v>
      </c>
      <c r="Z11" s="1009">
        <f t="shared" si="34"/>
        <v>0</v>
      </c>
      <c r="AA11" s="1047">
        <v>0</v>
      </c>
      <c r="AB11" s="1050">
        <v>0</v>
      </c>
      <c r="AC11" s="1009">
        <v>0</v>
      </c>
      <c r="AD11" s="1047">
        <v>0</v>
      </c>
      <c r="AE11" s="1050">
        <v>0</v>
      </c>
      <c r="AF11" s="1009"/>
      <c r="AG11" s="1009">
        <v>0</v>
      </c>
      <c r="AH11" s="1047">
        <v>0</v>
      </c>
      <c r="AI11" s="1050">
        <f>Y11</f>
        <v>0</v>
      </c>
      <c r="AJ11" s="1009"/>
      <c r="AK11" s="1009">
        <f>Z11</f>
        <v>0</v>
      </c>
      <c r="AL11" s="1047">
        <f>AA11</f>
        <v>0</v>
      </c>
      <c r="AM11" s="1331" t="e">
        <f>#REF!</f>
        <v>#REF!</v>
      </c>
      <c r="AN11" s="1334">
        <v>0</v>
      </c>
      <c r="AO11" s="1363" t="e">
        <f t="shared" si="30"/>
        <v>#REF!</v>
      </c>
      <c r="AP11" s="1050">
        <v>0</v>
      </c>
      <c r="AQ11" s="1009">
        <v>0</v>
      </c>
      <c r="AR11" s="1047">
        <v>0</v>
      </c>
      <c r="AS11" s="1050">
        <v>0</v>
      </c>
      <c r="AT11" s="1009">
        <v>0</v>
      </c>
      <c r="AU11" s="1047">
        <v>0</v>
      </c>
      <c r="AV11" s="1050">
        <v>0</v>
      </c>
      <c r="AW11" s="1009">
        <v>0</v>
      </c>
      <c r="AX11" s="1047">
        <v>0</v>
      </c>
      <c r="AY11" s="1050">
        <v>0</v>
      </c>
      <c r="AZ11" s="1114">
        <v>0</v>
      </c>
      <c r="BA11" s="1009">
        <v>0</v>
      </c>
      <c r="BB11" s="1047">
        <v>0</v>
      </c>
      <c r="BC11" s="1050">
        <v>0</v>
      </c>
      <c r="BD11" s="1302">
        <v>0</v>
      </c>
      <c r="BE11" s="1009">
        <v>0</v>
      </c>
      <c r="BF11" s="1047">
        <v>0</v>
      </c>
      <c r="BG11" s="1974"/>
      <c r="BH11" s="1050">
        <v>0</v>
      </c>
      <c r="BI11" s="1009">
        <v>0</v>
      </c>
      <c r="BJ11" s="1047">
        <v>0</v>
      </c>
      <c r="BK11" s="1050">
        <v>0</v>
      </c>
      <c r="BL11" s="1009">
        <v>0</v>
      </c>
      <c r="BM11" s="1047">
        <v>0</v>
      </c>
      <c r="BN11" s="1050">
        <v>0</v>
      </c>
      <c r="BO11" s="1009">
        <v>0</v>
      </c>
      <c r="BP11" s="1047">
        <v>0</v>
      </c>
      <c r="BQ11" s="1050">
        <v>0</v>
      </c>
      <c r="BR11" s="2165"/>
      <c r="BS11" s="1009">
        <v>0</v>
      </c>
      <c r="BT11" s="1047">
        <v>0</v>
      </c>
      <c r="BU11" s="1050">
        <v>0</v>
      </c>
      <c r="BV11" s="3822"/>
      <c r="BW11" s="1009">
        <v>0</v>
      </c>
      <c r="BX11" s="1047">
        <v>0</v>
      </c>
      <c r="BY11" s="3951">
        <f t="shared" ref="BY11:BY16" si="44">SUM(BZ11)</f>
        <v>0</v>
      </c>
      <c r="BZ11" s="3952">
        <v>0</v>
      </c>
      <c r="CA11" s="3952">
        <v>0</v>
      </c>
      <c r="CB11" s="3952">
        <v>0</v>
      </c>
      <c r="CC11" s="3952">
        <v>0</v>
      </c>
      <c r="CD11" s="3952">
        <v>0</v>
      </c>
      <c r="CE11" s="3952">
        <v>0</v>
      </c>
      <c r="CF11" s="3952">
        <v>0</v>
      </c>
      <c r="CG11" s="3606">
        <v>0</v>
      </c>
      <c r="CH11" s="1050">
        <v>0</v>
      </c>
      <c r="CI11" s="3978"/>
      <c r="CJ11" s="1009">
        <v>0</v>
      </c>
      <c r="CK11" s="1047">
        <v>0</v>
      </c>
      <c r="CL11" s="1050">
        <v>0</v>
      </c>
      <c r="CM11" s="4017"/>
      <c r="CN11" s="1009">
        <v>0</v>
      </c>
      <c r="CO11" s="1047">
        <v>0</v>
      </c>
    </row>
    <row r="12" spans="1:93" ht="29.25" customHeight="1">
      <c r="A12" s="1340" t="s">
        <v>3</v>
      </c>
      <c r="B12" s="1169">
        <v>201.5</v>
      </c>
      <c r="C12" s="1360">
        <v>136.69999999999999</v>
      </c>
      <c r="D12" s="1355">
        <f t="shared" si="0"/>
        <v>67.84119106699751</v>
      </c>
      <c r="E12" s="1360">
        <v>189</v>
      </c>
      <c r="F12" s="1355">
        <f t="shared" si="23"/>
        <v>138.25896122896856</v>
      </c>
      <c r="G12" s="1360">
        <v>244.1</v>
      </c>
      <c r="H12" s="1355">
        <f t="shared" si="2"/>
        <v>129.15343915343917</v>
      </c>
      <c r="I12" s="377">
        <v>430</v>
      </c>
      <c r="J12" s="377">
        <v>33.4</v>
      </c>
      <c r="K12" s="377">
        <v>329.8</v>
      </c>
      <c r="L12" s="377">
        <v>427</v>
      </c>
      <c r="M12" s="1361">
        <f t="shared" si="24"/>
        <v>174.92830807046295</v>
      </c>
      <c r="N12" s="377">
        <v>473</v>
      </c>
      <c r="O12" s="1362">
        <f t="shared" si="25"/>
        <v>110.00000000000001</v>
      </c>
      <c r="P12" s="377">
        <v>451</v>
      </c>
      <c r="Q12" s="1361">
        <f t="shared" si="26"/>
        <v>104.88372093023256</v>
      </c>
      <c r="R12" s="1361">
        <f t="shared" si="27"/>
        <v>105.62060889929742</v>
      </c>
      <c r="S12" s="377">
        <v>451.07</v>
      </c>
      <c r="T12" s="377"/>
      <c r="U12" s="377">
        <v>242.4</v>
      </c>
      <c r="V12" s="1136"/>
      <c r="W12" s="1296">
        <v>484</v>
      </c>
      <c r="X12" s="1786"/>
      <c r="Y12" s="1050">
        <f>U12/3*4*1.048</f>
        <v>338.71359999999999</v>
      </c>
      <c r="Z12" s="1009">
        <f t="shared" si="34"/>
        <v>338.71359999999999</v>
      </c>
      <c r="AA12" s="1047">
        <v>0</v>
      </c>
      <c r="AB12" s="1050">
        <f>SUM(AC12:AD12)</f>
        <v>152.4</v>
      </c>
      <c r="AC12" s="1009">
        <v>152.4</v>
      </c>
      <c r="AD12" s="1047">
        <v>0</v>
      </c>
      <c r="AE12" s="1050">
        <v>320</v>
      </c>
      <c r="AF12" s="1009">
        <f t="shared" si="28"/>
        <v>0.94475096364598299</v>
      </c>
      <c r="AG12" s="1009">
        <v>320</v>
      </c>
      <c r="AH12" s="1047">
        <v>0</v>
      </c>
      <c r="AI12" s="1050">
        <v>0</v>
      </c>
      <c r="AJ12" s="1009"/>
      <c r="AK12" s="1009">
        <f>AI12</f>
        <v>0</v>
      </c>
      <c r="AL12" s="1047">
        <f>AA12*1.046</f>
        <v>0</v>
      </c>
      <c r="AM12" s="1331" t="e">
        <f>#REF!</f>
        <v>#REF!</v>
      </c>
      <c r="AN12" s="1334">
        <v>0</v>
      </c>
      <c r="AO12" s="1363" t="e">
        <f t="shared" si="30"/>
        <v>#REF!</v>
      </c>
      <c r="AP12" s="1050">
        <f>SUM(AQ12:AR12)</f>
        <v>0</v>
      </c>
      <c r="AQ12" s="1009">
        <v>0</v>
      </c>
      <c r="AR12" s="1047">
        <v>0</v>
      </c>
      <c r="AS12" s="1050">
        <f>SUM(AT12:AU12)</f>
        <v>0</v>
      </c>
      <c r="AT12" s="1009">
        <v>0</v>
      </c>
      <c r="AU12" s="1047">
        <v>0</v>
      </c>
      <c r="AV12" s="1050">
        <v>139.24</v>
      </c>
      <c r="AW12" s="1009">
        <f t="shared" si="38"/>
        <v>139.24</v>
      </c>
      <c r="AX12" s="1047">
        <v>0</v>
      </c>
      <c r="AY12" s="1050">
        <f>SUM(BA12:BB12)</f>
        <v>152.4</v>
      </c>
      <c r="AZ12" s="1114"/>
      <c r="BA12" s="1009">
        <f>SUM(AC12)</f>
        <v>152.4</v>
      </c>
      <c r="BB12" s="1047">
        <v>0</v>
      </c>
      <c r="BC12" s="1050">
        <f>SUM(BE12:BF12)</f>
        <v>0</v>
      </c>
      <c r="BD12" s="1302">
        <v>0</v>
      </c>
      <c r="BE12" s="1009">
        <v>0</v>
      </c>
      <c r="BF12" s="1047">
        <v>0</v>
      </c>
      <c r="BG12" s="1973" t="str">
        <f>вода!BK12</f>
        <v>Выполнять за счет амортизации</v>
      </c>
      <c r="BH12" s="1050">
        <f>SUM(BI12:BJ12)</f>
        <v>265.85000000000002</v>
      </c>
      <c r="BI12" s="1009">
        <v>265.85000000000002</v>
      </c>
      <c r="BJ12" s="1047">
        <v>0</v>
      </c>
      <c r="BK12" s="1050">
        <f>SUM(BL12:BM12)</f>
        <v>414.09</v>
      </c>
      <c r="BL12" s="1009">
        <v>414.09</v>
      </c>
      <c r="BM12" s="1047">
        <v>0</v>
      </c>
      <c r="BN12" s="1050">
        <f>SUM(BO12:BP12)</f>
        <v>441.31</v>
      </c>
      <c r="BO12" s="1009">
        <v>441.31</v>
      </c>
      <c r="BP12" s="1047">
        <v>0</v>
      </c>
      <c r="BQ12" s="1050">
        <f>SUM(AV12/2)</f>
        <v>69.62</v>
      </c>
      <c r="BR12" s="2165"/>
      <c r="BS12" s="1009">
        <f>SUM(BQ12)</f>
        <v>69.62</v>
      </c>
      <c r="BT12" s="1047">
        <v>0</v>
      </c>
      <c r="BU12" s="1050">
        <f>SUM(BW12:BX12)</f>
        <v>0</v>
      </c>
      <c r="BV12" s="3822"/>
      <c r="BW12" s="1009">
        <v>0</v>
      </c>
      <c r="BX12" s="1047">
        <v>0</v>
      </c>
      <c r="BY12" s="3951">
        <f t="shared" si="44"/>
        <v>187.5</v>
      </c>
      <c r="BZ12" s="3952">
        <v>187.5</v>
      </c>
      <c r="CA12" s="3952">
        <v>0</v>
      </c>
      <c r="CB12" s="3952">
        <f>SUM(CC12:CD12)</f>
        <v>284.06</v>
      </c>
      <c r="CC12" s="3952">
        <v>284.06</v>
      </c>
      <c r="CD12" s="3952">
        <v>0</v>
      </c>
      <c r="CE12" s="3952">
        <f>SUM(CF12:CG12)</f>
        <v>378.74666666666667</v>
      </c>
      <c r="CF12" s="3952">
        <f>SUM(CB12/9*12)</f>
        <v>378.74666666666667</v>
      </c>
      <c r="CG12" s="3606">
        <v>0</v>
      </c>
      <c r="CH12" s="1050">
        <v>0</v>
      </c>
      <c r="CI12" s="3978"/>
      <c r="CJ12" s="1009">
        <f>SUM(CH12)</f>
        <v>0</v>
      </c>
      <c r="CK12" s="1047">
        <v>0</v>
      </c>
      <c r="CL12" s="1050">
        <v>0</v>
      </c>
      <c r="CM12" s="4017"/>
      <c r="CN12" s="1009">
        <f>SUM(CL12)</f>
        <v>0</v>
      </c>
      <c r="CO12" s="1047">
        <v>0</v>
      </c>
    </row>
    <row r="13" spans="1:93" ht="21" customHeight="1">
      <c r="A13" s="1340" t="s">
        <v>4</v>
      </c>
      <c r="B13" s="1169">
        <v>4232.3999999999996</v>
      </c>
      <c r="C13" s="1360">
        <v>5099.2</v>
      </c>
      <c r="D13" s="1355">
        <f t="shared" si="0"/>
        <v>120.48010585010869</v>
      </c>
      <c r="E13" s="1360">
        <v>5650.1</v>
      </c>
      <c r="F13" s="1355">
        <f t="shared" si="23"/>
        <v>110.8036554753687</v>
      </c>
      <c r="G13" s="1360">
        <v>6020.2</v>
      </c>
      <c r="H13" s="1355">
        <f t="shared" si="2"/>
        <v>106.55032654289303</v>
      </c>
      <c r="I13" s="377">
        <v>6748.7</v>
      </c>
      <c r="J13" s="377">
        <v>3090.2</v>
      </c>
      <c r="K13" s="377">
        <v>4364.5</v>
      </c>
      <c r="L13" s="377">
        <v>6047.4</v>
      </c>
      <c r="M13" s="1361">
        <f t="shared" si="24"/>
        <v>100.45181223215177</v>
      </c>
      <c r="N13" s="377">
        <v>8605.1</v>
      </c>
      <c r="O13" s="1362">
        <f t="shared" si="25"/>
        <v>127.50751996680843</v>
      </c>
      <c r="P13" s="377">
        <f>ЗП!AP15</f>
        <v>7227.8576999999987</v>
      </c>
      <c r="Q13" s="1361">
        <f t="shared" si="26"/>
        <v>107.09999999999997</v>
      </c>
      <c r="R13" s="1361">
        <f t="shared" si="27"/>
        <v>119.52008631808711</v>
      </c>
      <c r="S13" s="377">
        <v>7227.9</v>
      </c>
      <c r="T13" s="377"/>
      <c r="U13" s="377">
        <v>5255.2</v>
      </c>
      <c r="V13" s="1136"/>
      <c r="W13" s="1296">
        <v>9055.6</v>
      </c>
      <c r="X13" s="1786"/>
      <c r="Y13" s="1050">
        <f>ЗП!U30</f>
        <v>6614.9353670399987</v>
      </c>
      <c r="Z13" s="1009">
        <f t="shared" si="34"/>
        <v>6614.9353670399987</v>
      </c>
      <c r="AA13" s="1047">
        <v>0</v>
      </c>
      <c r="AB13" s="1050">
        <v>6921.7</v>
      </c>
      <c r="AC13" s="1009">
        <f>SUM(AB13)</f>
        <v>6921.7</v>
      </c>
      <c r="AD13" s="1047">
        <v>0</v>
      </c>
      <c r="AE13" s="1050">
        <v>9055.6</v>
      </c>
      <c r="AF13" s="1009">
        <f t="shared" si="28"/>
        <v>1.3689627331993315</v>
      </c>
      <c r="AG13" s="1009">
        <v>9055.6</v>
      </c>
      <c r="AH13" s="1047">
        <v>0</v>
      </c>
      <c r="AI13" s="1050">
        <f>ЗП!BB30</f>
        <v>7848.1866666666683</v>
      </c>
      <c r="AJ13" s="1009">
        <f t="shared" si="29"/>
        <v>1.1864343687727543</v>
      </c>
      <c r="AK13" s="1009">
        <f>AI13</f>
        <v>7848.1866666666683</v>
      </c>
      <c r="AL13" s="1047">
        <f>AA13*1.05</f>
        <v>0</v>
      </c>
      <c r="AM13" s="1331" t="e">
        <f>#REF!</f>
        <v>#REF!</v>
      </c>
      <c r="AN13" s="1334">
        <v>0</v>
      </c>
      <c r="AO13" s="1363" t="e">
        <f t="shared" si="30"/>
        <v>#REF!</v>
      </c>
      <c r="AP13" s="1050">
        <f>SUM(ЗП!BG30)</f>
        <v>3420.4</v>
      </c>
      <c r="AQ13" s="1009">
        <f>SUM(AP13)</f>
        <v>3420.4</v>
      </c>
      <c r="AR13" s="1047">
        <v>0</v>
      </c>
      <c r="AS13" s="1050">
        <f>SUM(ЗП!BK30)</f>
        <v>5249.4</v>
      </c>
      <c r="AT13" s="1009">
        <f>SUM(AS13)</f>
        <v>5249.4</v>
      </c>
      <c r="AU13" s="1047">
        <v>0</v>
      </c>
      <c r="AV13" s="1050">
        <v>7065.88</v>
      </c>
      <c r="AW13" s="1009">
        <f>SUM(AV13)</f>
        <v>7065.88</v>
      </c>
      <c r="AX13" s="1047">
        <v>0</v>
      </c>
      <c r="AY13" s="1050">
        <v>8965.0400000000009</v>
      </c>
      <c r="AZ13" s="1114">
        <f t="shared" ref="AZ13:AZ67" si="45">SUM(AY13/AI13)</f>
        <v>1.1423071826358189</v>
      </c>
      <c r="BA13" s="1009">
        <f>SUM(AY13)</f>
        <v>8965.0400000000009</v>
      </c>
      <c r="BB13" s="1047">
        <v>0</v>
      </c>
      <c r="BC13" s="1050">
        <f>SUM(ЗП!BW30)</f>
        <v>7857.3839999999982</v>
      </c>
      <c r="BD13" s="1302">
        <f t="shared" si="39"/>
        <v>1.0011719055272212</v>
      </c>
      <c r="BE13" s="1009">
        <f>SUM(BC13)</f>
        <v>7857.3839999999982</v>
      </c>
      <c r="BF13" s="1047">
        <v>0</v>
      </c>
      <c r="BG13" s="1973" t="str">
        <f>вода!BK13</f>
        <v>Приложение</v>
      </c>
      <c r="BH13" s="1050">
        <f>SUM(BI13:BJ13)</f>
        <v>3703.05</v>
      </c>
      <c r="BI13" s="1009">
        <f>SUM(ЗП!CB30)</f>
        <v>3703.05</v>
      </c>
      <c r="BJ13" s="1047">
        <v>0</v>
      </c>
      <c r="BK13" s="1050">
        <f>SUM(BL13:BM13)</f>
        <v>5833.01</v>
      </c>
      <c r="BL13" s="1009">
        <f>SUM(ЗП!CF30)</f>
        <v>5833.01</v>
      </c>
      <c r="BM13" s="1047">
        <v>0</v>
      </c>
      <c r="BN13" s="1050">
        <f>SUM(BO13:BP13)</f>
        <v>7796.33</v>
      </c>
      <c r="BO13" s="1009">
        <f>SUM(ЗП!CJ30)</f>
        <v>7796.33</v>
      </c>
      <c r="BP13" s="1047">
        <v>0</v>
      </c>
      <c r="BQ13" s="1050">
        <f>SUM(ЗП!CN30)</f>
        <v>8643.1223999999984</v>
      </c>
      <c r="BR13" s="2165">
        <f t="shared" si="43"/>
        <v>1.1000000000000001</v>
      </c>
      <c r="BS13" s="1009">
        <f>SUM(BQ13)</f>
        <v>8643.1223999999984</v>
      </c>
      <c r="BT13" s="1047">
        <v>0</v>
      </c>
      <c r="BU13" s="1050">
        <f>SUM(ЗП!CR30)</f>
        <v>8331.1056813599971</v>
      </c>
      <c r="BV13" s="3822">
        <f t="shared" si="31"/>
        <v>1.06029</v>
      </c>
      <c r="BW13" s="1009">
        <f>SUM(BU13)</f>
        <v>8331.1056813599971</v>
      </c>
      <c r="BX13" s="1047">
        <v>0</v>
      </c>
      <c r="BY13" s="3951">
        <f t="shared" si="44"/>
        <v>4128.25</v>
      </c>
      <c r="BZ13" s="3952">
        <f>SUM(ЗП!CV30)</f>
        <v>4128.25</v>
      </c>
      <c r="CA13" s="3952">
        <v>0</v>
      </c>
      <c r="CB13" s="3952">
        <f>SUM(CC13:CD13)</f>
        <v>6165.74</v>
      </c>
      <c r="CC13" s="3952">
        <f>SUM(ЗП!CY30)</f>
        <v>6165.74</v>
      </c>
      <c r="CD13" s="3952">
        <v>0</v>
      </c>
      <c r="CE13" s="3952">
        <f>SUM(CF13:CG13)</f>
        <v>8203.23</v>
      </c>
      <c r="CF13" s="3952">
        <f>SUM(ЗП!DB30)</f>
        <v>8203.23</v>
      </c>
      <c r="CG13" s="3606">
        <v>0</v>
      </c>
      <c r="CH13" s="1050">
        <f>SUM(ЗП!DE30)</f>
        <v>8726.1667127700894</v>
      </c>
      <c r="CI13" s="3978">
        <f t="shared" si="32"/>
        <v>1.0474200000000002</v>
      </c>
      <c r="CJ13" s="1009">
        <f>SUM(CH13)</f>
        <v>8726.1667127700894</v>
      </c>
      <c r="CK13" s="1047">
        <v>0</v>
      </c>
      <c r="CL13" s="1050">
        <f>SUM(ЗП!DI30)</f>
        <v>8769.797546333939</v>
      </c>
      <c r="CM13" s="4017">
        <f t="shared" si="33"/>
        <v>1.0526571</v>
      </c>
      <c r="CN13" s="1009">
        <f>SUM(CL13)</f>
        <v>8769.797546333939</v>
      </c>
      <c r="CO13" s="1047">
        <v>0</v>
      </c>
    </row>
    <row r="14" spans="1:93" ht="28.5" customHeight="1">
      <c r="A14" s="1340" t="s">
        <v>121</v>
      </c>
      <c r="B14" s="1169">
        <v>1085</v>
      </c>
      <c r="C14" s="1360">
        <v>1303.3</v>
      </c>
      <c r="D14" s="1355">
        <f t="shared" si="0"/>
        <v>120.11981566820276</v>
      </c>
      <c r="E14" s="1360">
        <v>1422.5</v>
      </c>
      <c r="F14" s="1355">
        <f t="shared" si="23"/>
        <v>109.14601396455153</v>
      </c>
      <c r="G14" s="1360">
        <v>1998.5</v>
      </c>
      <c r="H14" s="1355">
        <f t="shared" si="2"/>
        <v>140.49209138840069</v>
      </c>
      <c r="I14" s="377">
        <f>I13*30.2/100</f>
        <v>2038.1073999999999</v>
      </c>
      <c r="J14" s="377">
        <v>1023.4</v>
      </c>
      <c r="K14" s="377">
        <v>1279.4000000000001</v>
      </c>
      <c r="L14" s="377">
        <v>1818.2</v>
      </c>
      <c r="M14" s="1361">
        <f t="shared" si="24"/>
        <v>90.978233675256448</v>
      </c>
      <c r="N14" s="377">
        <v>2598.6999999999998</v>
      </c>
      <c r="O14" s="1362">
        <f t="shared" si="25"/>
        <v>127.50554754867187</v>
      </c>
      <c r="P14" s="377">
        <f>P13*30.2/100</f>
        <v>2182.8130253999993</v>
      </c>
      <c r="Q14" s="1361">
        <f t="shared" si="26"/>
        <v>107.09999999999997</v>
      </c>
      <c r="R14" s="1361">
        <f t="shared" si="27"/>
        <v>120.05351586184135</v>
      </c>
      <c r="S14" s="377">
        <f>S13*30.2/100</f>
        <v>2182.8258000000001</v>
      </c>
      <c r="T14" s="377"/>
      <c r="U14" s="377">
        <v>1570.4</v>
      </c>
      <c r="V14" s="1136"/>
      <c r="W14" s="1296">
        <v>2734.79</v>
      </c>
      <c r="X14" s="1786"/>
      <c r="Y14" s="1050">
        <f>Y13*U15</f>
        <v>1976.7267659460372</v>
      </c>
      <c r="Z14" s="1009">
        <f t="shared" si="34"/>
        <v>1976.7267659460372</v>
      </c>
      <c r="AA14" s="1047">
        <v>0</v>
      </c>
      <c r="AB14" s="1050">
        <v>2065.6999999999998</v>
      </c>
      <c r="AC14" s="1009">
        <f>SUM(AB14)</f>
        <v>2065.6999999999998</v>
      </c>
      <c r="AD14" s="1047">
        <v>0</v>
      </c>
      <c r="AE14" s="1050">
        <v>2725.74</v>
      </c>
      <c r="AF14" s="1009">
        <f t="shared" si="28"/>
        <v>1.3789159164319273</v>
      </c>
      <c r="AG14" s="1009">
        <v>2725.74</v>
      </c>
      <c r="AH14" s="1047">
        <v>0</v>
      </c>
      <c r="AI14" s="1050">
        <f>AI13*AI15</f>
        <v>2345.2565727913948</v>
      </c>
      <c r="AJ14" s="1009">
        <f t="shared" si="29"/>
        <v>1.1864343687727543</v>
      </c>
      <c r="AK14" s="1009">
        <f>AK13*AK15</f>
        <v>2345.2565727913948</v>
      </c>
      <c r="AL14" s="1047">
        <f>AA14*1.05</f>
        <v>0</v>
      </c>
      <c r="AM14" s="1331" t="e">
        <f>#REF!</f>
        <v>#REF!</v>
      </c>
      <c r="AN14" s="1334">
        <v>0</v>
      </c>
      <c r="AO14" s="1363" t="e">
        <f t="shared" si="30"/>
        <v>#REF!</v>
      </c>
      <c r="AP14" s="1050">
        <v>0</v>
      </c>
      <c r="AQ14" s="1009">
        <f>SUM(AP14)</f>
        <v>0</v>
      </c>
      <c r="AR14" s="1047">
        <v>0</v>
      </c>
      <c r="AS14" s="1050">
        <v>0</v>
      </c>
      <c r="AT14" s="1009">
        <f>SUM(AS14)</f>
        <v>0</v>
      </c>
      <c r="AU14" s="1047">
        <v>0</v>
      </c>
      <c r="AV14" s="1050">
        <v>2125.71</v>
      </c>
      <c r="AW14" s="1009">
        <f>SUM(AV14)</f>
        <v>2125.71</v>
      </c>
      <c r="AX14" s="1047">
        <v>0</v>
      </c>
      <c r="AY14" s="1267">
        <f t="shared" ref="AY14" si="46">SUM(BA14+BB14)</f>
        <v>2698.4770400000002</v>
      </c>
      <c r="AZ14" s="1114">
        <f t="shared" si="45"/>
        <v>1.150610586196201</v>
      </c>
      <c r="BA14" s="1009">
        <f>SUM(BA13*AE15)/100</f>
        <v>2698.4770400000002</v>
      </c>
      <c r="BB14" s="1047">
        <f>SUM(BB13*AE15)/100</f>
        <v>0</v>
      </c>
      <c r="BC14" s="1267">
        <f t="shared" ref="BC14" si="47">SUM(BE14+BF14)</f>
        <v>2348.0049919318008</v>
      </c>
      <c r="BD14" s="1302">
        <f t="shared" si="39"/>
        <v>1.0011719055272212</v>
      </c>
      <c r="BE14" s="1009">
        <f>BE13*BE15</f>
        <v>2348.0049919318008</v>
      </c>
      <c r="BF14" s="1047">
        <f>SUM(BF13*AY15)</f>
        <v>0</v>
      </c>
      <c r="BG14" s="1973" t="str">
        <f>вода!BK14</f>
        <v xml:space="preserve"> </v>
      </c>
      <c r="BH14" s="1050">
        <v>1116.03</v>
      </c>
      <c r="BI14" s="1009">
        <f>SUM(BH14)</f>
        <v>1116.03</v>
      </c>
      <c r="BJ14" s="1047">
        <v>0</v>
      </c>
      <c r="BK14" s="1050">
        <v>1756.7</v>
      </c>
      <c r="BL14" s="1009">
        <f>SUM(BK14)</f>
        <v>1756.7</v>
      </c>
      <c r="BM14" s="1047">
        <v>0</v>
      </c>
      <c r="BN14" s="1050">
        <v>2348.37</v>
      </c>
      <c r="BO14" s="1009">
        <f>SUM(BN14)</f>
        <v>2348.37</v>
      </c>
      <c r="BP14" s="1047">
        <v>0</v>
      </c>
      <c r="BQ14" s="1267">
        <f t="shared" ref="BQ14" si="48">SUM(BS14+BT14)</f>
        <v>2599.8512179199997</v>
      </c>
      <c r="BR14" s="2165">
        <f t="shared" si="43"/>
        <v>1.1072596637799286</v>
      </c>
      <c r="BS14" s="1009">
        <f>SUM(BS13*BS15)</f>
        <v>2599.8512179199997</v>
      </c>
      <c r="BT14" s="1047">
        <f>SUM(BT13*AW15)/100</f>
        <v>0</v>
      </c>
      <c r="BU14" s="1267">
        <f>BC14*(1-0.01)*(1+0.071)*(1+0)</f>
        <v>2489.5662128953691</v>
      </c>
      <c r="BV14" s="3822">
        <f t="shared" si="31"/>
        <v>1.06029</v>
      </c>
      <c r="BW14" s="1009">
        <f>SUM(BU14)</f>
        <v>2489.5662128953691</v>
      </c>
      <c r="BX14" s="1047">
        <f>SUM(BX13*BQ15)</f>
        <v>0</v>
      </c>
      <c r="BY14" s="3951">
        <f t="shared" si="44"/>
        <v>1237.96</v>
      </c>
      <c r="BZ14" s="3952">
        <v>1237.96</v>
      </c>
      <c r="CA14" s="3952">
        <f>SUM(CA13*BT15)</f>
        <v>0</v>
      </c>
      <c r="CB14" s="4361">
        <f>SUM(CC14:CD14)</f>
        <v>1852.16</v>
      </c>
      <c r="CC14" s="3952">
        <v>1852.16</v>
      </c>
      <c r="CD14" s="3952">
        <f>SUM(CD13*BW15)</f>
        <v>0</v>
      </c>
      <c r="CE14" s="4361">
        <f>SUM(CF14:CG14)</f>
        <v>2464.2502919999997</v>
      </c>
      <c r="CF14" s="3952">
        <f>SUM(CF13*30.04%)</f>
        <v>2464.2502919999997</v>
      </c>
      <c r="CG14" s="3606">
        <f>SUM(CG13*BZ15)</f>
        <v>0</v>
      </c>
      <c r="CH14" s="1267">
        <f t="shared" ref="CH14" si="49">SUM(CJ14+CK14)</f>
        <v>2607.3786137757029</v>
      </c>
      <c r="CI14" s="3978">
        <f t="shared" si="32"/>
        <v>1.0473224613469179</v>
      </c>
      <c r="CJ14" s="1009">
        <f>SUM(CJ13*CJ15)</f>
        <v>2607.3786137757029</v>
      </c>
      <c r="CK14" s="1047">
        <f>SUM(CK13*BE15)/100</f>
        <v>0</v>
      </c>
      <c r="CL14" s="1267">
        <f t="shared" ref="CL14" si="50">SUM(CN14+CO14)</f>
        <v>2620.4155068445812</v>
      </c>
      <c r="CM14" s="4017">
        <f t="shared" si="33"/>
        <v>1.0525590736536523</v>
      </c>
      <c r="CN14" s="1009">
        <f>SUM(CN13*CN15)</f>
        <v>2620.4155068445812</v>
      </c>
      <c r="CO14" s="1047">
        <f>SUM(CO13*CH15)</f>
        <v>0</v>
      </c>
    </row>
    <row r="15" spans="1:93" s="189" customFormat="1" ht="21" customHeight="1">
      <c r="A15" s="1365" t="s">
        <v>321</v>
      </c>
      <c r="B15" s="1170"/>
      <c r="C15" s="1355"/>
      <c r="D15" s="1355"/>
      <c r="E15" s="1333">
        <f>E14/E13</f>
        <v>0.25176545547866408</v>
      </c>
      <c r="F15" s="1333">
        <f t="shared" ref="F15:Z15" si="51">F14/F13</f>
        <v>0.98503983010573459</v>
      </c>
      <c r="G15" s="1333">
        <f t="shared" si="51"/>
        <v>0.33196571542473674</v>
      </c>
      <c r="H15" s="1333">
        <f t="shared" si="51"/>
        <v>1.3185514859200738</v>
      </c>
      <c r="I15" s="1333">
        <f t="shared" si="51"/>
        <v>0.30199999999999999</v>
      </c>
      <c r="J15" s="1333">
        <f t="shared" si="51"/>
        <v>0.33117597566500551</v>
      </c>
      <c r="K15" s="1333">
        <f t="shared" si="51"/>
        <v>0.29313781647382292</v>
      </c>
      <c r="L15" s="1333">
        <f t="shared" si="51"/>
        <v>0.3006581340741476</v>
      </c>
      <c r="M15" s="1333">
        <f t="shared" si="51"/>
        <v>0.90569031711442738</v>
      </c>
      <c r="N15" s="1333">
        <f t="shared" si="51"/>
        <v>0.30199532835179133</v>
      </c>
      <c r="O15" s="1333">
        <f t="shared" si="51"/>
        <v>0.99998453096619655</v>
      </c>
      <c r="P15" s="1333">
        <f t="shared" si="51"/>
        <v>0.30199999999999999</v>
      </c>
      <c r="Q15" s="1333">
        <f t="shared" si="51"/>
        <v>1</v>
      </c>
      <c r="R15" s="1333">
        <f t="shared" si="51"/>
        <v>1.0044630953690461</v>
      </c>
      <c r="S15" s="1333">
        <f t="shared" si="51"/>
        <v>0.30200000000000005</v>
      </c>
      <c r="T15" s="1333"/>
      <c r="U15" s="1333">
        <f t="shared" si="51"/>
        <v>0.2988278276754453</v>
      </c>
      <c r="V15" s="1137"/>
      <c r="W15" s="1297">
        <f t="shared" si="51"/>
        <v>0.30199986748531293</v>
      </c>
      <c r="X15" s="1987"/>
      <c r="Y15" s="1048">
        <f t="shared" si="51"/>
        <v>0.2988278276754453</v>
      </c>
      <c r="Z15" s="1010">
        <f t="shared" si="51"/>
        <v>0.2988278276754453</v>
      </c>
      <c r="AA15" s="1049"/>
      <c r="AB15" s="1048">
        <f t="shared" ref="AB15:AC15" si="52">AB14/AB13</f>
        <v>0.2984382449398269</v>
      </c>
      <c r="AC15" s="1010">
        <f t="shared" si="52"/>
        <v>0.2984382449398269</v>
      </c>
      <c r="AD15" s="1049"/>
      <c r="AE15" s="1048">
        <v>30.1</v>
      </c>
      <c r="AF15" s="1159"/>
      <c r="AG15" s="1010">
        <v>30.1</v>
      </c>
      <c r="AH15" s="1049">
        <v>0</v>
      </c>
      <c r="AI15" s="1048">
        <f>Y15</f>
        <v>0.2988278276754453</v>
      </c>
      <c r="AJ15" s="1159"/>
      <c r="AK15" s="1010">
        <f>AI15</f>
        <v>0.2988278276754453</v>
      </c>
      <c r="AL15" s="1049"/>
      <c r="AM15" s="1988" t="e">
        <f>#REF!</f>
        <v>#REF!</v>
      </c>
      <c r="AN15" s="1989">
        <v>0</v>
      </c>
      <c r="AO15" s="1990" t="e">
        <f t="shared" si="30"/>
        <v>#REF!</v>
      </c>
      <c r="AP15" s="1048">
        <f>AP14/AP13</f>
        <v>0</v>
      </c>
      <c r="AQ15" s="1010">
        <f t="shared" ref="AQ15" si="53">AQ14/AQ13</f>
        <v>0</v>
      </c>
      <c r="AR15" s="1049"/>
      <c r="AS15" s="1048">
        <f>AS14/AS13</f>
        <v>0</v>
      </c>
      <c r="AT15" s="1010">
        <f t="shared" ref="AT15" si="54">AT14/AT13</f>
        <v>0</v>
      </c>
      <c r="AU15" s="1049"/>
      <c r="AV15" s="1048">
        <f>AV14/AV13</f>
        <v>0.30084150877173121</v>
      </c>
      <c r="AW15" s="1010">
        <f t="shared" ref="AW15" si="55">AW14/AW13</f>
        <v>0.30084150877173121</v>
      </c>
      <c r="AX15" s="1049"/>
      <c r="AY15" s="1048">
        <f>SUM(AY14/AY13)</f>
        <v>0.30099999999999999</v>
      </c>
      <c r="AZ15" s="1010">
        <f t="shared" si="45"/>
        <v>1.0072689760570555</v>
      </c>
      <c r="BA15" s="1010">
        <f>SUM(BA14/BA13)</f>
        <v>0.30099999999999999</v>
      </c>
      <c r="BB15" s="1049">
        <v>0</v>
      </c>
      <c r="BC15" s="1048">
        <f>Y15</f>
        <v>0.2988278276754453</v>
      </c>
      <c r="BD15" s="1302">
        <f t="shared" si="39"/>
        <v>1</v>
      </c>
      <c r="BE15" s="1010">
        <f>Z15</f>
        <v>0.2988278276754453</v>
      </c>
      <c r="BF15" s="1049">
        <v>0</v>
      </c>
      <c r="BG15" s="1975"/>
      <c r="BH15" s="1048">
        <f>BH14/BH13</f>
        <v>0.30138129379835538</v>
      </c>
      <c r="BI15" s="1010">
        <f t="shared" ref="BI15" si="56">BI14/BI13</f>
        <v>0.30138129379835538</v>
      </c>
      <c r="BJ15" s="1049">
        <v>0</v>
      </c>
      <c r="BK15" s="1048">
        <f>BK14/BK13</f>
        <v>0.30116526458895149</v>
      </c>
      <c r="BL15" s="1010">
        <f t="shared" ref="BL15" si="57">BL14/BL13</f>
        <v>0.30116526458895149</v>
      </c>
      <c r="BM15" s="1049">
        <v>0</v>
      </c>
      <c r="BN15" s="1048">
        <f>BN14/BN13</f>
        <v>0.30121480234931047</v>
      </c>
      <c r="BO15" s="1010">
        <f t="shared" ref="BO15" si="58">BO14/BO13</f>
        <v>0.30121480234931047</v>
      </c>
      <c r="BP15" s="1049">
        <v>0</v>
      </c>
      <c r="BQ15" s="1048">
        <v>0.30080000000000001</v>
      </c>
      <c r="BR15" s="2165">
        <f t="shared" si="43"/>
        <v>1.0065996943453897</v>
      </c>
      <c r="BS15" s="1010">
        <v>0.30080000000000001</v>
      </c>
      <c r="BT15" s="1049">
        <v>0.30080000000000001</v>
      </c>
      <c r="BU15" s="1048">
        <f>SUM(BU14/BU13)</f>
        <v>0.29882782767544536</v>
      </c>
      <c r="BV15" s="3823">
        <f t="shared" si="31"/>
        <v>1.0000000000000002</v>
      </c>
      <c r="BW15" s="3824">
        <f>SUM(BW14/BW13)</f>
        <v>0.29882782767544536</v>
      </c>
      <c r="BX15" s="1049">
        <v>0</v>
      </c>
      <c r="BY15" s="3954">
        <f>SUM(BY14/BY13)</f>
        <v>0.29987524980318536</v>
      </c>
      <c r="BZ15" s="3955">
        <f>SUM(BZ14/BZ13)</f>
        <v>0.29987524980318536</v>
      </c>
      <c r="CA15" s="3955">
        <v>0</v>
      </c>
      <c r="CB15" s="3955">
        <f>SUM(CB14/CB13)</f>
        <v>0.30039541076983461</v>
      </c>
      <c r="CC15" s="3955">
        <f>SUM(CC14/CC13)</f>
        <v>0.30039541076983461</v>
      </c>
      <c r="CD15" s="3955">
        <v>0</v>
      </c>
      <c r="CE15" s="3955">
        <f>SUM(CE14/CE13)</f>
        <v>0.3004</v>
      </c>
      <c r="CF15" s="3955">
        <f>SUM(CF14/CF13)</f>
        <v>0.3004</v>
      </c>
      <c r="CG15" s="3956">
        <v>0</v>
      </c>
      <c r="CH15" s="1048">
        <f>SUM(CH14/CH13)</f>
        <v>0.29880000000000001</v>
      </c>
      <c r="CI15" s="3978">
        <f t="shared" si="32"/>
        <v>0.99990687722873128</v>
      </c>
      <c r="CJ15" s="1010">
        <v>0.29880000000000001</v>
      </c>
      <c r="CK15" s="1049">
        <v>0.29880000000000001</v>
      </c>
      <c r="CL15" s="1048">
        <f>SUM(CL14/CL13)</f>
        <v>0.29880000000000001</v>
      </c>
      <c r="CM15" s="4017">
        <f t="shared" si="33"/>
        <v>0.99990687722873128</v>
      </c>
      <c r="CN15" s="3824">
        <v>0.29880000000000001</v>
      </c>
      <c r="CO15" s="1049">
        <v>0.29880000000000001</v>
      </c>
    </row>
    <row r="16" spans="1:93" ht="21" customHeight="1">
      <c r="A16" s="1340" t="s">
        <v>6</v>
      </c>
      <c r="B16" s="1169">
        <v>586.20000000000005</v>
      </c>
      <c r="C16" s="1360">
        <v>578.70000000000005</v>
      </c>
      <c r="D16" s="1355">
        <f t="shared" si="0"/>
        <v>98.720573183213929</v>
      </c>
      <c r="E16" s="1360">
        <v>909</v>
      </c>
      <c r="F16" s="1355">
        <f t="shared" si="23"/>
        <v>157.07620528771383</v>
      </c>
      <c r="G16" s="1360">
        <v>1016.4</v>
      </c>
      <c r="H16" s="1355">
        <f t="shared" si="2"/>
        <v>111.81518151815182</v>
      </c>
      <c r="I16" s="377">
        <v>973.7</v>
      </c>
      <c r="J16" s="377">
        <v>525.5</v>
      </c>
      <c r="K16" s="377">
        <f>'цех стоки'!K47</f>
        <v>660.34381091530884</v>
      </c>
      <c r="L16" s="377">
        <f>'цех стоки'!L47</f>
        <v>1618.4</v>
      </c>
      <c r="M16" s="1361">
        <f t="shared" si="24"/>
        <v>159.22865013774106</v>
      </c>
      <c r="N16" s="377">
        <v>1270.9000000000001</v>
      </c>
      <c r="O16" s="1362">
        <f t="shared" si="25"/>
        <v>130.52274827975762</v>
      </c>
      <c r="P16" s="377">
        <f>'цех стоки'!P47</f>
        <v>1129.3</v>
      </c>
      <c r="Q16" s="1361">
        <f t="shared" si="26"/>
        <v>115.98028140084213</v>
      </c>
      <c r="R16" s="1361">
        <f t="shared" si="27"/>
        <v>69.778793870489366</v>
      </c>
      <c r="S16" s="377">
        <v>1067.4000000000001</v>
      </c>
      <c r="T16" s="377"/>
      <c r="U16" s="378">
        <v>627.9</v>
      </c>
      <c r="V16" s="1366"/>
      <c r="W16" s="1367">
        <v>1692.38</v>
      </c>
      <c r="X16" s="1788"/>
      <c r="Y16" s="1050">
        <f>'цех стоки'!X47</f>
        <v>1182.4040130542526</v>
      </c>
      <c r="Z16" s="1009">
        <f t="shared" si="34"/>
        <v>1182.4040130542526</v>
      </c>
      <c r="AA16" s="1047">
        <v>0</v>
      </c>
      <c r="AB16" s="1050">
        <f>'цех стоки'!AA47</f>
        <v>776.9</v>
      </c>
      <c r="AC16" s="1009">
        <f t="shared" ref="AC16" si="59">AB16</f>
        <v>776.9</v>
      </c>
      <c r="AD16" s="1047">
        <v>0</v>
      </c>
      <c r="AE16" s="1050">
        <v>1092.1400000000001</v>
      </c>
      <c r="AF16" s="1009">
        <f t="shared" si="28"/>
        <v>0.92366059988151372</v>
      </c>
      <c r="AG16" s="1009">
        <v>1241.52</v>
      </c>
      <c r="AH16" s="1047">
        <v>0</v>
      </c>
      <c r="AI16" s="1050">
        <f>'цех стоки'!AC47</f>
        <v>1119.2106875700802</v>
      </c>
      <c r="AJ16" s="1009">
        <f t="shared" si="29"/>
        <v>0.94655521734830839</v>
      </c>
      <c r="AK16" s="1009">
        <f>SUM('цех стоки'!AC47)</f>
        <v>1119.2106875700802</v>
      </c>
      <c r="AL16" s="1047">
        <f>SUM('цех стоки'!Y64)</f>
        <v>0</v>
      </c>
      <c r="AM16" s="1789">
        <f>AK16*1.05</f>
        <v>1175.1712219485842</v>
      </c>
      <c r="AN16" s="378">
        <f>AL16*1.05</f>
        <v>0</v>
      </c>
      <c r="AO16" s="1366" t="e">
        <f>#REF!*1.05</f>
        <v>#REF!</v>
      </c>
      <c r="AP16" s="1050">
        <f>SUM('цех стоки'!AE47)</f>
        <v>347.27</v>
      </c>
      <c r="AQ16" s="1009">
        <f>SUM(AP16)</f>
        <v>347.27</v>
      </c>
      <c r="AR16" s="1047">
        <v>0</v>
      </c>
      <c r="AS16" s="1050">
        <f>SUM('цех стоки'!AF47)</f>
        <v>868.98</v>
      </c>
      <c r="AT16" s="1009">
        <f>SUM(AS16)</f>
        <v>868.98</v>
      </c>
      <c r="AU16" s="1047">
        <v>0</v>
      </c>
      <c r="AV16" s="1050">
        <v>1062.22</v>
      </c>
      <c r="AW16" s="1009">
        <f>SUM(AV16)</f>
        <v>1062.22</v>
      </c>
      <c r="AX16" s="1047">
        <v>0</v>
      </c>
      <c r="AY16" s="1050">
        <v>1183.76</v>
      </c>
      <c r="AZ16" s="1114">
        <f>SUM(AY16/AI16)</f>
        <v>1.0576739600030651</v>
      </c>
      <c r="BA16" s="1009">
        <f>SUM(AY16)</f>
        <v>1183.76</v>
      </c>
      <c r="BB16" s="1047">
        <v>0</v>
      </c>
      <c r="BC16" s="1050">
        <f>SUM('цех стоки'!AH47)</f>
        <v>905.83734813770843</v>
      </c>
      <c r="BD16" s="1302">
        <f t="shared" si="39"/>
        <v>0.80935373312452286</v>
      </c>
      <c r="BE16" s="1009">
        <f>SUM(BC16)</f>
        <v>905.83734813770843</v>
      </c>
      <c r="BF16" s="1047">
        <v>0</v>
      </c>
      <c r="BG16" s="1974" t="str">
        <f>вода!BK34</f>
        <v>Приложение</v>
      </c>
      <c r="BH16" s="1050">
        <f>SUM('цех стоки'!AN47)</f>
        <v>423.84</v>
      </c>
      <c r="BI16" s="1009">
        <f>SUM(BH16)</f>
        <v>423.84</v>
      </c>
      <c r="BJ16" s="1047">
        <v>0</v>
      </c>
      <c r="BK16" s="1050">
        <f>SUM('цех стоки'!AO47)</f>
        <v>672.85</v>
      </c>
      <c r="BL16" s="1009">
        <f>SUM(BK16)</f>
        <v>672.85</v>
      </c>
      <c r="BM16" s="1047">
        <v>0</v>
      </c>
      <c r="BN16" s="1050">
        <f>SUM('цех стоки'!AP47)</f>
        <v>861.66</v>
      </c>
      <c r="BO16" s="1009">
        <f>SUM(BN16)</f>
        <v>861.66</v>
      </c>
      <c r="BP16" s="1047">
        <v>0</v>
      </c>
      <c r="BQ16" s="1050">
        <f>SUM('цех стоки'!AQ47)</f>
        <v>1327.7160561132764</v>
      </c>
      <c r="BR16" s="2165">
        <f t="shared" si="43"/>
        <v>1.4657333999783728</v>
      </c>
      <c r="BS16" s="1009">
        <f>SUM(BQ16)</f>
        <v>1327.7160561132764</v>
      </c>
      <c r="BT16" s="1047">
        <v>0</v>
      </c>
      <c r="BU16" s="1050">
        <f>SUM('цех стоки'!AR47)</f>
        <v>774.56331396282815</v>
      </c>
      <c r="BV16" s="3822">
        <f t="shared" si="31"/>
        <v>0.85507990541043188</v>
      </c>
      <c r="BW16" s="1009">
        <f>SUM(BU16)</f>
        <v>774.56331396282815</v>
      </c>
      <c r="BX16" s="1047">
        <v>0</v>
      </c>
      <c r="BY16" s="3951">
        <f t="shared" si="44"/>
        <v>120.24</v>
      </c>
      <c r="BZ16" s="3952">
        <f>SUM('цех стоки'!AT47)</f>
        <v>120.24</v>
      </c>
      <c r="CA16" s="3952">
        <v>0</v>
      </c>
      <c r="CB16" s="3952">
        <f>SUM(CC16:CD16)</f>
        <v>227.94</v>
      </c>
      <c r="CC16" s="3952">
        <f>SUM('цех стоки'!AU47)</f>
        <v>227.94</v>
      </c>
      <c r="CD16" s="3952">
        <v>0</v>
      </c>
      <c r="CE16" s="3952">
        <f>SUM(CF16:CG16)</f>
        <v>302.94185333333331</v>
      </c>
      <c r="CF16" s="3952">
        <f>SUM('цех стоки'!AV47)</f>
        <v>302.94185333333331</v>
      </c>
      <c r="CG16" s="3606">
        <v>0</v>
      </c>
      <c r="CH16" s="1050">
        <f>SUM('цех стоки'!AW47)</f>
        <v>813.61393389237389</v>
      </c>
      <c r="CI16" s="3978">
        <f t="shared" si="32"/>
        <v>1.0504163045494042</v>
      </c>
      <c r="CJ16" s="1009">
        <f>SUM(CH16)</f>
        <v>813.61393389237389</v>
      </c>
      <c r="CK16" s="1047">
        <v>0</v>
      </c>
      <c r="CL16" s="1050">
        <f>SUM('цех стоки'!AX47)</f>
        <v>333.34196940942883</v>
      </c>
      <c r="CM16" s="4017">
        <f t="shared" si="33"/>
        <v>0.4303611640267101</v>
      </c>
      <c r="CN16" s="1009">
        <f>SUM(CL16)</f>
        <v>333.34196940942883</v>
      </c>
      <c r="CO16" s="1047">
        <v>0</v>
      </c>
    </row>
    <row r="17" spans="1:93" ht="21" customHeight="1">
      <c r="A17" s="1285" t="s">
        <v>7</v>
      </c>
      <c r="B17" s="1352">
        <f>SUM(B18:B26)</f>
        <v>26653.700000000004</v>
      </c>
      <c r="C17" s="1353">
        <f>SUM(C18:C26)</f>
        <v>29414</v>
      </c>
      <c r="D17" s="1354">
        <f t="shared" si="0"/>
        <v>110.35616068313216</v>
      </c>
      <c r="E17" s="1334">
        <f>SUM(E18:E26)</f>
        <v>33364.957532963468</v>
      </c>
      <c r="F17" s="1334">
        <f>SUM(F18:F26)</f>
        <v>851.66176001421229</v>
      </c>
      <c r="G17" s="1334">
        <f>SUM(G18:G26)</f>
        <v>33031.655567248337</v>
      </c>
      <c r="H17" s="1355">
        <f t="shared" si="2"/>
        <v>99.001041840422417</v>
      </c>
      <c r="I17" s="1334">
        <f>I18+I19+I20+I22+I23+I24+I26</f>
        <v>35984.4516</v>
      </c>
      <c r="J17" s="1334">
        <f>SUM(J18:J26)</f>
        <v>17728.514742148349</v>
      </c>
      <c r="K17" s="1334">
        <f>SUM(K18:K26)</f>
        <v>23132.282033012896</v>
      </c>
      <c r="L17" s="1334">
        <f>SUM(L18:L26)</f>
        <v>33260.600222854184</v>
      </c>
      <c r="M17" s="1368">
        <f t="shared" si="24"/>
        <v>100.69310681427923</v>
      </c>
      <c r="N17" s="1334">
        <f>SUM(N18:N26)</f>
        <v>42496.001997885767</v>
      </c>
      <c r="O17" s="1362">
        <f t="shared" si="25"/>
        <v>118.09545542132361</v>
      </c>
      <c r="P17" s="1334" t="e">
        <f>P18+P19+P20+P22+P23+P24+P26</f>
        <v>#REF!</v>
      </c>
      <c r="Q17" s="1334" t="e">
        <f t="shared" ref="Q17:V17" si="60">Q18+Q19+Q20+Q22+Q23+Q24+Q26</f>
        <v>#REF!</v>
      </c>
      <c r="R17" s="1334" t="e">
        <f t="shared" si="60"/>
        <v>#REF!</v>
      </c>
      <c r="S17" s="1334" t="e">
        <f t="shared" si="60"/>
        <v>#REF!</v>
      </c>
      <c r="T17" s="1334" t="e">
        <f t="shared" si="60"/>
        <v>#REF!</v>
      </c>
      <c r="U17" s="1334">
        <f t="shared" si="60"/>
        <v>27749.199999999997</v>
      </c>
      <c r="V17" s="1363">
        <f t="shared" si="60"/>
        <v>0</v>
      </c>
      <c r="W17" s="1298">
        <f>W18+W19+W20+W22+W23+W24+W26+W21</f>
        <v>44820.57</v>
      </c>
      <c r="X17" s="1375"/>
      <c r="Y17" s="1270">
        <f t="shared" ref="Y17:AL17" si="61">Y18+Y19+Y20+Y22+Y23+Y24+Y26+Y21</f>
        <v>36235.315577079971</v>
      </c>
      <c r="Z17" s="1268">
        <f t="shared" si="61"/>
        <v>35960.164869963985</v>
      </c>
      <c r="AA17" s="1269">
        <f t="shared" si="61"/>
        <v>275.45070711599271</v>
      </c>
      <c r="AB17" s="1270">
        <f t="shared" ref="AB17:AD17" si="62">AB18+AB19+AB20+AB22+AB23+AB24+AB26+AB21</f>
        <v>33167.799500000001</v>
      </c>
      <c r="AC17" s="1268">
        <f t="shared" si="62"/>
        <v>32881.346918186529</v>
      </c>
      <c r="AD17" s="1269">
        <f t="shared" si="62"/>
        <v>286.45258181347208</v>
      </c>
      <c r="AE17" s="1270">
        <v>38355.11</v>
      </c>
      <c r="AF17" s="1009">
        <f t="shared" si="28"/>
        <v>1.058500785467448</v>
      </c>
      <c r="AG17" s="1268">
        <v>38068.36</v>
      </c>
      <c r="AH17" s="1269">
        <v>286.76</v>
      </c>
      <c r="AI17" s="1270">
        <f t="shared" si="61"/>
        <v>37373.673441835519</v>
      </c>
      <c r="AJ17" s="1009">
        <f t="shared" si="29"/>
        <v>1.0314157016884267</v>
      </c>
      <c r="AK17" s="1268">
        <f t="shared" si="61"/>
        <v>37094.60951560011</v>
      </c>
      <c r="AL17" s="1269">
        <f t="shared" si="61"/>
        <v>279.06392623540467</v>
      </c>
      <c r="AM17" s="1331" t="e">
        <f>AM18+AM19+AM20+AM21+AM22+AM23+AM24+AM26</f>
        <v>#REF!</v>
      </c>
      <c r="AN17" s="1334" t="e">
        <f>AN18+AN19+AN20+AN21+AN22+AN23+AN24+AN26</f>
        <v>#REF!</v>
      </c>
      <c r="AO17" s="1363" t="e">
        <f t="shared" si="30"/>
        <v>#REF!</v>
      </c>
      <c r="AP17" s="1270">
        <f t="shared" ref="AP17:AY17" si="63">AP18+AP19+AP20+AP22+AP23+AP24+AP26+AP21</f>
        <v>14375.140000000001</v>
      </c>
      <c r="AQ17" s="1268">
        <f t="shared" si="63"/>
        <v>14291.938781498018</v>
      </c>
      <c r="AR17" s="1269">
        <f t="shared" si="63"/>
        <v>83.201218501982225</v>
      </c>
      <c r="AS17" s="1270">
        <f t="shared" si="63"/>
        <v>21766.959999999999</v>
      </c>
      <c r="AT17" s="1268">
        <f t="shared" si="63"/>
        <v>21638.673007134646</v>
      </c>
      <c r="AU17" s="1269">
        <f t="shared" si="63"/>
        <v>128.28699286535436</v>
      </c>
      <c r="AV17" s="1270">
        <f t="shared" ref="AV17:AX17" si="64">AV18+AV19+AV20+AV22+AV23+AV24+AV26+AV21</f>
        <v>35012.31</v>
      </c>
      <c r="AW17" s="1268">
        <f t="shared" si="64"/>
        <v>34762.271208118502</v>
      </c>
      <c r="AX17" s="1269">
        <f t="shared" si="64"/>
        <v>250.03879188149563</v>
      </c>
      <c r="AY17" s="1270">
        <f t="shared" si="63"/>
        <v>42309.236673061234</v>
      </c>
      <c r="AZ17" s="1114">
        <f t="shared" si="45"/>
        <v>1.1320598907385144</v>
      </c>
      <c r="BA17" s="1268">
        <f t="shared" ref="BA17:BF17" si="65">BA18+BA19+BA20+BA22+BA23+BA24+BA26+BA21</f>
        <v>42079.048840055417</v>
      </c>
      <c r="BB17" s="1269">
        <f t="shared" si="65"/>
        <v>230.18783300581879</v>
      </c>
      <c r="BC17" s="1270">
        <f t="shared" si="65"/>
        <v>36922.751570893131</v>
      </c>
      <c r="BD17" s="1302">
        <f t="shared" si="39"/>
        <v>0.98793477254398998</v>
      </c>
      <c r="BE17" s="1268">
        <f t="shared" si="65"/>
        <v>36669.193249897304</v>
      </c>
      <c r="BF17" s="1269">
        <f t="shared" si="65"/>
        <v>253.55832099582594</v>
      </c>
      <c r="BG17" s="1974"/>
      <c r="BH17" s="1270">
        <f t="shared" ref="BH17:BQ17" si="66">BH18+BH19+BH20+BH22+BH23+BH24+BH26+BH21</f>
        <v>19235.626349999999</v>
      </c>
      <c r="BI17" s="1268">
        <f t="shared" si="66"/>
        <v>19112.021238502639</v>
      </c>
      <c r="BJ17" s="1269">
        <f t="shared" si="66"/>
        <v>123.60511149736146</v>
      </c>
      <c r="BK17" s="1270">
        <f t="shared" ref="BK17:BM17" si="67">BK18+BK19+BK20+BK22+BK23+BK24+BK26+BK21</f>
        <v>29645.475589000001</v>
      </c>
      <c r="BL17" s="1268">
        <f t="shared" si="67"/>
        <v>29450.042397077163</v>
      </c>
      <c r="BM17" s="1269">
        <f t="shared" si="67"/>
        <v>195.4331919228365</v>
      </c>
      <c r="BN17" s="1270">
        <f t="shared" ref="BN17:BP17" si="68">BN18+BN19+BN20+BN22+BN23+BN24+BN26+BN21</f>
        <v>40277.31</v>
      </c>
      <c r="BO17" s="1268">
        <f t="shared" si="68"/>
        <v>40007.978889984937</v>
      </c>
      <c r="BP17" s="1269">
        <f t="shared" si="68"/>
        <v>269.33111001505824</v>
      </c>
      <c r="BQ17" s="1270">
        <f t="shared" si="66"/>
        <v>39331.352388966661</v>
      </c>
      <c r="BR17" s="2165">
        <f t="shared" si="43"/>
        <v>1.0652335136358655</v>
      </c>
      <c r="BS17" s="1268">
        <f t="shared" ref="BS17:BU17" si="69">BS18+BS19+BS20+BS22+BS23+BS24+BS26+BS21</f>
        <v>39050.675657677115</v>
      </c>
      <c r="BT17" s="1269">
        <f t="shared" si="69"/>
        <v>280.67673128955369</v>
      </c>
      <c r="BU17" s="1270">
        <f t="shared" si="69"/>
        <v>38453.028551253898</v>
      </c>
      <c r="BV17" s="3822">
        <f t="shared" si="31"/>
        <v>1.0414453667523282</v>
      </c>
      <c r="BW17" s="1268">
        <f t="shared" ref="BW17:CH17" si="70">BW18+BW19+BW20+BW22+BW23+BW24+BW26+BW21</f>
        <v>38155.492896492819</v>
      </c>
      <c r="BX17" s="1269">
        <f t="shared" si="70"/>
        <v>297.53565476108577</v>
      </c>
      <c r="BY17" s="3946">
        <f t="shared" si="70"/>
        <v>20413.279000000002</v>
      </c>
      <c r="BZ17" s="3947">
        <f t="shared" ref="BZ17:CB17" si="71">BZ18+BZ19+BZ20+BZ22+BZ23+BZ24+BZ26+BZ21</f>
        <v>20299.070088235479</v>
      </c>
      <c r="CA17" s="3947">
        <f t="shared" si="71"/>
        <v>114.20891176452153</v>
      </c>
      <c r="CB17" s="3947">
        <f t="shared" si="71"/>
        <v>30551.75</v>
      </c>
      <c r="CC17" s="3947">
        <f t="shared" ref="CC17:CE17" si="72">CC18+CC19+CC20+CC22+CC23+CC24+CC26+CC21</f>
        <v>30370.515581638938</v>
      </c>
      <c r="CD17" s="3947">
        <f t="shared" si="72"/>
        <v>181.23441836106622</v>
      </c>
      <c r="CE17" s="3947">
        <f t="shared" si="72"/>
        <v>41067.04216074467</v>
      </c>
      <c r="CF17" s="3947">
        <f t="shared" ref="CF17:CG17" si="73">CF18+CF19+CF20+CF22+CF23+CF24+CF26+CF21</f>
        <v>40808.64008228825</v>
      </c>
      <c r="CG17" s="3605">
        <f t="shared" si="73"/>
        <v>258.40207845641805</v>
      </c>
      <c r="CH17" s="1270">
        <f t="shared" si="70"/>
        <v>40187.213401973313</v>
      </c>
      <c r="CI17" s="3978">
        <f t="shared" si="32"/>
        <v>1.0450987845705815</v>
      </c>
      <c r="CJ17" s="1268">
        <f t="shared" ref="CJ17:CL17" si="74">CJ18+CJ19+CJ20+CJ22+CJ23+CJ24+CJ26+CJ21</f>
        <v>39903.073866699604</v>
      </c>
      <c r="CK17" s="1269">
        <f t="shared" si="74"/>
        <v>284.13953527371217</v>
      </c>
      <c r="CL17" s="1270">
        <f t="shared" si="74"/>
        <v>40599.813115461722</v>
      </c>
      <c r="CM17" s="4017">
        <f t="shared" si="33"/>
        <v>1.0558287512086697</v>
      </c>
      <c r="CN17" s="1268">
        <f t="shared" ref="CN17:CO17" si="75">CN18+CN19+CN20+CN22+CN23+CN24+CN26+CN21</f>
        <v>40320.609489516813</v>
      </c>
      <c r="CO17" s="1269">
        <f t="shared" si="75"/>
        <v>279.20362594490922</v>
      </c>
    </row>
    <row r="18" spans="1:93" ht="21" customHeight="1">
      <c r="A18" s="1340" t="s">
        <v>1</v>
      </c>
      <c r="B18" s="1169">
        <v>4310.6000000000004</v>
      </c>
      <c r="C18" s="1360">
        <v>4957.8</v>
      </c>
      <c r="D18" s="1355">
        <f t="shared" si="0"/>
        <v>115.0141511622512</v>
      </c>
      <c r="E18" s="1360">
        <v>6244.2</v>
      </c>
      <c r="F18" s="1355">
        <f t="shared" si="23"/>
        <v>125.94699261769333</v>
      </c>
      <c r="G18" s="1360">
        <v>7235</v>
      </c>
      <c r="H18" s="1355">
        <f t="shared" si="2"/>
        <v>115.8675250632587</v>
      </c>
      <c r="I18" s="377">
        <v>7455.3</v>
      </c>
      <c r="J18" s="377">
        <v>4034.7</v>
      </c>
      <c r="K18" s="377">
        <v>4952.3</v>
      </c>
      <c r="L18" s="377">
        <v>6865.9</v>
      </c>
      <c r="M18" s="1361">
        <f t="shared" si="24"/>
        <v>94.898410504492048</v>
      </c>
      <c r="N18" s="377">
        <v>9016</v>
      </c>
      <c r="O18" s="1362">
        <f t="shared" si="25"/>
        <v>120.9341005727469</v>
      </c>
      <c r="P18" s="377">
        <f>электр!AC15</f>
        <v>8582.7999999999993</v>
      </c>
      <c r="Q18" s="1361">
        <f t="shared" si="26"/>
        <v>115.12346920982388</v>
      </c>
      <c r="R18" s="1361">
        <f t="shared" si="27"/>
        <v>125.00619001150612</v>
      </c>
      <c r="S18" s="377" t="e">
        <f>P18/P55*S55</f>
        <v>#REF!</v>
      </c>
      <c r="T18" s="377" t="e">
        <f>P18-S18</f>
        <v>#REF!</v>
      </c>
      <c r="U18" s="377">
        <v>6066.2</v>
      </c>
      <c r="V18" s="1136"/>
      <c r="W18" s="1296">
        <v>9664.9</v>
      </c>
      <c r="X18" s="1786"/>
      <c r="Y18" s="1050">
        <f>электр!Q54</f>
        <v>6188.2733022666562</v>
      </c>
      <c r="Z18" s="1009">
        <f>($Z$55/$Y$55)*Y18</f>
        <v>6141.0950267572307</v>
      </c>
      <c r="AA18" s="1047">
        <f>Y18-Z18</f>
        <v>47.178275509425475</v>
      </c>
      <c r="AB18" s="1050">
        <f>SUM(электр!AG54)</f>
        <v>7103.9</v>
      </c>
      <c r="AC18" s="1009">
        <f>SUM(AC55/AB55)*AB18</f>
        <v>7042.1838214141881</v>
      </c>
      <c r="AD18" s="1047">
        <f>AB18-AC18</f>
        <v>61.716178585811576</v>
      </c>
      <c r="AE18" s="1050">
        <v>6559.57</v>
      </c>
      <c r="AF18" s="1009">
        <f t="shared" si="28"/>
        <v>1.0600000484137222</v>
      </c>
      <c r="AG18" s="1009">
        <v>6508.9</v>
      </c>
      <c r="AH18" s="1047">
        <v>50.67</v>
      </c>
      <c r="AI18" s="1050">
        <f>электр!AN54</f>
        <v>5760.2649333677646</v>
      </c>
      <c r="AJ18" s="1009">
        <f t="shared" si="29"/>
        <v>0.93083557432052655</v>
      </c>
      <c r="AK18" s="1009">
        <f>AI18-AL18</f>
        <v>5709.595465470642</v>
      </c>
      <c r="AL18" s="1047">
        <f>AA18*1.074</f>
        <v>50.669467897122964</v>
      </c>
      <c r="AM18" s="1331" t="e">
        <f>#REF!*Z18/Y18</f>
        <v>#REF!</v>
      </c>
      <c r="AN18" s="1334" t="e">
        <f>#REF!-AM18</f>
        <v>#REF!</v>
      </c>
      <c r="AO18" s="1363" t="e">
        <f t="shared" si="30"/>
        <v>#REF!</v>
      </c>
      <c r="AP18" s="1050">
        <f>SUM(электр!AT54)</f>
        <v>3477.1</v>
      </c>
      <c r="AQ18" s="1009">
        <f>SUM(AQ55/AP55)*AP18</f>
        <v>3456.975051174928</v>
      </c>
      <c r="AR18" s="1047">
        <f>AP18-AQ18</f>
        <v>20.124948825071897</v>
      </c>
      <c r="AS18" s="1050">
        <f>SUM(электр!AW54)</f>
        <v>5259.9</v>
      </c>
      <c r="AT18" s="1009">
        <f>SUM(AT55/AS55)*AS18</f>
        <v>5228.8999543449117</v>
      </c>
      <c r="AU18" s="1047">
        <f>AS18-AT18</f>
        <v>31.000045655087888</v>
      </c>
      <c r="AV18" s="1050">
        <v>7413.21</v>
      </c>
      <c r="AW18" s="1009">
        <f>SUM(AW55/AV55)*AV18</f>
        <v>7359.2151247527217</v>
      </c>
      <c r="AX18" s="1047">
        <f>AV18-AW18</f>
        <v>53.994875247278287</v>
      </c>
      <c r="AY18" s="1050">
        <v>5986.43</v>
      </c>
      <c r="AZ18" s="1114">
        <f t="shared" si="45"/>
        <v>1.0392629625977996</v>
      </c>
      <c r="BA18" s="1009">
        <f>SUM(BA55/AY55)*AY18</f>
        <v>5953.7090831232317</v>
      </c>
      <c r="BB18" s="1047">
        <f>AY18-BA18</f>
        <v>32.72091687676857</v>
      </c>
      <c r="BC18" s="1050">
        <f>SUM(электр!BD54)</f>
        <v>5992.9145541926509</v>
      </c>
      <c r="BD18" s="1302">
        <f t="shared" si="39"/>
        <v>1.0403887014774627</v>
      </c>
      <c r="BE18" s="1009">
        <f>SUM(BE55/BC55)*BC18</f>
        <v>5960.1581937278479</v>
      </c>
      <c r="BF18" s="1047">
        <f>BC18-BE18</f>
        <v>32.756360464803038</v>
      </c>
      <c r="BG18" s="1974" t="str">
        <f>BG9</f>
        <v xml:space="preserve">Приложение </v>
      </c>
      <c r="BH18" s="1050">
        <f>SUM(электр!BM54)</f>
        <v>4706.46</v>
      </c>
      <c r="BI18" s="1009">
        <f>SUM(BI55/BH55)*BH18</f>
        <v>4675.942930449829</v>
      </c>
      <c r="BJ18" s="1047">
        <f>BH18-BI18</f>
        <v>30.517069550171072</v>
      </c>
      <c r="BK18" s="1050">
        <f>SUM(электр!BP54)</f>
        <v>6734.81</v>
      </c>
      <c r="BL18" s="1009">
        <f>SUM(BL55/BK55)*BK18</f>
        <v>6689.9864595680428</v>
      </c>
      <c r="BM18" s="1047">
        <f>BK18-BL18</f>
        <v>44.823540431957554</v>
      </c>
      <c r="BN18" s="1050">
        <f>SUM(электр!BS54)</f>
        <v>9297.2000000000007</v>
      </c>
      <c r="BO18" s="1009">
        <f>SUM(BO55/BN55)*BN18</f>
        <v>9234.489626946357</v>
      </c>
      <c r="BP18" s="1047">
        <f>BN18-BO18</f>
        <v>62.710373053643707</v>
      </c>
      <c r="BQ18" s="1050">
        <f>SUM('электр 2017-2018'!CH54)</f>
        <v>6133.6861666831164</v>
      </c>
      <c r="BR18" s="2165">
        <f t="shared" si="43"/>
        <v>1.0234896745510882</v>
      </c>
      <c r="BS18" s="1009">
        <f>SUM(BS55/BQ55)*BQ18</f>
        <v>6089.9149033155363</v>
      </c>
      <c r="BT18" s="1047">
        <f>BQ18-BS18</f>
        <v>43.771263367580104</v>
      </c>
      <c r="BU18" s="1050">
        <f>SUM(электр!BZ54)</f>
        <v>5969.91</v>
      </c>
      <c r="BV18" s="3822">
        <f t="shared" si="31"/>
        <v>0.99616137457248455</v>
      </c>
      <c r="BW18" s="1009">
        <v>5899.18</v>
      </c>
      <c r="BX18" s="1047">
        <v>70.73</v>
      </c>
      <c r="BY18" s="3951">
        <v>4894</v>
      </c>
      <c r="BZ18" s="3952">
        <f>SUM(BZ55/BY55)*BY18</f>
        <v>4865.6170303087056</v>
      </c>
      <c r="CA18" s="3952">
        <f>BY18-BZ18</f>
        <v>28.38296969129442</v>
      </c>
      <c r="CB18" s="3952">
        <v>7405.95</v>
      </c>
      <c r="CC18" s="3952">
        <f>SUM(CC55/CB55)*CB18</f>
        <v>7360.8952483455032</v>
      </c>
      <c r="CD18" s="3952">
        <f>CB18-CC18</f>
        <v>45.054751654496613</v>
      </c>
      <c r="CE18" s="3952">
        <f>SUM(CB18*1.36126159832)</f>
        <v>10081.435334078004</v>
      </c>
      <c r="CF18" s="3952">
        <f>SUM(CF55/CE55)*CE18</f>
        <v>10016.39381579363</v>
      </c>
      <c r="CG18" s="3606">
        <f>CE18-CF18</f>
        <v>65.041518284373524</v>
      </c>
      <c r="CH18" s="1050">
        <f>SUM(электр!CO54)</f>
        <v>6305.3787068999991</v>
      </c>
      <c r="CI18" s="3978">
        <f t="shared" si="32"/>
        <v>1.0561932603506585</v>
      </c>
      <c r="CJ18" s="1009">
        <f>SUM(CJ55/CH55)*CH18</f>
        <v>6260.7971789999992</v>
      </c>
      <c r="CK18" s="1047">
        <f>CH18-CJ18</f>
        <v>44.581527899999855</v>
      </c>
      <c r="CL18" s="1050">
        <f>SUM(электр!CS54)</f>
        <v>6297.0450759759897</v>
      </c>
      <c r="CM18" s="4017">
        <f t="shared" si="33"/>
        <v>1.0547973212286266</v>
      </c>
      <c r="CN18" s="1009">
        <f>SUM(CL18-CO18)</f>
        <v>6260.3550759759901</v>
      </c>
      <c r="CO18" s="1047">
        <v>36.69</v>
      </c>
    </row>
    <row r="19" spans="1:93" ht="21" customHeight="1">
      <c r="A19" s="1340" t="s">
        <v>8</v>
      </c>
      <c r="B19" s="1169">
        <v>559</v>
      </c>
      <c r="C19" s="1360">
        <v>481.5</v>
      </c>
      <c r="D19" s="1355">
        <f t="shared" si="0"/>
        <v>86.135957066189633</v>
      </c>
      <c r="E19" s="1360">
        <v>479.1</v>
      </c>
      <c r="F19" s="1355">
        <f t="shared" si="23"/>
        <v>99.501557632398757</v>
      </c>
      <c r="G19" s="1360">
        <v>467.5</v>
      </c>
      <c r="H19" s="1355">
        <f t="shared" si="2"/>
        <v>97.578793571279476</v>
      </c>
      <c r="I19" s="377">
        <v>537.5</v>
      </c>
      <c r="J19" s="377">
        <v>238.7</v>
      </c>
      <c r="K19" s="377">
        <v>240.2</v>
      </c>
      <c r="L19" s="377">
        <v>320.7</v>
      </c>
      <c r="M19" s="1361">
        <f t="shared" si="24"/>
        <v>68.598930481283418</v>
      </c>
      <c r="N19" s="377">
        <v>591.25</v>
      </c>
      <c r="O19" s="1362">
        <f t="shared" si="25"/>
        <v>110.00000000000001</v>
      </c>
      <c r="P19" s="377" t="e">
        <f>ХР!AK22</f>
        <v>#REF!</v>
      </c>
      <c r="Q19" s="1361" t="e">
        <f t="shared" si="26"/>
        <v>#REF!</v>
      </c>
      <c r="R19" s="1361" t="e">
        <f t="shared" si="27"/>
        <v>#REF!</v>
      </c>
      <c r="S19" s="377" t="e">
        <f>P19/P55*S55</f>
        <v>#REF!</v>
      </c>
      <c r="T19" s="377" t="e">
        <f t="shared" ref="T19:T24" si="76">P19-S19</f>
        <v>#REF!</v>
      </c>
      <c r="U19" s="377">
        <v>221.6</v>
      </c>
      <c r="V19" s="1136"/>
      <c r="W19" s="1296">
        <v>598.5</v>
      </c>
      <c r="X19" s="1786"/>
      <c r="Y19" s="1050">
        <f>ХР!O45</f>
        <v>489.28469176470583</v>
      </c>
      <c r="Z19" s="1009">
        <f>($Z$55/$Y$55)*Y19</f>
        <v>485.55447384072301</v>
      </c>
      <c r="AA19" s="1047">
        <f>Y19-Z19</f>
        <v>3.7302179239828206</v>
      </c>
      <c r="AB19" s="1050">
        <f>SUM(ХР!AF45)</f>
        <v>368.69950000000006</v>
      </c>
      <c r="AC19" s="1009">
        <f>SUM(AC55/AB55)*AB19</f>
        <v>365.49636873597615</v>
      </c>
      <c r="AD19" s="1047">
        <f>AB19-AC19</f>
        <v>3.2031312640239094</v>
      </c>
      <c r="AE19" s="1050">
        <v>473.71</v>
      </c>
      <c r="AF19" s="1009">
        <f t="shared" si="28"/>
        <v>0.96816844665928026</v>
      </c>
      <c r="AG19" s="1009">
        <v>469.69</v>
      </c>
      <c r="AH19" s="1047">
        <v>4.01</v>
      </c>
      <c r="AI19" s="1050">
        <f>ХР!AP45</f>
        <v>406.01364163361512</v>
      </c>
      <c r="AJ19" s="1009">
        <f t="shared" si="29"/>
        <v>0.82981063676699851</v>
      </c>
      <c r="AK19" s="1009">
        <f>AI19-AL19</f>
        <v>401.99992714740961</v>
      </c>
      <c r="AL19" s="1047">
        <f>AA19*1.076</f>
        <v>4.0137144862055152</v>
      </c>
      <c r="AM19" s="1331" t="e">
        <f>#REF!*Z19/Y19</f>
        <v>#REF!</v>
      </c>
      <c r="AN19" s="1334" t="e">
        <f>#REF!-AM19</f>
        <v>#REF!</v>
      </c>
      <c r="AO19" s="1363" t="e">
        <f t="shared" si="30"/>
        <v>#REF!</v>
      </c>
      <c r="AP19" s="1050">
        <f>SUM(ХР!AT45)</f>
        <v>0</v>
      </c>
      <c r="AQ19" s="1009">
        <f>SUM(AQ55/AP55)*AP19</f>
        <v>0</v>
      </c>
      <c r="AR19" s="1047">
        <f>AP19-AQ19</f>
        <v>0</v>
      </c>
      <c r="AS19" s="1050">
        <f>SUM(ХР!AX45)</f>
        <v>0</v>
      </c>
      <c r="AT19" s="1009">
        <f>SUM(AT55/AS55)*AS19</f>
        <v>0</v>
      </c>
      <c r="AU19" s="1047">
        <f>AS19-AT19</f>
        <v>0</v>
      </c>
      <c r="AV19" s="1050">
        <v>356.78</v>
      </c>
      <c r="AW19" s="1009">
        <f>SUM(AW55/AV55)*AV19</f>
        <v>354.18135628280811</v>
      </c>
      <c r="AX19" s="1047">
        <f>AV19-AW19</f>
        <v>2.5986437171918624</v>
      </c>
      <c r="AY19" s="1050">
        <v>347.67</v>
      </c>
      <c r="AZ19" s="1114">
        <f t="shared" ref="AZ19" si="77">SUM(AY19/AI19)</f>
        <v>0.8563012774672627</v>
      </c>
      <c r="BA19" s="1009">
        <f>SUM(BA55/AY55)*AY19</f>
        <v>345.76968860062743</v>
      </c>
      <c r="BB19" s="1047">
        <f>AY19-BA19</f>
        <v>1.9003113993725833</v>
      </c>
      <c r="BC19" s="1050">
        <f>SUM(ХР!BL45)</f>
        <v>229.75931518119856</v>
      </c>
      <c r="BD19" s="1302">
        <f t="shared" si="39"/>
        <v>0.56589062933144574</v>
      </c>
      <c r="BE19" s="1009">
        <f>BC19-BF19</f>
        <v>176.75931518119856</v>
      </c>
      <c r="BF19" s="1047">
        <v>53</v>
      </c>
      <c r="BG19" s="1973" t="str">
        <f>вода!BK19</f>
        <v>Приложение</v>
      </c>
      <c r="BH19" s="1050">
        <f>SUM(ХР!BT45)</f>
        <v>268.25635</v>
      </c>
      <c r="BI19" s="1009">
        <f>SUM(BI55/BH55)*BH19</f>
        <v>266.51695400168597</v>
      </c>
      <c r="BJ19" s="1047">
        <f>BH19-BI19</f>
        <v>1.7393959983140235</v>
      </c>
      <c r="BK19" s="1050">
        <f>SUM(ХР!BX45)</f>
        <v>443.16558899999995</v>
      </c>
      <c r="BL19" s="1009">
        <f>SUM(BL55/BK55)*BK19</f>
        <v>440.2160996013987</v>
      </c>
      <c r="BM19" s="1047">
        <f>BK19-BL19</f>
        <v>2.9494893986012585</v>
      </c>
      <c r="BN19" s="1050">
        <f>SUM(ХР!CB45)</f>
        <v>652.05999999999995</v>
      </c>
      <c r="BO19" s="1009">
        <f>SUM(BO55/BN55)*BN19</f>
        <v>647.66180206370097</v>
      </c>
      <c r="BP19" s="1047">
        <f>BN19-BO19</f>
        <v>4.3981979362989705</v>
      </c>
      <c r="BQ19" s="1050">
        <f>SUM(ХР!CG45)</f>
        <v>409.83814715477445</v>
      </c>
      <c r="BR19" s="2165">
        <f t="shared" si="43"/>
        <v>1.7837716256751444</v>
      </c>
      <c r="BS19" s="1009">
        <f>SUM(BS55/BQ55)*BQ19</f>
        <v>406.91345668485206</v>
      </c>
      <c r="BT19" s="1047">
        <f>BQ19-BS19</f>
        <v>2.9246904699223819</v>
      </c>
      <c r="BU19" s="1050">
        <f>SUM(ХР!CL45)</f>
        <v>310.00924898576147</v>
      </c>
      <c r="BV19" s="3822">
        <f t="shared" si="31"/>
        <v>1.3492782599098287</v>
      </c>
      <c r="BW19" s="1009">
        <f>SUM(BW55/BU55)*BU19</f>
        <v>307.84579219241471</v>
      </c>
      <c r="BX19" s="1047">
        <f>BU19-BW19</f>
        <v>2.1634567933467679</v>
      </c>
      <c r="BY19" s="3951">
        <f>SUM(ХР!CS45)</f>
        <v>261.05900000000003</v>
      </c>
      <c r="BZ19" s="3952">
        <f>SUM(BZ55/BY55)*BY19</f>
        <v>259.54497677060903</v>
      </c>
      <c r="CA19" s="3952">
        <f>BY19-BZ19</f>
        <v>1.5140232293910003</v>
      </c>
      <c r="CB19" s="3952">
        <f>SUM(ХР!CW45)</f>
        <v>415.68</v>
      </c>
      <c r="CC19" s="3952">
        <f>SUM(CC55/CB55)*CB19</f>
        <v>413.1511739658327</v>
      </c>
      <c r="CD19" s="3952">
        <f>CB19-CC19</f>
        <v>2.5288260341673094</v>
      </c>
      <c r="CE19" s="3952">
        <f>SUM(ХР!DA45)</f>
        <v>429.48666666666668</v>
      </c>
      <c r="CF19" s="3952">
        <f>SUM(CF55/CE55)*CE19</f>
        <v>426.71578494623657</v>
      </c>
      <c r="CG19" s="3606">
        <f>CE19-CF19</f>
        <v>2.7708817204301113</v>
      </c>
      <c r="CH19" s="1050">
        <f>SUM(ХР!DF45)</f>
        <v>324.70988757266628</v>
      </c>
      <c r="CI19" s="3978">
        <f t="shared" si="32"/>
        <v>1.04742</v>
      </c>
      <c r="CJ19" s="1009">
        <f>SUM(CJ55/CH55)*CH19</f>
        <v>322.41405990154078</v>
      </c>
      <c r="CK19" s="1047">
        <f>CH19-CJ19</f>
        <v>2.2958276711254939</v>
      </c>
      <c r="CL19" s="1050">
        <f>SUM(ХР!DK45)</f>
        <v>326.33343701052956</v>
      </c>
      <c r="CM19" s="4017">
        <f t="shared" si="33"/>
        <v>1.0526570999999998</v>
      </c>
      <c r="CN19" s="1009">
        <f>SUM(CL19-CO19)</f>
        <v>324.01662962275776</v>
      </c>
      <c r="CO19" s="1047">
        <f>SUM(BX19*(1-0.01)*(1+0.058)*(1+0))*1.0224</f>
        <v>2.316807387771787</v>
      </c>
    </row>
    <row r="20" spans="1:93" ht="21" customHeight="1">
      <c r="A20" s="1340" t="s">
        <v>2</v>
      </c>
      <c r="B20" s="1169">
        <v>1528</v>
      </c>
      <c r="C20" s="1360">
        <v>1086.5999999999999</v>
      </c>
      <c r="D20" s="1355">
        <f t="shared" si="0"/>
        <v>71.112565445026178</v>
      </c>
      <c r="E20" s="1360">
        <v>1110.8</v>
      </c>
      <c r="F20" s="1355">
        <f t="shared" si="23"/>
        <v>102.2271304988036</v>
      </c>
      <c r="G20" s="1360">
        <v>1206.3</v>
      </c>
      <c r="H20" s="1355">
        <f t="shared" si="2"/>
        <v>108.59740727403673</v>
      </c>
      <c r="I20" s="377">
        <v>1250</v>
      </c>
      <c r="J20" s="377">
        <v>602.20000000000005</v>
      </c>
      <c r="K20" s="377">
        <v>752.7</v>
      </c>
      <c r="L20" s="377">
        <v>994.7</v>
      </c>
      <c r="M20" s="1361">
        <f t="shared" si="24"/>
        <v>82.458758186189186</v>
      </c>
      <c r="N20" s="377">
        <v>1346.6</v>
      </c>
      <c r="O20" s="1362">
        <f t="shared" si="25"/>
        <v>107.72800000000001</v>
      </c>
      <c r="P20" s="377">
        <v>1281</v>
      </c>
      <c r="Q20" s="1361">
        <f t="shared" si="26"/>
        <v>102.47999999999999</v>
      </c>
      <c r="R20" s="1361">
        <f t="shared" si="27"/>
        <v>128.78254750175932</v>
      </c>
      <c r="S20" s="377" t="e">
        <f>P20/P55*S55</f>
        <v>#REF!</v>
      </c>
      <c r="T20" s="377" t="e">
        <f t="shared" si="76"/>
        <v>#REF!</v>
      </c>
      <c r="U20" s="377">
        <v>720.7</v>
      </c>
      <c r="V20" s="1136"/>
      <c r="W20" s="1296">
        <v>1281</v>
      </c>
      <c r="X20" s="1786"/>
      <c r="Y20" s="1050">
        <f>Аморт!G27</f>
        <v>960.93</v>
      </c>
      <c r="Z20" s="1009">
        <f>($Z$55/$Y$55)*Y20</f>
        <v>953.60404361913572</v>
      </c>
      <c r="AA20" s="1047">
        <f>Y20-Z20</f>
        <v>7.325956380864227</v>
      </c>
      <c r="AB20" s="1050">
        <f>SUM(Аморт!L27)</f>
        <v>833.9</v>
      </c>
      <c r="AC20" s="1009">
        <f>SUM(AC55/AB55)*AB20</f>
        <v>826.65537080720333</v>
      </c>
      <c r="AD20" s="1047">
        <f>AB20-AC20</f>
        <v>7.2446291927966513</v>
      </c>
      <c r="AE20" s="1050">
        <v>960.9</v>
      </c>
      <c r="AF20" s="1009">
        <f t="shared" si="28"/>
        <v>0.99996878024413849</v>
      </c>
      <c r="AG20" s="1009">
        <v>960.9</v>
      </c>
      <c r="AH20" s="1047">
        <v>0</v>
      </c>
      <c r="AI20" s="1050">
        <f>Аморт!O27</f>
        <v>960.9</v>
      </c>
      <c r="AJ20" s="1009">
        <f t="shared" si="29"/>
        <v>0.99996878024413849</v>
      </c>
      <c r="AK20" s="1009">
        <f>AI20</f>
        <v>960.9</v>
      </c>
      <c r="AL20" s="1047"/>
      <c r="AM20" s="1331" t="e">
        <f>#REF!*Z20/Y20</f>
        <v>#REF!</v>
      </c>
      <c r="AN20" s="1334" t="e">
        <f>#REF!-AM20</f>
        <v>#REF!</v>
      </c>
      <c r="AO20" s="1363" t="e">
        <f t="shared" si="30"/>
        <v>#REF!</v>
      </c>
      <c r="AP20" s="1050">
        <f>SUM(Аморт!Q27)</f>
        <v>407.8</v>
      </c>
      <c r="AQ20" s="1009">
        <f>SUM(AQ55/AP55)*AP20</f>
        <v>405.4397129415708</v>
      </c>
      <c r="AR20" s="1047">
        <f>AP20-AQ20</f>
        <v>2.3602870584292077</v>
      </c>
      <c r="AS20" s="1050">
        <f>SUM(Аморт!R27)</f>
        <v>588.73</v>
      </c>
      <c r="AT20" s="1009">
        <f>SUM(AT55/AS55)*AS20</f>
        <v>585.26022740384417</v>
      </c>
      <c r="AU20" s="1047">
        <f>AS20-AT20</f>
        <v>3.469772596155849</v>
      </c>
      <c r="AV20" s="1050">
        <v>717.01</v>
      </c>
      <c r="AW20" s="1009">
        <f>SUM(AW55/AV55)*AV20</f>
        <v>711.78758413682453</v>
      </c>
      <c r="AX20" s="1047">
        <f>AV20-AW20</f>
        <v>5.2224158631754563</v>
      </c>
      <c r="AY20" s="1050">
        <f>SUM(Аморт!U27)</f>
        <v>960.9</v>
      </c>
      <c r="AZ20" s="1114">
        <f t="shared" si="45"/>
        <v>1</v>
      </c>
      <c r="BA20" s="1009">
        <f>SUM(BA55/AY55)*AY20</f>
        <v>955.64786658711671</v>
      </c>
      <c r="BB20" s="1047">
        <f>AY20-BA20</f>
        <v>5.2521334128832677</v>
      </c>
      <c r="BC20" s="1050">
        <f>SUM(Аморт!V27)</f>
        <v>960.9</v>
      </c>
      <c r="BD20" s="1302">
        <f t="shared" si="39"/>
        <v>1</v>
      </c>
      <c r="BE20" s="1009">
        <f>SUM(BE55/BC55)*BC20</f>
        <v>955.64786658711671</v>
      </c>
      <c r="BF20" s="1047">
        <f>BC20-BE20</f>
        <v>5.2521334128832677</v>
      </c>
      <c r="BG20" s="1974" t="str">
        <f>BG10</f>
        <v>Приложение</v>
      </c>
      <c r="BH20" s="1050">
        <f>SUM(Аморт!AB27)</f>
        <v>290.64999999999998</v>
      </c>
      <c r="BI20" s="1009">
        <f>SUM(BI55/BH55)*BH20</f>
        <v>288.76540175317388</v>
      </c>
      <c r="BJ20" s="1047">
        <f>BH20-BI20</f>
        <v>1.8845982468261013</v>
      </c>
      <c r="BK20" s="1050">
        <f>SUM(Аморт!AC27)</f>
        <v>439.48</v>
      </c>
      <c r="BL20" s="1009">
        <f>SUM(BL55/BK55)*BK20</f>
        <v>436.55504004581621</v>
      </c>
      <c r="BM20" s="1047">
        <f>BK20-BL20</f>
        <v>2.9249599541838052</v>
      </c>
      <c r="BN20" s="1050">
        <f>SUM(Аморт!AD27)</f>
        <v>588.47</v>
      </c>
      <c r="BO20" s="1009">
        <f>SUM(BO55/BN55)*BN20</f>
        <v>584.50072180539541</v>
      </c>
      <c r="BP20" s="1047">
        <f>BN20-BO20</f>
        <v>3.9692781946046125</v>
      </c>
      <c r="BQ20" s="1050">
        <f>SUM(Аморт!AE27)</f>
        <v>717.01</v>
      </c>
      <c r="BR20" s="2165">
        <f t="shared" si="43"/>
        <v>0.74618586741596415</v>
      </c>
      <c r="BS20" s="1009">
        <f>SUM(BS55/BQ55)*BQ20</f>
        <v>711.89326714241395</v>
      </c>
      <c r="BT20" s="1047">
        <f>BQ20-BS20</f>
        <v>5.1167328575860438</v>
      </c>
      <c r="BU20" s="1050">
        <f>SUM(BW20:BX20)</f>
        <v>717.01</v>
      </c>
      <c r="BV20" s="3822">
        <f t="shared" si="31"/>
        <v>0.74618586741596415</v>
      </c>
      <c r="BW20" s="1009">
        <v>711.89</v>
      </c>
      <c r="BX20" s="1047">
        <v>5.12</v>
      </c>
      <c r="BY20" s="3951">
        <f>SUM(Аморт!AH27)</f>
        <v>271.14999999999998</v>
      </c>
      <c r="BZ20" s="3952">
        <f>SUM(BZ55/BY55)*BY20</f>
        <v>269.57745356931048</v>
      </c>
      <c r="CA20" s="3952">
        <f>BY20-BZ20</f>
        <v>1.5725464306894992</v>
      </c>
      <c r="CB20" s="3952">
        <f>SUM(Аморт!AI27)</f>
        <v>399.79</v>
      </c>
      <c r="CC20" s="3952">
        <f>SUM(CC55/CB55)*CB20</f>
        <v>397.35784218581665</v>
      </c>
      <c r="CD20" s="3952">
        <f>CB20-CC20</f>
        <v>2.4321578141833697</v>
      </c>
      <c r="CE20" s="3952">
        <f>SUM(Аморт!AJ27)</f>
        <v>533.0533333333334</v>
      </c>
      <c r="CF20" s="3952">
        <f>SUM(CF55/CE55)*CE20</f>
        <v>529.61427956989257</v>
      </c>
      <c r="CG20" s="3606">
        <f>CE20-CF20</f>
        <v>3.4390537634408247</v>
      </c>
      <c r="CH20" s="1050">
        <f>SUM(Аморт!AK27)</f>
        <v>588.47</v>
      </c>
      <c r="CI20" s="3978">
        <f t="shared" si="32"/>
        <v>0.82072774438292362</v>
      </c>
      <c r="CJ20" s="1009">
        <f>SUM(CJ55/CH55)*CH20</f>
        <v>584.30928373808797</v>
      </c>
      <c r="CK20" s="1047">
        <f>CH20-CJ20</f>
        <v>4.1607162619120572</v>
      </c>
      <c r="CL20" s="1050">
        <f>SUM(Аморт!AL27)</f>
        <v>588.47</v>
      </c>
      <c r="CM20" s="4017">
        <f t="shared" si="33"/>
        <v>0.82072774438292362</v>
      </c>
      <c r="CN20" s="1009">
        <f>SUM(CL20-CO20)</f>
        <v>583.35</v>
      </c>
      <c r="CO20" s="1047">
        <v>5.12</v>
      </c>
    </row>
    <row r="21" spans="1:93" ht="21" customHeight="1">
      <c r="A21" s="1340" t="s">
        <v>69</v>
      </c>
      <c r="B21" s="1169">
        <v>56.9</v>
      </c>
      <c r="C21" s="1369">
        <v>110.1</v>
      </c>
      <c r="D21" s="1355">
        <f t="shared" si="0"/>
        <v>193.49736379613356</v>
      </c>
      <c r="E21" s="1369">
        <v>25.8</v>
      </c>
      <c r="F21" s="1355">
        <f t="shared" si="23"/>
        <v>23.43324250681199</v>
      </c>
      <c r="G21" s="1360"/>
      <c r="H21" s="1355">
        <f t="shared" si="2"/>
        <v>0</v>
      </c>
      <c r="I21" s="377">
        <v>0</v>
      </c>
      <c r="J21" s="377">
        <v>31</v>
      </c>
      <c r="K21" s="377">
        <v>42.2</v>
      </c>
      <c r="L21" s="377">
        <v>51.9</v>
      </c>
      <c r="M21" s="1361"/>
      <c r="N21" s="377"/>
      <c r="O21" s="1362"/>
      <c r="P21" s="377"/>
      <c r="Q21" s="1361"/>
      <c r="R21" s="1361"/>
      <c r="S21" s="377"/>
      <c r="T21" s="377">
        <f t="shared" si="76"/>
        <v>0</v>
      </c>
      <c r="U21" s="377"/>
      <c r="V21" s="1136"/>
      <c r="W21" s="1296">
        <v>55.65</v>
      </c>
      <c r="X21" s="1786"/>
      <c r="Y21" s="1050">
        <v>0</v>
      </c>
      <c r="Z21" s="1009">
        <f>($Z$55/$Y$55)*Y21</f>
        <v>0</v>
      </c>
      <c r="AA21" s="1047">
        <f>Y21-Z21</f>
        <v>0</v>
      </c>
      <c r="AB21" s="1050">
        <v>0</v>
      </c>
      <c r="AC21" s="1009">
        <v>0</v>
      </c>
      <c r="AD21" s="1047">
        <v>0</v>
      </c>
      <c r="AE21" s="1050">
        <v>0</v>
      </c>
      <c r="AF21" s="1009"/>
      <c r="AG21" s="1009">
        <v>290</v>
      </c>
      <c r="AH21" s="1047">
        <v>0</v>
      </c>
      <c r="AI21" s="1050">
        <v>0</v>
      </c>
      <c r="AJ21" s="1009"/>
      <c r="AK21" s="1009">
        <v>0</v>
      </c>
      <c r="AL21" s="1047">
        <v>0</v>
      </c>
      <c r="AM21" s="1331" t="e">
        <f>#REF!</f>
        <v>#REF!</v>
      </c>
      <c r="AN21" s="1334" t="e">
        <f>#REF!-AM21</f>
        <v>#REF!</v>
      </c>
      <c r="AO21" s="1363" t="e">
        <f t="shared" si="30"/>
        <v>#REF!</v>
      </c>
      <c r="AP21" s="1050">
        <v>0</v>
      </c>
      <c r="AQ21" s="1009">
        <v>0</v>
      </c>
      <c r="AR21" s="1047">
        <v>0</v>
      </c>
      <c r="AS21" s="1050">
        <v>0</v>
      </c>
      <c r="AT21" s="1009">
        <v>0</v>
      </c>
      <c r="AU21" s="1047">
        <v>0</v>
      </c>
      <c r="AV21" s="1050">
        <v>0</v>
      </c>
      <c r="AW21" s="1009">
        <v>0</v>
      </c>
      <c r="AX21" s="1047">
        <v>0</v>
      </c>
      <c r="AY21" s="1050">
        <v>0</v>
      </c>
      <c r="AZ21" s="1114">
        <v>0</v>
      </c>
      <c r="BA21" s="1009">
        <v>0</v>
      </c>
      <c r="BB21" s="1047">
        <v>0</v>
      </c>
      <c r="BC21" s="1050">
        <v>0</v>
      </c>
      <c r="BD21" s="1302">
        <v>0</v>
      </c>
      <c r="BE21" s="1009">
        <v>0</v>
      </c>
      <c r="BF21" s="1047">
        <v>0</v>
      </c>
      <c r="BG21" s="1974" t="s">
        <v>250</v>
      </c>
      <c r="BH21" s="1050">
        <v>0</v>
      </c>
      <c r="BI21" s="1009">
        <v>0</v>
      </c>
      <c r="BJ21" s="1047">
        <v>0</v>
      </c>
      <c r="BK21" s="1050">
        <v>0</v>
      </c>
      <c r="BL21" s="1009">
        <v>0</v>
      </c>
      <c r="BM21" s="1047">
        <v>0</v>
      </c>
      <c r="BN21" s="1050">
        <v>0</v>
      </c>
      <c r="BO21" s="1009">
        <v>0</v>
      </c>
      <c r="BP21" s="1047">
        <v>0</v>
      </c>
      <c r="BQ21" s="1050">
        <v>0</v>
      </c>
      <c r="BR21" s="2165"/>
      <c r="BS21" s="1009">
        <v>0</v>
      </c>
      <c r="BT21" s="1047">
        <v>0</v>
      </c>
      <c r="BU21" s="1050">
        <v>0</v>
      </c>
      <c r="BV21" s="3822"/>
      <c r="BW21" s="1009">
        <v>0</v>
      </c>
      <c r="BX21" s="1047">
        <v>0</v>
      </c>
      <c r="BY21" s="3951">
        <v>0</v>
      </c>
      <c r="BZ21" s="3952">
        <v>0</v>
      </c>
      <c r="CA21" s="3952">
        <v>0</v>
      </c>
      <c r="CB21" s="3952">
        <v>0</v>
      </c>
      <c r="CC21" s="3952">
        <v>0</v>
      </c>
      <c r="CD21" s="3952">
        <v>0</v>
      </c>
      <c r="CE21" s="3952">
        <v>0</v>
      </c>
      <c r="CF21" s="3952">
        <v>0</v>
      </c>
      <c r="CG21" s="3606">
        <v>0</v>
      </c>
      <c r="CH21" s="1050">
        <v>0</v>
      </c>
      <c r="CI21" s="3978"/>
      <c r="CJ21" s="1009">
        <v>0</v>
      </c>
      <c r="CK21" s="1047">
        <v>0</v>
      </c>
      <c r="CL21" s="1050">
        <v>0</v>
      </c>
      <c r="CM21" s="4017"/>
      <c r="CN21" s="1009">
        <v>0</v>
      </c>
      <c r="CO21" s="1047">
        <v>0</v>
      </c>
    </row>
    <row r="22" spans="1:93" ht="30" customHeight="1">
      <c r="A22" s="1340" t="s">
        <v>3</v>
      </c>
      <c r="B22" s="1169">
        <v>1425.1</v>
      </c>
      <c r="C22" s="1360">
        <v>504.9</v>
      </c>
      <c r="D22" s="1355">
        <f t="shared" si="0"/>
        <v>35.429092695249459</v>
      </c>
      <c r="E22" s="1360">
        <v>828</v>
      </c>
      <c r="F22" s="1355">
        <f t="shared" si="23"/>
        <v>163.99286987522282</v>
      </c>
      <c r="G22" s="1360">
        <v>514.29999999999995</v>
      </c>
      <c r="H22" s="1355">
        <f t="shared" si="2"/>
        <v>62.113526570048307</v>
      </c>
      <c r="I22" s="377">
        <v>841.5</v>
      </c>
      <c r="J22" s="377">
        <v>339.9</v>
      </c>
      <c r="K22" s="377">
        <v>245.3</v>
      </c>
      <c r="L22" s="377">
        <v>279.7</v>
      </c>
      <c r="M22" s="1361">
        <f t="shared" si="24"/>
        <v>54.384600427765896</v>
      </c>
      <c r="N22" s="377">
        <v>925.65</v>
      </c>
      <c r="O22" s="1362">
        <f t="shared" si="25"/>
        <v>109.99999999999999</v>
      </c>
      <c r="P22" s="377">
        <v>882.7</v>
      </c>
      <c r="Q22" s="1361">
        <f t="shared" si="26"/>
        <v>104.89601901366608</v>
      </c>
      <c r="R22" s="1361">
        <f t="shared" si="27"/>
        <v>315.58813013943512</v>
      </c>
      <c r="S22" s="377" t="e">
        <f>P22/P55*S55</f>
        <v>#REF!</v>
      </c>
      <c r="T22" s="377" t="e">
        <f t="shared" si="76"/>
        <v>#REF!</v>
      </c>
      <c r="U22" s="377">
        <v>102.4</v>
      </c>
      <c r="V22" s="1136"/>
      <c r="W22" s="1296">
        <v>906</v>
      </c>
      <c r="X22" s="1786"/>
      <c r="Y22" s="1050">
        <f>U22/3*4*1.048+1.3</f>
        <v>144.38693333333336</v>
      </c>
      <c r="Z22" s="1009">
        <f>Y22</f>
        <v>144.38693333333336</v>
      </c>
      <c r="AA22" s="1047">
        <v>0.3</v>
      </c>
      <c r="AB22" s="1050">
        <f>SUM(AC22:AD22)</f>
        <v>195.4</v>
      </c>
      <c r="AC22" s="1009">
        <v>195.4</v>
      </c>
      <c r="AD22" s="1047">
        <v>0</v>
      </c>
      <c r="AE22" s="1050">
        <v>290</v>
      </c>
      <c r="AF22" s="1009">
        <f t="shared" si="28"/>
        <v>2.0084919965056853</v>
      </c>
      <c r="AG22" s="1009">
        <v>290</v>
      </c>
      <c r="AH22" s="1047">
        <v>0</v>
      </c>
      <c r="AI22" s="1050">
        <v>0</v>
      </c>
      <c r="AJ22" s="1009"/>
      <c r="AK22" s="1009">
        <f>AI22-AL22</f>
        <v>0</v>
      </c>
      <c r="AL22" s="1047">
        <v>0</v>
      </c>
      <c r="AM22" s="1331" t="e">
        <f>#REF!*Z22/Y22</f>
        <v>#REF!</v>
      </c>
      <c r="AN22" s="1334" t="e">
        <f>#REF!-AM22</f>
        <v>#REF!</v>
      </c>
      <c r="AO22" s="1363" t="e">
        <f t="shared" si="30"/>
        <v>#REF!</v>
      </c>
      <c r="AP22" s="1050">
        <f>SUM(AQ22:AR22)</f>
        <v>0</v>
      </c>
      <c r="AQ22" s="1009">
        <v>0</v>
      </c>
      <c r="AR22" s="1047">
        <v>0</v>
      </c>
      <c r="AS22" s="1050">
        <f>SUM(AT22:AU22)</f>
        <v>0</v>
      </c>
      <c r="AT22" s="1009">
        <v>0</v>
      </c>
      <c r="AU22" s="1047">
        <v>0</v>
      </c>
      <c r="AV22" s="1050">
        <v>683.31</v>
      </c>
      <c r="AW22" s="1009">
        <f>SUM(AV22)</f>
        <v>683.31</v>
      </c>
      <c r="AX22" s="1047">
        <f>AV22-AW22</f>
        <v>0</v>
      </c>
      <c r="AY22" s="1050">
        <f>SUM(BA22:BB22)</f>
        <v>195.4</v>
      </c>
      <c r="AZ22" s="1114"/>
      <c r="BA22" s="1009">
        <f>SUM(AC22)</f>
        <v>195.4</v>
      </c>
      <c r="BB22" s="1047">
        <v>0</v>
      </c>
      <c r="BC22" s="1050">
        <f>SUM(BE22:BF22)</f>
        <v>0</v>
      </c>
      <c r="BD22" s="1302">
        <v>0</v>
      </c>
      <c r="BE22" s="1009">
        <v>0</v>
      </c>
      <c r="BF22" s="1047">
        <v>0</v>
      </c>
      <c r="BG22" s="1973" t="str">
        <f>BG12</f>
        <v>Выполнять за счет амортизации</v>
      </c>
      <c r="BH22" s="1050">
        <f>SUM(BI22:BJ22)</f>
        <v>172.77</v>
      </c>
      <c r="BI22" s="1009">
        <v>172.77</v>
      </c>
      <c r="BJ22" s="1047">
        <v>0</v>
      </c>
      <c r="BK22" s="1050">
        <f>SUM(BL22:BM22)</f>
        <v>281.32</v>
      </c>
      <c r="BL22" s="1009">
        <v>281.32</v>
      </c>
      <c r="BM22" s="1047">
        <v>0</v>
      </c>
      <c r="BN22" s="1050">
        <f>SUM(BO22:BP22)</f>
        <v>347.31</v>
      </c>
      <c r="BO22" s="1009">
        <v>347.31</v>
      </c>
      <c r="BP22" s="1047">
        <v>0</v>
      </c>
      <c r="BQ22" s="1050">
        <f>SUM(AV22/2)</f>
        <v>341.65499999999997</v>
      </c>
      <c r="BR22" s="2165"/>
      <c r="BS22" s="1009">
        <f>SUM(BS55/BQ55)*BQ22</f>
        <v>339.21687868445548</v>
      </c>
      <c r="BT22" s="1047">
        <f>BQ22-BS22</f>
        <v>2.4381213155444925</v>
      </c>
      <c r="BU22" s="1267">
        <f>BC22*(1-0.01)*(1+0.071)*(1+0)</f>
        <v>0</v>
      </c>
      <c r="BV22" s="3822"/>
      <c r="BW22" s="1009">
        <v>0</v>
      </c>
      <c r="BX22" s="1047">
        <v>0</v>
      </c>
      <c r="BY22" s="3951">
        <f>SUM(BZ22:CA22)</f>
        <v>720.54</v>
      </c>
      <c r="BZ22" s="3952">
        <v>720.54</v>
      </c>
      <c r="CA22" s="3952">
        <v>0</v>
      </c>
      <c r="CB22" s="3952">
        <f>SUM(CC22:CD22)</f>
        <v>761.04</v>
      </c>
      <c r="CC22" s="3952">
        <v>761.04</v>
      </c>
      <c r="CD22" s="3952">
        <v>0</v>
      </c>
      <c r="CE22" s="3952">
        <f>SUM(CF22:CG22)</f>
        <v>1014.72</v>
      </c>
      <c r="CF22" s="3952">
        <f>SUM(CB22/9*12)</f>
        <v>1014.72</v>
      </c>
      <c r="CG22" s="3606">
        <v>0</v>
      </c>
      <c r="CH22" s="1050">
        <v>0</v>
      </c>
      <c r="CI22" s="3978"/>
      <c r="CJ22" s="1009">
        <f>SUM(CH22)</f>
        <v>0</v>
      </c>
      <c r="CK22" s="1047">
        <f>CH22-CJ22</f>
        <v>0</v>
      </c>
      <c r="CL22" s="1267">
        <v>0</v>
      </c>
      <c r="CM22" s="4017"/>
      <c r="CN22" s="1009">
        <f>SUM(CL22)</f>
        <v>0</v>
      </c>
      <c r="CO22" s="1047">
        <v>0</v>
      </c>
    </row>
    <row r="23" spans="1:93" ht="21" customHeight="1">
      <c r="A23" s="1340" t="s">
        <v>4</v>
      </c>
      <c r="B23" s="1169">
        <v>10755.2</v>
      </c>
      <c r="C23" s="1360">
        <v>13034.8</v>
      </c>
      <c r="D23" s="1355">
        <f t="shared" si="0"/>
        <v>121.19532877119903</v>
      </c>
      <c r="E23" s="1360">
        <v>13879</v>
      </c>
      <c r="F23" s="1355">
        <f t="shared" si="23"/>
        <v>106.47650903734618</v>
      </c>
      <c r="G23" s="1360">
        <v>13019.43</v>
      </c>
      <c r="H23" s="1355">
        <f t="shared" si="2"/>
        <v>93.806686360688815</v>
      </c>
      <c r="I23" s="377">
        <v>14405.8</v>
      </c>
      <c r="J23" s="377">
        <v>6804.3</v>
      </c>
      <c r="K23" s="377">
        <v>9271.6</v>
      </c>
      <c r="L23" s="377">
        <v>13327.1</v>
      </c>
      <c r="M23" s="1361">
        <f t="shared" si="24"/>
        <v>102.36316029196362</v>
      </c>
      <c r="N23" s="377">
        <v>16932.900000000001</v>
      </c>
      <c r="O23" s="1362">
        <f t="shared" si="25"/>
        <v>117.54223993113885</v>
      </c>
      <c r="P23" s="377">
        <f>ЗП!AP16</f>
        <v>15428.825999999999</v>
      </c>
      <c r="Q23" s="1361">
        <f t="shared" si="26"/>
        <v>107.10148690110928</v>
      </c>
      <c r="R23" s="1361">
        <f t="shared" si="27"/>
        <v>115.77031762348898</v>
      </c>
      <c r="S23" s="377" t="e">
        <f>P23/P55*S55</f>
        <v>#REF!</v>
      </c>
      <c r="T23" s="377" t="e">
        <f t="shared" si="76"/>
        <v>#REF!</v>
      </c>
      <c r="U23" s="377">
        <v>11392.9</v>
      </c>
      <c r="V23" s="1136"/>
      <c r="W23" s="1296">
        <v>17655.599999999999</v>
      </c>
      <c r="X23" s="1786"/>
      <c r="Y23" s="1050">
        <f>ЗП!U31</f>
        <v>15960.333312000001</v>
      </c>
      <c r="Z23" s="1009">
        <f>($Z$55/$Y$55)*Y23</f>
        <v>15838.654619829118</v>
      </c>
      <c r="AA23" s="1047">
        <f>Y23-Z23</f>
        <v>121.67869217088264</v>
      </c>
      <c r="AB23" s="1050">
        <v>14386.3</v>
      </c>
      <c r="AC23" s="1009">
        <f>SUM(AC55/AB55)*AB23</f>
        <v>14261.316897761924</v>
      </c>
      <c r="AD23" s="1047">
        <f>AB23-AC23</f>
        <v>124.98310223807493</v>
      </c>
      <c r="AE23" s="1050">
        <v>17655.599999999999</v>
      </c>
      <c r="AF23" s="1009">
        <f t="shared" si="28"/>
        <v>1.1062174990246216</v>
      </c>
      <c r="AG23" s="1009">
        <v>17525.77</v>
      </c>
      <c r="AH23" s="1047">
        <v>129.83000000000001</v>
      </c>
      <c r="AI23" s="1050">
        <f>ЗП!BB31</f>
        <v>17655.599999999999</v>
      </c>
      <c r="AJ23" s="1009">
        <f t="shared" si="29"/>
        <v>1.1062174990246216</v>
      </c>
      <c r="AK23" s="1009">
        <f>AI23-AL23</f>
        <v>17525.768835453666</v>
      </c>
      <c r="AL23" s="1047">
        <f>AA23*1.067</f>
        <v>129.83116454633176</v>
      </c>
      <c r="AM23" s="1331" t="e">
        <f>#REF!*Z23/Y23</f>
        <v>#REF!</v>
      </c>
      <c r="AN23" s="1334" t="e">
        <f>#REF!-AM23</f>
        <v>#REF!</v>
      </c>
      <c r="AO23" s="1363" t="e">
        <f t="shared" si="30"/>
        <v>#REF!</v>
      </c>
      <c r="AP23" s="1050">
        <f>SUM(ЗП!BG31)</f>
        <v>7216.8</v>
      </c>
      <c r="AQ23" s="1009">
        <f>SUM(AQ55/AP55)*AP23</f>
        <v>7175.0302117624524</v>
      </c>
      <c r="AR23" s="1047">
        <f>AP23-AQ23</f>
        <v>41.7697882375478</v>
      </c>
      <c r="AS23" s="1050">
        <f>SUM(ЗП!BK31)</f>
        <v>11302.5</v>
      </c>
      <c r="AT23" s="1009">
        <f>SUM(AT55/AS55)*AS23</f>
        <v>11235.88694347485</v>
      </c>
      <c r="AU23" s="1047">
        <f>AS23-AT23</f>
        <v>66.613056525149659</v>
      </c>
      <c r="AV23" s="1050">
        <v>15274.15</v>
      </c>
      <c r="AW23" s="1009">
        <f>SUM(AW55/AV55)*AV23</f>
        <v>15162.89916213648</v>
      </c>
      <c r="AX23" s="1047">
        <f>AV23-AW23</f>
        <v>111.25083786351934</v>
      </c>
      <c r="AY23" s="1050">
        <v>19817.509999999998</v>
      </c>
      <c r="AZ23" s="1114">
        <f t="shared" si="45"/>
        <v>1.1224489680328054</v>
      </c>
      <c r="BA23" s="1009">
        <f>SUM(BA55/AY55)*AY23</f>
        <v>19709.190501164379</v>
      </c>
      <c r="BB23" s="1047">
        <f>AY23-BA23</f>
        <v>108.31949883561902</v>
      </c>
      <c r="BC23" s="1050">
        <f>SUM(ЗП!BW31)</f>
        <v>17552.1672</v>
      </c>
      <c r="BD23" s="1302">
        <f t="shared" si="39"/>
        <v>0.9941416434445729</v>
      </c>
      <c r="BE23" s="1009">
        <f>SUM(BE55/BC55)*BC23</f>
        <v>17456.229720741354</v>
      </c>
      <c r="BF23" s="1047">
        <f>BC23-BE23</f>
        <v>95.937479258645908</v>
      </c>
      <c r="BG23" s="1974" t="str">
        <f>BG13</f>
        <v>Приложение</v>
      </c>
      <c r="BH23" s="1050">
        <f>SUM(ЗП!CB31)</f>
        <v>7813.64</v>
      </c>
      <c r="BI23" s="1009">
        <f>SUM(BI55/BH55)*BH23</f>
        <v>7762.9757225345593</v>
      </c>
      <c r="BJ23" s="1047">
        <f>BH23-BI23</f>
        <v>50.664277465441046</v>
      </c>
      <c r="BK23" s="1050">
        <f>SUM(ЗП!CF31)</f>
        <v>12228.09</v>
      </c>
      <c r="BL23" s="1009">
        <f>SUM(BL55/BK55)*BK23</f>
        <v>12146.705924351152</v>
      </c>
      <c r="BM23" s="1047">
        <f>BK23-BL23</f>
        <v>81.384075648848011</v>
      </c>
      <c r="BN23" s="1050">
        <f>SUM(ЗП!CJ31)</f>
        <v>16390.27</v>
      </c>
      <c r="BO23" s="1009">
        <f>SUM(BO55/BN55)*BN23</f>
        <v>16279.716290695054</v>
      </c>
      <c r="BP23" s="1047">
        <f>BN23-BO23</f>
        <v>110.5537093049461</v>
      </c>
      <c r="BQ23" s="1050">
        <f>SUM(ЗП!CN31)</f>
        <v>19307.383919999997</v>
      </c>
      <c r="BR23" s="2165">
        <f t="shared" si="43"/>
        <v>1.0999999999999999</v>
      </c>
      <c r="BS23" s="1009">
        <f>SUM(BS55/BQ55)*BQ23</f>
        <v>19169.602402730372</v>
      </c>
      <c r="BT23" s="1047">
        <f>BQ23-BS23</f>
        <v>137.7815172696246</v>
      </c>
      <c r="BU23" s="1050">
        <f>SUM(ЗП!CR31)</f>
        <v>18610.387360487999</v>
      </c>
      <c r="BV23" s="3822">
        <f t="shared" si="31"/>
        <v>1.06029</v>
      </c>
      <c r="BW23" s="1009">
        <f>SUM(BW55/BU55)*BU23</f>
        <v>18480.511335519106</v>
      </c>
      <c r="BX23" s="1047">
        <f>BU23-BW23</f>
        <v>129.87602496889303</v>
      </c>
      <c r="BY23" s="3951">
        <f>SUM(ЗП!CV31)</f>
        <v>8076.88</v>
      </c>
      <c r="BZ23" s="3952">
        <f>SUM(BZ55/BY55)*BY23</f>
        <v>8030.0377768205517</v>
      </c>
      <c r="CA23" s="3952">
        <f>BY23-BZ23</f>
        <v>46.842223179448411</v>
      </c>
      <c r="CB23" s="3952">
        <f>SUM(ЗП!CY31)</f>
        <v>12425.48</v>
      </c>
      <c r="CC23" s="3952">
        <f>SUM(CC55/CB55)*CB23</f>
        <v>12349.888493766779</v>
      </c>
      <c r="CD23" s="3952">
        <f>CB23-CC23</f>
        <v>75.591506233220571</v>
      </c>
      <c r="CE23" s="3952">
        <f>SUM(ЗП!DB31)</f>
        <v>16774.079999999998</v>
      </c>
      <c r="CF23" s="3952">
        <f>SUM(CF55/CE55)*CE23</f>
        <v>16665.860129032255</v>
      </c>
      <c r="CG23" s="3606">
        <f>CE23-CF23</f>
        <v>108.21987096774319</v>
      </c>
      <c r="CH23" s="1050">
        <f>SUM(ЗП!DE31)</f>
        <v>19492.891929122343</v>
      </c>
      <c r="CI23" s="3978">
        <f t="shared" si="32"/>
        <v>1.0474200000000002</v>
      </c>
      <c r="CJ23" s="1009">
        <f>SUM(CJ55/CH55)*CH23</f>
        <v>19355.06945314023</v>
      </c>
      <c r="CK23" s="1047">
        <f>CH23-CJ23</f>
        <v>137.82247598211325</v>
      </c>
      <c r="CL23" s="1050">
        <f>SUM(ЗП!DI31)</f>
        <v>19590.356388767952</v>
      </c>
      <c r="CM23" s="4017">
        <f t="shared" si="33"/>
        <v>1.0526571</v>
      </c>
      <c r="CN23" s="1009">
        <f>SUM(CL23-CO23)</f>
        <v>19451.274464383001</v>
      </c>
      <c r="CO23" s="1047">
        <f>SUM(BX23*(1-0.01)*(1+0.058)*(1+0))*1.0224</f>
        <v>139.08192438495129</v>
      </c>
    </row>
    <row r="24" spans="1:93" ht="27.75" customHeight="1">
      <c r="A24" s="1340" t="s">
        <v>121</v>
      </c>
      <c r="B24" s="1169">
        <v>2761</v>
      </c>
      <c r="C24" s="1360">
        <v>3376.4</v>
      </c>
      <c r="D24" s="1355">
        <f t="shared" si="0"/>
        <v>122.28902571532055</v>
      </c>
      <c r="E24" s="1360">
        <v>3574.3</v>
      </c>
      <c r="F24" s="1355">
        <f t="shared" si="23"/>
        <v>105.86127236109466</v>
      </c>
      <c r="G24" s="1360">
        <v>4238.7</v>
      </c>
      <c r="H24" s="1355">
        <f t="shared" si="2"/>
        <v>118.58825504294546</v>
      </c>
      <c r="I24" s="377">
        <f>I23*30.2/100</f>
        <v>4350.5515999999998</v>
      </c>
      <c r="J24" s="377">
        <v>2141.6</v>
      </c>
      <c r="K24" s="377">
        <v>2782.9</v>
      </c>
      <c r="L24" s="377">
        <v>4001.1</v>
      </c>
      <c r="M24" s="1361">
        <f t="shared" si="24"/>
        <v>94.394507750017695</v>
      </c>
      <c r="N24" s="377">
        <v>5113.7</v>
      </c>
      <c r="O24" s="1362">
        <f t="shared" si="25"/>
        <v>117.54141704697861</v>
      </c>
      <c r="P24" s="377">
        <f>P23*30.2/100</f>
        <v>4659.5054519999994</v>
      </c>
      <c r="Q24" s="1361">
        <f t="shared" si="26"/>
        <v>107.10148690110928</v>
      </c>
      <c r="R24" s="1361">
        <f t="shared" si="27"/>
        <v>116.45561100697309</v>
      </c>
      <c r="S24" s="377" t="e">
        <f>P24/P55*S55</f>
        <v>#REF!</v>
      </c>
      <c r="T24" s="377" t="e">
        <f t="shared" si="76"/>
        <v>#REF!</v>
      </c>
      <c r="U24" s="377">
        <v>3432</v>
      </c>
      <c r="V24" s="1136"/>
      <c r="W24" s="1296">
        <v>5331.99</v>
      </c>
      <c r="X24" s="1786"/>
      <c r="Y24" s="1050">
        <f>Y23*U25</f>
        <v>4807.8947350353292</v>
      </c>
      <c r="Z24" s="1009">
        <f>($Z$55/$Y$55)*Y24</f>
        <v>4771.2402158584327</v>
      </c>
      <c r="AA24" s="1047">
        <f>Y24-Z24</f>
        <v>36.654519176896429</v>
      </c>
      <c r="AB24" s="1050">
        <v>4362.1000000000004</v>
      </c>
      <c r="AC24" s="1009">
        <f>SUM(AC55/AB55)*AB24</f>
        <v>4324.2036131407867</v>
      </c>
      <c r="AD24" s="1047">
        <f>AB24-AC24</f>
        <v>37.896386859213635</v>
      </c>
      <c r="AE24" s="1050">
        <v>5331.99</v>
      </c>
      <c r="AF24" s="1009">
        <f t="shared" si="28"/>
        <v>1.1090072253757068</v>
      </c>
      <c r="AG24" s="1009">
        <v>5292.78</v>
      </c>
      <c r="AH24" s="1047">
        <v>39.21</v>
      </c>
      <c r="AI24" s="1050">
        <f>AI23*0.302</f>
        <v>5331.9911999999995</v>
      </c>
      <c r="AJ24" s="1009">
        <f t="shared" si="29"/>
        <v>1.1090074749651979</v>
      </c>
      <c r="AK24" s="1009">
        <f>AI24-AL24</f>
        <v>5292.7821883070073</v>
      </c>
      <c r="AL24" s="1047">
        <f>AL23*0.302</f>
        <v>39.209011692992192</v>
      </c>
      <c r="AM24" s="1331" t="e">
        <f>#REF!*Z24/Y24</f>
        <v>#REF!</v>
      </c>
      <c r="AN24" s="1334" t="e">
        <f>#REF!-AM24</f>
        <v>#REF!</v>
      </c>
      <c r="AO24" s="1363" t="e">
        <f t="shared" si="30"/>
        <v>#REF!</v>
      </c>
      <c r="AP24" s="1050">
        <v>0</v>
      </c>
      <c r="AQ24" s="1009">
        <f>SUM(AQ55/AP55)*AP24</f>
        <v>0</v>
      </c>
      <c r="AR24" s="1047">
        <f>AP24-AQ24</f>
        <v>0</v>
      </c>
      <c r="AS24" s="1050">
        <v>0</v>
      </c>
      <c r="AT24" s="1009">
        <f>SUM(AT55/AS55)*AS24</f>
        <v>0</v>
      </c>
      <c r="AU24" s="1047">
        <f>AS24-AT24</f>
        <v>0</v>
      </c>
      <c r="AV24" s="1050">
        <v>4613.4399999999996</v>
      </c>
      <c r="AW24" s="1009">
        <f>SUM(AW55/AV55)*AV24</f>
        <v>4579.8375366594491</v>
      </c>
      <c r="AX24" s="1047">
        <f>AV24-AW24</f>
        <v>33.602463340550457</v>
      </c>
      <c r="AY24" s="1267">
        <f t="shared" ref="AY24" si="78">SUM(BA24+BB24)</f>
        <v>5984.8866730612381</v>
      </c>
      <c r="AZ24" s="1114">
        <f t="shared" si="45"/>
        <v>1.1224487154182172</v>
      </c>
      <c r="BA24" s="1009">
        <f>SUM(BA23*AE25)</f>
        <v>5952.1741917750442</v>
      </c>
      <c r="BB24" s="1047">
        <f>SUM(BB23*AE25)</f>
        <v>32.712481286194311</v>
      </c>
      <c r="BC24" s="1267">
        <f t="shared" ref="BC24" si="79">SUM(BE24+BF24)</f>
        <v>5287.4191672357347</v>
      </c>
      <c r="BD24" s="1302">
        <f t="shared" si="39"/>
        <v>0.99164064022381271</v>
      </c>
      <c r="BE24" s="1009">
        <f>BE23*BE25</f>
        <v>5258.5189373719013</v>
      </c>
      <c r="BF24" s="1047">
        <f>BF23*BF25</f>
        <v>28.900229863833449</v>
      </c>
      <c r="BG24" s="1973" t="s">
        <v>1014</v>
      </c>
      <c r="BH24" s="1050">
        <v>2360.08</v>
      </c>
      <c r="BI24" s="1009">
        <f>SUM(BI55/BH55)*BH24</f>
        <v>2344.7770492676091</v>
      </c>
      <c r="BJ24" s="1047">
        <f>BH24-BI24</f>
        <v>15.302950732390855</v>
      </c>
      <c r="BK24" s="1050">
        <v>3693.13</v>
      </c>
      <c r="BL24" s="1009">
        <f>SUM(BL55/BK55)*BK24</f>
        <v>3668.5503664430807</v>
      </c>
      <c r="BM24" s="1047">
        <f>BK24-BL24</f>
        <v>24.579633556919362</v>
      </c>
      <c r="BN24" s="1050">
        <v>4948.43</v>
      </c>
      <c r="BO24" s="1009">
        <f>SUM(BO55/BN55)*BN24</f>
        <v>4915.0524356440819</v>
      </c>
      <c r="BP24" s="1047">
        <f>BN24-BO24</f>
        <v>33.377564355918366</v>
      </c>
      <c r="BQ24" s="1267">
        <f t="shared" ref="BQ24" si="80">SUM(BS24+BT24)</f>
        <v>5830.829943839999</v>
      </c>
      <c r="BR24" s="2165">
        <f t="shared" si="43"/>
        <v>1.1027742948717947</v>
      </c>
      <c r="BS24" s="1009">
        <f>SUM(BS23*BS25)</f>
        <v>5789.2199256245722</v>
      </c>
      <c r="BT24" s="1047">
        <f>SUM(BT23*BT25)</f>
        <v>41.610018215426628</v>
      </c>
      <c r="BU24" s="1267">
        <f>BC24*(1-0.01)*(1+0.071)*(1+0)</f>
        <v>5606.1976688283767</v>
      </c>
      <c r="BV24" s="3822">
        <f t="shared" si="31"/>
        <v>1.06029</v>
      </c>
      <c r="BW24" s="1009">
        <f>SUM(BW55/BU55)*BU24</f>
        <v>5567.0737831018942</v>
      </c>
      <c r="BX24" s="1047">
        <f>BU24-BW24</f>
        <v>39.123885726482513</v>
      </c>
      <c r="BY24" s="3951">
        <v>2430.38</v>
      </c>
      <c r="BZ24" s="3952">
        <f>SUM(BZ55/BY55)*BY24</f>
        <v>2416.2849035802356</v>
      </c>
      <c r="CA24" s="3952">
        <f>BY24-BZ24</f>
        <v>14.095096419764559</v>
      </c>
      <c r="CB24" s="3952">
        <v>3743.96</v>
      </c>
      <c r="CC24" s="3952">
        <f>SUM(CC55/CB55)*CB24</f>
        <v>3721.1832883013831</v>
      </c>
      <c r="CD24" s="3952">
        <f>CB24-CC24</f>
        <v>22.776711698616964</v>
      </c>
      <c r="CE24" s="3952">
        <f>SUM(CE23*30.1%)</f>
        <v>5048.9980799999994</v>
      </c>
      <c r="CF24" s="3952">
        <f>SUM(CF55/CE55)*CE24</f>
        <v>5016.4238988387087</v>
      </c>
      <c r="CG24" s="3606">
        <f>CE24-CF24</f>
        <v>32.574181161290653</v>
      </c>
      <c r="CH24" s="1267">
        <f t="shared" ref="CH24" si="81">SUM(CJ24+CK24)</f>
        <v>5871.2590490516504</v>
      </c>
      <c r="CI24" s="3978">
        <f t="shared" si="32"/>
        <v>1.0472800632230772</v>
      </c>
      <c r="CJ24" s="1009">
        <f>SUM(CJ23*CJ25)</f>
        <v>5829.746919285838</v>
      </c>
      <c r="CK24" s="1047">
        <f>SUM(CK23*CK25)</f>
        <v>41.51212976581251</v>
      </c>
      <c r="CL24" s="1267">
        <f t="shared" ref="CL24" si="82">SUM(CN24+CO24)</f>
        <v>5900.615344296908</v>
      </c>
      <c r="CM24" s="4017">
        <f t="shared" si="33"/>
        <v>1.0525164635391926</v>
      </c>
      <c r="CN24" s="1009">
        <f>SUM(CN23*CN25)</f>
        <v>5858.7238686721603</v>
      </c>
      <c r="CO24" s="1047">
        <f>SUM(CO23*CO25)</f>
        <v>41.891475624747329</v>
      </c>
    </row>
    <row r="25" spans="1:93" s="189" customFormat="1" ht="21" customHeight="1">
      <c r="A25" s="1365" t="str">
        <f>A15</f>
        <v>то же в %</v>
      </c>
      <c r="B25" s="1170"/>
      <c r="C25" s="1355"/>
      <c r="D25" s="1355"/>
      <c r="E25" s="1333">
        <f>E24/E23</f>
        <v>0.25753296346999066</v>
      </c>
      <c r="F25" s="1333">
        <f t="shared" ref="F25:W25" si="83">F24/F23</f>
        <v>0.99422185530110008</v>
      </c>
      <c r="G25" s="1333">
        <f t="shared" si="83"/>
        <v>0.32556724833575662</v>
      </c>
      <c r="H25" s="1333"/>
      <c r="I25" s="1333">
        <f t="shared" si="83"/>
        <v>0.30199999999999999</v>
      </c>
      <c r="J25" s="1333">
        <f t="shared" si="83"/>
        <v>0.31474214834736858</v>
      </c>
      <c r="K25" s="1333">
        <f t="shared" si="83"/>
        <v>0.30015315587385133</v>
      </c>
      <c r="L25" s="1333">
        <f t="shared" si="83"/>
        <v>0.30022285418433114</v>
      </c>
      <c r="M25" s="1333">
        <f t="shared" si="83"/>
        <v>0.92215312111097902</v>
      </c>
      <c r="N25" s="1333">
        <f t="shared" si="83"/>
        <v>0.3019978857726674</v>
      </c>
      <c r="O25" s="1333">
        <f t="shared" si="83"/>
        <v>0.99999299924724316</v>
      </c>
      <c r="P25" s="1333">
        <f t="shared" si="83"/>
        <v>0.30199999999999999</v>
      </c>
      <c r="Q25" s="1333">
        <f t="shared" si="83"/>
        <v>1</v>
      </c>
      <c r="R25" s="1333">
        <f t="shared" si="83"/>
        <v>1.0059194221589063</v>
      </c>
      <c r="S25" s="1333" t="e">
        <f t="shared" si="83"/>
        <v>#REF!</v>
      </c>
      <c r="T25" s="1333" t="e">
        <f t="shared" si="83"/>
        <v>#REF!</v>
      </c>
      <c r="U25" s="1333">
        <f t="shared" si="83"/>
        <v>0.30124024611819644</v>
      </c>
      <c r="V25" s="1137"/>
      <c r="W25" s="1981">
        <f t="shared" si="83"/>
        <v>0.3019999320328961</v>
      </c>
      <c r="X25" s="1300"/>
      <c r="Y25" s="1980">
        <f t="shared" ref="Y25:AL25" si="84">Y24/Y23</f>
        <v>0.30124024611819644</v>
      </c>
      <c r="Z25" s="1302">
        <f t="shared" si="84"/>
        <v>0.30124024611819644</v>
      </c>
      <c r="AA25" s="1982">
        <f t="shared" si="84"/>
        <v>0.30124024611819217</v>
      </c>
      <c r="AB25" s="1980">
        <f t="shared" ref="AB25:AD25" si="85">AB24/AB23</f>
        <v>0.30321208371853781</v>
      </c>
      <c r="AC25" s="1302">
        <f t="shared" si="85"/>
        <v>0.30321208371853781</v>
      </c>
      <c r="AD25" s="1982">
        <f t="shared" si="85"/>
        <v>0.30321208371853692</v>
      </c>
      <c r="AE25" s="1980">
        <f t="shared" si="84"/>
        <v>0.3019999320328961</v>
      </c>
      <c r="AF25" s="1983"/>
      <c r="AG25" s="1302">
        <v>0</v>
      </c>
      <c r="AH25" s="1982">
        <v>0</v>
      </c>
      <c r="AI25" s="1980">
        <f t="shared" si="84"/>
        <v>0.30199999999999999</v>
      </c>
      <c r="AJ25" s="1983"/>
      <c r="AK25" s="1302">
        <f t="shared" si="84"/>
        <v>0.30199999999999999</v>
      </c>
      <c r="AL25" s="1982">
        <f t="shared" si="84"/>
        <v>0.30199999999999999</v>
      </c>
      <c r="AM25" s="1984"/>
      <c r="AN25" s="1985" t="e">
        <f>#REF!-AM25</f>
        <v>#REF!</v>
      </c>
      <c r="AO25" s="1986" t="e">
        <f t="shared" si="30"/>
        <v>#REF!</v>
      </c>
      <c r="AP25" s="1980">
        <f>AP24/AP23</f>
        <v>0</v>
      </c>
      <c r="AQ25" s="1302">
        <f t="shared" ref="AQ25" si="86">AQ24/AQ23</f>
        <v>0</v>
      </c>
      <c r="AR25" s="1982">
        <f t="shared" ref="AR25" si="87">AR24/AR23</f>
        <v>0</v>
      </c>
      <c r="AS25" s="1980">
        <f>AS24/AS23</f>
        <v>0</v>
      </c>
      <c r="AT25" s="1302">
        <f t="shared" ref="AT25" si="88">AT24/AT23</f>
        <v>0</v>
      </c>
      <c r="AU25" s="1982">
        <f t="shared" ref="AU25" si="89">AU24/AU23</f>
        <v>0</v>
      </c>
      <c r="AV25" s="1980">
        <f>AV24/AV23</f>
        <v>0.3020423395082541</v>
      </c>
      <c r="AW25" s="1302">
        <f t="shared" ref="AW25:AX25" si="90">AW24/AW23</f>
        <v>0.30204233950825415</v>
      </c>
      <c r="AX25" s="1982">
        <f t="shared" si="90"/>
        <v>0.30204233950825066</v>
      </c>
      <c r="AY25" s="1980">
        <f>SUM(AY24/AY23)</f>
        <v>0.3019999320328961</v>
      </c>
      <c r="AZ25" s="1302">
        <f t="shared" si="45"/>
        <v>0.99999977494336456</v>
      </c>
      <c r="BA25" s="1302">
        <f>SUM(BA24/BA23)</f>
        <v>0.3019999320328961</v>
      </c>
      <c r="BB25" s="1982">
        <f>SUM(BB24/BB23)</f>
        <v>0.3019999320328961</v>
      </c>
      <c r="BC25" s="1980">
        <f>Y25</f>
        <v>0.30124024611819644</v>
      </c>
      <c r="BD25" s="1302">
        <f t="shared" si="39"/>
        <v>0.99748425866952473</v>
      </c>
      <c r="BE25" s="1302">
        <f>Z25</f>
        <v>0.30124024611819644</v>
      </c>
      <c r="BF25" s="1982">
        <f>AA25</f>
        <v>0.30124024611819217</v>
      </c>
      <c r="BG25" s="1976"/>
      <c r="BH25" s="1980">
        <f>BH24/BH23</f>
        <v>0.3020461654235414</v>
      </c>
      <c r="BI25" s="1302">
        <f t="shared" ref="BI25:BJ25" si="91">BI24/BI23</f>
        <v>0.30204616542354135</v>
      </c>
      <c r="BJ25" s="1982">
        <f t="shared" si="91"/>
        <v>0.30204616542354235</v>
      </c>
      <c r="BK25" s="1980">
        <f>BK24/BK23</f>
        <v>0.30202018467315828</v>
      </c>
      <c r="BL25" s="1302">
        <f t="shared" ref="BL25:BM25" si="92">BL24/BL23</f>
        <v>0.30202018467315828</v>
      </c>
      <c r="BM25" s="1982">
        <f t="shared" si="92"/>
        <v>0.30202018467315828</v>
      </c>
      <c r="BN25" s="1980">
        <f>BN24/BN23</f>
        <v>0.30191265915692667</v>
      </c>
      <c r="BO25" s="1302">
        <f t="shared" ref="BO25:BP25" si="93">BO24/BO23</f>
        <v>0.30191265915692661</v>
      </c>
      <c r="BP25" s="1982">
        <f t="shared" si="93"/>
        <v>0.30191265915692866</v>
      </c>
      <c r="BQ25" s="1980">
        <v>0.30199999999999999</v>
      </c>
      <c r="BR25" s="2165">
        <f t="shared" si="43"/>
        <v>1.0025220862470861</v>
      </c>
      <c r="BS25" s="1302">
        <v>0.30199999999999999</v>
      </c>
      <c r="BT25" s="1982">
        <v>0.30199999999999999</v>
      </c>
      <c r="BU25" s="3825">
        <f>SUM(BU24/BU23)</f>
        <v>0.30124024611819644</v>
      </c>
      <c r="BV25" s="3826">
        <f t="shared" si="31"/>
        <v>1</v>
      </c>
      <c r="BW25" s="3826">
        <f t="shared" ref="BW25:BX25" si="94">SUM(BW24/BW23)</f>
        <v>0.30124024611819639</v>
      </c>
      <c r="BX25" s="3827">
        <f t="shared" si="94"/>
        <v>0.30124024611819761</v>
      </c>
      <c r="BY25" s="4390">
        <f>BY24/BY23</f>
        <v>0.30090579530709877</v>
      </c>
      <c r="BZ25" s="3972">
        <f t="shared" ref="BZ25:CA25" si="95">BZ24/BZ23</f>
        <v>0.30090579530709877</v>
      </c>
      <c r="CA25" s="3972">
        <f t="shared" si="95"/>
        <v>0.30090579530709916</v>
      </c>
      <c r="CB25" s="3972">
        <f>CB24/CB23</f>
        <v>0.30131310822600016</v>
      </c>
      <c r="CC25" s="3972">
        <f t="shared" ref="CC25:CD25" si="96">CC24/CC23</f>
        <v>0.3013131082260001</v>
      </c>
      <c r="CD25" s="3972">
        <f t="shared" si="96"/>
        <v>0.30131310822600293</v>
      </c>
      <c r="CE25" s="3972">
        <f>CE24/CE23</f>
        <v>0.30099999999999999</v>
      </c>
      <c r="CF25" s="3972">
        <f t="shared" ref="CF25:CG25" si="97">CF24/CF23</f>
        <v>0.30099999999999999</v>
      </c>
      <c r="CG25" s="4391">
        <f t="shared" si="97"/>
        <v>0.30099999999999955</v>
      </c>
      <c r="CH25" s="3825">
        <f>SUM(CH24/CH23)</f>
        <v>0.30120000000000002</v>
      </c>
      <c r="CI25" s="3978">
        <f t="shared" si="32"/>
        <v>0.99986639860139859</v>
      </c>
      <c r="CJ25" s="1302">
        <v>0.30120000000000002</v>
      </c>
      <c r="CK25" s="1982">
        <v>0.30120000000000002</v>
      </c>
      <c r="CL25" s="3825">
        <f>SUM(CL24/CL23)</f>
        <v>0.30120000000000002</v>
      </c>
      <c r="CM25" s="4017">
        <f t="shared" si="33"/>
        <v>0.99986639860139859</v>
      </c>
      <c r="CN25" s="3826">
        <v>0.30120000000000002</v>
      </c>
      <c r="CO25" s="3827">
        <v>0.30120000000000002</v>
      </c>
    </row>
    <row r="26" spans="1:93" ht="21" customHeight="1">
      <c r="A26" s="1340" t="s">
        <v>6</v>
      </c>
      <c r="B26" s="1169">
        <v>5257.9</v>
      </c>
      <c r="C26" s="1360">
        <v>5861.9</v>
      </c>
      <c r="D26" s="1355">
        <f t="shared" si="0"/>
        <v>111.48747598851251</v>
      </c>
      <c r="E26" s="1360">
        <v>7223.5</v>
      </c>
      <c r="F26" s="1355">
        <f t="shared" si="23"/>
        <v>123.22796362953991</v>
      </c>
      <c r="G26" s="1360">
        <v>6350.1</v>
      </c>
      <c r="H26" s="1355">
        <f t="shared" si="2"/>
        <v>87.908908423894232</v>
      </c>
      <c r="I26" s="377">
        <v>7143.8</v>
      </c>
      <c r="J26" s="377">
        <v>3535.8</v>
      </c>
      <c r="K26" s="377">
        <f>'цех стоки'!K48</f>
        <v>4844.7818798570233</v>
      </c>
      <c r="L26" s="377">
        <v>7419.2</v>
      </c>
      <c r="M26" s="1361">
        <f t="shared" si="24"/>
        <v>116.83595533928599</v>
      </c>
      <c r="N26" s="377">
        <v>8569.6</v>
      </c>
      <c r="O26" s="1362">
        <f t="shared" si="25"/>
        <v>119.95856546935804</v>
      </c>
      <c r="P26" s="377">
        <f>'цех стоки'!P48</f>
        <v>7339.1</v>
      </c>
      <c r="Q26" s="1361">
        <f t="shared" si="26"/>
        <v>102.73383913323441</v>
      </c>
      <c r="R26" s="1361">
        <f t="shared" si="27"/>
        <v>98.92036877291352</v>
      </c>
      <c r="S26" s="377">
        <v>7149.16</v>
      </c>
      <c r="T26" s="377">
        <v>48.44</v>
      </c>
      <c r="U26" s="377">
        <v>5813.4</v>
      </c>
      <c r="V26" s="1136"/>
      <c r="W26" s="1296">
        <v>9326.93</v>
      </c>
      <c r="X26" s="1786"/>
      <c r="Y26" s="1050">
        <f>'цех стоки'!X48</f>
        <v>7684.2126026799478</v>
      </c>
      <c r="Z26" s="1009">
        <f>($Z$55/$Y$55)*Y26</f>
        <v>7625.6295567260067</v>
      </c>
      <c r="AA26" s="1047">
        <f>Y26-Z26</f>
        <v>58.583045953941109</v>
      </c>
      <c r="AB26" s="1050">
        <f>'цех стоки'!AA48</f>
        <v>5917.5</v>
      </c>
      <c r="AC26" s="1009">
        <f>SUM(AC55/AB55)*AB26</f>
        <v>5866.0908463264486</v>
      </c>
      <c r="AD26" s="1047">
        <f>AB26-AC26</f>
        <v>51.409153673551373</v>
      </c>
      <c r="AE26" s="1050">
        <v>7083.35</v>
      </c>
      <c r="AF26" s="1009">
        <f t="shared" si="28"/>
        <v>0.92180557283508913</v>
      </c>
      <c r="AG26" s="1009">
        <v>7020.31</v>
      </c>
      <c r="AH26" s="1047">
        <v>63.04</v>
      </c>
      <c r="AI26" s="1050">
        <f>'цех стоки'!AC48</f>
        <v>7258.9036668341378</v>
      </c>
      <c r="AJ26" s="1009">
        <f t="shared" si="29"/>
        <v>0.94465159179777514</v>
      </c>
      <c r="AK26" s="1009">
        <f>SUM('цех стоки'!X74)</f>
        <v>7203.5630992213855</v>
      </c>
      <c r="AL26" s="1047">
        <f>SUM('цех стоки'!Y74)</f>
        <v>55.340567612752238</v>
      </c>
      <c r="AM26" s="1331" t="e">
        <f>#REF!*Z26/Y26</f>
        <v>#REF!</v>
      </c>
      <c r="AN26" s="1334" t="e">
        <f>#REF!-AM26</f>
        <v>#REF!</v>
      </c>
      <c r="AO26" s="1363" t="e">
        <f t="shared" si="30"/>
        <v>#REF!</v>
      </c>
      <c r="AP26" s="1050">
        <f>SUM('цех стоки'!AE48)</f>
        <v>3273.44</v>
      </c>
      <c r="AQ26" s="1009">
        <f>SUM(AQ55/AP55)*AP26</f>
        <v>3254.4938056190667</v>
      </c>
      <c r="AR26" s="1047">
        <f>AP26-AQ26</f>
        <v>18.946194380933321</v>
      </c>
      <c r="AS26" s="1050">
        <f>SUM('цех стоки'!AF48)</f>
        <v>4615.83</v>
      </c>
      <c r="AT26" s="1009">
        <f>SUM(AT55/AS55)*AS26</f>
        <v>4588.625881911039</v>
      </c>
      <c r="AU26" s="1047">
        <f>AS26-AT26</f>
        <v>27.204118088960968</v>
      </c>
      <c r="AV26" s="1050">
        <v>5954.41</v>
      </c>
      <c r="AW26" s="1009">
        <f>SUM(AW55/AV55)*AV26</f>
        <v>5911.0404441502196</v>
      </c>
      <c r="AX26" s="1047">
        <f>AV26-AW26</f>
        <v>43.369555849780227</v>
      </c>
      <c r="AY26" s="1050">
        <v>9016.44</v>
      </c>
      <c r="AZ26" s="1114">
        <f t="shared" ref="AZ26" si="98">SUM(AY26/AI26)</f>
        <v>1.2421214571555799</v>
      </c>
      <c r="BA26" s="1009">
        <f>SUM(BA55/AY55)*AY26</f>
        <v>8967.1575088050195</v>
      </c>
      <c r="BB26" s="1047">
        <f>AY26-BA26</f>
        <v>49.282491194981048</v>
      </c>
      <c r="BC26" s="1050">
        <f>SUM('цех стоки'!AH48)</f>
        <v>6899.5913342835493</v>
      </c>
      <c r="BD26" s="1302">
        <f t="shared" si="39"/>
        <v>0.95050046824670187</v>
      </c>
      <c r="BE26" s="1009">
        <f>SUM(BE55/BC55)*BC26</f>
        <v>6861.879216287889</v>
      </c>
      <c r="BF26" s="1047">
        <f>BC26-BE26</f>
        <v>37.712117995660265</v>
      </c>
      <c r="BG26" s="1974" t="str">
        <f>BG16</f>
        <v>Приложение</v>
      </c>
      <c r="BH26" s="1050">
        <f>SUM('цех стоки'!AN48)</f>
        <v>3623.77</v>
      </c>
      <c r="BI26" s="1009">
        <f>SUM(BI55/BH55)*BH26</f>
        <v>3600.2731804957816</v>
      </c>
      <c r="BJ26" s="1047">
        <f>BH26-BI26</f>
        <v>23.496819504218365</v>
      </c>
      <c r="BK26" s="1050">
        <f>SUM('цех стоки'!AO48)</f>
        <v>5825.48</v>
      </c>
      <c r="BL26" s="1009">
        <f>SUM(BL55/BK55)*BK26</f>
        <v>5786.7085070676731</v>
      </c>
      <c r="BM26" s="1047">
        <f>BK26-BL26</f>
        <v>38.77149293232651</v>
      </c>
      <c r="BN26" s="1050">
        <f>SUM('цех стоки'!AP48)</f>
        <v>8053.57</v>
      </c>
      <c r="BO26" s="1009">
        <f>SUM(BO55/BN55)*BN26</f>
        <v>7999.2480128303532</v>
      </c>
      <c r="BP26" s="1047">
        <f>BN26-BO26</f>
        <v>54.321987169646491</v>
      </c>
      <c r="BQ26" s="1050">
        <f>SUM('цех стоки'!AQ48)</f>
        <v>6590.9492112887756</v>
      </c>
      <c r="BR26" s="2165">
        <f t="shared" si="43"/>
        <v>0.95526660811617148</v>
      </c>
      <c r="BS26" s="1009">
        <f>SUM(BS55/BQ55)*BQ26</f>
        <v>6543.9148234949062</v>
      </c>
      <c r="BT26" s="1047">
        <f>BQ26-BS26</f>
        <v>47.034387793869428</v>
      </c>
      <c r="BU26" s="1050">
        <f>SUM('цех стоки'!AR48)</f>
        <v>7239.5142729517611</v>
      </c>
      <c r="BV26" s="3822">
        <f t="shared" si="31"/>
        <v>1.0492671119489585</v>
      </c>
      <c r="BW26" s="1009">
        <f>SUM(BW55/BU55)*BU26</f>
        <v>7188.9919856793977</v>
      </c>
      <c r="BX26" s="1047">
        <f>BU26-BW26</f>
        <v>50.522287272363428</v>
      </c>
      <c r="BY26" s="3951">
        <f>SUM('цех стоки'!AT48)</f>
        <v>3759.27</v>
      </c>
      <c r="BZ26" s="3952">
        <f>SUM(BZ55/BY55)*BY26</f>
        <v>3737.4679471860663</v>
      </c>
      <c r="CA26" s="3952">
        <f>BY26-BZ26</f>
        <v>21.802052813933642</v>
      </c>
      <c r="CB26" s="3952">
        <f>SUM('цех стоки'!AU48)</f>
        <v>5399.85</v>
      </c>
      <c r="CC26" s="3952">
        <f>SUM(CC55/CB55)*CB26</f>
        <v>5366.999535073619</v>
      </c>
      <c r="CD26" s="3952">
        <f>CB26-CC26</f>
        <v>32.850464926381392</v>
      </c>
      <c r="CE26" s="3952">
        <f>SUM('цех стоки'!AV48)</f>
        <v>7185.2687466666657</v>
      </c>
      <c r="CF26" s="3952">
        <f>SUM(CF55/CE55)*CE26</f>
        <v>7138.912174107526</v>
      </c>
      <c r="CG26" s="3606">
        <f>CE26-CF26</f>
        <v>46.35657255913975</v>
      </c>
      <c r="CH26" s="1050">
        <f>SUM('цех стоки'!AW48)</f>
        <v>7604.5038293266553</v>
      </c>
      <c r="CI26" s="3978">
        <f t="shared" si="32"/>
        <v>1.0504163045494042</v>
      </c>
      <c r="CJ26" s="1009">
        <f>SUM(CJ55/CH55)*CH26</f>
        <v>7550.7369716339063</v>
      </c>
      <c r="CK26" s="1047">
        <f>CH26-CJ26</f>
        <v>53.766857692748999</v>
      </c>
      <c r="CL26" s="1050">
        <f>SUM('цех стоки'!AX48)</f>
        <v>7896.9928694103428</v>
      </c>
      <c r="CM26" s="4017">
        <f t="shared" si="33"/>
        <v>1.0908180537629506</v>
      </c>
      <c r="CN26" s="1009">
        <f>SUM(CL26-CO26)</f>
        <v>7842.8894508629037</v>
      </c>
      <c r="CO26" s="1047">
        <f>SUM(BX26*(1-0.01)*(1+0.058)*(1+0))*1.0224</f>
        <v>54.103418547438842</v>
      </c>
    </row>
    <row r="27" spans="1:93" ht="20.25" customHeight="1">
      <c r="A27" s="1370" t="s">
        <v>549</v>
      </c>
      <c r="B27" s="1352">
        <f>SUM(B28:B33)</f>
        <v>2395.8000000000002</v>
      </c>
      <c r="C27" s="1353">
        <f>SUM(C28:C33)</f>
        <v>2601</v>
      </c>
      <c r="D27" s="1354">
        <f t="shared" si="0"/>
        <v>108.56498873027797</v>
      </c>
      <c r="E27" s="1334">
        <f>SUM(E28:E33)-E31</f>
        <v>2392.9000000000005</v>
      </c>
      <c r="F27" s="1334">
        <f>SUM(F28:F33)</f>
        <v>339.98834519956017</v>
      </c>
      <c r="G27" s="1334">
        <f>SUM(G28:G33)-G31</f>
        <v>3044</v>
      </c>
      <c r="H27" s="1355"/>
      <c r="I27" s="1334">
        <f>SUM(I28:I33)-I31</f>
        <v>3337.4</v>
      </c>
      <c r="J27" s="1334">
        <f>SUM(J28:J33)</f>
        <v>1546.7365654205605</v>
      </c>
      <c r="K27" s="1334">
        <f>SUM(K28:K33)-K31</f>
        <v>2079.5081315642897</v>
      </c>
      <c r="L27" s="1334">
        <f>SUM(L28:L33)-L31</f>
        <v>3384.9</v>
      </c>
      <c r="M27" s="1368">
        <f t="shared" si="24"/>
        <v>111.19908015768725</v>
      </c>
      <c r="N27" s="1334">
        <f>SUM(N28:N33)</f>
        <v>4176.4219929086685</v>
      </c>
      <c r="O27" s="1362">
        <f t="shared" si="25"/>
        <v>125.13998900067922</v>
      </c>
      <c r="P27" s="1334">
        <f>SUM(P28:P33)-P31</f>
        <v>3618.2853557039994</v>
      </c>
      <c r="Q27" s="1334">
        <f>SUM(Q28:Q33)</f>
        <v>535.52937492418869</v>
      </c>
      <c r="R27" s="1334">
        <f>SUM(R28:R33)</f>
        <v>498.49512913534039</v>
      </c>
      <c r="S27" s="1334">
        <f>SUM(S28:S33)-S31</f>
        <v>3539.4</v>
      </c>
      <c r="T27" s="1334">
        <f>SUM(T28:T33)</f>
        <v>0</v>
      </c>
      <c r="U27" s="1334">
        <f>SUM(U28:U33)-U31</f>
        <v>2712</v>
      </c>
      <c r="V27" s="1363">
        <f>SUM(V28:V33)-V31</f>
        <v>0</v>
      </c>
      <c r="W27" s="1298">
        <f>SUM(W28:W33)-W31</f>
        <v>4744.9500000000007</v>
      </c>
      <c r="X27" s="1375"/>
      <c r="Y27" s="1270">
        <f>SUM(Y28:Y33)-Y31</f>
        <v>3810.3137653314348</v>
      </c>
      <c r="Z27" s="1268">
        <f>SUM(Z28:Z33)-Z31</f>
        <v>3810.3137653314348</v>
      </c>
      <c r="AA27" s="1269">
        <f>SUM(AA28:AA33)</f>
        <v>0</v>
      </c>
      <c r="AB27" s="1270">
        <f>SUM(AB28:AB33)-AB31</f>
        <v>2449.9</v>
      </c>
      <c r="AC27" s="1268">
        <f>SUM(AC28:AC33)-AC31</f>
        <v>2444.1835279903339</v>
      </c>
      <c r="AD27" s="1269">
        <f>SUM(AD28:AD33)</f>
        <v>5.716472009665722</v>
      </c>
      <c r="AE27" s="1270">
        <v>3908.46</v>
      </c>
      <c r="AF27" s="1009">
        <f t="shared" si="28"/>
        <v>1.0257580453246553</v>
      </c>
      <c r="AG27" s="1268">
        <v>3908.46</v>
      </c>
      <c r="AH27" s="1269">
        <v>0</v>
      </c>
      <c r="AI27" s="1270">
        <f>SUM(AI28:AI33)</f>
        <v>4015.8612375136295</v>
      </c>
      <c r="AJ27" s="1009">
        <f t="shared" si="29"/>
        <v>1.0539450252240095</v>
      </c>
      <c r="AK27" s="1268">
        <f>SUM(AK28:AK33)-AK31</f>
        <v>4010.2974672538039</v>
      </c>
      <c r="AL27" s="1269">
        <f>SUM(AL28:AL33)</f>
        <v>5.2617688926677602</v>
      </c>
      <c r="AM27" s="1331" t="e">
        <f>#REF!</f>
        <v>#REF!</v>
      </c>
      <c r="AN27" s="1334">
        <v>0</v>
      </c>
      <c r="AO27" s="1363" t="e">
        <f t="shared" si="30"/>
        <v>#REF!</v>
      </c>
      <c r="AP27" s="1270">
        <f>SUM(AP28:AP33)-AP31</f>
        <v>1054.58</v>
      </c>
      <c r="AQ27" s="1268">
        <f>SUM(AQ28:AQ33)-AQ31</f>
        <v>1052.5220704597962</v>
      </c>
      <c r="AR27" s="1269"/>
      <c r="AS27" s="1270">
        <f>SUM(AS28:AS33)-AS31</f>
        <v>1686.55</v>
      </c>
      <c r="AT27" s="1268">
        <f>SUM(AT28:AT33)-AT31</f>
        <v>1683.3111998157194</v>
      </c>
      <c r="AU27" s="1269"/>
      <c r="AV27" s="1270">
        <f>SUM(AV28:AV33)-AV31</f>
        <v>3051.3199999999997</v>
      </c>
      <c r="AW27" s="1268">
        <f>SUM(AW28:AW33)-AW31</f>
        <v>3045.778926525335</v>
      </c>
      <c r="AX27" s="1269">
        <f>SUM(AV27-AW27)</f>
        <v>5.5410734746646995</v>
      </c>
      <c r="AY27" s="1270">
        <f>SUM(AY28:AY33)-AY31</f>
        <v>5342.0712213395909</v>
      </c>
      <c r="AZ27" s="1114">
        <f t="shared" si="45"/>
        <v>1.3302429803692788</v>
      </c>
      <c r="BA27" s="1268">
        <f>SUM(BA28:BA33)-BA31</f>
        <v>5336.5912167205643</v>
      </c>
      <c r="BB27" s="1269">
        <f>SUM(BB28:BB33)</f>
        <v>5.4800046190265448</v>
      </c>
      <c r="BC27" s="1270">
        <f>SUM(BC28:BC33)-BC31</f>
        <v>3068.8808562007616</v>
      </c>
      <c r="BD27" s="1302">
        <f t="shared" si="39"/>
        <v>0.76418996441740128</v>
      </c>
      <c r="BE27" s="1268">
        <f>SUM(BE28:BE33)-BE31</f>
        <v>3064.6874343771628</v>
      </c>
      <c r="BF27" s="1269">
        <f>SUM(BF28:BF33)</f>
        <v>4.1934218235985554</v>
      </c>
      <c r="BG27" s="1974"/>
      <c r="BH27" s="1270">
        <f>SUM(BH28:BH33)-BH31</f>
        <v>1436.7099999999998</v>
      </c>
      <c r="BI27" s="1268">
        <f>SUM(BI28:BI33)-BI31</f>
        <v>1433.8322998523174</v>
      </c>
      <c r="BJ27" s="1269"/>
      <c r="BK27" s="1270">
        <f>SUM(BK28:BK33)-BK31</f>
        <v>2201.7599999999998</v>
      </c>
      <c r="BL27" s="1268">
        <f>SUM(BL28:BL33)-BL31</f>
        <v>2197.3340247129977</v>
      </c>
      <c r="BM27" s="1269"/>
      <c r="BN27" s="1270">
        <f>SUM(BN28:BN33)-BN31</f>
        <v>2886.7500000000005</v>
      </c>
      <c r="BO27" s="1268">
        <f>SUM(BO28:BO33)-BO31</f>
        <v>2881.0330037008125</v>
      </c>
      <c r="BP27" s="1268">
        <f>SUM(BP28:BP33)-BP31</f>
        <v>5.7169962991877128</v>
      </c>
      <c r="BQ27" s="1270">
        <f>SUM(BQ28:BQ33)-BQ31</f>
        <v>3442.0580249415802</v>
      </c>
      <c r="BR27" s="2165">
        <f t="shared" si="43"/>
        <v>1.1216004094739629</v>
      </c>
      <c r="BS27" s="1268">
        <f>SUM(BS28:BS33)-BS31</f>
        <v>3435.2769153734666</v>
      </c>
      <c r="BT27" s="1269">
        <f>SUM(BT28:BT33)-BT31</f>
        <v>6.7811095681133793</v>
      </c>
      <c r="BU27" s="1270">
        <f>SUM(BU28:BU33)-BU31</f>
        <v>3201.1319118877095</v>
      </c>
      <c r="BV27" s="3822">
        <f t="shared" si="31"/>
        <v>1.0430942294223418</v>
      </c>
      <c r="BW27" s="1268">
        <f>SUM(BW28:BW33)-BW31</f>
        <v>3195.8148065237142</v>
      </c>
      <c r="BX27" s="1269">
        <f>SUM(BX28:BX33)</f>
        <v>5.3171053639950969</v>
      </c>
      <c r="BY27" s="3946">
        <f>SUM(BY28:BY33)-BY31</f>
        <v>1587.3300000000002</v>
      </c>
      <c r="BZ27" s="3947">
        <f>SUM(BZ28:BZ33)-BZ31</f>
        <v>1584.6948030714486</v>
      </c>
      <c r="CA27" s="3947">
        <f>SUM(CA28:CA33)</f>
        <v>2.6351969285513519</v>
      </c>
      <c r="CB27" s="3947">
        <f>SUM(CB28:CB33)-CB31</f>
        <v>2394.79</v>
      </c>
      <c r="CC27" s="3947">
        <f>SUM(CC28:CC33)-CC31</f>
        <v>2390.4001434324605</v>
      </c>
      <c r="CD27" s="3947">
        <f>SUM(CD28:CD33)</f>
        <v>4.3898565675393684</v>
      </c>
      <c r="CE27" s="3947">
        <f>SUM(CE28:CE33)-CE31</f>
        <v>3153.3029236666671</v>
      </c>
      <c r="CF27" s="3947">
        <f>SUM(CF28:CF33)-CF31</f>
        <v>3147.1092010860216</v>
      </c>
      <c r="CG27" s="3605">
        <f>SUM(CG28:CG33)</f>
        <v>6.1937225806451579</v>
      </c>
      <c r="CH27" s="1270">
        <f>SUM(CH28:CH33)-CH31</f>
        <v>3365.4945908828026</v>
      </c>
      <c r="CI27" s="3978">
        <f t="shared" si="32"/>
        <v>1.0513451752440182</v>
      </c>
      <c r="CJ27" s="1268">
        <f>SUM(CJ28:CJ33)-CJ31</f>
        <v>3359.8360179464253</v>
      </c>
      <c r="CK27" s="1269">
        <f>SUM(CK28:CK33)-CK31</f>
        <v>5.6585729363772579</v>
      </c>
      <c r="CL27" s="1270">
        <f>SUM(CL28:CL33)-CL31</f>
        <v>3632.9375167850244</v>
      </c>
      <c r="CM27" s="4017">
        <f t="shared" si="33"/>
        <v>1.1348915373633193</v>
      </c>
      <c r="CN27" s="1268">
        <f>SUM(CN28:CN33)-CN31</f>
        <v>3632.9375167850244</v>
      </c>
      <c r="CO27" s="1269">
        <f>SUM(CO28:CO33)-CO31</f>
        <v>0</v>
      </c>
    </row>
    <row r="28" spans="1:93" ht="31.5" customHeight="1">
      <c r="A28" s="1340" t="s">
        <v>3</v>
      </c>
      <c r="B28" s="1169">
        <v>136.30000000000001</v>
      </c>
      <c r="C28" s="1360">
        <v>303.60000000000002</v>
      </c>
      <c r="D28" s="1355">
        <f t="shared" si="0"/>
        <v>222.74394717534852</v>
      </c>
      <c r="E28" s="1360">
        <v>107.7</v>
      </c>
      <c r="F28" s="1355">
        <f t="shared" si="23"/>
        <v>35.474308300395258</v>
      </c>
      <c r="G28" s="1360">
        <v>238.5</v>
      </c>
      <c r="H28" s="1355">
        <f t="shared" si="2"/>
        <v>221.44846796657382</v>
      </c>
      <c r="I28" s="377">
        <v>196.9</v>
      </c>
      <c r="J28" s="377">
        <v>93.1</v>
      </c>
      <c r="K28" s="377">
        <v>136.4</v>
      </c>
      <c r="L28" s="377">
        <v>300.60000000000002</v>
      </c>
      <c r="M28" s="1361">
        <f t="shared" si="24"/>
        <v>126.03773584905662</v>
      </c>
      <c r="N28" s="377">
        <v>216.7</v>
      </c>
      <c r="O28" s="1362">
        <f t="shared" si="25"/>
        <v>110.05586592178771</v>
      </c>
      <c r="P28" s="377">
        <v>206.7</v>
      </c>
      <c r="Q28" s="1361">
        <f t="shared" si="26"/>
        <v>104.97714575926867</v>
      </c>
      <c r="R28" s="1361">
        <f t="shared" ref="R28:R42" si="99">P28/L28*100</f>
        <v>68.762475049900189</v>
      </c>
      <c r="S28" s="377">
        <v>206.7</v>
      </c>
      <c r="T28" s="377"/>
      <c r="U28" s="377">
        <v>268.8</v>
      </c>
      <c r="V28" s="1136"/>
      <c r="W28" s="1296">
        <v>309</v>
      </c>
      <c r="X28" s="1786"/>
      <c r="Y28" s="1050">
        <f>P28*1.048</f>
        <v>216.6216</v>
      </c>
      <c r="Z28" s="1009">
        <f>Y28</f>
        <v>216.6216</v>
      </c>
      <c r="AA28" s="1047"/>
      <c r="AB28" s="1050">
        <f>SUM(AC28:AD28)</f>
        <v>259.89999999999998</v>
      </c>
      <c r="AC28" s="1009">
        <v>259.89999999999998</v>
      </c>
      <c r="AD28" s="1047">
        <v>0</v>
      </c>
      <c r="AE28" s="1050">
        <v>230</v>
      </c>
      <c r="AF28" s="1009">
        <f t="shared" si="28"/>
        <v>1.0617593074744163</v>
      </c>
      <c r="AG28" s="1009">
        <v>230</v>
      </c>
      <c r="AH28" s="1047">
        <v>0</v>
      </c>
      <c r="AI28" s="1050">
        <f>AK28+AL28</f>
        <v>361.53</v>
      </c>
      <c r="AJ28" s="1009">
        <f t="shared" si="29"/>
        <v>1.6689471410053289</v>
      </c>
      <c r="AK28" s="1009">
        <f>'Ремонт стоки 2015'!G19/1000</f>
        <v>361.53</v>
      </c>
      <c r="AL28" s="1047">
        <f>AA28*1.046</f>
        <v>0</v>
      </c>
      <c r="AM28" s="1332">
        <f>AK28*1.046</f>
        <v>378.16037999999998</v>
      </c>
      <c r="AN28" s="377">
        <f>AL28*1.046</f>
        <v>0</v>
      </c>
      <c r="AO28" s="1136" t="e">
        <f>#REF!*1.046</f>
        <v>#REF!</v>
      </c>
      <c r="AP28" s="1050">
        <f>SUM(AQ28:AR28)</f>
        <v>0</v>
      </c>
      <c r="AQ28" s="1009">
        <v>0</v>
      </c>
      <c r="AR28" s="1047">
        <v>0</v>
      </c>
      <c r="AS28" s="1050">
        <f>SUM(AT28:AU28)</f>
        <v>0</v>
      </c>
      <c r="AT28" s="1009">
        <v>0</v>
      </c>
      <c r="AU28" s="1047">
        <v>0</v>
      </c>
      <c r="AV28" s="1050">
        <f>SUM(AW28:AX28)</f>
        <v>215.34</v>
      </c>
      <c r="AW28" s="1009">
        <v>215.34</v>
      </c>
      <c r="AX28" s="1047">
        <v>0</v>
      </c>
      <c r="AY28" s="1050">
        <f>SUM(BA28:BB28)</f>
        <v>1081.7670000000001</v>
      </c>
      <c r="AZ28" s="1114">
        <f t="shared" si="45"/>
        <v>2.9921915193759858</v>
      </c>
      <c r="BA28" s="1009">
        <f>SUM('Ремонт стоки 2016'!K88/1000)</f>
        <v>1081.7670000000001</v>
      </c>
      <c r="BB28" s="1047">
        <v>0</v>
      </c>
      <c r="BC28" s="1050">
        <f>'  текРемстоки 2016'!I91/1000</f>
        <v>132.46199999999999</v>
      </c>
      <c r="BD28" s="1302">
        <f t="shared" si="39"/>
        <v>0.36639283047050036</v>
      </c>
      <c r="BE28" s="1009">
        <f>BC28</f>
        <v>132.46199999999999</v>
      </c>
      <c r="BF28" s="1047">
        <v>0</v>
      </c>
      <c r="BG28" s="1973" t="str">
        <f>BG22</f>
        <v>Выполнять за счет амортизации</v>
      </c>
      <c r="BH28" s="1050">
        <f>SUM(BI28:BJ28)</f>
        <v>98.44</v>
      </c>
      <c r="BI28" s="1009">
        <v>98.44</v>
      </c>
      <c r="BJ28" s="1047">
        <v>0</v>
      </c>
      <c r="BK28" s="1050">
        <f>SUM(BL28:BM28)</f>
        <v>116.68</v>
      </c>
      <c r="BL28" s="1009">
        <v>116.68</v>
      </c>
      <c r="BM28" s="1047">
        <v>0</v>
      </c>
      <c r="BN28" s="1050">
        <f>SUM(BO28:BP28)</f>
        <v>122.56</v>
      </c>
      <c r="BO28" s="1009">
        <v>122.56</v>
      </c>
      <c r="BP28" s="1047">
        <v>0</v>
      </c>
      <c r="BQ28" s="1050">
        <f>SUM(AV28/2)</f>
        <v>107.67</v>
      </c>
      <c r="BR28" s="2165">
        <f t="shared" si="43"/>
        <v>0.81283688907007301</v>
      </c>
      <c r="BS28" s="1009">
        <f>SUM(BQ28)</f>
        <v>107.67</v>
      </c>
      <c r="BT28" s="1047">
        <v>0</v>
      </c>
      <c r="BU28" s="1267">
        <f>BC28*(1-0.01)*(1+0.071)*(1+0)</f>
        <v>140.44813397999997</v>
      </c>
      <c r="BV28" s="3822">
        <f t="shared" si="31"/>
        <v>1.0602899999999997</v>
      </c>
      <c r="BW28" s="1009">
        <f>BU28</f>
        <v>140.44813397999997</v>
      </c>
      <c r="BX28" s="1047">
        <v>0</v>
      </c>
      <c r="BY28" s="3951">
        <f>SUM(BZ28:CA28)</f>
        <v>165.35</v>
      </c>
      <c r="BZ28" s="3952">
        <v>165.35</v>
      </c>
      <c r="CA28" s="3952">
        <v>0</v>
      </c>
      <c r="CB28" s="3952">
        <f>SUM(CC28:CD28)</f>
        <v>278.04000000000002</v>
      </c>
      <c r="CC28" s="3952">
        <v>278.04000000000002</v>
      </c>
      <c r="CD28" s="3952">
        <v>0</v>
      </c>
      <c r="CE28" s="3952">
        <f>SUM(CF28:CG28)</f>
        <v>370.72</v>
      </c>
      <c r="CF28" s="3952">
        <f>SUM(CB28/9*12)</f>
        <v>370.72</v>
      </c>
      <c r="CG28" s="3606">
        <v>0</v>
      </c>
      <c r="CH28" s="1267">
        <f>BU28*(1-0.01)*(1+0.058)*(1+0)</f>
        <v>147.10818449333155</v>
      </c>
      <c r="CI28" s="3978">
        <f t="shared" si="32"/>
        <v>1.0474199999999998</v>
      </c>
      <c r="CJ28" s="1009">
        <f>SUM(CH28)</f>
        <v>147.10818449333155</v>
      </c>
      <c r="CK28" s="1047">
        <v>0</v>
      </c>
      <c r="CL28" s="1267">
        <f>BU28*(1-0.01)*(1+0.058)*(1+0)*1.005</f>
        <v>147.84372541579819</v>
      </c>
      <c r="CM28" s="4017">
        <f t="shared" si="33"/>
        <v>1.0526570999999998</v>
      </c>
      <c r="CN28" s="1009">
        <f>CL28</f>
        <v>147.84372541579819</v>
      </c>
      <c r="CO28" s="1047">
        <v>0</v>
      </c>
    </row>
    <row r="29" spans="1:93" ht="21" customHeight="1">
      <c r="A29" s="1340" t="s">
        <v>4</v>
      </c>
      <c r="B29" s="1169">
        <v>1216.9000000000001</v>
      </c>
      <c r="C29" s="1360">
        <v>1404.6</v>
      </c>
      <c r="D29" s="1355">
        <f t="shared" si="0"/>
        <v>115.4244391486564</v>
      </c>
      <c r="E29" s="1360">
        <v>1305.4000000000001</v>
      </c>
      <c r="F29" s="1355">
        <f t="shared" si="23"/>
        <v>92.937491100669249</v>
      </c>
      <c r="G29" s="1360">
        <v>1610.2</v>
      </c>
      <c r="H29" s="1355">
        <f t="shared" si="2"/>
        <v>123.34916500689444</v>
      </c>
      <c r="I29" s="377">
        <v>1927.2</v>
      </c>
      <c r="J29" s="377">
        <v>856</v>
      </c>
      <c r="K29" s="377">
        <v>1159.5</v>
      </c>
      <c r="L29" s="377">
        <v>1696.9</v>
      </c>
      <c r="M29" s="1361">
        <f t="shared" si="24"/>
        <v>105.38442429511863</v>
      </c>
      <c r="N29" s="377">
        <v>2453.6999999999998</v>
      </c>
      <c r="O29" s="1362">
        <f t="shared" si="25"/>
        <v>127.31942714819426</v>
      </c>
      <c r="P29" s="377">
        <f>ЗП!AP17</f>
        <v>2064.0440519999997</v>
      </c>
      <c r="Q29" s="1361">
        <f t="shared" si="26"/>
        <v>107.10066687422166</v>
      </c>
      <c r="R29" s="1361">
        <f t="shared" si="99"/>
        <v>121.6361631209853</v>
      </c>
      <c r="S29" s="377">
        <v>2064</v>
      </c>
      <c r="T29" s="377"/>
      <c r="U29" s="377">
        <v>1288.8</v>
      </c>
      <c r="V29" s="1136"/>
      <c r="W29" s="1296">
        <v>2633.2</v>
      </c>
      <c r="X29" s="1786"/>
      <c r="Y29" s="1050">
        <f>ЗП!U32</f>
        <v>2179.6305189119998</v>
      </c>
      <c r="Z29" s="1009">
        <f>Y29</f>
        <v>2179.6305189119998</v>
      </c>
      <c r="AA29" s="1047"/>
      <c r="AB29" s="1050">
        <v>1158.3</v>
      </c>
      <c r="AC29" s="1009">
        <f>SUM(AB29)</f>
        <v>1158.3</v>
      </c>
      <c r="AD29" s="1047">
        <v>0</v>
      </c>
      <c r="AE29" s="1050">
        <v>2288.61</v>
      </c>
      <c r="AF29" s="1009">
        <f t="shared" si="28"/>
        <v>1.0499990618329198</v>
      </c>
      <c r="AG29" s="1009">
        <v>2288.61</v>
      </c>
      <c r="AH29" s="1047">
        <v>0</v>
      </c>
      <c r="AI29" s="1050">
        <f>ЗП!BB32</f>
        <v>2257.028571428571</v>
      </c>
      <c r="AJ29" s="1009">
        <f t="shared" si="29"/>
        <v>1.0355097122402221</v>
      </c>
      <c r="AK29" s="1009">
        <f>AI29</f>
        <v>2257.028571428571</v>
      </c>
      <c r="AL29" s="1047">
        <f>AA29*1.05</f>
        <v>0</v>
      </c>
      <c r="AM29" s="1331" t="e">
        <f>#REF!</f>
        <v>#REF!</v>
      </c>
      <c r="AN29" s="1334">
        <v>0</v>
      </c>
      <c r="AO29" s="1363" t="e">
        <f t="shared" si="30"/>
        <v>#REF!</v>
      </c>
      <c r="AP29" s="1050">
        <f>SUM(ЗП!BG32)</f>
        <v>686.3</v>
      </c>
      <c r="AQ29" s="1009">
        <f>SUM(AP29)</f>
        <v>686.3</v>
      </c>
      <c r="AR29" s="1047">
        <v>0</v>
      </c>
      <c r="AS29" s="1050">
        <f>SUM(ЗП!BK32)</f>
        <v>1117.9000000000001</v>
      </c>
      <c r="AT29" s="1009">
        <f>SUM(AS29)</f>
        <v>1117.9000000000001</v>
      </c>
      <c r="AU29" s="1047">
        <v>0</v>
      </c>
      <c r="AV29" s="1050">
        <v>1576.62</v>
      </c>
      <c r="AW29" s="1009">
        <f>SUM(AV29)</f>
        <v>1576.62</v>
      </c>
      <c r="AX29" s="1047">
        <v>0</v>
      </c>
      <c r="AY29" s="1050">
        <v>2482.73</v>
      </c>
      <c r="AZ29" s="1114">
        <f t="shared" si="45"/>
        <v>1.09999936705656</v>
      </c>
      <c r="BA29" s="1009">
        <f>SUM(AY29)</f>
        <v>2482.73</v>
      </c>
      <c r="BB29" s="1047">
        <v>0</v>
      </c>
      <c r="BC29" s="1050">
        <f>SUM(ЗП!BW32)</f>
        <v>1648.136533333334</v>
      </c>
      <c r="BD29" s="1302">
        <f t="shared" si="39"/>
        <v>0.73022404509933037</v>
      </c>
      <c r="BE29" s="1009">
        <f>SUM(BC29)</f>
        <v>1648.136533333334</v>
      </c>
      <c r="BF29" s="1047">
        <v>0</v>
      </c>
      <c r="BG29" s="1973" t="str">
        <f>BG23</f>
        <v>Приложение</v>
      </c>
      <c r="BH29" s="1050">
        <f>SUM(ЗП!CB32)</f>
        <v>677.18</v>
      </c>
      <c r="BI29" s="1009">
        <f>SUM(BH29)</f>
        <v>677.18</v>
      </c>
      <c r="BJ29" s="1047">
        <v>0</v>
      </c>
      <c r="BK29" s="1050">
        <f>SUM(ЗП!CF32)</f>
        <v>1075.97</v>
      </c>
      <c r="BL29" s="1009">
        <f>SUM(BK29)</f>
        <v>1075.97</v>
      </c>
      <c r="BM29" s="1047">
        <v>0</v>
      </c>
      <c r="BN29" s="1050">
        <f>SUM(ЗП!CJ32)</f>
        <v>1443.68</v>
      </c>
      <c r="BO29" s="1009">
        <f>SUM(BN29)</f>
        <v>1443.68</v>
      </c>
      <c r="BP29" s="1047">
        <v>0</v>
      </c>
      <c r="BQ29" s="1050">
        <f>SUM(ЗП!CN32)</f>
        <v>1812.9501866666674</v>
      </c>
      <c r="BR29" s="2165">
        <f t="shared" si="43"/>
        <v>1.1000000000000001</v>
      </c>
      <c r="BS29" s="1009">
        <f>SUM(BQ29)</f>
        <v>1812.9501866666674</v>
      </c>
      <c r="BT29" s="1047">
        <v>0</v>
      </c>
      <c r="BU29" s="1050">
        <f>SUM(ЗП!CR32)</f>
        <v>1747.5026849280007</v>
      </c>
      <c r="BV29" s="3822">
        <f t="shared" si="31"/>
        <v>1.06029</v>
      </c>
      <c r="BW29" s="1009">
        <f>SUM(BU29)</f>
        <v>1747.5026849280007</v>
      </c>
      <c r="BX29" s="1047">
        <v>0</v>
      </c>
      <c r="BY29" s="3951">
        <f>SUM(ЗП!CV32)</f>
        <v>717.43</v>
      </c>
      <c r="BZ29" s="3952">
        <f>SUM(BY29)</f>
        <v>717.43</v>
      </c>
      <c r="CA29" s="3952">
        <v>0</v>
      </c>
      <c r="CB29" s="3952">
        <f>SUM(ЗП!CY32)</f>
        <v>1032.6600000000001</v>
      </c>
      <c r="CC29" s="3952">
        <f>SUM(CB29)</f>
        <v>1032.6600000000001</v>
      </c>
      <c r="CD29" s="3952">
        <v>0</v>
      </c>
      <c r="CE29" s="3952">
        <f>SUM(ЗП!DB32)</f>
        <v>1347.8900000000003</v>
      </c>
      <c r="CF29" s="3952">
        <f>SUM(CE29)</f>
        <v>1347.8900000000003</v>
      </c>
      <c r="CG29" s="3606">
        <v>0</v>
      </c>
      <c r="CH29" s="1050">
        <f>SUM(ЗП!DE32)</f>
        <v>1830.3692622472865</v>
      </c>
      <c r="CI29" s="3978">
        <f t="shared" si="32"/>
        <v>1.04742</v>
      </c>
      <c r="CJ29" s="1009">
        <f>SUM(CH29)</f>
        <v>1830.3692622472865</v>
      </c>
      <c r="CK29" s="1047">
        <v>0</v>
      </c>
      <c r="CL29" s="1050">
        <f>SUM(ЗП!DI32)</f>
        <v>1839.5211085585229</v>
      </c>
      <c r="CM29" s="4017">
        <f t="shared" si="33"/>
        <v>1.0526571</v>
      </c>
      <c r="CN29" s="1009">
        <f>SUM(CL29)</f>
        <v>1839.5211085585229</v>
      </c>
      <c r="CO29" s="1047">
        <v>0</v>
      </c>
    </row>
    <row r="30" spans="1:93" ht="31.5" customHeight="1">
      <c r="A30" s="1340" t="s">
        <v>121</v>
      </c>
      <c r="B30" s="1169">
        <v>293.3</v>
      </c>
      <c r="C30" s="1360">
        <v>366.3</v>
      </c>
      <c r="D30" s="1355">
        <f t="shared" si="0"/>
        <v>124.88919195363108</v>
      </c>
      <c r="E30" s="1360">
        <v>338</v>
      </c>
      <c r="F30" s="1355">
        <f t="shared" si="23"/>
        <v>92.274092274092268</v>
      </c>
      <c r="G30" s="1360">
        <v>535.70000000000005</v>
      </c>
      <c r="H30" s="1355">
        <f t="shared" si="2"/>
        <v>158.49112426035506</v>
      </c>
      <c r="I30" s="377">
        <v>578.20000000000005</v>
      </c>
      <c r="J30" s="377">
        <v>288.10000000000002</v>
      </c>
      <c r="K30" s="377">
        <v>351.9</v>
      </c>
      <c r="L30" s="377">
        <v>514</v>
      </c>
      <c r="M30" s="1361">
        <f t="shared" si="24"/>
        <v>95.949225312674997</v>
      </c>
      <c r="N30" s="377">
        <v>741</v>
      </c>
      <c r="O30" s="1362">
        <f t="shared" si="25"/>
        <v>128.15634728467657</v>
      </c>
      <c r="P30" s="377">
        <f>P29*30.2/100</f>
        <v>623.34130370399987</v>
      </c>
      <c r="Q30" s="1361">
        <f t="shared" si="26"/>
        <v>107.80721267796606</v>
      </c>
      <c r="R30" s="1361">
        <f t="shared" si="99"/>
        <v>121.2726271797665</v>
      </c>
      <c r="S30" s="377">
        <v>623.29999999999995</v>
      </c>
      <c r="T30" s="377"/>
      <c r="U30" s="377">
        <v>389.6</v>
      </c>
      <c r="V30" s="1136"/>
      <c r="W30" s="1296">
        <v>795.23</v>
      </c>
      <c r="X30" s="1786"/>
      <c r="Y30" s="1050">
        <f>Y29*0.302</f>
        <v>658.24841671142394</v>
      </c>
      <c r="Z30" s="1009">
        <f>Y30</f>
        <v>658.24841671142394</v>
      </c>
      <c r="AA30" s="1047"/>
      <c r="AB30" s="1050">
        <v>348.5</v>
      </c>
      <c r="AC30" s="1009">
        <f>SUM(AB30)</f>
        <v>348.5</v>
      </c>
      <c r="AD30" s="1047">
        <v>0</v>
      </c>
      <c r="AE30" s="1050">
        <v>691.16</v>
      </c>
      <c r="AF30" s="1009">
        <f t="shared" si="28"/>
        <v>1.0499987276125944</v>
      </c>
      <c r="AG30" s="1009">
        <v>691.16</v>
      </c>
      <c r="AH30" s="1047">
        <v>0</v>
      </c>
      <c r="AI30" s="1050">
        <f>AI29*W31</f>
        <v>681.62571428571425</v>
      </c>
      <c r="AJ30" s="1009">
        <f t="shared" si="29"/>
        <v>1.0355144000058247</v>
      </c>
      <c r="AK30" s="1009">
        <f>AK29*W31</f>
        <v>681.62571428571425</v>
      </c>
      <c r="AL30" s="1047">
        <f>AA30*1.05</f>
        <v>0</v>
      </c>
      <c r="AM30" s="1331" t="e">
        <f>#REF!</f>
        <v>#REF!</v>
      </c>
      <c r="AN30" s="1334">
        <v>0</v>
      </c>
      <c r="AO30" s="1363" t="e">
        <f t="shared" si="30"/>
        <v>#REF!</v>
      </c>
      <c r="AP30" s="1050">
        <v>0</v>
      </c>
      <c r="AQ30" s="1009">
        <f>SUM(AP30)</f>
        <v>0</v>
      </c>
      <c r="AR30" s="1047">
        <v>0</v>
      </c>
      <c r="AS30" s="1050">
        <v>0</v>
      </c>
      <c r="AT30" s="1009">
        <f>SUM(AS30)</f>
        <v>0</v>
      </c>
      <c r="AU30" s="1047">
        <v>0</v>
      </c>
      <c r="AV30" s="1050">
        <v>473.1</v>
      </c>
      <c r="AW30" s="1009">
        <f>SUM(AV30)</f>
        <v>473.1</v>
      </c>
      <c r="AX30" s="1047">
        <v>0</v>
      </c>
      <c r="AY30" s="1267">
        <f t="shared" ref="AY30" si="100">SUM(BA30+BB30)</f>
        <v>749.78422133959032</v>
      </c>
      <c r="AZ30" s="1114">
        <f t="shared" si="45"/>
        <v>1.0999940372339099</v>
      </c>
      <c r="BA30" s="1009">
        <f>SUM(BA29*AE31)</f>
        <v>749.78422133959032</v>
      </c>
      <c r="BB30" s="1047">
        <f>SUM(BB29*AE31)</f>
        <v>0</v>
      </c>
      <c r="BC30" s="1267">
        <f t="shared" ref="BC30" si="101">SUM(BE30+BF30)</f>
        <v>495.87808155630398</v>
      </c>
      <c r="BD30" s="1302">
        <f t="shared" si="39"/>
        <v>0.72749321389076704</v>
      </c>
      <c r="BE30" s="1009">
        <f>BE29*BE31</f>
        <v>495.87808155630398</v>
      </c>
      <c r="BF30" s="1047">
        <f>SUM(BF29*AY31)</f>
        <v>0</v>
      </c>
      <c r="BG30" s="1973" t="str">
        <f>BG24</f>
        <v xml:space="preserve">В размере 30,10% (на уровне факт.за 2014 год) от скорректированного ФОТ </v>
      </c>
      <c r="BH30" s="1050">
        <v>204.5</v>
      </c>
      <c r="BI30" s="1009">
        <f>SUM(BH30)</f>
        <v>204.5</v>
      </c>
      <c r="BJ30" s="1047">
        <v>0</v>
      </c>
      <c r="BK30" s="1050">
        <v>324.93</v>
      </c>
      <c r="BL30" s="1009">
        <f>SUM(BK30)</f>
        <v>324.93</v>
      </c>
      <c r="BM30" s="1047">
        <v>0</v>
      </c>
      <c r="BN30" s="1050">
        <v>435.99</v>
      </c>
      <c r="BO30" s="1009">
        <f>SUM(BN30)</f>
        <v>435.99</v>
      </c>
      <c r="BP30" s="1047">
        <v>0</v>
      </c>
      <c r="BQ30" s="1267">
        <f t="shared" ref="BQ30" si="102">SUM(BS30+BT30)</f>
        <v>545.69800618666682</v>
      </c>
      <c r="BR30" s="2165">
        <f t="shared" si="43"/>
        <v>1.1004680918220946</v>
      </c>
      <c r="BS30" s="1009">
        <f>SUM(BS29*BS31)</f>
        <v>545.69800618666682</v>
      </c>
      <c r="BT30" s="1047">
        <f>SUM(BT29*AW31)</f>
        <v>0</v>
      </c>
      <c r="BU30" s="1267">
        <f>BC30*(1-0.01)*(1+0.071)*(1+0)</f>
        <v>525.77457109333352</v>
      </c>
      <c r="BV30" s="3822">
        <f t="shared" si="31"/>
        <v>1.06029</v>
      </c>
      <c r="BW30" s="1009">
        <f>SUM(BU30)</f>
        <v>525.77457109333352</v>
      </c>
      <c r="BX30" s="1047">
        <f>SUM(BX29*BQ31)</f>
        <v>0</v>
      </c>
      <c r="BY30" s="3951">
        <v>215.89</v>
      </c>
      <c r="BZ30" s="3952">
        <f>SUM(BY30)</f>
        <v>215.89</v>
      </c>
      <c r="CA30" s="3952">
        <v>0</v>
      </c>
      <c r="CB30" s="3952">
        <v>311.08999999999997</v>
      </c>
      <c r="CC30" s="3952">
        <f>SUM(CB30)</f>
        <v>311.08999999999997</v>
      </c>
      <c r="CD30" s="3952">
        <v>0</v>
      </c>
      <c r="CE30" s="3952">
        <f>SUM(CE29*30.13%)</f>
        <v>406.11925700000012</v>
      </c>
      <c r="CF30" s="3952">
        <f>SUM(CE30)</f>
        <v>406.11925700000012</v>
      </c>
      <c r="CG30" s="3606">
        <v>0</v>
      </c>
      <c r="CH30" s="1267">
        <f t="shared" ref="CH30" si="103">SUM(CJ30+CK30)</f>
        <v>550.75811101020849</v>
      </c>
      <c r="CI30" s="3978">
        <f t="shared" si="32"/>
        <v>1.047517588887805</v>
      </c>
      <c r="CJ30" s="1009">
        <f>SUM(CJ29*CJ31)</f>
        <v>550.75811101020849</v>
      </c>
      <c r="CK30" s="1009">
        <f>SUM(CK29*CK31)</f>
        <v>0</v>
      </c>
      <c r="CL30" s="1267">
        <f t="shared" ref="CL30" si="104">SUM(CN30+CO30)</f>
        <v>553.51190156525956</v>
      </c>
      <c r="CM30" s="4017">
        <f t="shared" si="33"/>
        <v>1.0527551768322441</v>
      </c>
      <c r="CN30" s="1009">
        <f>SUM(CN29*CN31)</f>
        <v>553.51190156525956</v>
      </c>
      <c r="CO30" s="3747">
        <f>SUM(CO29*CO31)</f>
        <v>0</v>
      </c>
    </row>
    <row r="31" spans="1:93" s="189" customFormat="1" ht="21" customHeight="1">
      <c r="A31" s="1365" t="str">
        <f>A25</f>
        <v>то же в %</v>
      </c>
      <c r="B31" s="1170"/>
      <c r="C31" s="1355"/>
      <c r="D31" s="1355"/>
      <c r="E31" s="1333">
        <f>E30/E29</f>
        <v>0.25892446759613907</v>
      </c>
      <c r="F31" s="1333">
        <f t="shared" ref="F31:AE31" si="105">F30/F29</f>
        <v>0.99286188147839727</v>
      </c>
      <c r="G31" s="1333">
        <f t="shared" si="105"/>
        <v>0.33269159110669483</v>
      </c>
      <c r="H31" s="1333"/>
      <c r="I31" s="1333">
        <f t="shared" si="105"/>
        <v>0.30002075550020757</v>
      </c>
      <c r="J31" s="1333">
        <f t="shared" si="105"/>
        <v>0.33656542056074767</v>
      </c>
      <c r="K31" s="1333">
        <f t="shared" si="105"/>
        <v>0.30349288486416559</v>
      </c>
      <c r="L31" s="1333">
        <f t="shared" si="105"/>
        <v>0.30290529789616355</v>
      </c>
      <c r="M31" s="1333">
        <f t="shared" si="105"/>
        <v>0.91046875242188263</v>
      </c>
      <c r="N31" s="1333">
        <f t="shared" si="105"/>
        <v>0.30199290866854139</v>
      </c>
      <c r="O31" s="1333">
        <f t="shared" si="105"/>
        <v>1.0065733891145157</v>
      </c>
      <c r="P31" s="1333">
        <f t="shared" si="105"/>
        <v>0.30199999999999999</v>
      </c>
      <c r="Q31" s="1333">
        <f t="shared" si="105"/>
        <v>1.0065970252507781</v>
      </c>
      <c r="R31" s="1333">
        <f t="shared" si="105"/>
        <v>0.99701128404669248</v>
      </c>
      <c r="S31" s="1333">
        <f t="shared" si="105"/>
        <v>0.3019864341085271</v>
      </c>
      <c r="T31" s="1333"/>
      <c r="U31" s="1333">
        <f t="shared" si="105"/>
        <v>0.30229671011793918</v>
      </c>
      <c r="V31" s="1137"/>
      <c r="W31" s="1981">
        <f t="shared" si="105"/>
        <v>0.30200136715783082</v>
      </c>
      <c r="X31" s="1300"/>
      <c r="Y31" s="1980">
        <f t="shared" si="105"/>
        <v>0.30199999999999999</v>
      </c>
      <c r="Z31" s="1302">
        <f t="shared" si="105"/>
        <v>0.30199999999999999</v>
      </c>
      <c r="AA31" s="1371"/>
      <c r="AB31" s="1980">
        <f t="shared" ref="AB31:AC31" si="106">AB30/AB29</f>
        <v>0.30087196753863421</v>
      </c>
      <c r="AC31" s="1302">
        <f t="shared" si="106"/>
        <v>0.30087196753863421</v>
      </c>
      <c r="AD31" s="1303"/>
      <c r="AE31" s="1787">
        <f t="shared" si="105"/>
        <v>0.30199990387178238</v>
      </c>
      <c r="AF31" s="1009"/>
      <c r="AG31" s="1304">
        <v>0</v>
      </c>
      <c r="AH31" s="1371">
        <v>0</v>
      </c>
      <c r="AI31" s="1980">
        <f>AI30/AI29</f>
        <v>0.30200136715783082</v>
      </c>
      <c r="AJ31" s="1009"/>
      <c r="AK31" s="1302">
        <f>AK30/AK29</f>
        <v>0.30200136715783082</v>
      </c>
      <c r="AL31" s="1371"/>
      <c r="AM31" s="1331" t="e">
        <f>#REF!</f>
        <v>#REF!</v>
      </c>
      <c r="AN31" s="1334">
        <v>0</v>
      </c>
      <c r="AO31" s="1363" t="e">
        <f t="shared" si="30"/>
        <v>#REF!</v>
      </c>
      <c r="AP31" s="1787">
        <f>AP30/AP29</f>
        <v>0</v>
      </c>
      <c r="AQ31" s="1304">
        <f t="shared" ref="AQ31" si="107">AQ30/AQ29</f>
        <v>0</v>
      </c>
      <c r="AR31" s="1371"/>
      <c r="AS31" s="1787">
        <f>AS30/AS29</f>
        <v>0</v>
      </c>
      <c r="AT31" s="1304">
        <f t="shared" ref="AT31" si="108">AT30/AT29</f>
        <v>0</v>
      </c>
      <c r="AU31" s="1371"/>
      <c r="AV31" s="1048">
        <f>AV30/AV29</f>
        <v>0.30007230657989881</v>
      </c>
      <c r="AW31" s="1010">
        <f t="shared" ref="AW31" si="109">AW30/AW29</f>
        <v>0.30007230657989881</v>
      </c>
      <c r="AX31" s="1049">
        <v>0</v>
      </c>
      <c r="AY31" s="1980">
        <f>SUM(AY30/AY29)</f>
        <v>0.30199990387178238</v>
      </c>
      <c r="AZ31" s="1114">
        <f t="shared" si="45"/>
        <v>0.99999515470389355</v>
      </c>
      <c r="BA31" s="1302">
        <f>SUM(BA30/BA29)</f>
        <v>0.30199990387178238</v>
      </c>
      <c r="BB31" s="1371"/>
      <c r="BC31" s="1980">
        <f>AB31</f>
        <v>0.30087196753863421</v>
      </c>
      <c r="BD31" s="1302">
        <f t="shared" si="39"/>
        <v>0.99626028309134651</v>
      </c>
      <c r="BE31" s="1302">
        <f>BC31</f>
        <v>0.30087196753863421</v>
      </c>
      <c r="BF31" s="1371"/>
      <c r="BG31" s="1977"/>
      <c r="BH31" s="1048">
        <f>BH30/BH29</f>
        <v>0.30198765468560801</v>
      </c>
      <c r="BI31" s="1010">
        <f t="shared" ref="BI31" si="110">BI30/BI29</f>
        <v>0.30198765468560801</v>
      </c>
      <c r="BJ31" s="1049">
        <v>0</v>
      </c>
      <c r="BK31" s="1048">
        <f>BK30/BK29</f>
        <v>0.30198797364238777</v>
      </c>
      <c r="BL31" s="1010">
        <f t="shared" ref="BL31" si="111">BL30/BL29</f>
        <v>0.30198797364238777</v>
      </c>
      <c r="BM31" s="1049"/>
      <c r="BN31" s="1048">
        <f>BN30/BN29</f>
        <v>0.30199905796298349</v>
      </c>
      <c r="BO31" s="1010">
        <f t="shared" ref="BO31" si="112">BO30/BO29</f>
        <v>0.30199905796298349</v>
      </c>
      <c r="BP31" s="1371"/>
      <c r="BQ31" s="1980">
        <v>0.30099999999999999</v>
      </c>
      <c r="BR31" s="2165">
        <f t="shared" si="43"/>
        <v>1.0004255380200859</v>
      </c>
      <c r="BS31" s="1302">
        <v>0.30099999999999999</v>
      </c>
      <c r="BT31" s="1371">
        <v>30.1</v>
      </c>
      <c r="BU31" s="1980">
        <f>SUM(BU30/BU29)</f>
        <v>0.30087196753863421</v>
      </c>
      <c r="BV31" s="3822">
        <f t="shared" si="31"/>
        <v>1</v>
      </c>
      <c r="BW31" s="1302">
        <f>SUM(BW30/BW29)</f>
        <v>0.30087196753863421</v>
      </c>
      <c r="BX31" s="1371"/>
      <c r="BY31" s="3954">
        <f>BY30/BY29</f>
        <v>0.30092134424264388</v>
      </c>
      <c r="BZ31" s="3955">
        <f t="shared" ref="BZ31" si="113">BZ30/BZ29</f>
        <v>0.30092134424264388</v>
      </c>
      <c r="CA31" s="4362"/>
      <c r="CB31" s="3955">
        <f>CB30/CB29</f>
        <v>0.30125113783820417</v>
      </c>
      <c r="CC31" s="3955">
        <f t="shared" ref="CC31" si="114">CC30/CC29</f>
        <v>0.30125113783820417</v>
      </c>
      <c r="CD31" s="4362"/>
      <c r="CE31" s="3955">
        <f>CE30/CE29</f>
        <v>0.30130000000000001</v>
      </c>
      <c r="CF31" s="3955">
        <f t="shared" ref="CF31" si="115">CF30/CF29</f>
        <v>0.30130000000000001</v>
      </c>
      <c r="CG31" s="4392"/>
      <c r="CH31" s="1980">
        <f>SUM(CH30/CH29)</f>
        <v>0.3009</v>
      </c>
      <c r="CI31" s="3978">
        <f t="shared" si="32"/>
        <v>1.0000931707317073</v>
      </c>
      <c r="CJ31" s="1302">
        <v>0.3009</v>
      </c>
      <c r="CK31" s="4393">
        <v>30.09</v>
      </c>
      <c r="CL31" s="1980">
        <f>SUM(CL30/CL29)</f>
        <v>0.3009</v>
      </c>
      <c r="CM31" s="4017">
        <f t="shared" si="33"/>
        <v>1.0000931707317073</v>
      </c>
      <c r="CN31" s="1302">
        <v>0.3009</v>
      </c>
      <c r="CO31" s="4556">
        <v>0.3009</v>
      </c>
    </row>
    <row r="32" spans="1:93" ht="21" customHeight="1">
      <c r="A32" s="1340" t="s">
        <v>2</v>
      </c>
      <c r="B32" s="1169">
        <v>46.2</v>
      </c>
      <c r="C32" s="1360">
        <v>0</v>
      </c>
      <c r="D32" s="1355">
        <f t="shared" si="0"/>
        <v>0</v>
      </c>
      <c r="E32" s="1360">
        <v>18.899999999999999</v>
      </c>
      <c r="F32" s="1355"/>
      <c r="G32" s="1360">
        <v>25.5</v>
      </c>
      <c r="H32" s="1355">
        <f t="shared" si="2"/>
        <v>134.92063492063494</v>
      </c>
      <c r="I32" s="377">
        <v>26.4</v>
      </c>
      <c r="J32" s="377">
        <v>12.6</v>
      </c>
      <c r="K32" s="377">
        <v>18.899999999999999</v>
      </c>
      <c r="L32" s="377">
        <v>25.5</v>
      </c>
      <c r="M32" s="1361">
        <f t="shared" si="24"/>
        <v>100</v>
      </c>
      <c r="N32" s="377">
        <v>27.72</v>
      </c>
      <c r="O32" s="1362">
        <f t="shared" si="25"/>
        <v>105</v>
      </c>
      <c r="P32" s="377">
        <v>26.4</v>
      </c>
      <c r="Q32" s="1361">
        <f t="shared" si="26"/>
        <v>100</v>
      </c>
      <c r="R32" s="1361">
        <f t="shared" si="99"/>
        <v>103.52941176470587</v>
      </c>
      <c r="S32" s="377">
        <v>26.4</v>
      </c>
      <c r="T32" s="377"/>
      <c r="U32" s="377">
        <v>18.899999999999999</v>
      </c>
      <c r="V32" s="1136"/>
      <c r="W32" s="1296">
        <v>26.4</v>
      </c>
      <c r="X32" s="1786"/>
      <c r="Y32" s="1050">
        <f>Аморт!G28</f>
        <v>25.2</v>
      </c>
      <c r="Z32" s="1009">
        <f>Y32</f>
        <v>25.2</v>
      </c>
      <c r="AA32" s="1047"/>
      <c r="AB32" s="1050">
        <f>SUM(Аморт!L28)</f>
        <v>25.2</v>
      </c>
      <c r="AC32" s="1009">
        <f>AB32</f>
        <v>25.2</v>
      </c>
      <c r="AD32" s="1047">
        <v>0</v>
      </c>
      <c r="AE32" s="1050">
        <v>25.2</v>
      </c>
      <c r="AF32" s="1009">
        <f t="shared" si="28"/>
        <v>1</v>
      </c>
      <c r="AG32" s="1009">
        <v>25.2</v>
      </c>
      <c r="AH32" s="1047">
        <v>0</v>
      </c>
      <c r="AI32" s="1050">
        <f>Аморт!O28</f>
        <v>25.2</v>
      </c>
      <c r="AJ32" s="1009">
        <f t="shared" si="29"/>
        <v>1</v>
      </c>
      <c r="AK32" s="1009">
        <f>AI32</f>
        <v>25.2</v>
      </c>
      <c r="AL32" s="1047"/>
      <c r="AM32" s="1331" t="e">
        <f>#REF!</f>
        <v>#REF!</v>
      </c>
      <c r="AN32" s="1334">
        <v>0</v>
      </c>
      <c r="AO32" s="1363" t="e">
        <f t="shared" si="30"/>
        <v>#REF!</v>
      </c>
      <c r="AP32" s="1050">
        <f>SUM(Аморт!Q28)</f>
        <v>12.72</v>
      </c>
      <c r="AQ32" s="1009">
        <f>AP32</f>
        <v>12.72</v>
      </c>
      <c r="AR32" s="1047">
        <v>0</v>
      </c>
      <c r="AS32" s="1050">
        <f>SUM(Аморт!R28)</f>
        <v>19.11</v>
      </c>
      <c r="AT32" s="1009">
        <f>AS32</f>
        <v>19.11</v>
      </c>
      <c r="AU32" s="1047">
        <v>0</v>
      </c>
      <c r="AV32" s="1050">
        <v>25.5</v>
      </c>
      <c r="AW32" s="1009">
        <f>AV32</f>
        <v>25.5</v>
      </c>
      <c r="AX32" s="1047">
        <v>0</v>
      </c>
      <c r="AY32" s="1050">
        <f>SUM(Аморт!U28)</f>
        <v>25.2</v>
      </c>
      <c r="AZ32" s="1114">
        <f t="shared" si="45"/>
        <v>1</v>
      </c>
      <c r="BA32" s="1009">
        <f>SUM(AY32)</f>
        <v>25.2</v>
      </c>
      <c r="BB32" s="1047">
        <v>0</v>
      </c>
      <c r="BC32" s="1050">
        <f>SUM(Аморт!V28)</f>
        <v>25.2</v>
      </c>
      <c r="BD32" s="1302">
        <f t="shared" si="39"/>
        <v>1</v>
      </c>
      <c r="BE32" s="1009">
        <f>SUM(BC32)</f>
        <v>25.2</v>
      </c>
      <c r="BF32" s="1047">
        <v>0</v>
      </c>
      <c r="BG32" s="1973" t="str">
        <f>BG20</f>
        <v>Приложение</v>
      </c>
      <c r="BH32" s="1050">
        <f>SUM(Аморт!AB28)</f>
        <v>12.78</v>
      </c>
      <c r="BI32" s="1009">
        <f>BH32</f>
        <v>12.78</v>
      </c>
      <c r="BJ32" s="1047">
        <v>0</v>
      </c>
      <c r="BK32" s="1050">
        <f>SUM(Аморт!AC28)</f>
        <v>19.170000000000002</v>
      </c>
      <c r="BL32" s="1009">
        <f>BK32</f>
        <v>19.170000000000002</v>
      </c>
      <c r="BM32" s="1047">
        <v>0</v>
      </c>
      <c r="BN32" s="1050">
        <f>SUM(Аморт!AD28)</f>
        <v>36.94</v>
      </c>
      <c r="BO32" s="1009">
        <f>BN32</f>
        <v>36.94</v>
      </c>
      <c r="BP32" s="1047">
        <v>0</v>
      </c>
      <c r="BQ32" s="1050">
        <f>SUM(Аморт!AE28)</f>
        <v>25.5</v>
      </c>
      <c r="BR32" s="2165">
        <f t="shared" si="43"/>
        <v>1.0119047619047619</v>
      </c>
      <c r="BS32" s="1009">
        <f>SUM(BQ32)</f>
        <v>25.5</v>
      </c>
      <c r="BT32" s="1047">
        <v>0</v>
      </c>
      <c r="BU32" s="1050">
        <f>SUM(Аморт!AF28)</f>
        <v>25.5</v>
      </c>
      <c r="BV32" s="3822">
        <f t="shared" si="31"/>
        <v>1.0119047619047619</v>
      </c>
      <c r="BW32" s="1009">
        <f>SUM(BU32)</f>
        <v>25.5</v>
      </c>
      <c r="BX32" s="1047">
        <v>0</v>
      </c>
      <c r="BY32" s="3951">
        <f>SUM(Аморт!AH28)</f>
        <v>34.28</v>
      </c>
      <c r="BZ32" s="3952">
        <f>BY32</f>
        <v>34.28</v>
      </c>
      <c r="CA32" s="3952">
        <v>0</v>
      </c>
      <c r="CB32" s="3952">
        <f>SUM(Аморт!AI28)</f>
        <v>51.41</v>
      </c>
      <c r="CC32" s="3952">
        <f>CB32</f>
        <v>51.41</v>
      </c>
      <c r="CD32" s="3952">
        <v>0</v>
      </c>
      <c r="CE32" s="3952">
        <f>SUM(Аморт!AJ28)</f>
        <v>68.546666666666653</v>
      </c>
      <c r="CF32" s="3952">
        <f>CE32</f>
        <v>68.546666666666653</v>
      </c>
      <c r="CG32" s="3606">
        <v>0</v>
      </c>
      <c r="CH32" s="1050">
        <f>SUM(Аморт!AK28)</f>
        <v>36.94</v>
      </c>
      <c r="CI32" s="3978">
        <f t="shared" si="32"/>
        <v>1.448627450980392</v>
      </c>
      <c r="CJ32" s="1009">
        <f>SUM(CH32)</f>
        <v>36.94</v>
      </c>
      <c r="CK32" s="1047">
        <v>0</v>
      </c>
      <c r="CL32" s="1050">
        <f>SUM(Аморт!AL28)</f>
        <v>36.94</v>
      </c>
      <c r="CM32" s="4017">
        <f t="shared" si="33"/>
        <v>1.448627450980392</v>
      </c>
      <c r="CN32" s="1009">
        <f>SUM(CL32)</f>
        <v>36.94</v>
      </c>
      <c r="CO32" s="1047">
        <v>0</v>
      </c>
    </row>
    <row r="33" spans="1:93" ht="21" customHeight="1">
      <c r="A33" s="1340" t="s">
        <v>6</v>
      </c>
      <c r="B33" s="1169">
        <v>703.1</v>
      </c>
      <c r="C33" s="1360">
        <v>526.5</v>
      </c>
      <c r="D33" s="1355">
        <f t="shared" si="0"/>
        <v>74.882662494666477</v>
      </c>
      <c r="E33" s="1360">
        <v>622.9</v>
      </c>
      <c r="F33" s="1355">
        <f t="shared" ref="F33:F42" si="116">E33/C33*100</f>
        <v>118.30959164292499</v>
      </c>
      <c r="G33" s="1360">
        <v>634.1</v>
      </c>
      <c r="H33" s="1355">
        <f t="shared" si="2"/>
        <v>101.79804141916841</v>
      </c>
      <c r="I33" s="377">
        <v>608.70000000000005</v>
      </c>
      <c r="J33" s="377">
        <v>296.60000000000002</v>
      </c>
      <c r="K33" s="377">
        <f>'цех стоки'!K49</f>
        <v>412.80813156428934</v>
      </c>
      <c r="L33" s="377">
        <f>'цех стоки'!L49</f>
        <v>847.9</v>
      </c>
      <c r="M33" s="1368">
        <f t="shared" si="24"/>
        <v>133.71707932502758</v>
      </c>
      <c r="N33" s="377">
        <v>737</v>
      </c>
      <c r="O33" s="1362">
        <f t="shared" si="25"/>
        <v>121.07770658781007</v>
      </c>
      <c r="P33" s="377">
        <f>'цех стоки'!P49</f>
        <v>697.8</v>
      </c>
      <c r="Q33" s="1361">
        <f t="shared" si="26"/>
        <v>114.6377525874815</v>
      </c>
      <c r="R33" s="1361">
        <f t="shared" si="99"/>
        <v>82.297440735935837</v>
      </c>
      <c r="S33" s="377">
        <v>619</v>
      </c>
      <c r="T33" s="377"/>
      <c r="U33" s="377">
        <v>745.9</v>
      </c>
      <c r="V33" s="1136"/>
      <c r="W33" s="1296">
        <v>981.12</v>
      </c>
      <c r="X33" s="1786"/>
      <c r="Y33" s="1050">
        <f>'цех стоки'!X49</f>
        <v>730.61322970801143</v>
      </c>
      <c r="Z33" s="1009">
        <f>Y33</f>
        <v>730.61322970801143</v>
      </c>
      <c r="AA33" s="1047"/>
      <c r="AB33" s="1050">
        <f>'цех стоки'!AA49</f>
        <v>658</v>
      </c>
      <c r="AC33" s="1009">
        <f>SUM(AC55/AB55)*AB33</f>
        <v>652.28352799033428</v>
      </c>
      <c r="AD33" s="1047">
        <f>AB33-AC33</f>
        <v>5.716472009665722</v>
      </c>
      <c r="AE33" s="1050">
        <v>673.48</v>
      </c>
      <c r="AF33" s="1009">
        <f t="shared" si="28"/>
        <v>0.92180099211884703</v>
      </c>
      <c r="AG33" s="1009">
        <v>673.48</v>
      </c>
      <c r="AH33" s="1047">
        <v>0</v>
      </c>
      <c r="AI33" s="1050">
        <f>'цех стоки'!AC49</f>
        <v>690.17495043218662</v>
      </c>
      <c r="AJ33" s="1009">
        <f t="shared" si="29"/>
        <v>0.94465159179777525</v>
      </c>
      <c r="AK33" s="1009">
        <f>SUM('цех стоки'!X100)</f>
        <v>684.91318153951886</v>
      </c>
      <c r="AL33" s="1047">
        <f>SUM('цех стоки'!Y100)</f>
        <v>5.2617688926677602</v>
      </c>
      <c r="AM33" s="1372" t="e">
        <f>#REF!</f>
        <v>#REF!</v>
      </c>
      <c r="AN33" s="1373">
        <v>0</v>
      </c>
      <c r="AO33" s="1374" t="e">
        <f t="shared" si="30"/>
        <v>#REF!</v>
      </c>
      <c r="AP33" s="1050">
        <f>SUM('цех стоки'!AE49)</f>
        <v>355.56</v>
      </c>
      <c r="AQ33" s="1009">
        <f>SUM(AQ55/AP55)*AP33</f>
        <v>353.50207045979624</v>
      </c>
      <c r="AR33" s="1047">
        <f>AP33-AQ33</f>
        <v>2.0579295402037587</v>
      </c>
      <c r="AS33" s="1050">
        <f>SUM('цех стоки'!AF49)</f>
        <v>549.54</v>
      </c>
      <c r="AT33" s="1009">
        <f>SUM(AT55/AS55)*AS33</f>
        <v>546.30119981571943</v>
      </c>
      <c r="AU33" s="1047">
        <f>AS33-AT33</f>
        <v>3.2388001842805352</v>
      </c>
      <c r="AV33" s="1050">
        <v>760.76</v>
      </c>
      <c r="AW33" s="1009">
        <f>SUM(AW55/AV55)*AV33</f>
        <v>755.21892652533518</v>
      </c>
      <c r="AX33" s="1047">
        <f>AV33-AW33</f>
        <v>5.5410734746648131</v>
      </c>
      <c r="AY33" s="1050">
        <v>1002.59</v>
      </c>
      <c r="AZ33" s="1114">
        <f t="shared" ref="AZ33" si="117">SUM(AY33/AI33)</f>
        <v>1.4526606614340023</v>
      </c>
      <c r="BA33" s="1009">
        <f>SUM(BA55/AY55)*AY33</f>
        <v>997.10999538097349</v>
      </c>
      <c r="BB33" s="1047">
        <f>AY33-BA33</f>
        <v>5.4800046190265448</v>
      </c>
      <c r="BC33" s="1050">
        <f>SUM('цех стоки'!AH49)</f>
        <v>767.20424131112384</v>
      </c>
      <c r="BD33" s="1302">
        <f t="shared" si="39"/>
        <v>1.1116083549985429</v>
      </c>
      <c r="BE33" s="1009">
        <f>SUM(BE55/BC55)*BC33</f>
        <v>763.01081948752528</v>
      </c>
      <c r="BF33" s="1047">
        <f>BC33-BE33</f>
        <v>4.1934218235985554</v>
      </c>
      <c r="BG33" s="1973" t="str">
        <f>BG26</f>
        <v>Приложение</v>
      </c>
      <c r="BH33" s="1050">
        <f>SUM('цех стоки'!AN49)</f>
        <v>443.81</v>
      </c>
      <c r="BI33" s="1009">
        <f>SUM(BI55/BH55)*BH33</f>
        <v>440.93229985231756</v>
      </c>
      <c r="BJ33" s="1047">
        <f>BH33-BI33</f>
        <v>2.8777001476824466</v>
      </c>
      <c r="BK33" s="1050">
        <f>SUM('цех стоки'!AO49)</f>
        <v>665.01</v>
      </c>
      <c r="BL33" s="1009">
        <f>SUM(BL55/BK55)*BK33</f>
        <v>660.58402471299769</v>
      </c>
      <c r="BM33" s="1047">
        <f>BK33-BL33</f>
        <v>4.4259752870023021</v>
      </c>
      <c r="BN33" s="1050">
        <f>SUM('цех стоки'!AP49)</f>
        <v>847.58</v>
      </c>
      <c r="BO33" s="1009">
        <f>SUM(BO55/BN55)*BN33</f>
        <v>841.86300370081233</v>
      </c>
      <c r="BP33" s="1047">
        <f>BN33-BO33</f>
        <v>5.7169962991877128</v>
      </c>
      <c r="BQ33" s="1050">
        <f>SUM('цех стоки'!AQ49)</f>
        <v>950.2398320882462</v>
      </c>
      <c r="BR33" s="2165">
        <f t="shared" si="43"/>
        <v>1.2385747900250412</v>
      </c>
      <c r="BS33" s="1009">
        <f>SUM(BS55/BQ55)*BQ33</f>
        <v>943.45872252013282</v>
      </c>
      <c r="BT33" s="1047">
        <f>BQ33-BS33</f>
        <v>6.7811095681133793</v>
      </c>
      <c r="BU33" s="1050">
        <f>SUM('цех стоки'!AR49)</f>
        <v>761.90652188637512</v>
      </c>
      <c r="BV33" s="3822">
        <f t="shared" si="31"/>
        <v>0.99309477302198546</v>
      </c>
      <c r="BW33" s="1009">
        <f>SUM(BW55/BU55)*BU33</f>
        <v>756.58941652238002</v>
      </c>
      <c r="BX33" s="1047">
        <f>BU33-BW33</f>
        <v>5.3171053639950969</v>
      </c>
      <c r="BY33" s="3951">
        <f>SUM('цех стоки'!AT49)</f>
        <v>454.38</v>
      </c>
      <c r="BZ33" s="3952">
        <f>SUM(BZ55/BY55)*BY33</f>
        <v>451.74480307144864</v>
      </c>
      <c r="CA33" s="3952">
        <f>BY33-BZ33</f>
        <v>2.6351969285513519</v>
      </c>
      <c r="CB33" s="3952">
        <f>SUM('цех стоки'!AU49)</f>
        <v>721.59</v>
      </c>
      <c r="CC33" s="3952">
        <f>SUM(CC55/CB55)*CB33</f>
        <v>717.20014343246066</v>
      </c>
      <c r="CD33" s="3952">
        <f>CB33-CC33</f>
        <v>4.3898565675393684</v>
      </c>
      <c r="CE33" s="3952">
        <f>SUM('цех стоки'!AV49)</f>
        <v>960.02699999999982</v>
      </c>
      <c r="CF33" s="3952">
        <f>SUM(CF55/CE55)*CE33</f>
        <v>953.83327741935466</v>
      </c>
      <c r="CG33" s="3606">
        <f>CE33-CF33</f>
        <v>6.1937225806451579</v>
      </c>
      <c r="CH33" s="1050">
        <f>SUM('цех стоки'!AW49)</f>
        <v>800.31903313197597</v>
      </c>
      <c r="CI33" s="3978">
        <f t="shared" si="32"/>
        <v>1.0504163045494044</v>
      </c>
      <c r="CJ33" s="1009">
        <f>SUM(CJ55/CH55)*CH33</f>
        <v>794.66046019559872</v>
      </c>
      <c r="CK33" s="1047">
        <f>CH33-CJ33</f>
        <v>5.6585729363772543</v>
      </c>
      <c r="CL33" s="1050">
        <f>SUM('цех стоки'!AX49)</f>
        <v>1055.1207812454436</v>
      </c>
      <c r="CM33" s="4017">
        <f t="shared" si="33"/>
        <v>1.3848428264311357</v>
      </c>
      <c r="CN33" s="1009">
        <f>SUM(CL33)</f>
        <v>1055.1207812454436</v>
      </c>
      <c r="CO33" s="1047">
        <f>CL33-CN33</f>
        <v>0</v>
      </c>
    </row>
    <row r="34" spans="1:93" ht="20.25" customHeight="1">
      <c r="A34" s="1370" t="s">
        <v>541</v>
      </c>
      <c r="B34" s="1352">
        <f>SUM(B35:B41)</f>
        <v>5314.8</v>
      </c>
      <c r="C34" s="1353">
        <f>SUM(C35:C41)</f>
        <v>5623.9</v>
      </c>
      <c r="D34" s="1354">
        <f t="shared" si="0"/>
        <v>105.81583502671783</v>
      </c>
      <c r="E34" s="1334">
        <f>SUM(E35:E41)-E40</f>
        <v>7123.4000000000005</v>
      </c>
      <c r="F34" s="1334">
        <f>SUM(F35:F41)</f>
        <v>913.65189698036852</v>
      </c>
      <c r="G34" s="1334">
        <v>12529.9</v>
      </c>
      <c r="H34" s="1361"/>
      <c r="I34" s="1334">
        <f>I35+I37+I38+I39+I41</f>
        <v>11227.5098</v>
      </c>
      <c r="J34" s="1334">
        <f>SUM(J35:J41)</f>
        <v>5757.3238488674342</v>
      </c>
      <c r="K34" s="1334">
        <f>SUM(K35:K41)-K40</f>
        <v>8391.3600740438869</v>
      </c>
      <c r="L34" s="1334">
        <f>SUM(L35:L41)-L40</f>
        <v>11925.999999999998</v>
      </c>
      <c r="M34" s="1361">
        <f t="shared" si="24"/>
        <v>95.180328653859959</v>
      </c>
      <c r="N34" s="1334">
        <v>16741.8</v>
      </c>
      <c r="O34" s="1362">
        <f t="shared" si="25"/>
        <v>149.11409830165545</v>
      </c>
      <c r="P34" s="1334">
        <f>P35+P37+P38+P39+P41</f>
        <v>12235.25798464</v>
      </c>
      <c r="Q34" s="1334">
        <f t="shared" ref="Q34:AK34" si="118">Q35+Q37+Q38+Q39+Q41</f>
        <v>543.11165966081455</v>
      </c>
      <c r="R34" s="1334">
        <f t="shared" si="118"/>
        <v>719.07045660461495</v>
      </c>
      <c r="S34" s="1334">
        <f t="shared" si="118"/>
        <v>12517.6</v>
      </c>
      <c r="T34" s="1334">
        <f t="shared" si="118"/>
        <v>0</v>
      </c>
      <c r="U34" s="1334">
        <f t="shared" si="118"/>
        <v>9500.4</v>
      </c>
      <c r="V34" s="1363">
        <f t="shared" si="118"/>
        <v>0</v>
      </c>
      <c r="W34" s="1298">
        <f t="shared" si="118"/>
        <v>17090.59</v>
      </c>
      <c r="X34" s="1375"/>
      <c r="Y34" s="1270">
        <f t="shared" si="118"/>
        <v>11977.560558241828</v>
      </c>
      <c r="Z34" s="1268">
        <f t="shared" si="118"/>
        <v>11977.560558241828</v>
      </c>
      <c r="AA34" s="1269">
        <f t="shared" si="118"/>
        <v>0</v>
      </c>
      <c r="AB34" s="1270">
        <f t="shared" ref="AB34:AD34" si="119">AB35+AB37+AB38+AB39+AB41</f>
        <v>11982.7</v>
      </c>
      <c r="AC34" s="1268">
        <f t="shared" si="119"/>
        <v>11982.7</v>
      </c>
      <c r="AD34" s="1269">
        <f t="shared" si="119"/>
        <v>0</v>
      </c>
      <c r="AE34" s="1270">
        <v>15733.22</v>
      </c>
      <c r="AF34" s="1009">
        <f t="shared" si="28"/>
        <v>1.3135579589429736</v>
      </c>
      <c r="AG34" s="1268">
        <v>15733.22</v>
      </c>
      <c r="AH34" s="1269">
        <v>0</v>
      </c>
      <c r="AI34" s="1270">
        <f>AI35+AI37+AI38+AI39+AI41</f>
        <v>14124.397647353169</v>
      </c>
      <c r="AJ34" s="1009">
        <f t="shared" si="29"/>
        <v>1.179238257963479</v>
      </c>
      <c r="AK34" s="1268">
        <f t="shared" si="118"/>
        <v>14124.397647353169</v>
      </c>
      <c r="AL34" s="1269">
        <f>AL35+AL37+AL38+AL39+AL41</f>
        <v>0</v>
      </c>
      <c r="AM34" s="1331" t="e">
        <f>#REF!</f>
        <v>#REF!</v>
      </c>
      <c r="AN34" s="1334">
        <v>0</v>
      </c>
      <c r="AO34" s="1363" t="e">
        <f t="shared" si="30"/>
        <v>#REF!</v>
      </c>
      <c r="AP34" s="1270">
        <f t="shared" ref="AP34:BF34" si="120">AP35+AP37+AP38+AP39+AP41</f>
        <v>5196.55</v>
      </c>
      <c r="AQ34" s="1268">
        <f t="shared" si="120"/>
        <v>5196.55</v>
      </c>
      <c r="AR34" s="1269">
        <f t="shared" si="120"/>
        <v>0</v>
      </c>
      <c r="AS34" s="1270">
        <f t="shared" si="120"/>
        <v>7853.18</v>
      </c>
      <c r="AT34" s="1268">
        <f t="shared" si="120"/>
        <v>7853.18</v>
      </c>
      <c r="AU34" s="1269">
        <f t="shared" si="120"/>
        <v>0</v>
      </c>
      <c r="AV34" s="1270">
        <f t="shared" ref="AV34:AX34" si="121">AV35+AV37+AV38+AV39+AV41</f>
        <v>12358.45</v>
      </c>
      <c r="AW34" s="1268">
        <f t="shared" si="121"/>
        <v>12358.45</v>
      </c>
      <c r="AX34" s="1269">
        <f t="shared" si="121"/>
        <v>0</v>
      </c>
      <c r="AY34" s="1270">
        <f t="shared" si="120"/>
        <v>16901.098910000001</v>
      </c>
      <c r="AZ34" s="1114">
        <f t="shared" si="45"/>
        <v>1.1965890037914055</v>
      </c>
      <c r="BA34" s="1268">
        <f t="shared" si="120"/>
        <v>16901.098910000001</v>
      </c>
      <c r="BB34" s="1269">
        <f t="shared" si="120"/>
        <v>0</v>
      </c>
      <c r="BC34" s="1270">
        <f t="shared" si="120"/>
        <v>13151.996497389971</v>
      </c>
      <c r="BD34" s="1302">
        <f t="shared" si="39"/>
        <v>0.93115450483331441</v>
      </c>
      <c r="BE34" s="1268">
        <f t="shared" si="120"/>
        <v>13151.996497389971</v>
      </c>
      <c r="BF34" s="1269">
        <f t="shared" si="120"/>
        <v>0</v>
      </c>
      <c r="BG34" s="1973"/>
      <c r="BH34" s="1270">
        <f t="shared" ref="BH34:BQ34" si="122">BH35+BH37+BH38+BH39+BH41</f>
        <v>6200.9600000000009</v>
      </c>
      <c r="BI34" s="1268">
        <f t="shared" si="122"/>
        <v>6200.9600000000009</v>
      </c>
      <c r="BJ34" s="1269">
        <f t="shared" si="122"/>
        <v>0</v>
      </c>
      <c r="BK34" s="1270">
        <f t="shared" ref="BK34:BM34" si="123">BK35+BK37+BK38+BK39+BK41</f>
        <v>9679.7800000000007</v>
      </c>
      <c r="BL34" s="1268">
        <f t="shared" si="123"/>
        <v>9679.7800000000007</v>
      </c>
      <c r="BM34" s="1269">
        <f t="shared" si="123"/>
        <v>0</v>
      </c>
      <c r="BN34" s="1270">
        <f t="shared" ref="BN34:BP34" si="124">BN35+BN37+BN38+BN39+BN41</f>
        <v>12825.269999999999</v>
      </c>
      <c r="BO34" s="1268">
        <f t="shared" si="124"/>
        <v>12825.269999999999</v>
      </c>
      <c r="BP34" s="1269">
        <f t="shared" si="124"/>
        <v>0</v>
      </c>
      <c r="BQ34" s="1270">
        <f t="shared" si="122"/>
        <v>14608.977924901288</v>
      </c>
      <c r="BR34" s="2165">
        <f t="shared" si="43"/>
        <v>1.1107802475312745</v>
      </c>
      <c r="BS34" s="1268">
        <f t="shared" ref="BS34:BU34" si="125">BS35+BS37+BS38+BS39+BS41</f>
        <v>14608.977924901288</v>
      </c>
      <c r="BT34" s="1269">
        <f t="shared" si="125"/>
        <v>0</v>
      </c>
      <c r="BU34" s="1270">
        <f t="shared" si="125"/>
        <v>13632.006549653923</v>
      </c>
      <c r="BV34" s="3822">
        <f t="shared" si="31"/>
        <v>1.036497124399266</v>
      </c>
      <c r="BW34" s="1268">
        <f t="shared" ref="BW34:CH34" si="126">BW35+BW37+BW38+BW39+BW41</f>
        <v>13632.006549653923</v>
      </c>
      <c r="BX34" s="1269">
        <f t="shared" si="126"/>
        <v>0</v>
      </c>
      <c r="BY34" s="3946">
        <f t="shared" si="126"/>
        <v>6174.58</v>
      </c>
      <c r="BZ34" s="3947">
        <f t="shared" si="126"/>
        <v>6174.58</v>
      </c>
      <c r="CA34" s="3947">
        <f t="shared" si="126"/>
        <v>0</v>
      </c>
      <c r="CB34" s="3947">
        <f t="shared" ref="CB34:CD34" si="127">CB35+CB37+CB38+CB39+CB41</f>
        <v>9545.92</v>
      </c>
      <c r="CC34" s="3947">
        <f t="shared" si="127"/>
        <v>9545.92</v>
      </c>
      <c r="CD34" s="3947">
        <f t="shared" si="127"/>
        <v>0</v>
      </c>
      <c r="CE34" s="3947">
        <f t="shared" ref="CE34:CG34" si="128">CE35+CE37+CE38+CE39+CE41</f>
        <v>12735.999685333334</v>
      </c>
      <c r="CF34" s="3947">
        <f t="shared" si="128"/>
        <v>12735.999685333334</v>
      </c>
      <c r="CG34" s="3605">
        <f t="shared" si="128"/>
        <v>0</v>
      </c>
      <c r="CH34" s="1270">
        <f t="shared" si="126"/>
        <v>11613.896597947982</v>
      </c>
      <c r="CI34" s="3978">
        <f t="shared" si="32"/>
        <v>0.85195796786371303</v>
      </c>
      <c r="CJ34" s="1268">
        <f t="shared" ref="CJ34:CL34" si="129">CJ35+CJ37+CJ38+CJ39+CJ41</f>
        <v>11613.896597947982</v>
      </c>
      <c r="CK34" s="1269">
        <f t="shared" si="129"/>
        <v>0</v>
      </c>
      <c r="CL34" s="1270">
        <f t="shared" si="129"/>
        <v>14090.903042038302</v>
      </c>
      <c r="CM34" s="4017">
        <f t="shared" si="33"/>
        <v>1.0336631654857904</v>
      </c>
      <c r="CN34" s="1268">
        <f t="shared" ref="CN34:CO34" si="130">CN35+CN37+CN38+CN39+CN41</f>
        <v>14090.903042038302</v>
      </c>
      <c r="CO34" s="1269">
        <f t="shared" si="130"/>
        <v>0</v>
      </c>
    </row>
    <row r="35" spans="1:93" ht="21" customHeight="1">
      <c r="A35" s="1340" t="s">
        <v>2</v>
      </c>
      <c r="B35" s="1169">
        <v>1184.9000000000001</v>
      </c>
      <c r="C35" s="1360">
        <v>1102.8</v>
      </c>
      <c r="D35" s="1355">
        <f t="shared" si="0"/>
        <v>93.071145244324399</v>
      </c>
      <c r="E35" s="1360">
        <v>1090</v>
      </c>
      <c r="F35" s="1355">
        <f t="shared" si="116"/>
        <v>98.839318099383391</v>
      </c>
      <c r="G35" s="1360">
        <f>Аморт!G14</f>
        <v>3280</v>
      </c>
      <c r="H35" s="1355">
        <f t="shared" si="2"/>
        <v>300.91743119266056</v>
      </c>
      <c r="I35" s="377">
        <v>2025</v>
      </c>
      <c r="J35" s="377">
        <v>1460.8</v>
      </c>
      <c r="K35" s="377">
        <v>2699.1</v>
      </c>
      <c r="L35" s="377">
        <v>3595</v>
      </c>
      <c r="M35" s="1361">
        <f t="shared" si="24"/>
        <v>109.60365853658536</v>
      </c>
      <c r="N35" s="377">
        <f>Аморт!O14</f>
        <v>3791.1</v>
      </c>
      <c r="O35" s="1362">
        <f t="shared" si="25"/>
        <v>187.21481481481482</v>
      </c>
      <c r="P35" s="377">
        <v>2025</v>
      </c>
      <c r="Q35" s="1361">
        <f t="shared" si="26"/>
        <v>100</v>
      </c>
      <c r="R35" s="1361">
        <f t="shared" si="99"/>
        <v>56.328233657858142</v>
      </c>
      <c r="S35" s="377">
        <v>2025</v>
      </c>
      <c r="T35" s="377"/>
      <c r="U35" s="377">
        <v>2658.5</v>
      </c>
      <c r="V35" s="1136"/>
      <c r="W35" s="1296">
        <v>3595</v>
      </c>
      <c r="X35" s="1786"/>
      <c r="Y35" s="1050">
        <f>Аморт!G29</f>
        <v>3544.67</v>
      </c>
      <c r="Z35" s="1009">
        <f t="shared" ref="Z35:Z41" si="131">Y35</f>
        <v>3544.67</v>
      </c>
      <c r="AA35" s="1047"/>
      <c r="AB35" s="1050">
        <f>SUM(Аморт!L29)</f>
        <v>3567.6</v>
      </c>
      <c r="AC35" s="1009">
        <f t="shared" ref="AC35" si="132">AB35</f>
        <v>3567.6</v>
      </c>
      <c r="AD35" s="1047">
        <v>0</v>
      </c>
      <c r="AE35" s="1050">
        <v>3562.4</v>
      </c>
      <c r="AF35" s="1009">
        <f t="shared" si="28"/>
        <v>1.0050018760561632</v>
      </c>
      <c r="AG35" s="1009">
        <v>3562.4</v>
      </c>
      <c r="AH35" s="1047">
        <v>0</v>
      </c>
      <c r="AI35" s="1050">
        <f>Аморт!O29</f>
        <v>3562.4</v>
      </c>
      <c r="AJ35" s="1009">
        <f t="shared" si="29"/>
        <v>1.0050018760561632</v>
      </c>
      <c r="AK35" s="1009">
        <f>AI35</f>
        <v>3562.4</v>
      </c>
      <c r="AL35" s="1047"/>
      <c r="AM35" s="1331" t="e">
        <f>#REF!</f>
        <v>#REF!</v>
      </c>
      <c r="AN35" s="1334">
        <v>0</v>
      </c>
      <c r="AO35" s="1363" t="e">
        <f t="shared" si="30"/>
        <v>#REF!</v>
      </c>
      <c r="AP35" s="1050">
        <f>SUM(Аморт!Q29)</f>
        <v>1790.52</v>
      </c>
      <c r="AQ35" s="1009">
        <f t="shared" ref="AQ35" si="133">AP35</f>
        <v>1790.52</v>
      </c>
      <c r="AR35" s="1047">
        <v>0</v>
      </c>
      <c r="AS35" s="1050">
        <f>SUM(Аморт!R29)</f>
        <v>2713.05</v>
      </c>
      <c r="AT35" s="1009">
        <f t="shared" ref="AT35" si="134">AS35</f>
        <v>2713.05</v>
      </c>
      <c r="AU35" s="1047">
        <v>0</v>
      </c>
      <c r="AV35" s="1050">
        <v>4015.93</v>
      </c>
      <c r="AW35" s="1009">
        <f t="shared" ref="AW35" si="135">AV35</f>
        <v>4015.93</v>
      </c>
      <c r="AX35" s="1047">
        <v>0</v>
      </c>
      <c r="AY35" s="1050">
        <f>SUM(Аморт!U29)</f>
        <v>3562.4</v>
      </c>
      <c r="AZ35" s="1114">
        <f t="shared" si="45"/>
        <v>1</v>
      </c>
      <c r="BA35" s="1009">
        <f>SUM(AY35)</f>
        <v>3562.4</v>
      </c>
      <c r="BB35" s="1047">
        <v>0</v>
      </c>
      <c r="BC35" s="1050">
        <f>SUM(Аморт!V29)</f>
        <v>3562.4</v>
      </c>
      <c r="BD35" s="1302">
        <f t="shared" si="39"/>
        <v>1</v>
      </c>
      <c r="BE35" s="1009">
        <f>SUM(BC35)</f>
        <v>3562.4</v>
      </c>
      <c r="BF35" s="1047">
        <v>0</v>
      </c>
      <c r="BG35" s="1973" t="str">
        <f>BG32</f>
        <v>Приложение</v>
      </c>
      <c r="BH35" s="1050">
        <f>SUM(Аморт!AB29)</f>
        <v>1954.32</v>
      </c>
      <c r="BI35" s="1009">
        <f t="shared" ref="BI35" si="136">BH35</f>
        <v>1954.32</v>
      </c>
      <c r="BJ35" s="1047">
        <v>0</v>
      </c>
      <c r="BK35" s="1050">
        <f>SUM(Аморт!AC29)</f>
        <v>2931.48</v>
      </c>
      <c r="BL35" s="1009">
        <f t="shared" ref="BL35" si="137">BK35</f>
        <v>2931.48</v>
      </c>
      <c r="BM35" s="1047">
        <v>0</v>
      </c>
      <c r="BN35" s="1050">
        <f>SUM(Аморт!AD29)</f>
        <v>3912.88</v>
      </c>
      <c r="BO35" s="1009">
        <f t="shared" ref="BO35" si="138">BN35</f>
        <v>3912.88</v>
      </c>
      <c r="BP35" s="1047">
        <v>0</v>
      </c>
      <c r="BQ35" s="1050">
        <f>SUM(Аморт!AE29)</f>
        <v>4015.93</v>
      </c>
      <c r="BR35" s="2165">
        <f t="shared" si="43"/>
        <v>1.1273102402874466</v>
      </c>
      <c r="BS35" s="1009">
        <f>SUM(BQ35)</f>
        <v>4015.93</v>
      </c>
      <c r="BT35" s="1047">
        <v>0</v>
      </c>
      <c r="BU35" s="1050">
        <f>SUM(Аморт!AF29)</f>
        <v>4015.93</v>
      </c>
      <c r="BV35" s="3822">
        <f t="shared" si="31"/>
        <v>1.1273102402874466</v>
      </c>
      <c r="BW35" s="1009">
        <f>SUM(BU35)</f>
        <v>4015.93</v>
      </c>
      <c r="BX35" s="1047">
        <v>0</v>
      </c>
      <c r="BY35" s="3951">
        <f>SUM(Аморт!AH29)</f>
        <v>1962.73</v>
      </c>
      <c r="BZ35" s="3952">
        <f t="shared" ref="BZ35" si="139">BY35</f>
        <v>1962.73</v>
      </c>
      <c r="CA35" s="3952">
        <v>0</v>
      </c>
      <c r="CB35" s="3952">
        <f>SUM(Аморт!AI29)</f>
        <v>2944.09</v>
      </c>
      <c r="CC35" s="3952">
        <f t="shared" ref="CC35" si="140">CB35</f>
        <v>2944.09</v>
      </c>
      <c r="CD35" s="3952">
        <v>0</v>
      </c>
      <c r="CE35" s="3952">
        <f>SUM(Аморт!AJ29)</f>
        <v>3925.4533333333338</v>
      </c>
      <c r="CF35" s="3952">
        <f t="shared" ref="CF35" si="141">CE35</f>
        <v>3925.4533333333338</v>
      </c>
      <c r="CG35" s="3606">
        <v>0</v>
      </c>
      <c r="CH35" s="1050">
        <f>SUM(Аморт!AK29)</f>
        <v>3912.88</v>
      </c>
      <c r="CI35" s="3978">
        <f t="shared" si="32"/>
        <v>0.97433969217590954</v>
      </c>
      <c r="CJ35" s="1009">
        <f>SUM(CH35)</f>
        <v>3912.88</v>
      </c>
      <c r="CK35" s="1047">
        <v>0</v>
      </c>
      <c r="CL35" s="1050">
        <f>SUM(Аморт!AL29)</f>
        <v>3912.88</v>
      </c>
      <c r="CM35" s="4017">
        <f t="shared" si="33"/>
        <v>0.97433969217590954</v>
      </c>
      <c r="CN35" s="1009">
        <f>SUM(CL35)</f>
        <v>3912.88</v>
      </c>
      <c r="CO35" s="1047">
        <v>0</v>
      </c>
    </row>
    <row r="36" spans="1:93" ht="21" customHeight="1">
      <c r="A36" s="1340" t="s">
        <v>69</v>
      </c>
      <c r="B36" s="1169">
        <v>9.1</v>
      </c>
      <c r="C36" s="1360">
        <v>9</v>
      </c>
      <c r="D36" s="1355">
        <f t="shared" si="0"/>
        <v>98.901098901098905</v>
      </c>
      <c r="E36" s="1360">
        <v>9.8000000000000007</v>
      </c>
      <c r="F36" s="1355">
        <f t="shared" si="116"/>
        <v>108.8888888888889</v>
      </c>
      <c r="G36" s="1360"/>
      <c r="H36" s="1355">
        <f t="shared" si="2"/>
        <v>0</v>
      </c>
      <c r="I36" s="377"/>
      <c r="J36" s="377">
        <v>14.8</v>
      </c>
      <c r="K36" s="377">
        <v>7.8</v>
      </c>
      <c r="L36" s="377">
        <v>10.1</v>
      </c>
      <c r="M36" s="1361"/>
      <c r="N36" s="377"/>
      <c r="O36" s="1362"/>
      <c r="P36" s="377"/>
      <c r="Q36" s="1361"/>
      <c r="R36" s="1361">
        <f t="shared" si="99"/>
        <v>0</v>
      </c>
      <c r="S36" s="377"/>
      <c r="T36" s="377"/>
      <c r="U36" s="377"/>
      <c r="V36" s="1136"/>
      <c r="W36" s="1296">
        <v>0</v>
      </c>
      <c r="X36" s="1786"/>
      <c r="Y36" s="1050">
        <v>0</v>
      </c>
      <c r="Z36" s="1009">
        <f t="shared" si="131"/>
        <v>0</v>
      </c>
      <c r="AA36" s="1047"/>
      <c r="AB36" s="1050">
        <v>0</v>
      </c>
      <c r="AC36" s="1009">
        <v>0</v>
      </c>
      <c r="AD36" s="1047">
        <v>0</v>
      </c>
      <c r="AE36" s="1050">
        <v>0</v>
      </c>
      <c r="AF36" s="1009"/>
      <c r="AG36" s="1009">
        <v>0</v>
      </c>
      <c r="AH36" s="1047">
        <v>0</v>
      </c>
      <c r="AI36" s="1050">
        <f>Y36</f>
        <v>0</v>
      </c>
      <c r="AJ36" s="1009"/>
      <c r="AK36" s="1009"/>
      <c r="AL36" s="1047"/>
      <c r="AM36" s="1331" t="e">
        <f>#REF!</f>
        <v>#REF!</v>
      </c>
      <c r="AN36" s="1334">
        <v>0</v>
      </c>
      <c r="AO36" s="1363" t="e">
        <f t="shared" si="30"/>
        <v>#REF!</v>
      </c>
      <c r="AP36" s="1050">
        <v>0</v>
      </c>
      <c r="AQ36" s="1009">
        <v>0</v>
      </c>
      <c r="AR36" s="1047">
        <v>0</v>
      </c>
      <c r="AS36" s="1050">
        <v>0</v>
      </c>
      <c r="AT36" s="1009">
        <v>0</v>
      </c>
      <c r="AU36" s="1047">
        <v>0</v>
      </c>
      <c r="AV36" s="1050">
        <v>0</v>
      </c>
      <c r="AW36" s="1009">
        <v>0</v>
      </c>
      <c r="AX36" s="1047">
        <v>0</v>
      </c>
      <c r="AY36" s="1050">
        <v>0</v>
      </c>
      <c r="AZ36" s="1114">
        <v>0</v>
      </c>
      <c r="BA36" s="1009">
        <v>0</v>
      </c>
      <c r="BB36" s="1047">
        <v>0</v>
      </c>
      <c r="BC36" s="1050">
        <v>0</v>
      </c>
      <c r="BD36" s="1302">
        <v>0</v>
      </c>
      <c r="BE36" s="1009">
        <v>0</v>
      </c>
      <c r="BF36" s="1047">
        <v>0</v>
      </c>
      <c r="BG36" s="1973"/>
      <c r="BH36" s="1050">
        <v>0</v>
      </c>
      <c r="BI36" s="1009">
        <v>0</v>
      </c>
      <c r="BJ36" s="1047">
        <v>0</v>
      </c>
      <c r="BK36" s="1050">
        <v>0</v>
      </c>
      <c r="BL36" s="1009">
        <v>0</v>
      </c>
      <c r="BM36" s="1047">
        <v>0</v>
      </c>
      <c r="BN36" s="1050">
        <v>0</v>
      </c>
      <c r="BO36" s="1009">
        <v>0</v>
      </c>
      <c r="BP36" s="1047">
        <v>0</v>
      </c>
      <c r="BQ36" s="1050">
        <v>0</v>
      </c>
      <c r="BR36" s="2165" t="e">
        <f t="shared" si="43"/>
        <v>#DIV/0!</v>
      </c>
      <c r="BS36" s="1009">
        <v>0</v>
      </c>
      <c r="BT36" s="1047">
        <v>0</v>
      </c>
      <c r="BU36" s="1050">
        <v>0</v>
      </c>
      <c r="BV36" s="3822"/>
      <c r="BW36" s="1009">
        <v>0</v>
      </c>
      <c r="BX36" s="1047">
        <v>0</v>
      </c>
      <c r="BY36" s="3951">
        <v>0</v>
      </c>
      <c r="BZ36" s="3952">
        <v>0</v>
      </c>
      <c r="CA36" s="3952">
        <v>0</v>
      </c>
      <c r="CB36" s="3952">
        <v>0</v>
      </c>
      <c r="CC36" s="3952">
        <v>0</v>
      </c>
      <c r="CD36" s="3952">
        <v>0</v>
      </c>
      <c r="CE36" s="3952">
        <v>0</v>
      </c>
      <c r="CF36" s="3952">
        <v>0</v>
      </c>
      <c r="CG36" s="3606">
        <v>0</v>
      </c>
      <c r="CH36" s="1050">
        <v>0</v>
      </c>
      <c r="CI36" s="3978"/>
      <c r="CJ36" s="1009">
        <v>0</v>
      </c>
      <c r="CK36" s="1047">
        <v>0</v>
      </c>
      <c r="CL36" s="1050">
        <v>0</v>
      </c>
      <c r="CM36" s="4017"/>
      <c r="CN36" s="1009">
        <v>0</v>
      </c>
      <c r="CO36" s="1047">
        <v>0</v>
      </c>
    </row>
    <row r="37" spans="1:93" ht="27.75" customHeight="1">
      <c r="A37" s="1340" t="s">
        <v>3</v>
      </c>
      <c r="B37" s="1169">
        <v>160.5</v>
      </c>
      <c r="C37" s="1360">
        <v>209.5</v>
      </c>
      <c r="D37" s="1355">
        <f t="shared" si="0"/>
        <v>130.52959501557632</v>
      </c>
      <c r="E37" s="1360">
        <v>596.1</v>
      </c>
      <c r="F37" s="1355">
        <f t="shared" si="116"/>
        <v>284.53460620525061</v>
      </c>
      <c r="G37" s="1360">
        <f>G34-G35-G38-G39-G41</f>
        <v>1328.0449999999987</v>
      </c>
      <c r="H37" s="1355">
        <f t="shared" si="2"/>
        <v>222.78896158362667</v>
      </c>
      <c r="I37" s="377">
        <v>735.9</v>
      </c>
      <c r="J37" s="377">
        <v>344.8</v>
      </c>
      <c r="K37" s="377">
        <v>224.8</v>
      </c>
      <c r="L37" s="377">
        <v>250.9</v>
      </c>
      <c r="M37" s="1361">
        <f t="shared" si="24"/>
        <v>18.892432108851754</v>
      </c>
      <c r="N37" s="377">
        <f>N34-N35-N38-N39-N41</f>
        <v>809.46099199999662</v>
      </c>
      <c r="O37" s="1362">
        <f t="shared" si="25"/>
        <v>109.99605816007565</v>
      </c>
      <c r="P37" s="377">
        <f>I37*1.049</f>
        <v>771.95909999999992</v>
      </c>
      <c r="Q37" s="1361">
        <f t="shared" si="26"/>
        <v>104.89999999999999</v>
      </c>
      <c r="R37" s="1361">
        <f t="shared" si="99"/>
        <v>307.6760063770426</v>
      </c>
      <c r="S37" s="377">
        <v>772</v>
      </c>
      <c r="T37" s="377"/>
      <c r="U37" s="377">
        <v>114.9</v>
      </c>
      <c r="V37" s="1136"/>
      <c r="W37" s="1296">
        <v>842</v>
      </c>
      <c r="X37" s="1786"/>
      <c r="Y37" s="1050">
        <v>0</v>
      </c>
      <c r="Z37" s="1009">
        <f t="shared" si="131"/>
        <v>0</v>
      </c>
      <c r="AA37" s="1047"/>
      <c r="AB37" s="1050">
        <f>SUM(AC37:AD37)</f>
        <v>50.4</v>
      </c>
      <c r="AC37" s="1009">
        <v>50.4</v>
      </c>
      <c r="AD37" s="1047">
        <v>0</v>
      </c>
      <c r="AE37" s="1050">
        <v>730</v>
      </c>
      <c r="AF37" s="1009"/>
      <c r="AG37" s="1009">
        <v>730</v>
      </c>
      <c r="AH37" s="1047">
        <v>0</v>
      </c>
      <c r="AI37" s="1050">
        <v>0</v>
      </c>
      <c r="AJ37" s="1009"/>
      <c r="AK37" s="1009">
        <f>AI37</f>
        <v>0</v>
      </c>
      <c r="AL37" s="1047"/>
      <c r="AM37" s="1331" t="e">
        <f>#REF!</f>
        <v>#REF!</v>
      </c>
      <c r="AN37" s="1334">
        <v>0</v>
      </c>
      <c r="AO37" s="1363" t="e">
        <f t="shared" si="30"/>
        <v>#REF!</v>
      </c>
      <c r="AP37" s="1050">
        <f>SUM(AQ37:AR37)</f>
        <v>0</v>
      </c>
      <c r="AQ37" s="1009">
        <v>0</v>
      </c>
      <c r="AR37" s="1047">
        <v>0</v>
      </c>
      <c r="AS37" s="1050">
        <f>SUM(AT37:AU37)</f>
        <v>0</v>
      </c>
      <c r="AT37" s="1009">
        <v>0</v>
      </c>
      <c r="AU37" s="1047">
        <v>0</v>
      </c>
      <c r="AV37" s="1050">
        <f>SUM(AW37:AX37)</f>
        <v>150.85</v>
      </c>
      <c r="AW37" s="1009">
        <v>150.85</v>
      </c>
      <c r="AX37" s="1047">
        <v>0</v>
      </c>
      <c r="AY37" s="1050">
        <v>168.81</v>
      </c>
      <c r="AZ37" s="1114"/>
      <c r="BA37" s="1009">
        <v>168.81</v>
      </c>
      <c r="BB37" s="1047">
        <v>0</v>
      </c>
      <c r="BC37" s="1050">
        <f>SUM(BE37:BF37)</f>
        <v>168.81355932203391</v>
      </c>
      <c r="BD37" s="1302"/>
      <c r="BE37" s="1009">
        <f>'Кап Рем'!G13</f>
        <v>168.81355932203391</v>
      </c>
      <c r="BF37" s="1047">
        <v>0</v>
      </c>
      <c r="BG37" s="1973" t="str">
        <f>BG28</f>
        <v>Выполнять за счет амортизации</v>
      </c>
      <c r="BH37" s="1050">
        <f>SUM(BI37:BJ37)</f>
        <v>239.3</v>
      </c>
      <c r="BI37" s="1009">
        <v>239.3</v>
      </c>
      <c r="BJ37" s="1047">
        <v>0</v>
      </c>
      <c r="BK37" s="1050">
        <f>SUM(BL37:BM37)</f>
        <v>293.12</v>
      </c>
      <c r="BL37" s="1009">
        <v>293.12</v>
      </c>
      <c r="BM37" s="1047">
        <v>0</v>
      </c>
      <c r="BN37" s="1050">
        <f>SUM(BO37:BP37)</f>
        <v>335.88</v>
      </c>
      <c r="BO37" s="1009">
        <v>335.88</v>
      </c>
      <c r="BP37" s="1047">
        <v>0</v>
      </c>
      <c r="BQ37" s="1050">
        <f>SUM(AV37/2)</f>
        <v>75.424999999999997</v>
      </c>
      <c r="BR37" s="2165">
        <f t="shared" si="43"/>
        <v>0.44679467871485939</v>
      </c>
      <c r="BS37" s="1009">
        <f>SUM(BQ37)</f>
        <v>75.424999999999997</v>
      </c>
      <c r="BT37" s="1047">
        <v>0</v>
      </c>
      <c r="BU37" s="1267">
        <f>BC37*(1-0.01)*(1+0.071)*(1+0)</f>
        <v>178.99132881355931</v>
      </c>
      <c r="BV37" s="3822">
        <f t="shared" si="31"/>
        <v>1.0602899999999997</v>
      </c>
      <c r="BW37" s="1009">
        <f>SUM(BU37)</f>
        <v>178.99132881355931</v>
      </c>
      <c r="BX37" s="1047">
        <v>0</v>
      </c>
      <c r="BY37" s="3951">
        <f>SUM(BZ37:CA37)</f>
        <v>71.34</v>
      </c>
      <c r="BZ37" s="3952">
        <v>71.34</v>
      </c>
      <c r="CA37" s="3952">
        <v>0</v>
      </c>
      <c r="CB37" s="3952">
        <f>SUM(CC37:CD37)</f>
        <v>130.75</v>
      </c>
      <c r="CC37" s="3952">
        <v>130.75</v>
      </c>
      <c r="CD37" s="3952">
        <v>0</v>
      </c>
      <c r="CE37" s="3952">
        <f>SUM(CF37:CG37)</f>
        <v>174.33333333333334</v>
      </c>
      <c r="CF37" s="3952">
        <f>SUM(CB37/9*12)</f>
        <v>174.33333333333334</v>
      </c>
      <c r="CG37" s="3606">
        <v>0</v>
      </c>
      <c r="CH37" s="1267">
        <f>BU37*(1-0.01)*(1+0.058)*(1+0)</f>
        <v>187.47909762589828</v>
      </c>
      <c r="CI37" s="3978">
        <f t="shared" si="32"/>
        <v>1.04742</v>
      </c>
      <c r="CJ37" s="1009">
        <f>SUM(CH37)</f>
        <v>187.47909762589828</v>
      </c>
      <c r="CK37" s="1047">
        <v>0</v>
      </c>
      <c r="CL37" s="1267">
        <f>BU37*(1-0.01)*(1+0.058)*(1+0)*1.005</f>
        <v>188.41649311402776</v>
      </c>
      <c r="CM37" s="4017">
        <f t="shared" si="33"/>
        <v>1.0526570999999998</v>
      </c>
      <c r="CN37" s="1009">
        <f>SUM(CL37)</f>
        <v>188.41649311402776</v>
      </c>
      <c r="CO37" s="1047">
        <v>0</v>
      </c>
    </row>
    <row r="38" spans="1:93" ht="21" customHeight="1">
      <c r="A38" s="1340" t="s">
        <v>4</v>
      </c>
      <c r="B38" s="1169">
        <v>2374.9</v>
      </c>
      <c r="C38" s="1360">
        <v>2766.9</v>
      </c>
      <c r="D38" s="1355">
        <f t="shared" si="0"/>
        <v>116.50595814560614</v>
      </c>
      <c r="E38" s="1360">
        <v>2966.8</v>
      </c>
      <c r="F38" s="1355">
        <f t="shared" si="116"/>
        <v>107.22469189345478</v>
      </c>
      <c r="G38" s="1360">
        <v>4252.5</v>
      </c>
      <c r="H38" s="1355">
        <f t="shared" si="2"/>
        <v>143.33625455035727</v>
      </c>
      <c r="I38" s="377">
        <v>4819.8999999999996</v>
      </c>
      <c r="J38" s="377">
        <v>2154.4</v>
      </c>
      <c r="K38" s="377">
        <v>3078.5</v>
      </c>
      <c r="L38" s="377">
        <v>4557.5</v>
      </c>
      <c r="M38" s="1361">
        <f t="shared" si="24"/>
        <v>107.17225161669606</v>
      </c>
      <c r="N38" s="377">
        <f>ЗП!AF18</f>
        <v>6581.9040000000005</v>
      </c>
      <c r="O38" s="1362">
        <f t="shared" si="25"/>
        <v>136.55685802610014</v>
      </c>
      <c r="P38" s="377">
        <f>ЗП!AP18</f>
        <v>5162.1343200000001</v>
      </c>
      <c r="Q38" s="1361">
        <f t="shared" si="26"/>
        <v>107.10044440756033</v>
      </c>
      <c r="R38" s="1361">
        <f t="shared" si="99"/>
        <v>113.26679802523314</v>
      </c>
      <c r="S38" s="377">
        <v>5162.1000000000004</v>
      </c>
      <c r="T38" s="377"/>
      <c r="U38" s="377">
        <v>3781.1</v>
      </c>
      <c r="V38" s="1136"/>
      <c r="W38" s="1296">
        <v>6778.1</v>
      </c>
      <c r="X38" s="1786"/>
      <c r="Y38" s="1050">
        <f>ЗП!U33</f>
        <v>4303.5898752000003</v>
      </c>
      <c r="Z38" s="1009">
        <f t="shared" si="131"/>
        <v>4303.5898752000003</v>
      </c>
      <c r="AA38" s="1047"/>
      <c r="AB38" s="1050">
        <v>4690</v>
      </c>
      <c r="AC38" s="1009">
        <f>SUM(AB38)</f>
        <v>4690</v>
      </c>
      <c r="AD38" s="1047">
        <v>0</v>
      </c>
      <c r="AE38" s="1050">
        <v>6778.1</v>
      </c>
      <c r="AF38" s="1009">
        <f t="shared" si="28"/>
        <v>1.5749874399184012</v>
      </c>
      <c r="AG38" s="1009">
        <v>6778.1</v>
      </c>
      <c r="AH38" s="1047">
        <v>0</v>
      </c>
      <c r="AI38" s="1050">
        <f>ЗП!BB33</f>
        <v>6064.6157894736843</v>
      </c>
      <c r="AJ38" s="1009">
        <f t="shared" si="29"/>
        <v>1.4091992883480431</v>
      </c>
      <c r="AK38" s="1009">
        <f>AI38</f>
        <v>6064.6157894736843</v>
      </c>
      <c r="AL38" s="1047">
        <f>AA38*1.05</f>
        <v>0</v>
      </c>
      <c r="AM38" s="1331" t="e">
        <f>#REF!</f>
        <v>#REF!</v>
      </c>
      <c r="AN38" s="1334">
        <v>0</v>
      </c>
      <c r="AO38" s="1363" t="e">
        <f t="shared" si="30"/>
        <v>#REF!</v>
      </c>
      <c r="AP38" s="1050">
        <f>SUM(ЗП!BG33)</f>
        <v>2164</v>
      </c>
      <c r="AQ38" s="1009">
        <f>SUM(AP38)</f>
        <v>2164</v>
      </c>
      <c r="AR38" s="1047">
        <v>0</v>
      </c>
      <c r="AS38" s="1050">
        <f>SUM(ЗП!BK33)</f>
        <v>3339</v>
      </c>
      <c r="AT38" s="1009">
        <f>SUM(AS38)</f>
        <v>3339</v>
      </c>
      <c r="AU38" s="1047">
        <v>0</v>
      </c>
      <c r="AV38" s="1050">
        <v>4413.96</v>
      </c>
      <c r="AW38" s="1009">
        <f>SUM(AV38)</f>
        <v>4413.96</v>
      </c>
      <c r="AX38" s="1047">
        <v>0</v>
      </c>
      <c r="AY38" s="1050">
        <f>SUM(ЗП!BS33)</f>
        <v>7455.91</v>
      </c>
      <c r="AZ38" s="1114">
        <f t="shared" si="45"/>
        <v>1.2294117647058822</v>
      </c>
      <c r="BA38" s="1009">
        <f>SUM(AY38)</f>
        <v>7455.91</v>
      </c>
      <c r="BB38" s="1047">
        <v>0</v>
      </c>
      <c r="BC38" s="1050">
        <f>SUM(ЗП!BW33)</f>
        <v>5210.6322580645156</v>
      </c>
      <c r="BD38" s="1302">
        <f t="shared" si="39"/>
        <v>0.85918588067995627</v>
      </c>
      <c r="BE38" s="1009">
        <f>SUM(BC38)</f>
        <v>5210.6322580645156</v>
      </c>
      <c r="BF38" s="1047">
        <v>0</v>
      </c>
      <c r="BG38" s="1973" t="str">
        <f>BG29</f>
        <v>Приложение</v>
      </c>
      <c r="BH38" s="1050">
        <f>SUM(ЗП!CB33)</f>
        <v>2135.4699999999998</v>
      </c>
      <c r="BI38" s="1009">
        <f>SUM(BH38)</f>
        <v>2135.4699999999998</v>
      </c>
      <c r="BJ38" s="1047">
        <v>0</v>
      </c>
      <c r="BK38" s="1050">
        <f>SUM(ЗП!CF33)</f>
        <v>3466.89</v>
      </c>
      <c r="BL38" s="1009">
        <f>SUM(BK38)</f>
        <v>3466.89</v>
      </c>
      <c r="BM38" s="1047">
        <v>0</v>
      </c>
      <c r="BN38" s="1050">
        <f>SUM(ЗП!CJ33)</f>
        <v>4641.97</v>
      </c>
      <c r="BO38" s="1009">
        <f>SUM(BN38)</f>
        <v>4641.97</v>
      </c>
      <c r="BP38" s="1047">
        <v>0</v>
      </c>
      <c r="BQ38" s="1050">
        <f>SUM(ЗП!CN33)</f>
        <v>5731.695483870968</v>
      </c>
      <c r="BR38" s="2165">
        <f t="shared" si="43"/>
        <v>1.1000000000000001</v>
      </c>
      <c r="BS38" s="1009">
        <f>SUM(BQ38)</f>
        <v>5731.695483870968</v>
      </c>
      <c r="BT38" s="1047">
        <v>0</v>
      </c>
      <c r="BU38" s="1050">
        <f>SUM(ЗП!CR33)</f>
        <v>5524.7812769032244</v>
      </c>
      <c r="BV38" s="3822">
        <f t="shared" si="31"/>
        <v>1.0602899999999997</v>
      </c>
      <c r="BW38" s="1009">
        <f>SUM(BU38)</f>
        <v>5524.7812769032244</v>
      </c>
      <c r="BX38" s="1047">
        <v>0</v>
      </c>
      <c r="BY38" s="3951">
        <f>SUM(ЗП!CV33)</f>
        <v>2445.6</v>
      </c>
      <c r="BZ38" s="3952">
        <f>SUM(BY38)</f>
        <v>2445.6</v>
      </c>
      <c r="CA38" s="3952">
        <v>0</v>
      </c>
      <c r="CB38" s="3952">
        <f>SUM(ЗП!CY33)</f>
        <v>3682.36</v>
      </c>
      <c r="CC38" s="3952">
        <f>SUM(CB38)</f>
        <v>3682.36</v>
      </c>
      <c r="CD38" s="3952">
        <v>0</v>
      </c>
      <c r="CE38" s="3952">
        <f>SUM(ЗП!DB33)</f>
        <v>4919.1200000000008</v>
      </c>
      <c r="CF38" s="3952">
        <f>SUM(CE38)</f>
        <v>4919.1200000000008</v>
      </c>
      <c r="CG38" s="3606">
        <v>0</v>
      </c>
      <c r="CH38" s="1050">
        <f>SUM(ЗП!DE33)</f>
        <v>5786.7664050539761</v>
      </c>
      <c r="CI38" s="3978">
        <f t="shared" si="32"/>
        <v>1.0474200000000002</v>
      </c>
      <c r="CJ38" s="1009">
        <f>SUM(CH38)</f>
        <v>5786.7664050539761</v>
      </c>
      <c r="CK38" s="1047">
        <v>0</v>
      </c>
      <c r="CL38" s="1050">
        <f>SUM(ЗП!DI33)</f>
        <v>5815.7002370792452</v>
      </c>
      <c r="CM38" s="4017">
        <f t="shared" si="33"/>
        <v>1.0526571</v>
      </c>
      <c r="CN38" s="1009">
        <f>SUM(CL38)</f>
        <v>5815.7002370792452</v>
      </c>
      <c r="CO38" s="1047">
        <v>0</v>
      </c>
    </row>
    <row r="39" spans="1:93" ht="21" customHeight="1">
      <c r="A39" s="1340" t="s">
        <v>121</v>
      </c>
      <c r="B39" s="1169">
        <v>606.79999999999995</v>
      </c>
      <c r="C39" s="1360">
        <v>710.5</v>
      </c>
      <c r="D39" s="1355">
        <f t="shared" si="0"/>
        <v>117.08965062623599</v>
      </c>
      <c r="E39" s="1360">
        <v>765</v>
      </c>
      <c r="F39" s="1355">
        <f t="shared" si="116"/>
        <v>107.67065446868402</v>
      </c>
      <c r="G39" s="1360">
        <f>G38*0.302</f>
        <v>1284.2549999999999</v>
      </c>
      <c r="H39" s="1355">
        <f t="shared" si="2"/>
        <v>167.87647058823526</v>
      </c>
      <c r="I39" s="377">
        <f>I38*30.2/100</f>
        <v>1455.6097999999997</v>
      </c>
      <c r="J39" s="377">
        <v>697.7</v>
      </c>
      <c r="K39" s="377">
        <v>895.2</v>
      </c>
      <c r="L39" s="377">
        <v>1327.3</v>
      </c>
      <c r="M39" s="1361">
        <f t="shared" si="24"/>
        <v>103.35174867919534</v>
      </c>
      <c r="N39" s="377">
        <f>N38*0.302</f>
        <v>1987.7350080000001</v>
      </c>
      <c r="O39" s="1362">
        <f t="shared" si="25"/>
        <v>136.55685802610014</v>
      </c>
      <c r="P39" s="377">
        <f>P38*30.2/100</f>
        <v>1558.9645646399999</v>
      </c>
      <c r="Q39" s="1361">
        <f t="shared" si="26"/>
        <v>107.10044440756035</v>
      </c>
      <c r="R39" s="1361">
        <f t="shared" si="99"/>
        <v>117.45382088751602</v>
      </c>
      <c r="S39" s="377">
        <v>1559</v>
      </c>
      <c r="T39" s="377"/>
      <c r="U39" s="377">
        <v>1128.4000000000001</v>
      </c>
      <c r="V39" s="1136"/>
      <c r="W39" s="1296">
        <v>2046.99</v>
      </c>
      <c r="X39" s="1786"/>
      <c r="Y39" s="1050">
        <f>Y38*U40</f>
        <v>1284.3275277500413</v>
      </c>
      <c r="Z39" s="1009">
        <f t="shared" si="131"/>
        <v>1284.3275277500413</v>
      </c>
      <c r="AA39" s="1047"/>
      <c r="AB39" s="1050">
        <v>1397.5</v>
      </c>
      <c r="AC39" s="1009">
        <f>SUM(AB39)</f>
        <v>1397.5</v>
      </c>
      <c r="AD39" s="1047">
        <v>0</v>
      </c>
      <c r="AE39" s="1050">
        <v>2040.21</v>
      </c>
      <c r="AF39" s="1009">
        <f t="shared" si="28"/>
        <v>1.5885433862607905</v>
      </c>
      <c r="AG39" s="1009">
        <v>2040.21</v>
      </c>
      <c r="AH39" s="1047">
        <v>0</v>
      </c>
      <c r="AI39" s="1050">
        <f>AI38*Y40</f>
        <v>1809.8734381111599</v>
      </c>
      <c r="AJ39" s="1009">
        <f t="shared" si="29"/>
        <v>1.4091992883480431</v>
      </c>
      <c r="AK39" s="1009">
        <f>AK38*Z40</f>
        <v>1809.8734381111599</v>
      </c>
      <c r="AL39" s="1047">
        <f>AA39*1.05</f>
        <v>0</v>
      </c>
      <c r="AM39" s="1331" t="e">
        <f>#REF!</f>
        <v>#REF!</v>
      </c>
      <c r="AN39" s="1334">
        <v>0</v>
      </c>
      <c r="AO39" s="1363" t="e">
        <f t="shared" si="30"/>
        <v>#REF!</v>
      </c>
      <c r="AP39" s="1050">
        <v>0</v>
      </c>
      <c r="AQ39" s="1009">
        <f>SUM(AP39)</f>
        <v>0</v>
      </c>
      <c r="AR39" s="1047">
        <v>0</v>
      </c>
      <c r="AS39" s="1050">
        <v>0</v>
      </c>
      <c r="AT39" s="1009">
        <f>SUM(AS39)</f>
        <v>0</v>
      </c>
      <c r="AU39" s="1047">
        <v>0</v>
      </c>
      <c r="AV39" s="1050">
        <v>1344.58</v>
      </c>
      <c r="AW39" s="1009">
        <f>SUM(AV39)</f>
        <v>1344.58</v>
      </c>
      <c r="AX39" s="1047">
        <v>0</v>
      </c>
      <c r="AY39" s="1267">
        <f t="shared" ref="AY39" si="142">SUM(BA39+BB39)</f>
        <v>2244.2289099999998</v>
      </c>
      <c r="AZ39" s="1114">
        <f t="shared" ref="AZ39:AZ40" si="143">SUM(AY39/AI39)</f>
        <v>1.2399921799737261</v>
      </c>
      <c r="BA39" s="1009">
        <f>SUM(BA38*AE40)</f>
        <v>2244.2289099999998</v>
      </c>
      <c r="BB39" s="1047">
        <f>SUM(BB38*AE40)</f>
        <v>0</v>
      </c>
      <c r="BC39" s="1267">
        <f t="shared" ref="BC39" si="144">SUM(BE39+BF39)</f>
        <v>1555.0177038427971</v>
      </c>
      <c r="BD39" s="1302">
        <f t="shared" si="39"/>
        <v>0.85918588067995616</v>
      </c>
      <c r="BE39" s="1009">
        <f>BE38*BE40</f>
        <v>1555.0177038427971</v>
      </c>
      <c r="BF39" s="1047">
        <f>SUM(BF38*AY40)</f>
        <v>0</v>
      </c>
      <c r="BG39" s="1973" t="s">
        <v>250</v>
      </c>
      <c r="BH39" s="1050">
        <v>648.14</v>
      </c>
      <c r="BI39" s="1009">
        <f>SUM(BH39)</f>
        <v>648.14</v>
      </c>
      <c r="BJ39" s="1047">
        <v>0</v>
      </c>
      <c r="BK39" s="1050">
        <v>1058.6300000000001</v>
      </c>
      <c r="BL39" s="1009">
        <f>SUM(BK39)</f>
        <v>1058.6300000000001</v>
      </c>
      <c r="BM39" s="1047">
        <v>0</v>
      </c>
      <c r="BN39" s="1050">
        <v>1416.48</v>
      </c>
      <c r="BO39" s="1009">
        <f>SUM(BN39)</f>
        <v>1416.48</v>
      </c>
      <c r="BP39" s="1047">
        <v>0</v>
      </c>
      <c r="BQ39" s="1267">
        <f t="shared" ref="BQ39" si="145">SUM(BS39+BT39)</f>
        <v>1745.8744443870967</v>
      </c>
      <c r="BR39" s="2165">
        <f t="shared" si="43"/>
        <v>1.1227360563629918</v>
      </c>
      <c r="BS39" s="1009">
        <f>SUM(BS38*BS40)</f>
        <v>1745.8744443870967</v>
      </c>
      <c r="BT39" s="1047">
        <f>SUM(BT38*AW40)</f>
        <v>0</v>
      </c>
      <c r="BU39" s="1267">
        <f>BC39*(1-0.01)*(1+0.071)*(1+0)</f>
        <v>1648.7697212074793</v>
      </c>
      <c r="BV39" s="3822">
        <f t="shared" si="31"/>
        <v>1.06029</v>
      </c>
      <c r="BW39" s="1009">
        <f>SUM(BU39)</f>
        <v>1648.7697212074793</v>
      </c>
      <c r="BX39" s="1047">
        <f>SUM(BX38*BQ40)</f>
        <v>0</v>
      </c>
      <c r="BY39" s="3951">
        <v>745.42</v>
      </c>
      <c r="BZ39" s="3952">
        <f>SUM(BY39)</f>
        <v>745.42</v>
      </c>
      <c r="CA39" s="3952">
        <v>0</v>
      </c>
      <c r="CB39" s="3952">
        <v>1121.5</v>
      </c>
      <c r="CC39" s="3952">
        <f>SUM(CB39)</f>
        <v>1121.5</v>
      </c>
      <c r="CD39" s="3952">
        <v>0</v>
      </c>
      <c r="CE39" s="3952">
        <f>SUM(CE38*30.46%)</f>
        <v>1498.3639520000002</v>
      </c>
      <c r="CF39" s="3952">
        <f>SUM(CE39)</f>
        <v>1498.3639520000002</v>
      </c>
      <c r="CG39" s="3606">
        <v>0</v>
      </c>
      <c r="CH39" s="1267">
        <f t="shared" ref="CH39" si="146">SUM(CJ39+CK39)</f>
        <v>1726.7710952681064</v>
      </c>
      <c r="CI39" s="3978">
        <f t="shared" si="32"/>
        <v>1.0473088346160935</v>
      </c>
      <c r="CJ39" s="1009">
        <f>SUM(CJ38*CJ40)</f>
        <v>1726.7710952681064</v>
      </c>
      <c r="CK39" s="1047">
        <f>SUM(CK38*BE40)</f>
        <v>0</v>
      </c>
      <c r="CL39" s="1267">
        <f t="shared" ref="CL39" si="147">SUM(CN39+CO39)</f>
        <v>1735.4049507444468</v>
      </c>
      <c r="CM39" s="4017">
        <f t="shared" si="33"/>
        <v>1.0525453787891739</v>
      </c>
      <c r="CN39" s="1009">
        <f>SUM(CN38*CN40)</f>
        <v>1735.4049507444468</v>
      </c>
      <c r="CO39" s="1047">
        <f>SUM(CO38*BI40)</f>
        <v>0</v>
      </c>
    </row>
    <row r="40" spans="1:93" s="189" customFormat="1" ht="21" customHeight="1">
      <c r="A40" s="1365" t="str">
        <f>A31</f>
        <v>то же в %</v>
      </c>
      <c r="B40" s="1170"/>
      <c r="C40" s="1355"/>
      <c r="D40" s="1355"/>
      <c r="E40" s="1333">
        <f>E39/E38</f>
        <v>0.25785357961439936</v>
      </c>
      <c r="F40" s="1333">
        <f t="shared" ref="F40:Z40" si="148">F39/F38</f>
        <v>1.0041591406545833</v>
      </c>
      <c r="G40" s="1333">
        <f t="shared" si="148"/>
        <v>0.30199999999999999</v>
      </c>
      <c r="H40" s="1333"/>
      <c r="I40" s="1333">
        <f t="shared" si="148"/>
        <v>0.30199999999999999</v>
      </c>
      <c r="J40" s="1333">
        <f t="shared" si="148"/>
        <v>0.32384886743408836</v>
      </c>
      <c r="K40" s="1333">
        <f t="shared" si="148"/>
        <v>0.29079096962806561</v>
      </c>
      <c r="L40" s="1333">
        <f t="shared" si="148"/>
        <v>0.29123422929237519</v>
      </c>
      <c r="M40" s="1333">
        <f t="shared" si="148"/>
        <v>0.96435175262375905</v>
      </c>
      <c r="N40" s="1333">
        <f t="shared" si="148"/>
        <v>0.30199999999999999</v>
      </c>
      <c r="O40" s="1333">
        <f t="shared" si="148"/>
        <v>1</v>
      </c>
      <c r="P40" s="1333">
        <f t="shared" si="148"/>
        <v>0.30199999999999999</v>
      </c>
      <c r="Q40" s="1333">
        <f t="shared" si="148"/>
        <v>1.0000000000000002</v>
      </c>
      <c r="R40" s="1333">
        <f t="shared" si="148"/>
        <v>1.0369660212461387</v>
      </c>
      <c r="S40" s="1333">
        <f t="shared" si="148"/>
        <v>0.30200887235814877</v>
      </c>
      <c r="T40" s="1333"/>
      <c r="U40" s="1333">
        <f t="shared" si="148"/>
        <v>0.29843167332257814</v>
      </c>
      <c r="V40" s="1137"/>
      <c r="W40" s="1297">
        <f t="shared" si="148"/>
        <v>0.30200056062908481</v>
      </c>
      <c r="X40" s="1987"/>
      <c r="Y40" s="1048">
        <f t="shared" si="148"/>
        <v>0.29843167332257814</v>
      </c>
      <c r="Z40" s="1010">
        <f t="shared" si="148"/>
        <v>0.29843167332257814</v>
      </c>
      <c r="AA40" s="1049"/>
      <c r="AB40" s="1048">
        <f t="shared" ref="AB40:AC40" si="149">AB39/AB38</f>
        <v>0.29797441364605542</v>
      </c>
      <c r="AC40" s="1010">
        <f t="shared" si="149"/>
        <v>0.29797441364605542</v>
      </c>
      <c r="AD40" s="1049"/>
      <c r="AE40" s="1048">
        <v>0.30099999999999999</v>
      </c>
      <c r="AF40" s="1159"/>
      <c r="AG40" s="1010">
        <v>0.30099999999999999</v>
      </c>
      <c r="AH40" s="1049">
        <v>0</v>
      </c>
      <c r="AI40" s="1048">
        <f>AI39/AI38</f>
        <v>0.29843167332257814</v>
      </c>
      <c r="AJ40" s="1159"/>
      <c r="AK40" s="1010">
        <f>AK39/AK38</f>
        <v>0.29843167332257814</v>
      </c>
      <c r="AL40" s="1049"/>
      <c r="AM40" s="1988" t="e">
        <f>#REF!</f>
        <v>#REF!</v>
      </c>
      <c r="AN40" s="1989">
        <v>0</v>
      </c>
      <c r="AO40" s="1990" t="e">
        <f t="shared" si="30"/>
        <v>#REF!</v>
      </c>
      <c r="AP40" s="1048">
        <f>AP39/AP38</f>
        <v>0</v>
      </c>
      <c r="AQ40" s="1010">
        <f t="shared" ref="AQ40" si="150">AQ39/AQ38</f>
        <v>0</v>
      </c>
      <c r="AR40" s="1049"/>
      <c r="AS40" s="1048">
        <f>AS39/AS38</f>
        <v>0</v>
      </c>
      <c r="AT40" s="1010">
        <f t="shared" ref="AT40" si="151">AT39/AT38</f>
        <v>0</v>
      </c>
      <c r="AU40" s="1049"/>
      <c r="AV40" s="1048">
        <f>AV39/AV38</f>
        <v>0.30461988781049215</v>
      </c>
      <c r="AW40" s="1010">
        <f t="shared" ref="AW40" si="152">AW39/AW38</f>
        <v>0.30461988781049215</v>
      </c>
      <c r="AX40" s="1049"/>
      <c r="AY40" s="1048">
        <f>SUM(AY39/AY38)</f>
        <v>0.30099999999999999</v>
      </c>
      <c r="AZ40" s="1010">
        <f t="shared" si="143"/>
        <v>1.0086060794044662</v>
      </c>
      <c r="BA40" s="1010">
        <f>SUM(BA39/BA38)</f>
        <v>0.30099999999999999</v>
      </c>
      <c r="BB40" s="1049"/>
      <c r="BC40" s="1048">
        <f>Y40</f>
        <v>0.29843167332257814</v>
      </c>
      <c r="BD40" s="1302">
        <f t="shared" si="39"/>
        <v>1</v>
      </c>
      <c r="BE40" s="1010">
        <f>Z40</f>
        <v>0.29843167332257814</v>
      </c>
      <c r="BF40" s="1049"/>
      <c r="BG40" s="1977"/>
      <c r="BH40" s="1048">
        <f>BH39/BH38</f>
        <v>0.30351163912393997</v>
      </c>
      <c r="BI40" s="1010">
        <f t="shared" ref="BI40" si="153">BI39/BI38</f>
        <v>0.30351163912393997</v>
      </c>
      <c r="BJ40" s="1049">
        <v>0</v>
      </c>
      <c r="BK40" s="1048">
        <f>BK39/BK38</f>
        <v>0.30535436659369064</v>
      </c>
      <c r="BL40" s="1010">
        <f t="shared" ref="BL40" si="154">BL39/BL38</f>
        <v>0.30535436659369064</v>
      </c>
      <c r="BM40" s="1049"/>
      <c r="BN40" s="1048">
        <f>BN39/BN38</f>
        <v>0.30514630641731849</v>
      </c>
      <c r="BO40" s="1010">
        <f t="shared" ref="BO40" si="155">BO39/BO38</f>
        <v>0.30514630641731849</v>
      </c>
      <c r="BP40" s="1049"/>
      <c r="BQ40" s="1048">
        <v>0.30459999999999998</v>
      </c>
      <c r="BR40" s="2165">
        <f t="shared" si="43"/>
        <v>1.0206691421481742</v>
      </c>
      <c r="BS40" s="1010">
        <v>0.30459999999999998</v>
      </c>
      <c r="BT40" s="1049">
        <v>0.30459999999999998</v>
      </c>
      <c r="BU40" s="1048">
        <f>SUM(BU39/BU38)</f>
        <v>0.29843167332257814</v>
      </c>
      <c r="BV40" s="3822">
        <f t="shared" si="31"/>
        <v>1</v>
      </c>
      <c r="BW40" s="1010">
        <f>SUM(BW39/BW38)</f>
        <v>0.29843167332257814</v>
      </c>
      <c r="BX40" s="1049"/>
      <c r="BY40" s="3954">
        <f>BY39/BY38</f>
        <v>0.30480045796532546</v>
      </c>
      <c r="BZ40" s="3955">
        <f t="shared" ref="BZ40" si="156">BZ39/BZ38</f>
        <v>0.30480045796532546</v>
      </c>
      <c r="CA40" s="3955"/>
      <c r="CB40" s="3955">
        <f>CB39/CB38</f>
        <v>0.30456011905408487</v>
      </c>
      <c r="CC40" s="3955">
        <f t="shared" ref="CC40" si="157">CC39/CC38</f>
        <v>0.30456011905408487</v>
      </c>
      <c r="CD40" s="3955"/>
      <c r="CE40" s="3955">
        <f>CE39/CE38</f>
        <v>0.30459999999999998</v>
      </c>
      <c r="CF40" s="3955">
        <f t="shared" ref="CF40" si="158">CF39/CF38</f>
        <v>0.30459999999999998</v>
      </c>
      <c r="CG40" s="3956"/>
      <c r="CH40" s="1048">
        <f>SUM(CH39/CH38)</f>
        <v>0.2984</v>
      </c>
      <c r="CI40" s="3978">
        <f t="shared" si="32"/>
        <v>0.99989386742289954</v>
      </c>
      <c r="CJ40" s="1010">
        <v>0.2984</v>
      </c>
      <c r="CK40" s="1049">
        <v>0.2984</v>
      </c>
      <c r="CL40" s="1048">
        <f>SUM(CL39/CL38)</f>
        <v>0.2984</v>
      </c>
      <c r="CM40" s="4017">
        <f t="shared" si="33"/>
        <v>0.99989386742289954</v>
      </c>
      <c r="CN40" s="1010">
        <v>0.2984</v>
      </c>
      <c r="CO40" s="1049">
        <v>0.2984</v>
      </c>
    </row>
    <row r="41" spans="1:93" ht="21" customHeight="1">
      <c r="A41" s="1340" t="s">
        <v>6</v>
      </c>
      <c r="B41" s="1169">
        <v>978.6</v>
      </c>
      <c r="C41" s="1360">
        <v>825.2</v>
      </c>
      <c r="D41" s="1355">
        <f t="shared" si="0"/>
        <v>84.32454526875128</v>
      </c>
      <c r="E41" s="1360">
        <v>1695.7</v>
      </c>
      <c r="F41" s="1355">
        <f t="shared" si="116"/>
        <v>205.48957828405236</v>
      </c>
      <c r="G41" s="1360">
        <f>'цех стоки'!G45-стоки!G16-стоки!G26-стоки!G33</f>
        <v>2385.1000000000008</v>
      </c>
      <c r="H41" s="1355">
        <f t="shared" si="2"/>
        <v>140.65577637553815</v>
      </c>
      <c r="I41" s="377">
        <v>2191.1</v>
      </c>
      <c r="J41" s="377">
        <v>1084.5</v>
      </c>
      <c r="K41" s="377">
        <f>'цех стоки'!K50</f>
        <v>1485.9600740438873</v>
      </c>
      <c r="L41" s="377">
        <f>'цех стоки'!L50</f>
        <v>2185.1999999999998</v>
      </c>
      <c r="M41" s="1361">
        <f t="shared" si="24"/>
        <v>91.618800050312316</v>
      </c>
      <c r="N41" s="377">
        <f>'цех стоки'!N50</f>
        <v>3571.6000000000022</v>
      </c>
      <c r="O41" s="1362">
        <f t="shared" si="25"/>
        <v>163.00488339190372</v>
      </c>
      <c r="P41" s="377">
        <v>2717.2</v>
      </c>
      <c r="Q41" s="1361">
        <f t="shared" si="26"/>
        <v>124.01077084569394</v>
      </c>
      <c r="R41" s="1361">
        <f t="shared" si="99"/>
        <v>124.34559765696504</v>
      </c>
      <c r="S41" s="377">
        <v>2999.5</v>
      </c>
      <c r="T41" s="377"/>
      <c r="U41" s="377">
        <v>1817.5</v>
      </c>
      <c r="V41" s="1136"/>
      <c r="W41" s="1296">
        <v>3828.5</v>
      </c>
      <c r="X41" s="1786"/>
      <c r="Y41" s="1050">
        <f>'цех стоки'!X50</f>
        <v>2844.973155291787</v>
      </c>
      <c r="Z41" s="1009">
        <f t="shared" si="131"/>
        <v>2844.973155291787</v>
      </c>
      <c r="AA41" s="1047"/>
      <c r="AB41" s="1050">
        <f>'цех стоки'!AA50</f>
        <v>2277.1999999999998</v>
      </c>
      <c r="AC41" s="1009">
        <f t="shared" ref="AC41" si="159">AB41</f>
        <v>2277.1999999999998</v>
      </c>
      <c r="AD41" s="1047">
        <v>0</v>
      </c>
      <c r="AE41" s="1050">
        <v>2622.51</v>
      </c>
      <c r="AF41" s="1009">
        <f t="shared" si="28"/>
        <v>0.92180483148742742</v>
      </c>
      <c r="AG41" s="1009">
        <v>2622.51</v>
      </c>
      <c r="AH41" s="1047">
        <v>0</v>
      </c>
      <c r="AI41" s="1050">
        <f>'цех стоки'!AC50</f>
        <v>2687.5084197683254</v>
      </c>
      <c r="AJ41" s="1009">
        <f t="shared" si="29"/>
        <v>0.94465159179777514</v>
      </c>
      <c r="AK41" s="1009">
        <f>SUM('цех стоки'!X113)</f>
        <v>2687.5084197683254</v>
      </c>
      <c r="AL41" s="1047">
        <f>SUM('цех стоки'!Y113)</f>
        <v>0</v>
      </c>
      <c r="AM41" s="1331" t="e">
        <f>#REF!</f>
        <v>#REF!</v>
      </c>
      <c r="AN41" s="1334">
        <v>0</v>
      </c>
      <c r="AO41" s="1363" t="e">
        <f t="shared" si="30"/>
        <v>#REF!</v>
      </c>
      <c r="AP41" s="1050">
        <f>SUM('цех стоки'!AE50)</f>
        <v>1242.03</v>
      </c>
      <c r="AQ41" s="1009">
        <f>SUM(AP41)</f>
        <v>1242.03</v>
      </c>
      <c r="AR41" s="1047">
        <v>0</v>
      </c>
      <c r="AS41" s="1050">
        <f>SUM('цех стоки'!AF50)</f>
        <v>1801.13</v>
      </c>
      <c r="AT41" s="1009">
        <f>SUM(AS41)</f>
        <v>1801.13</v>
      </c>
      <c r="AU41" s="1047">
        <v>0</v>
      </c>
      <c r="AV41" s="1050">
        <v>2433.13</v>
      </c>
      <c r="AW41" s="1009">
        <f>SUM(AV41)</f>
        <v>2433.13</v>
      </c>
      <c r="AX41" s="1047">
        <v>0</v>
      </c>
      <c r="AY41" s="1050">
        <v>3469.75</v>
      </c>
      <c r="AZ41" s="1114">
        <f>SUM(AY41/AI41)</f>
        <v>1.2910657226142224</v>
      </c>
      <c r="BA41" s="1009">
        <f>SUM(AY41)</f>
        <v>3469.75</v>
      </c>
      <c r="BB41" s="1047">
        <v>0</v>
      </c>
      <c r="BC41" s="1050">
        <f>SUM('цех стоки'!AH50)</f>
        <v>2655.1329761606248</v>
      </c>
      <c r="BD41" s="1302">
        <f t="shared" si="39"/>
        <v>0.9879533610501241</v>
      </c>
      <c r="BE41" s="1009">
        <f>SUM(BC41)</f>
        <v>2655.1329761606248</v>
      </c>
      <c r="BF41" s="1047">
        <v>0</v>
      </c>
      <c r="BG41" s="1973" t="str">
        <f>BG33</f>
        <v>Приложение</v>
      </c>
      <c r="BH41" s="1050">
        <f>SUM('цех стоки'!AN50)</f>
        <v>1223.73</v>
      </c>
      <c r="BI41" s="1009">
        <f>SUM(BH41)</f>
        <v>1223.73</v>
      </c>
      <c r="BJ41" s="1047">
        <v>0</v>
      </c>
      <c r="BK41" s="1050">
        <f>SUM('цех стоки'!AO50)</f>
        <v>1929.66</v>
      </c>
      <c r="BL41" s="1009">
        <f>SUM(BK41)</f>
        <v>1929.66</v>
      </c>
      <c r="BM41" s="1047">
        <v>0</v>
      </c>
      <c r="BN41" s="1050">
        <f>SUM('цех стоки'!AP50)</f>
        <v>2518.06</v>
      </c>
      <c r="BO41" s="1009">
        <f>SUM(BN41)</f>
        <v>2518.06</v>
      </c>
      <c r="BP41" s="1047">
        <v>0</v>
      </c>
      <c r="BQ41" s="1050">
        <f>SUM('цех стоки'!AQ50)</f>
        <v>3040.0529966432241</v>
      </c>
      <c r="BR41" s="2165">
        <f t="shared" si="43"/>
        <v>1.1449720311331455</v>
      </c>
      <c r="BS41" s="1009">
        <f>SUM(BQ41)</f>
        <v>3040.0529966432241</v>
      </c>
      <c r="BT41" s="1047">
        <v>0</v>
      </c>
      <c r="BU41" s="1050">
        <f>SUM('цех стоки'!AR50)</f>
        <v>2263.5342227296605</v>
      </c>
      <c r="BV41" s="3822">
        <f t="shared" si="31"/>
        <v>0.8525125645506374</v>
      </c>
      <c r="BW41" s="1009">
        <f>SUM(BU41)</f>
        <v>2263.5342227296605</v>
      </c>
      <c r="BX41" s="1047">
        <v>0</v>
      </c>
      <c r="BY41" s="3951">
        <f>SUM('цех стоки'!AT50)</f>
        <v>949.49</v>
      </c>
      <c r="BZ41" s="3952">
        <f>SUM(BY41)</f>
        <v>949.49</v>
      </c>
      <c r="CA41" s="3952">
        <v>0</v>
      </c>
      <c r="CB41" s="3952">
        <f>SUM('цех стоки'!AU50)</f>
        <v>1667.22</v>
      </c>
      <c r="CC41" s="3952">
        <f>SUM(CB41)</f>
        <v>1667.22</v>
      </c>
      <c r="CD41" s="3952">
        <v>0</v>
      </c>
      <c r="CE41" s="3952">
        <f>SUM('цех стоки'!AV50)</f>
        <v>2218.7290666666663</v>
      </c>
      <c r="CF41" s="3952">
        <f>SUM(CE41)</f>
        <v>2218.7290666666663</v>
      </c>
      <c r="CG41" s="3606">
        <v>0</v>
      </c>
      <c r="CH41" s="1050">
        <f>SUM('цех стоки'!BB50)</f>
        <v>0</v>
      </c>
      <c r="CI41" s="3978">
        <f t="shared" si="32"/>
        <v>0</v>
      </c>
      <c r="CJ41" s="1009">
        <f>SUM(CH41)</f>
        <v>0</v>
      </c>
      <c r="CK41" s="1047">
        <v>0</v>
      </c>
      <c r="CL41" s="1050">
        <f>SUM('цех стоки'!AX50)</f>
        <v>2438.5013611005807</v>
      </c>
      <c r="CM41" s="4017">
        <f t="shared" si="33"/>
        <v>1.077298207649771</v>
      </c>
      <c r="CN41" s="1009">
        <f>SUM(CL41)</f>
        <v>2438.5013611005807</v>
      </c>
      <c r="CO41" s="1047">
        <v>0</v>
      </c>
    </row>
    <row r="42" spans="1:93" ht="21" customHeight="1">
      <c r="A42" s="1285" t="s">
        <v>10</v>
      </c>
      <c r="B42" s="1352">
        <v>87.2</v>
      </c>
      <c r="C42" s="1353">
        <v>78.3</v>
      </c>
      <c r="D42" s="1355">
        <f t="shared" si="0"/>
        <v>89.793577981651367</v>
      </c>
      <c r="E42" s="1353">
        <v>159.30000000000001</v>
      </c>
      <c r="F42" s="1354">
        <f t="shared" si="116"/>
        <v>203.44827586206898</v>
      </c>
      <c r="G42" s="1353">
        <v>151.1</v>
      </c>
      <c r="H42" s="1355">
        <f t="shared" si="2"/>
        <v>94.852479598242297</v>
      </c>
      <c r="I42" s="1334">
        <v>217.2</v>
      </c>
      <c r="J42" s="1334">
        <v>72.400000000000006</v>
      </c>
      <c r="K42" s="1334">
        <v>258.60000000000002</v>
      </c>
      <c r="L42" s="1334">
        <f>L43+L44</f>
        <v>338.40000000000003</v>
      </c>
      <c r="M42" s="1368">
        <f t="shared" si="24"/>
        <v>223.95764394440772</v>
      </c>
      <c r="N42" s="1334">
        <v>250</v>
      </c>
      <c r="O42" s="1362">
        <f t="shared" si="25"/>
        <v>115.10128913443832</v>
      </c>
      <c r="P42" s="1334">
        <f>227.84+P45</f>
        <v>1927.1399999999999</v>
      </c>
      <c r="Q42" s="1361">
        <f t="shared" si="26"/>
        <v>887.26519337016578</v>
      </c>
      <c r="R42" s="1361">
        <f t="shared" si="99"/>
        <v>569.48581560283685</v>
      </c>
      <c r="S42" s="1334">
        <f>1927.14</f>
        <v>1927.14</v>
      </c>
      <c r="T42" s="377">
        <v>0</v>
      </c>
      <c r="U42" s="377">
        <f>U43+U44+U45</f>
        <v>188.8</v>
      </c>
      <c r="V42" s="1136"/>
      <c r="W42" s="1296">
        <f>W43+W44+W45</f>
        <v>2157</v>
      </c>
      <c r="X42" s="1786"/>
      <c r="Y42" s="1050">
        <f t="shared" ref="Y42:AL42" si="160">Y43+Y44+Y45</f>
        <v>1927.84</v>
      </c>
      <c r="Z42" s="1009">
        <f t="shared" si="160"/>
        <v>1927.04</v>
      </c>
      <c r="AA42" s="1047">
        <f t="shared" si="160"/>
        <v>0.8</v>
      </c>
      <c r="AB42" s="1050">
        <f t="shared" ref="AB42:AD42" si="161">AB43+AB44+AB45</f>
        <v>1970.4</v>
      </c>
      <c r="AC42" s="1009">
        <f t="shared" si="161"/>
        <v>1969.1630113342155</v>
      </c>
      <c r="AD42" s="1047">
        <f t="shared" si="161"/>
        <v>1.2369886657844305</v>
      </c>
      <c r="AE42" s="1050">
        <v>1927.84</v>
      </c>
      <c r="AF42" s="1009">
        <f t="shared" si="28"/>
        <v>1</v>
      </c>
      <c r="AG42" s="1009">
        <v>1927.04</v>
      </c>
      <c r="AH42" s="1047">
        <v>0.8</v>
      </c>
      <c r="AI42" s="1050">
        <f t="shared" si="160"/>
        <v>1927.84</v>
      </c>
      <c r="AJ42" s="1009">
        <f t="shared" si="29"/>
        <v>1</v>
      </c>
      <c r="AK42" s="1009">
        <f t="shared" si="160"/>
        <v>1927.04</v>
      </c>
      <c r="AL42" s="1047">
        <f t="shared" si="160"/>
        <v>0.8</v>
      </c>
      <c r="AM42" s="1331" t="e">
        <f>#REF!*Z42/Y42</f>
        <v>#REF!</v>
      </c>
      <c r="AN42" s="377" t="e">
        <f>#REF!-AM42</f>
        <v>#REF!</v>
      </c>
      <c r="AO42" s="1363" t="e">
        <f t="shared" si="30"/>
        <v>#REF!</v>
      </c>
      <c r="AP42" s="1050">
        <f t="shared" ref="AP42:BF42" si="162">AP43+AP44+AP45</f>
        <v>209.94</v>
      </c>
      <c r="AQ42" s="1009">
        <f t="shared" si="162"/>
        <v>209.88906688054394</v>
      </c>
      <c r="AR42" s="1047">
        <f t="shared" si="162"/>
        <v>5.0933119456050946E-2</v>
      </c>
      <c r="AS42" s="1050">
        <f t="shared" si="162"/>
        <v>1548.24</v>
      </c>
      <c r="AT42" s="1009">
        <f t="shared" si="162"/>
        <v>1540.8882524477353</v>
      </c>
      <c r="AU42" s="1047">
        <f t="shared" si="162"/>
        <v>7.3517475522646976</v>
      </c>
      <c r="AV42" s="1050">
        <f t="shared" ref="AV42:AX42" si="163">AV43+AV44+AV45</f>
        <v>1794.1</v>
      </c>
      <c r="AW42" s="1009">
        <f t="shared" si="163"/>
        <v>1783.5694402716554</v>
      </c>
      <c r="AX42" s="1047">
        <f t="shared" si="163"/>
        <v>10.530559728344741</v>
      </c>
      <c r="AY42" s="1050">
        <f t="shared" si="162"/>
        <v>2116.7799999999997</v>
      </c>
      <c r="AZ42" s="1114">
        <f t="shared" si="45"/>
        <v>1.0980060585940741</v>
      </c>
      <c r="BA42" s="1009">
        <f t="shared" si="162"/>
        <v>2103.4324817644683</v>
      </c>
      <c r="BB42" s="1047">
        <f t="shared" si="162"/>
        <v>13.347518235531863</v>
      </c>
      <c r="BC42" s="1050">
        <f t="shared" si="162"/>
        <v>1684.7746853333333</v>
      </c>
      <c r="BD42" s="1302">
        <f t="shared" si="39"/>
        <v>0.87391831548952892</v>
      </c>
      <c r="BE42" s="1009">
        <f t="shared" si="162"/>
        <v>1676.7689960276371</v>
      </c>
      <c r="BF42" s="1047">
        <f t="shared" si="162"/>
        <v>8.0056893056960661</v>
      </c>
      <c r="BG42" s="1973" t="s">
        <v>250</v>
      </c>
      <c r="BH42" s="1050">
        <f t="shared" ref="BH42:BQ42" si="164">BH43+BH44+BH45</f>
        <v>1095.52</v>
      </c>
      <c r="BI42" s="1009">
        <f t="shared" si="164"/>
        <v>1090.4379715537075</v>
      </c>
      <c r="BJ42" s="1047">
        <f t="shared" si="164"/>
        <v>5.0820284462923979</v>
      </c>
      <c r="BK42" s="1050">
        <f t="shared" ref="BK42:BM42" si="165">BK43+BK44+BK45</f>
        <v>1682.06</v>
      </c>
      <c r="BL42" s="1009">
        <f t="shared" si="165"/>
        <v>1674.2785868989872</v>
      </c>
      <c r="BM42" s="1047">
        <f t="shared" si="165"/>
        <v>7.7814131010127987</v>
      </c>
      <c r="BN42" s="1050">
        <f t="shared" ref="BN42:BP42" si="166">BN43+BN44+BN45</f>
        <v>3612.808</v>
      </c>
      <c r="BO42" s="1009">
        <f t="shared" si="166"/>
        <v>3603.6311950128861</v>
      </c>
      <c r="BP42" s="1047">
        <f t="shared" si="166"/>
        <v>9.1768049871141457</v>
      </c>
      <c r="BQ42" s="1050">
        <f t="shared" si="164"/>
        <v>1815.7113519999998</v>
      </c>
      <c r="BR42" s="2165">
        <f t="shared" si="43"/>
        <v>1.0777176128099055</v>
      </c>
      <c r="BS42" s="1009">
        <f t="shared" ref="BS42:BU42" si="167">BS43+BS44+BS45</f>
        <v>1805.2396699968972</v>
      </c>
      <c r="BT42" s="1047">
        <f t="shared" si="167"/>
        <v>10.471682003102639</v>
      </c>
      <c r="BU42" s="1050">
        <f t="shared" si="167"/>
        <v>1794.04</v>
      </c>
      <c r="BV42" s="3822">
        <f t="shared" si="31"/>
        <v>1.0648545562904446</v>
      </c>
      <c r="BW42" s="1009">
        <f t="shared" ref="BW42" si="168">BW43+BW44+BW45</f>
        <v>1783.5700000000002</v>
      </c>
      <c r="BX42" s="1047">
        <f>BX43+BX44+BX45</f>
        <v>10.469999999999999</v>
      </c>
      <c r="BY42" s="3951">
        <f t="shared" ref="BY42:CA42" si="169">BY43+BY44+BY45</f>
        <v>780.34600000000012</v>
      </c>
      <c r="BZ42" s="3952">
        <f t="shared" si="169"/>
        <v>775.82040681711783</v>
      </c>
      <c r="CA42" s="3952">
        <f t="shared" si="169"/>
        <v>4.525593182882286</v>
      </c>
      <c r="CB42" s="3952">
        <f t="shared" ref="CB42:CD42" si="170">CB43+CB44+CB45</f>
        <v>1147.636</v>
      </c>
      <c r="CC42" s="3952">
        <f t="shared" si="170"/>
        <v>1140.6543765925064</v>
      </c>
      <c r="CD42" s="3952">
        <f t="shared" si="170"/>
        <v>6.9816234074937</v>
      </c>
      <c r="CE42" s="3952">
        <f t="shared" ref="CE42:CG42" si="171">CE43+CE44+CE45</f>
        <v>1530.1813333333334</v>
      </c>
      <c r="CF42" s="3952">
        <f t="shared" si="171"/>
        <v>1520.3093677419354</v>
      </c>
      <c r="CG42" s="3606">
        <f t="shared" si="171"/>
        <v>9.8719655913979594</v>
      </c>
      <c r="CH42" s="1050">
        <f t="shared" ref="CH42" si="172">CH43+CH44+CH45</f>
        <v>1708.8272350153845</v>
      </c>
      <c r="CI42" s="3978">
        <f t="shared" si="32"/>
        <v>0.95250230486242482</v>
      </c>
      <c r="CJ42" s="1009">
        <f t="shared" ref="CJ42:CL42" si="173">CJ43+CJ44+CJ45</f>
        <v>1699.2078386411599</v>
      </c>
      <c r="CK42" s="1047">
        <f t="shared" si="173"/>
        <v>9.6193963742246638</v>
      </c>
      <c r="CL42" s="1050">
        <f t="shared" si="173"/>
        <v>1513.464332389854</v>
      </c>
      <c r="CM42" s="4017">
        <f t="shared" si="33"/>
        <v>0.8436067938227988</v>
      </c>
      <c r="CN42" s="1009">
        <f t="shared" ref="CN42" si="174">CN43+CN44+CN45</f>
        <v>1502.7644400919853</v>
      </c>
      <c r="CO42" s="1047">
        <f>CO43+CO44+CO45</f>
        <v>10.699892297868617</v>
      </c>
    </row>
    <row r="43" spans="1:93" ht="39" customHeight="1">
      <c r="A43" s="1365" t="s">
        <v>81</v>
      </c>
      <c r="B43" s="1352"/>
      <c r="C43" s="1353"/>
      <c r="D43" s="1355"/>
      <c r="E43" s="1353"/>
      <c r="F43" s="1354"/>
      <c r="G43" s="1353"/>
      <c r="H43" s="1355"/>
      <c r="I43" s="377"/>
      <c r="J43" s="377">
        <v>44.4</v>
      </c>
      <c r="K43" s="377">
        <v>236.1</v>
      </c>
      <c r="L43" s="377">
        <v>303.3</v>
      </c>
      <c r="M43" s="1368"/>
      <c r="N43" s="377"/>
      <c r="O43" s="1362"/>
      <c r="P43" s="377">
        <v>227.84</v>
      </c>
      <c r="Q43" s="1361"/>
      <c r="R43" s="1361"/>
      <c r="S43" s="377">
        <v>227.84</v>
      </c>
      <c r="T43" s="377"/>
      <c r="U43" s="377">
        <v>138.5</v>
      </c>
      <c r="V43" s="1136"/>
      <c r="W43" s="1296">
        <v>418</v>
      </c>
      <c r="X43" s="1786"/>
      <c r="Y43" s="1050">
        <f>P43</f>
        <v>227.84</v>
      </c>
      <c r="Z43" s="1009">
        <f>Y43</f>
        <v>227.84</v>
      </c>
      <c r="AA43" s="1047">
        <v>0</v>
      </c>
      <c r="AB43" s="1050">
        <v>220.1</v>
      </c>
      <c r="AC43" s="1009">
        <f>AB43</f>
        <v>220.1</v>
      </c>
      <c r="AD43" s="1047">
        <v>0</v>
      </c>
      <c r="AE43" s="1050">
        <v>227.84</v>
      </c>
      <c r="AF43" s="1009">
        <f t="shared" si="28"/>
        <v>1</v>
      </c>
      <c r="AG43" s="1009">
        <v>227.84</v>
      </c>
      <c r="AH43" s="1047">
        <v>0</v>
      </c>
      <c r="AI43" s="1050">
        <f>Y43</f>
        <v>227.84</v>
      </c>
      <c r="AJ43" s="1009">
        <f t="shared" si="29"/>
        <v>1</v>
      </c>
      <c r="AK43" s="1009">
        <f>AI43</f>
        <v>227.84</v>
      </c>
      <c r="AL43" s="1047">
        <f>AA43*1.046</f>
        <v>0</v>
      </c>
      <c r="AM43" s="1332" t="e">
        <f>#REF!</f>
        <v>#REF!</v>
      </c>
      <c r="AN43" s="377" t="e">
        <f>#REF!-AM43</f>
        <v>#REF!</v>
      </c>
      <c r="AO43" s="1363" t="e">
        <f t="shared" si="30"/>
        <v>#REF!</v>
      </c>
      <c r="AP43" s="1050">
        <v>201.14</v>
      </c>
      <c r="AQ43" s="1009">
        <f>SUM(AP43)</f>
        <v>201.14</v>
      </c>
      <c r="AR43" s="1047">
        <v>0</v>
      </c>
      <c r="AS43" s="1050">
        <v>300.83999999999997</v>
      </c>
      <c r="AT43" s="1009">
        <f>SUM(AS43)</f>
        <v>300.83999999999997</v>
      </c>
      <c r="AU43" s="1047">
        <v>0</v>
      </c>
      <c r="AV43" s="1050">
        <v>348.31</v>
      </c>
      <c r="AW43" s="1009">
        <f>SUM(AV43)</f>
        <v>348.31</v>
      </c>
      <c r="AX43" s="1047">
        <v>0</v>
      </c>
      <c r="AY43" s="1050">
        <v>453.58</v>
      </c>
      <c r="AZ43" s="1114">
        <f>SUM(AY43/AI43)</f>
        <v>1.9907830056179774</v>
      </c>
      <c r="BA43" s="1009">
        <f>SUM(AY43)</f>
        <v>453.58</v>
      </c>
      <c r="BB43" s="1047">
        <v>0</v>
      </c>
      <c r="BC43" s="1050">
        <v>220.1</v>
      </c>
      <c r="BD43" s="1302">
        <f t="shared" si="39"/>
        <v>0.96602879213483139</v>
      </c>
      <c r="BE43" s="1009">
        <f>SUM(BC43)</f>
        <v>220.1</v>
      </c>
      <c r="BF43" s="1047">
        <v>0</v>
      </c>
      <c r="BG43" s="1973" t="s">
        <v>250</v>
      </c>
      <c r="BH43" s="1050">
        <v>311.75</v>
      </c>
      <c r="BI43" s="1009">
        <f>SUM(BH43)</f>
        <v>311.75</v>
      </c>
      <c r="BJ43" s="1047">
        <v>0</v>
      </c>
      <c r="BK43" s="1050">
        <v>512.89</v>
      </c>
      <c r="BL43" s="1009">
        <f>SUM(BK43)</f>
        <v>512.89</v>
      </c>
      <c r="BM43" s="1047">
        <v>0</v>
      </c>
      <c r="BN43" s="1050">
        <v>2252.29</v>
      </c>
      <c r="BO43" s="1009">
        <f>SUM(BN43)</f>
        <v>2252.29</v>
      </c>
      <c r="BP43" s="1047">
        <v>0</v>
      </c>
      <c r="BQ43" s="1050">
        <f>SUM(AV43)</f>
        <v>348.31</v>
      </c>
      <c r="BR43" s="2165">
        <f t="shared" si="43"/>
        <v>1.5825079509313948</v>
      </c>
      <c r="BS43" s="1009">
        <f>SUM(BQ43)</f>
        <v>348.31</v>
      </c>
      <c r="BT43" s="1047">
        <v>0</v>
      </c>
      <c r="BU43" s="1050">
        <v>348.31</v>
      </c>
      <c r="BV43" s="3822">
        <f t="shared" si="31"/>
        <v>1.5825079509313948</v>
      </c>
      <c r="BW43" s="1009">
        <f>SUM(BU43)</f>
        <v>348.31</v>
      </c>
      <c r="BX43" s="1047">
        <v>0</v>
      </c>
      <c r="BY43" s="3951">
        <v>0.01</v>
      </c>
      <c r="BZ43" s="3952">
        <f>SUM(BY43)</f>
        <v>0.01</v>
      </c>
      <c r="CA43" s="3952">
        <v>0</v>
      </c>
      <c r="CB43" s="3952">
        <v>0.02</v>
      </c>
      <c r="CC43" s="3952">
        <f>SUM(CB43)</f>
        <v>0.02</v>
      </c>
      <c r="CD43" s="3952">
        <v>0</v>
      </c>
      <c r="CE43" s="3952">
        <f>SUM(CB43/9*12)</f>
        <v>2.6666666666666665E-2</v>
      </c>
      <c r="CF43" s="3952">
        <f>SUM(CE43)</f>
        <v>2.6666666666666665E-2</v>
      </c>
      <c r="CG43" s="3606">
        <v>0</v>
      </c>
      <c r="CH43" s="1050">
        <f>SUM(CJ43:CK43)</f>
        <v>348.31</v>
      </c>
      <c r="CI43" s="3978">
        <f t="shared" si="32"/>
        <v>1</v>
      </c>
      <c r="CJ43" s="1009">
        <f>SUM('налоги 2018'!D64)</f>
        <v>348.31</v>
      </c>
      <c r="CK43" s="1047">
        <v>0</v>
      </c>
      <c r="CL43" s="1050">
        <f>SUM(CN43:CO43)</f>
        <v>152.7343323898539</v>
      </c>
      <c r="CM43" s="4017">
        <f t="shared" si="33"/>
        <v>0.43850114090854098</v>
      </c>
      <c r="CN43" s="1009">
        <f>SUM('Расчет налог. обяз. 2018'!G26)</f>
        <v>151.65444009198529</v>
      </c>
      <c r="CO43" s="1047">
        <f>SUM('Расчет налог. обяз. 2018'!G35)</f>
        <v>1.079892297868617</v>
      </c>
    </row>
    <row r="44" spans="1:93" ht="21" customHeight="1">
      <c r="A44" s="1365" t="s">
        <v>542</v>
      </c>
      <c r="B44" s="1352"/>
      <c r="C44" s="1353"/>
      <c r="D44" s="1355"/>
      <c r="E44" s="1353"/>
      <c r="F44" s="1354"/>
      <c r="G44" s="1353"/>
      <c r="H44" s="1355"/>
      <c r="I44" s="377"/>
      <c r="J44" s="377">
        <v>28</v>
      </c>
      <c r="K44" s="377">
        <v>22.5</v>
      </c>
      <c r="L44" s="377">
        <v>35.1</v>
      </c>
      <c r="M44" s="1368"/>
      <c r="N44" s="377"/>
      <c r="O44" s="1362"/>
      <c r="P44" s="377"/>
      <c r="Q44" s="1361"/>
      <c r="R44" s="1361"/>
      <c r="S44" s="377"/>
      <c r="T44" s="377"/>
      <c r="U44" s="377">
        <v>50.3</v>
      </c>
      <c r="V44" s="1136"/>
      <c r="W44" s="1296">
        <v>39</v>
      </c>
      <c r="X44" s="1786"/>
      <c r="Y44" s="1050">
        <v>0</v>
      </c>
      <c r="Z44" s="1009">
        <v>0</v>
      </c>
      <c r="AA44" s="1047">
        <v>0</v>
      </c>
      <c r="AB44" s="1050">
        <v>50.3</v>
      </c>
      <c r="AC44" s="1009">
        <f>SUM(AC55/AB55)*AB44</f>
        <v>49.863011334215521</v>
      </c>
      <c r="AD44" s="1047">
        <f>AB44-AC44</f>
        <v>0.43698866578447593</v>
      </c>
      <c r="AE44" s="1050">
        <v>0</v>
      </c>
      <c r="AF44" s="1009"/>
      <c r="AG44" s="1009">
        <v>0</v>
      </c>
      <c r="AH44" s="1047">
        <v>0</v>
      </c>
      <c r="AI44" s="1050">
        <f>Y44</f>
        <v>0</v>
      </c>
      <c r="AJ44" s="1009"/>
      <c r="AK44" s="1009"/>
      <c r="AL44" s="1047"/>
      <c r="AM44" s="1332" t="e">
        <f>#REF!</f>
        <v>#REF!</v>
      </c>
      <c r="AN44" s="377" t="e">
        <f>#REF!-AM44</f>
        <v>#REF!</v>
      </c>
      <c r="AO44" s="1363" t="e">
        <f t="shared" si="30"/>
        <v>#REF!</v>
      </c>
      <c r="AP44" s="1050">
        <v>8.8000000000000007</v>
      </c>
      <c r="AQ44" s="1009">
        <f>SUM(AQ55/AP55)*AP44</f>
        <v>8.7490668805439498</v>
      </c>
      <c r="AR44" s="1047">
        <f>AP44-AQ44</f>
        <v>5.0933119456050946E-2</v>
      </c>
      <c r="AS44" s="1050">
        <v>17.5</v>
      </c>
      <c r="AT44" s="1009">
        <f>SUM(AT55/AS55)*AS44</f>
        <v>17.396861005159025</v>
      </c>
      <c r="AU44" s="1047">
        <f>AS44-AT44</f>
        <v>0.10313899484097533</v>
      </c>
      <c r="AV44" s="1050">
        <v>26.06</v>
      </c>
      <c r="AW44" s="1009">
        <f>SUM(AW55/AV55)*AV44</f>
        <v>25.870189317590611</v>
      </c>
      <c r="AX44" s="1047">
        <f>AV44-AW44</f>
        <v>0.18981068240938725</v>
      </c>
      <c r="AY44" s="1050">
        <v>23.33</v>
      </c>
      <c r="AZ44" s="1114"/>
      <c r="BA44" s="1009">
        <f>SUM(BA55/AY55)*AY44</f>
        <v>23.202481764468136</v>
      </c>
      <c r="BB44" s="1047">
        <f>AY44-BA44</f>
        <v>0.1275182355318627</v>
      </c>
      <c r="BC44" s="1050">
        <f>AS44/3*4</f>
        <v>23.333333333333332</v>
      </c>
      <c r="BD44" s="1302"/>
      <c r="BE44" s="1009">
        <f>SUM(BE55/BC55)*BC44</f>
        <v>23.205796878307897</v>
      </c>
      <c r="BF44" s="1047">
        <f>BC44-BE44</f>
        <v>0.1275364550254352</v>
      </c>
      <c r="BG44" s="1918" t="s">
        <v>1013</v>
      </c>
      <c r="BH44" s="1050">
        <v>15.89</v>
      </c>
      <c r="BI44" s="1009">
        <f>SUM(BI55/BH55)*BH44</f>
        <v>15.786967947214634</v>
      </c>
      <c r="BJ44" s="1047">
        <f>BH44-BI44</f>
        <v>0.10303205278536609</v>
      </c>
      <c r="BK44" s="1050">
        <v>23.27</v>
      </c>
      <c r="BL44" s="1009">
        <f>SUM(BL55/BK55)*BK44</f>
        <v>23.11512647188983</v>
      </c>
      <c r="BM44" s="1047">
        <f>BK44-BL44</f>
        <v>0.15487352811016919</v>
      </c>
      <c r="BN44" s="1050">
        <v>29.69</v>
      </c>
      <c r="BO44" s="1009">
        <f>SUM(BO55/BN55)*BN44</f>
        <v>29.489738526011845</v>
      </c>
      <c r="BP44" s="1047">
        <f>BN44-BO44</f>
        <v>0.20026147398815652</v>
      </c>
      <c r="BQ44" s="1050">
        <f>SUM(AV44)</f>
        <v>26.06</v>
      </c>
      <c r="BR44" s="2165">
        <f t="shared" si="43"/>
        <v>1.1168571428571428</v>
      </c>
      <c r="BS44" s="1009">
        <f>SUM(BS55/BQ55)*BQ44</f>
        <v>25.874030406453613</v>
      </c>
      <c r="BT44" s="1047">
        <f>BQ44-BS44</f>
        <v>0.18596959354638543</v>
      </c>
      <c r="BU44" s="1050">
        <f>SUM(BW44:BX44)</f>
        <v>26.05</v>
      </c>
      <c r="BV44" s="3822">
        <f t="shared" si="31"/>
        <v>1.1164285714285715</v>
      </c>
      <c r="BW44" s="1009">
        <v>25.87</v>
      </c>
      <c r="BX44" s="1047">
        <v>0.18</v>
      </c>
      <c r="BY44" s="3951">
        <v>21.56</v>
      </c>
      <c r="BZ44" s="3952">
        <f>SUM(BZ55/BY55)*BY44</f>
        <v>21.434961825389394</v>
      </c>
      <c r="CA44" s="3952">
        <f>BY44-BZ44</f>
        <v>0.12503817461060507</v>
      </c>
      <c r="CB44" s="3952">
        <v>32.340000000000003</v>
      </c>
      <c r="CC44" s="3952">
        <f>SUM(CC55/CB55)*CB44</f>
        <v>32.143256750517295</v>
      </c>
      <c r="CD44" s="3952">
        <f>CB44-CC44</f>
        <v>0.19674324948270794</v>
      </c>
      <c r="CE44" s="3952">
        <f>SUM(CB44/9*12)</f>
        <v>43.120000000000005</v>
      </c>
      <c r="CF44" s="3952">
        <f>SUM(CF55/CE55)*CE44</f>
        <v>42.841806451612904</v>
      </c>
      <c r="CG44" s="3606">
        <f>CE44-CF44</f>
        <v>0.27819354838710098</v>
      </c>
      <c r="CH44" s="1050">
        <f>SUM('налоги 2018'!D67)</f>
        <v>29.69</v>
      </c>
      <c r="CI44" s="3978">
        <f t="shared" si="32"/>
        <v>1.1397312859884836</v>
      </c>
      <c r="CJ44" s="1009">
        <f>SUM(CJ55/CH55)*CH44</f>
        <v>29.480079926221951</v>
      </c>
      <c r="CK44" s="1047">
        <f>CH44-CJ44</f>
        <v>0.20992007377805066</v>
      </c>
      <c r="CL44" s="1050">
        <f>SUM(CN44:CO44)</f>
        <v>29.900000000000002</v>
      </c>
      <c r="CM44" s="4017">
        <f t="shared" si="33"/>
        <v>1.1477927063339732</v>
      </c>
      <c r="CN44" s="1009">
        <f>SUM('Расчет налог. обяз. 2018'!G29)</f>
        <v>29.69</v>
      </c>
      <c r="CO44" s="1047">
        <f>SUM('Расчет налог. обяз. 2018'!G38)</f>
        <v>0.21</v>
      </c>
    </row>
    <row r="45" spans="1:93" ht="21" customHeight="1">
      <c r="A45" s="1365" t="s">
        <v>544</v>
      </c>
      <c r="B45" s="1352"/>
      <c r="C45" s="1353"/>
      <c r="D45" s="1355"/>
      <c r="E45" s="1353"/>
      <c r="F45" s="1354"/>
      <c r="G45" s="1353"/>
      <c r="H45" s="1355"/>
      <c r="I45" s="377"/>
      <c r="J45" s="377"/>
      <c r="K45" s="377"/>
      <c r="L45" s="377">
        <v>0</v>
      </c>
      <c r="M45" s="1368"/>
      <c r="N45" s="377"/>
      <c r="O45" s="1362"/>
      <c r="P45" s="377">
        <v>1699.3</v>
      </c>
      <c r="Q45" s="1361"/>
      <c r="R45" s="1361"/>
      <c r="S45" s="377">
        <v>1699.3</v>
      </c>
      <c r="T45" s="377"/>
      <c r="U45" s="377">
        <v>0</v>
      </c>
      <c r="V45" s="1136"/>
      <c r="W45" s="1296">
        <v>1700</v>
      </c>
      <c r="X45" s="1786"/>
      <c r="Y45" s="1050">
        <v>1700</v>
      </c>
      <c r="Z45" s="1009">
        <f>Y45-AA45</f>
        <v>1699.2</v>
      </c>
      <c r="AA45" s="1047">
        <v>0.8</v>
      </c>
      <c r="AB45" s="1050">
        <v>1700</v>
      </c>
      <c r="AC45" s="1009">
        <v>1699.2</v>
      </c>
      <c r="AD45" s="1047">
        <f>AB45-AC45</f>
        <v>0.79999999999995453</v>
      </c>
      <c r="AE45" s="1050">
        <v>1700</v>
      </c>
      <c r="AF45" s="1009">
        <f t="shared" si="28"/>
        <v>1</v>
      </c>
      <c r="AG45" s="1009">
        <v>1699.2</v>
      </c>
      <c r="AH45" s="1047">
        <v>0.8</v>
      </c>
      <c r="AI45" s="1050">
        <f>Y45</f>
        <v>1700</v>
      </c>
      <c r="AJ45" s="1009">
        <f t="shared" si="29"/>
        <v>1</v>
      </c>
      <c r="AK45" s="1009">
        <f>Z45</f>
        <v>1699.2</v>
      </c>
      <c r="AL45" s="1047">
        <f>AA45</f>
        <v>0.8</v>
      </c>
      <c r="AM45" s="1331" t="e">
        <f>#REF!*Z45/Y45</f>
        <v>#REF!</v>
      </c>
      <c r="AN45" s="377" t="e">
        <f>#REF!-AM45</f>
        <v>#REF!</v>
      </c>
      <c r="AO45" s="1363" t="e">
        <f t="shared" si="30"/>
        <v>#REF!</v>
      </c>
      <c r="AP45" s="1050">
        <v>0</v>
      </c>
      <c r="AQ45" s="1009">
        <f>SUM(AQ55/AP55)*AP45</f>
        <v>0</v>
      </c>
      <c r="AR45" s="1047">
        <f>AP45-AQ45</f>
        <v>0</v>
      </c>
      <c r="AS45" s="1050">
        <v>1229.9000000000001</v>
      </c>
      <c r="AT45" s="1009">
        <f>SUM(AT55/AS55)*AS45</f>
        <v>1222.6513914425764</v>
      </c>
      <c r="AU45" s="1047">
        <f>AS45-AT45</f>
        <v>7.2486085574237222</v>
      </c>
      <c r="AV45" s="2670">
        <v>1419.73</v>
      </c>
      <c r="AW45" s="2671">
        <f>SUM(AW55/AV55)*AV45</f>
        <v>1409.3892509540647</v>
      </c>
      <c r="AX45" s="2695">
        <f>AV45-AW45</f>
        <v>10.340749045935354</v>
      </c>
      <c r="AY45" s="1050">
        <v>1639.87</v>
      </c>
      <c r="AZ45" s="1114">
        <f t="shared" si="45"/>
        <v>0.96462941176470585</v>
      </c>
      <c r="BA45" s="1009">
        <v>1626.65</v>
      </c>
      <c r="BB45" s="1047">
        <v>13.22</v>
      </c>
      <c r="BC45" s="1050">
        <f>'налог на имущ'!D15</f>
        <v>1441.3413519999999</v>
      </c>
      <c r="BD45" s="1302">
        <f t="shared" si="39"/>
        <v>0.84784785411764696</v>
      </c>
      <c r="BE45" s="1009">
        <f>SUM(BE55/BC55)*BC45</f>
        <v>1433.4631991493293</v>
      </c>
      <c r="BF45" s="1047">
        <f>BC45-BE45</f>
        <v>7.8781528506706309</v>
      </c>
      <c r="BG45" s="1978" t="s">
        <v>980</v>
      </c>
      <c r="BH45" s="2670">
        <v>767.88</v>
      </c>
      <c r="BI45" s="1009">
        <f>SUM(BI55/BH55)*BH45</f>
        <v>762.90100360649296</v>
      </c>
      <c r="BJ45" s="1047">
        <f>BH45-BI45</f>
        <v>4.9789963935070318</v>
      </c>
      <c r="BK45" s="1050">
        <v>1145.9000000000001</v>
      </c>
      <c r="BL45" s="1009">
        <f>SUM(BL55/BK55)*BK45</f>
        <v>1138.2734604270975</v>
      </c>
      <c r="BM45" s="1047">
        <f>BK45-BL45</f>
        <v>7.6265395729026295</v>
      </c>
      <c r="BN45" s="2869">
        <f>SUM(3327.07*40%)</f>
        <v>1330.8280000000002</v>
      </c>
      <c r="BO45" s="1009">
        <f>SUM(BO55/BN55)*BN45</f>
        <v>1321.8514564868742</v>
      </c>
      <c r="BP45" s="1047">
        <f>BN45-BO45</f>
        <v>8.9765435131259892</v>
      </c>
      <c r="BQ45" s="1050">
        <f>SUM(BC45)</f>
        <v>1441.3413519999999</v>
      </c>
      <c r="BR45" s="2165">
        <f t="shared" si="43"/>
        <v>1</v>
      </c>
      <c r="BS45" s="1009">
        <f>SUM(BS55/BQ55)*BQ45</f>
        <v>1431.0556395904437</v>
      </c>
      <c r="BT45" s="1047">
        <f>BQ45-BS45</f>
        <v>10.285712409556254</v>
      </c>
      <c r="BU45" s="1050">
        <f>SUM(BW45:BX45)</f>
        <v>1419.68</v>
      </c>
      <c r="BV45" s="3822">
        <f t="shared" si="31"/>
        <v>0.98497139350789964</v>
      </c>
      <c r="BW45" s="1009">
        <v>1409.39</v>
      </c>
      <c r="BX45" s="1047">
        <v>10.29</v>
      </c>
      <c r="BY45" s="3951">
        <f>SUM(1896.94*40%)</f>
        <v>758.77600000000007</v>
      </c>
      <c r="BZ45" s="3952">
        <f>SUM(BZ55/BY55)*BY45</f>
        <v>754.37544499172839</v>
      </c>
      <c r="CA45" s="3952">
        <f>BY45-BZ45</f>
        <v>4.4005550082716809</v>
      </c>
      <c r="CB45" s="3952">
        <f>SUM(2788.19*40%)</f>
        <v>1115.2760000000001</v>
      </c>
      <c r="CC45" s="3952">
        <f>SUM(CC55/CB55)*CB45</f>
        <v>1108.4911198419891</v>
      </c>
      <c r="CD45" s="3952">
        <f>CB45-CC45</f>
        <v>6.7848801580109921</v>
      </c>
      <c r="CE45" s="3952">
        <f>SUM(CB45/9*12)</f>
        <v>1487.0346666666667</v>
      </c>
      <c r="CF45" s="3952">
        <f>SUM(CF55/CE55)*CE45</f>
        <v>1477.4408946236558</v>
      </c>
      <c r="CG45" s="3606">
        <f>CE45-CF45</f>
        <v>9.5937720430108584</v>
      </c>
      <c r="CH45" s="1050">
        <f>SUM(CJ45:CK45)</f>
        <v>1330.8272350153845</v>
      </c>
      <c r="CI45" s="3978">
        <f t="shared" si="32"/>
        <v>0.93741352629845065</v>
      </c>
      <c r="CJ45" s="1009">
        <f>SUM('налоги 2018'!D63)</f>
        <v>1321.4177587149379</v>
      </c>
      <c r="CK45" s="1047">
        <f>SUM('налоги 2018'!D72)</f>
        <v>9.4094763004466131</v>
      </c>
      <c r="CL45" s="1050">
        <f>SUM(CN45:CO45)</f>
        <v>1330.8300000000002</v>
      </c>
      <c r="CM45" s="4017">
        <f t="shared" si="33"/>
        <v>0.93741547390961355</v>
      </c>
      <c r="CN45" s="1009">
        <f>SUM('Расчет налог. обяз. 2018'!G25)</f>
        <v>1321.42</v>
      </c>
      <c r="CO45" s="1047">
        <f>SUM('Расчет налог. обяз. 2018'!G34)</f>
        <v>9.41</v>
      </c>
    </row>
    <row r="46" spans="1:93" ht="21" customHeight="1">
      <c r="A46" s="1285" t="s">
        <v>11</v>
      </c>
      <c r="B46" s="1352">
        <v>6566.2</v>
      </c>
      <c r="C46" s="1353">
        <v>7034.8</v>
      </c>
      <c r="D46" s="1355">
        <f>C46/B46*100</f>
        <v>107.13654777496879</v>
      </c>
      <c r="E46" s="1334">
        <v>7166.7</v>
      </c>
      <c r="F46" s="1334">
        <f>E46/C46*100</f>
        <v>101.87496446238697</v>
      </c>
      <c r="G46" s="1334">
        <v>7614.1</v>
      </c>
      <c r="H46" s="1355">
        <f t="shared" si="2"/>
        <v>106.24276166157367</v>
      </c>
      <c r="I46" s="1334">
        <v>8986</v>
      </c>
      <c r="J46" s="1334">
        <v>4011.7</v>
      </c>
      <c r="K46" s="1334">
        <v>6062.9</v>
      </c>
      <c r="L46" s="1334">
        <v>8448.7000000000007</v>
      </c>
      <c r="M46" s="1334">
        <f t="shared" si="24"/>
        <v>110.96124295714529</v>
      </c>
      <c r="N46" s="1334">
        <v>10151.1</v>
      </c>
      <c r="O46" s="1334">
        <f t="shared" si="25"/>
        <v>112.96572446027153</v>
      </c>
      <c r="P46" s="1334">
        <v>8915.7999999999993</v>
      </c>
      <c r="Q46" s="1334">
        <f t="shared" si="26"/>
        <v>99.218784776318714</v>
      </c>
      <c r="R46" s="1334">
        <f>P46/L46*100</f>
        <v>105.52866121415127</v>
      </c>
      <c r="S46" s="1334">
        <f>P46-T46</f>
        <v>8876.5</v>
      </c>
      <c r="T46" s="1334">
        <v>39.299999999999997</v>
      </c>
      <c r="U46" s="1334">
        <v>7513.6</v>
      </c>
      <c r="V46" s="1363"/>
      <c r="W46" s="1298">
        <v>10701.5</v>
      </c>
      <c r="X46" s="1375"/>
      <c r="Y46" s="1270">
        <v>10806.57</v>
      </c>
      <c r="Z46" s="1268">
        <f>Y46-AA46</f>
        <v>10753.369999999999</v>
      </c>
      <c r="AA46" s="1269">
        <v>53.2</v>
      </c>
      <c r="AB46" s="1270">
        <f>SUM('ОХР '!AD57)</f>
        <v>9591.77</v>
      </c>
      <c r="AC46" s="1268">
        <f>SUM(AC55/AB55)*AB46</f>
        <v>9508.4400839997706</v>
      </c>
      <c r="AD46" s="1269">
        <f>AB46-AC46</f>
        <v>83.329916000229787</v>
      </c>
      <c r="AE46" s="1270">
        <v>9051.4500000000007</v>
      </c>
      <c r="AF46" s="1268">
        <f t="shared" si="28"/>
        <v>0.83758768971098152</v>
      </c>
      <c r="AG46" s="1268">
        <v>8995.59</v>
      </c>
      <c r="AH46" s="1269">
        <v>55.86</v>
      </c>
      <c r="AI46" s="1270">
        <f>SUM('ОХР '!AH57)</f>
        <v>8833.3841337506801</v>
      </c>
      <c r="AJ46" s="1268">
        <f t="shared" si="29"/>
        <v>0.8174086813624194</v>
      </c>
      <c r="AK46" s="1268">
        <f>AI46-AL46</f>
        <v>8777.5241337506795</v>
      </c>
      <c r="AL46" s="1269">
        <f>AA46*1.05</f>
        <v>55.860000000000007</v>
      </c>
      <c r="AM46" s="1331" t="e">
        <f>#REF!*Z46/Y46</f>
        <v>#REF!</v>
      </c>
      <c r="AN46" s="1334" t="e">
        <f>#REF!-AM46</f>
        <v>#REF!</v>
      </c>
      <c r="AO46" s="1363" t="e">
        <f t="shared" si="30"/>
        <v>#REF!</v>
      </c>
      <c r="AP46" s="1270">
        <v>0</v>
      </c>
      <c r="AQ46" s="1268">
        <f>SUM(AQ55/AP55)*AP46</f>
        <v>0</v>
      </c>
      <c r="AR46" s="1269">
        <f>AP46-AQ46</f>
        <v>0</v>
      </c>
      <c r="AS46" s="1270">
        <f>SUM('цех стоки'!AF62)</f>
        <v>0</v>
      </c>
      <c r="AT46" s="1268">
        <f>SUM(AT55/AS55)*AS46</f>
        <v>0</v>
      </c>
      <c r="AU46" s="1269">
        <f>AS46-AT46</f>
        <v>0</v>
      </c>
      <c r="AV46" s="1270">
        <v>8924.7999999999993</v>
      </c>
      <c r="AW46" s="1268">
        <f>SUM(AW55/AV55)*AV46</f>
        <v>8859.7953039766962</v>
      </c>
      <c r="AX46" s="1269">
        <f>AV46-AW46</f>
        <v>65.00469602330304</v>
      </c>
      <c r="AY46" s="1270">
        <v>10189.549999999999</v>
      </c>
      <c r="AZ46" s="2167">
        <f t="shared" ref="AZ46" si="175">SUM(AY46/AI46)</f>
        <v>1.1535273283392791</v>
      </c>
      <c r="BA46" s="1268">
        <v>10189.549999999999</v>
      </c>
      <c r="BB46" s="1269">
        <v>0</v>
      </c>
      <c r="BC46" s="1270">
        <f>SUM('ОХР '!AP57)+2500</f>
        <v>13195.647202096725</v>
      </c>
      <c r="BD46" s="1307">
        <f t="shared" si="39"/>
        <v>1.4938382620176867</v>
      </c>
      <c r="BE46" s="1268">
        <f>SUM(BC46-BF46)</f>
        <v>13195.647202096725</v>
      </c>
      <c r="BF46" s="1269">
        <v>0</v>
      </c>
      <c r="BG46" s="1973" t="str">
        <f>вода!BK48</f>
        <v>Приложение (Сняли 3 миллиона на стоки 500 тыс. потеряли)</v>
      </c>
      <c r="BH46" s="1270">
        <f>SUM('ОХР '!AZ49)</f>
        <v>4545.9300000000076</v>
      </c>
      <c r="BI46" s="1268">
        <f>SUM(BI55/BH55)*BH46</f>
        <v>4516.4538200303041</v>
      </c>
      <c r="BJ46" s="1269">
        <f>BH46-BI46</f>
        <v>29.47617996970348</v>
      </c>
      <c r="BK46" s="1270">
        <f>SUM('ОХР '!BC49)</f>
        <v>6919.8799999999828</v>
      </c>
      <c r="BL46" s="1268">
        <f>SUM(BL55/BK55)*BK46</f>
        <v>6873.8247258401634</v>
      </c>
      <c r="BM46" s="1269">
        <f>BK46-BL46</f>
        <v>46.055274159819419</v>
      </c>
      <c r="BN46" s="1270">
        <f>SUM('ОХР '!BF51)</f>
        <v>9307.7739999999994</v>
      </c>
      <c r="BO46" s="1268">
        <f>SUM(BO55/BN55)*BN46</f>
        <v>9244.9923044530606</v>
      </c>
      <c r="BP46" s="1269">
        <f>BN46-BO46</f>
        <v>62.781695546938863</v>
      </c>
      <c r="BQ46" s="1270">
        <f>SUM('ОХР '!BI49)</f>
        <v>11124.428087978959</v>
      </c>
      <c r="BR46" s="2165">
        <f t="shared" si="43"/>
        <v>0.84303770156960101</v>
      </c>
      <c r="BS46" s="1009">
        <v>11084</v>
      </c>
      <c r="BT46" s="1047">
        <f>BQ46-BS46</f>
        <v>40.428087978958501</v>
      </c>
      <c r="BU46" s="1270">
        <f>SUM(BW46:BX46)</f>
        <v>14681.99</v>
      </c>
      <c r="BV46" s="3822">
        <f t="shared" si="31"/>
        <v>1.1126388706169033</v>
      </c>
      <c r="BW46" s="1268">
        <v>14675.18</v>
      </c>
      <c r="BX46" s="1269">
        <v>6.81</v>
      </c>
      <c r="BY46" s="3946">
        <f>SUM('ОХР '!BS49)</f>
        <v>4818.8500000000004</v>
      </c>
      <c r="BZ46" s="3947">
        <f>SUM(BZ55/BY55)*BY46</f>
        <v>4790.9028660611175</v>
      </c>
      <c r="CA46" s="3947">
        <f>BY46-BZ46</f>
        <v>27.947133938882871</v>
      </c>
      <c r="CB46" s="3947">
        <f>SUM('ОХР '!BV49)</f>
        <v>7382.88</v>
      </c>
      <c r="CC46" s="3947">
        <f>SUM(CC55/CB55)*CB46</f>
        <v>7337.9655967303379</v>
      </c>
      <c r="CD46" s="3947">
        <f>CB46-CC46</f>
        <v>44.914403269662216</v>
      </c>
      <c r="CE46" s="3947">
        <f>SUM('ОХР '!BY49)</f>
        <v>9753.1600000000035</v>
      </c>
      <c r="CF46" s="3947">
        <f>SUM(CF55/CE55)*CE46</f>
        <v>9690.2363870967783</v>
      </c>
      <c r="CG46" s="3605">
        <f>CE46-CF46</f>
        <v>62.923612903225148</v>
      </c>
      <c r="CH46" s="1270">
        <f>SUM('ОХР '!CC51)</f>
        <v>15338.743391990902</v>
      </c>
      <c r="CI46" s="3978">
        <f t="shared" si="32"/>
        <v>1.0447319056879143</v>
      </c>
      <c r="CJ46" s="1009">
        <f>SUM(CH46-CK46)</f>
        <v>15331.743391990902</v>
      </c>
      <c r="CK46" s="1047">
        <v>7</v>
      </c>
      <c r="CL46" s="1270">
        <f>SUM('ОХР '!CI51)</f>
        <v>15214.176314017532</v>
      </c>
      <c r="CM46" s="4017">
        <f t="shared" si="33"/>
        <v>1.0362475600390364</v>
      </c>
      <c r="CN46" s="1268">
        <f>SUM(CL46-CO46)</f>
        <v>15206.883606181053</v>
      </c>
      <c r="CO46" s="1269">
        <f>SUM(BX46*(1-0.01)*(1+0.058)*(1+0))*1.0224</f>
        <v>7.2927078364799991</v>
      </c>
    </row>
    <row r="47" spans="1:93" ht="21" customHeight="1">
      <c r="A47" s="1857" t="s">
        <v>907</v>
      </c>
      <c r="B47" s="1858"/>
      <c r="C47" s="1859"/>
      <c r="D47" s="1860"/>
      <c r="E47" s="1853"/>
      <c r="F47" s="1853"/>
      <c r="G47" s="1853"/>
      <c r="H47" s="1860"/>
      <c r="I47" s="1853"/>
      <c r="J47" s="1853"/>
      <c r="K47" s="1853"/>
      <c r="L47" s="1853"/>
      <c r="M47" s="1853"/>
      <c r="N47" s="1853"/>
      <c r="O47" s="1853"/>
      <c r="P47" s="1853"/>
      <c r="Q47" s="1853"/>
      <c r="R47" s="1853"/>
      <c r="S47" s="1853"/>
      <c r="T47" s="1853"/>
      <c r="U47" s="1853"/>
      <c r="V47" s="1861"/>
      <c r="W47" s="1849"/>
      <c r="X47" s="1862"/>
      <c r="Y47" s="1851"/>
      <c r="Z47" s="1853"/>
      <c r="AA47" s="1854"/>
      <c r="AB47" s="1851"/>
      <c r="AC47" s="1853"/>
      <c r="AD47" s="1854"/>
      <c r="AE47" s="1851"/>
      <c r="AF47" s="1853"/>
      <c r="AG47" s="1853"/>
      <c r="AH47" s="1854"/>
      <c r="AI47" s="1851"/>
      <c r="AJ47" s="1853"/>
      <c r="AK47" s="1853"/>
      <c r="AL47" s="1854"/>
      <c r="AM47" s="1863"/>
      <c r="AN47" s="1853"/>
      <c r="AO47" s="1861"/>
      <c r="AP47" s="1851"/>
      <c r="AQ47" s="1853"/>
      <c r="AR47" s="1854"/>
      <c r="AS47" s="1851"/>
      <c r="AT47" s="1853"/>
      <c r="AU47" s="1854"/>
      <c r="AV47" s="1851"/>
      <c r="AW47" s="1853"/>
      <c r="AX47" s="1854"/>
      <c r="AY47" s="1851">
        <v>828.88</v>
      </c>
      <c r="AZ47" s="2168"/>
      <c r="BA47" s="1931">
        <v>828.88</v>
      </c>
      <c r="BB47" s="1854"/>
      <c r="BC47" s="1851">
        <f>BE47+BF47</f>
        <v>286.40476017160813</v>
      </c>
      <c r="BD47" s="1852"/>
      <c r="BE47" s="1853">
        <f>'Резерв ДЗ'!F12</f>
        <v>286.40476017160813</v>
      </c>
      <c r="BF47" s="1854"/>
      <c r="BG47" s="1979" t="s">
        <v>980</v>
      </c>
      <c r="BH47" s="1851"/>
      <c r="BI47" s="1853"/>
      <c r="BJ47" s="1854"/>
      <c r="BK47" s="1851"/>
      <c r="BL47" s="1853"/>
      <c r="BM47" s="1854"/>
      <c r="BN47" s="1851"/>
      <c r="BO47" s="1853"/>
      <c r="BP47" s="1854"/>
      <c r="BQ47" s="1851">
        <f>SUM('Резерв ДЗ'!F22:F25)</f>
        <v>353.60175784252925</v>
      </c>
      <c r="BR47" s="2165">
        <f t="shared" si="43"/>
        <v>1.2346224889232218</v>
      </c>
      <c r="BS47" s="1853">
        <f>SUM(BQ47)</f>
        <v>353.60175784252925</v>
      </c>
      <c r="BT47" s="1854">
        <v>0</v>
      </c>
      <c r="BU47" s="1851">
        <f>BW47+BX47</f>
        <v>265.39999999999998</v>
      </c>
      <c r="BV47" s="3822">
        <f t="shared" si="31"/>
        <v>0.9266605758960762</v>
      </c>
      <c r="BW47" s="1853">
        <v>265.39999999999998</v>
      </c>
      <c r="BX47" s="1854">
        <v>0</v>
      </c>
      <c r="BY47" s="3946"/>
      <c r="BZ47" s="3947"/>
      <c r="CA47" s="3947"/>
      <c r="CB47" s="3947"/>
      <c r="CC47" s="3947"/>
      <c r="CD47" s="3947"/>
      <c r="CE47" s="3947"/>
      <c r="CF47" s="3947"/>
      <c r="CG47" s="3605"/>
      <c r="CH47" s="1851">
        <f>SUM(CJ47:CK47)</f>
        <v>370.50590426054475</v>
      </c>
      <c r="CI47" s="3978">
        <f t="shared" si="32"/>
        <v>1.3960282752846449</v>
      </c>
      <c r="CJ47" s="1853">
        <f>SUM('рез к 2018'!F32:F35)</f>
        <v>370.50590426054475</v>
      </c>
      <c r="CK47" s="1854">
        <v>0</v>
      </c>
      <c r="CL47" s="1851">
        <f>SUM(CN47:CO47)</f>
        <v>365.36847945936529</v>
      </c>
      <c r="CM47" s="4017">
        <f t="shared" si="33"/>
        <v>1.3766709851520924</v>
      </c>
      <c r="CN47" s="1853">
        <f>SUM('рез к 2017'!F42:F45)</f>
        <v>365.36847945936529</v>
      </c>
      <c r="CO47" s="1854">
        <v>0</v>
      </c>
    </row>
    <row r="48" spans="1:93" ht="21" customHeight="1">
      <c r="A48" s="1285" t="str">
        <f>вода!A50</f>
        <v>Выпадающие расходы прошлых периодов</v>
      </c>
      <c r="B48" s="1352"/>
      <c r="C48" s="1353"/>
      <c r="D48" s="1355"/>
      <c r="E48" s="1334"/>
      <c r="F48" s="1334"/>
      <c r="G48" s="1334"/>
      <c r="H48" s="1355"/>
      <c r="I48" s="1334"/>
      <c r="J48" s="1334"/>
      <c r="K48" s="1334"/>
      <c r="L48" s="1334"/>
      <c r="M48" s="1334"/>
      <c r="N48" s="1334"/>
      <c r="O48" s="1334"/>
      <c r="P48" s="1334"/>
      <c r="Q48" s="1334"/>
      <c r="R48" s="1334"/>
      <c r="S48" s="1334"/>
      <c r="T48" s="1334"/>
      <c r="U48" s="1334"/>
      <c r="V48" s="1363"/>
      <c r="W48" s="1298"/>
      <c r="X48" s="1375"/>
      <c r="Y48" s="1270"/>
      <c r="Z48" s="1268"/>
      <c r="AA48" s="1269"/>
      <c r="AB48" s="1270"/>
      <c r="AC48" s="1268"/>
      <c r="AD48" s="1269"/>
      <c r="AE48" s="1270">
        <v>885.62</v>
      </c>
      <c r="AF48" s="1268"/>
      <c r="AG48" s="1268">
        <v>885.62</v>
      </c>
      <c r="AH48" s="1269">
        <v>0</v>
      </c>
      <c r="AI48" s="1270">
        <f>SUM(AK48+AL48)</f>
        <v>1458.3999999999999</v>
      </c>
      <c r="AJ48" s="1268"/>
      <c r="AK48" s="1268">
        <v>1450.3</v>
      </c>
      <c r="AL48" s="1269">
        <v>8.1</v>
      </c>
      <c r="AM48" s="1331"/>
      <c r="AN48" s="1334"/>
      <c r="AO48" s="1363"/>
      <c r="AP48" s="1270">
        <f>SUM(AQ48:AR48)</f>
        <v>0</v>
      </c>
      <c r="AQ48" s="1268">
        <v>0</v>
      </c>
      <c r="AR48" s="1269">
        <v>0</v>
      </c>
      <c r="AS48" s="1270">
        <f>SUM(AT48:AU48)</f>
        <v>0</v>
      </c>
      <c r="AT48" s="1268">
        <v>0</v>
      </c>
      <c r="AU48" s="1269">
        <v>0</v>
      </c>
      <c r="AV48" s="1270">
        <f>SUM(AW48:AX48)</f>
        <v>0</v>
      </c>
      <c r="AW48" s="1268">
        <v>0</v>
      </c>
      <c r="AX48" s="1269">
        <v>0</v>
      </c>
      <c r="AY48" s="1270">
        <v>26.1</v>
      </c>
      <c r="AZ48" s="2167">
        <f t="shared" si="45"/>
        <v>1.7896324739440486E-2</v>
      </c>
      <c r="BA48" s="1268">
        <v>26.1</v>
      </c>
      <c r="BB48" s="1269">
        <v>0</v>
      </c>
      <c r="BC48" s="1270">
        <f>SUM(BE48:BF48)</f>
        <v>26.100000000000009</v>
      </c>
      <c r="BD48" s="1307">
        <f t="shared" si="39"/>
        <v>1.789632473944049E-2</v>
      </c>
      <c r="BE48" s="1268">
        <f>'Выпадающ15-16'!G25</f>
        <v>26.100000000000009</v>
      </c>
      <c r="BF48" s="1269">
        <v>0</v>
      </c>
      <c r="BG48" s="1973" t="s">
        <v>980</v>
      </c>
      <c r="BH48" s="1270">
        <f>SUM(BI48:BJ48)</f>
        <v>0</v>
      </c>
      <c r="BI48" s="1268">
        <v>0</v>
      </c>
      <c r="BJ48" s="1269">
        <v>0</v>
      </c>
      <c r="BK48" s="1270">
        <f>SUM(BL48:BM48)</f>
        <v>0</v>
      </c>
      <c r="BL48" s="1268">
        <v>0</v>
      </c>
      <c r="BM48" s="1269">
        <v>0</v>
      </c>
      <c r="BN48" s="1270">
        <f>SUM(BO48:BP48)</f>
        <v>0</v>
      </c>
      <c r="BO48" s="1268">
        <v>0</v>
      </c>
      <c r="BP48" s="1269">
        <v>0</v>
      </c>
      <c r="BQ48" s="1270">
        <f>SUM('Выпадающ15-16'!J25)</f>
        <v>361.57999999999993</v>
      </c>
      <c r="BR48" s="2165">
        <f t="shared" si="43"/>
        <v>13.853639846743288</v>
      </c>
      <c r="BS48" s="1268">
        <f>SUM(BQ48)</f>
        <v>361.57999999999993</v>
      </c>
      <c r="BT48" s="1269">
        <v>0</v>
      </c>
      <c r="BU48" s="1270">
        <f>SUM(BW48:BX48)</f>
        <v>361.57999999999993</v>
      </c>
      <c r="BV48" s="3822">
        <f t="shared" si="31"/>
        <v>13.853639846743288</v>
      </c>
      <c r="BW48" s="1268">
        <f>SUM('Выпадающ15-16'!K25)</f>
        <v>361.57999999999993</v>
      </c>
      <c r="BX48" s="1269">
        <v>0</v>
      </c>
      <c r="BY48" s="3946">
        <f>SUM(BZ48:CA48)</f>
        <v>0</v>
      </c>
      <c r="BZ48" s="3947">
        <v>0</v>
      </c>
      <c r="CA48" s="3947">
        <v>0</v>
      </c>
      <c r="CB48" s="3947">
        <f>SUM(CC48:CD48)</f>
        <v>0</v>
      </c>
      <c r="CC48" s="3947">
        <v>0</v>
      </c>
      <c r="CD48" s="3947">
        <v>0</v>
      </c>
      <c r="CE48" s="3947">
        <f>SUM(CF48:CG48)</f>
        <v>0</v>
      </c>
      <c r="CF48" s="3947">
        <v>0</v>
      </c>
      <c r="CG48" s="3605">
        <v>0</v>
      </c>
      <c r="CH48" s="1270">
        <f>SUM('выпадающие расходы на 2018'!F22)</f>
        <v>1291.2</v>
      </c>
      <c r="CI48" s="3978">
        <f t="shared" si="32"/>
        <v>3.5709939709054712</v>
      </c>
      <c r="CJ48" s="1268">
        <f>SUM(CH48)</f>
        <v>1291.2</v>
      </c>
      <c r="CK48" s="1269">
        <v>0</v>
      </c>
      <c r="CL48" s="1270">
        <v>0</v>
      </c>
      <c r="CM48" s="4017">
        <f t="shared" si="33"/>
        <v>0</v>
      </c>
      <c r="CN48" s="1268">
        <f>SUM(CL48)</f>
        <v>0</v>
      </c>
      <c r="CO48" s="1269">
        <v>0</v>
      </c>
    </row>
    <row r="49" spans="1:93" ht="21" customHeight="1">
      <c r="A49" s="1285" t="s">
        <v>12</v>
      </c>
      <c r="B49" s="1352">
        <f>B8+B17+B27+B34+B42+B46</f>
        <v>48804.800000000003</v>
      </c>
      <c r="C49" s="1353">
        <f>C8+C17+C27+C34+C42+C46</f>
        <v>53462.30000000001</v>
      </c>
      <c r="D49" s="1355">
        <f>C49/B49*100</f>
        <v>109.54311870963514</v>
      </c>
      <c r="E49" s="1334">
        <f>E8+E17+E27+E34+E42+E46</f>
        <v>60125.35753296347</v>
      </c>
      <c r="F49" s="1334">
        <f>F8+F17+F27+F34+F42+F46</f>
        <v>3129.1316842549895</v>
      </c>
      <c r="G49" s="1334">
        <f>G8+G17+G27+G34+G42+G46</f>
        <v>67514.555567248346</v>
      </c>
      <c r="H49" s="1355">
        <f t="shared" si="2"/>
        <v>112.28965337999659</v>
      </c>
      <c r="I49" s="1334">
        <f>I8+I17+I27+I34+I42+I46</f>
        <v>71839.299339999998</v>
      </c>
      <c r="J49" s="1334" t="e">
        <f>J8+J17+J27+J34+J42+J46+#REF!</f>
        <v>#REF!</v>
      </c>
      <c r="K49" s="1334">
        <f>K8+K17+K27+K34+K42+K46</f>
        <v>48024.894049536379</v>
      </c>
      <c r="L49" s="1334">
        <f>L8+L17+L27+L34+L42+L46</f>
        <v>69413.700222854182</v>
      </c>
      <c r="M49" s="1334">
        <f t="shared" si="24"/>
        <v>102.81294106085639</v>
      </c>
      <c r="N49" s="1334">
        <f>N8+N17+N27+N34+N42+N46</f>
        <v>89172.253990794445</v>
      </c>
      <c r="O49" s="1334">
        <f t="shared" si="25"/>
        <v>124.12739936223667</v>
      </c>
      <c r="P49" s="1334" t="e">
        <f>P8+P17+P27+P34+P42+P46</f>
        <v>#REF!</v>
      </c>
      <c r="Q49" s="1334" t="e">
        <f t="shared" ref="Q49:AA49" si="176">Q8+Q17+Q27+Q34+Q42+Q46</f>
        <v>#REF!</v>
      </c>
      <c r="R49" s="1334" t="e">
        <f t="shared" si="176"/>
        <v>#REF!</v>
      </c>
      <c r="S49" s="1334" t="e">
        <f t="shared" si="176"/>
        <v>#REF!</v>
      </c>
      <c r="T49" s="1334" t="e">
        <f t="shared" si="176"/>
        <v>#REF!</v>
      </c>
      <c r="U49" s="1334">
        <f>U8+U17+U27+U34+U42+U46</f>
        <v>56869.5</v>
      </c>
      <c r="V49" s="1363">
        <f>V8+V17+V27+V34+V42+V46</f>
        <v>0</v>
      </c>
      <c r="W49" s="1298">
        <f>W8+W17+W27+W34+W42+W46</f>
        <v>96034.68</v>
      </c>
      <c r="X49" s="1375"/>
      <c r="Y49" s="1270">
        <f t="shared" si="176"/>
        <v>77174.362445693521</v>
      </c>
      <c r="Z49" s="1268">
        <f t="shared" si="176"/>
        <v>76845.211738577535</v>
      </c>
      <c r="AA49" s="1269">
        <f t="shared" si="176"/>
        <v>329.45070711599271</v>
      </c>
      <c r="AB49" s="1270">
        <f t="shared" ref="AB49:AD49" si="177">AB8+AB17+AB27+AB34+AB42+AB46</f>
        <v>70897.669500000004</v>
      </c>
      <c r="AC49" s="1268">
        <f t="shared" si="177"/>
        <v>70520.933541510851</v>
      </c>
      <c r="AD49" s="1269">
        <f t="shared" si="177"/>
        <v>376.73595848915204</v>
      </c>
      <c r="AE49" s="1270">
        <v>85498.66</v>
      </c>
      <c r="AF49" s="1268">
        <f t="shared" si="28"/>
        <v>1.1078635092083096</v>
      </c>
      <c r="AG49" s="1268">
        <v>85304.62</v>
      </c>
      <c r="AH49" s="1269">
        <v>343.42</v>
      </c>
      <c r="AI49" s="1270">
        <f>AI8+AI17+AI27+AI34+AI42+AI46+AI48</f>
        <v>81206.130865212966</v>
      </c>
      <c r="AJ49" s="1268">
        <f t="shared" si="29"/>
        <v>1.052242328822043</v>
      </c>
      <c r="AK49" s="1268">
        <f>AK8+AK17+AK27+AK34+AK42+AK46+AK48</f>
        <v>80856.743168717745</v>
      </c>
      <c r="AL49" s="1269">
        <f>AL8+AL17+AL27+AL34+AL42+AL46+AL48</f>
        <v>349.08569512807247</v>
      </c>
      <c r="AM49" s="1331" t="e">
        <f>AM46+AM42+AM34+AM27+AM17+AM8</f>
        <v>#REF!</v>
      </c>
      <c r="AN49" s="1334" t="e">
        <f>#REF!-AM49</f>
        <v>#REF!</v>
      </c>
      <c r="AO49" s="1363" t="e">
        <f t="shared" si="30"/>
        <v>#REF!</v>
      </c>
      <c r="AP49" s="1270">
        <f t="shared" ref="AP49:BF49" si="178">AP8+AP17+AP27+AP34+AP42+AP46</f>
        <v>25525.760000000002</v>
      </c>
      <c r="AQ49" s="1268">
        <f t="shared" si="178"/>
        <v>25440.449918838356</v>
      </c>
      <c r="AR49" s="1269">
        <f t="shared" si="178"/>
        <v>83.252151621438273</v>
      </c>
      <c r="AS49" s="1270">
        <f t="shared" si="178"/>
        <v>40253.669999999991</v>
      </c>
      <c r="AT49" s="1268">
        <f t="shared" si="178"/>
        <v>40114.792459398101</v>
      </c>
      <c r="AU49" s="1269">
        <f t="shared" si="178"/>
        <v>135.63874041761906</v>
      </c>
      <c r="AV49" s="1270">
        <f t="shared" ref="AV49:AX49" si="179">AV8+AV17+AV27+AV34+AV42+AV46</f>
        <v>73344.06</v>
      </c>
      <c r="AW49" s="1268">
        <f t="shared" si="179"/>
        <v>73012.944878892187</v>
      </c>
      <c r="AX49" s="1269">
        <f t="shared" si="179"/>
        <v>331.11512110780814</v>
      </c>
      <c r="AY49" s="1270">
        <f>AY8+AY17+AY27+AY34+AY42+AY46+AY47+AY48</f>
        <v>92986.85384440083</v>
      </c>
      <c r="AZ49" s="2167">
        <f t="shared" si="45"/>
        <v>1.1450718419123018</v>
      </c>
      <c r="BA49" s="1268">
        <f>BA8+BA17+BA27+BA34+BA42+BA46+BA47+BA48</f>
        <v>92737.838488540467</v>
      </c>
      <c r="BB49" s="1269">
        <f>BB8+BB17+BB27+BB34+BB42+BB46+BB48</f>
        <v>249.01535586037718</v>
      </c>
      <c r="BC49" s="1270">
        <f>BC8+BC17+BC27+BC34+BC42+BC46+BC47+BC48</f>
        <v>81331.238474047481</v>
      </c>
      <c r="BD49" s="3013">
        <f t="shared" si="39"/>
        <v>1.0015406177772732</v>
      </c>
      <c r="BE49" s="3014">
        <f>BE8+BE17+BE27+BE34+BE42+BE46+BE47+BE48</f>
        <v>81065.48104192235</v>
      </c>
      <c r="BF49" s="1269">
        <f t="shared" si="178"/>
        <v>265.7574321251206</v>
      </c>
      <c r="BG49" s="1974"/>
      <c r="BH49" s="1270">
        <f t="shared" ref="BH49:BJ49" si="180">BH8+BH17+BH27+BH34+BH42+BH46</f>
        <v>38669.27635</v>
      </c>
      <c r="BI49" s="1268">
        <f t="shared" si="180"/>
        <v>38508.235329938972</v>
      </c>
      <c r="BJ49" s="1269">
        <f t="shared" si="180"/>
        <v>158.16331991335733</v>
      </c>
      <c r="BK49" s="1270">
        <f t="shared" ref="BK49:BM49" si="181">BK8+BK17+BK27+BK34+BK42+BK46</f>
        <v>59688.815588999983</v>
      </c>
      <c r="BL49" s="1268">
        <f t="shared" si="181"/>
        <v>59435.119734529311</v>
      </c>
      <c r="BM49" s="1269">
        <f t="shared" si="181"/>
        <v>249.26987918366871</v>
      </c>
      <c r="BN49" s="1270">
        <f t="shared" ref="BN49:BP49" si="182">BN8+BN17+BN27+BN34+BN42+BN46</f>
        <v>81554.202000000005</v>
      </c>
      <c r="BO49" s="1268">
        <f t="shared" si="182"/>
        <v>81207.195393151691</v>
      </c>
      <c r="BP49" s="1269">
        <f t="shared" si="182"/>
        <v>347.00660684829899</v>
      </c>
      <c r="BQ49" s="1270">
        <f>BQ8+BQ17+BQ27+BQ34+BQ42+BQ46+BQ47+BQ48</f>
        <v>85750.930779269518</v>
      </c>
      <c r="BR49" s="2165">
        <f t="shared" si="43"/>
        <v>1.0543418788173544</v>
      </c>
      <c r="BS49" s="1268">
        <f>BS8+BS17+BS27+BS34+BS42+BS46+BS47+BS48</f>
        <v>85412.573168429793</v>
      </c>
      <c r="BT49" s="1269">
        <f>BT8+BT17+BT27+BT34+BT42+BT46+BT48</f>
        <v>338.35761083972818</v>
      </c>
      <c r="BU49" s="1270">
        <f>BU8+BU17+BU27+BU34+BU42+BU46+BU47+BU48</f>
        <v>85973.202221013722</v>
      </c>
      <c r="BV49" s="3823">
        <f t="shared" si="31"/>
        <v>1.0570747948028294</v>
      </c>
      <c r="BW49" s="3014">
        <f>BW8+BW17+BW27+BW34+BW42+BW46+BW47+BW48</f>
        <v>85653.069460888641</v>
      </c>
      <c r="BX49" s="1269">
        <f t="shared" ref="BX49:CA49" si="183">BX8+BX17+BX27+BX34+BX42+BX46</f>
        <v>320.13276012508089</v>
      </c>
      <c r="BY49" s="3946">
        <f t="shared" si="183"/>
        <v>40121.254999999997</v>
      </c>
      <c r="BZ49" s="3947">
        <f t="shared" si="183"/>
        <v>39971.938164185158</v>
      </c>
      <c r="CA49" s="3947">
        <f t="shared" si="183"/>
        <v>149.31683581483804</v>
      </c>
      <c r="CB49" s="3947">
        <f t="shared" ref="CB49:CD49" si="184">CB8+CB17+CB27+CB34+CB42+CB46</f>
        <v>60544.265999999996</v>
      </c>
      <c r="CC49" s="3947">
        <f t="shared" si="184"/>
        <v>60306.745698394247</v>
      </c>
      <c r="CD49" s="3947">
        <f t="shared" si="184"/>
        <v>237.52030160576152</v>
      </c>
      <c r="CE49" s="3947">
        <f t="shared" ref="CE49:CG49" si="185">CE8+CE17+CE27+CE34+CE42+CE46</f>
        <v>80927.815986411573</v>
      </c>
      <c r="CF49" s="3947">
        <f t="shared" si="185"/>
        <v>80590.424606879897</v>
      </c>
      <c r="CG49" s="3605">
        <f t="shared" si="185"/>
        <v>337.39137953168631</v>
      </c>
      <c r="CH49" s="1270">
        <f>CH8+CH17+CH27+CH34+CH42+CH46+CH47+CH48</f>
        <v>88176.385745329084</v>
      </c>
      <c r="CI49" s="3978">
        <f t="shared" si="32"/>
        <v>1.0256263983124831</v>
      </c>
      <c r="CJ49" s="1268">
        <f>CJ8+CJ17+CJ27+CJ34+CJ42+CJ46+CJ47+CJ48</f>
        <v>87869.968240744784</v>
      </c>
      <c r="CK49" s="1269">
        <f>CK8+CK17+CK27+CK34+CK42+CK46+CK48</f>
        <v>306.41750458431409</v>
      </c>
      <c r="CL49" s="1270">
        <f>CL8+CL17+CL27+CL34+CL42+CL46+CL47+CL48</f>
        <v>89291.182125612337</v>
      </c>
      <c r="CM49" s="4017">
        <f t="shared" si="33"/>
        <v>1.0385931873988943</v>
      </c>
      <c r="CN49" s="3014">
        <f>CN8+CN17+CN27+CN34+CN42+CN46+CN47+CN48</f>
        <v>88993.985899533087</v>
      </c>
      <c r="CO49" s="1269">
        <f t="shared" ref="CO49" si="186">CO8+CO17+CO27+CO34+CO42+CO46</f>
        <v>297.19622607925788</v>
      </c>
    </row>
    <row r="50" spans="1:93" ht="21" customHeight="1">
      <c r="A50" s="4558" t="s">
        <v>1700</v>
      </c>
      <c r="B50" s="4559"/>
      <c r="C50" s="4560"/>
      <c r="D50" s="3015"/>
      <c r="E50" s="4561"/>
      <c r="F50" s="4561"/>
      <c r="G50" s="4561"/>
      <c r="H50" s="3015"/>
      <c r="I50" s="4561"/>
      <c r="J50" s="4561"/>
      <c r="K50" s="4561"/>
      <c r="L50" s="4561"/>
      <c r="M50" s="4561"/>
      <c r="N50" s="4561"/>
      <c r="O50" s="4561"/>
      <c r="P50" s="4561"/>
      <c r="Q50" s="4561"/>
      <c r="R50" s="4561"/>
      <c r="S50" s="4561"/>
      <c r="T50" s="4561"/>
      <c r="U50" s="4561"/>
      <c r="V50" s="4562"/>
      <c r="W50" s="4563"/>
      <c r="X50" s="4564"/>
      <c r="Y50" s="4565"/>
      <c r="Z50" s="4561"/>
      <c r="AA50" s="4566"/>
      <c r="AB50" s="4565"/>
      <c r="AC50" s="4561"/>
      <c r="AD50" s="4566"/>
      <c r="AE50" s="4565"/>
      <c r="AF50" s="4561"/>
      <c r="AG50" s="4561"/>
      <c r="AH50" s="4566"/>
      <c r="AI50" s="4565"/>
      <c r="AJ50" s="4561"/>
      <c r="AK50" s="4561"/>
      <c r="AL50" s="4566"/>
      <c r="AM50" s="4567"/>
      <c r="AN50" s="4561"/>
      <c r="AO50" s="4562"/>
      <c r="AP50" s="4565"/>
      <c r="AQ50" s="4561"/>
      <c r="AR50" s="4566"/>
      <c r="AS50" s="4565"/>
      <c r="AT50" s="4561"/>
      <c r="AU50" s="4566"/>
      <c r="AV50" s="4565"/>
      <c r="AW50" s="4561"/>
      <c r="AX50" s="4566"/>
      <c r="AY50" s="4565"/>
      <c r="AZ50" s="4568"/>
      <c r="BA50" s="4561"/>
      <c r="BB50" s="4566"/>
      <c r="BC50" s="4565"/>
      <c r="BD50" s="3829"/>
      <c r="BE50" s="4561"/>
      <c r="BF50" s="4566"/>
      <c r="BG50" s="3016"/>
      <c r="BH50" s="4565"/>
      <c r="BI50" s="4561"/>
      <c r="BJ50" s="4566"/>
      <c r="BK50" s="4565"/>
      <c r="BL50" s="4561"/>
      <c r="BM50" s="4566"/>
      <c r="BN50" s="4565"/>
      <c r="BO50" s="4561"/>
      <c r="BP50" s="4566"/>
      <c r="BQ50" s="4565"/>
      <c r="BR50" s="3828"/>
      <c r="BS50" s="4561"/>
      <c r="BT50" s="4566"/>
      <c r="BU50" s="4565">
        <f>SUM(BW50)</f>
        <v>-5234.7</v>
      </c>
      <c r="BV50" s="3829"/>
      <c r="BW50" s="4561">
        <v>-5234.7</v>
      </c>
      <c r="BX50" s="4566">
        <v>0</v>
      </c>
      <c r="BY50" s="3951"/>
      <c r="BZ50" s="3952"/>
      <c r="CA50" s="3952"/>
      <c r="CB50" s="3952"/>
      <c r="CC50" s="3952"/>
      <c r="CD50" s="3952"/>
      <c r="CE50" s="3952"/>
      <c r="CF50" s="3952"/>
      <c r="CG50" s="3606"/>
      <c r="CH50" s="4565">
        <f>SUM(CJ50)</f>
        <v>5234.7</v>
      </c>
      <c r="CI50" s="3829"/>
      <c r="CJ50" s="4561">
        <v>5234.7</v>
      </c>
      <c r="CK50" s="4566"/>
      <c r="CL50" s="4565">
        <f>SUM(CN50)</f>
        <v>5234.7</v>
      </c>
      <c r="CM50" s="3829"/>
      <c r="CN50" s="4561">
        <v>5234.7</v>
      </c>
      <c r="CO50" s="4566">
        <v>0</v>
      </c>
    </row>
    <row r="51" spans="1:93" ht="78" customHeight="1">
      <c r="A51" s="4469" t="s">
        <v>1906</v>
      </c>
      <c r="B51" s="4477"/>
      <c r="C51" s="4478"/>
      <c r="D51" s="4479"/>
      <c r="E51" s="4043"/>
      <c r="F51" s="4043"/>
      <c r="G51" s="4043"/>
      <c r="H51" s="4479"/>
      <c r="I51" s="4043"/>
      <c r="J51" s="4043"/>
      <c r="K51" s="4043"/>
      <c r="L51" s="4043"/>
      <c r="M51" s="4043"/>
      <c r="N51" s="4043"/>
      <c r="O51" s="4043"/>
      <c r="P51" s="4043"/>
      <c r="Q51" s="4043"/>
      <c r="R51" s="4043"/>
      <c r="S51" s="4043"/>
      <c r="T51" s="4043"/>
      <c r="U51" s="4043"/>
      <c r="V51" s="4466"/>
      <c r="W51" s="4460"/>
      <c r="X51" s="4465"/>
      <c r="Y51" s="4095"/>
      <c r="Z51" s="4043"/>
      <c r="AA51" s="4044"/>
      <c r="AB51" s="4095"/>
      <c r="AC51" s="4043"/>
      <c r="AD51" s="4044"/>
      <c r="AE51" s="4095"/>
      <c r="AF51" s="4043"/>
      <c r="AG51" s="4043"/>
      <c r="AH51" s="4044"/>
      <c r="AI51" s="4095"/>
      <c r="AJ51" s="4043"/>
      <c r="AK51" s="4043"/>
      <c r="AL51" s="4044"/>
      <c r="AM51" s="4464"/>
      <c r="AN51" s="4043"/>
      <c r="AO51" s="4466"/>
      <c r="AP51" s="4095"/>
      <c r="AQ51" s="4043"/>
      <c r="AR51" s="4044"/>
      <c r="AS51" s="4095"/>
      <c r="AT51" s="4043"/>
      <c r="AU51" s="4044"/>
      <c r="AV51" s="4095"/>
      <c r="AW51" s="4043"/>
      <c r="AX51" s="4044"/>
      <c r="AY51" s="4095"/>
      <c r="AZ51" s="4480"/>
      <c r="BA51" s="4043"/>
      <c r="BB51" s="4044"/>
      <c r="BC51" s="4095"/>
      <c r="BD51" s="4481"/>
      <c r="BE51" s="4043"/>
      <c r="BF51" s="4044"/>
      <c r="BG51" s="4482"/>
      <c r="BH51" s="4095"/>
      <c r="BI51" s="4043"/>
      <c r="BJ51" s="4044"/>
      <c r="BK51" s="4095"/>
      <c r="BL51" s="4043"/>
      <c r="BM51" s="4044"/>
      <c r="BN51" s="4095"/>
      <c r="BO51" s="4043"/>
      <c r="BP51" s="4044"/>
      <c r="BQ51" s="4095"/>
      <c r="BR51" s="3978"/>
      <c r="BS51" s="4043"/>
      <c r="BT51" s="4044"/>
      <c r="BU51" s="4095"/>
      <c r="BV51" s="4483"/>
      <c r="BW51" s="4043"/>
      <c r="BX51" s="4044"/>
      <c r="BY51" s="3946"/>
      <c r="BZ51" s="3947"/>
      <c r="CA51" s="3947"/>
      <c r="CB51" s="3947"/>
      <c r="CC51" s="3947"/>
      <c r="CD51" s="3947"/>
      <c r="CE51" s="3947"/>
      <c r="CF51" s="3947"/>
      <c r="CG51" s="3605"/>
      <c r="CH51" s="4095"/>
      <c r="CI51" s="4483"/>
      <c r="CJ51" s="4043"/>
      <c r="CK51" s="4044"/>
      <c r="CL51" s="4040">
        <f>SUM(CN51:CO51)</f>
        <v>9553.14</v>
      </c>
      <c r="CM51" s="4483"/>
      <c r="CN51" s="4041">
        <v>9580.73</v>
      </c>
      <c r="CO51" s="3747">
        <v>-27.59</v>
      </c>
    </row>
    <row r="52" spans="1:93" ht="75.75" customHeight="1">
      <c r="A52" s="4469" t="s">
        <v>1907</v>
      </c>
      <c r="B52" s="4477"/>
      <c r="C52" s="4478"/>
      <c r="D52" s="4479"/>
      <c r="E52" s="4043"/>
      <c r="F52" s="4043"/>
      <c r="G52" s="4043"/>
      <c r="H52" s="4479"/>
      <c r="I52" s="4043"/>
      <c r="J52" s="4043"/>
      <c r="K52" s="4043"/>
      <c r="L52" s="4043"/>
      <c r="M52" s="4043"/>
      <c r="N52" s="4043"/>
      <c r="O52" s="4043"/>
      <c r="P52" s="4043"/>
      <c r="Q52" s="4043"/>
      <c r="R52" s="4043"/>
      <c r="S52" s="4043"/>
      <c r="T52" s="4043"/>
      <c r="U52" s="4043"/>
      <c r="V52" s="4466"/>
      <c r="W52" s="4460"/>
      <c r="X52" s="4465"/>
      <c r="Y52" s="4095"/>
      <c r="Z52" s="4043"/>
      <c r="AA52" s="4044"/>
      <c r="AB52" s="4095"/>
      <c r="AC52" s="4043"/>
      <c r="AD52" s="4044"/>
      <c r="AE52" s="4095"/>
      <c r="AF52" s="4043"/>
      <c r="AG52" s="4043"/>
      <c r="AH52" s="4044"/>
      <c r="AI52" s="4095"/>
      <c r="AJ52" s="4043"/>
      <c r="AK52" s="4043"/>
      <c r="AL52" s="4044"/>
      <c r="AM52" s="4464"/>
      <c r="AN52" s="4043"/>
      <c r="AO52" s="4466"/>
      <c r="AP52" s="4095"/>
      <c r="AQ52" s="4043"/>
      <c r="AR52" s="4044"/>
      <c r="AS52" s="4095"/>
      <c r="AT52" s="4043"/>
      <c r="AU52" s="4044"/>
      <c r="AV52" s="4095"/>
      <c r="AW52" s="4043"/>
      <c r="AX52" s="4044"/>
      <c r="AY52" s="4095"/>
      <c r="AZ52" s="4480"/>
      <c r="BA52" s="4043"/>
      <c r="BB52" s="4044"/>
      <c r="BC52" s="4095"/>
      <c r="BD52" s="4481"/>
      <c r="BE52" s="4043"/>
      <c r="BF52" s="4044"/>
      <c r="BG52" s="4482"/>
      <c r="BH52" s="4095"/>
      <c r="BI52" s="4043"/>
      <c r="BJ52" s="4044"/>
      <c r="BK52" s="4095"/>
      <c r="BL52" s="4043"/>
      <c r="BM52" s="4044"/>
      <c r="BN52" s="4095"/>
      <c r="BO52" s="4043"/>
      <c r="BP52" s="4044"/>
      <c r="BQ52" s="4095"/>
      <c r="BR52" s="3978"/>
      <c r="BS52" s="4043"/>
      <c r="BT52" s="4044"/>
      <c r="BU52" s="4095"/>
      <c r="BV52" s="4483"/>
      <c r="BW52" s="4043"/>
      <c r="BX52" s="4044"/>
      <c r="BY52" s="3946"/>
      <c r="BZ52" s="3947"/>
      <c r="CA52" s="3947"/>
      <c r="CB52" s="3947"/>
      <c r="CC52" s="3947"/>
      <c r="CD52" s="3947"/>
      <c r="CE52" s="3947"/>
      <c r="CF52" s="3947"/>
      <c r="CG52" s="3605"/>
      <c r="CH52" s="4095"/>
      <c r="CI52" s="4483"/>
      <c r="CJ52" s="4043"/>
      <c r="CK52" s="4044"/>
      <c r="CL52" s="4040">
        <f t="shared" ref="CL52:CL54" si="187">SUM(CN52:CO52)</f>
        <v>0</v>
      </c>
      <c r="CM52" s="4483"/>
      <c r="CN52" s="4043"/>
      <c r="CO52" s="4044"/>
    </row>
    <row r="53" spans="1:93" ht="354" customHeight="1">
      <c r="A53" s="4470" t="s">
        <v>1908</v>
      </c>
      <c r="B53" s="4477"/>
      <c r="C53" s="4478"/>
      <c r="D53" s="4479"/>
      <c r="E53" s="4043"/>
      <c r="F53" s="4043"/>
      <c r="G53" s="4043"/>
      <c r="H53" s="4479"/>
      <c r="I53" s="4043"/>
      <c r="J53" s="4043"/>
      <c r="K53" s="4043"/>
      <c r="L53" s="4043"/>
      <c r="M53" s="4043"/>
      <c r="N53" s="4043"/>
      <c r="O53" s="4043"/>
      <c r="P53" s="4043"/>
      <c r="Q53" s="4043"/>
      <c r="R53" s="4043"/>
      <c r="S53" s="4043"/>
      <c r="T53" s="4043"/>
      <c r="U53" s="4043"/>
      <c r="V53" s="4466"/>
      <c r="W53" s="4460"/>
      <c r="X53" s="4465"/>
      <c r="Y53" s="4095"/>
      <c r="Z53" s="4043"/>
      <c r="AA53" s="4044"/>
      <c r="AB53" s="4095"/>
      <c r="AC53" s="4043"/>
      <c r="AD53" s="4044"/>
      <c r="AE53" s="4095"/>
      <c r="AF53" s="4043"/>
      <c r="AG53" s="4043"/>
      <c r="AH53" s="4044"/>
      <c r="AI53" s="4095"/>
      <c r="AJ53" s="4043"/>
      <c r="AK53" s="4043"/>
      <c r="AL53" s="4044"/>
      <c r="AM53" s="4464"/>
      <c r="AN53" s="4043"/>
      <c r="AO53" s="4466"/>
      <c r="AP53" s="4095"/>
      <c r="AQ53" s="4043"/>
      <c r="AR53" s="4044"/>
      <c r="AS53" s="4095"/>
      <c r="AT53" s="4043"/>
      <c r="AU53" s="4044"/>
      <c r="AV53" s="4095"/>
      <c r="AW53" s="4043"/>
      <c r="AX53" s="4044"/>
      <c r="AY53" s="4095"/>
      <c r="AZ53" s="4480"/>
      <c r="BA53" s="4043"/>
      <c r="BB53" s="4044"/>
      <c r="BC53" s="4095"/>
      <c r="BD53" s="4481"/>
      <c r="BE53" s="4043"/>
      <c r="BF53" s="4044"/>
      <c r="BG53" s="4482"/>
      <c r="BH53" s="4095"/>
      <c r="BI53" s="4043"/>
      <c r="BJ53" s="4044"/>
      <c r="BK53" s="4095"/>
      <c r="BL53" s="4043"/>
      <c r="BM53" s="4044"/>
      <c r="BN53" s="4095"/>
      <c r="BO53" s="4043"/>
      <c r="BP53" s="4044"/>
      <c r="BQ53" s="4095"/>
      <c r="BR53" s="3978"/>
      <c r="BS53" s="4043"/>
      <c r="BT53" s="4044"/>
      <c r="BU53" s="4095"/>
      <c r="BV53" s="4483"/>
      <c r="BW53" s="4043"/>
      <c r="BX53" s="4044"/>
      <c r="BY53" s="3946"/>
      <c r="BZ53" s="3947"/>
      <c r="CA53" s="3947"/>
      <c r="CB53" s="3947"/>
      <c r="CC53" s="3947"/>
      <c r="CD53" s="3947"/>
      <c r="CE53" s="3947"/>
      <c r="CF53" s="3947"/>
      <c r="CG53" s="3605"/>
      <c r="CH53" s="4095"/>
      <c r="CI53" s="4483"/>
      <c r="CJ53" s="4043"/>
      <c r="CK53" s="4044"/>
      <c r="CL53" s="4040">
        <f t="shared" si="187"/>
        <v>-917.12</v>
      </c>
      <c r="CM53" s="4483"/>
      <c r="CN53" s="4041">
        <v>-917.12</v>
      </c>
      <c r="CO53" s="4044"/>
    </row>
    <row r="54" spans="1:93" ht="21" customHeight="1">
      <c r="A54" s="4471" t="s">
        <v>1909</v>
      </c>
      <c r="B54" s="4477"/>
      <c r="C54" s="4478"/>
      <c r="D54" s="4479"/>
      <c r="E54" s="4043"/>
      <c r="F54" s="4043"/>
      <c r="G54" s="4043"/>
      <c r="H54" s="4479"/>
      <c r="I54" s="4043"/>
      <c r="J54" s="4043"/>
      <c r="K54" s="4043"/>
      <c r="L54" s="4043"/>
      <c r="M54" s="4043"/>
      <c r="N54" s="4043"/>
      <c r="O54" s="4043"/>
      <c r="P54" s="4043"/>
      <c r="Q54" s="4043"/>
      <c r="R54" s="4043"/>
      <c r="S54" s="4043"/>
      <c r="T54" s="4043"/>
      <c r="U54" s="4043"/>
      <c r="V54" s="4466"/>
      <c r="W54" s="4460"/>
      <c r="X54" s="4465"/>
      <c r="Y54" s="4095"/>
      <c r="Z54" s="4043"/>
      <c r="AA54" s="4044"/>
      <c r="AB54" s="4095"/>
      <c r="AC54" s="4043"/>
      <c r="AD54" s="4044"/>
      <c r="AE54" s="4095"/>
      <c r="AF54" s="4043"/>
      <c r="AG54" s="4043"/>
      <c r="AH54" s="4044"/>
      <c r="AI54" s="4095"/>
      <c r="AJ54" s="4043"/>
      <c r="AK54" s="4043"/>
      <c r="AL54" s="4044"/>
      <c r="AM54" s="4464"/>
      <c r="AN54" s="4043"/>
      <c r="AO54" s="4466"/>
      <c r="AP54" s="4095"/>
      <c r="AQ54" s="4043"/>
      <c r="AR54" s="4044"/>
      <c r="AS54" s="4095"/>
      <c r="AT54" s="4043"/>
      <c r="AU54" s="4044"/>
      <c r="AV54" s="4095"/>
      <c r="AW54" s="4043"/>
      <c r="AX54" s="4044"/>
      <c r="AY54" s="4095"/>
      <c r="AZ54" s="4480"/>
      <c r="BA54" s="4043"/>
      <c r="BB54" s="4044"/>
      <c r="BC54" s="4095"/>
      <c r="BD54" s="4481"/>
      <c r="BE54" s="4043"/>
      <c r="BF54" s="4044"/>
      <c r="BG54" s="4482"/>
      <c r="BH54" s="4095"/>
      <c r="BI54" s="4043"/>
      <c r="BJ54" s="4044"/>
      <c r="BK54" s="4095"/>
      <c r="BL54" s="4043"/>
      <c r="BM54" s="4044"/>
      <c r="BN54" s="4095"/>
      <c r="BO54" s="4043"/>
      <c r="BP54" s="4044"/>
      <c r="BQ54" s="4095"/>
      <c r="BR54" s="3978"/>
      <c r="BS54" s="4043"/>
      <c r="BT54" s="4044"/>
      <c r="BU54" s="4095"/>
      <c r="BV54" s="4483"/>
      <c r="BW54" s="4043"/>
      <c r="BX54" s="4044"/>
      <c r="BY54" s="3946"/>
      <c r="BZ54" s="3947"/>
      <c r="CA54" s="3947"/>
      <c r="CB54" s="3947"/>
      <c r="CC54" s="3947"/>
      <c r="CD54" s="3947"/>
      <c r="CE54" s="3947"/>
      <c r="CF54" s="3947"/>
      <c r="CG54" s="3605"/>
      <c r="CH54" s="4095"/>
      <c r="CI54" s="4483"/>
      <c r="CJ54" s="4043"/>
      <c r="CK54" s="4044"/>
      <c r="CL54" s="4095">
        <f t="shared" si="187"/>
        <v>103161.90212561234</v>
      </c>
      <c r="CM54" s="4481"/>
      <c r="CN54" s="4043">
        <f>SUM(CN49+CN50+CN51+CN52+CN53)</f>
        <v>102892.29589953308</v>
      </c>
      <c r="CO54" s="4044">
        <f>SUM(CO49+CO50+CO51+CO52+CO53)</f>
        <v>269.60622607925791</v>
      </c>
    </row>
    <row r="55" spans="1:93" ht="21" customHeight="1">
      <c r="A55" s="1285" t="s">
        <v>13</v>
      </c>
      <c r="B55" s="1352">
        <f>объемы!B22</f>
        <v>4738.2</v>
      </c>
      <c r="C55" s="1353">
        <f>объемы!C22</f>
        <v>4585.8</v>
      </c>
      <c r="D55" s="1355">
        <f>C55/B55*100</f>
        <v>96.783588704571372</v>
      </c>
      <c r="E55" s="1334">
        <f>объемы!E22</f>
        <v>4415.2</v>
      </c>
      <c r="F55" s="1334">
        <f>E55/C55*100</f>
        <v>96.279820314885072</v>
      </c>
      <c r="G55" s="1334">
        <f>объемы!F22</f>
        <v>4093.2000000000003</v>
      </c>
      <c r="H55" s="1355">
        <f t="shared" si="2"/>
        <v>92.707012139880419</v>
      </c>
      <c r="I55" s="1334">
        <v>4224.5</v>
      </c>
      <c r="J55" s="1334" t="e">
        <f>объемы!#REF!</f>
        <v>#REF!</v>
      </c>
      <c r="K55" s="1334">
        <f>объемы!J22</f>
        <v>2958.3</v>
      </c>
      <c r="L55" s="1334">
        <v>4006.6</v>
      </c>
      <c r="M55" s="1334">
        <f t="shared" si="24"/>
        <v>97.884295905404073</v>
      </c>
      <c r="N55" s="1334">
        <f>объемы!K22</f>
        <v>3695</v>
      </c>
      <c r="O55" s="1334">
        <f t="shared" si="25"/>
        <v>87.46597230441472</v>
      </c>
      <c r="P55" s="1334" t="e">
        <f>объемы!#REF!</f>
        <v>#REF!</v>
      </c>
      <c r="Q55" s="1334" t="e">
        <f t="shared" si="26"/>
        <v>#REF!</v>
      </c>
      <c r="R55" s="1334" t="e">
        <f>P55/L55*100</f>
        <v>#REF!</v>
      </c>
      <c r="S55" s="1334" t="e">
        <f>P55-T55</f>
        <v>#REF!</v>
      </c>
      <c r="T55" s="1334">
        <v>28</v>
      </c>
      <c r="U55" s="1334" t="e">
        <f>объемы!#REF!</f>
        <v>#REF!</v>
      </c>
      <c r="V55" s="1363">
        <f>объемы!AA22</f>
        <v>3805.3</v>
      </c>
      <c r="W55" s="1298">
        <f>объемы!E58</f>
        <v>3600</v>
      </c>
      <c r="X55" s="1375"/>
      <c r="Y55" s="1270">
        <f>объемы!F58</f>
        <v>3672.7</v>
      </c>
      <c r="Z55" s="1268">
        <f>Y55-AA55</f>
        <v>3644.7</v>
      </c>
      <c r="AA55" s="1269">
        <f>объемы!F61</f>
        <v>28</v>
      </c>
      <c r="AB55" s="1270">
        <f>SUM(объемы!I58)</f>
        <v>3476.2</v>
      </c>
      <c r="AC55" s="1268">
        <f>AB55-AD55</f>
        <v>3446</v>
      </c>
      <c r="AD55" s="1269">
        <f>SUM(объемы!I61)</f>
        <v>30.2</v>
      </c>
      <c r="AE55" s="1270">
        <v>3672.7</v>
      </c>
      <c r="AF55" s="1268">
        <f t="shared" si="28"/>
        <v>1</v>
      </c>
      <c r="AG55" s="1268">
        <v>3644.7</v>
      </c>
      <c r="AH55" s="1269">
        <v>28</v>
      </c>
      <c r="AI55" s="1270">
        <f>SUM(AK55:AL55)</f>
        <v>3672.7</v>
      </c>
      <c r="AJ55" s="1268">
        <f t="shared" si="29"/>
        <v>1</v>
      </c>
      <c r="AK55" s="1268">
        <f>объемы!K58-объемы!K61</f>
        <v>3644.7</v>
      </c>
      <c r="AL55" s="1269">
        <v>28</v>
      </c>
      <c r="AM55" s="1331" t="e">
        <f>#REF!</f>
        <v>#REF!</v>
      </c>
      <c r="AN55" s="1334" t="e">
        <f>#REF!-AM55</f>
        <v>#REF!</v>
      </c>
      <c r="AO55" s="1363" t="e">
        <f t="shared" si="30"/>
        <v>#REF!</v>
      </c>
      <c r="AP55" s="1270">
        <f>SUM(объемы!N58)</f>
        <v>1670.74</v>
      </c>
      <c r="AQ55" s="1268">
        <f>AP55-AR55</f>
        <v>1661.07</v>
      </c>
      <c r="AR55" s="1269">
        <f>SUM(объемы!N61)</f>
        <v>9.67</v>
      </c>
      <c r="AS55" s="1270">
        <f>объемы!P58+объемы!Q58</f>
        <v>2409.37</v>
      </c>
      <c r="AT55" s="1268">
        <f>AS55-AU55</f>
        <v>2395.17</v>
      </c>
      <c r="AU55" s="1269">
        <f>SUM(объемы!Q61)</f>
        <v>14.2</v>
      </c>
      <c r="AV55" s="1270">
        <f>SUM(объемы!R58+объемы!S58)</f>
        <v>3209.95</v>
      </c>
      <c r="AW55" s="1268">
        <f>AV55-AX55</f>
        <v>3186.5699999999997</v>
      </c>
      <c r="AX55" s="1269">
        <f>SUM(объемы!S58)</f>
        <v>23.38</v>
      </c>
      <c r="AY55" s="1270">
        <f>SUM(объемы!T58)</f>
        <v>3463.9333333333334</v>
      </c>
      <c r="AZ55" s="2167">
        <f t="shared" si="45"/>
        <v>0.94315716865884325</v>
      </c>
      <c r="BA55" s="1268">
        <f>AY55-BB55</f>
        <v>3445</v>
      </c>
      <c r="BB55" s="1269">
        <f>SUM(объемы!T61)</f>
        <v>18.933333333333334</v>
      </c>
      <c r="BC55" s="1270">
        <f>объемы!U58+объемы!V58</f>
        <v>3463.9333333333334</v>
      </c>
      <c r="BD55" s="1307">
        <f t="shared" si="39"/>
        <v>0.94315716865884325</v>
      </c>
      <c r="BE55" s="1268">
        <f>BC55-BF55</f>
        <v>3445</v>
      </c>
      <c r="BF55" s="1269">
        <f>объемы!V58</f>
        <v>18.933333333333334</v>
      </c>
      <c r="BG55" s="1974"/>
      <c r="BH55" s="1270">
        <f>SUM(объемы!AA58)</f>
        <v>1577.71</v>
      </c>
      <c r="BI55" s="1268">
        <f>BH55-BJ55</f>
        <v>1567.48</v>
      </c>
      <c r="BJ55" s="1269">
        <f>SUM(объемы!AA61)</f>
        <v>10.23</v>
      </c>
      <c r="BK55" s="1270">
        <f>SUM(объемы!AB58)</f>
        <v>2304.86</v>
      </c>
      <c r="BL55" s="1268">
        <f>BK55-BM55</f>
        <v>2289.52</v>
      </c>
      <c r="BM55" s="1269">
        <f>SUM(объемы!AB61)</f>
        <v>15.34</v>
      </c>
      <c r="BN55" s="1270">
        <f>SUM(объемы!AC58)</f>
        <v>3061.4900000000002</v>
      </c>
      <c r="BO55" s="1268">
        <f>BN55-BP55</f>
        <v>3040.84</v>
      </c>
      <c r="BP55" s="1269">
        <f>SUM(объемы!AC61)</f>
        <v>20.65</v>
      </c>
      <c r="BQ55" s="1270">
        <f>SUM(объемы!AD58)</f>
        <v>3223</v>
      </c>
      <c r="BR55" s="2165">
        <f t="shared" si="43"/>
        <v>0.93044515868280753</v>
      </c>
      <c r="BS55" s="1268">
        <f>BQ55-BT55</f>
        <v>3200</v>
      </c>
      <c r="BT55" s="1269">
        <f>SUM(объемы!AD61)</f>
        <v>23</v>
      </c>
      <c r="BU55" s="1270">
        <f>SUM(BW55:BX55)</f>
        <v>3295.75</v>
      </c>
      <c r="BV55" s="3822">
        <f t="shared" si="31"/>
        <v>0.9514472949825824</v>
      </c>
      <c r="BW55" s="1268">
        <f>SUM(объемы!AE58-объемы!AE61)</f>
        <v>3272.75</v>
      </c>
      <c r="BX55" s="1269">
        <f>SUM(объемы!AE61)</f>
        <v>23</v>
      </c>
      <c r="BY55" s="3946">
        <f>SUM(объемы!AF58)</f>
        <v>1601.85</v>
      </c>
      <c r="BZ55" s="3947">
        <f>BY55-CA55</f>
        <v>1592.56</v>
      </c>
      <c r="CA55" s="3947">
        <f>SUM(объемы!AF61)</f>
        <v>9.2899999999999991</v>
      </c>
      <c r="CB55" s="3947">
        <f>SUM(CC55:CD55)</f>
        <v>2339.08</v>
      </c>
      <c r="CC55" s="3947">
        <f>SUM(объемы!AG58-объемы!AG61)</f>
        <v>2324.85</v>
      </c>
      <c r="CD55" s="3947">
        <f>SUM(объемы!AG61)</f>
        <v>14.23</v>
      </c>
      <c r="CE55" s="3947">
        <f>SUM(CF55:CG55)</f>
        <v>3100</v>
      </c>
      <c r="CF55" s="3947">
        <f>SUM(объемы!AH58-объемы!AH61)</f>
        <v>3080</v>
      </c>
      <c r="CG55" s="3605">
        <f>SUM(объемы!AH61)</f>
        <v>20</v>
      </c>
      <c r="CH55" s="1270">
        <f>SUM(объемы!AI58)</f>
        <v>3253</v>
      </c>
      <c r="CI55" s="3978">
        <f t="shared" si="32"/>
        <v>0.98702874914662819</v>
      </c>
      <c r="CJ55" s="1268">
        <f>SUM(объемы!AI58-объемы!AI61)</f>
        <v>3230</v>
      </c>
      <c r="CK55" s="1269">
        <f>SUM(объемы!AI61)</f>
        <v>23</v>
      </c>
      <c r="CL55" s="1270">
        <f>SUM(CN55:CO55)</f>
        <v>3248.93</v>
      </c>
      <c r="CM55" s="4017">
        <f t="shared" si="33"/>
        <v>0.98579382538117266</v>
      </c>
      <c r="CN55" s="1268">
        <f>SUM(объемы!AJ58-объемы!AJ61)</f>
        <v>3230</v>
      </c>
      <c r="CO55" s="1269">
        <f>SUM(объемы!AJ61)</f>
        <v>18.93</v>
      </c>
    </row>
    <row r="56" spans="1:93" ht="21" hidden="1" customHeight="1">
      <c r="A56" s="1340" t="s">
        <v>114</v>
      </c>
      <c r="B56" s="1352"/>
      <c r="C56" s="1353"/>
      <c r="D56" s="1355"/>
      <c r="E56" s="1334"/>
      <c r="F56" s="1334"/>
      <c r="G56" s="1334"/>
      <c r="H56" s="1355"/>
      <c r="I56" s="1334">
        <v>28</v>
      </c>
      <c r="J56" s="1334"/>
      <c r="K56" s="1334"/>
      <c r="L56" s="1334"/>
      <c r="M56" s="1334" t="e">
        <f t="shared" si="24"/>
        <v>#DIV/0!</v>
      </c>
      <c r="N56" s="1334"/>
      <c r="O56" s="1334"/>
      <c r="P56" s="1334" t="e">
        <f>объемы!#REF!</f>
        <v>#REF!</v>
      </c>
      <c r="Q56" s="1334" t="e">
        <f t="shared" si="26"/>
        <v>#REF!</v>
      </c>
      <c r="R56" s="1334"/>
      <c r="S56" s="1334"/>
      <c r="T56" s="1334"/>
      <c r="U56" s="1334"/>
      <c r="V56" s="1363"/>
      <c r="W56" s="1298"/>
      <c r="X56" s="1375"/>
      <c r="Y56" s="1270"/>
      <c r="Z56" s="1268"/>
      <c r="AA56" s="1269"/>
      <c r="AB56" s="1270"/>
      <c r="AC56" s="1268"/>
      <c r="AD56" s="1269"/>
      <c r="AE56" s="1270"/>
      <c r="AF56" s="1268" t="e">
        <f t="shared" si="28"/>
        <v>#DIV/0!</v>
      </c>
      <c r="AG56" s="1268"/>
      <c r="AH56" s="1269"/>
      <c r="AI56" s="1270"/>
      <c r="AJ56" s="1268" t="e">
        <f t="shared" si="29"/>
        <v>#DIV/0!</v>
      </c>
      <c r="AK56" s="1268"/>
      <c r="AL56" s="1269"/>
      <c r="AM56" s="1331" t="e">
        <f>#REF!*Z56/Y56</f>
        <v>#REF!</v>
      </c>
      <c r="AN56" s="1334" t="e">
        <f>#REF!-AM56</f>
        <v>#REF!</v>
      </c>
      <c r="AO56" s="1363" t="e">
        <f t="shared" si="30"/>
        <v>#REF!</v>
      </c>
      <c r="AP56" s="1270"/>
      <c r="AQ56" s="1268"/>
      <c r="AR56" s="1269"/>
      <c r="AS56" s="1270"/>
      <c r="AT56" s="1268"/>
      <c r="AU56" s="1269"/>
      <c r="AV56" s="1270"/>
      <c r="AW56" s="1268"/>
      <c r="AX56" s="1269"/>
      <c r="AY56" s="1270"/>
      <c r="AZ56" s="2167" t="e">
        <f t="shared" si="45"/>
        <v>#DIV/0!</v>
      </c>
      <c r="BA56" s="1268"/>
      <c r="BB56" s="1269"/>
      <c r="BC56" s="1270"/>
      <c r="BD56" s="1307" t="e">
        <f t="shared" si="39"/>
        <v>#DIV/0!</v>
      </c>
      <c r="BE56" s="1268"/>
      <c r="BF56" s="1269"/>
      <c r="BG56" s="1974"/>
      <c r="BH56" s="1270"/>
      <c r="BI56" s="1268"/>
      <c r="BJ56" s="1269"/>
      <c r="BK56" s="1270"/>
      <c r="BL56" s="1268"/>
      <c r="BM56" s="1269"/>
      <c r="BN56" s="1270"/>
      <c r="BO56" s="1268"/>
      <c r="BP56" s="1269"/>
      <c r="BQ56" s="1270"/>
      <c r="BR56" s="2165" t="e">
        <f t="shared" si="43"/>
        <v>#DIV/0!</v>
      </c>
      <c r="BS56" s="1268"/>
      <c r="BT56" s="1269"/>
      <c r="BU56" s="1270"/>
      <c r="BV56" s="3822" t="e">
        <f t="shared" si="31"/>
        <v>#DIV/0!</v>
      </c>
      <c r="BW56" s="1268"/>
      <c r="BX56" s="1269"/>
      <c r="BY56" s="3946"/>
      <c r="BZ56" s="3947"/>
      <c r="CA56" s="3947"/>
      <c r="CB56" s="3947"/>
      <c r="CC56" s="3947"/>
      <c r="CD56" s="3947"/>
      <c r="CE56" s="3947"/>
      <c r="CF56" s="3947"/>
      <c r="CG56" s="3605"/>
      <c r="CH56" s="1270"/>
      <c r="CI56" s="3978" t="e">
        <f t="shared" si="32"/>
        <v>#DIV/0!</v>
      </c>
      <c r="CJ56" s="1268"/>
      <c r="CK56" s="1269"/>
      <c r="CL56" s="1270"/>
      <c r="CM56" s="4017" t="e">
        <f t="shared" si="33"/>
        <v>#DIV/0!</v>
      </c>
      <c r="CN56" s="1268"/>
      <c r="CO56" s="1269"/>
    </row>
    <row r="57" spans="1:93" ht="21" hidden="1" customHeight="1">
      <c r="A57" s="1340" t="s">
        <v>119</v>
      </c>
      <c r="B57" s="1352"/>
      <c r="C57" s="1353"/>
      <c r="D57" s="1355"/>
      <c r="E57" s="1334"/>
      <c r="F57" s="1334"/>
      <c r="G57" s="1334"/>
      <c r="H57" s="1355"/>
      <c r="I57" s="1334">
        <f>I55-I56</f>
        <v>4196.5</v>
      </c>
      <c r="J57" s="1334"/>
      <c r="K57" s="1334"/>
      <c r="L57" s="1334"/>
      <c r="M57" s="1334" t="e">
        <f t="shared" si="24"/>
        <v>#DIV/0!</v>
      </c>
      <c r="N57" s="1334"/>
      <c r="O57" s="1334"/>
      <c r="P57" s="1334" t="e">
        <f>P55-P56</f>
        <v>#REF!</v>
      </c>
      <c r="Q57" s="1334" t="e">
        <f t="shared" si="26"/>
        <v>#REF!</v>
      </c>
      <c r="R57" s="1334"/>
      <c r="S57" s="1334"/>
      <c r="T57" s="1334"/>
      <c r="U57" s="1334"/>
      <c r="V57" s="1363"/>
      <c r="W57" s="1298"/>
      <c r="X57" s="1375"/>
      <c r="Y57" s="1270"/>
      <c r="Z57" s="1268"/>
      <c r="AA57" s="1269"/>
      <c r="AB57" s="1270"/>
      <c r="AC57" s="1268"/>
      <c r="AD57" s="1269"/>
      <c r="AE57" s="1270"/>
      <c r="AF57" s="1268" t="e">
        <f t="shared" si="28"/>
        <v>#DIV/0!</v>
      </c>
      <c r="AG57" s="1268"/>
      <c r="AH57" s="1269"/>
      <c r="AI57" s="1270"/>
      <c r="AJ57" s="1268" t="e">
        <f t="shared" si="29"/>
        <v>#DIV/0!</v>
      </c>
      <c r="AK57" s="1268"/>
      <c r="AL57" s="1269"/>
      <c r="AM57" s="1331" t="e">
        <f>#REF!*Z57/Y57</f>
        <v>#REF!</v>
      </c>
      <c r="AN57" s="1334" t="e">
        <f>#REF!-AM57</f>
        <v>#REF!</v>
      </c>
      <c r="AO57" s="1363" t="e">
        <f t="shared" si="30"/>
        <v>#REF!</v>
      </c>
      <c r="AP57" s="1270"/>
      <c r="AQ57" s="1268"/>
      <c r="AR57" s="1269"/>
      <c r="AS57" s="1270"/>
      <c r="AT57" s="1268"/>
      <c r="AU57" s="1269"/>
      <c r="AV57" s="1270"/>
      <c r="AW57" s="1268"/>
      <c r="AX57" s="1269"/>
      <c r="AY57" s="1270"/>
      <c r="AZ57" s="2167" t="e">
        <f t="shared" si="45"/>
        <v>#DIV/0!</v>
      </c>
      <c r="BA57" s="1268"/>
      <c r="BB57" s="1269"/>
      <c r="BC57" s="1270"/>
      <c r="BD57" s="1307" t="e">
        <f t="shared" si="39"/>
        <v>#DIV/0!</v>
      </c>
      <c r="BE57" s="1268"/>
      <c r="BF57" s="1269"/>
      <c r="BG57" s="1974"/>
      <c r="BH57" s="1270"/>
      <c r="BI57" s="1268"/>
      <c r="BJ57" s="1269"/>
      <c r="BK57" s="1270"/>
      <c r="BL57" s="1268"/>
      <c r="BM57" s="1269"/>
      <c r="BN57" s="1270"/>
      <c r="BO57" s="1268"/>
      <c r="BP57" s="1269"/>
      <c r="BQ57" s="1270"/>
      <c r="BR57" s="2165" t="e">
        <f t="shared" si="43"/>
        <v>#DIV/0!</v>
      </c>
      <c r="BS57" s="1268"/>
      <c r="BT57" s="1269"/>
      <c r="BU57" s="1270"/>
      <c r="BV57" s="3822" t="e">
        <f t="shared" si="31"/>
        <v>#DIV/0!</v>
      </c>
      <c r="BW57" s="1268"/>
      <c r="BX57" s="1269"/>
      <c r="BY57" s="3946"/>
      <c r="BZ57" s="3947"/>
      <c r="CA57" s="3947"/>
      <c r="CB57" s="3947"/>
      <c r="CC57" s="3947"/>
      <c r="CD57" s="3947"/>
      <c r="CE57" s="3947"/>
      <c r="CF57" s="3947"/>
      <c r="CG57" s="3605"/>
      <c r="CH57" s="1270"/>
      <c r="CI57" s="3978" t="e">
        <f t="shared" si="32"/>
        <v>#DIV/0!</v>
      </c>
      <c r="CJ57" s="1268"/>
      <c r="CK57" s="1269"/>
      <c r="CL57" s="1270"/>
      <c r="CM57" s="4017" t="e">
        <f t="shared" si="33"/>
        <v>#DIV/0!</v>
      </c>
      <c r="CN57" s="1268"/>
      <c r="CO57" s="1269"/>
    </row>
    <row r="58" spans="1:93" ht="21" hidden="1" customHeight="1">
      <c r="A58" s="1340" t="s">
        <v>115</v>
      </c>
      <c r="B58" s="1352"/>
      <c r="C58" s="1353"/>
      <c r="D58" s="1355"/>
      <c r="E58" s="1334"/>
      <c r="F58" s="1334"/>
      <c r="G58" s="1334"/>
      <c r="H58" s="1355"/>
      <c r="I58" s="1334">
        <v>268.52</v>
      </c>
      <c r="J58" s="1334"/>
      <c r="K58" s="1334"/>
      <c r="L58" s="1334"/>
      <c r="M58" s="1334" t="e">
        <f t="shared" si="24"/>
        <v>#DIV/0!</v>
      </c>
      <c r="N58" s="1334"/>
      <c r="O58" s="1334"/>
      <c r="P58" s="1334">
        <f>10.07*27</f>
        <v>271.89</v>
      </c>
      <c r="Q58" s="1334">
        <f t="shared" si="26"/>
        <v>101.25502755846864</v>
      </c>
      <c r="R58" s="1334"/>
      <c r="S58" s="1334"/>
      <c r="T58" s="1334"/>
      <c r="U58" s="1334"/>
      <c r="V58" s="1363"/>
      <c r="W58" s="1298"/>
      <c r="X58" s="1375"/>
      <c r="Y58" s="1270"/>
      <c r="Z58" s="1268"/>
      <c r="AA58" s="1269"/>
      <c r="AB58" s="1270"/>
      <c r="AC58" s="1268"/>
      <c r="AD58" s="1269"/>
      <c r="AE58" s="1270"/>
      <c r="AF58" s="1268" t="e">
        <f t="shared" si="28"/>
        <v>#DIV/0!</v>
      </c>
      <c r="AG58" s="1268"/>
      <c r="AH58" s="1269"/>
      <c r="AI58" s="1270"/>
      <c r="AJ58" s="1268" t="e">
        <f t="shared" si="29"/>
        <v>#DIV/0!</v>
      </c>
      <c r="AK58" s="1268"/>
      <c r="AL58" s="1269"/>
      <c r="AM58" s="1331" t="e">
        <f>#REF!*Z58/Y58</f>
        <v>#REF!</v>
      </c>
      <c r="AN58" s="1334" t="e">
        <f>#REF!-AM58</f>
        <v>#REF!</v>
      </c>
      <c r="AO58" s="1363" t="e">
        <f t="shared" si="30"/>
        <v>#REF!</v>
      </c>
      <c r="AP58" s="1270"/>
      <c r="AQ58" s="1268"/>
      <c r="AR58" s="1269"/>
      <c r="AS58" s="1270"/>
      <c r="AT58" s="1268"/>
      <c r="AU58" s="1269"/>
      <c r="AV58" s="1270"/>
      <c r="AW58" s="1268"/>
      <c r="AX58" s="1269"/>
      <c r="AY58" s="1270"/>
      <c r="AZ58" s="2167" t="e">
        <f t="shared" si="45"/>
        <v>#DIV/0!</v>
      </c>
      <c r="BA58" s="1268"/>
      <c r="BB58" s="1269"/>
      <c r="BC58" s="1270"/>
      <c r="BD58" s="1307" t="e">
        <f t="shared" si="39"/>
        <v>#DIV/0!</v>
      </c>
      <c r="BE58" s="1268"/>
      <c r="BF58" s="1269"/>
      <c r="BG58" s="1974"/>
      <c r="BH58" s="1270"/>
      <c r="BI58" s="1268"/>
      <c r="BJ58" s="1269"/>
      <c r="BK58" s="1270"/>
      <c r="BL58" s="1268"/>
      <c r="BM58" s="1269"/>
      <c r="BN58" s="1270"/>
      <c r="BO58" s="1268"/>
      <c r="BP58" s="1269"/>
      <c r="BQ58" s="1270"/>
      <c r="BR58" s="2165" t="e">
        <f t="shared" si="43"/>
        <v>#DIV/0!</v>
      </c>
      <c r="BS58" s="1268"/>
      <c r="BT58" s="1269"/>
      <c r="BU58" s="1270"/>
      <c r="BV58" s="3822" t="e">
        <f t="shared" si="31"/>
        <v>#DIV/0!</v>
      </c>
      <c r="BW58" s="1268"/>
      <c r="BX58" s="1269"/>
      <c r="BY58" s="3946"/>
      <c r="BZ58" s="3947"/>
      <c r="CA58" s="3947"/>
      <c r="CB58" s="3947"/>
      <c r="CC58" s="3947"/>
      <c r="CD58" s="3947"/>
      <c r="CE58" s="3947"/>
      <c r="CF58" s="3947"/>
      <c r="CG58" s="3605"/>
      <c r="CH58" s="1270"/>
      <c r="CI58" s="3978" t="e">
        <f t="shared" si="32"/>
        <v>#DIV/0!</v>
      </c>
      <c r="CJ58" s="1268"/>
      <c r="CK58" s="1269"/>
      <c r="CL58" s="1270"/>
      <c r="CM58" s="4017" t="e">
        <f t="shared" si="33"/>
        <v>#DIV/0!</v>
      </c>
      <c r="CN58" s="1268"/>
      <c r="CO58" s="1269"/>
    </row>
    <row r="59" spans="1:93" ht="21" hidden="1" customHeight="1">
      <c r="A59" s="1340" t="s">
        <v>116</v>
      </c>
      <c r="B59" s="1352"/>
      <c r="C59" s="1353"/>
      <c r="D59" s="1355"/>
      <c r="E59" s="1334"/>
      <c r="F59" s="1334"/>
      <c r="G59" s="1334"/>
      <c r="H59" s="1355"/>
      <c r="I59" s="1334">
        <f>I49-I58</f>
        <v>71570.779339999994</v>
      </c>
      <c r="J59" s="1334"/>
      <c r="K59" s="1334"/>
      <c r="L59" s="1334"/>
      <c r="M59" s="1334" t="e">
        <f t="shared" si="24"/>
        <v>#DIV/0!</v>
      </c>
      <c r="N59" s="1334"/>
      <c r="O59" s="1334"/>
      <c r="P59" s="1334" t="e">
        <f>P49-P58</f>
        <v>#REF!</v>
      </c>
      <c r="Q59" s="1334" t="e">
        <f t="shared" si="26"/>
        <v>#REF!</v>
      </c>
      <c r="R59" s="1334"/>
      <c r="S59" s="1334"/>
      <c r="T59" s="1334"/>
      <c r="U59" s="1334"/>
      <c r="V59" s="1363"/>
      <c r="W59" s="1298"/>
      <c r="X59" s="1375"/>
      <c r="Y59" s="1270"/>
      <c r="Z59" s="1268"/>
      <c r="AA59" s="1269"/>
      <c r="AB59" s="1270"/>
      <c r="AC59" s="1268"/>
      <c r="AD59" s="1269"/>
      <c r="AE59" s="1270"/>
      <c r="AF59" s="1268" t="e">
        <f t="shared" si="28"/>
        <v>#DIV/0!</v>
      </c>
      <c r="AG59" s="1268"/>
      <c r="AH59" s="1269"/>
      <c r="AI59" s="1270"/>
      <c r="AJ59" s="1268" t="e">
        <f t="shared" si="29"/>
        <v>#DIV/0!</v>
      </c>
      <c r="AK59" s="1268"/>
      <c r="AL59" s="1269"/>
      <c r="AM59" s="1331" t="e">
        <f>#REF!*Z59/Y59</f>
        <v>#REF!</v>
      </c>
      <c r="AN59" s="1334" t="e">
        <f>#REF!-AM59</f>
        <v>#REF!</v>
      </c>
      <c r="AO59" s="1363" t="e">
        <f t="shared" si="30"/>
        <v>#REF!</v>
      </c>
      <c r="AP59" s="1270"/>
      <c r="AQ59" s="1268"/>
      <c r="AR59" s="1269"/>
      <c r="AS59" s="1270"/>
      <c r="AT59" s="1268"/>
      <c r="AU59" s="1269"/>
      <c r="AV59" s="1270"/>
      <c r="AW59" s="1268"/>
      <c r="AX59" s="1269"/>
      <c r="AY59" s="1270"/>
      <c r="AZ59" s="2167" t="e">
        <f t="shared" si="45"/>
        <v>#DIV/0!</v>
      </c>
      <c r="BA59" s="1268"/>
      <c r="BB59" s="1269"/>
      <c r="BC59" s="1270"/>
      <c r="BD59" s="1307" t="e">
        <f t="shared" si="39"/>
        <v>#DIV/0!</v>
      </c>
      <c r="BE59" s="1268"/>
      <c r="BF59" s="1269"/>
      <c r="BG59" s="1974"/>
      <c r="BH59" s="1270"/>
      <c r="BI59" s="1268"/>
      <c r="BJ59" s="1269"/>
      <c r="BK59" s="1270"/>
      <c r="BL59" s="1268"/>
      <c r="BM59" s="1269"/>
      <c r="BN59" s="1270"/>
      <c r="BO59" s="1268"/>
      <c r="BP59" s="1269"/>
      <c r="BQ59" s="1270"/>
      <c r="BR59" s="2165" t="e">
        <f t="shared" si="43"/>
        <v>#DIV/0!</v>
      </c>
      <c r="BS59" s="1268"/>
      <c r="BT59" s="1269"/>
      <c r="BU59" s="1270"/>
      <c r="BV59" s="3822" t="e">
        <f t="shared" si="31"/>
        <v>#DIV/0!</v>
      </c>
      <c r="BW59" s="1268"/>
      <c r="BX59" s="1269"/>
      <c r="BY59" s="3946"/>
      <c r="BZ59" s="3947"/>
      <c r="CA59" s="3947"/>
      <c r="CB59" s="3947"/>
      <c r="CC59" s="3947"/>
      <c r="CD59" s="3947"/>
      <c r="CE59" s="3947"/>
      <c r="CF59" s="3947"/>
      <c r="CG59" s="3605"/>
      <c r="CH59" s="1270"/>
      <c r="CI59" s="3978" t="e">
        <f t="shared" si="32"/>
        <v>#DIV/0!</v>
      </c>
      <c r="CJ59" s="1268"/>
      <c r="CK59" s="1269"/>
      <c r="CL59" s="1270"/>
      <c r="CM59" s="4017" t="e">
        <f t="shared" si="33"/>
        <v>#DIV/0!</v>
      </c>
      <c r="CN59" s="1268"/>
      <c r="CO59" s="1269"/>
    </row>
    <row r="60" spans="1:93" ht="21" customHeight="1">
      <c r="A60" s="1285" t="s">
        <v>14</v>
      </c>
      <c r="B60" s="1376">
        <f>B49/B55</f>
        <v>10.300282807817316</v>
      </c>
      <c r="C60" s="1377">
        <f>C49/C55</f>
        <v>11.658227572070306</v>
      </c>
      <c r="D60" s="1355">
        <f>C60/B60*100</f>
        <v>113.18356776789069</v>
      </c>
      <c r="E60" s="1334">
        <f>E49/E55</f>
        <v>13.617810638920881</v>
      </c>
      <c r="F60" s="1334">
        <f>F49/F55</f>
        <v>32.500389739211208</v>
      </c>
      <c r="G60" s="1334">
        <f>G49/G55</f>
        <v>16.494321207673298</v>
      </c>
      <c r="H60" s="1355">
        <f t="shared" si="2"/>
        <v>121.12315000570723</v>
      </c>
      <c r="I60" s="1334">
        <f>I59/I57</f>
        <v>17.054874142737994</v>
      </c>
      <c r="J60" s="1334" t="e">
        <f>J49/J55</f>
        <v>#REF!</v>
      </c>
      <c r="K60" s="1334">
        <f>K49/K55</f>
        <v>16.233949920405767</v>
      </c>
      <c r="L60" s="1334">
        <f>L49/L55</f>
        <v>17.324839071245989</v>
      </c>
      <c r="M60" s="1334">
        <f t="shared" si="24"/>
        <v>105.03517454956757</v>
      </c>
      <c r="N60" s="1334">
        <f>N49/N55</f>
        <v>24.133221648388211</v>
      </c>
      <c r="O60" s="1334"/>
      <c r="P60" s="1334" t="e">
        <f>P49/P55</f>
        <v>#REF!</v>
      </c>
      <c r="Q60" s="1334" t="e">
        <f t="shared" si="26"/>
        <v>#REF!</v>
      </c>
      <c r="R60" s="1334"/>
      <c r="S60" s="1334" t="e">
        <f>S49/S55</f>
        <v>#REF!</v>
      </c>
      <c r="T60" s="1334" t="e">
        <f>T49/T55</f>
        <v>#REF!</v>
      </c>
      <c r="U60" s="1334" t="e">
        <f>U49/U55</f>
        <v>#REF!</v>
      </c>
      <c r="V60" s="1363">
        <f>V49/V55</f>
        <v>0</v>
      </c>
      <c r="W60" s="1298">
        <f>W49/W55</f>
        <v>26.676299999999998</v>
      </c>
      <c r="X60" s="1375"/>
      <c r="Y60" s="1270">
        <f t="shared" ref="Y60:AE60" si="188">Y49/Y55</f>
        <v>21.012977494947457</v>
      </c>
      <c r="Z60" s="1268">
        <f t="shared" si="188"/>
        <v>21.084097933596055</v>
      </c>
      <c r="AA60" s="1269">
        <f t="shared" si="188"/>
        <v>11.766096682714025</v>
      </c>
      <c r="AB60" s="1270">
        <f t="shared" si="188"/>
        <v>20.395164115988724</v>
      </c>
      <c r="AC60" s="1268">
        <f t="shared" si="188"/>
        <v>20.464577348087886</v>
      </c>
      <c r="AD60" s="1269">
        <f t="shared" si="188"/>
        <v>12.474700612223577</v>
      </c>
      <c r="AE60" s="1270">
        <f t="shared" si="188"/>
        <v>23.279510986467724</v>
      </c>
      <c r="AF60" s="1268">
        <f t="shared" si="28"/>
        <v>1.1078635092083096</v>
      </c>
      <c r="AG60" s="1268">
        <f>AG49/AG55</f>
        <v>23.405114275523363</v>
      </c>
      <c r="AH60" s="1269">
        <f>AH49/AH55</f>
        <v>12.265000000000001</v>
      </c>
      <c r="AI60" s="1270">
        <f>AI49/AI55</f>
        <v>22.110744374768689</v>
      </c>
      <c r="AJ60" s="1268">
        <f t="shared" si="29"/>
        <v>1.0522423288220428</v>
      </c>
      <c r="AK60" s="1268">
        <f>AK49/AK55</f>
        <v>22.184745841555614</v>
      </c>
      <c r="AL60" s="1269">
        <f>AL49/AL55</f>
        <v>12.467346254574016</v>
      </c>
      <c r="AM60" s="1331" t="e">
        <f>#REF!</f>
        <v>#REF!</v>
      </c>
      <c r="AN60" s="1334" t="e">
        <f>#REF!-AM60</f>
        <v>#REF!</v>
      </c>
      <c r="AO60" s="1363" t="e">
        <f t="shared" si="30"/>
        <v>#REF!</v>
      </c>
      <c r="AP60" s="1270">
        <f t="shared" ref="AP60:AY60" si="189">AP49/AP55</f>
        <v>15.278116283802389</v>
      </c>
      <c r="AQ60" s="1268">
        <f t="shared" si="189"/>
        <v>15.315700072145278</v>
      </c>
      <c r="AR60" s="1269">
        <f t="shared" si="189"/>
        <v>8.6093228150401515</v>
      </c>
      <c r="AS60" s="1270">
        <f t="shared" si="189"/>
        <v>16.707135060202457</v>
      </c>
      <c r="AT60" s="1268">
        <f t="shared" si="189"/>
        <v>16.748202615846932</v>
      </c>
      <c r="AU60" s="1269">
        <f t="shared" si="189"/>
        <v>9.5520239730717655</v>
      </c>
      <c r="AV60" s="1270">
        <f t="shared" si="189"/>
        <v>22.84897272543186</v>
      </c>
      <c r="AW60" s="1268">
        <f t="shared" si="189"/>
        <v>22.912707042020791</v>
      </c>
      <c r="AX60" s="1269">
        <f t="shared" si="189"/>
        <v>14.16232340067614</v>
      </c>
      <c r="AY60" s="1270">
        <f t="shared" si="189"/>
        <v>26.844296612059747</v>
      </c>
      <c r="AZ60" s="2167">
        <f t="shared" si="45"/>
        <v>1.2140838027458123</v>
      </c>
      <c r="BA60" s="1268">
        <f>BA49/BA55</f>
        <v>26.919546731071254</v>
      </c>
      <c r="BB60" s="1269">
        <f>BB49/BB55</f>
        <v>13.152219499667808</v>
      </c>
      <c r="BC60" s="1270">
        <f>BC49/BC55</f>
        <v>23.479446815964746</v>
      </c>
      <c r="BD60" s="1307">
        <f t="shared" si="39"/>
        <v>1.0619021421439763</v>
      </c>
      <c r="BE60" s="1268">
        <f>BE49/BE55</f>
        <v>23.531344279222743</v>
      </c>
      <c r="BF60" s="1269">
        <f>BF49/BF55</f>
        <v>14.036484091115524</v>
      </c>
      <c r="BG60" s="1974"/>
      <c r="BH60" s="1270">
        <f t="shared" ref="BH60:BQ60" si="190">BH49/BH55</f>
        <v>24.509749161759764</v>
      </c>
      <c r="BI60" s="1268">
        <f t="shared" si="190"/>
        <v>24.566970761948461</v>
      </c>
      <c r="BJ60" s="1269">
        <f t="shared" si="190"/>
        <v>15.460735084394654</v>
      </c>
      <c r="BK60" s="1270">
        <f t="shared" si="190"/>
        <v>25.896937596643607</v>
      </c>
      <c r="BL60" s="1268">
        <f t="shared" si="190"/>
        <v>25.959642079793717</v>
      </c>
      <c r="BM60" s="1269">
        <f t="shared" si="190"/>
        <v>16.249666178857151</v>
      </c>
      <c r="BN60" s="1270">
        <f t="shared" si="190"/>
        <v>26.638728854250708</v>
      </c>
      <c r="BO60" s="1268">
        <f t="shared" si="190"/>
        <v>26.705514066228965</v>
      </c>
      <c r="BP60" s="1269">
        <f t="shared" si="190"/>
        <v>16.804194036237242</v>
      </c>
      <c r="BQ60" s="1270">
        <f t="shared" si="190"/>
        <v>26.605935705637457</v>
      </c>
      <c r="BR60" s="2165">
        <f t="shared" si="43"/>
        <v>1.1331585413480385</v>
      </c>
      <c r="BS60" s="1268">
        <f>BS49/BS55</f>
        <v>26.691429115134312</v>
      </c>
      <c r="BT60" s="1269">
        <f>BT49/BT55</f>
        <v>14.71120047129253</v>
      </c>
      <c r="BU60" s="1270">
        <f>BU49/BU55</f>
        <v>26.086081232197138</v>
      </c>
      <c r="BV60" s="3822">
        <f t="shared" si="31"/>
        <v>1.1110177099428094</v>
      </c>
      <c r="BW60" s="1268">
        <f t="shared" ref="BW60:CH60" si="191">BW49/BW55</f>
        <v>26.17158947701127</v>
      </c>
      <c r="BX60" s="1269">
        <f t="shared" si="191"/>
        <v>13.918815657612212</v>
      </c>
      <c r="BY60" s="3946">
        <f t="shared" si="191"/>
        <v>25.046823984767613</v>
      </c>
      <c r="BZ60" s="3947">
        <f t="shared" si="191"/>
        <v>25.099172504762873</v>
      </c>
      <c r="CA60" s="3947">
        <f t="shared" si="191"/>
        <v>16.072856384804957</v>
      </c>
      <c r="CB60" s="3947">
        <f t="shared" si="191"/>
        <v>25.883794483301127</v>
      </c>
      <c r="CC60" s="3947">
        <f t="shared" si="191"/>
        <v>25.940058798801751</v>
      </c>
      <c r="CD60" s="3947">
        <f t="shared" si="191"/>
        <v>16.691518032730958</v>
      </c>
      <c r="CE60" s="3947">
        <f t="shared" si="191"/>
        <v>26.105747092390828</v>
      </c>
      <c r="CF60" s="3947">
        <f t="shared" si="191"/>
        <v>26.165722274961006</v>
      </c>
      <c r="CG60" s="3605">
        <f t="shared" si="191"/>
        <v>16.869568976584315</v>
      </c>
      <c r="CH60" s="1270">
        <f t="shared" si="191"/>
        <v>27.106174529766086</v>
      </c>
      <c r="CI60" s="3978">
        <f t="shared" si="32"/>
        <v>1.0391048884839738</v>
      </c>
      <c r="CJ60" s="1268">
        <f>CJ49/CJ55</f>
        <v>27.204324532738323</v>
      </c>
      <c r="CK60" s="1269">
        <f>CK49/CK55</f>
        <v>13.322500199318004</v>
      </c>
      <c r="CL60" s="1270">
        <f>CL49/CL55</f>
        <v>27.483258219048221</v>
      </c>
      <c r="CM60" s="4017">
        <f t="shared" si="33"/>
        <v>1.0535602482570896</v>
      </c>
      <c r="CN60" s="1268">
        <f>CN49/CN55</f>
        <v>27.552317615954514</v>
      </c>
      <c r="CO60" s="1269">
        <f>CO49/CO55</f>
        <v>15.699747811899519</v>
      </c>
    </row>
    <row r="61" spans="1:93" ht="21" customHeight="1">
      <c r="A61" s="1285" t="s">
        <v>435</v>
      </c>
      <c r="B61" s="1174"/>
      <c r="C61" s="439"/>
      <c r="D61" s="439"/>
      <c r="E61" s="439"/>
      <c r="F61" s="439"/>
      <c r="G61" s="439"/>
      <c r="H61" s="439"/>
      <c r="I61" s="377">
        <v>0</v>
      </c>
      <c r="J61" s="1378"/>
      <c r="K61" s="1378"/>
      <c r="L61" s="1378"/>
      <c r="M61" s="1378"/>
      <c r="N61" s="377">
        <v>0</v>
      </c>
      <c r="O61" s="1368"/>
      <c r="P61" s="377">
        <f>S61+T61</f>
        <v>184.96</v>
      </c>
      <c r="Q61" s="1361"/>
      <c r="R61" s="1378"/>
      <c r="S61" s="377">
        <v>180.3</v>
      </c>
      <c r="T61" s="377">
        <v>4.66</v>
      </c>
      <c r="U61" s="377"/>
      <c r="V61" s="1136"/>
      <c r="W61" s="1298">
        <v>0</v>
      </c>
      <c r="X61" s="1375"/>
      <c r="Y61" s="1270">
        <f>Z61+AA61</f>
        <v>0</v>
      </c>
      <c r="Z61" s="1268">
        <f>G123</f>
        <v>0</v>
      </c>
      <c r="AA61" s="1269">
        <v>0</v>
      </c>
      <c r="AB61" s="1270">
        <f>AC61+AD61</f>
        <v>0</v>
      </c>
      <c r="AC61" s="1268">
        <f>J123</f>
        <v>0</v>
      </c>
      <c r="AD61" s="1269">
        <v>0</v>
      </c>
      <c r="AE61" s="1270">
        <v>4275.2299999999996</v>
      </c>
      <c r="AF61" s="1268"/>
      <c r="AG61" s="1268">
        <v>4265.2299999999996</v>
      </c>
      <c r="AH61" s="1269">
        <v>10</v>
      </c>
      <c r="AI61" s="1270">
        <f>AK61+AL61</f>
        <v>4058.2871584358877</v>
      </c>
      <c r="AJ61" s="1268"/>
      <c r="AK61" s="1268">
        <f>AK49*0.05+63.63</f>
        <v>4106.4671584358875</v>
      </c>
      <c r="AL61" s="1269">
        <f>12.43-60.61</f>
        <v>-48.18</v>
      </c>
      <c r="AM61" s="1331">
        <v>0</v>
      </c>
      <c r="AN61" s="1334">
        <v>0</v>
      </c>
      <c r="AO61" s="1363">
        <f t="shared" si="30"/>
        <v>0</v>
      </c>
      <c r="AP61" s="1270">
        <f>AQ61+AR61</f>
        <v>0</v>
      </c>
      <c r="AQ61" s="1268">
        <f>X123</f>
        <v>0</v>
      </c>
      <c r="AR61" s="1269">
        <v>0</v>
      </c>
      <c r="AS61" s="1270">
        <f>AT61+AU61</f>
        <v>0</v>
      </c>
      <c r="AT61" s="1268">
        <f>AA123</f>
        <v>0</v>
      </c>
      <c r="AU61" s="1269">
        <v>0</v>
      </c>
      <c r="AV61" s="1270">
        <f>AW61+AX61</f>
        <v>0</v>
      </c>
      <c r="AW61" s="1268">
        <f>AD123</f>
        <v>0</v>
      </c>
      <c r="AX61" s="1269">
        <v>0</v>
      </c>
      <c r="AY61" s="1270">
        <f>SUM(BA61:BB61)</f>
        <v>4649.3426922200424</v>
      </c>
      <c r="AZ61" s="2167">
        <f t="shared" si="45"/>
        <v>1.1456416243378782</v>
      </c>
      <c r="BA61" s="1268">
        <f>BA49*0.05</f>
        <v>4636.8919244270237</v>
      </c>
      <c r="BB61" s="1269">
        <f>BB49*0.05</f>
        <v>12.45076779301886</v>
      </c>
      <c r="BC61" s="1270">
        <f>SUM(BE61:BF61)</f>
        <v>4053.2740520961179</v>
      </c>
      <c r="BD61" s="1307">
        <f t="shared" si="39"/>
        <v>0.99876472360282609</v>
      </c>
      <c r="BE61" s="1268">
        <f>BE49*0.05</f>
        <v>4053.2740520961179</v>
      </c>
      <c r="BF61" s="1269">
        <v>0</v>
      </c>
      <c r="BG61" s="1974"/>
      <c r="BH61" s="1270">
        <f>BI61+BJ61</f>
        <v>0</v>
      </c>
      <c r="BI61" s="1268">
        <f>AP123</f>
        <v>0</v>
      </c>
      <c r="BJ61" s="1269">
        <v>0</v>
      </c>
      <c r="BK61" s="1270">
        <f>BL61+BM61</f>
        <v>0</v>
      </c>
      <c r="BL61" s="1268">
        <f>AS123</f>
        <v>0</v>
      </c>
      <c r="BM61" s="1269">
        <v>0</v>
      </c>
      <c r="BN61" s="1270">
        <f>BO61+BP61</f>
        <v>0</v>
      </c>
      <c r="BO61" s="1268">
        <f>AV123</f>
        <v>0</v>
      </c>
      <c r="BP61" s="1269">
        <v>0</v>
      </c>
      <c r="BQ61" s="1270">
        <f>SUM(BS61:BT61)</f>
        <v>4287.5465389634755</v>
      </c>
      <c r="BR61" s="2165">
        <f t="shared" si="43"/>
        <v>1.0577983338546293</v>
      </c>
      <c r="BS61" s="1268">
        <f>BS49*0.05</f>
        <v>4270.6286584214895</v>
      </c>
      <c r="BT61" s="1269">
        <f>BT49*0.05</f>
        <v>16.91788054198641</v>
      </c>
      <c r="BU61" s="1270">
        <f>SUM(BW61:BX61)</f>
        <v>4298.66</v>
      </c>
      <c r="BV61" s="3822">
        <f t="shared" si="31"/>
        <v>1.060540181776503</v>
      </c>
      <c r="BW61" s="1268">
        <v>4282.7</v>
      </c>
      <c r="BX61" s="1269">
        <v>15.96</v>
      </c>
      <c r="BY61" s="3946">
        <f>BZ61+CA61</f>
        <v>0</v>
      </c>
      <c r="BZ61" s="3947">
        <f>BG123</f>
        <v>0</v>
      </c>
      <c r="CA61" s="3947">
        <v>0</v>
      </c>
      <c r="CB61" s="3947">
        <f>SUM(CC61:CD61)</f>
        <v>0</v>
      </c>
      <c r="CC61" s="3947">
        <v>0</v>
      </c>
      <c r="CD61" s="3947">
        <v>0</v>
      </c>
      <c r="CE61" s="3947">
        <f>SUM(CF61:CG61)</f>
        <v>0</v>
      </c>
      <c r="CF61" s="3947">
        <v>0</v>
      </c>
      <c r="CG61" s="3605">
        <v>0</v>
      </c>
      <c r="CH61" s="1270">
        <f>SUM(CJ61:CK61)</f>
        <v>4408.8192872664549</v>
      </c>
      <c r="CI61" s="3978">
        <f t="shared" si="32"/>
        <v>1.0256264248083018</v>
      </c>
      <c r="CJ61" s="1268">
        <f>CJ49*0.05</f>
        <v>4393.4984120372392</v>
      </c>
      <c r="CK61" s="1269">
        <f>CK49*0.05</f>
        <v>15.320875229215705</v>
      </c>
      <c r="CL61" s="1270">
        <f>SUM(CN61:CO61)</f>
        <v>0</v>
      </c>
      <c r="CM61" s="4017">
        <f t="shared" si="33"/>
        <v>0</v>
      </c>
      <c r="CN61" s="1268">
        <f>CN49*0</f>
        <v>0</v>
      </c>
      <c r="CO61" s="1269">
        <f>CO49*0</f>
        <v>0</v>
      </c>
    </row>
    <row r="62" spans="1:93" ht="21" customHeight="1">
      <c r="A62" s="1285" t="s">
        <v>547</v>
      </c>
      <c r="B62" s="1379"/>
      <c r="C62" s="632"/>
      <c r="D62" s="632"/>
      <c r="E62" s="632"/>
      <c r="F62" s="632"/>
      <c r="G62" s="632"/>
      <c r="H62" s="632"/>
      <c r="I62" s="1334"/>
      <c r="J62" s="656"/>
      <c r="K62" s="656"/>
      <c r="L62" s="656"/>
      <c r="M62" s="656"/>
      <c r="N62" s="1334"/>
      <c r="O62" s="1368"/>
      <c r="P62" s="1334"/>
      <c r="Q62" s="1368"/>
      <c r="R62" s="656"/>
      <c r="S62" s="1334"/>
      <c r="T62" s="1334"/>
      <c r="U62" s="1334"/>
      <c r="V62" s="1363"/>
      <c r="W62" s="1298">
        <f>SUM(W49+W61)</f>
        <v>96034.68</v>
      </c>
      <c r="X62" s="1375"/>
      <c r="Y62" s="1270">
        <f t="shared" ref="Y62:AE62" si="192">SUM(Y49+Y61)</f>
        <v>77174.362445693521</v>
      </c>
      <c r="Z62" s="1268">
        <f t="shared" si="192"/>
        <v>76845.211738577535</v>
      </c>
      <c r="AA62" s="1269">
        <f t="shared" si="192"/>
        <v>329.45070711599271</v>
      </c>
      <c r="AB62" s="1270">
        <f t="shared" si="192"/>
        <v>70897.669500000004</v>
      </c>
      <c r="AC62" s="1268">
        <f t="shared" si="192"/>
        <v>70520.933541510851</v>
      </c>
      <c r="AD62" s="1269">
        <f t="shared" si="192"/>
        <v>376.73595848915204</v>
      </c>
      <c r="AE62" s="1270">
        <f t="shared" si="192"/>
        <v>89773.89</v>
      </c>
      <c r="AF62" s="1268"/>
      <c r="AG62" s="1268">
        <f>SUM(AG49+AG61)</f>
        <v>89569.849999999991</v>
      </c>
      <c r="AH62" s="1269">
        <f>SUM(AH49+AH61)</f>
        <v>353.42</v>
      </c>
      <c r="AI62" s="1270">
        <f>SUM(AI49+AI61)</f>
        <v>85264.418023648861</v>
      </c>
      <c r="AJ62" s="1268"/>
      <c r="AK62" s="1268">
        <f>SUM(AK49+AK61)</f>
        <v>84963.210327153633</v>
      </c>
      <c r="AL62" s="1269">
        <f>SUM(AL49+AL61)</f>
        <v>300.90569512807247</v>
      </c>
      <c r="AM62" s="1331"/>
      <c r="AN62" s="1334"/>
      <c r="AO62" s="1363"/>
      <c r="AP62" s="1270">
        <f t="shared" ref="AP62:AY62" si="193">SUM(AP49+AP61)</f>
        <v>25525.760000000002</v>
      </c>
      <c r="AQ62" s="1268">
        <f t="shared" si="193"/>
        <v>25440.449918838356</v>
      </c>
      <c r="AR62" s="1269">
        <f t="shared" si="193"/>
        <v>83.252151621438273</v>
      </c>
      <c r="AS62" s="1270">
        <f t="shared" si="193"/>
        <v>40253.669999999991</v>
      </c>
      <c r="AT62" s="1268">
        <f t="shared" si="193"/>
        <v>40114.792459398101</v>
      </c>
      <c r="AU62" s="1269">
        <f t="shared" si="193"/>
        <v>135.63874041761906</v>
      </c>
      <c r="AV62" s="1270">
        <f t="shared" si="193"/>
        <v>73344.06</v>
      </c>
      <c r="AW62" s="1268">
        <f t="shared" si="193"/>
        <v>73012.944878892187</v>
      </c>
      <c r="AX62" s="1269">
        <f t="shared" si="193"/>
        <v>331.11512110780814</v>
      </c>
      <c r="AY62" s="1270">
        <f t="shared" si="193"/>
        <v>97636.196536620875</v>
      </c>
      <c r="AZ62" s="2167">
        <f t="shared" si="45"/>
        <v>1.1450989615567491</v>
      </c>
      <c r="BA62" s="1268">
        <f>SUM(BA49+BA61)</f>
        <v>97374.730412967489</v>
      </c>
      <c r="BB62" s="1269">
        <f>SUM(BB49+BB61)</f>
        <v>261.46612365339604</v>
      </c>
      <c r="BC62" s="1270">
        <f>SUM(BC49+BC61)</f>
        <v>85384.512526143604</v>
      </c>
      <c r="BD62" s="1307">
        <f t="shared" si="39"/>
        <v>1.0014084949534452</v>
      </c>
      <c r="BE62" s="1268">
        <f>SUM(BE49+BE61)</f>
        <v>85118.755094018474</v>
      </c>
      <c r="BF62" s="1269">
        <f>SUM(BF49+BF61)</f>
        <v>265.7574321251206</v>
      </c>
      <c r="BG62" s="1974"/>
      <c r="BH62" s="1270">
        <f t="shared" ref="BH62:BQ62" si="194">SUM(BH49+BH61)</f>
        <v>38669.27635</v>
      </c>
      <c r="BI62" s="1268">
        <f t="shared" si="194"/>
        <v>38508.235329938972</v>
      </c>
      <c r="BJ62" s="1269">
        <f t="shared" si="194"/>
        <v>158.16331991335733</v>
      </c>
      <c r="BK62" s="1270">
        <f t="shared" si="194"/>
        <v>59688.815588999983</v>
      </c>
      <c r="BL62" s="1268">
        <f t="shared" si="194"/>
        <v>59435.119734529311</v>
      </c>
      <c r="BM62" s="1269">
        <f t="shared" si="194"/>
        <v>249.26987918366871</v>
      </c>
      <c r="BN62" s="1270">
        <f t="shared" si="194"/>
        <v>81554.202000000005</v>
      </c>
      <c r="BO62" s="1268">
        <f t="shared" si="194"/>
        <v>81207.195393151691</v>
      </c>
      <c r="BP62" s="1269">
        <f t="shared" si="194"/>
        <v>347.00660684829899</v>
      </c>
      <c r="BQ62" s="1270">
        <f t="shared" si="194"/>
        <v>90038.477318232995</v>
      </c>
      <c r="BR62" s="2165">
        <f t="shared" si="43"/>
        <v>1.0545059596219444</v>
      </c>
      <c r="BS62" s="1268">
        <f>SUM(BS49+BS61)</f>
        <v>89683.201826851277</v>
      </c>
      <c r="BT62" s="1269">
        <f>SUM(BT49+BT61)</f>
        <v>355.27549138171457</v>
      </c>
      <c r="BU62" s="1270">
        <f>SUM(BU49+BU61)</f>
        <v>90271.862221013726</v>
      </c>
      <c r="BV62" s="3822">
        <f t="shared" si="31"/>
        <v>1.0572392996138928</v>
      </c>
      <c r="BW62" s="1268">
        <f t="shared" ref="BW62:CH62" si="195">SUM(BW49+BW61)</f>
        <v>89935.769460888638</v>
      </c>
      <c r="BX62" s="1269">
        <f t="shared" si="195"/>
        <v>336.09276012508087</v>
      </c>
      <c r="BY62" s="3946">
        <f t="shared" si="195"/>
        <v>40121.254999999997</v>
      </c>
      <c r="BZ62" s="3947">
        <f t="shared" si="195"/>
        <v>39971.938164185158</v>
      </c>
      <c r="CA62" s="3947">
        <f t="shared" si="195"/>
        <v>149.31683581483804</v>
      </c>
      <c r="CB62" s="3947">
        <f t="shared" si="195"/>
        <v>60544.265999999996</v>
      </c>
      <c r="CC62" s="3947">
        <f t="shared" si="195"/>
        <v>60306.745698394247</v>
      </c>
      <c r="CD62" s="3947">
        <f t="shared" si="195"/>
        <v>237.52030160576152</v>
      </c>
      <c r="CE62" s="3947">
        <f t="shared" si="195"/>
        <v>80927.815986411573</v>
      </c>
      <c r="CF62" s="3947">
        <f t="shared" si="195"/>
        <v>80590.424606879897</v>
      </c>
      <c r="CG62" s="3605">
        <f t="shared" si="195"/>
        <v>337.39137953168631</v>
      </c>
      <c r="CH62" s="1270">
        <f t="shared" si="195"/>
        <v>92585.205032595535</v>
      </c>
      <c r="CI62" s="3978">
        <f t="shared" si="32"/>
        <v>1.0256263995741888</v>
      </c>
      <c r="CJ62" s="1268">
        <f>SUM(CJ49+CJ61)</f>
        <v>92263.466652782023</v>
      </c>
      <c r="CK62" s="1269">
        <f>SUM(CK49+CK61)</f>
        <v>321.73837981352978</v>
      </c>
      <c r="CL62" s="1270">
        <f>SUM(CL54+CL61)</f>
        <v>103161.90212561234</v>
      </c>
      <c r="CM62" s="4017">
        <f t="shared" si="33"/>
        <v>1.1427913370507388</v>
      </c>
      <c r="CN62" s="1268">
        <f>SUM(CN54+CN61)</f>
        <v>102892.29589953308</v>
      </c>
      <c r="CO62" s="1269">
        <f>SUM(CO54+CO61)</f>
        <v>269.60622607925791</v>
      </c>
    </row>
    <row r="63" spans="1:93" ht="21" customHeight="1">
      <c r="A63" s="1285" t="s">
        <v>70</v>
      </c>
      <c r="B63" s="1174"/>
      <c r="C63" s="439"/>
      <c r="D63" s="439"/>
      <c r="E63" s="439"/>
      <c r="F63" s="439"/>
      <c r="G63" s="439"/>
      <c r="H63" s="439"/>
      <c r="I63" s="1334">
        <f>(I59+I61)/I57</f>
        <v>17.054874142737994</v>
      </c>
      <c r="J63" s="1378"/>
      <c r="K63" s="1378"/>
      <c r="L63" s="1378"/>
      <c r="M63" s="1378"/>
      <c r="N63" s="1334">
        <f>(N49+N61)/N55</f>
        <v>24.133221648388211</v>
      </c>
      <c r="O63" s="1380"/>
      <c r="P63" s="1334" t="e">
        <f>(P49+P61)/P55</f>
        <v>#REF!</v>
      </c>
      <c r="Q63" s="1361" t="e">
        <f t="shared" si="26"/>
        <v>#REF!</v>
      </c>
      <c r="R63" s="1378"/>
      <c r="S63" s="377" t="e">
        <f>(S49+S61)/S55</f>
        <v>#REF!</v>
      </c>
      <c r="T63" s="377" t="e">
        <f>(T49+T61)/T55</f>
        <v>#REF!</v>
      </c>
      <c r="U63" s="377" t="e">
        <f>(U49+U61)/U55</f>
        <v>#REF!</v>
      </c>
      <c r="V63" s="1136">
        <f>(V49+V61)/V55</f>
        <v>0</v>
      </c>
      <c r="W63" s="1298">
        <f>(W49+W61)/W55</f>
        <v>26.676299999999998</v>
      </c>
      <c r="X63" s="1375"/>
      <c r="Y63" s="1270">
        <f t="shared" ref="Y63:AE63" si="196">(Y49+Y61)/Y55</f>
        <v>21.012977494947457</v>
      </c>
      <c r="Z63" s="1268">
        <f t="shared" si="196"/>
        <v>21.084097933596055</v>
      </c>
      <c r="AA63" s="1269">
        <f t="shared" si="196"/>
        <v>11.766096682714025</v>
      </c>
      <c r="AB63" s="1270">
        <f t="shared" si="196"/>
        <v>20.395164115988724</v>
      </c>
      <c r="AC63" s="1268">
        <f t="shared" si="196"/>
        <v>20.464577348087886</v>
      </c>
      <c r="AD63" s="1269">
        <f t="shared" si="196"/>
        <v>12.474700612223577</v>
      </c>
      <c r="AE63" s="1270">
        <f t="shared" si="196"/>
        <v>24.443567402728238</v>
      </c>
      <c r="AF63" s="1268">
        <f t="shared" si="28"/>
        <v>1.1632605330970189</v>
      </c>
      <c r="AG63" s="1268">
        <f>(AG49+AG61)/AG55</f>
        <v>24.575369714928524</v>
      </c>
      <c r="AH63" s="1269">
        <f>(AH49+AH61)/AH55</f>
        <v>12.622142857142858</v>
      </c>
      <c r="AI63" s="1270">
        <f>(AI49+AI61)/AI55</f>
        <v>23.215731756922391</v>
      </c>
      <c r="AJ63" s="1268">
        <f t="shared" si="29"/>
        <v>1.1048282787389168</v>
      </c>
      <c r="AK63" s="1268">
        <f>(AK49+AK61)/AK55</f>
        <v>23.311441360647965</v>
      </c>
      <c r="AL63" s="1269">
        <f>(AL49+AL61)/AL55</f>
        <v>10.746631968859731</v>
      </c>
      <c r="AM63" s="1331" t="e">
        <f>#REF!</f>
        <v>#REF!</v>
      </c>
      <c r="AN63" s="1334" t="e">
        <f>#REF!-AM63</f>
        <v>#REF!</v>
      </c>
      <c r="AO63" s="1363" t="e">
        <f t="shared" si="30"/>
        <v>#REF!</v>
      </c>
      <c r="AP63" s="1270">
        <f t="shared" ref="AP63:AY63" si="197">(AP49+AP61)/AP55</f>
        <v>15.278116283802389</v>
      </c>
      <c r="AQ63" s="1268">
        <f t="shared" si="197"/>
        <v>15.315700072145278</v>
      </c>
      <c r="AR63" s="1269">
        <f t="shared" si="197"/>
        <v>8.6093228150401515</v>
      </c>
      <c r="AS63" s="1270">
        <f t="shared" si="197"/>
        <v>16.707135060202457</v>
      </c>
      <c r="AT63" s="1268">
        <f t="shared" si="197"/>
        <v>16.748202615846932</v>
      </c>
      <c r="AU63" s="1269">
        <f t="shared" si="197"/>
        <v>9.5520239730717655</v>
      </c>
      <c r="AV63" s="1270">
        <f t="shared" si="197"/>
        <v>22.84897272543186</v>
      </c>
      <c r="AW63" s="1268">
        <f t="shared" si="197"/>
        <v>22.912707042020791</v>
      </c>
      <c r="AX63" s="1269">
        <f t="shared" si="197"/>
        <v>14.16232340067614</v>
      </c>
      <c r="AY63" s="1270">
        <f t="shared" si="197"/>
        <v>28.186511442662734</v>
      </c>
      <c r="AZ63" s="2167">
        <f t="shared" si="45"/>
        <v>1.2141125568552529</v>
      </c>
      <c r="BA63" s="1268">
        <f>(BA49+BA61)/BA55</f>
        <v>28.265524067624817</v>
      </c>
      <c r="BB63" s="1269">
        <f>(BB49+BB61)/BB55</f>
        <v>13.8098304746512</v>
      </c>
      <c r="BC63" s="1270">
        <f>(BC49+BC61)/BC55</f>
        <v>24.649583092287266</v>
      </c>
      <c r="BD63" s="1307">
        <f t="shared" si="39"/>
        <v>1.0617620564528332</v>
      </c>
      <c r="BE63" s="1268">
        <f>(BE49+BE61)/BE55</f>
        <v>24.707911493183882</v>
      </c>
      <c r="BF63" s="1269">
        <f>(BF49+BF61)/BF55</f>
        <v>14.036484091115524</v>
      </c>
      <c r="BG63" s="1974"/>
      <c r="BH63" s="1270">
        <f t="shared" ref="BH63:BQ63" si="198">(BH49+BH61)/BH55</f>
        <v>24.509749161759764</v>
      </c>
      <c r="BI63" s="1268">
        <f t="shared" si="198"/>
        <v>24.566970761948461</v>
      </c>
      <c r="BJ63" s="1269">
        <f t="shared" si="198"/>
        <v>15.460735084394654</v>
      </c>
      <c r="BK63" s="1270">
        <f t="shared" si="198"/>
        <v>25.896937596643607</v>
      </c>
      <c r="BL63" s="1268">
        <f t="shared" si="198"/>
        <v>25.959642079793717</v>
      </c>
      <c r="BM63" s="1269">
        <f t="shared" si="198"/>
        <v>16.249666178857151</v>
      </c>
      <c r="BN63" s="1270">
        <f t="shared" si="198"/>
        <v>26.638728854250708</v>
      </c>
      <c r="BO63" s="1268">
        <f t="shared" si="198"/>
        <v>26.705514066228965</v>
      </c>
      <c r="BP63" s="1269">
        <f t="shared" si="198"/>
        <v>16.804194036237242</v>
      </c>
      <c r="BQ63" s="1270">
        <f t="shared" si="198"/>
        <v>27.936232490919327</v>
      </c>
      <c r="BR63" s="2165">
        <f t="shared" si="43"/>
        <v>1.1333348879097447</v>
      </c>
      <c r="BS63" s="1268">
        <f>(BS49+BS61)/BS55</f>
        <v>28.026000570891025</v>
      </c>
      <c r="BT63" s="1269">
        <f>(BT49+BT61)/BT55</f>
        <v>15.446760494857156</v>
      </c>
      <c r="BU63" s="1270">
        <f>(BU49+BU61)/BU55</f>
        <v>27.390385260111881</v>
      </c>
      <c r="BV63" s="3822">
        <f t="shared" si="31"/>
        <v>1.1111906094948194</v>
      </c>
      <c r="BW63" s="1268">
        <f t="shared" ref="BW63:CH63" si="199">(BW49+BW61)/BW55</f>
        <v>27.480183167332868</v>
      </c>
      <c r="BX63" s="1269">
        <f t="shared" si="199"/>
        <v>14.612728701090473</v>
      </c>
      <c r="BY63" s="3946">
        <f t="shared" si="199"/>
        <v>25.046823984767613</v>
      </c>
      <c r="BZ63" s="3947">
        <f t="shared" si="199"/>
        <v>25.099172504762873</v>
      </c>
      <c r="CA63" s="3947">
        <f t="shared" si="199"/>
        <v>16.072856384804957</v>
      </c>
      <c r="CB63" s="3947">
        <f t="shared" si="199"/>
        <v>25.883794483301127</v>
      </c>
      <c r="CC63" s="3947">
        <f t="shared" si="199"/>
        <v>25.940058798801751</v>
      </c>
      <c r="CD63" s="3947">
        <f t="shared" si="199"/>
        <v>16.691518032730958</v>
      </c>
      <c r="CE63" s="3947">
        <f t="shared" si="199"/>
        <v>26.105747092390828</v>
      </c>
      <c r="CF63" s="3947">
        <f t="shared" si="199"/>
        <v>26.165722274961006</v>
      </c>
      <c r="CG63" s="3605">
        <f t="shared" si="199"/>
        <v>16.869568976584315</v>
      </c>
      <c r="CH63" s="1270">
        <f t="shared" si="199"/>
        <v>28.461483256254393</v>
      </c>
      <c r="CI63" s="3978">
        <f t="shared" si="32"/>
        <v>1.0391048897622601</v>
      </c>
      <c r="CJ63" s="1268">
        <f>(CJ49+CJ61)/CJ55</f>
        <v>28.564540759375241</v>
      </c>
      <c r="CK63" s="1269">
        <f>(CK49+CK61)/CK55</f>
        <v>13.988625209283903</v>
      </c>
      <c r="CL63" s="1270">
        <f>(CL54+CL61)/CL55</f>
        <v>31.752577656524561</v>
      </c>
      <c r="CM63" s="4017">
        <f t="shared" si="33"/>
        <v>1.1592599868525859</v>
      </c>
      <c r="CN63" s="1268">
        <f>(CN54+CN61)/CN55</f>
        <v>31.855199968895693</v>
      </c>
      <c r="CO63" s="1269">
        <f>(CO54+CO61)/CO55</f>
        <v>14.242272904345374</v>
      </c>
    </row>
    <row r="64" spans="1:93" ht="21" hidden="1" customHeight="1">
      <c r="A64" s="1285" t="s">
        <v>153</v>
      </c>
      <c r="B64" s="1174"/>
      <c r="C64" s="439"/>
      <c r="D64" s="439"/>
      <c r="E64" s="439"/>
      <c r="F64" s="439"/>
      <c r="G64" s="439"/>
      <c r="H64" s="439"/>
      <c r="I64" s="1369"/>
      <c r="J64" s="439"/>
      <c r="K64" s="439"/>
      <c r="L64" s="439"/>
      <c r="M64" s="439"/>
      <c r="N64" s="1360">
        <f>N63/I63*100</f>
        <v>141.5033699246863</v>
      </c>
      <c r="O64" s="1354"/>
      <c r="P64" s="1360" t="e">
        <f>P63/I63*100</f>
        <v>#REF!</v>
      </c>
      <c r="Q64" s="1360"/>
      <c r="R64" s="439"/>
      <c r="S64" s="1369"/>
      <c r="T64" s="1369"/>
      <c r="U64" s="1369"/>
      <c r="V64" s="1364"/>
      <c r="W64" s="1298"/>
      <c r="X64" s="1375"/>
      <c r="Y64" s="1270"/>
      <c r="Z64" s="1268"/>
      <c r="AA64" s="1269"/>
      <c r="AB64" s="1270"/>
      <c r="AC64" s="1268"/>
      <c r="AD64" s="1269"/>
      <c r="AE64" s="1270"/>
      <c r="AF64" s="1268" t="e">
        <f t="shared" si="28"/>
        <v>#DIV/0!</v>
      </c>
      <c r="AG64" s="1268"/>
      <c r="AH64" s="1269"/>
      <c r="AI64" s="1270"/>
      <c r="AJ64" s="1268" t="e">
        <f t="shared" si="29"/>
        <v>#DIV/0!</v>
      </c>
      <c r="AK64" s="1268"/>
      <c r="AL64" s="1269"/>
      <c r="AM64" s="1331"/>
      <c r="AN64" s="1334"/>
      <c r="AO64" s="1363"/>
      <c r="AP64" s="1270"/>
      <c r="AQ64" s="1268"/>
      <c r="AR64" s="1269"/>
      <c r="AS64" s="1270"/>
      <c r="AT64" s="1268"/>
      <c r="AU64" s="1269"/>
      <c r="AV64" s="1270"/>
      <c r="AW64" s="1268"/>
      <c r="AX64" s="1269"/>
      <c r="AY64" s="1270"/>
      <c r="AZ64" s="2167" t="e">
        <f t="shared" si="45"/>
        <v>#DIV/0!</v>
      </c>
      <c r="BA64" s="1268"/>
      <c r="BB64" s="1269"/>
      <c r="BC64" s="1270"/>
      <c r="BD64" s="1307" t="e">
        <f t="shared" si="39"/>
        <v>#DIV/0!</v>
      </c>
      <c r="BE64" s="1268"/>
      <c r="BF64" s="1269"/>
      <c r="BG64" s="1974"/>
      <c r="BH64" s="1270"/>
      <c r="BI64" s="1268"/>
      <c r="BJ64" s="1269"/>
      <c r="BK64" s="1270"/>
      <c r="BL64" s="1268"/>
      <c r="BM64" s="1269"/>
      <c r="BN64" s="1270"/>
      <c r="BO64" s="1268"/>
      <c r="BP64" s="1269"/>
      <c r="BQ64" s="1270"/>
      <c r="BR64" s="2165" t="e">
        <f t="shared" si="43"/>
        <v>#DIV/0!</v>
      </c>
      <c r="BS64" s="1268"/>
      <c r="BT64" s="1269"/>
      <c r="BU64" s="1270"/>
      <c r="BV64" s="3822" t="e">
        <f t="shared" si="31"/>
        <v>#DIV/0!</v>
      </c>
      <c r="BW64" s="1268"/>
      <c r="BX64" s="1269"/>
      <c r="BY64" s="3946"/>
      <c r="BZ64" s="3947"/>
      <c r="CA64" s="3947"/>
      <c r="CB64" s="3947"/>
      <c r="CC64" s="3947"/>
      <c r="CD64" s="3947"/>
      <c r="CE64" s="3947"/>
      <c r="CF64" s="3947"/>
      <c r="CG64" s="3605"/>
      <c r="CH64" s="1270"/>
      <c r="CI64" s="3978" t="e">
        <f t="shared" si="32"/>
        <v>#DIV/0!</v>
      </c>
      <c r="CJ64" s="1268"/>
      <c r="CK64" s="1269"/>
      <c r="CL64" s="1270"/>
      <c r="CM64" s="4017" t="e">
        <f t="shared" si="33"/>
        <v>#DIV/0!</v>
      </c>
      <c r="CN64" s="1268"/>
      <c r="CO64" s="1269"/>
    </row>
    <row r="65" spans="1:93" ht="21" customHeight="1">
      <c r="A65" s="1285" t="s">
        <v>326</v>
      </c>
      <c r="B65" s="1174"/>
      <c r="C65" s="439"/>
      <c r="D65" s="439"/>
      <c r="E65" s="439"/>
      <c r="F65" s="439"/>
      <c r="G65" s="439"/>
      <c r="H65" s="439"/>
      <c r="I65" s="1369"/>
      <c r="J65" s="439"/>
      <c r="K65" s="439"/>
      <c r="L65" s="439"/>
      <c r="M65" s="439"/>
      <c r="N65" s="1360"/>
      <c r="O65" s="1354"/>
      <c r="P65" s="1360"/>
      <c r="Q65" s="1360"/>
      <c r="R65" s="439"/>
      <c r="S65" s="1369"/>
      <c r="T65" s="1369"/>
      <c r="U65" s="1369"/>
      <c r="V65" s="1364"/>
      <c r="W65" s="1298">
        <v>4947</v>
      </c>
      <c r="X65" s="1790"/>
      <c r="Y65" s="1270">
        <f>Z65</f>
        <v>4947</v>
      </c>
      <c r="Z65" s="1268">
        <f>4947</f>
        <v>4947</v>
      </c>
      <c r="AA65" s="1269"/>
      <c r="AB65" s="1270">
        <f>'кап влож'!O16</f>
        <v>1044.8800000000001</v>
      </c>
      <c r="AC65" s="1268">
        <f>AB65</f>
        <v>1044.8800000000001</v>
      </c>
      <c r="AD65" s="1269">
        <v>0</v>
      </c>
      <c r="AE65" s="1270">
        <v>5656.1</v>
      </c>
      <c r="AF65" s="1268">
        <f t="shared" si="28"/>
        <v>1.1433393976147161</v>
      </c>
      <c r="AG65" s="1268">
        <f>AE65</f>
        <v>5656.1</v>
      </c>
      <c r="AH65" s="1269">
        <v>0</v>
      </c>
      <c r="AI65" s="1270">
        <f>AK65</f>
        <v>3568.1</v>
      </c>
      <c r="AJ65" s="1268">
        <f t="shared" si="29"/>
        <v>0.72126541338184758</v>
      </c>
      <c r="AK65" s="1268">
        <v>3568.1</v>
      </c>
      <c r="AL65" s="1269">
        <v>0</v>
      </c>
      <c r="AM65" s="1331" t="e">
        <f>#REF!*Z65/Y65</f>
        <v>#REF!</v>
      </c>
      <c r="AN65" s="1334" t="e">
        <f>#REF!-AM65</f>
        <v>#REF!</v>
      </c>
      <c r="AO65" s="1363" t="e">
        <f t="shared" si="30"/>
        <v>#REF!</v>
      </c>
      <c r="AP65" s="1270">
        <v>0</v>
      </c>
      <c r="AQ65" s="1268">
        <v>0</v>
      </c>
      <c r="AR65" s="1269">
        <v>0</v>
      </c>
      <c r="AS65" s="1270">
        <v>0</v>
      </c>
      <c r="AT65" s="1268">
        <v>0</v>
      </c>
      <c r="AU65" s="1269">
        <v>0</v>
      </c>
      <c r="AV65" s="1270">
        <v>0</v>
      </c>
      <c r="AW65" s="1268">
        <v>0</v>
      </c>
      <c r="AX65" s="1269">
        <v>0</v>
      </c>
      <c r="AY65" s="1270">
        <f>SUM(BA65:BB65)</f>
        <v>0.9</v>
      </c>
      <c r="AZ65" s="2167">
        <f t="shared" si="45"/>
        <v>2.5223508309744685E-4</v>
      </c>
      <c r="BA65" s="1268">
        <v>0.9</v>
      </c>
      <c r="BB65" s="1269">
        <v>0</v>
      </c>
      <c r="BC65" s="1270">
        <f>SUM(BE65:BF65)</f>
        <v>0.9</v>
      </c>
      <c r="BD65" s="1307">
        <f t="shared" si="39"/>
        <v>2.5223508309744685E-4</v>
      </c>
      <c r="BE65" s="1268">
        <v>0.9</v>
      </c>
      <c r="BF65" s="1269">
        <v>0</v>
      </c>
      <c r="BG65" s="1974" t="s">
        <v>250</v>
      </c>
      <c r="BH65" s="1270">
        <v>0</v>
      </c>
      <c r="BI65" s="1268">
        <v>0</v>
      </c>
      <c r="BJ65" s="1269">
        <v>0</v>
      </c>
      <c r="BK65" s="1270">
        <v>0</v>
      </c>
      <c r="BL65" s="1268">
        <v>0</v>
      </c>
      <c r="BM65" s="1269">
        <v>0</v>
      </c>
      <c r="BN65" s="1270">
        <v>0</v>
      </c>
      <c r="BO65" s="1268">
        <v>0</v>
      </c>
      <c r="BP65" s="1269">
        <v>0</v>
      </c>
      <c r="BQ65" s="1270">
        <f>SUM(BS65:BT65)</f>
        <v>0</v>
      </c>
      <c r="BR65" s="2165">
        <f t="shared" si="43"/>
        <v>0</v>
      </c>
      <c r="BS65" s="1268">
        <v>0</v>
      </c>
      <c r="BT65" s="1269">
        <v>0</v>
      </c>
      <c r="BU65" s="1270">
        <f>SUM(BW65:BX65)</f>
        <v>0</v>
      </c>
      <c r="BV65" s="3822">
        <f t="shared" si="31"/>
        <v>0</v>
      </c>
      <c r="BW65" s="1268">
        <v>0</v>
      </c>
      <c r="BX65" s="1269">
        <v>0</v>
      </c>
      <c r="BY65" s="3946">
        <v>0</v>
      </c>
      <c r="BZ65" s="3947">
        <v>0</v>
      </c>
      <c r="CA65" s="3947">
        <v>0</v>
      </c>
      <c r="CB65" s="3947">
        <f>SUM(CD65:CE65)</f>
        <v>0</v>
      </c>
      <c r="CC65" s="3947">
        <v>0</v>
      </c>
      <c r="CD65" s="3947">
        <v>0</v>
      </c>
      <c r="CE65" s="3947">
        <f>SUM(CG65:CH65)</f>
        <v>0</v>
      </c>
      <c r="CF65" s="3947">
        <v>0</v>
      </c>
      <c r="CG65" s="3605">
        <v>0</v>
      </c>
      <c r="CH65" s="1270">
        <f>SUM(CJ65:CK65)</f>
        <v>0</v>
      </c>
      <c r="CI65" s="3978"/>
      <c r="CJ65" s="1268">
        <v>0</v>
      </c>
      <c r="CK65" s="1269">
        <v>0</v>
      </c>
      <c r="CL65" s="1270">
        <f>SUM(CN65:CO65)</f>
        <v>-3902.11</v>
      </c>
      <c r="CM65" s="4017"/>
      <c r="CN65" s="1268">
        <v>-3902.11</v>
      </c>
      <c r="CO65" s="1269">
        <v>0</v>
      </c>
    </row>
    <row r="66" spans="1:93" ht="20.25" customHeight="1">
      <c r="A66" s="1285" t="s">
        <v>1701</v>
      </c>
      <c r="B66" s="1174"/>
      <c r="C66" s="439"/>
      <c r="D66" s="439"/>
      <c r="E66" s="439"/>
      <c r="F66" s="439"/>
      <c r="G66" s="439"/>
      <c r="H66" s="439"/>
      <c r="I66" s="1369"/>
      <c r="J66" s="439"/>
      <c r="K66" s="439"/>
      <c r="L66" s="439"/>
      <c r="M66" s="439"/>
      <c r="N66" s="1360"/>
      <c r="O66" s="1354"/>
      <c r="P66" s="1360"/>
      <c r="Q66" s="1360"/>
      <c r="R66" s="439"/>
      <c r="S66" s="1369"/>
      <c r="T66" s="1369"/>
      <c r="U66" s="1369"/>
      <c r="V66" s="1364"/>
      <c r="W66" s="1298">
        <f>W49+W61+W65</f>
        <v>100981.68</v>
      </c>
      <c r="X66" s="1375"/>
      <c r="Y66" s="1270">
        <f t="shared" ref="Y66:AE66" si="200">Y49+Y61+Y65</f>
        <v>82121.362445693521</v>
      </c>
      <c r="Z66" s="1268">
        <f t="shared" si="200"/>
        <v>81792.211738577535</v>
      </c>
      <c r="AA66" s="1269">
        <f t="shared" si="200"/>
        <v>329.45070711599271</v>
      </c>
      <c r="AB66" s="1270">
        <f t="shared" si="200"/>
        <v>71942.549500000008</v>
      </c>
      <c r="AC66" s="1268">
        <f t="shared" si="200"/>
        <v>71565.813541510855</v>
      </c>
      <c r="AD66" s="1269">
        <f t="shared" si="200"/>
        <v>376.73595848915204</v>
      </c>
      <c r="AE66" s="1270">
        <f t="shared" si="200"/>
        <v>95429.99</v>
      </c>
      <c r="AF66" s="1268">
        <f t="shared" si="28"/>
        <v>1.1620604816816991</v>
      </c>
      <c r="AG66" s="1268">
        <f>AG49+AG61+AG65</f>
        <v>95225.95</v>
      </c>
      <c r="AH66" s="1269">
        <f>AH49+AH61+AH65</f>
        <v>353.42</v>
      </c>
      <c r="AI66" s="1270">
        <f>AI49+AI61+AI65</f>
        <v>88832.518023648867</v>
      </c>
      <c r="AJ66" s="1268">
        <f t="shared" si="29"/>
        <v>1.0817224091038846</v>
      </c>
      <c r="AK66" s="1268">
        <f>AK49+AK61+AK65</f>
        <v>88531.310327153638</v>
      </c>
      <c r="AL66" s="1269">
        <f>AL49+AL61+AL65</f>
        <v>300.90569512807247</v>
      </c>
      <c r="AM66" s="1331" t="e">
        <f>AM49+AM61+AM65</f>
        <v>#REF!</v>
      </c>
      <c r="AN66" s="1334" t="e">
        <f>#REF!-AM66</f>
        <v>#REF!</v>
      </c>
      <c r="AO66" s="1363" t="e">
        <f t="shared" si="30"/>
        <v>#REF!</v>
      </c>
      <c r="AP66" s="1270">
        <f t="shared" ref="AP66:AY66" si="201">AP49+AP61+AP65</f>
        <v>25525.760000000002</v>
      </c>
      <c r="AQ66" s="1268">
        <f t="shared" si="201"/>
        <v>25440.449918838356</v>
      </c>
      <c r="AR66" s="1269">
        <f t="shared" si="201"/>
        <v>83.252151621438273</v>
      </c>
      <c r="AS66" s="1270">
        <f t="shared" si="201"/>
        <v>40253.669999999991</v>
      </c>
      <c r="AT66" s="1268">
        <f t="shared" si="201"/>
        <v>40114.792459398101</v>
      </c>
      <c r="AU66" s="1269">
        <f t="shared" si="201"/>
        <v>135.63874041761906</v>
      </c>
      <c r="AV66" s="1270">
        <f t="shared" si="201"/>
        <v>73344.06</v>
      </c>
      <c r="AW66" s="1268">
        <f t="shared" si="201"/>
        <v>73012.944878892187</v>
      </c>
      <c r="AX66" s="1269">
        <f t="shared" si="201"/>
        <v>331.11512110780814</v>
      </c>
      <c r="AY66" s="1270">
        <f t="shared" si="201"/>
        <v>97637.096536620869</v>
      </c>
      <c r="AZ66" s="2167">
        <f t="shared" si="45"/>
        <v>1.0991143638484733</v>
      </c>
      <c r="BA66" s="1268">
        <f>BA49+BA61+BA65</f>
        <v>97375.630412967483</v>
      </c>
      <c r="BB66" s="1269">
        <f>BB49+BB61+BB65</f>
        <v>261.46612365339604</v>
      </c>
      <c r="BC66" s="1270">
        <f>BC49+BC61+BC65</f>
        <v>85385.412526143598</v>
      </c>
      <c r="BD66" s="1307">
        <f t="shared" si="39"/>
        <v>0.96119545438768739</v>
      </c>
      <c r="BE66" s="1268">
        <f>BE49+BE61+BE65</f>
        <v>85119.655094018468</v>
      </c>
      <c r="BF66" s="1269">
        <f>BF49+BF61+BF65</f>
        <v>265.7574321251206</v>
      </c>
      <c r="BG66" s="1974"/>
      <c r="BH66" s="1270">
        <f t="shared" ref="BH66:BQ66" si="202">BH49+BH61+BH65</f>
        <v>38669.27635</v>
      </c>
      <c r="BI66" s="1268">
        <f t="shared" si="202"/>
        <v>38508.235329938972</v>
      </c>
      <c r="BJ66" s="1269">
        <f t="shared" si="202"/>
        <v>158.16331991335733</v>
      </c>
      <c r="BK66" s="1270">
        <f t="shared" si="202"/>
        <v>59688.815588999983</v>
      </c>
      <c r="BL66" s="1268">
        <f t="shared" si="202"/>
        <v>59435.119734529311</v>
      </c>
      <c r="BM66" s="1269">
        <f t="shared" si="202"/>
        <v>249.26987918366871</v>
      </c>
      <c r="BN66" s="1270">
        <f t="shared" si="202"/>
        <v>81554.202000000005</v>
      </c>
      <c r="BO66" s="1268">
        <f t="shared" si="202"/>
        <v>81207.195393151691</v>
      </c>
      <c r="BP66" s="1269">
        <f t="shared" si="202"/>
        <v>347.00660684829899</v>
      </c>
      <c r="BQ66" s="1270">
        <f t="shared" si="202"/>
        <v>90038.477318232995</v>
      </c>
      <c r="BR66" s="2165">
        <f t="shared" si="43"/>
        <v>1.054494844662895</v>
      </c>
      <c r="BS66" s="1268">
        <f>BS49+BS61+BS65</f>
        <v>89683.201826851277</v>
      </c>
      <c r="BT66" s="1269">
        <f>BT49+BT61+BT65</f>
        <v>355.27549138171457</v>
      </c>
      <c r="BU66" s="1270">
        <f>BU49+BU61+BU65+BU50</f>
        <v>85037.162221013728</v>
      </c>
      <c r="BV66" s="3822">
        <f t="shared" si="31"/>
        <v>0.99592143089988305</v>
      </c>
      <c r="BW66" s="1268">
        <f>BW49+BW61+BW65+BW50</f>
        <v>84701.069460888641</v>
      </c>
      <c r="BX66" s="1269">
        <f>BX49+BX61+BX65+BX50</f>
        <v>336.09276012508087</v>
      </c>
      <c r="BY66" s="3946">
        <f>BY49+BY61+BY65</f>
        <v>40121.254999999997</v>
      </c>
      <c r="BZ66" s="3947">
        <f>BZ49+BZ61+BZ65</f>
        <v>39971.938164185158</v>
      </c>
      <c r="CA66" s="3947">
        <f>CA49+CA61+CA65</f>
        <v>149.31683581483804</v>
      </c>
      <c r="CB66" s="3947">
        <f t="shared" ref="CB66:CH66" si="203">CB49+CB61+CB65+CB50</f>
        <v>60544.265999999996</v>
      </c>
      <c r="CC66" s="3947">
        <f t="shared" si="203"/>
        <v>60306.745698394247</v>
      </c>
      <c r="CD66" s="3947">
        <f t="shared" si="203"/>
        <v>237.52030160576152</v>
      </c>
      <c r="CE66" s="3947">
        <f t="shared" si="203"/>
        <v>80927.815986411573</v>
      </c>
      <c r="CF66" s="3947">
        <f t="shared" si="203"/>
        <v>80590.424606879897</v>
      </c>
      <c r="CG66" s="3605">
        <f t="shared" si="203"/>
        <v>337.39137953168631</v>
      </c>
      <c r="CH66" s="1270">
        <f t="shared" si="203"/>
        <v>97819.905032595532</v>
      </c>
      <c r="CI66" s="3978">
        <f t="shared" si="32"/>
        <v>1.1503194894763673</v>
      </c>
      <c r="CJ66" s="1268">
        <f>CJ49+CJ61+CJ65+CJ50</f>
        <v>97498.16665278202</v>
      </c>
      <c r="CK66" s="1269">
        <f>CK49+CK61+CK65</f>
        <v>321.73837981352978</v>
      </c>
      <c r="CL66" s="1270">
        <f>CL54+CL61+CL65</f>
        <v>99259.792125612337</v>
      </c>
      <c r="CM66" s="4017">
        <f t="shared" si="33"/>
        <v>1.1672519347204182</v>
      </c>
      <c r="CN66" s="1268">
        <f>SUM(CN54+CN61+CN65)</f>
        <v>98990.185899533084</v>
      </c>
      <c r="CO66" s="1269">
        <f>CO54+CO61+CO65</f>
        <v>269.60622607925791</v>
      </c>
    </row>
    <row r="67" spans="1:93" ht="21" customHeight="1" thickBot="1">
      <c r="A67" s="1287" t="s">
        <v>1702</v>
      </c>
      <c r="B67" s="1205"/>
      <c r="C67" s="1381"/>
      <c r="D67" s="1381"/>
      <c r="E67" s="1381"/>
      <c r="F67" s="1381"/>
      <c r="G67" s="1381"/>
      <c r="H67" s="1381"/>
      <c r="I67" s="1003"/>
      <c r="J67" s="1381"/>
      <c r="K67" s="1381"/>
      <c r="L67" s="1381"/>
      <c r="M67" s="1381"/>
      <c r="N67" s="1382"/>
      <c r="O67" s="1383"/>
      <c r="P67" s="1382"/>
      <c r="Q67" s="1382"/>
      <c r="R67" s="1381"/>
      <c r="S67" s="1003"/>
      <c r="T67" s="1003"/>
      <c r="U67" s="1003"/>
      <c r="V67" s="1384"/>
      <c r="W67" s="1299">
        <f>W66/W55</f>
        <v>28.050466666666665</v>
      </c>
      <c r="X67" s="1791"/>
      <c r="Y67" s="399">
        <f t="shared" ref="Y67:AL67" si="204">Y66/Y55</f>
        <v>22.359942942710681</v>
      </c>
      <c r="Z67" s="1271">
        <f t="shared" si="204"/>
        <v>22.441411292720261</v>
      </c>
      <c r="AA67" s="1272">
        <f t="shared" si="204"/>
        <v>11.766096682714025</v>
      </c>
      <c r="AB67" s="399">
        <f t="shared" ref="AB67:AD67" si="205">AB66/AB55</f>
        <v>20.6957452102871</v>
      </c>
      <c r="AC67" s="1271">
        <f t="shared" si="205"/>
        <v>20.767792670200482</v>
      </c>
      <c r="AD67" s="1272">
        <f t="shared" si="205"/>
        <v>12.474700612223577</v>
      </c>
      <c r="AE67" s="399">
        <f>AE66/AE55</f>
        <v>25.983606066381682</v>
      </c>
      <c r="AF67" s="1271">
        <f t="shared" si="28"/>
        <v>1.1620604816816991</v>
      </c>
      <c r="AG67" s="1271">
        <f>AG66/AG55</f>
        <v>26.127239553324006</v>
      </c>
      <c r="AH67" s="1272">
        <f>AH66/AH55</f>
        <v>12.622142857142858</v>
      </c>
      <c r="AI67" s="399">
        <f t="shared" si="204"/>
        <v>24.187251347414403</v>
      </c>
      <c r="AJ67" s="1271">
        <f t="shared" si="29"/>
        <v>1.0817224091038846</v>
      </c>
      <c r="AK67" s="1271">
        <f t="shared" si="204"/>
        <v>24.290424541705391</v>
      </c>
      <c r="AL67" s="1272">
        <f t="shared" si="204"/>
        <v>10.746631968859731</v>
      </c>
      <c r="AM67" s="1335" t="e">
        <f>#REF!*Z67/Y67</f>
        <v>#REF!</v>
      </c>
      <c r="AN67" s="1336" t="e">
        <f>#REF!-AM67</f>
        <v>#REF!</v>
      </c>
      <c r="AO67" s="1385" t="e">
        <f t="shared" si="30"/>
        <v>#REF!</v>
      </c>
      <c r="AP67" s="399">
        <f t="shared" ref="AP67:AR67" si="206">AP66/AP55</f>
        <v>15.278116283802389</v>
      </c>
      <c r="AQ67" s="1271">
        <f t="shared" si="206"/>
        <v>15.315700072145278</v>
      </c>
      <c r="AR67" s="1272">
        <f t="shared" si="206"/>
        <v>8.6093228150401515</v>
      </c>
      <c r="AS67" s="399">
        <f t="shared" ref="AS67:BB67" si="207">AS66/AS55</f>
        <v>16.707135060202457</v>
      </c>
      <c r="AT67" s="1271">
        <f t="shared" si="207"/>
        <v>16.748202615846932</v>
      </c>
      <c r="AU67" s="1272">
        <f t="shared" si="207"/>
        <v>9.5520239730717655</v>
      </c>
      <c r="AV67" s="399">
        <f t="shared" ref="AV67:AX67" si="208">AV66/AV55</f>
        <v>22.84897272543186</v>
      </c>
      <c r="AW67" s="1271">
        <f t="shared" si="208"/>
        <v>22.912707042020791</v>
      </c>
      <c r="AX67" s="1272">
        <f t="shared" si="208"/>
        <v>14.16232340067614</v>
      </c>
      <c r="AY67" s="399">
        <f t="shared" si="207"/>
        <v>28.186771262905619</v>
      </c>
      <c r="AZ67" s="2169">
        <f t="shared" si="45"/>
        <v>1.1653565284473204</v>
      </c>
      <c r="BA67" s="2719">
        <f t="shared" si="207"/>
        <v>28.265785315810589</v>
      </c>
      <c r="BB67" s="2720">
        <f t="shared" si="207"/>
        <v>13.8098304746512</v>
      </c>
      <c r="BC67" s="2721">
        <f t="shared" ref="BC67" si="209">BC66/BC55</f>
        <v>24.649842912530147</v>
      </c>
      <c r="BD67" s="2722">
        <f t="shared" si="39"/>
        <v>1.0191254292797183</v>
      </c>
      <c r="BE67" s="2719">
        <f t="shared" ref="BE67:BF67" si="210">BE66/BE55</f>
        <v>24.708172741369658</v>
      </c>
      <c r="BF67" s="2720">
        <f t="shared" si="210"/>
        <v>14.036484091115524</v>
      </c>
      <c r="BG67" s="1386"/>
      <c r="BH67" s="399">
        <f t="shared" ref="BH67:BQ67" si="211">BH66/BH55</f>
        <v>24.509749161759764</v>
      </c>
      <c r="BI67" s="1271">
        <f t="shared" si="211"/>
        <v>24.566970761948461</v>
      </c>
      <c r="BJ67" s="1272">
        <f t="shared" si="211"/>
        <v>15.460735084394654</v>
      </c>
      <c r="BK67" s="399">
        <f t="shared" ref="BK67:BM67" si="212">BK66/BK55</f>
        <v>25.896937596643607</v>
      </c>
      <c r="BL67" s="1271">
        <f t="shared" si="212"/>
        <v>25.959642079793717</v>
      </c>
      <c r="BM67" s="1272">
        <f t="shared" si="212"/>
        <v>16.249666178857151</v>
      </c>
      <c r="BN67" s="399">
        <f t="shared" ref="BN67:BP67" si="213">BN66/BN55</f>
        <v>26.638728854250708</v>
      </c>
      <c r="BO67" s="1271">
        <f t="shared" si="213"/>
        <v>26.705514066228965</v>
      </c>
      <c r="BP67" s="1272">
        <f t="shared" si="213"/>
        <v>16.804194036237242</v>
      </c>
      <c r="BQ67" s="399">
        <f t="shared" si="211"/>
        <v>27.936232490919327</v>
      </c>
      <c r="BR67" s="3830">
        <f t="shared" si="43"/>
        <v>1.1333229420589379</v>
      </c>
      <c r="BS67" s="2719">
        <f t="shared" ref="BS67:BU67" si="214">BS66/BS55</f>
        <v>28.026000570891025</v>
      </c>
      <c r="BT67" s="2720">
        <f t="shared" si="214"/>
        <v>15.446760494857156</v>
      </c>
      <c r="BU67" s="2721">
        <f t="shared" si="214"/>
        <v>25.802066971406731</v>
      </c>
      <c r="BV67" s="3831">
        <f t="shared" si="31"/>
        <v>1.0467436674126178</v>
      </c>
      <c r="BW67" s="2719">
        <f t="shared" ref="BW67:CH67" si="215">BW66/BW55</f>
        <v>25.880702608170083</v>
      </c>
      <c r="BX67" s="2720">
        <f t="shared" si="215"/>
        <v>14.612728701090473</v>
      </c>
      <c r="BY67" s="3910">
        <f t="shared" si="215"/>
        <v>25.046823984767613</v>
      </c>
      <c r="BZ67" s="3911">
        <f t="shared" si="215"/>
        <v>25.099172504762873</v>
      </c>
      <c r="CA67" s="3911">
        <f t="shared" si="215"/>
        <v>16.072856384804957</v>
      </c>
      <c r="CB67" s="3911">
        <f t="shared" ref="CB67" si="216">CB66/CB55</f>
        <v>25.883794483301127</v>
      </c>
      <c r="CC67" s="3911">
        <f t="shared" ref="CC67:CE67" si="217">CC66/CC55</f>
        <v>25.940058798801751</v>
      </c>
      <c r="CD67" s="3911">
        <f t="shared" si="217"/>
        <v>16.691518032730958</v>
      </c>
      <c r="CE67" s="3911">
        <f t="shared" si="217"/>
        <v>26.105747092390828</v>
      </c>
      <c r="CF67" s="3911">
        <f t="shared" ref="CF67:CG67" si="218">CF66/CF55</f>
        <v>26.165722274961006</v>
      </c>
      <c r="CG67" s="3912">
        <f t="shared" si="218"/>
        <v>16.869568976584315</v>
      </c>
      <c r="CH67" s="399">
        <f t="shared" si="215"/>
        <v>30.070674771778521</v>
      </c>
      <c r="CI67" s="4028">
        <f t="shared" si="32"/>
        <v>1.165436660756759</v>
      </c>
      <c r="CJ67" s="2719">
        <f t="shared" ref="CJ67:CL67" si="219">CJ66/CJ55</f>
        <v>30.185190914174001</v>
      </c>
      <c r="CK67" s="2720">
        <f t="shared" si="219"/>
        <v>13.988625209283903</v>
      </c>
      <c r="CL67" s="2721">
        <f t="shared" si="219"/>
        <v>30.551533004900797</v>
      </c>
      <c r="CM67" s="4031">
        <f t="shared" si="33"/>
        <v>1.1840730837090423</v>
      </c>
      <c r="CN67" s="2719">
        <f t="shared" ref="CN67:CO67" si="220">CN66/CN55</f>
        <v>30.647116377564423</v>
      </c>
      <c r="CO67" s="2720">
        <f t="shared" si="220"/>
        <v>14.242272904345374</v>
      </c>
    </row>
    <row r="68" spans="1:93" ht="20.25" customHeight="1">
      <c r="A68" s="393"/>
      <c r="B68" s="1387"/>
      <c r="C68" s="1387"/>
      <c r="D68" s="1387"/>
      <c r="E68" s="1387"/>
      <c r="F68" s="1387"/>
      <c r="G68" s="1387"/>
      <c r="H68" s="1387"/>
      <c r="I68" s="1388"/>
      <c r="J68" s="104"/>
      <c r="K68" s="104"/>
      <c r="L68" s="104"/>
      <c r="M68" s="104"/>
      <c r="N68" s="1389"/>
      <c r="O68" s="1390"/>
      <c r="P68" s="1391"/>
      <c r="Q68" s="1389"/>
      <c r="R68" s="104"/>
      <c r="S68" s="1388"/>
      <c r="T68" s="1388"/>
      <c r="U68" s="1388"/>
      <c r="V68" s="1388"/>
      <c r="W68" s="1392"/>
      <c r="X68" s="1388"/>
      <c r="Y68" s="1392"/>
      <c r="Z68" s="1392"/>
      <c r="AA68" s="1392"/>
      <c r="AB68" s="1392"/>
      <c r="AC68" s="1392"/>
      <c r="AD68" s="1392"/>
      <c r="AE68" s="1392"/>
      <c r="AF68" s="1392"/>
      <c r="AG68" s="1392"/>
      <c r="AH68" s="1392"/>
      <c r="AI68" s="1392"/>
      <c r="AJ68" s="1392"/>
      <c r="AK68" s="1393"/>
      <c r="AL68" s="1393"/>
      <c r="AM68" s="1394"/>
      <c r="AN68" s="1395"/>
      <c r="AO68" s="1394"/>
      <c r="AP68" s="1394"/>
      <c r="AQ68" s="1394"/>
      <c r="AR68" s="1394"/>
      <c r="AS68" s="1394"/>
      <c r="AT68" s="1394"/>
      <c r="AU68" s="1394"/>
      <c r="AV68" s="1394"/>
      <c r="AW68" s="1394"/>
      <c r="AX68" s="1394"/>
      <c r="AY68" s="1394"/>
      <c r="AZ68" s="2163"/>
      <c r="BA68" s="1394"/>
      <c r="BB68" s="1394"/>
      <c r="BC68" s="1394">
        <f>BE55</f>
        <v>3445</v>
      </c>
      <c r="BD68" s="2163"/>
      <c r="BE68" s="1394">
        <f>BC68/2</f>
        <v>1722.5</v>
      </c>
      <c r="BF68" s="1394">
        <f>BE68</f>
        <v>1722.5</v>
      </c>
      <c r="BG68" s="1396"/>
    </row>
    <row r="69" spans="1:93" ht="20.25" customHeight="1">
      <c r="A69" s="393"/>
      <c r="B69" s="1387"/>
      <c r="C69" s="1387"/>
      <c r="D69" s="1387"/>
      <c r="E69" s="1387"/>
      <c r="F69" s="1387"/>
      <c r="G69" s="1387"/>
      <c r="H69" s="1387"/>
      <c r="I69" s="1388"/>
      <c r="J69" s="104"/>
      <c r="K69" s="104"/>
      <c r="L69" s="104"/>
      <c r="M69" s="104"/>
      <c r="N69" s="1389"/>
      <c r="O69" s="1390"/>
      <c r="P69" s="1391"/>
      <c r="Q69" s="1389"/>
      <c r="R69" s="104"/>
      <c r="S69" s="1388"/>
      <c r="T69" s="1388"/>
      <c r="U69" s="1388"/>
      <c r="V69" s="1388"/>
      <c r="W69" s="1392"/>
      <c r="X69" s="1388"/>
      <c r="Y69" s="1392"/>
      <c r="Z69" s="1392"/>
      <c r="AA69" s="1392"/>
      <c r="AB69" s="1392"/>
      <c r="AC69" s="1392"/>
      <c r="AD69" s="1392"/>
      <c r="AE69" s="1392"/>
      <c r="AF69" s="1392"/>
      <c r="AG69" s="1392"/>
      <c r="AH69" s="1392"/>
      <c r="AI69" s="1392"/>
      <c r="AJ69" s="1392"/>
      <c r="AK69" s="1393"/>
      <c r="AL69" s="1393"/>
      <c r="AM69" s="1394"/>
      <c r="AN69" s="1395"/>
      <c r="AO69" s="1394"/>
      <c r="AP69" s="1394"/>
      <c r="AQ69" s="1394"/>
      <c r="AR69" s="1394"/>
      <c r="AS69" s="1394"/>
      <c r="AT69" s="1394"/>
      <c r="AU69" s="1394"/>
      <c r="AV69" s="1394"/>
      <c r="AW69" s="1394"/>
      <c r="AX69" s="1394"/>
      <c r="AY69" s="1394"/>
      <c r="AZ69" s="2163"/>
      <c r="BA69" s="1394"/>
      <c r="BB69" s="1394"/>
      <c r="BC69" s="1394">
        <f>BE67</f>
        <v>24.708172741369658</v>
      </c>
      <c r="BD69" s="2163"/>
      <c r="BE69" s="1394">
        <v>24.29</v>
      </c>
      <c r="BF69" s="1394">
        <f>BF70/BF68</f>
        <v>25.126345482739314</v>
      </c>
      <c r="BG69" s="2379">
        <f>BF69/BE69</f>
        <v>1.0344316789929731</v>
      </c>
    </row>
    <row r="70" spans="1:93" ht="20.25" customHeight="1">
      <c r="A70" s="393"/>
      <c r="B70" s="1387"/>
      <c r="C70" s="1387"/>
      <c r="D70" s="1387"/>
      <c r="E70" s="1387"/>
      <c r="F70" s="1387"/>
      <c r="G70" s="1387"/>
      <c r="H70" s="1387"/>
      <c r="I70" s="1388"/>
      <c r="J70" s="104"/>
      <c r="K70" s="104"/>
      <c r="L70" s="104"/>
      <c r="M70" s="104"/>
      <c r="N70" s="1389"/>
      <c r="O70" s="1390"/>
      <c r="P70" s="1391"/>
      <c r="Q70" s="1389"/>
      <c r="R70" s="104"/>
      <c r="S70" s="1388"/>
      <c r="T70" s="1388"/>
      <c r="U70" s="1388"/>
      <c r="V70" s="1388"/>
      <c r="W70" s="1392"/>
      <c r="X70" s="1388"/>
      <c r="Y70" s="1392"/>
      <c r="Z70" s="1392"/>
      <c r="AA70" s="1392"/>
      <c r="AB70" s="1392"/>
      <c r="AC70" s="1392"/>
      <c r="AD70" s="1392"/>
      <c r="AE70" s="1392"/>
      <c r="AF70" s="1392"/>
      <c r="AG70" s="1392"/>
      <c r="AH70" s="1392"/>
      <c r="AI70" s="1392"/>
      <c r="AJ70" s="1392"/>
      <c r="AK70" s="1393"/>
      <c r="AL70" s="1393"/>
      <c r="AM70" s="1394"/>
      <c r="AN70" s="1395"/>
      <c r="AO70" s="1394"/>
      <c r="AP70" s="1394"/>
      <c r="AQ70" s="1394"/>
      <c r="AR70" s="1394"/>
      <c r="AS70" s="1394"/>
      <c r="AT70" s="1394"/>
      <c r="AU70" s="1394"/>
      <c r="AV70" s="1394"/>
      <c r="AW70" s="1394"/>
      <c r="AX70" s="1394"/>
      <c r="AY70" s="1394"/>
      <c r="AZ70" s="2163"/>
      <c r="BA70" s="1394"/>
      <c r="BB70" s="1394"/>
      <c r="BC70" s="1394">
        <f>BE66</f>
        <v>85119.655094018468</v>
      </c>
      <c r="BD70" s="2163"/>
      <c r="BE70" s="1394">
        <f>BE68*BE69</f>
        <v>41839.525000000001</v>
      </c>
      <c r="BF70" s="1394">
        <f>BC70-BE70</f>
        <v>43280.130094018466</v>
      </c>
      <c r="BG70" s="1396"/>
    </row>
    <row r="71" spans="1:93" ht="20.25" customHeight="1">
      <c r="A71" s="393"/>
      <c r="B71" s="1387"/>
      <c r="C71" s="1387"/>
      <c r="D71" s="1387"/>
      <c r="E71" s="1387"/>
      <c r="F71" s="1387"/>
      <c r="G71" s="1387"/>
      <c r="H71" s="1387"/>
      <c r="I71" s="1388"/>
      <c r="J71" s="104"/>
      <c r="K71" s="104"/>
      <c r="L71" s="104"/>
      <c r="M71" s="104"/>
      <c r="N71" s="1389"/>
      <c r="O71" s="1390"/>
      <c r="P71" s="1391"/>
      <c r="Q71" s="1389"/>
      <c r="R71" s="104"/>
      <c r="S71" s="1388"/>
      <c r="T71" s="1388"/>
      <c r="U71" s="1388"/>
      <c r="V71" s="1388"/>
      <c r="W71" s="1392"/>
      <c r="X71" s="1388"/>
      <c r="Y71" s="1392"/>
      <c r="Z71" s="1392"/>
      <c r="AA71" s="1392"/>
      <c r="AB71" s="1392"/>
      <c r="AC71" s="1392"/>
      <c r="AD71" s="1392"/>
      <c r="AE71" s="1392"/>
      <c r="AF71" s="1392"/>
      <c r="AG71" s="1392"/>
      <c r="AH71" s="1392"/>
      <c r="AI71" s="1392"/>
      <c r="AJ71" s="1392"/>
      <c r="AK71" s="1393"/>
      <c r="AL71" s="1393"/>
      <c r="AM71" s="1394"/>
      <c r="AN71" s="1395"/>
      <c r="AO71" s="1394"/>
      <c r="AP71" s="1394"/>
      <c r="AQ71" s="1394"/>
      <c r="AR71" s="1394"/>
      <c r="AS71" s="1394"/>
      <c r="AT71" s="1394"/>
      <c r="AU71" s="1394"/>
      <c r="AV71" s="1394"/>
      <c r="AW71" s="1394"/>
      <c r="AX71" s="1394"/>
      <c r="AY71" s="1394"/>
      <c r="AZ71" s="2163"/>
      <c r="BA71" s="1394"/>
      <c r="BB71" s="1394"/>
      <c r="BC71" s="1394"/>
      <c r="BD71" s="2163"/>
      <c r="BE71" s="1394"/>
      <c r="BF71" s="1394"/>
      <c r="BG71" s="1396"/>
    </row>
    <row r="72" spans="1:93" ht="20.25" customHeight="1">
      <c r="A72" s="5112" t="s">
        <v>1896</v>
      </c>
      <c r="B72" s="5112"/>
      <c r="C72" s="5112"/>
      <c r="D72" s="5112"/>
      <c r="E72" s="5112"/>
      <c r="F72" s="5112"/>
      <c r="G72" s="5112"/>
      <c r="H72" s="5112"/>
      <c r="I72" s="5112"/>
      <c r="J72" s="5112"/>
      <c r="K72" s="5112"/>
      <c r="L72" s="5112"/>
      <c r="M72" s="5112"/>
      <c r="N72" s="5112"/>
      <c r="O72" s="5112"/>
      <c r="P72" s="5112"/>
      <c r="Q72" s="5112"/>
      <c r="R72" s="5112"/>
      <c r="S72" s="5112"/>
      <c r="T72" s="5112"/>
      <c r="U72" s="5112"/>
      <c r="V72" s="5112"/>
      <c r="W72" s="5112"/>
      <c r="X72" s="5112"/>
      <c r="Y72" s="5112"/>
      <c r="Z72" s="5112"/>
      <c r="AA72" s="5112"/>
      <c r="AB72" s="5112"/>
      <c r="AC72" s="5112"/>
      <c r="AD72" s="5112"/>
      <c r="AE72" s="5112"/>
      <c r="AF72" s="5112"/>
      <c r="AG72" s="5112"/>
      <c r="AH72" s="5112"/>
      <c r="AI72" s="5112"/>
      <c r="AJ72" s="5112"/>
      <c r="AK72" s="5112"/>
      <c r="AL72" s="5112"/>
      <c r="AM72" s="5112"/>
      <c r="AN72" s="5112"/>
      <c r="AO72" s="5112"/>
      <c r="AP72" s="5112"/>
      <c r="AQ72" s="5112"/>
      <c r="AR72" s="5112"/>
      <c r="AS72" s="5112"/>
      <c r="AT72" s="5112"/>
      <c r="AU72" s="5112"/>
      <c r="AV72" s="5112"/>
      <c r="AW72" s="5112"/>
      <c r="AX72" s="5112"/>
      <c r="AY72" s="5112"/>
      <c r="AZ72" s="5112"/>
      <c r="BA72" s="5112"/>
      <c r="BB72" s="5112"/>
      <c r="BC72" s="5112"/>
      <c r="BD72" s="5112"/>
      <c r="BE72" s="5112"/>
      <c r="BF72" s="5112"/>
      <c r="BG72" s="5112"/>
      <c r="BH72" s="4894"/>
      <c r="BI72" s="4894"/>
      <c r="BJ72" s="4894"/>
      <c r="BK72" s="4894"/>
      <c r="BL72" s="4894"/>
      <c r="BM72" s="4894"/>
      <c r="BN72" s="4894"/>
      <c r="BO72" s="4894"/>
      <c r="BP72" s="4894"/>
      <c r="BQ72" s="4894"/>
      <c r="BR72" s="4894"/>
      <c r="BS72" s="4894"/>
      <c r="BT72" s="4894"/>
      <c r="BU72" s="4894"/>
      <c r="BV72" s="4894"/>
      <c r="BW72" s="4894"/>
      <c r="BX72" s="4894"/>
      <c r="BY72" s="4894"/>
      <c r="BZ72" s="4894"/>
      <c r="CA72" s="4894"/>
      <c r="CB72" s="4894"/>
      <c r="CC72" s="4894"/>
      <c r="CD72" s="4894"/>
      <c r="CE72" s="4894"/>
      <c r="CF72" s="4894"/>
      <c r="CG72" s="4894"/>
      <c r="CH72" s="4894"/>
      <c r="CI72" s="4894"/>
      <c r="CJ72" s="4894"/>
      <c r="CK72" s="4894"/>
      <c r="CL72" s="4894"/>
      <c r="CM72" s="4894"/>
      <c r="CN72" s="4894"/>
      <c r="CO72" s="4894"/>
    </row>
    <row r="73" spans="1:93" ht="20.25" customHeight="1" thickBot="1">
      <c r="A73" s="406"/>
      <c r="B73" s="406"/>
      <c r="C73" s="406"/>
      <c r="D73" s="406"/>
      <c r="E73" s="406"/>
      <c r="F73" s="406"/>
      <c r="G73" s="406"/>
      <c r="H73" s="406"/>
      <c r="I73" s="406"/>
      <c r="J73" s="406"/>
      <c r="K73" s="406"/>
      <c r="L73" s="406"/>
      <c r="M73" s="406"/>
      <c r="N73" s="406"/>
      <c r="O73" s="406"/>
      <c r="P73" s="406"/>
      <c r="Q73" s="406"/>
      <c r="R73" s="406"/>
      <c r="S73" s="406"/>
      <c r="T73" s="406"/>
      <c r="U73" s="406"/>
      <c r="V73" s="406"/>
      <c r="W73" s="406"/>
      <c r="X73" s="406"/>
      <c r="Y73" s="406"/>
      <c r="Z73" s="406"/>
      <c r="AA73" s="406"/>
      <c r="AB73" s="406"/>
      <c r="AC73" s="406"/>
      <c r="AD73" s="406"/>
      <c r="AE73" s="406"/>
      <c r="AF73" s="406"/>
      <c r="AG73" s="406"/>
      <c r="AH73" s="406"/>
      <c r="AI73" s="406"/>
      <c r="AJ73" s="406"/>
      <c r="AK73" s="406"/>
      <c r="AL73" s="406"/>
      <c r="AM73" s="406"/>
      <c r="AN73" s="406"/>
      <c r="AO73" s="406"/>
      <c r="AP73" s="406"/>
      <c r="AQ73" s="406"/>
      <c r="AR73" s="406"/>
      <c r="AS73" s="406"/>
      <c r="AT73" s="406"/>
      <c r="AU73" s="406"/>
      <c r="AV73" s="406"/>
      <c r="AW73" s="406"/>
      <c r="AX73" s="406"/>
      <c r="AY73" s="406"/>
      <c r="AZ73" s="2161"/>
      <c r="BA73" s="406"/>
      <c r="BB73" s="406"/>
      <c r="BC73" s="406"/>
      <c r="BD73" s="2161"/>
      <c r="BE73" s="406"/>
      <c r="BF73" s="406"/>
      <c r="BG73" s="406"/>
    </row>
    <row r="74" spans="1:93" ht="20.25" customHeight="1" thickBot="1">
      <c r="A74" s="5369" t="s">
        <v>545</v>
      </c>
      <c r="B74" s="5391" t="s">
        <v>58</v>
      </c>
      <c r="C74" s="5338" t="s">
        <v>59</v>
      </c>
      <c r="D74" s="5338"/>
      <c r="E74" s="5352" t="s">
        <v>67</v>
      </c>
      <c r="F74" s="5352"/>
      <c r="G74" s="5352" t="s">
        <v>95</v>
      </c>
      <c r="H74" s="5352"/>
      <c r="I74" s="5352" t="s">
        <v>124</v>
      </c>
      <c r="J74" s="5352"/>
      <c r="K74" s="5352"/>
      <c r="L74" s="5352"/>
      <c r="M74" s="5352"/>
      <c r="N74" s="5094" t="s">
        <v>162</v>
      </c>
      <c r="O74" s="5094"/>
      <c r="P74" s="5094"/>
      <c r="Q74" s="5094"/>
      <c r="R74" s="5094"/>
      <c r="S74" s="5094"/>
      <c r="T74" s="5094"/>
      <c r="U74" s="5094"/>
      <c r="V74" s="5383"/>
      <c r="W74" s="5327" t="s">
        <v>238</v>
      </c>
      <c r="X74" s="5328"/>
      <c r="Y74" s="5328"/>
      <c r="Z74" s="5328"/>
      <c r="AA74" s="5328"/>
      <c r="AB74" s="5372"/>
      <c r="AC74" s="5372"/>
      <c r="AD74" s="5373"/>
      <c r="AE74" s="5327" t="s">
        <v>379</v>
      </c>
      <c r="AF74" s="5388"/>
      <c r="AG74" s="5388"/>
      <c r="AH74" s="5388"/>
      <c r="AI74" s="5388"/>
      <c r="AJ74" s="5388"/>
      <c r="AK74" s="5388"/>
      <c r="AL74" s="5388"/>
      <c r="AM74" s="5388"/>
      <c r="AN74" s="5388"/>
      <c r="AO74" s="5388"/>
      <c r="AP74" s="5388"/>
      <c r="AQ74" s="5388"/>
      <c r="AR74" s="5388"/>
      <c r="AS74" s="5388"/>
      <c r="AT74" s="5388"/>
      <c r="AU74" s="5388"/>
      <c r="AV74" s="5389"/>
      <c r="AW74" s="5389"/>
      <c r="AX74" s="5390"/>
      <c r="AY74" s="5327" t="s">
        <v>832</v>
      </c>
      <c r="AZ74" s="5328"/>
      <c r="BA74" s="5328"/>
      <c r="BB74" s="5328"/>
      <c r="BC74" s="5328"/>
      <c r="BD74" s="5328"/>
      <c r="BE74" s="5328"/>
      <c r="BF74" s="5329"/>
      <c r="BG74" s="5406" t="s">
        <v>160</v>
      </c>
      <c r="BH74" s="5415" t="s">
        <v>1595</v>
      </c>
      <c r="BI74" s="5416"/>
      <c r="BJ74" s="5416"/>
      <c r="BK74" s="5416"/>
      <c r="BL74" s="5416"/>
      <c r="BM74" s="5416"/>
      <c r="BN74" s="5416"/>
      <c r="BO74" s="5416"/>
      <c r="BP74" s="5417"/>
      <c r="BQ74" s="5412" t="s">
        <v>911</v>
      </c>
      <c r="BR74" s="5413"/>
      <c r="BS74" s="5413"/>
      <c r="BT74" s="5413"/>
      <c r="BU74" s="5413"/>
      <c r="BV74" s="5413"/>
      <c r="BW74" s="5413"/>
      <c r="BX74" s="5414"/>
      <c r="BY74" s="5313" t="s">
        <v>1897</v>
      </c>
      <c r="BZ74" s="5314"/>
      <c r="CA74" s="5314"/>
      <c r="CB74" s="5315"/>
      <c r="CC74" s="5315"/>
      <c r="CD74" s="5315"/>
      <c r="CE74" s="5315"/>
      <c r="CF74" s="5315"/>
      <c r="CG74" s="5316"/>
      <c r="CH74" s="5327" t="s">
        <v>1849</v>
      </c>
      <c r="CI74" s="5328"/>
      <c r="CJ74" s="5328"/>
      <c r="CK74" s="5328"/>
      <c r="CL74" s="5328"/>
      <c r="CM74" s="5328"/>
      <c r="CN74" s="5328"/>
      <c r="CO74" s="5329"/>
    </row>
    <row r="75" spans="1:93" ht="20.25" customHeight="1" thickBot="1">
      <c r="A75" s="5370"/>
      <c r="B75" s="5400"/>
      <c r="C75" s="4896" t="s">
        <v>61</v>
      </c>
      <c r="D75" s="4896" t="s">
        <v>62</v>
      </c>
      <c r="E75" s="4896" t="s">
        <v>61</v>
      </c>
      <c r="F75" s="4896" t="s">
        <v>66</v>
      </c>
      <c r="G75" s="4902" t="s">
        <v>61</v>
      </c>
      <c r="H75" s="4902" t="s">
        <v>112</v>
      </c>
      <c r="I75" s="4902" t="s">
        <v>60</v>
      </c>
      <c r="J75" s="4902" t="s">
        <v>63</v>
      </c>
      <c r="K75" s="4902" t="s">
        <v>110</v>
      </c>
      <c r="L75" s="4896" t="s">
        <v>61</v>
      </c>
      <c r="M75" s="4896" t="s">
        <v>123</v>
      </c>
      <c r="N75" s="4896" t="s">
        <v>126</v>
      </c>
      <c r="O75" s="4896" t="s">
        <v>97</v>
      </c>
      <c r="P75" s="4896" t="s">
        <v>127</v>
      </c>
      <c r="Q75" s="4896" t="s">
        <v>97</v>
      </c>
      <c r="R75" s="4896" t="s">
        <v>161</v>
      </c>
      <c r="S75" s="5342" t="s">
        <v>23</v>
      </c>
      <c r="T75" s="5342"/>
      <c r="U75" s="4902" t="s">
        <v>110</v>
      </c>
      <c r="V75" s="5399" t="s">
        <v>408</v>
      </c>
      <c r="W75" s="5297" t="s">
        <v>126</v>
      </c>
      <c r="X75" s="5394" t="s">
        <v>97</v>
      </c>
      <c r="Y75" s="5379" t="s">
        <v>127</v>
      </c>
      <c r="Z75" s="5395"/>
      <c r="AA75" s="5396"/>
      <c r="AB75" s="5379" t="s">
        <v>831</v>
      </c>
      <c r="AC75" s="5380"/>
      <c r="AD75" s="5381"/>
      <c r="AE75" s="5362" t="s">
        <v>126</v>
      </c>
      <c r="AF75" s="5386"/>
      <c r="AG75" s="5386"/>
      <c r="AH75" s="5387"/>
      <c r="AI75" s="5362" t="s">
        <v>127</v>
      </c>
      <c r="AJ75" s="5375"/>
      <c r="AK75" s="5375"/>
      <c r="AL75" s="5376"/>
      <c r="AM75" s="3930"/>
      <c r="AN75" s="1347"/>
      <c r="AO75" s="1348"/>
      <c r="AP75" s="5362" t="s">
        <v>862</v>
      </c>
      <c r="AQ75" s="5363"/>
      <c r="AR75" s="5364"/>
      <c r="AS75" s="5365" t="s">
        <v>863</v>
      </c>
      <c r="AT75" s="5366"/>
      <c r="AU75" s="5367"/>
      <c r="AV75" s="5365" t="s">
        <v>1639</v>
      </c>
      <c r="AW75" s="5366"/>
      <c r="AX75" s="5367"/>
      <c r="AY75" s="5330" t="s">
        <v>126</v>
      </c>
      <c r="AZ75" s="5331"/>
      <c r="BA75" s="5331"/>
      <c r="BB75" s="5331"/>
      <c r="BC75" s="5093" t="s">
        <v>127</v>
      </c>
      <c r="BD75" s="5094"/>
      <c r="BE75" s="5094"/>
      <c r="BF75" s="5095"/>
      <c r="BG75" s="5407"/>
      <c r="BH75" s="5248"/>
      <c r="BI75" s="5249"/>
      <c r="BJ75" s="5249"/>
      <c r="BK75" s="5249"/>
      <c r="BL75" s="5249"/>
      <c r="BM75" s="5249"/>
      <c r="BN75" s="5249"/>
      <c r="BO75" s="5249"/>
      <c r="BP75" s="5250"/>
      <c r="BQ75" s="5330" t="s">
        <v>126</v>
      </c>
      <c r="BR75" s="5331"/>
      <c r="BS75" s="5331"/>
      <c r="BT75" s="5331"/>
      <c r="BU75" s="5409" t="s">
        <v>127</v>
      </c>
      <c r="BV75" s="5410"/>
      <c r="BW75" s="5410"/>
      <c r="BX75" s="5411"/>
      <c r="BY75" s="5141" t="s">
        <v>598</v>
      </c>
      <c r="BZ75" s="5142"/>
      <c r="CA75" s="5142"/>
      <c r="CB75" s="5142" t="s">
        <v>229</v>
      </c>
      <c r="CC75" s="5142"/>
      <c r="CD75" s="5142"/>
      <c r="CE75" s="5142" t="s">
        <v>301</v>
      </c>
      <c r="CF75" s="5142"/>
      <c r="CG75" s="5143"/>
      <c r="CH75" s="5330" t="s">
        <v>126</v>
      </c>
      <c r="CI75" s="5331"/>
      <c r="CJ75" s="5331"/>
      <c r="CK75" s="5331"/>
      <c r="CL75" s="5332" t="s">
        <v>127</v>
      </c>
      <c r="CM75" s="5333"/>
      <c r="CN75" s="5333"/>
      <c r="CO75" s="5334"/>
    </row>
    <row r="76" spans="1:93" ht="20.25" customHeight="1">
      <c r="A76" s="5370"/>
      <c r="B76" s="5400"/>
      <c r="C76" s="4896"/>
      <c r="D76" s="4896"/>
      <c r="E76" s="4896"/>
      <c r="F76" s="4896"/>
      <c r="G76" s="5099"/>
      <c r="H76" s="5099"/>
      <c r="I76" s="5099"/>
      <c r="J76" s="5099"/>
      <c r="K76" s="5099"/>
      <c r="L76" s="4896"/>
      <c r="M76" s="4896"/>
      <c r="N76" s="4896"/>
      <c r="O76" s="4896"/>
      <c r="P76" s="4896"/>
      <c r="Q76" s="4896"/>
      <c r="R76" s="4896"/>
      <c r="S76" s="4902" t="s">
        <v>47</v>
      </c>
      <c r="T76" s="4902" t="s">
        <v>211</v>
      </c>
      <c r="U76" s="5099"/>
      <c r="V76" s="5069"/>
      <c r="W76" s="5403"/>
      <c r="X76" s="5404"/>
      <c r="Y76" s="5335" t="s">
        <v>301</v>
      </c>
      <c r="Z76" s="5338" t="s">
        <v>50</v>
      </c>
      <c r="AA76" s="5359"/>
      <c r="AB76" s="5335" t="s">
        <v>301</v>
      </c>
      <c r="AC76" s="5338" t="s">
        <v>50</v>
      </c>
      <c r="AD76" s="5374"/>
      <c r="AE76" s="5335" t="s">
        <v>301</v>
      </c>
      <c r="AF76" s="5378" t="s">
        <v>97</v>
      </c>
      <c r="AG76" s="5338" t="s">
        <v>50</v>
      </c>
      <c r="AH76" s="5374"/>
      <c r="AI76" s="5335" t="s">
        <v>301</v>
      </c>
      <c r="AJ76" s="5378" t="s">
        <v>97</v>
      </c>
      <c r="AK76" s="5338" t="s">
        <v>50</v>
      </c>
      <c r="AL76" s="5374"/>
      <c r="AM76" s="1349"/>
      <c r="AN76" s="1350"/>
      <c r="AO76" s="3962"/>
      <c r="AP76" s="5335" t="s">
        <v>301</v>
      </c>
      <c r="AQ76" s="5338" t="s">
        <v>50</v>
      </c>
      <c r="AR76" s="5374"/>
      <c r="AS76" s="5335" t="s">
        <v>301</v>
      </c>
      <c r="AT76" s="5338" t="s">
        <v>50</v>
      </c>
      <c r="AU76" s="5374"/>
      <c r="AV76" s="5335" t="s">
        <v>301</v>
      </c>
      <c r="AW76" s="5338" t="s">
        <v>50</v>
      </c>
      <c r="AX76" s="5374"/>
      <c r="AY76" s="5335" t="s">
        <v>301</v>
      </c>
      <c r="AZ76" s="5243" t="s">
        <v>97</v>
      </c>
      <c r="BA76" s="5338" t="s">
        <v>50</v>
      </c>
      <c r="BB76" s="5339"/>
      <c r="BC76" s="5340" t="s">
        <v>301</v>
      </c>
      <c r="BD76" s="5341" t="s">
        <v>97</v>
      </c>
      <c r="BE76" s="5342" t="s">
        <v>50</v>
      </c>
      <c r="BF76" s="5343"/>
      <c r="BG76" s="5407"/>
      <c r="BH76" s="5335" t="s">
        <v>301</v>
      </c>
      <c r="BI76" s="5338" t="s">
        <v>50</v>
      </c>
      <c r="BJ76" s="5374"/>
      <c r="BK76" s="5335" t="s">
        <v>301</v>
      </c>
      <c r="BL76" s="5338" t="s">
        <v>50</v>
      </c>
      <c r="BM76" s="5374"/>
      <c r="BN76" s="5335" t="s">
        <v>301</v>
      </c>
      <c r="BO76" s="5338" t="s">
        <v>50</v>
      </c>
      <c r="BP76" s="5374"/>
      <c r="BQ76" s="5335" t="s">
        <v>301</v>
      </c>
      <c r="BR76" s="5243" t="s">
        <v>97</v>
      </c>
      <c r="BS76" s="5338" t="s">
        <v>50</v>
      </c>
      <c r="BT76" s="5339"/>
      <c r="BU76" s="5340" t="s">
        <v>301</v>
      </c>
      <c r="BV76" s="5341" t="s">
        <v>97</v>
      </c>
      <c r="BW76" s="5342" t="s">
        <v>50</v>
      </c>
      <c r="BX76" s="5343"/>
      <c r="BY76" s="5321" t="s">
        <v>301</v>
      </c>
      <c r="BZ76" s="5323" t="s">
        <v>50</v>
      </c>
      <c r="CA76" s="5323"/>
      <c r="CB76" s="5323" t="s">
        <v>301</v>
      </c>
      <c r="CC76" s="5323" t="s">
        <v>50</v>
      </c>
      <c r="CD76" s="5323"/>
      <c r="CE76" s="5323" t="s">
        <v>301</v>
      </c>
      <c r="CF76" s="5323" t="s">
        <v>50</v>
      </c>
      <c r="CG76" s="5325"/>
      <c r="CH76" s="5335" t="s">
        <v>301</v>
      </c>
      <c r="CI76" s="5243" t="s">
        <v>97</v>
      </c>
      <c r="CJ76" s="5338" t="s">
        <v>50</v>
      </c>
      <c r="CK76" s="5339"/>
      <c r="CL76" s="5340" t="s">
        <v>301</v>
      </c>
      <c r="CM76" s="5341" t="s">
        <v>97</v>
      </c>
      <c r="CN76" s="5342" t="s">
        <v>50</v>
      </c>
      <c r="CO76" s="5343"/>
    </row>
    <row r="77" spans="1:93" ht="20.25" customHeight="1" thickBot="1">
      <c r="A77" s="5371"/>
      <c r="B77" s="5401"/>
      <c r="C77" s="5402"/>
      <c r="D77" s="5402"/>
      <c r="E77" s="5402"/>
      <c r="F77" s="5402"/>
      <c r="G77" s="5354"/>
      <c r="H77" s="5354"/>
      <c r="I77" s="5354"/>
      <c r="J77" s="5354"/>
      <c r="K77" s="5354"/>
      <c r="L77" s="5402"/>
      <c r="M77" s="5402"/>
      <c r="N77" s="5402"/>
      <c r="O77" s="5402"/>
      <c r="P77" s="5402"/>
      <c r="Q77" s="5402"/>
      <c r="R77" s="5402"/>
      <c r="S77" s="5354"/>
      <c r="T77" s="5354"/>
      <c r="U77" s="5354"/>
      <c r="V77" s="5385"/>
      <c r="W77" s="5299"/>
      <c r="X77" s="5405"/>
      <c r="Y77" s="5336"/>
      <c r="Z77" s="3675" t="s">
        <v>47</v>
      </c>
      <c r="AA77" s="3963" t="s">
        <v>546</v>
      </c>
      <c r="AB77" s="5336"/>
      <c r="AC77" s="3675" t="s">
        <v>47</v>
      </c>
      <c r="AD77" s="3963" t="s">
        <v>546</v>
      </c>
      <c r="AE77" s="5397"/>
      <c r="AF77" s="5398"/>
      <c r="AG77" s="3675" t="s">
        <v>47</v>
      </c>
      <c r="AH77" s="3963" t="s">
        <v>546</v>
      </c>
      <c r="AI77" s="5397"/>
      <c r="AJ77" s="5398"/>
      <c r="AK77" s="3675" t="s">
        <v>47</v>
      </c>
      <c r="AL77" s="3963" t="s">
        <v>546</v>
      </c>
      <c r="AM77" s="3964" t="s">
        <v>257</v>
      </c>
      <c r="AN77" s="3965" t="s">
        <v>372</v>
      </c>
      <c r="AO77" s="3966"/>
      <c r="AP77" s="5336"/>
      <c r="AQ77" s="3675" t="s">
        <v>47</v>
      </c>
      <c r="AR77" s="3963" t="s">
        <v>546</v>
      </c>
      <c r="AS77" s="5336"/>
      <c r="AT77" s="3675" t="s">
        <v>47</v>
      </c>
      <c r="AU77" s="3963" t="s">
        <v>546</v>
      </c>
      <c r="AV77" s="5336"/>
      <c r="AW77" s="3675" t="s">
        <v>47</v>
      </c>
      <c r="AX77" s="3963" t="s">
        <v>546</v>
      </c>
      <c r="AY77" s="5336"/>
      <c r="AZ77" s="5337"/>
      <c r="BA77" s="3675" t="s">
        <v>47</v>
      </c>
      <c r="BB77" s="3967" t="s">
        <v>546</v>
      </c>
      <c r="BC77" s="5336"/>
      <c r="BD77" s="5337"/>
      <c r="BE77" s="3675" t="s">
        <v>47</v>
      </c>
      <c r="BF77" s="3963" t="s">
        <v>546</v>
      </c>
      <c r="BG77" s="5408"/>
      <c r="BH77" s="5336"/>
      <c r="BI77" s="3675" t="s">
        <v>47</v>
      </c>
      <c r="BJ77" s="3963" t="s">
        <v>546</v>
      </c>
      <c r="BK77" s="5336"/>
      <c r="BL77" s="3675" t="s">
        <v>47</v>
      </c>
      <c r="BM77" s="3963" t="s">
        <v>546</v>
      </c>
      <c r="BN77" s="5336"/>
      <c r="BO77" s="3675" t="s">
        <v>47</v>
      </c>
      <c r="BP77" s="3963" t="s">
        <v>546</v>
      </c>
      <c r="BQ77" s="5336"/>
      <c r="BR77" s="5337"/>
      <c r="BS77" s="4014" t="s">
        <v>47</v>
      </c>
      <c r="BT77" s="3967" t="s">
        <v>546</v>
      </c>
      <c r="BU77" s="5336"/>
      <c r="BV77" s="5337"/>
      <c r="BW77" s="4014" t="s">
        <v>47</v>
      </c>
      <c r="BX77" s="3963" t="s">
        <v>546</v>
      </c>
      <c r="BY77" s="5322"/>
      <c r="BZ77" s="3968" t="s">
        <v>47</v>
      </c>
      <c r="CA77" s="3968" t="s">
        <v>546</v>
      </c>
      <c r="CB77" s="5324"/>
      <c r="CC77" s="3968" t="s">
        <v>47</v>
      </c>
      <c r="CD77" s="3968" t="s">
        <v>546</v>
      </c>
      <c r="CE77" s="5324"/>
      <c r="CF77" s="3968" t="s">
        <v>47</v>
      </c>
      <c r="CG77" s="3969" t="s">
        <v>546</v>
      </c>
      <c r="CH77" s="5336"/>
      <c r="CI77" s="5337"/>
      <c r="CJ77" s="4110" t="s">
        <v>47</v>
      </c>
      <c r="CK77" s="3967" t="s">
        <v>546</v>
      </c>
      <c r="CL77" s="5336"/>
      <c r="CM77" s="5337"/>
      <c r="CN77" s="4110" t="s">
        <v>47</v>
      </c>
      <c r="CO77" s="3963" t="s">
        <v>546</v>
      </c>
    </row>
    <row r="78" spans="1:93" ht="20.25" customHeight="1">
      <c r="A78" s="3970" t="s">
        <v>1</v>
      </c>
      <c r="B78" s="3971"/>
      <c r="C78" s="3971"/>
      <c r="D78" s="3971"/>
      <c r="E78" s="3971"/>
      <c r="F78" s="3971"/>
      <c r="G78" s="3971"/>
      <c r="H78" s="3971"/>
      <c r="I78" s="3971"/>
      <c r="J78" s="3971"/>
      <c r="K78" s="3971"/>
      <c r="L78" s="3971"/>
      <c r="M78" s="3971"/>
      <c r="N78" s="3971"/>
      <c r="O78" s="3971"/>
      <c r="P78" s="3971"/>
      <c r="Q78" s="3971"/>
      <c r="R78" s="3971"/>
      <c r="S78" s="3971"/>
      <c r="T78" s="3971"/>
      <c r="U78" s="3971"/>
      <c r="V78" s="3971"/>
      <c r="W78" s="1448">
        <f>SUM(W9+W18)</f>
        <v>11950.3</v>
      </c>
      <c r="X78" s="3971"/>
      <c r="Y78" s="1437">
        <f t="shared" ref="Y78:AE78" si="221">SUM(Y9+Y18)</f>
        <v>8235.3261012666553</v>
      </c>
      <c r="Z78" s="1438">
        <f t="shared" si="221"/>
        <v>8188.1478257572307</v>
      </c>
      <c r="AA78" s="1439">
        <f t="shared" si="221"/>
        <v>47.178275509425475</v>
      </c>
      <c r="AB78" s="1437">
        <f t="shared" si="221"/>
        <v>8646.5</v>
      </c>
      <c r="AC78" s="1438">
        <f t="shared" si="221"/>
        <v>8584.7838214141884</v>
      </c>
      <c r="AD78" s="1439">
        <f t="shared" si="221"/>
        <v>61.716178585811576</v>
      </c>
      <c r="AE78" s="1437">
        <f t="shared" si="221"/>
        <v>8729.4500000000007</v>
      </c>
      <c r="AF78" s="1435">
        <f t="shared" ref="AF78:AF102" si="222">SUM(AE78/Y78)</f>
        <v>1.0600005261063488</v>
      </c>
      <c r="AG78" s="1438">
        <f t="shared" ref="AG78:AI78" si="223">SUM(AG9+AG18)</f>
        <v>8678.7799999999988</v>
      </c>
      <c r="AH78" s="1439">
        <f t="shared" si="223"/>
        <v>50.67</v>
      </c>
      <c r="AI78" s="1437">
        <f t="shared" si="223"/>
        <v>7646.5854110996133</v>
      </c>
      <c r="AJ78" s="1435">
        <f t="shared" ref="AJ78:AJ102" si="224">SUM(AI78/Y78)</f>
        <v>0.92851033669735439</v>
      </c>
      <c r="AK78" s="1438">
        <f t="shared" ref="AK78:AY78" si="225">SUM(AK9+AK18)</f>
        <v>7595.9159432024917</v>
      </c>
      <c r="AL78" s="1439">
        <f t="shared" si="225"/>
        <v>50.669467897122964</v>
      </c>
      <c r="AM78" s="1448" t="e">
        <f t="shared" si="225"/>
        <v>#REF!</v>
      </c>
      <c r="AN78" s="1448" t="e">
        <f t="shared" si="225"/>
        <v>#REF!</v>
      </c>
      <c r="AO78" s="1448" t="e">
        <f t="shared" si="225"/>
        <v>#REF!</v>
      </c>
      <c r="AP78" s="1437">
        <f t="shared" si="225"/>
        <v>4209.3</v>
      </c>
      <c r="AQ78" s="1438">
        <f t="shared" si="225"/>
        <v>4189.1750511749278</v>
      </c>
      <c r="AR78" s="1439">
        <f t="shared" si="225"/>
        <v>20.124948825071897</v>
      </c>
      <c r="AS78" s="1437">
        <f t="shared" si="225"/>
        <v>6232.7999999999993</v>
      </c>
      <c r="AT78" s="1438">
        <f t="shared" si="225"/>
        <v>6201.7999543449114</v>
      </c>
      <c r="AU78" s="1439">
        <f t="shared" si="225"/>
        <v>31.000045655087888</v>
      </c>
      <c r="AV78" s="1437">
        <f t="shared" ref="AV78:AX78" si="226">SUM(AV9+AV18)</f>
        <v>8798</v>
      </c>
      <c r="AW78" s="1438">
        <f t="shared" si="226"/>
        <v>8744.0051247527226</v>
      </c>
      <c r="AX78" s="1439">
        <f t="shared" si="226"/>
        <v>53.994875247278287</v>
      </c>
      <c r="AY78" s="1437">
        <f t="shared" si="225"/>
        <v>7986.29</v>
      </c>
      <c r="AZ78" s="2164">
        <f t="shared" ref="AZ78:AZ102" si="227">SUM(AY78/AI78)</f>
        <v>1.0444256580731157</v>
      </c>
      <c r="BA78" s="1438">
        <f t="shared" ref="BA78:BC78" si="228">SUM(BA9+BA18)</f>
        <v>7953.5690831232314</v>
      </c>
      <c r="BB78" s="1439">
        <f t="shared" si="228"/>
        <v>32.72091687676857</v>
      </c>
      <c r="BC78" s="1437">
        <f t="shared" si="228"/>
        <v>7602.7711160850849</v>
      </c>
      <c r="BD78" s="2164">
        <f t="shared" ref="BD78:BD102" si="229">SUM(BC78/AI78)</f>
        <v>0.99427008361785529</v>
      </c>
      <c r="BE78" s="1438">
        <f t="shared" ref="BE78:BF78" si="230">SUM(BE9+BE18)</f>
        <v>7570.0147556202828</v>
      </c>
      <c r="BF78" s="1439">
        <f t="shared" si="230"/>
        <v>32.756360464803038</v>
      </c>
      <c r="BG78" s="1450"/>
      <c r="BH78" s="1437">
        <f t="shared" ref="BH78:BJ78" si="231">SUM(BH9+BH18)</f>
        <v>5105.21</v>
      </c>
      <c r="BI78" s="1438">
        <f t="shared" si="231"/>
        <v>5074.692930449829</v>
      </c>
      <c r="BJ78" s="1439">
        <f t="shared" si="231"/>
        <v>30.517069550171072</v>
      </c>
      <c r="BK78" s="1437">
        <f t="shared" ref="BK78:BM78" si="232">SUM(BK9+BK18)</f>
        <v>7248.59</v>
      </c>
      <c r="BL78" s="1438">
        <f t="shared" si="232"/>
        <v>7203.7664595680426</v>
      </c>
      <c r="BM78" s="1439">
        <f t="shared" si="232"/>
        <v>44.823540431957554</v>
      </c>
      <c r="BN78" s="1437">
        <f t="shared" ref="BN78:BQ78" si="233">SUM(BN9+BN18)</f>
        <v>9995.2300000000014</v>
      </c>
      <c r="BO78" s="1438">
        <f t="shared" si="233"/>
        <v>9932.5196269463577</v>
      </c>
      <c r="BP78" s="1439">
        <f t="shared" si="233"/>
        <v>62.710373053643707</v>
      </c>
      <c r="BQ78" s="2885">
        <f t="shared" si="233"/>
        <v>7781.3577352883385</v>
      </c>
      <c r="BR78" s="3978">
        <f t="shared" ref="BR78:BR102" si="234">SUM(BQ78/BC78)</f>
        <v>1.0234896745510884</v>
      </c>
      <c r="BS78" s="2886">
        <f t="shared" ref="BS78:BU78" si="235">SUM(BS9+BS18)</f>
        <v>7737.5864719207584</v>
      </c>
      <c r="BT78" s="2887">
        <f t="shared" si="235"/>
        <v>43.771263367580104</v>
      </c>
      <c r="BU78" s="2885">
        <f t="shared" si="235"/>
        <v>7536.43</v>
      </c>
      <c r="BV78" s="4017">
        <f t="shared" ref="BV78:BV102" si="236">SUM(BU78/BC78)</f>
        <v>0.99127408742521161</v>
      </c>
      <c r="BW78" s="2886">
        <f t="shared" ref="BW78:CH78" si="237">SUM(BW9+BW18)</f>
        <v>7465.7000000000007</v>
      </c>
      <c r="BX78" s="2887">
        <f t="shared" si="237"/>
        <v>70.73</v>
      </c>
      <c r="BY78" s="2696">
        <f t="shared" si="237"/>
        <v>5308.56</v>
      </c>
      <c r="BZ78" s="2697">
        <f t="shared" si="237"/>
        <v>5280.177030308706</v>
      </c>
      <c r="CA78" s="2697">
        <f t="shared" si="237"/>
        <v>28.38296969129442</v>
      </c>
      <c r="CB78" s="2697">
        <f t="shared" ref="CB78:CD78" si="238">SUM(CB9+CB18)</f>
        <v>8018.51</v>
      </c>
      <c r="CC78" s="2697">
        <f t="shared" si="238"/>
        <v>7973.4552483455027</v>
      </c>
      <c r="CD78" s="2697">
        <f t="shared" si="238"/>
        <v>45.054751654496613</v>
      </c>
      <c r="CE78" s="2697">
        <f t="shared" ref="CE78:CG78" si="239">SUM(CE9+CE18)</f>
        <v>10915.289738744903</v>
      </c>
      <c r="CF78" s="2697">
        <f t="shared" si="239"/>
        <v>10850.248220460529</v>
      </c>
      <c r="CG78" s="2698">
        <f t="shared" si="239"/>
        <v>65.041518284373524</v>
      </c>
      <c r="CH78" s="2885">
        <f t="shared" si="237"/>
        <v>7960.1340697199994</v>
      </c>
      <c r="CI78" s="3978">
        <f t="shared" ref="CI78:CI102" si="240">SUM(CH78/BU78)</f>
        <v>1.0562207928316192</v>
      </c>
      <c r="CJ78" s="2886">
        <f t="shared" ref="CJ78:CL78" si="241">SUM(CJ9+CJ18)</f>
        <v>7915.5525418199995</v>
      </c>
      <c r="CK78" s="2887">
        <f t="shared" si="241"/>
        <v>44.581527899999855</v>
      </c>
      <c r="CL78" s="2885">
        <f t="shared" si="241"/>
        <v>7949.41937884857</v>
      </c>
      <c r="CM78" s="4017">
        <f t="shared" ref="CM78:CM102" si="242">SUM(CL78/BU78)</f>
        <v>1.0547990731485026</v>
      </c>
      <c r="CN78" s="2886">
        <f t="shared" ref="CN78:CO78" si="243">SUM(CN9+CN18)</f>
        <v>7912.7293788485704</v>
      </c>
      <c r="CO78" s="2887">
        <f t="shared" si="243"/>
        <v>36.69</v>
      </c>
    </row>
    <row r="79" spans="1:93" ht="20.25" customHeight="1">
      <c r="A79" s="3970" t="s">
        <v>2</v>
      </c>
      <c r="B79" s="3971"/>
      <c r="C79" s="3971"/>
      <c r="D79" s="3971"/>
      <c r="E79" s="3971"/>
      <c r="F79" s="3971"/>
      <c r="G79" s="3971"/>
      <c r="H79" s="3971"/>
      <c r="I79" s="3971"/>
      <c r="J79" s="3971"/>
      <c r="K79" s="3971"/>
      <c r="L79" s="3971"/>
      <c r="M79" s="3971"/>
      <c r="N79" s="3971"/>
      <c r="O79" s="3971"/>
      <c r="P79" s="3971"/>
      <c r="Q79" s="3971"/>
      <c r="R79" s="3971"/>
      <c r="S79" s="3971"/>
      <c r="T79" s="3971"/>
      <c r="U79" s="3971"/>
      <c r="V79" s="3971"/>
      <c r="W79" s="3973">
        <f>SUM(W10+W20+W32+W35+W11+W21+W36)</f>
        <v>5225.95</v>
      </c>
      <c r="X79" s="3971"/>
      <c r="Y79" s="3974">
        <f t="shared" ref="Y79:AE79" si="244">SUM(Y10+Y20+Y32+Y35+Y11+Y21+Y36)</f>
        <v>4787.7299999999996</v>
      </c>
      <c r="Z79" s="3975">
        <f t="shared" si="244"/>
        <v>4780.4040436191353</v>
      </c>
      <c r="AA79" s="3976">
        <f t="shared" si="244"/>
        <v>7.325956380864227</v>
      </c>
      <c r="AB79" s="3974">
        <f t="shared" si="244"/>
        <v>4702.5</v>
      </c>
      <c r="AC79" s="3975">
        <f t="shared" si="244"/>
        <v>4695.2553708072028</v>
      </c>
      <c r="AD79" s="3976">
        <f t="shared" si="244"/>
        <v>7.2446291927966513</v>
      </c>
      <c r="AE79" s="3974">
        <f t="shared" si="244"/>
        <v>4822.1000000000004</v>
      </c>
      <c r="AF79" s="3977">
        <f t="shared" si="222"/>
        <v>1.0071787673908097</v>
      </c>
      <c r="AG79" s="3975">
        <f t="shared" ref="AG79:AI79" si="245">SUM(AG10+AG20+AG32+AG35+AG11+AG21+AG36)</f>
        <v>5112.1000000000004</v>
      </c>
      <c r="AH79" s="3976">
        <f t="shared" si="245"/>
        <v>0</v>
      </c>
      <c r="AI79" s="3974">
        <f t="shared" si="245"/>
        <v>4822.1000000000004</v>
      </c>
      <c r="AJ79" s="3977">
        <f t="shared" si="224"/>
        <v>1.0071787673908097</v>
      </c>
      <c r="AK79" s="3975">
        <f t="shared" ref="AK79:AY79" si="246">SUM(AK10+AK20+AK32+AK35+AK11+AK21+AK36)</f>
        <v>4822.1000000000004</v>
      </c>
      <c r="AL79" s="3976">
        <f t="shared" si="246"/>
        <v>0</v>
      </c>
      <c r="AM79" s="3973" t="e">
        <f t="shared" si="246"/>
        <v>#REF!</v>
      </c>
      <c r="AN79" s="3973" t="e">
        <f t="shared" si="246"/>
        <v>#REF!</v>
      </c>
      <c r="AO79" s="3973" t="e">
        <f t="shared" si="246"/>
        <v>#REF!</v>
      </c>
      <c r="AP79" s="3974">
        <f t="shared" si="246"/>
        <v>2400.7200000000003</v>
      </c>
      <c r="AQ79" s="3975">
        <f t="shared" si="246"/>
        <v>2398.3597129415707</v>
      </c>
      <c r="AR79" s="3976">
        <f t="shared" si="246"/>
        <v>2.3602870584292077</v>
      </c>
      <c r="AS79" s="3974">
        <f t="shared" si="246"/>
        <v>3628.3500000000004</v>
      </c>
      <c r="AT79" s="3975">
        <f t="shared" si="246"/>
        <v>3624.8802274038444</v>
      </c>
      <c r="AU79" s="3976">
        <f t="shared" si="246"/>
        <v>3.469772596155849</v>
      </c>
      <c r="AV79" s="3974">
        <f t="shared" ref="AV79:AX79" si="247">SUM(AV10+AV20+AV32+AV35+AV11+AV21+AV36)</f>
        <v>5183.68</v>
      </c>
      <c r="AW79" s="3975">
        <f t="shared" si="247"/>
        <v>5178.4575841368242</v>
      </c>
      <c r="AX79" s="3976">
        <f t="shared" si="247"/>
        <v>5.2224158631754563</v>
      </c>
      <c r="AY79" s="3974">
        <f t="shared" si="246"/>
        <v>4822.1000000000004</v>
      </c>
      <c r="AZ79" s="3978">
        <f t="shared" si="227"/>
        <v>1</v>
      </c>
      <c r="BA79" s="3975">
        <f t="shared" ref="BA79:BC79" si="248">SUM(BA10+BA20+BA32+BA35+BA11+BA21+BA36)</f>
        <v>4816.8478665871171</v>
      </c>
      <c r="BB79" s="3976">
        <f t="shared" si="248"/>
        <v>5.2521334128832677</v>
      </c>
      <c r="BC79" s="3974">
        <f t="shared" si="248"/>
        <v>4822.1000000000004</v>
      </c>
      <c r="BD79" s="3978">
        <f t="shared" si="229"/>
        <v>1</v>
      </c>
      <c r="BE79" s="3975">
        <f t="shared" ref="BE79:BF79" si="249">SUM(BE10+BE20+BE32+BE35+BE11+BE21+BE36)</f>
        <v>4816.8478665871171</v>
      </c>
      <c r="BF79" s="3976">
        <f t="shared" si="249"/>
        <v>5.2521334128832677</v>
      </c>
      <c r="BG79" s="3979"/>
      <c r="BH79" s="3974">
        <f t="shared" ref="BH79:BJ79" si="250">SUM(BH10+BH20+BH32+BH35+BH11+BH21+BH36)</f>
        <v>2504.7599999999998</v>
      </c>
      <c r="BI79" s="3975">
        <f t="shared" si="250"/>
        <v>2502.8754017531737</v>
      </c>
      <c r="BJ79" s="3976">
        <f t="shared" si="250"/>
        <v>1.8845982468261013</v>
      </c>
      <c r="BK79" s="3974">
        <f t="shared" ref="BK79:BM79" si="251">SUM(BK10+BK20+BK32+BK35+BK11+BK21+BK36)</f>
        <v>3759.56</v>
      </c>
      <c r="BL79" s="3975">
        <f t="shared" si="251"/>
        <v>3756.6350400458164</v>
      </c>
      <c r="BM79" s="3976">
        <f t="shared" si="251"/>
        <v>2.9249599541838052</v>
      </c>
      <c r="BN79" s="3974">
        <f t="shared" ref="BN79:BQ79" si="252">SUM(BN10+BN20+BN32+BN35+BN11+BN21+BN36)</f>
        <v>5036.88</v>
      </c>
      <c r="BO79" s="3975">
        <f t="shared" si="252"/>
        <v>5032.910721805396</v>
      </c>
      <c r="BP79" s="3976">
        <f t="shared" si="252"/>
        <v>3.9692781946046125</v>
      </c>
      <c r="BQ79" s="4018">
        <f t="shared" si="252"/>
        <v>5183.68</v>
      </c>
      <c r="BR79" s="3978">
        <f t="shared" si="234"/>
        <v>1.0749839281640778</v>
      </c>
      <c r="BS79" s="4019">
        <f t="shared" ref="BS79:BU79" si="253">SUM(BS10+BS20+BS32+BS35+BS11+BS21+BS36)</f>
        <v>5178.5632671424137</v>
      </c>
      <c r="BT79" s="4020">
        <f t="shared" si="253"/>
        <v>5.1167328575860438</v>
      </c>
      <c r="BU79" s="4018">
        <f t="shared" si="253"/>
        <v>5180.71</v>
      </c>
      <c r="BV79" s="4017">
        <f t="shared" si="236"/>
        <v>1.0743680139358369</v>
      </c>
      <c r="BW79" s="4019">
        <f t="shared" ref="BW79:CH79" si="254">SUM(BW10+BW20+BW32+BW35+BW11+BW21+BW36)</f>
        <v>5175.59</v>
      </c>
      <c r="BX79" s="4020">
        <f t="shared" si="254"/>
        <v>5.12</v>
      </c>
      <c r="BY79" s="3980">
        <f t="shared" si="254"/>
        <v>2526.52</v>
      </c>
      <c r="BZ79" s="3981">
        <f t="shared" si="254"/>
        <v>2524.9474535693107</v>
      </c>
      <c r="CA79" s="3981">
        <f t="shared" si="254"/>
        <v>1.5725464306894992</v>
      </c>
      <c r="CB79" s="3981">
        <f t="shared" ref="CB79:CD79" si="255">SUM(CB10+CB20+CB32+CB35+CB11+CB21+CB36)</f>
        <v>3774.12</v>
      </c>
      <c r="CC79" s="3981">
        <f t="shared" si="255"/>
        <v>3771.6878421858169</v>
      </c>
      <c r="CD79" s="3981">
        <f t="shared" si="255"/>
        <v>2.4321578141833697</v>
      </c>
      <c r="CE79" s="3981">
        <f t="shared" ref="CE79:CG79" si="256">SUM(CE10+CE20+CE32+CE35+CE11+CE21+CE36)</f>
        <v>5032.1600000000008</v>
      </c>
      <c r="CF79" s="3981">
        <f t="shared" si="256"/>
        <v>5028.7209462365599</v>
      </c>
      <c r="CG79" s="3982">
        <f t="shared" si="256"/>
        <v>3.4390537634408247</v>
      </c>
      <c r="CH79" s="4018">
        <f t="shared" si="254"/>
        <v>5036.88</v>
      </c>
      <c r="CI79" s="3978">
        <f t="shared" si="240"/>
        <v>0.97223739603259018</v>
      </c>
      <c r="CJ79" s="4019">
        <f t="shared" ref="CJ79:CL79" si="257">SUM(CJ10+CJ20+CJ32+CJ35+CJ11+CJ21+CJ36)</f>
        <v>5032.7192837380881</v>
      </c>
      <c r="CK79" s="4020">
        <f t="shared" si="257"/>
        <v>4.1607162619120572</v>
      </c>
      <c r="CL79" s="4018">
        <f t="shared" si="257"/>
        <v>5036.88</v>
      </c>
      <c r="CM79" s="4017">
        <f t="shared" si="242"/>
        <v>0.97223739603259018</v>
      </c>
      <c r="CN79" s="4019">
        <f t="shared" ref="CN79:CO79" si="258">SUM(CN10+CN20+CN32+CN35+CN11+CN21+CN36)</f>
        <v>5031.76</v>
      </c>
      <c r="CO79" s="4020">
        <f t="shared" si="258"/>
        <v>5.12</v>
      </c>
    </row>
    <row r="80" spans="1:93" ht="20.25" customHeight="1">
      <c r="A80" s="3970" t="s">
        <v>3</v>
      </c>
      <c r="B80" s="3971"/>
      <c r="C80" s="3971"/>
      <c r="D80" s="3971"/>
      <c r="E80" s="3971"/>
      <c r="F80" s="3971"/>
      <c r="G80" s="3971"/>
      <c r="H80" s="3971"/>
      <c r="I80" s="3971"/>
      <c r="J80" s="3971"/>
      <c r="K80" s="3971"/>
      <c r="L80" s="3971"/>
      <c r="M80" s="3971"/>
      <c r="N80" s="3971"/>
      <c r="O80" s="3971"/>
      <c r="P80" s="3971"/>
      <c r="Q80" s="3971"/>
      <c r="R80" s="3971"/>
      <c r="S80" s="3971"/>
      <c r="T80" s="3971"/>
      <c r="U80" s="3971"/>
      <c r="V80" s="3971"/>
      <c r="W80" s="3973">
        <f>SUM(W12+W22+W28+W37)</f>
        <v>2541</v>
      </c>
      <c r="X80" s="3971"/>
      <c r="Y80" s="3974">
        <f t="shared" ref="Y80:AE80" si="259">SUM(Y12+Y22+Y28+Y37)</f>
        <v>699.72213333333343</v>
      </c>
      <c r="Z80" s="3975">
        <f t="shared" si="259"/>
        <v>699.72213333333343</v>
      </c>
      <c r="AA80" s="3976">
        <f t="shared" si="259"/>
        <v>0.3</v>
      </c>
      <c r="AB80" s="3974">
        <f t="shared" si="259"/>
        <v>658.1</v>
      </c>
      <c r="AC80" s="3975">
        <f t="shared" si="259"/>
        <v>658.1</v>
      </c>
      <c r="AD80" s="3976">
        <f t="shared" si="259"/>
        <v>0</v>
      </c>
      <c r="AE80" s="3974">
        <f t="shared" si="259"/>
        <v>1570</v>
      </c>
      <c r="AF80" s="3977">
        <f t="shared" si="222"/>
        <v>2.2437478038901535</v>
      </c>
      <c r="AG80" s="3975">
        <f t="shared" ref="AG80:AI80" si="260">SUM(AG12+AG22+AG28+AG37)</f>
        <v>1570</v>
      </c>
      <c r="AH80" s="3976">
        <f t="shared" si="260"/>
        <v>0</v>
      </c>
      <c r="AI80" s="3974">
        <f t="shared" si="260"/>
        <v>361.53</v>
      </c>
      <c r="AJ80" s="3977">
        <f t="shared" si="224"/>
        <v>0.51667652454803004</v>
      </c>
      <c r="AK80" s="3975">
        <f t="shared" ref="AK80:AY80" si="261">SUM(AK12+AK22+AK28+AK37)</f>
        <v>361.53</v>
      </c>
      <c r="AL80" s="3976">
        <f t="shared" si="261"/>
        <v>0</v>
      </c>
      <c r="AM80" s="3973" t="e">
        <f t="shared" si="261"/>
        <v>#REF!</v>
      </c>
      <c r="AN80" s="3973" t="e">
        <f t="shared" si="261"/>
        <v>#REF!</v>
      </c>
      <c r="AO80" s="3973" t="e">
        <f t="shared" si="261"/>
        <v>#REF!</v>
      </c>
      <c r="AP80" s="3974">
        <f t="shared" si="261"/>
        <v>0</v>
      </c>
      <c r="AQ80" s="3975">
        <f t="shared" si="261"/>
        <v>0</v>
      </c>
      <c r="AR80" s="3976">
        <f t="shared" si="261"/>
        <v>0</v>
      </c>
      <c r="AS80" s="3974">
        <f t="shared" si="261"/>
        <v>0</v>
      </c>
      <c r="AT80" s="3975">
        <f t="shared" si="261"/>
        <v>0</v>
      </c>
      <c r="AU80" s="3976">
        <f t="shared" si="261"/>
        <v>0</v>
      </c>
      <c r="AV80" s="3974">
        <f t="shared" ref="AV80:AX80" si="262">SUM(AV12+AV22+AV28+AV37)</f>
        <v>1188.7399999999998</v>
      </c>
      <c r="AW80" s="3975">
        <f t="shared" si="262"/>
        <v>1188.7399999999998</v>
      </c>
      <c r="AX80" s="3976">
        <f t="shared" si="262"/>
        <v>0</v>
      </c>
      <c r="AY80" s="3974">
        <f t="shared" si="261"/>
        <v>1598.377</v>
      </c>
      <c r="AZ80" s="3978">
        <f t="shared" si="227"/>
        <v>4.4211462395928418</v>
      </c>
      <c r="BA80" s="3975">
        <f t="shared" ref="BA80:BC80" si="263">SUM(BA12+BA22+BA28+BA37)</f>
        <v>1598.377</v>
      </c>
      <c r="BB80" s="3976">
        <f t="shared" si="263"/>
        <v>0</v>
      </c>
      <c r="BC80" s="3974">
        <f t="shared" si="263"/>
        <v>301.27555932203393</v>
      </c>
      <c r="BD80" s="3978">
        <f t="shared" si="229"/>
        <v>0.83333488043048698</v>
      </c>
      <c r="BE80" s="3975">
        <f t="shared" ref="BE80:BF80" si="264">SUM(BE12+BE22+BE28+BE37)</f>
        <v>301.27555932203393</v>
      </c>
      <c r="BF80" s="3976">
        <f t="shared" si="264"/>
        <v>0</v>
      </c>
      <c r="BG80" s="3979"/>
      <c r="BH80" s="3974">
        <f t="shared" ref="BH80:BJ80" si="265">SUM(BH12+BH22+BH28+BH37)</f>
        <v>776.3599999999999</v>
      </c>
      <c r="BI80" s="3975">
        <f t="shared" si="265"/>
        <v>776.3599999999999</v>
      </c>
      <c r="BJ80" s="3976">
        <f t="shared" si="265"/>
        <v>0</v>
      </c>
      <c r="BK80" s="3974">
        <f t="shared" ref="BK80:BM80" si="266">SUM(BK12+BK22+BK28+BK37)</f>
        <v>1105.21</v>
      </c>
      <c r="BL80" s="3975">
        <f t="shared" si="266"/>
        <v>1105.21</v>
      </c>
      <c r="BM80" s="3976">
        <f t="shared" si="266"/>
        <v>0</v>
      </c>
      <c r="BN80" s="3974">
        <f t="shared" ref="BN80:BQ80" si="267">SUM(BN12+BN22+BN28+BN37)</f>
        <v>1247.06</v>
      </c>
      <c r="BO80" s="3975">
        <f t="shared" si="267"/>
        <v>1247.06</v>
      </c>
      <c r="BP80" s="3976">
        <f t="shared" si="267"/>
        <v>0</v>
      </c>
      <c r="BQ80" s="4018">
        <f t="shared" si="267"/>
        <v>594.36999999999989</v>
      </c>
      <c r="BR80" s="3978">
        <f t="shared" si="234"/>
        <v>1.9728450636272052</v>
      </c>
      <c r="BS80" s="4019">
        <f t="shared" ref="BS80:BU80" si="268">SUM(BS12+BS22+BS28+BS37)</f>
        <v>591.93187868445546</v>
      </c>
      <c r="BT80" s="4020">
        <f t="shared" si="268"/>
        <v>2.4381213155444925</v>
      </c>
      <c r="BU80" s="4018">
        <f t="shared" si="268"/>
        <v>319.4394627935593</v>
      </c>
      <c r="BV80" s="4017">
        <f t="shared" si="236"/>
        <v>1.0602899999999997</v>
      </c>
      <c r="BW80" s="4019">
        <f t="shared" ref="BW80:CH80" si="269">SUM(BW12+BW22+BW28+BW37)</f>
        <v>319.4394627935593</v>
      </c>
      <c r="BX80" s="4020">
        <f t="shared" si="269"/>
        <v>0</v>
      </c>
      <c r="BY80" s="3980">
        <f t="shared" si="269"/>
        <v>1144.7299999999998</v>
      </c>
      <c r="BZ80" s="3981">
        <f t="shared" si="269"/>
        <v>1144.7299999999998</v>
      </c>
      <c r="CA80" s="3981">
        <f t="shared" si="269"/>
        <v>0</v>
      </c>
      <c r="CB80" s="3981">
        <f t="shared" ref="CB80:CD80" si="270">SUM(CB12+CB22+CB28+CB37)</f>
        <v>1453.8899999999999</v>
      </c>
      <c r="CC80" s="3981">
        <f t="shared" si="270"/>
        <v>1453.8899999999999</v>
      </c>
      <c r="CD80" s="3981">
        <f t="shared" si="270"/>
        <v>0</v>
      </c>
      <c r="CE80" s="3981">
        <f t="shared" ref="CE80:CG80" si="271">SUM(CE12+CE22+CE28+CE37)</f>
        <v>1938.52</v>
      </c>
      <c r="CF80" s="3981">
        <f t="shared" si="271"/>
        <v>1938.52</v>
      </c>
      <c r="CG80" s="3982">
        <f t="shared" si="271"/>
        <v>0</v>
      </c>
      <c r="CH80" s="4018">
        <f t="shared" si="269"/>
        <v>334.58728211922983</v>
      </c>
      <c r="CI80" s="3978">
        <f t="shared" si="240"/>
        <v>1.0474199999999998</v>
      </c>
      <c r="CJ80" s="4019">
        <f t="shared" ref="CJ80:CL80" si="272">SUM(CJ12+CJ22+CJ28+CJ37)</f>
        <v>334.58728211922983</v>
      </c>
      <c r="CK80" s="4020">
        <f t="shared" si="272"/>
        <v>0</v>
      </c>
      <c r="CL80" s="4018">
        <f t="shared" si="272"/>
        <v>336.26021852982592</v>
      </c>
      <c r="CM80" s="4017">
        <f t="shared" si="242"/>
        <v>1.0526570999999996</v>
      </c>
      <c r="CN80" s="4019">
        <f t="shared" ref="CN80:CO80" si="273">SUM(CN12+CN22+CN28+CN37)</f>
        <v>336.26021852982592</v>
      </c>
      <c r="CO80" s="4020">
        <f t="shared" si="273"/>
        <v>0</v>
      </c>
    </row>
    <row r="81" spans="1:93" ht="20.25" customHeight="1">
      <c r="A81" s="3970" t="s">
        <v>4</v>
      </c>
      <c r="B81" s="3971"/>
      <c r="C81" s="3971"/>
      <c r="D81" s="3971"/>
      <c r="E81" s="3971"/>
      <c r="F81" s="3971"/>
      <c r="G81" s="3971"/>
      <c r="H81" s="3971"/>
      <c r="I81" s="3971"/>
      <c r="J81" s="3971"/>
      <c r="K81" s="3971"/>
      <c r="L81" s="3971"/>
      <c r="M81" s="3971"/>
      <c r="N81" s="3971"/>
      <c r="O81" s="3971"/>
      <c r="P81" s="3971"/>
      <c r="Q81" s="3971"/>
      <c r="R81" s="3971"/>
      <c r="S81" s="3971"/>
      <c r="T81" s="3971"/>
      <c r="U81" s="3971"/>
      <c r="V81" s="3971"/>
      <c r="W81" s="3973">
        <f>SUM(W13+W23+W29+W38)</f>
        <v>36122.5</v>
      </c>
      <c r="X81" s="3971"/>
      <c r="Y81" s="3974">
        <f t="shared" ref="Y81:AE81" si="274">SUM(Y13+Y23+Y29+Y38)</f>
        <v>29058.489073151999</v>
      </c>
      <c r="Z81" s="3975">
        <f t="shared" si="274"/>
        <v>28936.810380981115</v>
      </c>
      <c r="AA81" s="3976">
        <f t="shared" si="274"/>
        <v>121.67869217088264</v>
      </c>
      <c r="AB81" s="3974">
        <f t="shared" si="274"/>
        <v>27156.3</v>
      </c>
      <c r="AC81" s="3975">
        <f t="shared" si="274"/>
        <v>27031.316897761924</v>
      </c>
      <c r="AD81" s="3976">
        <f t="shared" si="274"/>
        <v>124.98310223807493</v>
      </c>
      <c r="AE81" s="3974">
        <f t="shared" si="274"/>
        <v>35777.909999999996</v>
      </c>
      <c r="AF81" s="3977">
        <f t="shared" si="222"/>
        <v>1.2312377945712349</v>
      </c>
      <c r="AG81" s="3975">
        <f t="shared" ref="AG81:AI81" si="275">SUM(AG13+AG23+AG29+AG38)</f>
        <v>35648.080000000002</v>
      </c>
      <c r="AH81" s="3976">
        <f t="shared" si="275"/>
        <v>129.83000000000001</v>
      </c>
      <c r="AI81" s="3974">
        <f t="shared" si="275"/>
        <v>33825.43102756892</v>
      </c>
      <c r="AJ81" s="3977">
        <f t="shared" si="224"/>
        <v>1.1640464492980553</v>
      </c>
      <c r="AK81" s="3975">
        <f t="shared" ref="AK81:AY81" si="276">SUM(AK13+AK23+AK29+AK38)</f>
        <v>33695.599863022588</v>
      </c>
      <c r="AL81" s="3976">
        <f t="shared" si="276"/>
        <v>129.83116454633176</v>
      </c>
      <c r="AM81" s="3973" t="e">
        <f t="shared" si="276"/>
        <v>#REF!</v>
      </c>
      <c r="AN81" s="3973" t="e">
        <f t="shared" si="276"/>
        <v>#REF!</v>
      </c>
      <c r="AO81" s="3973" t="e">
        <f t="shared" si="276"/>
        <v>#REF!</v>
      </c>
      <c r="AP81" s="3974">
        <f t="shared" si="276"/>
        <v>13487.5</v>
      </c>
      <c r="AQ81" s="3975">
        <f t="shared" si="276"/>
        <v>13445.730211762451</v>
      </c>
      <c r="AR81" s="3976">
        <f t="shared" si="276"/>
        <v>41.7697882375478</v>
      </c>
      <c r="AS81" s="3974">
        <f t="shared" si="276"/>
        <v>21008.800000000003</v>
      </c>
      <c r="AT81" s="3975">
        <f t="shared" si="276"/>
        <v>20942.186943474851</v>
      </c>
      <c r="AU81" s="3976">
        <f t="shared" si="276"/>
        <v>66.613056525149659</v>
      </c>
      <c r="AV81" s="3974">
        <f t="shared" ref="AV81:AX81" si="277">SUM(AV13+AV23+AV29+AV38)</f>
        <v>28330.609999999997</v>
      </c>
      <c r="AW81" s="3975">
        <f t="shared" si="277"/>
        <v>28219.359162136479</v>
      </c>
      <c r="AX81" s="3976">
        <f t="shared" si="277"/>
        <v>111.25083786351934</v>
      </c>
      <c r="AY81" s="3974">
        <f t="shared" si="276"/>
        <v>38721.19</v>
      </c>
      <c r="AZ81" s="3978">
        <f t="shared" si="227"/>
        <v>1.144736041011299</v>
      </c>
      <c r="BA81" s="3975">
        <f t="shared" ref="BA81:BC81" si="278">SUM(BA13+BA23+BA29+BA38)</f>
        <v>38612.870501164376</v>
      </c>
      <c r="BB81" s="3976">
        <f t="shared" si="278"/>
        <v>108.31949883561902</v>
      </c>
      <c r="BC81" s="3974">
        <f t="shared" si="278"/>
        <v>32268.319991397846</v>
      </c>
      <c r="BD81" s="3978">
        <f t="shared" si="229"/>
        <v>0.95396626180751476</v>
      </c>
      <c r="BE81" s="3975">
        <f t="shared" ref="BE81:BF81" si="279">SUM(BE13+BE23+BE29+BE38)</f>
        <v>32172.3825121392</v>
      </c>
      <c r="BF81" s="3976">
        <f t="shared" si="279"/>
        <v>95.937479258645908</v>
      </c>
      <c r="BG81" s="3979"/>
      <c r="BH81" s="3974">
        <f t="shared" ref="BH81:BJ81" si="280">SUM(BH13+BH23+BH29+BH38)</f>
        <v>14329.34</v>
      </c>
      <c r="BI81" s="3975">
        <f t="shared" si="280"/>
        <v>14278.675722534559</v>
      </c>
      <c r="BJ81" s="3976">
        <f t="shared" si="280"/>
        <v>50.664277465441046</v>
      </c>
      <c r="BK81" s="3974">
        <f t="shared" ref="BK81:BM81" si="281">SUM(BK13+BK23+BK29+BK38)</f>
        <v>22603.96</v>
      </c>
      <c r="BL81" s="3975">
        <f t="shared" si="281"/>
        <v>22522.575924351153</v>
      </c>
      <c r="BM81" s="3976">
        <f t="shared" si="281"/>
        <v>81.384075648848011</v>
      </c>
      <c r="BN81" s="3974">
        <f t="shared" ref="BN81:BQ81" si="282">SUM(BN13+BN23+BN29+BN38)</f>
        <v>30272.25</v>
      </c>
      <c r="BO81" s="3975">
        <f t="shared" si="282"/>
        <v>30161.696290695058</v>
      </c>
      <c r="BP81" s="3976">
        <f t="shared" si="282"/>
        <v>110.5537093049461</v>
      </c>
      <c r="BQ81" s="4018">
        <f t="shared" si="282"/>
        <v>35495.151990537634</v>
      </c>
      <c r="BR81" s="3978">
        <f t="shared" si="234"/>
        <v>1.1000000000000001</v>
      </c>
      <c r="BS81" s="4019">
        <f t="shared" ref="BS81:BU81" si="283">SUM(BS13+BS23+BS29+BS38)</f>
        <v>35357.370473268005</v>
      </c>
      <c r="BT81" s="4020">
        <f t="shared" si="283"/>
        <v>137.7815172696246</v>
      </c>
      <c r="BU81" s="4018">
        <f t="shared" si="283"/>
        <v>34213.777003679221</v>
      </c>
      <c r="BV81" s="4017">
        <f t="shared" si="236"/>
        <v>1.06029</v>
      </c>
      <c r="BW81" s="4019">
        <f t="shared" ref="BW81:CH81" si="284">SUM(BW13+BW23+BW29+BW38)</f>
        <v>34083.900978710328</v>
      </c>
      <c r="BX81" s="4020">
        <f t="shared" si="284"/>
        <v>129.87602496889303</v>
      </c>
      <c r="BY81" s="3980">
        <f t="shared" si="284"/>
        <v>15368.160000000002</v>
      </c>
      <c r="BZ81" s="3981">
        <f t="shared" si="284"/>
        <v>15321.317776820551</v>
      </c>
      <c r="CA81" s="3981">
        <f t="shared" si="284"/>
        <v>46.842223179448411</v>
      </c>
      <c r="CB81" s="3981">
        <f t="shared" ref="CB81:CD81" si="285">SUM(CB13+CB23+CB29+CB38)</f>
        <v>23306.240000000002</v>
      </c>
      <c r="CC81" s="3981">
        <f t="shared" si="285"/>
        <v>23230.648493766781</v>
      </c>
      <c r="CD81" s="3981">
        <f t="shared" si="285"/>
        <v>75.591506233220571</v>
      </c>
      <c r="CE81" s="3981">
        <f t="shared" ref="CE81:CG81" si="286">SUM(CE13+CE23+CE29+CE38)</f>
        <v>31244.32</v>
      </c>
      <c r="CF81" s="3981">
        <f t="shared" si="286"/>
        <v>31136.100129032253</v>
      </c>
      <c r="CG81" s="3982">
        <f t="shared" si="286"/>
        <v>108.21987096774319</v>
      </c>
      <c r="CH81" s="4018">
        <f t="shared" si="284"/>
        <v>35836.194309193699</v>
      </c>
      <c r="CI81" s="3978">
        <f t="shared" si="240"/>
        <v>1.0474200000000002</v>
      </c>
      <c r="CJ81" s="4019">
        <f t="shared" ref="CJ81:CL81" si="287">SUM(CJ13+CJ23+CJ29+CJ38)</f>
        <v>35698.371833211582</v>
      </c>
      <c r="CK81" s="4020">
        <f t="shared" si="287"/>
        <v>137.82247598211325</v>
      </c>
      <c r="CL81" s="4018">
        <f t="shared" si="287"/>
        <v>36015.37528073966</v>
      </c>
      <c r="CM81" s="4017">
        <f t="shared" si="242"/>
        <v>1.0526571</v>
      </c>
      <c r="CN81" s="4019">
        <f t="shared" ref="CN81:CO81" si="288">SUM(CN13+CN23+CN29+CN38)</f>
        <v>35876.293356354705</v>
      </c>
      <c r="CO81" s="4020">
        <f t="shared" si="288"/>
        <v>139.08192438495129</v>
      </c>
    </row>
    <row r="82" spans="1:93" ht="20.25" customHeight="1">
      <c r="A82" s="3970" t="s">
        <v>5</v>
      </c>
      <c r="B82" s="3971"/>
      <c r="C82" s="3971"/>
      <c r="D82" s="3971"/>
      <c r="E82" s="3971"/>
      <c r="F82" s="3971"/>
      <c r="G82" s="3971"/>
      <c r="H82" s="3971"/>
      <c r="I82" s="3971"/>
      <c r="J82" s="3971"/>
      <c r="K82" s="3971"/>
      <c r="L82" s="3971"/>
      <c r="M82" s="3971"/>
      <c r="N82" s="3971"/>
      <c r="O82" s="3971"/>
      <c r="P82" s="3971"/>
      <c r="Q82" s="3971"/>
      <c r="R82" s="3971"/>
      <c r="S82" s="3971"/>
      <c r="T82" s="3971"/>
      <c r="U82" s="3971"/>
      <c r="V82" s="3971"/>
      <c r="W82" s="3973">
        <f>SUM(W14+W24+W30+W39)</f>
        <v>10909</v>
      </c>
      <c r="X82" s="3971"/>
      <c r="Y82" s="3974">
        <f t="shared" ref="Y82:AE82" si="289">SUM(Y14+Y24+Y30+Y39)</f>
        <v>8727.1974454428309</v>
      </c>
      <c r="Z82" s="3975">
        <f t="shared" si="289"/>
        <v>8690.5429262659345</v>
      </c>
      <c r="AA82" s="3976">
        <f t="shared" si="289"/>
        <v>36.654519176896429</v>
      </c>
      <c r="AB82" s="3974">
        <f t="shared" si="289"/>
        <v>8173.8</v>
      </c>
      <c r="AC82" s="3975">
        <f t="shared" si="289"/>
        <v>8135.9036131407865</v>
      </c>
      <c r="AD82" s="3976">
        <f t="shared" si="289"/>
        <v>37.896386859213635</v>
      </c>
      <c r="AE82" s="3974">
        <f t="shared" si="289"/>
        <v>10789.099999999999</v>
      </c>
      <c r="AF82" s="3977">
        <f t="shared" si="222"/>
        <v>1.2362617057133103</v>
      </c>
      <c r="AG82" s="3975">
        <f t="shared" ref="AG82:AI82" si="290">SUM(AG14+AG24+AG30+AG39)</f>
        <v>10749.89</v>
      </c>
      <c r="AH82" s="3976">
        <f t="shared" si="290"/>
        <v>39.21</v>
      </c>
      <c r="AI82" s="3974">
        <f t="shared" si="290"/>
        <v>10168.746925188269</v>
      </c>
      <c r="AJ82" s="3977">
        <f t="shared" si="224"/>
        <v>1.1651789693950589</v>
      </c>
      <c r="AK82" s="3975">
        <f t="shared" ref="AK82:AY82" si="291">SUM(AK14+AK24+AK30+AK39)</f>
        <v>10129.537913495275</v>
      </c>
      <c r="AL82" s="3976">
        <f t="shared" si="291"/>
        <v>39.209011692992192</v>
      </c>
      <c r="AM82" s="3973" t="e">
        <f t="shared" si="291"/>
        <v>#REF!</v>
      </c>
      <c r="AN82" s="3973" t="e">
        <f t="shared" si="291"/>
        <v>#REF!</v>
      </c>
      <c r="AO82" s="3973" t="e">
        <f t="shared" si="291"/>
        <v>#REF!</v>
      </c>
      <c r="AP82" s="3974">
        <f t="shared" si="291"/>
        <v>0</v>
      </c>
      <c r="AQ82" s="3975">
        <f t="shared" si="291"/>
        <v>0</v>
      </c>
      <c r="AR82" s="3976">
        <f t="shared" si="291"/>
        <v>0</v>
      </c>
      <c r="AS82" s="3974">
        <f t="shared" si="291"/>
        <v>0</v>
      </c>
      <c r="AT82" s="3975">
        <f t="shared" si="291"/>
        <v>0</v>
      </c>
      <c r="AU82" s="3976">
        <f t="shared" si="291"/>
        <v>0</v>
      </c>
      <c r="AV82" s="3974">
        <f t="shared" ref="AV82:AX82" si="292">SUM(AV14+AV24+AV30+AV39)</f>
        <v>8556.83</v>
      </c>
      <c r="AW82" s="3975">
        <f t="shared" si="292"/>
        <v>8523.2275366594495</v>
      </c>
      <c r="AX82" s="3976">
        <f t="shared" si="292"/>
        <v>33.602463340550457</v>
      </c>
      <c r="AY82" s="3974">
        <f t="shared" si="291"/>
        <v>11677.376844400829</v>
      </c>
      <c r="AZ82" s="3978">
        <f t="shared" si="227"/>
        <v>1.1483594714581442</v>
      </c>
      <c r="BA82" s="3975">
        <f t="shared" ref="BA82:BC82" si="293">SUM(BA14+BA24+BA30+BA39)</f>
        <v>11644.664363114634</v>
      </c>
      <c r="BB82" s="3976">
        <f t="shared" si="293"/>
        <v>32.712481286194311</v>
      </c>
      <c r="BC82" s="3974">
        <f t="shared" si="293"/>
        <v>9686.319944566636</v>
      </c>
      <c r="BD82" s="3978">
        <f t="shared" si="229"/>
        <v>0.9525578732393617</v>
      </c>
      <c r="BE82" s="3975">
        <f t="shared" ref="BE82:BF82" si="294">SUM(BE14+BE24+BE30+BE39)</f>
        <v>9657.4197147028026</v>
      </c>
      <c r="BF82" s="3976">
        <f t="shared" si="294"/>
        <v>28.900229863833449</v>
      </c>
      <c r="BG82" s="3979"/>
      <c r="BH82" s="3974">
        <f t="shared" ref="BH82:BJ82" si="295">SUM(BH14+BH24+BH30+BH39)</f>
        <v>4328.75</v>
      </c>
      <c r="BI82" s="3975">
        <f t="shared" si="295"/>
        <v>4313.4470492676091</v>
      </c>
      <c r="BJ82" s="3976">
        <f t="shared" si="295"/>
        <v>15.302950732390855</v>
      </c>
      <c r="BK82" s="3974">
        <f t="shared" ref="BK82:BM82" si="296">SUM(BK14+BK24+BK30+BK39)</f>
        <v>6833.39</v>
      </c>
      <c r="BL82" s="3975">
        <f t="shared" si="296"/>
        <v>6808.810366443081</v>
      </c>
      <c r="BM82" s="3976">
        <f t="shared" si="296"/>
        <v>24.579633556919362</v>
      </c>
      <c r="BN82" s="3974">
        <f t="shared" ref="BN82:BQ82" si="297">SUM(BN14+BN24+BN30+BN39)</f>
        <v>9149.27</v>
      </c>
      <c r="BO82" s="3975">
        <f t="shared" si="297"/>
        <v>9115.8924356440821</v>
      </c>
      <c r="BP82" s="3976">
        <f t="shared" si="297"/>
        <v>33.377564355918366</v>
      </c>
      <c r="BQ82" s="4018">
        <f t="shared" si="297"/>
        <v>10722.253612333763</v>
      </c>
      <c r="BR82" s="3978">
        <f t="shared" si="234"/>
        <v>1.1069481158681131</v>
      </c>
      <c r="BS82" s="4019">
        <f t="shared" ref="BS82:BU82" si="298">SUM(BS14+BS24+BS30+BS39)</f>
        <v>10680.643594118335</v>
      </c>
      <c r="BT82" s="4020">
        <f t="shared" si="298"/>
        <v>41.610018215426628</v>
      </c>
      <c r="BU82" s="4018">
        <f t="shared" si="298"/>
        <v>10270.30817402456</v>
      </c>
      <c r="BV82" s="4017">
        <f t="shared" si="236"/>
        <v>1.0602900000000002</v>
      </c>
      <c r="BW82" s="4019">
        <f t="shared" ref="BW82:CH82" si="299">SUM(BW14+BW24+BW30+BW39)</f>
        <v>10231.184288298076</v>
      </c>
      <c r="BX82" s="4020">
        <f t="shared" si="299"/>
        <v>39.123885726482513</v>
      </c>
      <c r="BY82" s="3980">
        <f t="shared" si="299"/>
        <v>4629.6499999999996</v>
      </c>
      <c r="BZ82" s="3981">
        <f t="shared" si="299"/>
        <v>4615.5549035802351</v>
      </c>
      <c r="CA82" s="3981">
        <f t="shared" si="299"/>
        <v>14.095096419764559</v>
      </c>
      <c r="CB82" s="3981">
        <f t="shared" ref="CB82:CD82" si="300">SUM(CB14+CB24+CB30+CB39)</f>
        <v>7028.71</v>
      </c>
      <c r="CC82" s="3981">
        <f t="shared" si="300"/>
        <v>7005.9332883013831</v>
      </c>
      <c r="CD82" s="3981">
        <f t="shared" si="300"/>
        <v>22.776711698616964</v>
      </c>
      <c r="CE82" s="3981">
        <f t="shared" ref="CE82:CG82" si="301">SUM(CE14+CE24+CE30+CE39)</f>
        <v>9417.731581</v>
      </c>
      <c r="CF82" s="3981">
        <f t="shared" si="301"/>
        <v>9385.1573998387084</v>
      </c>
      <c r="CG82" s="3982">
        <f t="shared" si="301"/>
        <v>32.574181161290653</v>
      </c>
      <c r="CH82" s="4018">
        <f t="shared" si="299"/>
        <v>10756.166869105669</v>
      </c>
      <c r="CI82" s="3978">
        <f t="shared" si="240"/>
        <v>1.0473071194017267</v>
      </c>
      <c r="CJ82" s="4019">
        <f t="shared" ref="CJ82:CL82" si="302">SUM(CJ14+CJ24+CJ30+CJ39)</f>
        <v>10714.654739339856</v>
      </c>
      <c r="CK82" s="4020">
        <f t="shared" si="302"/>
        <v>41.51212976581251</v>
      </c>
      <c r="CL82" s="4018">
        <f t="shared" si="302"/>
        <v>10809.947703451197</v>
      </c>
      <c r="CM82" s="4017">
        <f t="shared" si="242"/>
        <v>1.0525436549987353</v>
      </c>
      <c r="CN82" s="4019">
        <f t="shared" ref="CN82:CO82" si="303">SUM(CN14+CN24+CN30+CN39)</f>
        <v>10768.056227826448</v>
      </c>
      <c r="CO82" s="4020">
        <f t="shared" si="303"/>
        <v>41.891475624747329</v>
      </c>
    </row>
    <row r="83" spans="1:93" ht="20.25" customHeight="1">
      <c r="A83" s="3970" t="s">
        <v>8</v>
      </c>
      <c r="B83" s="3971"/>
      <c r="C83" s="3971"/>
      <c r="D83" s="3971"/>
      <c r="E83" s="3971"/>
      <c r="F83" s="3971"/>
      <c r="G83" s="3971"/>
      <c r="H83" s="3971"/>
      <c r="I83" s="3971"/>
      <c r="J83" s="3971"/>
      <c r="K83" s="3971"/>
      <c r="L83" s="3971"/>
      <c r="M83" s="3971"/>
      <c r="N83" s="3971"/>
      <c r="O83" s="3971"/>
      <c r="P83" s="3971"/>
      <c r="Q83" s="3971"/>
      <c r="R83" s="3971"/>
      <c r="S83" s="3971"/>
      <c r="T83" s="3971"/>
      <c r="U83" s="3971"/>
      <c r="V83" s="3971"/>
      <c r="W83" s="3973">
        <f>SUM(W19)</f>
        <v>598.5</v>
      </c>
      <c r="X83" s="3971"/>
      <c r="Y83" s="3974">
        <f t="shared" ref="Y83:AE83" si="304">SUM(Y19)</f>
        <v>489.28469176470583</v>
      </c>
      <c r="Z83" s="3975">
        <f t="shared" si="304"/>
        <v>485.55447384072301</v>
      </c>
      <c r="AA83" s="3976">
        <f t="shared" si="304"/>
        <v>3.7302179239828206</v>
      </c>
      <c r="AB83" s="3974">
        <f t="shared" si="304"/>
        <v>368.69950000000006</v>
      </c>
      <c r="AC83" s="3975">
        <f t="shared" si="304"/>
        <v>365.49636873597615</v>
      </c>
      <c r="AD83" s="3976">
        <f t="shared" si="304"/>
        <v>3.2031312640239094</v>
      </c>
      <c r="AE83" s="3974">
        <f t="shared" si="304"/>
        <v>473.71</v>
      </c>
      <c r="AF83" s="3977">
        <f t="shared" si="222"/>
        <v>0.96816844665928026</v>
      </c>
      <c r="AG83" s="3975">
        <f t="shared" ref="AG83:AI83" si="305">SUM(AG19)</f>
        <v>469.69</v>
      </c>
      <c r="AH83" s="3976">
        <f t="shared" si="305"/>
        <v>4.01</v>
      </c>
      <c r="AI83" s="3974">
        <f t="shared" si="305"/>
        <v>406.01364163361512</v>
      </c>
      <c r="AJ83" s="3977">
        <f t="shared" si="224"/>
        <v>0.82981063676699851</v>
      </c>
      <c r="AK83" s="3975">
        <f t="shared" ref="AK83:AY83" si="306">SUM(AK19)</f>
        <v>401.99992714740961</v>
      </c>
      <c r="AL83" s="3976">
        <f t="shared" si="306"/>
        <v>4.0137144862055152</v>
      </c>
      <c r="AM83" s="3973" t="e">
        <f t="shared" si="306"/>
        <v>#REF!</v>
      </c>
      <c r="AN83" s="3973" t="e">
        <f t="shared" si="306"/>
        <v>#REF!</v>
      </c>
      <c r="AO83" s="3973" t="e">
        <f t="shared" si="306"/>
        <v>#REF!</v>
      </c>
      <c r="AP83" s="3974">
        <f t="shared" si="306"/>
        <v>0</v>
      </c>
      <c r="AQ83" s="3975">
        <f t="shared" si="306"/>
        <v>0</v>
      </c>
      <c r="AR83" s="3976">
        <f t="shared" si="306"/>
        <v>0</v>
      </c>
      <c r="AS83" s="3974">
        <f t="shared" si="306"/>
        <v>0</v>
      </c>
      <c r="AT83" s="3975">
        <f t="shared" si="306"/>
        <v>0</v>
      </c>
      <c r="AU83" s="3976">
        <f t="shared" si="306"/>
        <v>0</v>
      </c>
      <c r="AV83" s="3974">
        <f t="shared" ref="AV83:AX83" si="307">SUM(AV19)</f>
        <v>356.78</v>
      </c>
      <c r="AW83" s="3975">
        <f t="shared" si="307"/>
        <v>354.18135628280811</v>
      </c>
      <c r="AX83" s="3976">
        <f t="shared" si="307"/>
        <v>2.5986437171918624</v>
      </c>
      <c r="AY83" s="3974">
        <f t="shared" si="306"/>
        <v>347.67</v>
      </c>
      <c r="AZ83" s="3978">
        <f t="shared" si="227"/>
        <v>0.8563012774672627</v>
      </c>
      <c r="BA83" s="3975">
        <f t="shared" ref="BA83:BC83" si="308">SUM(BA19)</f>
        <v>345.76968860062743</v>
      </c>
      <c r="BB83" s="3976">
        <f t="shared" si="308"/>
        <v>1.9003113993725833</v>
      </c>
      <c r="BC83" s="3974">
        <f t="shared" si="308"/>
        <v>229.75931518119856</v>
      </c>
      <c r="BD83" s="3978">
        <f t="shared" si="229"/>
        <v>0.56589062933144574</v>
      </c>
      <c r="BE83" s="3975">
        <f t="shared" ref="BE83:BF83" si="309">SUM(BE19)</f>
        <v>176.75931518119856</v>
      </c>
      <c r="BF83" s="3976">
        <f t="shared" si="309"/>
        <v>53</v>
      </c>
      <c r="BG83" s="3979"/>
      <c r="BH83" s="3974">
        <f t="shared" ref="BH83:BJ83" si="310">SUM(BH19)</f>
        <v>268.25635</v>
      </c>
      <c r="BI83" s="3975">
        <f t="shared" si="310"/>
        <v>266.51695400168597</v>
      </c>
      <c r="BJ83" s="3976">
        <f t="shared" si="310"/>
        <v>1.7393959983140235</v>
      </c>
      <c r="BK83" s="3974">
        <f t="shared" ref="BK83:BM83" si="311">SUM(BK19)</f>
        <v>443.16558899999995</v>
      </c>
      <c r="BL83" s="3975">
        <f t="shared" si="311"/>
        <v>440.2160996013987</v>
      </c>
      <c r="BM83" s="3976">
        <f t="shared" si="311"/>
        <v>2.9494893986012585</v>
      </c>
      <c r="BN83" s="3974">
        <f t="shared" ref="BN83:BQ83" si="312">SUM(BN19)</f>
        <v>652.05999999999995</v>
      </c>
      <c r="BO83" s="3975">
        <f t="shared" si="312"/>
        <v>647.66180206370097</v>
      </c>
      <c r="BP83" s="3976">
        <f t="shared" si="312"/>
        <v>4.3981979362989705</v>
      </c>
      <c r="BQ83" s="4018">
        <f t="shared" si="312"/>
        <v>409.83814715477445</v>
      </c>
      <c r="BR83" s="3978">
        <f t="shared" si="234"/>
        <v>1.7837716256751444</v>
      </c>
      <c r="BS83" s="4019">
        <f t="shared" ref="BS83:BU83" si="313">SUM(BS19)</f>
        <v>406.91345668485206</v>
      </c>
      <c r="BT83" s="4020">
        <f t="shared" si="313"/>
        <v>2.9246904699223819</v>
      </c>
      <c r="BU83" s="4018">
        <f t="shared" si="313"/>
        <v>310.00924898576147</v>
      </c>
      <c r="BV83" s="4017">
        <f t="shared" si="236"/>
        <v>1.3492782599098287</v>
      </c>
      <c r="BW83" s="4019">
        <f t="shared" ref="BW83:CH83" si="314">SUM(BW19)</f>
        <v>307.84579219241471</v>
      </c>
      <c r="BX83" s="4020">
        <f t="shared" si="314"/>
        <v>2.1634567933467679</v>
      </c>
      <c r="BY83" s="3980">
        <f t="shared" si="314"/>
        <v>261.05900000000003</v>
      </c>
      <c r="BZ83" s="3981">
        <f t="shared" si="314"/>
        <v>259.54497677060903</v>
      </c>
      <c r="CA83" s="3981">
        <f t="shared" si="314"/>
        <v>1.5140232293910003</v>
      </c>
      <c r="CB83" s="3981">
        <f t="shared" ref="CB83:CD83" si="315">SUM(CB19)</f>
        <v>415.68</v>
      </c>
      <c r="CC83" s="3981">
        <f t="shared" si="315"/>
        <v>413.1511739658327</v>
      </c>
      <c r="CD83" s="3981">
        <f t="shared" si="315"/>
        <v>2.5288260341673094</v>
      </c>
      <c r="CE83" s="3981">
        <f t="shared" ref="CE83:CG83" si="316">SUM(CE19)</f>
        <v>429.48666666666668</v>
      </c>
      <c r="CF83" s="3981">
        <f t="shared" si="316"/>
        <v>426.71578494623657</v>
      </c>
      <c r="CG83" s="3982">
        <f t="shared" si="316"/>
        <v>2.7708817204301113</v>
      </c>
      <c r="CH83" s="4018">
        <f t="shared" si="314"/>
        <v>324.70988757266628</v>
      </c>
      <c r="CI83" s="3978">
        <f t="shared" si="240"/>
        <v>1.04742</v>
      </c>
      <c r="CJ83" s="4019">
        <f t="shared" ref="CJ83:CL83" si="317">SUM(CJ19)</f>
        <v>322.41405990154078</v>
      </c>
      <c r="CK83" s="4020">
        <f t="shared" si="317"/>
        <v>2.2958276711254939</v>
      </c>
      <c r="CL83" s="4018">
        <f t="shared" si="317"/>
        <v>326.33343701052956</v>
      </c>
      <c r="CM83" s="4017">
        <f t="shared" si="242"/>
        <v>1.0526570999999998</v>
      </c>
      <c r="CN83" s="4019">
        <f t="shared" ref="CN83:CO83" si="318">SUM(CN19)</f>
        <v>324.01662962275776</v>
      </c>
      <c r="CO83" s="4020">
        <f t="shared" si="318"/>
        <v>2.316807387771787</v>
      </c>
    </row>
    <row r="84" spans="1:93" ht="20.25" customHeight="1">
      <c r="A84" s="3970" t="s">
        <v>6</v>
      </c>
      <c r="B84" s="3971"/>
      <c r="C84" s="3971"/>
      <c r="D84" s="3971"/>
      <c r="E84" s="3971"/>
      <c r="F84" s="3971"/>
      <c r="G84" s="3971"/>
      <c r="H84" s="3971"/>
      <c r="I84" s="3971"/>
      <c r="J84" s="3971"/>
      <c r="K84" s="3971"/>
      <c r="L84" s="3971"/>
      <c r="M84" s="3971"/>
      <c r="N84" s="3971"/>
      <c r="O84" s="3971"/>
      <c r="P84" s="3971"/>
      <c r="Q84" s="3971"/>
      <c r="R84" s="3971"/>
      <c r="S84" s="3971"/>
      <c r="T84" s="3971"/>
      <c r="U84" s="3971"/>
      <c r="V84" s="3971"/>
      <c r="W84" s="3973">
        <f>SUM(W16+W26+W33+W41)</f>
        <v>15828.930000000002</v>
      </c>
      <c r="X84" s="3971"/>
      <c r="Y84" s="3974">
        <f t="shared" ref="Y84:AE84" si="319">SUM(Y16+Y26+Y33+Y41)</f>
        <v>12442.203000734</v>
      </c>
      <c r="Z84" s="3975">
        <f t="shared" si="319"/>
        <v>12383.619954780057</v>
      </c>
      <c r="AA84" s="3976">
        <f t="shared" si="319"/>
        <v>58.583045953941109</v>
      </c>
      <c r="AB84" s="3974">
        <f t="shared" si="319"/>
        <v>9629.5999999999985</v>
      </c>
      <c r="AC84" s="3975">
        <f t="shared" si="319"/>
        <v>9572.4743743167819</v>
      </c>
      <c r="AD84" s="3976">
        <f t="shared" si="319"/>
        <v>57.125625683217095</v>
      </c>
      <c r="AE84" s="3974">
        <f t="shared" si="319"/>
        <v>11471.480000000001</v>
      </c>
      <c r="AF84" s="3977">
        <f t="shared" si="222"/>
        <v>0.92198142075991418</v>
      </c>
      <c r="AG84" s="3975">
        <f t="shared" ref="AG84:AI84" si="320">SUM(AG16+AG26+AG33+AG41)</f>
        <v>11557.82</v>
      </c>
      <c r="AH84" s="3976">
        <f t="shared" si="320"/>
        <v>63.04</v>
      </c>
      <c r="AI84" s="3974">
        <f t="shared" si="320"/>
        <v>11755.79772460473</v>
      </c>
      <c r="AJ84" s="3977">
        <f t="shared" si="224"/>
        <v>0.94483249661745783</v>
      </c>
      <c r="AK84" s="3975">
        <f t="shared" ref="AK84:AY84" si="321">SUM(AK16+AK26+AK33+AK41)</f>
        <v>11695.19538809931</v>
      </c>
      <c r="AL84" s="3976">
        <f t="shared" si="321"/>
        <v>60.602336505419999</v>
      </c>
      <c r="AM84" s="3973" t="e">
        <f t="shared" si="321"/>
        <v>#REF!</v>
      </c>
      <c r="AN84" s="3973" t="e">
        <f t="shared" si="321"/>
        <v>#REF!</v>
      </c>
      <c r="AO84" s="3973" t="e">
        <f t="shared" si="321"/>
        <v>#REF!</v>
      </c>
      <c r="AP84" s="3974">
        <f t="shared" si="321"/>
        <v>5218.3</v>
      </c>
      <c r="AQ84" s="3975">
        <f t="shared" si="321"/>
        <v>5197.2958760788633</v>
      </c>
      <c r="AR84" s="3976">
        <f t="shared" si="321"/>
        <v>21.004123921137079</v>
      </c>
      <c r="AS84" s="3974">
        <f t="shared" si="321"/>
        <v>7835.48</v>
      </c>
      <c r="AT84" s="3975">
        <f t="shared" si="321"/>
        <v>7805.0370817267585</v>
      </c>
      <c r="AU84" s="3976">
        <f t="shared" si="321"/>
        <v>30.442918273241503</v>
      </c>
      <c r="AV84" s="3974">
        <f t="shared" ref="AV84:AX84" si="322">SUM(AV16+AV26+AV33+AV41)</f>
        <v>10210.52</v>
      </c>
      <c r="AW84" s="3975">
        <f t="shared" si="322"/>
        <v>10161.609370675556</v>
      </c>
      <c r="AX84" s="3976">
        <f t="shared" si="322"/>
        <v>48.91062932444504</v>
      </c>
      <c r="AY84" s="3974">
        <f t="shared" si="321"/>
        <v>14672.54</v>
      </c>
      <c r="AZ84" s="3978">
        <f t="shared" si="227"/>
        <v>1.2481109613931658</v>
      </c>
      <c r="BA84" s="3975">
        <f t="shared" ref="BA84:BC84" si="323">SUM(BA16+BA26+BA33+BA41)</f>
        <v>14617.777504185993</v>
      </c>
      <c r="BB84" s="3976">
        <f t="shared" si="323"/>
        <v>54.762495814007593</v>
      </c>
      <c r="BC84" s="3974">
        <f t="shared" si="323"/>
        <v>11227.765899893006</v>
      </c>
      <c r="BD84" s="3978">
        <f t="shared" si="229"/>
        <v>0.95508328425840805</v>
      </c>
      <c r="BE84" s="3975">
        <f t="shared" ref="BE84:BF84" si="324">SUM(BE16+BE26+BE33+BE41)</f>
        <v>11185.860360073748</v>
      </c>
      <c r="BF84" s="3976">
        <f t="shared" si="324"/>
        <v>41.90553981925882</v>
      </c>
      <c r="BG84" s="3979"/>
      <c r="BH84" s="3974">
        <f t="shared" ref="BH84:BJ84" si="325">SUM(BH16+BH26+BH33+BH41)</f>
        <v>5715.15</v>
      </c>
      <c r="BI84" s="3975">
        <f t="shared" si="325"/>
        <v>5688.7754803480984</v>
      </c>
      <c r="BJ84" s="3976">
        <f t="shared" si="325"/>
        <v>26.374519651900812</v>
      </c>
      <c r="BK84" s="3974">
        <f t="shared" ref="BK84:BM84" si="326">SUM(BK16+BK26+BK33+BK41)</f>
        <v>9093</v>
      </c>
      <c r="BL84" s="3975">
        <f t="shared" si="326"/>
        <v>9049.8025317806714</v>
      </c>
      <c r="BM84" s="3976">
        <f t="shared" si="326"/>
        <v>43.197468219328812</v>
      </c>
      <c r="BN84" s="3974">
        <f t="shared" ref="BN84:BQ84" si="327">SUM(BN16+BN26+BN33+BN41)</f>
        <v>12280.869999999999</v>
      </c>
      <c r="BO84" s="3975">
        <f t="shared" si="327"/>
        <v>12220.831016531165</v>
      </c>
      <c r="BP84" s="3976">
        <f t="shared" si="327"/>
        <v>60.038983468834203</v>
      </c>
      <c r="BQ84" s="4018">
        <f t="shared" si="327"/>
        <v>11908.958096133521</v>
      </c>
      <c r="BR84" s="3978">
        <f t="shared" si="234"/>
        <v>1.0606703241155935</v>
      </c>
      <c r="BS84" s="4019">
        <f t="shared" ref="BS84:BU84" si="328">SUM(BS16+BS26+BS33+BS41)</f>
        <v>11855.142598771539</v>
      </c>
      <c r="BT84" s="4020">
        <f t="shared" si="328"/>
        <v>53.815497361982807</v>
      </c>
      <c r="BU84" s="4018">
        <f t="shared" si="328"/>
        <v>11039.518331530624</v>
      </c>
      <c r="BV84" s="4017">
        <f t="shared" si="236"/>
        <v>0.98323374658495721</v>
      </c>
      <c r="BW84" s="4019">
        <f t="shared" ref="BW84:CH84" si="329">SUM(BW16+BW26+BW33+BW41)</f>
        <v>10983.678938894267</v>
      </c>
      <c r="BX84" s="4020">
        <f t="shared" si="329"/>
        <v>55.839392636358525</v>
      </c>
      <c r="BY84" s="3980">
        <f t="shared" si="329"/>
        <v>5283.3799999999992</v>
      </c>
      <c r="BZ84" s="3981">
        <f t="shared" si="329"/>
        <v>5258.9427502575145</v>
      </c>
      <c r="CA84" s="3981">
        <f t="shared" si="329"/>
        <v>24.437249742484994</v>
      </c>
      <c r="CB84" s="3981">
        <f t="shared" ref="CB84:CD84" si="330">SUM(CB16+CB26+CB33+CB41)</f>
        <v>8016.6</v>
      </c>
      <c r="CC84" s="3981">
        <f t="shared" si="330"/>
        <v>7979.359678506079</v>
      </c>
      <c r="CD84" s="3981">
        <f t="shared" si="330"/>
        <v>37.24032149392076</v>
      </c>
      <c r="CE84" s="3981">
        <f t="shared" ref="CE84:CG84" si="331">SUM(CE16+CE26+CE33+CE41)</f>
        <v>10666.966666666665</v>
      </c>
      <c r="CF84" s="3981">
        <f t="shared" si="331"/>
        <v>10614.416371526881</v>
      </c>
      <c r="CG84" s="3982">
        <f t="shared" si="331"/>
        <v>52.550295139784907</v>
      </c>
      <c r="CH84" s="4018">
        <f t="shared" si="329"/>
        <v>9218.4367963510049</v>
      </c>
      <c r="CI84" s="3978">
        <f t="shared" si="240"/>
        <v>0.83503976527867885</v>
      </c>
      <c r="CJ84" s="4019">
        <f t="shared" ref="CJ84:CL84" si="332">SUM(CJ16+CJ26+CJ33+CJ41)</f>
        <v>9159.011365721879</v>
      </c>
      <c r="CK84" s="4020">
        <f t="shared" si="332"/>
        <v>59.425430629126254</v>
      </c>
      <c r="CL84" s="4018">
        <f t="shared" si="332"/>
        <v>11723.956981165797</v>
      </c>
      <c r="CM84" s="4017">
        <f t="shared" si="242"/>
        <v>1.0619989594727433</v>
      </c>
      <c r="CN84" s="4019">
        <f t="shared" ref="CN84:CO84" si="333">SUM(CN16+CN26+CN33+CN41)</f>
        <v>11669.853562618358</v>
      </c>
      <c r="CO84" s="4020">
        <f t="shared" si="333"/>
        <v>54.103418547438842</v>
      </c>
    </row>
    <row r="85" spans="1:93" ht="20.25" customHeight="1">
      <c r="A85" s="3970" t="s">
        <v>10</v>
      </c>
      <c r="B85" s="3971"/>
      <c r="C85" s="3971"/>
      <c r="D85" s="3971"/>
      <c r="E85" s="3971"/>
      <c r="F85" s="3971"/>
      <c r="G85" s="3971"/>
      <c r="H85" s="3971"/>
      <c r="I85" s="3971"/>
      <c r="J85" s="3971"/>
      <c r="K85" s="3971"/>
      <c r="L85" s="3971"/>
      <c r="M85" s="3971"/>
      <c r="N85" s="3971"/>
      <c r="O85" s="3971"/>
      <c r="P85" s="3971"/>
      <c r="Q85" s="3971"/>
      <c r="R85" s="3971"/>
      <c r="S85" s="3971"/>
      <c r="T85" s="3971"/>
      <c r="U85" s="3971"/>
      <c r="V85" s="3971"/>
      <c r="W85" s="3973">
        <f>SUM(W42)</f>
        <v>2157</v>
      </c>
      <c r="X85" s="3971"/>
      <c r="Y85" s="3974">
        <f t="shared" ref="Y85:AE85" si="334">SUM(Y42)</f>
        <v>1927.84</v>
      </c>
      <c r="Z85" s="3975">
        <f t="shared" si="334"/>
        <v>1927.04</v>
      </c>
      <c r="AA85" s="3976">
        <f t="shared" si="334"/>
        <v>0.8</v>
      </c>
      <c r="AB85" s="3974">
        <f t="shared" si="334"/>
        <v>1970.4</v>
      </c>
      <c r="AC85" s="3975">
        <f t="shared" si="334"/>
        <v>1969.1630113342155</v>
      </c>
      <c r="AD85" s="3976">
        <f t="shared" si="334"/>
        <v>1.2369886657844305</v>
      </c>
      <c r="AE85" s="3974">
        <f t="shared" si="334"/>
        <v>1927.84</v>
      </c>
      <c r="AF85" s="3977">
        <f t="shared" si="222"/>
        <v>1</v>
      </c>
      <c r="AG85" s="3975">
        <f t="shared" ref="AG85:AI85" si="335">SUM(AG42)</f>
        <v>1927.04</v>
      </c>
      <c r="AH85" s="3976">
        <f t="shared" si="335"/>
        <v>0.8</v>
      </c>
      <c r="AI85" s="3974">
        <f t="shared" si="335"/>
        <v>1927.84</v>
      </c>
      <c r="AJ85" s="3977">
        <f t="shared" si="224"/>
        <v>1</v>
      </c>
      <c r="AK85" s="3975">
        <f t="shared" ref="AK85:AY85" si="336">SUM(AK42)</f>
        <v>1927.04</v>
      </c>
      <c r="AL85" s="3976">
        <f t="shared" si="336"/>
        <v>0.8</v>
      </c>
      <c r="AM85" s="3973" t="e">
        <f t="shared" si="336"/>
        <v>#REF!</v>
      </c>
      <c r="AN85" s="3973" t="e">
        <f t="shared" si="336"/>
        <v>#REF!</v>
      </c>
      <c r="AO85" s="3973" t="e">
        <f t="shared" si="336"/>
        <v>#REF!</v>
      </c>
      <c r="AP85" s="3974">
        <f t="shared" si="336"/>
        <v>209.94</v>
      </c>
      <c r="AQ85" s="3975">
        <f t="shared" si="336"/>
        <v>209.88906688054394</v>
      </c>
      <c r="AR85" s="3976">
        <f t="shared" si="336"/>
        <v>5.0933119456050946E-2</v>
      </c>
      <c r="AS85" s="3974">
        <f t="shared" si="336"/>
        <v>1548.24</v>
      </c>
      <c r="AT85" s="3975">
        <f t="shared" si="336"/>
        <v>1540.8882524477353</v>
      </c>
      <c r="AU85" s="3976">
        <f t="shared" si="336"/>
        <v>7.3517475522646976</v>
      </c>
      <c r="AV85" s="3974">
        <f t="shared" ref="AV85:AX85" si="337">SUM(AV42)</f>
        <v>1794.1</v>
      </c>
      <c r="AW85" s="3975">
        <f t="shared" si="337"/>
        <v>1783.5694402716554</v>
      </c>
      <c r="AX85" s="3976">
        <f t="shared" si="337"/>
        <v>10.530559728344741</v>
      </c>
      <c r="AY85" s="3974">
        <f t="shared" si="336"/>
        <v>2116.7799999999997</v>
      </c>
      <c r="AZ85" s="3978">
        <f t="shared" si="227"/>
        <v>1.0980060585940741</v>
      </c>
      <c r="BA85" s="3975">
        <f t="shared" ref="BA85:BC85" si="338">SUM(BA42)</f>
        <v>2103.4324817644683</v>
      </c>
      <c r="BB85" s="3976">
        <f t="shared" si="338"/>
        <v>13.347518235531863</v>
      </c>
      <c r="BC85" s="3974">
        <f t="shared" si="338"/>
        <v>1684.7746853333333</v>
      </c>
      <c r="BD85" s="3978">
        <f t="shared" si="229"/>
        <v>0.87391831548952892</v>
      </c>
      <c r="BE85" s="3975">
        <f t="shared" ref="BE85:BF85" si="339">SUM(BE42)</f>
        <v>1676.7689960276371</v>
      </c>
      <c r="BF85" s="3976">
        <f t="shared" si="339"/>
        <v>8.0056893056960661</v>
      </c>
      <c r="BG85" s="3979"/>
      <c r="BH85" s="3974">
        <f t="shared" ref="BH85:BJ85" si="340">SUM(BH42)</f>
        <v>1095.52</v>
      </c>
      <c r="BI85" s="3975">
        <f t="shared" si="340"/>
        <v>1090.4379715537075</v>
      </c>
      <c r="BJ85" s="3976">
        <f t="shared" si="340"/>
        <v>5.0820284462923979</v>
      </c>
      <c r="BK85" s="3974">
        <f t="shared" ref="BK85:BM85" si="341">SUM(BK42)</f>
        <v>1682.06</v>
      </c>
      <c r="BL85" s="3975">
        <f t="shared" si="341"/>
        <v>1674.2785868989872</v>
      </c>
      <c r="BM85" s="3976">
        <f t="shared" si="341"/>
        <v>7.7814131010127987</v>
      </c>
      <c r="BN85" s="3974">
        <f t="shared" ref="BN85:BQ85" si="342">SUM(BN42)</f>
        <v>3612.808</v>
      </c>
      <c r="BO85" s="3975">
        <f t="shared" si="342"/>
        <v>3603.6311950128861</v>
      </c>
      <c r="BP85" s="3976">
        <f t="shared" si="342"/>
        <v>9.1768049871141457</v>
      </c>
      <c r="BQ85" s="4018">
        <f t="shared" si="342"/>
        <v>1815.7113519999998</v>
      </c>
      <c r="BR85" s="3978">
        <f t="shared" si="234"/>
        <v>1.0777176128099055</v>
      </c>
      <c r="BS85" s="4019">
        <f t="shared" ref="BS85:BU85" si="343">SUM(BS42)</f>
        <v>1805.2396699968972</v>
      </c>
      <c r="BT85" s="4020">
        <f t="shared" si="343"/>
        <v>10.471682003102639</v>
      </c>
      <c r="BU85" s="4018">
        <f t="shared" si="343"/>
        <v>1794.04</v>
      </c>
      <c r="BV85" s="4017">
        <f t="shared" si="236"/>
        <v>1.0648545562904446</v>
      </c>
      <c r="BW85" s="4019">
        <f t="shared" ref="BW85:CH85" si="344">SUM(BW42)</f>
        <v>1783.5700000000002</v>
      </c>
      <c r="BX85" s="4020">
        <f t="shared" si="344"/>
        <v>10.469999999999999</v>
      </c>
      <c r="BY85" s="3980">
        <f t="shared" si="344"/>
        <v>780.34600000000012</v>
      </c>
      <c r="BZ85" s="3981">
        <f t="shared" si="344"/>
        <v>775.82040681711783</v>
      </c>
      <c r="CA85" s="3981">
        <f t="shared" si="344"/>
        <v>4.525593182882286</v>
      </c>
      <c r="CB85" s="3981">
        <f t="shared" ref="CB85:CD85" si="345">SUM(CB42)</f>
        <v>1147.636</v>
      </c>
      <c r="CC85" s="3981">
        <f t="shared" si="345"/>
        <v>1140.6543765925064</v>
      </c>
      <c r="CD85" s="3981">
        <f t="shared" si="345"/>
        <v>6.9816234074937</v>
      </c>
      <c r="CE85" s="3981">
        <f t="shared" ref="CE85:CG85" si="346">SUM(CE42)</f>
        <v>1530.1813333333334</v>
      </c>
      <c r="CF85" s="3981">
        <f t="shared" si="346"/>
        <v>1520.3093677419354</v>
      </c>
      <c r="CG85" s="3982">
        <f t="shared" si="346"/>
        <v>9.8719655913979594</v>
      </c>
      <c r="CH85" s="4018">
        <f t="shared" si="344"/>
        <v>1708.8272350153845</v>
      </c>
      <c r="CI85" s="3978">
        <f t="shared" si="240"/>
        <v>0.95250230486242482</v>
      </c>
      <c r="CJ85" s="4019">
        <f t="shared" ref="CJ85:CL85" si="347">SUM(CJ42)</f>
        <v>1699.2078386411599</v>
      </c>
      <c r="CK85" s="4020">
        <f t="shared" si="347"/>
        <v>9.6193963742246638</v>
      </c>
      <c r="CL85" s="4018">
        <f t="shared" si="347"/>
        <v>1513.464332389854</v>
      </c>
      <c r="CM85" s="4017">
        <f t="shared" si="242"/>
        <v>0.8436067938227988</v>
      </c>
      <c r="CN85" s="4019">
        <f t="shared" ref="CN85:CO85" si="348">SUM(CN42)</f>
        <v>1502.7644400919853</v>
      </c>
      <c r="CO85" s="4020">
        <f t="shared" si="348"/>
        <v>10.699892297868617</v>
      </c>
    </row>
    <row r="86" spans="1:93" ht="20.25" customHeight="1">
      <c r="A86" s="3970" t="s">
        <v>11</v>
      </c>
      <c r="B86" s="3971"/>
      <c r="C86" s="3971"/>
      <c r="D86" s="3971"/>
      <c r="E86" s="3971"/>
      <c r="F86" s="3971"/>
      <c r="G86" s="3971"/>
      <c r="H86" s="3971"/>
      <c r="I86" s="3971"/>
      <c r="J86" s="3971"/>
      <c r="K86" s="3971"/>
      <c r="L86" s="3971"/>
      <c r="M86" s="3971"/>
      <c r="N86" s="3971"/>
      <c r="O86" s="3971"/>
      <c r="P86" s="3971"/>
      <c r="Q86" s="3971"/>
      <c r="R86" s="3971"/>
      <c r="S86" s="3971"/>
      <c r="T86" s="3971"/>
      <c r="U86" s="3971"/>
      <c r="V86" s="3971"/>
      <c r="W86" s="3973">
        <f>SUM(W46)</f>
        <v>10701.5</v>
      </c>
      <c r="X86" s="3971"/>
      <c r="Y86" s="3974">
        <f t="shared" ref="Y86:AE86" si="349">SUM(Y46)</f>
        <v>10806.57</v>
      </c>
      <c r="Z86" s="3975">
        <f t="shared" si="349"/>
        <v>10753.369999999999</v>
      </c>
      <c r="AA86" s="3976">
        <f t="shared" si="349"/>
        <v>53.2</v>
      </c>
      <c r="AB86" s="3974">
        <f t="shared" si="349"/>
        <v>9591.77</v>
      </c>
      <c r="AC86" s="3975">
        <f t="shared" si="349"/>
        <v>9508.4400839997706</v>
      </c>
      <c r="AD86" s="3976">
        <f t="shared" si="349"/>
        <v>83.329916000229787</v>
      </c>
      <c r="AE86" s="3974">
        <f t="shared" si="349"/>
        <v>9051.4500000000007</v>
      </c>
      <c r="AF86" s="3977">
        <f t="shared" si="222"/>
        <v>0.83758768971098152</v>
      </c>
      <c r="AG86" s="3975">
        <f t="shared" ref="AG86:AI86" si="350">SUM(AG46)</f>
        <v>8995.59</v>
      </c>
      <c r="AH86" s="3976">
        <f t="shared" si="350"/>
        <v>55.86</v>
      </c>
      <c r="AI86" s="3974">
        <f t="shared" si="350"/>
        <v>8833.3841337506801</v>
      </c>
      <c r="AJ86" s="3977">
        <f t="shared" si="224"/>
        <v>0.8174086813624194</v>
      </c>
      <c r="AK86" s="3975">
        <f t="shared" ref="AK86:AY86" si="351">SUM(AK46)</f>
        <v>8777.5241337506795</v>
      </c>
      <c r="AL86" s="3976">
        <f t="shared" si="351"/>
        <v>55.860000000000007</v>
      </c>
      <c r="AM86" s="3973" t="e">
        <f t="shared" si="351"/>
        <v>#REF!</v>
      </c>
      <c r="AN86" s="3973" t="e">
        <f t="shared" si="351"/>
        <v>#REF!</v>
      </c>
      <c r="AO86" s="3973" t="e">
        <f t="shared" si="351"/>
        <v>#REF!</v>
      </c>
      <c r="AP86" s="3974">
        <f t="shared" si="351"/>
        <v>0</v>
      </c>
      <c r="AQ86" s="3975">
        <f t="shared" si="351"/>
        <v>0</v>
      </c>
      <c r="AR86" s="3976">
        <f t="shared" si="351"/>
        <v>0</v>
      </c>
      <c r="AS86" s="3974">
        <f t="shared" si="351"/>
        <v>0</v>
      </c>
      <c r="AT86" s="3975">
        <f t="shared" si="351"/>
        <v>0</v>
      </c>
      <c r="AU86" s="3976">
        <f t="shared" si="351"/>
        <v>0</v>
      </c>
      <c r="AV86" s="3974">
        <f t="shared" ref="AV86:AX86" si="352">SUM(AV46)</f>
        <v>8924.7999999999993</v>
      </c>
      <c r="AW86" s="3975">
        <f t="shared" si="352"/>
        <v>8859.7953039766962</v>
      </c>
      <c r="AX86" s="3976">
        <f t="shared" si="352"/>
        <v>65.00469602330304</v>
      </c>
      <c r="AY86" s="3974">
        <f t="shared" si="351"/>
        <v>10189.549999999999</v>
      </c>
      <c r="AZ86" s="3978">
        <f t="shared" si="227"/>
        <v>1.1535273283392791</v>
      </c>
      <c r="BA86" s="3975">
        <f t="shared" ref="BA86:BC86" si="353">SUM(BA46)</f>
        <v>10189.549999999999</v>
      </c>
      <c r="BB86" s="3976">
        <f t="shared" si="353"/>
        <v>0</v>
      </c>
      <c r="BC86" s="3974">
        <f t="shared" si="353"/>
        <v>13195.647202096725</v>
      </c>
      <c r="BD86" s="3978">
        <f t="shared" si="229"/>
        <v>1.4938382620176867</v>
      </c>
      <c r="BE86" s="3975">
        <f t="shared" ref="BE86:BF86" si="354">SUM(BE46)</f>
        <v>13195.647202096725</v>
      </c>
      <c r="BF86" s="3976">
        <f t="shared" si="354"/>
        <v>0</v>
      </c>
      <c r="BG86" s="3979"/>
      <c r="BH86" s="3974">
        <f t="shared" ref="BH86:BJ86" si="355">SUM(BH46)</f>
        <v>4545.9300000000076</v>
      </c>
      <c r="BI86" s="3975">
        <f t="shared" si="355"/>
        <v>4516.4538200303041</v>
      </c>
      <c r="BJ86" s="3976">
        <f t="shared" si="355"/>
        <v>29.47617996970348</v>
      </c>
      <c r="BK86" s="3974">
        <f t="shared" ref="BK86:BM86" si="356">SUM(BK46)</f>
        <v>6919.8799999999828</v>
      </c>
      <c r="BL86" s="3975">
        <f t="shared" si="356"/>
        <v>6873.8247258401634</v>
      </c>
      <c r="BM86" s="3976">
        <f t="shared" si="356"/>
        <v>46.055274159819419</v>
      </c>
      <c r="BN86" s="3974">
        <f t="shared" ref="BN86:BQ87" si="357">SUM(BN46)</f>
        <v>9307.7739999999994</v>
      </c>
      <c r="BO86" s="3975">
        <f t="shared" si="357"/>
        <v>9244.9923044530606</v>
      </c>
      <c r="BP86" s="3976">
        <f t="shared" si="357"/>
        <v>62.781695546938863</v>
      </c>
      <c r="BQ86" s="4018">
        <f t="shared" si="357"/>
        <v>11124.428087978959</v>
      </c>
      <c r="BR86" s="3978">
        <f t="shared" si="234"/>
        <v>0.84303770156960101</v>
      </c>
      <c r="BS86" s="4019">
        <f t="shared" ref="BS86:BU87" si="358">SUM(BS46)</f>
        <v>11084</v>
      </c>
      <c r="BT86" s="4020">
        <f t="shared" si="358"/>
        <v>40.428087978958501</v>
      </c>
      <c r="BU86" s="4018">
        <f t="shared" si="358"/>
        <v>14681.99</v>
      </c>
      <c r="BV86" s="4017">
        <f t="shared" si="236"/>
        <v>1.1126388706169033</v>
      </c>
      <c r="BW86" s="4019">
        <f t="shared" ref="BW86:CH86" si="359">SUM(BW46)</f>
        <v>14675.18</v>
      </c>
      <c r="BX86" s="4020">
        <f t="shared" si="359"/>
        <v>6.81</v>
      </c>
      <c r="BY86" s="3980">
        <f t="shared" si="359"/>
        <v>4818.8500000000004</v>
      </c>
      <c r="BZ86" s="3981">
        <f t="shared" si="359"/>
        <v>4790.9028660611175</v>
      </c>
      <c r="CA86" s="3981">
        <f t="shared" si="359"/>
        <v>27.947133938882871</v>
      </c>
      <c r="CB86" s="3981">
        <f t="shared" ref="CB86:CD86" si="360">SUM(CB46)</f>
        <v>7382.88</v>
      </c>
      <c r="CC86" s="3981">
        <f t="shared" si="360"/>
        <v>7337.9655967303379</v>
      </c>
      <c r="CD86" s="3981">
        <f t="shared" si="360"/>
        <v>44.914403269662216</v>
      </c>
      <c r="CE86" s="3981">
        <f t="shared" ref="CE86:CG86" si="361">SUM(CE46)</f>
        <v>9753.1600000000035</v>
      </c>
      <c r="CF86" s="3981">
        <f t="shared" si="361"/>
        <v>9690.2363870967783</v>
      </c>
      <c r="CG86" s="3982">
        <f t="shared" si="361"/>
        <v>62.923612903225148</v>
      </c>
      <c r="CH86" s="4018">
        <f t="shared" si="359"/>
        <v>15338.743391990902</v>
      </c>
      <c r="CI86" s="3978">
        <f t="shared" si="240"/>
        <v>1.0447319056879143</v>
      </c>
      <c r="CJ86" s="4019">
        <f t="shared" ref="CJ86:CL86" si="362">SUM(CJ46)</f>
        <v>15331.743391990902</v>
      </c>
      <c r="CK86" s="4020">
        <f t="shared" si="362"/>
        <v>7</v>
      </c>
      <c r="CL86" s="4018">
        <f t="shared" si="362"/>
        <v>15214.176314017532</v>
      </c>
      <c r="CM86" s="4017">
        <f t="shared" si="242"/>
        <v>1.0362475600390364</v>
      </c>
      <c r="CN86" s="4019">
        <f t="shared" ref="CN86:CO86" si="363">SUM(CN46)</f>
        <v>15206.883606181053</v>
      </c>
      <c r="CO86" s="4020">
        <f t="shared" si="363"/>
        <v>7.2927078364799991</v>
      </c>
    </row>
    <row r="87" spans="1:93" ht="20.25" customHeight="1">
      <c r="A87" s="3970" t="s">
        <v>907</v>
      </c>
      <c r="B87" s="3971"/>
      <c r="C87" s="3971"/>
      <c r="D87" s="3971"/>
      <c r="E87" s="3971"/>
      <c r="F87" s="3971"/>
      <c r="G87" s="3971"/>
      <c r="H87" s="3971"/>
      <c r="I87" s="3971"/>
      <c r="J87" s="3971"/>
      <c r="K87" s="3971"/>
      <c r="L87" s="3971"/>
      <c r="M87" s="3971"/>
      <c r="N87" s="3971"/>
      <c r="O87" s="3971"/>
      <c r="P87" s="3971"/>
      <c r="Q87" s="3971"/>
      <c r="R87" s="3971"/>
      <c r="S87" s="3971"/>
      <c r="T87" s="3971"/>
      <c r="U87" s="3971"/>
      <c r="V87" s="3971"/>
      <c r="W87" s="3973"/>
      <c r="X87" s="3971"/>
      <c r="Y87" s="3974"/>
      <c r="Z87" s="3975"/>
      <c r="AA87" s="3976"/>
      <c r="AB87" s="3974"/>
      <c r="AC87" s="3975"/>
      <c r="AD87" s="3976"/>
      <c r="AE87" s="3974"/>
      <c r="AF87" s="3977"/>
      <c r="AG87" s="3975"/>
      <c r="AH87" s="3976"/>
      <c r="AI87" s="3974"/>
      <c r="AJ87" s="3977"/>
      <c r="AK87" s="3975"/>
      <c r="AL87" s="3976"/>
      <c r="AM87" s="3973"/>
      <c r="AN87" s="3973"/>
      <c r="AO87" s="3973"/>
      <c r="AP87" s="3974"/>
      <c r="AQ87" s="3975"/>
      <c r="AR87" s="3976"/>
      <c r="AS87" s="3974"/>
      <c r="AT87" s="3975"/>
      <c r="AU87" s="3976"/>
      <c r="AV87" s="3974"/>
      <c r="AW87" s="3975"/>
      <c r="AX87" s="3976"/>
      <c r="AY87" s="3974"/>
      <c r="AZ87" s="3978"/>
      <c r="BA87" s="3975"/>
      <c r="BB87" s="3976"/>
      <c r="BC87" s="3975">
        <f>BC47</f>
        <v>286.40476017160813</v>
      </c>
      <c r="BD87" s="3978"/>
      <c r="BE87" s="3975">
        <f>BE47</f>
        <v>286.40476017160813</v>
      </c>
      <c r="BF87" s="3975">
        <f>BF47</f>
        <v>0</v>
      </c>
      <c r="BG87" s="3979"/>
      <c r="BH87" s="3974"/>
      <c r="BI87" s="3975"/>
      <c r="BJ87" s="3976"/>
      <c r="BK87" s="3974"/>
      <c r="BL87" s="3975"/>
      <c r="BM87" s="3976"/>
      <c r="BN87" s="3974"/>
      <c r="BO87" s="3975"/>
      <c r="BP87" s="3976"/>
      <c r="BQ87" s="4018">
        <f t="shared" si="357"/>
        <v>353.60175784252925</v>
      </c>
      <c r="BR87" s="3978">
        <f t="shared" si="234"/>
        <v>1.2346224889232218</v>
      </c>
      <c r="BS87" s="4019">
        <f t="shared" si="358"/>
        <v>353.60175784252925</v>
      </c>
      <c r="BT87" s="4020">
        <f t="shared" si="358"/>
        <v>0</v>
      </c>
      <c r="BU87" s="4019">
        <f>BU47</f>
        <v>265.39999999999998</v>
      </c>
      <c r="BV87" s="4017">
        <f t="shared" si="236"/>
        <v>0.9266605758960762</v>
      </c>
      <c r="BW87" s="4019">
        <f>BW47</f>
        <v>265.39999999999998</v>
      </c>
      <c r="BX87" s="4019">
        <f>BX47</f>
        <v>0</v>
      </c>
      <c r="BY87" s="3980"/>
      <c r="BZ87" s="3981"/>
      <c r="CA87" s="3981"/>
      <c r="CB87" s="3981"/>
      <c r="CC87" s="3981"/>
      <c r="CD87" s="3981"/>
      <c r="CE87" s="3981"/>
      <c r="CF87" s="3981"/>
      <c r="CG87" s="3982"/>
      <c r="CH87" s="4018">
        <f t="shared" ref="CH87" si="364">SUM(CH47)</f>
        <v>370.50590426054475</v>
      </c>
      <c r="CI87" s="3978">
        <f t="shared" si="240"/>
        <v>1.3960282752846449</v>
      </c>
      <c r="CJ87" s="4019">
        <f t="shared" ref="CJ87:CK87" si="365">SUM(CJ47)</f>
        <v>370.50590426054475</v>
      </c>
      <c r="CK87" s="4020">
        <f t="shared" si="365"/>
        <v>0</v>
      </c>
      <c r="CL87" s="4019">
        <f>CL47</f>
        <v>365.36847945936529</v>
      </c>
      <c r="CM87" s="4017">
        <f t="shared" si="242"/>
        <v>1.3766709851520924</v>
      </c>
      <c r="CN87" s="4019">
        <f>CN47</f>
        <v>365.36847945936529</v>
      </c>
      <c r="CO87" s="4020">
        <f>CO47</f>
        <v>0</v>
      </c>
    </row>
    <row r="88" spans="1:93" ht="20.25" customHeight="1">
      <c r="A88" s="3983" t="s">
        <v>524</v>
      </c>
      <c r="B88" s="3971"/>
      <c r="C88" s="3971"/>
      <c r="D88" s="3971"/>
      <c r="E88" s="3971"/>
      <c r="F88" s="3971"/>
      <c r="G88" s="3971"/>
      <c r="H88" s="3971"/>
      <c r="I88" s="3971"/>
      <c r="J88" s="3971"/>
      <c r="K88" s="3971"/>
      <c r="L88" s="3971"/>
      <c r="M88" s="3971"/>
      <c r="N88" s="3971"/>
      <c r="O88" s="3971"/>
      <c r="P88" s="3971"/>
      <c r="Q88" s="3971"/>
      <c r="R88" s="3971"/>
      <c r="S88" s="3971"/>
      <c r="T88" s="3971"/>
      <c r="U88" s="3971"/>
      <c r="V88" s="3971"/>
      <c r="W88" s="3973">
        <f>SUM(W48)</f>
        <v>0</v>
      </c>
      <c r="X88" s="3971"/>
      <c r="Y88" s="3974">
        <f t="shared" ref="Y88:AE88" si="366">SUM(Y48)</f>
        <v>0</v>
      </c>
      <c r="Z88" s="3975">
        <f t="shared" si="366"/>
        <v>0</v>
      </c>
      <c r="AA88" s="3976">
        <f t="shared" si="366"/>
        <v>0</v>
      </c>
      <c r="AB88" s="3974">
        <f t="shared" si="366"/>
        <v>0</v>
      </c>
      <c r="AC88" s="3975">
        <f t="shared" si="366"/>
        <v>0</v>
      </c>
      <c r="AD88" s="3976">
        <f t="shared" si="366"/>
        <v>0</v>
      </c>
      <c r="AE88" s="3974">
        <f t="shared" si="366"/>
        <v>885.62</v>
      </c>
      <c r="AF88" s="3977" t="e">
        <f t="shared" si="222"/>
        <v>#DIV/0!</v>
      </c>
      <c r="AG88" s="3975">
        <f t="shared" ref="AG88:AI88" si="367">SUM(AG48)</f>
        <v>885.62</v>
      </c>
      <c r="AH88" s="3976">
        <f t="shared" si="367"/>
        <v>0</v>
      </c>
      <c r="AI88" s="3974">
        <f t="shared" si="367"/>
        <v>1458.3999999999999</v>
      </c>
      <c r="AJ88" s="3977" t="e">
        <f t="shared" si="224"/>
        <v>#DIV/0!</v>
      </c>
      <c r="AK88" s="3975">
        <f t="shared" ref="AK88:AY88" si="368">SUM(AK48)</f>
        <v>1450.3</v>
      </c>
      <c r="AL88" s="3976">
        <f t="shared" si="368"/>
        <v>8.1</v>
      </c>
      <c r="AM88" s="3973">
        <f t="shared" si="368"/>
        <v>0</v>
      </c>
      <c r="AN88" s="3973">
        <f t="shared" si="368"/>
        <v>0</v>
      </c>
      <c r="AO88" s="3973">
        <f t="shared" si="368"/>
        <v>0</v>
      </c>
      <c r="AP88" s="3974">
        <f t="shared" si="368"/>
        <v>0</v>
      </c>
      <c r="AQ88" s="3975">
        <f t="shared" si="368"/>
        <v>0</v>
      </c>
      <c r="AR88" s="3976">
        <f t="shared" si="368"/>
        <v>0</v>
      </c>
      <c r="AS88" s="3974">
        <f t="shared" si="368"/>
        <v>0</v>
      </c>
      <c r="AT88" s="3975">
        <f t="shared" si="368"/>
        <v>0</v>
      </c>
      <c r="AU88" s="3976">
        <f t="shared" si="368"/>
        <v>0</v>
      </c>
      <c r="AV88" s="3974">
        <f t="shared" ref="AV88:AX88" si="369">SUM(AV48)</f>
        <v>0</v>
      </c>
      <c r="AW88" s="3975">
        <f t="shared" si="369"/>
        <v>0</v>
      </c>
      <c r="AX88" s="3976">
        <f t="shared" si="369"/>
        <v>0</v>
      </c>
      <c r="AY88" s="3974">
        <f t="shared" si="368"/>
        <v>26.1</v>
      </c>
      <c r="AZ88" s="3978">
        <f t="shared" si="227"/>
        <v>1.7896324739440486E-2</v>
      </c>
      <c r="BA88" s="3975">
        <f t="shared" ref="BA88:BC88" si="370">SUM(BA48)</f>
        <v>26.1</v>
      </c>
      <c r="BB88" s="3976">
        <f t="shared" si="370"/>
        <v>0</v>
      </c>
      <c r="BC88" s="3974">
        <f t="shared" si="370"/>
        <v>26.100000000000009</v>
      </c>
      <c r="BD88" s="3978">
        <f t="shared" si="229"/>
        <v>1.789632473944049E-2</v>
      </c>
      <c r="BE88" s="3975">
        <f t="shared" ref="BE88:BF88" si="371">SUM(BE48)</f>
        <v>26.100000000000009</v>
      </c>
      <c r="BF88" s="3976">
        <f t="shared" si="371"/>
        <v>0</v>
      </c>
      <c r="BG88" s="3979"/>
      <c r="BH88" s="3974">
        <f t="shared" ref="BH88:BJ88" si="372">SUM(BH48)</f>
        <v>0</v>
      </c>
      <c r="BI88" s="3975">
        <f t="shared" si="372"/>
        <v>0</v>
      </c>
      <c r="BJ88" s="3976">
        <f t="shared" si="372"/>
        <v>0</v>
      </c>
      <c r="BK88" s="3974">
        <f t="shared" ref="BK88:BM88" si="373">SUM(BK48)</f>
        <v>0</v>
      </c>
      <c r="BL88" s="3975">
        <f t="shared" si="373"/>
        <v>0</v>
      </c>
      <c r="BM88" s="3976">
        <f t="shared" si="373"/>
        <v>0</v>
      </c>
      <c r="BN88" s="3974">
        <f t="shared" ref="BN88:BQ88" si="374">SUM(BN48)</f>
        <v>0</v>
      </c>
      <c r="BO88" s="3975">
        <f t="shared" si="374"/>
        <v>0</v>
      </c>
      <c r="BP88" s="3976">
        <f t="shared" si="374"/>
        <v>0</v>
      </c>
      <c r="BQ88" s="4018">
        <f t="shared" si="374"/>
        <v>361.57999999999993</v>
      </c>
      <c r="BR88" s="3978">
        <f t="shared" si="234"/>
        <v>13.853639846743288</v>
      </c>
      <c r="BS88" s="4019">
        <f t="shared" ref="BS88:BU88" si="375">SUM(BS48)</f>
        <v>361.57999999999993</v>
      </c>
      <c r="BT88" s="4020">
        <f t="shared" si="375"/>
        <v>0</v>
      </c>
      <c r="BU88" s="4018">
        <f t="shared" si="375"/>
        <v>361.57999999999993</v>
      </c>
      <c r="BV88" s="4017">
        <f t="shared" si="236"/>
        <v>13.853639846743288</v>
      </c>
      <c r="BW88" s="4019">
        <f t="shared" ref="BW88:CH88" si="376">SUM(BW48)</f>
        <v>361.57999999999993</v>
      </c>
      <c r="BX88" s="4020">
        <f t="shared" si="376"/>
        <v>0</v>
      </c>
      <c r="BY88" s="3980">
        <f t="shared" si="376"/>
        <v>0</v>
      </c>
      <c r="BZ88" s="3981">
        <f t="shared" si="376"/>
        <v>0</v>
      </c>
      <c r="CA88" s="3981">
        <f t="shared" si="376"/>
        <v>0</v>
      </c>
      <c r="CB88" s="3981">
        <f t="shared" ref="CB88:CD88" si="377">SUM(CB48)</f>
        <v>0</v>
      </c>
      <c r="CC88" s="3981">
        <f t="shared" si="377"/>
        <v>0</v>
      </c>
      <c r="CD88" s="3981">
        <f t="shared" si="377"/>
        <v>0</v>
      </c>
      <c r="CE88" s="3981">
        <f t="shared" ref="CE88:CG88" si="378">SUM(CE48)</f>
        <v>0</v>
      </c>
      <c r="CF88" s="3981">
        <f t="shared" si="378"/>
        <v>0</v>
      </c>
      <c r="CG88" s="3982">
        <f t="shared" si="378"/>
        <v>0</v>
      </c>
      <c r="CH88" s="4018">
        <f t="shared" si="376"/>
        <v>1291.2</v>
      </c>
      <c r="CI88" s="3978">
        <f t="shared" si="240"/>
        <v>3.5709939709054712</v>
      </c>
      <c r="CJ88" s="4019">
        <f t="shared" ref="CJ88:CL88" si="379">SUM(CJ48)</f>
        <v>1291.2</v>
      </c>
      <c r="CK88" s="4020">
        <f t="shared" si="379"/>
        <v>0</v>
      </c>
      <c r="CL88" s="4018">
        <f t="shared" si="379"/>
        <v>0</v>
      </c>
      <c r="CM88" s="4017">
        <f t="shared" si="242"/>
        <v>0</v>
      </c>
      <c r="CN88" s="4019">
        <f t="shared" ref="CN88:CO88" si="380">SUM(CN48)</f>
        <v>0</v>
      </c>
      <c r="CO88" s="4020">
        <f t="shared" si="380"/>
        <v>0</v>
      </c>
    </row>
    <row r="89" spans="1:93" ht="20.25" customHeight="1">
      <c r="A89" s="3984" t="s">
        <v>12</v>
      </c>
      <c r="B89" s="3985"/>
      <c r="C89" s="3985"/>
      <c r="D89" s="3985"/>
      <c r="E89" s="3985"/>
      <c r="F89" s="3985"/>
      <c r="G89" s="3985"/>
      <c r="H89" s="3985"/>
      <c r="I89" s="3985"/>
      <c r="J89" s="3985"/>
      <c r="K89" s="3985"/>
      <c r="L89" s="3985"/>
      <c r="M89" s="3985"/>
      <c r="N89" s="3985"/>
      <c r="O89" s="3985"/>
      <c r="P89" s="3985"/>
      <c r="Q89" s="3985"/>
      <c r="R89" s="3985"/>
      <c r="S89" s="3985"/>
      <c r="T89" s="3985"/>
      <c r="U89" s="3985"/>
      <c r="V89" s="3985"/>
      <c r="W89" s="3986">
        <f>SUM(W78:W88)</f>
        <v>96034.680000000008</v>
      </c>
      <c r="X89" s="3985"/>
      <c r="Y89" s="3987">
        <f t="shared" ref="Y89:AE89" si="381">SUM(Y78:Y88)</f>
        <v>77174.362445693521</v>
      </c>
      <c r="Z89" s="3988">
        <f t="shared" si="381"/>
        <v>76845.21173857752</v>
      </c>
      <c r="AA89" s="3989">
        <f t="shared" si="381"/>
        <v>329.45070711599271</v>
      </c>
      <c r="AB89" s="3987">
        <f t="shared" si="381"/>
        <v>70897.669500000004</v>
      </c>
      <c r="AC89" s="3988">
        <f t="shared" si="381"/>
        <v>70520.933541510851</v>
      </c>
      <c r="AD89" s="3989">
        <f t="shared" si="381"/>
        <v>376.73595848915204</v>
      </c>
      <c r="AE89" s="3987">
        <f t="shared" si="381"/>
        <v>85498.659999999989</v>
      </c>
      <c r="AF89" s="3990">
        <f t="shared" si="222"/>
        <v>1.1078635092083093</v>
      </c>
      <c r="AG89" s="3988">
        <f t="shared" ref="AG89" si="382">SUM(AG78:AG88)</f>
        <v>85594.609999999986</v>
      </c>
      <c r="AH89" s="3989">
        <f t="shared" ref="AH89" si="383">SUM(AH78:AH88)</f>
        <v>343.42</v>
      </c>
      <c r="AI89" s="3987">
        <f t="shared" ref="AI89:AK89" si="384">SUM(AI78:AI88)</f>
        <v>81205.828863845803</v>
      </c>
      <c r="AJ89" s="3990">
        <f t="shared" si="224"/>
        <v>1.0522384155876787</v>
      </c>
      <c r="AK89" s="3988">
        <f t="shared" si="384"/>
        <v>80856.743168717745</v>
      </c>
      <c r="AL89" s="3989">
        <f t="shared" ref="AL89" si="385">SUM(AL78:AL88)</f>
        <v>349.08569512807247</v>
      </c>
      <c r="AM89" s="3986" t="e">
        <f t="shared" ref="AM89" si="386">SUM(AM78:AM88)</f>
        <v>#REF!</v>
      </c>
      <c r="AN89" s="3986" t="e">
        <f t="shared" ref="AN89" si="387">SUM(AN78:AN88)</f>
        <v>#REF!</v>
      </c>
      <c r="AO89" s="3986" t="e">
        <f t="shared" ref="AO89" si="388">SUM(AO78:AO88)</f>
        <v>#REF!</v>
      </c>
      <c r="AP89" s="3987">
        <f t="shared" ref="AP89" si="389">SUM(AP78:AP88)</f>
        <v>25525.759999999998</v>
      </c>
      <c r="AQ89" s="3988">
        <f t="shared" ref="AQ89" si="390">SUM(AQ78:AQ88)</f>
        <v>25440.449918838356</v>
      </c>
      <c r="AR89" s="3989">
        <f t="shared" ref="AR89" si="391">SUM(AR78:AR88)</f>
        <v>85.310081161642032</v>
      </c>
      <c r="AS89" s="3987">
        <f t="shared" ref="AS89" si="392">SUM(AS78:AS88)</f>
        <v>40253.670000000006</v>
      </c>
      <c r="AT89" s="3988">
        <f t="shared" ref="AT89" si="393">SUM(AT78:AT88)</f>
        <v>40114.792459398108</v>
      </c>
      <c r="AU89" s="3989">
        <f t="shared" ref="AU89:AW89" si="394">SUM(AU78:AU88)</f>
        <v>138.8775406018996</v>
      </c>
      <c r="AV89" s="3987">
        <f t="shared" si="394"/>
        <v>73344.06</v>
      </c>
      <c r="AW89" s="3988">
        <f t="shared" si="394"/>
        <v>73012.944878892187</v>
      </c>
      <c r="AX89" s="3989">
        <f t="shared" ref="AX89" si="395">SUM(AX78:AX88)</f>
        <v>331.11512110780825</v>
      </c>
      <c r="AY89" s="3987">
        <f t="shared" ref="AY89" si="396">SUM(AY78:AY88)</f>
        <v>92157.97384440084</v>
      </c>
      <c r="AZ89" s="3991">
        <f t="shared" si="227"/>
        <v>1.1348689513275951</v>
      </c>
      <c r="BA89" s="3988">
        <f t="shared" ref="BA89" si="397">SUM(BA78:BA88)</f>
        <v>91908.958488540462</v>
      </c>
      <c r="BB89" s="3989">
        <f t="shared" ref="BB89" si="398">SUM(BB78:BB88)</f>
        <v>249.01535586037718</v>
      </c>
      <c r="BC89" s="3987">
        <f t="shared" ref="BC89" si="399">SUM(BC78:BC88)</f>
        <v>81331.238474047466</v>
      </c>
      <c r="BD89" s="3991">
        <f t="shared" si="229"/>
        <v>1.0015443424684689</v>
      </c>
      <c r="BE89" s="3988">
        <f t="shared" ref="BE89" si="400">SUM(BE78:BE88)</f>
        <v>81065.481041922336</v>
      </c>
      <c r="BF89" s="3989">
        <f t="shared" ref="BF89" si="401">SUM(BF78:BF88)</f>
        <v>265.7574321251206</v>
      </c>
      <c r="BG89" s="3979"/>
      <c r="BH89" s="3987">
        <f t="shared" ref="BH89:BJ89" si="402">SUM(BH78:BH88)</f>
        <v>38669.27635</v>
      </c>
      <c r="BI89" s="3988">
        <f t="shared" si="402"/>
        <v>38508.235329938965</v>
      </c>
      <c r="BJ89" s="3989">
        <f t="shared" si="402"/>
        <v>161.04102006103977</v>
      </c>
      <c r="BK89" s="3987">
        <f t="shared" ref="BK89:BM89" si="403">SUM(BK78:BK88)</f>
        <v>59688.815588999976</v>
      </c>
      <c r="BL89" s="3988">
        <f t="shared" si="403"/>
        <v>59435.119734529311</v>
      </c>
      <c r="BM89" s="3989">
        <f t="shared" si="403"/>
        <v>253.69585447067101</v>
      </c>
      <c r="BN89" s="3987">
        <f t="shared" ref="BN89:BQ89" si="404">SUM(BN78:BN88)</f>
        <v>81554.202000000005</v>
      </c>
      <c r="BO89" s="3988">
        <f t="shared" si="404"/>
        <v>81207.195393151706</v>
      </c>
      <c r="BP89" s="3989">
        <f t="shared" si="404"/>
        <v>347.00660684829899</v>
      </c>
      <c r="BQ89" s="4021">
        <f t="shared" si="404"/>
        <v>85750.930779269518</v>
      </c>
      <c r="BR89" s="3978">
        <f t="shared" si="234"/>
        <v>1.0543418788173546</v>
      </c>
      <c r="BS89" s="4022">
        <f t="shared" ref="BS89:BU89" si="405">SUM(BS78:BS88)</f>
        <v>85412.573168429779</v>
      </c>
      <c r="BT89" s="4023">
        <f t="shared" si="405"/>
        <v>338.35761083972818</v>
      </c>
      <c r="BU89" s="4021">
        <f t="shared" si="405"/>
        <v>85973.202221013722</v>
      </c>
      <c r="BV89" s="4017">
        <f t="shared" si="236"/>
        <v>1.0570747948028296</v>
      </c>
      <c r="BW89" s="4022">
        <f t="shared" ref="BW89:CH89" si="406">SUM(BW78:BW88)</f>
        <v>85653.069460888641</v>
      </c>
      <c r="BX89" s="4023">
        <f t="shared" si="406"/>
        <v>320.13276012508089</v>
      </c>
      <c r="BY89" s="3992">
        <f t="shared" si="406"/>
        <v>40121.254999999997</v>
      </c>
      <c r="BZ89" s="3993">
        <f t="shared" si="406"/>
        <v>39971.938164185158</v>
      </c>
      <c r="CA89" s="3993">
        <f t="shared" si="406"/>
        <v>149.31683581483804</v>
      </c>
      <c r="CB89" s="3993">
        <f t="shared" ref="CB89:CD89" si="407">SUM(CB78:CB88)</f>
        <v>60544.265999999996</v>
      </c>
      <c r="CC89" s="3993">
        <f t="shared" si="407"/>
        <v>60306.745698394247</v>
      </c>
      <c r="CD89" s="3993">
        <f t="shared" si="407"/>
        <v>237.52030160576152</v>
      </c>
      <c r="CE89" s="3993">
        <f t="shared" ref="CE89:CG89" si="408">SUM(CE78:CE88)</f>
        <v>80927.815986411559</v>
      </c>
      <c r="CF89" s="3993">
        <f t="shared" si="408"/>
        <v>80590.424606879897</v>
      </c>
      <c r="CG89" s="3994">
        <f t="shared" si="408"/>
        <v>337.39137953168631</v>
      </c>
      <c r="CH89" s="4021">
        <f t="shared" si="406"/>
        <v>88176.385745329084</v>
      </c>
      <c r="CI89" s="3978">
        <f t="shared" si="240"/>
        <v>1.0256263983124831</v>
      </c>
      <c r="CJ89" s="4022">
        <f t="shared" ref="CJ89:CL89" si="409">SUM(CJ78:CJ88)</f>
        <v>87869.968240744784</v>
      </c>
      <c r="CK89" s="4023">
        <f t="shared" si="409"/>
        <v>306.41750458431409</v>
      </c>
      <c r="CL89" s="4021">
        <f t="shared" si="409"/>
        <v>89291.182125612322</v>
      </c>
      <c r="CM89" s="4017">
        <f t="shared" si="242"/>
        <v>1.0385931873988941</v>
      </c>
      <c r="CN89" s="4022">
        <f t="shared" ref="CN89:CO89" si="410">SUM(CN78:CN88)</f>
        <v>88993.985899533072</v>
      </c>
      <c r="CO89" s="4023">
        <f t="shared" si="410"/>
        <v>297.19622607925788</v>
      </c>
    </row>
    <row r="90" spans="1:93" ht="20.25" customHeight="1">
      <c r="A90" s="4569" t="s">
        <v>1700</v>
      </c>
      <c r="B90" s="3971"/>
      <c r="C90" s="3971"/>
      <c r="D90" s="3971"/>
      <c r="E90" s="3971"/>
      <c r="F90" s="3971"/>
      <c r="G90" s="3971"/>
      <c r="H90" s="3971"/>
      <c r="I90" s="3971"/>
      <c r="J90" s="3971"/>
      <c r="K90" s="3971"/>
      <c r="L90" s="3971"/>
      <c r="M90" s="3971"/>
      <c r="N90" s="3971"/>
      <c r="O90" s="3971"/>
      <c r="P90" s="3971"/>
      <c r="Q90" s="3971"/>
      <c r="R90" s="3971"/>
      <c r="S90" s="3971"/>
      <c r="T90" s="3971"/>
      <c r="U90" s="3971"/>
      <c r="V90" s="3971"/>
      <c r="W90" s="3973"/>
      <c r="X90" s="3971"/>
      <c r="Y90" s="3974"/>
      <c r="Z90" s="3975"/>
      <c r="AA90" s="3976"/>
      <c r="AB90" s="3974"/>
      <c r="AC90" s="3975"/>
      <c r="AD90" s="3976"/>
      <c r="AE90" s="3974"/>
      <c r="AF90" s="3977"/>
      <c r="AG90" s="3975"/>
      <c r="AH90" s="3976"/>
      <c r="AI90" s="3974"/>
      <c r="AJ90" s="3977"/>
      <c r="AK90" s="3975"/>
      <c r="AL90" s="3976"/>
      <c r="AM90" s="3973"/>
      <c r="AN90" s="3973"/>
      <c r="AO90" s="3973"/>
      <c r="AP90" s="3974"/>
      <c r="AQ90" s="3975"/>
      <c r="AR90" s="3976"/>
      <c r="AS90" s="3974"/>
      <c r="AT90" s="3975"/>
      <c r="AU90" s="3976"/>
      <c r="AV90" s="3974"/>
      <c r="AW90" s="3975"/>
      <c r="AX90" s="3976"/>
      <c r="AY90" s="3974"/>
      <c r="AZ90" s="3978"/>
      <c r="BA90" s="3975"/>
      <c r="BB90" s="3976"/>
      <c r="BC90" s="3974"/>
      <c r="BD90" s="3978"/>
      <c r="BE90" s="3975"/>
      <c r="BF90" s="3976"/>
      <c r="BG90" s="3979"/>
      <c r="BH90" s="3974"/>
      <c r="BI90" s="3975"/>
      <c r="BJ90" s="3976"/>
      <c r="BK90" s="3974"/>
      <c r="BL90" s="3975"/>
      <c r="BM90" s="3976"/>
      <c r="BN90" s="3974"/>
      <c r="BO90" s="3975"/>
      <c r="BP90" s="3976"/>
      <c r="BQ90" s="4018"/>
      <c r="BR90" s="3978"/>
      <c r="BS90" s="4019"/>
      <c r="BT90" s="4020"/>
      <c r="BU90" s="4018">
        <f>SUM(BU50)</f>
        <v>-5234.7</v>
      </c>
      <c r="BV90" s="4017"/>
      <c r="BW90" s="4019">
        <f>SUM(BW50)</f>
        <v>-5234.7</v>
      </c>
      <c r="BX90" s="4020">
        <f>SUM(BX50)</f>
        <v>0</v>
      </c>
      <c r="BY90" s="3980"/>
      <c r="BZ90" s="3981"/>
      <c r="CA90" s="3981"/>
      <c r="CB90" s="3981"/>
      <c r="CC90" s="3981"/>
      <c r="CD90" s="3981"/>
      <c r="CE90" s="3981"/>
      <c r="CF90" s="3981"/>
      <c r="CG90" s="3982"/>
      <c r="CH90" s="4018">
        <f>SUM(CH50)</f>
        <v>5234.7</v>
      </c>
      <c r="CI90" s="3978">
        <f t="shared" si="240"/>
        <v>-1</v>
      </c>
      <c r="CJ90" s="4019">
        <f>SUM(CJ50)</f>
        <v>5234.7</v>
      </c>
      <c r="CK90" s="4020">
        <f>SUM(CK50)</f>
        <v>0</v>
      </c>
      <c r="CL90" s="4018">
        <f>SUM(CL50)</f>
        <v>5234.7</v>
      </c>
      <c r="CM90" s="4017">
        <f t="shared" si="242"/>
        <v>-1</v>
      </c>
      <c r="CN90" s="4019">
        <f>SUM(CN50)</f>
        <v>5234.7</v>
      </c>
      <c r="CO90" s="4020">
        <f>SUM(CO50)</f>
        <v>0</v>
      </c>
    </row>
    <row r="91" spans="1:93" ht="83.25" customHeight="1">
      <c r="A91" s="4469" t="s">
        <v>1906</v>
      </c>
      <c r="B91" s="3985"/>
      <c r="C91" s="3985"/>
      <c r="D91" s="3985"/>
      <c r="E91" s="3985"/>
      <c r="F91" s="3985"/>
      <c r="G91" s="3985"/>
      <c r="H91" s="3985"/>
      <c r="I91" s="3985"/>
      <c r="J91" s="3985"/>
      <c r="K91" s="3985"/>
      <c r="L91" s="3985"/>
      <c r="M91" s="3985"/>
      <c r="N91" s="3985"/>
      <c r="O91" s="3985"/>
      <c r="P91" s="3985"/>
      <c r="Q91" s="3985"/>
      <c r="R91" s="3985"/>
      <c r="S91" s="3985"/>
      <c r="T91" s="3985"/>
      <c r="U91" s="3985"/>
      <c r="V91" s="3985"/>
      <c r="W91" s="3986"/>
      <c r="X91" s="3985"/>
      <c r="Y91" s="3987"/>
      <c r="Z91" s="3988"/>
      <c r="AA91" s="3989"/>
      <c r="AB91" s="3987"/>
      <c r="AC91" s="3988"/>
      <c r="AD91" s="3989"/>
      <c r="AE91" s="3987"/>
      <c r="AF91" s="3990"/>
      <c r="AG91" s="3988"/>
      <c r="AH91" s="3989"/>
      <c r="AI91" s="3987"/>
      <c r="AJ91" s="3990"/>
      <c r="AK91" s="3988"/>
      <c r="AL91" s="3989"/>
      <c r="AM91" s="3986"/>
      <c r="AN91" s="3986"/>
      <c r="AO91" s="3986"/>
      <c r="AP91" s="3987"/>
      <c r="AQ91" s="3988"/>
      <c r="AR91" s="3989"/>
      <c r="AS91" s="3987"/>
      <c r="AT91" s="3988"/>
      <c r="AU91" s="3989"/>
      <c r="AV91" s="3987"/>
      <c r="AW91" s="3988"/>
      <c r="AX91" s="3989"/>
      <c r="AY91" s="3987"/>
      <c r="AZ91" s="3991"/>
      <c r="BA91" s="3988"/>
      <c r="BB91" s="3989"/>
      <c r="BC91" s="3987"/>
      <c r="BD91" s="3991"/>
      <c r="BE91" s="3988"/>
      <c r="BF91" s="3989"/>
      <c r="BG91" s="3979"/>
      <c r="BH91" s="3987"/>
      <c r="BI91" s="3988"/>
      <c r="BJ91" s="3989"/>
      <c r="BK91" s="3987"/>
      <c r="BL91" s="3988"/>
      <c r="BM91" s="3989"/>
      <c r="BN91" s="3987"/>
      <c r="BO91" s="3988"/>
      <c r="BP91" s="3989"/>
      <c r="BQ91" s="4021"/>
      <c r="BR91" s="3978"/>
      <c r="BS91" s="4022"/>
      <c r="BT91" s="4023"/>
      <c r="BU91" s="4021"/>
      <c r="BV91" s="4017"/>
      <c r="BW91" s="4022"/>
      <c r="BX91" s="4023"/>
      <c r="BY91" s="3992"/>
      <c r="BZ91" s="3993"/>
      <c r="CA91" s="3993"/>
      <c r="CB91" s="3993"/>
      <c r="CC91" s="3993"/>
      <c r="CD91" s="3993"/>
      <c r="CE91" s="3993"/>
      <c r="CF91" s="3993"/>
      <c r="CG91" s="3994"/>
      <c r="CH91" s="4021"/>
      <c r="CI91" s="3978"/>
      <c r="CJ91" s="4022"/>
      <c r="CK91" s="4023"/>
      <c r="CL91" s="4040">
        <f>SUM(CN91:CO91)</f>
        <v>9553.14</v>
      </c>
      <c r="CM91" s="4017"/>
      <c r="CN91" s="4485">
        <f>SUM(CN51)</f>
        <v>9580.73</v>
      </c>
      <c r="CO91" s="4485">
        <f>SUM(CO51)</f>
        <v>-27.59</v>
      </c>
    </row>
    <row r="92" spans="1:93" ht="80.25" customHeight="1">
      <c r="A92" s="4469" t="s">
        <v>1907</v>
      </c>
      <c r="B92" s="3985"/>
      <c r="C92" s="3985"/>
      <c r="D92" s="3985"/>
      <c r="E92" s="3985"/>
      <c r="F92" s="3985"/>
      <c r="G92" s="3985"/>
      <c r="H92" s="3985"/>
      <c r="I92" s="3985"/>
      <c r="J92" s="3985"/>
      <c r="K92" s="3985"/>
      <c r="L92" s="3985"/>
      <c r="M92" s="3985"/>
      <c r="N92" s="3985"/>
      <c r="O92" s="3985"/>
      <c r="P92" s="3985"/>
      <c r="Q92" s="3985"/>
      <c r="R92" s="3985"/>
      <c r="S92" s="3985"/>
      <c r="T92" s="3985"/>
      <c r="U92" s="3985"/>
      <c r="V92" s="3985"/>
      <c r="W92" s="3986"/>
      <c r="X92" s="3985"/>
      <c r="Y92" s="3987"/>
      <c r="Z92" s="3988"/>
      <c r="AA92" s="3989"/>
      <c r="AB92" s="3987"/>
      <c r="AC92" s="3988"/>
      <c r="AD92" s="3989"/>
      <c r="AE92" s="3987"/>
      <c r="AF92" s="3990"/>
      <c r="AG92" s="3988"/>
      <c r="AH92" s="3989"/>
      <c r="AI92" s="3987"/>
      <c r="AJ92" s="3990"/>
      <c r="AK92" s="3988"/>
      <c r="AL92" s="3989"/>
      <c r="AM92" s="3986"/>
      <c r="AN92" s="3986"/>
      <c r="AO92" s="3986"/>
      <c r="AP92" s="3987"/>
      <c r="AQ92" s="3988"/>
      <c r="AR92" s="3989"/>
      <c r="AS92" s="3987"/>
      <c r="AT92" s="3988"/>
      <c r="AU92" s="3989"/>
      <c r="AV92" s="3987"/>
      <c r="AW92" s="3988"/>
      <c r="AX92" s="3989"/>
      <c r="AY92" s="3987"/>
      <c r="AZ92" s="3991"/>
      <c r="BA92" s="3988"/>
      <c r="BB92" s="3989"/>
      <c r="BC92" s="3987"/>
      <c r="BD92" s="3991"/>
      <c r="BE92" s="3988"/>
      <c r="BF92" s="3989"/>
      <c r="BG92" s="3979"/>
      <c r="BH92" s="3987"/>
      <c r="BI92" s="3988"/>
      <c r="BJ92" s="3989"/>
      <c r="BK92" s="3987"/>
      <c r="BL92" s="3988"/>
      <c r="BM92" s="3989"/>
      <c r="BN92" s="3987"/>
      <c r="BO92" s="3988"/>
      <c r="BP92" s="3989"/>
      <c r="BQ92" s="4021"/>
      <c r="BR92" s="3978"/>
      <c r="BS92" s="4022"/>
      <c r="BT92" s="4023"/>
      <c r="BU92" s="4021"/>
      <c r="BV92" s="4017"/>
      <c r="BW92" s="4022"/>
      <c r="BX92" s="4023"/>
      <c r="BY92" s="3992"/>
      <c r="BZ92" s="3993"/>
      <c r="CA92" s="3993"/>
      <c r="CB92" s="3993"/>
      <c r="CC92" s="3993"/>
      <c r="CD92" s="3993"/>
      <c r="CE92" s="3993"/>
      <c r="CF92" s="3993"/>
      <c r="CG92" s="3994"/>
      <c r="CH92" s="4021"/>
      <c r="CI92" s="3978"/>
      <c r="CJ92" s="4022"/>
      <c r="CK92" s="4023"/>
      <c r="CL92" s="4040">
        <f t="shared" ref="CL92:CL94" si="411">SUM(CN92:CO92)</f>
        <v>0</v>
      </c>
      <c r="CM92" s="4017"/>
      <c r="CN92" s="4485">
        <f t="shared" ref="CN92:CO92" si="412">SUM(CN52)</f>
        <v>0</v>
      </c>
      <c r="CO92" s="4485">
        <f t="shared" si="412"/>
        <v>0</v>
      </c>
    </row>
    <row r="93" spans="1:93" ht="360.75" customHeight="1">
      <c r="A93" s="4470" t="s">
        <v>1908</v>
      </c>
      <c r="B93" s="3985"/>
      <c r="C93" s="3985"/>
      <c r="D93" s="3985"/>
      <c r="E93" s="3985"/>
      <c r="F93" s="3985"/>
      <c r="G93" s="3985"/>
      <c r="H93" s="3985"/>
      <c r="I93" s="3985"/>
      <c r="J93" s="3985"/>
      <c r="K93" s="3985"/>
      <c r="L93" s="3985"/>
      <c r="M93" s="3985"/>
      <c r="N93" s="3985"/>
      <c r="O93" s="3985"/>
      <c r="P93" s="3985"/>
      <c r="Q93" s="3985"/>
      <c r="R93" s="3985"/>
      <c r="S93" s="3985"/>
      <c r="T93" s="3985"/>
      <c r="U93" s="3985"/>
      <c r="V93" s="3985"/>
      <c r="W93" s="3986"/>
      <c r="X93" s="3985"/>
      <c r="Y93" s="3987"/>
      <c r="Z93" s="3988"/>
      <c r="AA93" s="3989"/>
      <c r="AB93" s="3987"/>
      <c r="AC93" s="3988"/>
      <c r="AD93" s="3989"/>
      <c r="AE93" s="3987"/>
      <c r="AF93" s="3990"/>
      <c r="AG93" s="3988"/>
      <c r="AH93" s="3989"/>
      <c r="AI93" s="3987"/>
      <c r="AJ93" s="3990"/>
      <c r="AK93" s="3988"/>
      <c r="AL93" s="3989"/>
      <c r="AM93" s="3986"/>
      <c r="AN93" s="3986"/>
      <c r="AO93" s="3986"/>
      <c r="AP93" s="3987"/>
      <c r="AQ93" s="3988"/>
      <c r="AR93" s="3989"/>
      <c r="AS93" s="3987"/>
      <c r="AT93" s="3988"/>
      <c r="AU93" s="3989"/>
      <c r="AV93" s="3987"/>
      <c r="AW93" s="3988"/>
      <c r="AX93" s="3989"/>
      <c r="AY93" s="3987"/>
      <c r="AZ93" s="3991"/>
      <c r="BA93" s="3988"/>
      <c r="BB93" s="3989"/>
      <c r="BC93" s="3987"/>
      <c r="BD93" s="3991"/>
      <c r="BE93" s="3988"/>
      <c r="BF93" s="3989"/>
      <c r="BG93" s="3979"/>
      <c r="BH93" s="3987"/>
      <c r="BI93" s="3988"/>
      <c r="BJ93" s="3989"/>
      <c r="BK93" s="3987"/>
      <c r="BL93" s="3988"/>
      <c r="BM93" s="3989"/>
      <c r="BN93" s="3987"/>
      <c r="BO93" s="3988"/>
      <c r="BP93" s="3989"/>
      <c r="BQ93" s="4021"/>
      <c r="BR93" s="3978"/>
      <c r="BS93" s="4022"/>
      <c r="BT93" s="4023"/>
      <c r="BU93" s="4021"/>
      <c r="BV93" s="4017"/>
      <c r="BW93" s="4022"/>
      <c r="BX93" s="4023"/>
      <c r="BY93" s="3992"/>
      <c r="BZ93" s="3993"/>
      <c r="CA93" s="3993"/>
      <c r="CB93" s="3993"/>
      <c r="CC93" s="3993"/>
      <c r="CD93" s="3993"/>
      <c r="CE93" s="3993"/>
      <c r="CF93" s="3993"/>
      <c r="CG93" s="3994"/>
      <c r="CH93" s="4021"/>
      <c r="CI93" s="3978"/>
      <c r="CJ93" s="4022"/>
      <c r="CK93" s="4023"/>
      <c r="CL93" s="4040">
        <f t="shared" si="411"/>
        <v>-917.12</v>
      </c>
      <c r="CM93" s="4017"/>
      <c r="CN93" s="4485">
        <f t="shared" ref="CN93:CO93" si="413">SUM(CN53)</f>
        <v>-917.12</v>
      </c>
      <c r="CO93" s="4485">
        <f t="shared" si="413"/>
        <v>0</v>
      </c>
    </row>
    <row r="94" spans="1:93" ht="20.25" customHeight="1">
      <c r="A94" s="4471" t="s">
        <v>1909</v>
      </c>
      <c r="B94" s="3985"/>
      <c r="C94" s="3985"/>
      <c r="D94" s="3985"/>
      <c r="E94" s="3985"/>
      <c r="F94" s="3985"/>
      <c r="G94" s="3985"/>
      <c r="H94" s="3985"/>
      <c r="I94" s="3985"/>
      <c r="J94" s="3985"/>
      <c r="K94" s="3985"/>
      <c r="L94" s="3985"/>
      <c r="M94" s="3985"/>
      <c r="N94" s="3985"/>
      <c r="O94" s="3985"/>
      <c r="P94" s="3985"/>
      <c r="Q94" s="3985"/>
      <c r="R94" s="3985"/>
      <c r="S94" s="3985"/>
      <c r="T94" s="3985"/>
      <c r="U94" s="3985"/>
      <c r="V94" s="3985"/>
      <c r="W94" s="3986"/>
      <c r="X94" s="3985"/>
      <c r="Y94" s="3987"/>
      <c r="Z94" s="3988"/>
      <c r="AA94" s="3989"/>
      <c r="AB94" s="3987"/>
      <c r="AC94" s="3988"/>
      <c r="AD94" s="3989"/>
      <c r="AE94" s="3987"/>
      <c r="AF94" s="3990"/>
      <c r="AG94" s="3988"/>
      <c r="AH94" s="3989"/>
      <c r="AI94" s="3987"/>
      <c r="AJ94" s="3990"/>
      <c r="AK94" s="3988"/>
      <c r="AL94" s="3989"/>
      <c r="AM94" s="3986"/>
      <c r="AN94" s="3986"/>
      <c r="AO94" s="3986"/>
      <c r="AP94" s="3987"/>
      <c r="AQ94" s="3988"/>
      <c r="AR94" s="3989"/>
      <c r="AS94" s="3987"/>
      <c r="AT94" s="3988"/>
      <c r="AU94" s="3989"/>
      <c r="AV94" s="3987"/>
      <c r="AW94" s="3988"/>
      <c r="AX94" s="3989"/>
      <c r="AY94" s="3987"/>
      <c r="AZ94" s="3991"/>
      <c r="BA94" s="3988"/>
      <c r="BB94" s="3989"/>
      <c r="BC94" s="3987"/>
      <c r="BD94" s="3991"/>
      <c r="BE94" s="3988"/>
      <c r="BF94" s="3989"/>
      <c r="BG94" s="3979"/>
      <c r="BH94" s="3987"/>
      <c r="BI94" s="3988"/>
      <c r="BJ94" s="3989"/>
      <c r="BK94" s="3987"/>
      <c r="BL94" s="3988"/>
      <c r="BM94" s="3989"/>
      <c r="BN94" s="3987"/>
      <c r="BO94" s="3988"/>
      <c r="BP94" s="3989"/>
      <c r="BQ94" s="4021"/>
      <c r="BR94" s="3978"/>
      <c r="BS94" s="4022"/>
      <c r="BT94" s="4023"/>
      <c r="BU94" s="4021"/>
      <c r="BV94" s="4017"/>
      <c r="BW94" s="4022"/>
      <c r="BX94" s="4023"/>
      <c r="BY94" s="3992"/>
      <c r="BZ94" s="3993"/>
      <c r="CA94" s="3993"/>
      <c r="CB94" s="3993"/>
      <c r="CC94" s="3993"/>
      <c r="CD94" s="3993"/>
      <c r="CE94" s="3993"/>
      <c r="CF94" s="3993"/>
      <c r="CG94" s="3994"/>
      <c r="CH94" s="4021"/>
      <c r="CI94" s="3978"/>
      <c r="CJ94" s="4022"/>
      <c r="CK94" s="4023"/>
      <c r="CL94" s="4095">
        <f t="shared" si="411"/>
        <v>103161.90212561234</v>
      </c>
      <c r="CM94" s="4462"/>
      <c r="CN94" s="4570">
        <f t="shared" ref="CN94:CO94" si="414">SUM(CN54)</f>
        <v>102892.29589953308</v>
      </c>
      <c r="CO94" s="4570">
        <f t="shared" si="414"/>
        <v>269.60622607925791</v>
      </c>
    </row>
    <row r="95" spans="1:93" ht="20.25" customHeight="1">
      <c r="A95" s="3984" t="s">
        <v>13</v>
      </c>
      <c r="B95" s="3985"/>
      <c r="C95" s="3985"/>
      <c r="D95" s="3985"/>
      <c r="E95" s="3985"/>
      <c r="F95" s="3985"/>
      <c r="G95" s="3985"/>
      <c r="H95" s="3985"/>
      <c r="I95" s="3985"/>
      <c r="J95" s="3985"/>
      <c r="K95" s="3985"/>
      <c r="L95" s="3985"/>
      <c r="M95" s="3985"/>
      <c r="N95" s="3985"/>
      <c r="O95" s="3985"/>
      <c r="P95" s="3985"/>
      <c r="Q95" s="3985"/>
      <c r="R95" s="3985"/>
      <c r="S95" s="3985"/>
      <c r="T95" s="3985"/>
      <c r="U95" s="3985"/>
      <c r="V95" s="3985"/>
      <c r="W95" s="3986">
        <f>SUM(W55)</f>
        <v>3600</v>
      </c>
      <c r="X95" s="3985"/>
      <c r="Y95" s="3987">
        <f t="shared" ref="Y95:AE95" si="415">SUM(Y55)</f>
        <v>3672.7</v>
      </c>
      <c r="Z95" s="3988">
        <f t="shared" si="415"/>
        <v>3644.7</v>
      </c>
      <c r="AA95" s="3989">
        <f t="shared" si="415"/>
        <v>28</v>
      </c>
      <c r="AB95" s="3987">
        <f t="shared" si="415"/>
        <v>3476.2</v>
      </c>
      <c r="AC95" s="3988">
        <f t="shared" si="415"/>
        <v>3446</v>
      </c>
      <c r="AD95" s="3989">
        <f t="shared" si="415"/>
        <v>30.2</v>
      </c>
      <c r="AE95" s="3987">
        <f t="shared" si="415"/>
        <v>3672.7</v>
      </c>
      <c r="AF95" s="3990">
        <f t="shared" si="222"/>
        <v>1</v>
      </c>
      <c r="AG95" s="3988">
        <f t="shared" ref="AG95:AI95" si="416">SUM(AG55)</f>
        <v>3644.7</v>
      </c>
      <c r="AH95" s="3989">
        <f t="shared" si="416"/>
        <v>28</v>
      </c>
      <c r="AI95" s="3987">
        <f t="shared" si="416"/>
        <v>3672.7</v>
      </c>
      <c r="AJ95" s="3990">
        <f t="shared" si="224"/>
        <v>1</v>
      </c>
      <c r="AK95" s="3988">
        <f t="shared" ref="AK95:AY95" si="417">SUM(AK55)</f>
        <v>3644.7</v>
      </c>
      <c r="AL95" s="3989">
        <f t="shared" si="417"/>
        <v>28</v>
      </c>
      <c r="AM95" s="3986" t="e">
        <f t="shared" si="417"/>
        <v>#REF!</v>
      </c>
      <c r="AN95" s="3986" t="e">
        <f t="shared" si="417"/>
        <v>#REF!</v>
      </c>
      <c r="AO95" s="3986" t="e">
        <f t="shared" si="417"/>
        <v>#REF!</v>
      </c>
      <c r="AP95" s="3987">
        <f t="shared" si="417"/>
        <v>1670.74</v>
      </c>
      <c r="AQ95" s="3988">
        <f t="shared" si="417"/>
        <v>1661.07</v>
      </c>
      <c r="AR95" s="3989">
        <f t="shared" si="417"/>
        <v>9.67</v>
      </c>
      <c r="AS95" s="3987">
        <f t="shared" si="417"/>
        <v>2409.37</v>
      </c>
      <c r="AT95" s="3988">
        <f t="shared" si="417"/>
        <v>2395.17</v>
      </c>
      <c r="AU95" s="3989">
        <f t="shared" si="417"/>
        <v>14.2</v>
      </c>
      <c r="AV95" s="3987">
        <f t="shared" ref="AV95:AX95" si="418">SUM(AV55)</f>
        <v>3209.95</v>
      </c>
      <c r="AW95" s="3988">
        <f t="shared" si="418"/>
        <v>3186.5699999999997</v>
      </c>
      <c r="AX95" s="3989">
        <f t="shared" si="418"/>
        <v>23.38</v>
      </c>
      <c r="AY95" s="3987">
        <f t="shared" si="417"/>
        <v>3463.9333333333334</v>
      </c>
      <c r="AZ95" s="3991">
        <f t="shared" si="227"/>
        <v>0.94315716865884325</v>
      </c>
      <c r="BA95" s="3988">
        <f t="shared" ref="BA95:BC95" si="419">SUM(BA55)</f>
        <v>3445</v>
      </c>
      <c r="BB95" s="3989">
        <f t="shared" si="419"/>
        <v>18.933333333333334</v>
      </c>
      <c r="BC95" s="3987">
        <f t="shared" si="419"/>
        <v>3463.9333333333334</v>
      </c>
      <c r="BD95" s="3991">
        <f t="shared" si="229"/>
        <v>0.94315716865884325</v>
      </c>
      <c r="BE95" s="3988">
        <f t="shared" ref="BE95:BF95" si="420">SUM(BE55)</f>
        <v>3445</v>
      </c>
      <c r="BF95" s="3989">
        <f t="shared" si="420"/>
        <v>18.933333333333334</v>
      </c>
      <c r="BG95" s="3979"/>
      <c r="BH95" s="3987">
        <f t="shared" ref="BH95:BJ95" si="421">SUM(BH55)</f>
        <v>1577.71</v>
      </c>
      <c r="BI95" s="3988">
        <f t="shared" si="421"/>
        <v>1567.48</v>
      </c>
      <c r="BJ95" s="3989">
        <f t="shared" si="421"/>
        <v>10.23</v>
      </c>
      <c r="BK95" s="3987">
        <f t="shared" ref="BK95:BM95" si="422">SUM(BK55)</f>
        <v>2304.86</v>
      </c>
      <c r="BL95" s="3988">
        <f t="shared" si="422"/>
        <v>2289.52</v>
      </c>
      <c r="BM95" s="3989">
        <f t="shared" si="422"/>
        <v>15.34</v>
      </c>
      <c r="BN95" s="3987">
        <f t="shared" ref="BN95:BQ95" si="423">SUM(BN55)</f>
        <v>3061.4900000000002</v>
      </c>
      <c r="BO95" s="3988">
        <f t="shared" si="423"/>
        <v>3040.84</v>
      </c>
      <c r="BP95" s="3989">
        <f t="shared" si="423"/>
        <v>20.65</v>
      </c>
      <c r="BQ95" s="4021">
        <f t="shared" si="423"/>
        <v>3223</v>
      </c>
      <c r="BR95" s="3978">
        <f t="shared" si="234"/>
        <v>0.93044515868280753</v>
      </c>
      <c r="BS95" s="4022">
        <f t="shared" ref="BS95:BU95" si="424">SUM(BS55)</f>
        <v>3200</v>
      </c>
      <c r="BT95" s="4023">
        <f t="shared" si="424"/>
        <v>23</v>
      </c>
      <c r="BU95" s="4021">
        <f t="shared" si="424"/>
        <v>3295.75</v>
      </c>
      <c r="BV95" s="4017">
        <f t="shared" si="236"/>
        <v>0.9514472949825824</v>
      </c>
      <c r="BW95" s="4022">
        <f t="shared" ref="BW95:CH95" si="425">SUM(BW55)</f>
        <v>3272.75</v>
      </c>
      <c r="BX95" s="4023">
        <f t="shared" si="425"/>
        <v>23</v>
      </c>
      <c r="BY95" s="3992">
        <f t="shared" si="425"/>
        <v>1601.85</v>
      </c>
      <c r="BZ95" s="3993">
        <f t="shared" si="425"/>
        <v>1592.56</v>
      </c>
      <c r="CA95" s="3993">
        <f t="shared" si="425"/>
        <v>9.2899999999999991</v>
      </c>
      <c r="CB95" s="3993">
        <f t="shared" ref="CB95:CD95" si="426">SUM(CB55)</f>
        <v>2339.08</v>
      </c>
      <c r="CC95" s="3993">
        <f t="shared" si="426"/>
        <v>2324.85</v>
      </c>
      <c r="CD95" s="3993">
        <f t="shared" si="426"/>
        <v>14.23</v>
      </c>
      <c r="CE95" s="3993">
        <f t="shared" ref="CE95:CG95" si="427">SUM(CE55)</f>
        <v>3100</v>
      </c>
      <c r="CF95" s="3993">
        <f t="shared" si="427"/>
        <v>3080</v>
      </c>
      <c r="CG95" s="3994">
        <f t="shared" si="427"/>
        <v>20</v>
      </c>
      <c r="CH95" s="4021">
        <f t="shared" si="425"/>
        <v>3253</v>
      </c>
      <c r="CI95" s="3978">
        <f t="shared" si="240"/>
        <v>0.98702874914662819</v>
      </c>
      <c r="CJ95" s="4022">
        <f t="shared" ref="CJ95:CL95" si="428">SUM(CJ55)</f>
        <v>3230</v>
      </c>
      <c r="CK95" s="4023">
        <f t="shared" si="428"/>
        <v>23</v>
      </c>
      <c r="CL95" s="4021">
        <f t="shared" si="428"/>
        <v>3248.93</v>
      </c>
      <c r="CM95" s="4017">
        <f t="shared" si="242"/>
        <v>0.98579382538117266</v>
      </c>
      <c r="CN95" s="4022">
        <f t="shared" ref="CN95:CO95" si="429">SUM(CN55)</f>
        <v>3230</v>
      </c>
      <c r="CO95" s="4023">
        <f t="shared" si="429"/>
        <v>18.93</v>
      </c>
    </row>
    <row r="96" spans="1:93" ht="20.25" customHeight="1">
      <c r="A96" s="3984" t="s">
        <v>14</v>
      </c>
      <c r="B96" s="3985"/>
      <c r="C96" s="3985"/>
      <c r="D96" s="3985"/>
      <c r="E96" s="3985"/>
      <c r="F96" s="3985"/>
      <c r="G96" s="3985"/>
      <c r="H96" s="3985"/>
      <c r="I96" s="3985"/>
      <c r="J96" s="3985"/>
      <c r="K96" s="3985"/>
      <c r="L96" s="3985"/>
      <c r="M96" s="3985"/>
      <c r="N96" s="3985"/>
      <c r="O96" s="3985"/>
      <c r="P96" s="3985"/>
      <c r="Q96" s="3985"/>
      <c r="R96" s="3985"/>
      <c r="S96" s="3985"/>
      <c r="T96" s="3985"/>
      <c r="U96" s="3985"/>
      <c r="V96" s="3985"/>
      <c r="W96" s="3996">
        <f>SUM(W89/W95)</f>
        <v>26.676300000000001</v>
      </c>
      <c r="X96" s="3985"/>
      <c r="Y96" s="3997">
        <f t="shared" ref="Y96:AE96" si="430">SUM(Y89/Y95)</f>
        <v>21.012977494947457</v>
      </c>
      <c r="Z96" s="3998">
        <f t="shared" si="430"/>
        <v>21.084097933596048</v>
      </c>
      <c r="AA96" s="3999">
        <f t="shared" si="430"/>
        <v>11.766096682714025</v>
      </c>
      <c r="AB96" s="3997">
        <f t="shared" si="430"/>
        <v>20.395164115988724</v>
      </c>
      <c r="AC96" s="3998">
        <f t="shared" si="430"/>
        <v>20.464577348087886</v>
      </c>
      <c r="AD96" s="3999">
        <f t="shared" si="430"/>
        <v>12.474700612223577</v>
      </c>
      <c r="AE96" s="3997">
        <f t="shared" si="430"/>
        <v>23.27951098646772</v>
      </c>
      <c r="AF96" s="3990">
        <f t="shared" si="222"/>
        <v>1.1078635092083093</v>
      </c>
      <c r="AG96" s="3998">
        <f>SUM(AG89/AG95)</f>
        <v>23.484679123110269</v>
      </c>
      <c r="AH96" s="3999">
        <f>SUM(AH89/AH95)</f>
        <v>12.265000000000001</v>
      </c>
      <c r="AI96" s="3997">
        <f>SUM(AI89/AI95)</f>
        <v>22.110662146063063</v>
      </c>
      <c r="AJ96" s="3990">
        <f t="shared" si="224"/>
        <v>1.0522384155876787</v>
      </c>
      <c r="AK96" s="3998">
        <f t="shared" ref="AK96:AY96" si="431">SUM(AK89/AK95)</f>
        <v>22.184745841555614</v>
      </c>
      <c r="AL96" s="3999">
        <f t="shared" si="431"/>
        <v>12.467346254574016</v>
      </c>
      <c r="AM96" s="3996" t="e">
        <f t="shared" si="431"/>
        <v>#REF!</v>
      </c>
      <c r="AN96" s="3996" t="e">
        <f t="shared" si="431"/>
        <v>#REF!</v>
      </c>
      <c r="AO96" s="3996" t="e">
        <f t="shared" si="431"/>
        <v>#REF!</v>
      </c>
      <c r="AP96" s="3997">
        <f t="shared" si="431"/>
        <v>15.278116283802387</v>
      </c>
      <c r="AQ96" s="3998">
        <f t="shared" si="431"/>
        <v>15.315700072145278</v>
      </c>
      <c r="AR96" s="3999">
        <f t="shared" si="431"/>
        <v>8.8221386930343364</v>
      </c>
      <c r="AS96" s="3997">
        <f t="shared" si="431"/>
        <v>16.707135060202461</v>
      </c>
      <c r="AT96" s="3998">
        <f t="shared" si="431"/>
        <v>16.748202615846935</v>
      </c>
      <c r="AU96" s="3999">
        <f t="shared" si="431"/>
        <v>9.7801084930915216</v>
      </c>
      <c r="AV96" s="3997">
        <f t="shared" si="431"/>
        <v>22.84897272543186</v>
      </c>
      <c r="AW96" s="3998">
        <f t="shared" si="431"/>
        <v>22.912707042020791</v>
      </c>
      <c r="AX96" s="3999">
        <f t="shared" si="431"/>
        <v>14.162323400676145</v>
      </c>
      <c r="AY96" s="3997">
        <f t="shared" si="431"/>
        <v>26.605007942146933</v>
      </c>
      <c r="AZ96" s="3991">
        <f t="shared" si="227"/>
        <v>1.2032659974809536</v>
      </c>
      <c r="BA96" s="3998">
        <f>SUM(BA89/BA95)</f>
        <v>26.678942957486345</v>
      </c>
      <c r="BB96" s="3999">
        <f>SUM(BB89/BB95)</f>
        <v>13.152219499667808</v>
      </c>
      <c r="BC96" s="3997">
        <f>SUM(BC89/BC95)</f>
        <v>23.479446815964742</v>
      </c>
      <c r="BD96" s="3991">
        <f t="shared" si="229"/>
        <v>1.0619060913173692</v>
      </c>
      <c r="BE96" s="3998">
        <f>SUM(BE89/BE95)</f>
        <v>23.53134427922274</v>
      </c>
      <c r="BF96" s="3999">
        <f>SUM(BF89/BF95)</f>
        <v>14.036484091115524</v>
      </c>
      <c r="BG96" s="3979"/>
      <c r="BH96" s="3997">
        <f t="shared" ref="BH96:BQ96" si="432">SUM(BH89/BH95)</f>
        <v>24.509749161759764</v>
      </c>
      <c r="BI96" s="3998">
        <f t="shared" si="432"/>
        <v>24.566970761948454</v>
      </c>
      <c r="BJ96" s="3999">
        <f t="shared" si="432"/>
        <v>15.742035196582577</v>
      </c>
      <c r="BK96" s="3997">
        <f t="shared" si="432"/>
        <v>25.896937596643603</v>
      </c>
      <c r="BL96" s="3998">
        <f t="shared" si="432"/>
        <v>25.959642079793717</v>
      </c>
      <c r="BM96" s="3999">
        <f t="shared" si="432"/>
        <v>16.538191295350131</v>
      </c>
      <c r="BN96" s="3997">
        <f t="shared" si="432"/>
        <v>26.638728854250708</v>
      </c>
      <c r="BO96" s="3998">
        <f t="shared" si="432"/>
        <v>26.705514066228972</v>
      </c>
      <c r="BP96" s="3999">
        <f t="shared" si="432"/>
        <v>16.804194036237242</v>
      </c>
      <c r="BQ96" s="4024">
        <f t="shared" si="432"/>
        <v>26.605935705637457</v>
      </c>
      <c r="BR96" s="3978">
        <f t="shared" si="234"/>
        <v>1.1331585413480385</v>
      </c>
      <c r="BS96" s="4025">
        <f>SUM(BS89/BS95)</f>
        <v>26.691429115134305</v>
      </c>
      <c r="BT96" s="4026">
        <f>SUM(BT89/BT95)</f>
        <v>14.71120047129253</v>
      </c>
      <c r="BU96" s="4024">
        <f>SUM(BU89/BU95)</f>
        <v>26.086081232197138</v>
      </c>
      <c r="BV96" s="4017">
        <f t="shared" si="236"/>
        <v>1.1110177099428096</v>
      </c>
      <c r="BW96" s="4025">
        <f t="shared" ref="BW96:CH96" si="433">SUM(BW89/BW95)</f>
        <v>26.17158947701127</v>
      </c>
      <c r="BX96" s="4026">
        <f t="shared" si="433"/>
        <v>13.918815657612212</v>
      </c>
      <c r="BY96" s="4000">
        <f t="shared" si="433"/>
        <v>25.046823984767613</v>
      </c>
      <c r="BZ96" s="4001">
        <f t="shared" si="433"/>
        <v>25.099172504762873</v>
      </c>
      <c r="CA96" s="4001">
        <f t="shared" si="433"/>
        <v>16.072856384804957</v>
      </c>
      <c r="CB96" s="4001">
        <f t="shared" si="433"/>
        <v>25.883794483301127</v>
      </c>
      <c r="CC96" s="4001">
        <f t="shared" si="433"/>
        <v>25.940058798801751</v>
      </c>
      <c r="CD96" s="4001">
        <f t="shared" si="433"/>
        <v>16.691518032730958</v>
      </c>
      <c r="CE96" s="4001">
        <f t="shared" si="433"/>
        <v>26.105747092390825</v>
      </c>
      <c r="CF96" s="4001">
        <f t="shared" si="433"/>
        <v>26.165722274961006</v>
      </c>
      <c r="CG96" s="4002">
        <f t="shared" si="433"/>
        <v>16.869568976584315</v>
      </c>
      <c r="CH96" s="4024">
        <f t="shared" si="433"/>
        <v>27.106174529766086</v>
      </c>
      <c r="CI96" s="3978">
        <f t="shared" si="240"/>
        <v>1.0391048884839738</v>
      </c>
      <c r="CJ96" s="4025">
        <f>SUM(CJ89/CJ95)</f>
        <v>27.204324532738323</v>
      </c>
      <c r="CK96" s="4026">
        <f>SUM(CK89/CK95)</f>
        <v>13.322500199318004</v>
      </c>
      <c r="CL96" s="4024">
        <f>SUM(CL94/CL95)</f>
        <v>31.752577656524561</v>
      </c>
      <c r="CM96" s="4017">
        <f t="shared" si="242"/>
        <v>1.2172229846978113</v>
      </c>
      <c r="CN96" s="4025">
        <f>SUM(CN94/CN95)</f>
        <v>31.855199968895693</v>
      </c>
      <c r="CO96" s="4026">
        <f>SUM(CO94/CO95)</f>
        <v>14.242272904345374</v>
      </c>
    </row>
    <row r="97" spans="1:93" ht="20.25" customHeight="1">
      <c r="A97" s="3995" t="s">
        <v>436</v>
      </c>
      <c r="B97" s="3985"/>
      <c r="C97" s="3985"/>
      <c r="D97" s="3985"/>
      <c r="E97" s="3985"/>
      <c r="F97" s="3985"/>
      <c r="G97" s="3985"/>
      <c r="H97" s="3985"/>
      <c r="I97" s="3985"/>
      <c r="J97" s="3985"/>
      <c r="K97" s="3985"/>
      <c r="L97" s="3985"/>
      <c r="M97" s="3985"/>
      <c r="N97" s="3985"/>
      <c r="O97" s="3985"/>
      <c r="P97" s="3985"/>
      <c r="Q97" s="3985"/>
      <c r="R97" s="3985"/>
      <c r="S97" s="3985"/>
      <c r="T97" s="3985"/>
      <c r="U97" s="3985"/>
      <c r="V97" s="3985"/>
      <c r="W97" s="3986">
        <f>SUM(W61)</f>
        <v>0</v>
      </c>
      <c r="X97" s="3985"/>
      <c r="Y97" s="3987">
        <f t="shared" ref="Y97:AE97" si="434">SUM(Y61)</f>
        <v>0</v>
      </c>
      <c r="Z97" s="3988">
        <f t="shared" si="434"/>
        <v>0</v>
      </c>
      <c r="AA97" s="3989">
        <f t="shared" si="434"/>
        <v>0</v>
      </c>
      <c r="AB97" s="3987">
        <f t="shared" si="434"/>
        <v>0</v>
      </c>
      <c r="AC97" s="3988">
        <f t="shared" si="434"/>
        <v>0</v>
      </c>
      <c r="AD97" s="3989">
        <f t="shared" si="434"/>
        <v>0</v>
      </c>
      <c r="AE97" s="3987">
        <f t="shared" si="434"/>
        <v>4275.2299999999996</v>
      </c>
      <c r="AF97" s="3990" t="e">
        <f t="shared" si="222"/>
        <v>#DIV/0!</v>
      </c>
      <c r="AG97" s="3988">
        <f t="shared" ref="AG97:AI97" si="435">SUM(AG61)</f>
        <v>4265.2299999999996</v>
      </c>
      <c r="AH97" s="3989">
        <f t="shared" si="435"/>
        <v>10</v>
      </c>
      <c r="AI97" s="3987">
        <f t="shared" si="435"/>
        <v>4058.2871584358877</v>
      </c>
      <c r="AJ97" s="3990" t="e">
        <f t="shared" si="224"/>
        <v>#DIV/0!</v>
      </c>
      <c r="AK97" s="3988">
        <f t="shared" ref="AK97:AY97" si="436">SUM(AK61)</f>
        <v>4106.4671584358875</v>
      </c>
      <c r="AL97" s="3989">
        <f t="shared" si="436"/>
        <v>-48.18</v>
      </c>
      <c r="AM97" s="3986">
        <f t="shared" si="436"/>
        <v>0</v>
      </c>
      <c r="AN97" s="3986">
        <f t="shared" si="436"/>
        <v>0</v>
      </c>
      <c r="AO97" s="3986">
        <f t="shared" si="436"/>
        <v>0</v>
      </c>
      <c r="AP97" s="3987">
        <f t="shared" si="436"/>
        <v>0</v>
      </c>
      <c r="AQ97" s="3988">
        <f t="shared" si="436"/>
        <v>0</v>
      </c>
      <c r="AR97" s="3989">
        <f t="shared" si="436"/>
        <v>0</v>
      </c>
      <c r="AS97" s="3987">
        <f t="shared" si="436"/>
        <v>0</v>
      </c>
      <c r="AT97" s="3988">
        <f t="shared" si="436"/>
        <v>0</v>
      </c>
      <c r="AU97" s="3989">
        <f t="shared" si="436"/>
        <v>0</v>
      </c>
      <c r="AV97" s="3987">
        <f t="shared" ref="AV97:AX97" si="437">SUM(AV61)</f>
        <v>0</v>
      </c>
      <c r="AW97" s="3988">
        <f t="shared" si="437"/>
        <v>0</v>
      </c>
      <c r="AX97" s="3989">
        <f t="shared" si="437"/>
        <v>0</v>
      </c>
      <c r="AY97" s="3987">
        <f t="shared" si="436"/>
        <v>4649.3426922200424</v>
      </c>
      <c r="AZ97" s="3991">
        <f t="shared" si="227"/>
        <v>1.1456416243378782</v>
      </c>
      <c r="BA97" s="3988">
        <f t="shared" ref="BA97:BC97" si="438">SUM(BA61)</f>
        <v>4636.8919244270237</v>
      </c>
      <c r="BB97" s="3989">
        <f t="shared" si="438"/>
        <v>12.45076779301886</v>
      </c>
      <c r="BC97" s="3987">
        <f t="shared" si="438"/>
        <v>4053.2740520961179</v>
      </c>
      <c r="BD97" s="3991">
        <f t="shared" si="229"/>
        <v>0.99876472360282609</v>
      </c>
      <c r="BE97" s="3988">
        <f t="shared" ref="BE97:BF97" si="439">SUM(BE61)</f>
        <v>4053.2740520961179</v>
      </c>
      <c r="BF97" s="3989">
        <f t="shared" si="439"/>
        <v>0</v>
      </c>
      <c r="BG97" s="3979"/>
      <c r="BH97" s="3987">
        <f t="shared" ref="BH97:BJ97" si="440">SUM(BH61)</f>
        <v>0</v>
      </c>
      <c r="BI97" s="3988">
        <f t="shared" si="440"/>
        <v>0</v>
      </c>
      <c r="BJ97" s="3989">
        <f t="shared" si="440"/>
        <v>0</v>
      </c>
      <c r="BK97" s="3987">
        <f t="shared" ref="BK97:BM97" si="441">SUM(BK61)</f>
        <v>0</v>
      </c>
      <c r="BL97" s="3988">
        <f t="shared" si="441"/>
        <v>0</v>
      </c>
      <c r="BM97" s="3989">
        <f t="shared" si="441"/>
        <v>0</v>
      </c>
      <c r="BN97" s="3987">
        <f t="shared" ref="BN97:BQ97" si="442">SUM(BN61)</f>
        <v>0</v>
      </c>
      <c r="BO97" s="3988">
        <f t="shared" si="442"/>
        <v>0</v>
      </c>
      <c r="BP97" s="3989">
        <f t="shared" si="442"/>
        <v>0</v>
      </c>
      <c r="BQ97" s="4021">
        <f t="shared" si="442"/>
        <v>4287.5465389634755</v>
      </c>
      <c r="BR97" s="3978">
        <f t="shared" si="234"/>
        <v>1.0577983338546293</v>
      </c>
      <c r="BS97" s="4022">
        <f t="shared" ref="BS97:BU97" si="443">SUM(BS61)</f>
        <v>4270.6286584214895</v>
      </c>
      <c r="BT97" s="4023">
        <f t="shared" si="443"/>
        <v>16.91788054198641</v>
      </c>
      <c r="BU97" s="4021">
        <f t="shared" si="443"/>
        <v>4298.66</v>
      </c>
      <c r="BV97" s="4017">
        <f t="shared" si="236"/>
        <v>1.060540181776503</v>
      </c>
      <c r="BW97" s="4022">
        <f t="shared" ref="BW97:CH97" si="444">SUM(BW61)</f>
        <v>4282.7</v>
      </c>
      <c r="BX97" s="4023">
        <f t="shared" si="444"/>
        <v>15.96</v>
      </c>
      <c r="BY97" s="3992">
        <f t="shared" si="444"/>
        <v>0</v>
      </c>
      <c r="BZ97" s="3993">
        <f t="shared" si="444"/>
        <v>0</v>
      </c>
      <c r="CA97" s="3993">
        <f t="shared" si="444"/>
        <v>0</v>
      </c>
      <c r="CB97" s="3993">
        <f t="shared" ref="CB97:CD97" si="445">SUM(CB61)</f>
        <v>0</v>
      </c>
      <c r="CC97" s="3993">
        <f t="shared" si="445"/>
        <v>0</v>
      </c>
      <c r="CD97" s="3993">
        <f t="shared" si="445"/>
        <v>0</v>
      </c>
      <c r="CE97" s="3993">
        <f t="shared" ref="CE97:CG97" si="446">SUM(CE61)</f>
        <v>0</v>
      </c>
      <c r="CF97" s="3993">
        <f t="shared" si="446"/>
        <v>0</v>
      </c>
      <c r="CG97" s="3994">
        <f t="shared" si="446"/>
        <v>0</v>
      </c>
      <c r="CH97" s="4021">
        <f t="shared" si="444"/>
        <v>4408.8192872664549</v>
      </c>
      <c r="CI97" s="3978">
        <f t="shared" si="240"/>
        <v>1.0256264248083018</v>
      </c>
      <c r="CJ97" s="4022">
        <f t="shared" ref="CJ97:CL97" si="447">SUM(CJ61)</f>
        <v>4393.4984120372392</v>
      </c>
      <c r="CK97" s="4023">
        <f t="shared" si="447"/>
        <v>15.320875229215705</v>
      </c>
      <c r="CL97" s="4021">
        <f t="shared" si="447"/>
        <v>0</v>
      </c>
      <c r="CM97" s="4017">
        <f t="shared" si="242"/>
        <v>0</v>
      </c>
      <c r="CN97" s="4022">
        <f t="shared" ref="CN97:CO97" si="448">SUM(CN61)</f>
        <v>0</v>
      </c>
      <c r="CO97" s="4023">
        <f t="shared" si="448"/>
        <v>0</v>
      </c>
    </row>
    <row r="98" spans="1:93" ht="20.25" customHeight="1">
      <c r="A98" s="3995" t="s">
        <v>547</v>
      </c>
      <c r="B98" s="3985"/>
      <c r="C98" s="3985"/>
      <c r="D98" s="3985"/>
      <c r="E98" s="3985"/>
      <c r="F98" s="3985"/>
      <c r="G98" s="3985"/>
      <c r="H98" s="3985"/>
      <c r="I98" s="3985"/>
      <c r="J98" s="3985"/>
      <c r="K98" s="3985"/>
      <c r="L98" s="3985"/>
      <c r="M98" s="3985"/>
      <c r="N98" s="3985"/>
      <c r="O98" s="3985"/>
      <c r="P98" s="3985"/>
      <c r="Q98" s="3985"/>
      <c r="R98" s="3985"/>
      <c r="S98" s="3985"/>
      <c r="T98" s="3985"/>
      <c r="U98" s="3985"/>
      <c r="V98" s="3985"/>
      <c r="W98" s="3986">
        <f>SUM(W89+W97)</f>
        <v>96034.680000000008</v>
      </c>
      <c r="X98" s="3985"/>
      <c r="Y98" s="3987">
        <f t="shared" ref="Y98:AE98" si="449">SUM(Y89+Y97)</f>
        <v>77174.362445693521</v>
      </c>
      <c r="Z98" s="3988">
        <f t="shared" si="449"/>
        <v>76845.21173857752</v>
      </c>
      <c r="AA98" s="3989">
        <f t="shared" si="449"/>
        <v>329.45070711599271</v>
      </c>
      <c r="AB98" s="3987">
        <f t="shared" si="449"/>
        <v>70897.669500000004</v>
      </c>
      <c r="AC98" s="3988">
        <f t="shared" si="449"/>
        <v>70520.933541510851</v>
      </c>
      <c r="AD98" s="3989">
        <f t="shared" si="449"/>
        <v>376.73595848915204</v>
      </c>
      <c r="AE98" s="3987">
        <f t="shared" si="449"/>
        <v>89773.889999999985</v>
      </c>
      <c r="AF98" s="3990">
        <f t="shared" si="222"/>
        <v>1.1632605330970187</v>
      </c>
      <c r="AG98" s="3988">
        <f>SUM(AG89+AG97)</f>
        <v>89859.839999999982</v>
      </c>
      <c r="AH98" s="3989">
        <f>SUM(AH89+AH97)</f>
        <v>353.42</v>
      </c>
      <c r="AI98" s="3987">
        <f>SUM(AI89+AI97)</f>
        <v>85264.116022281698</v>
      </c>
      <c r="AJ98" s="3990">
        <f t="shared" si="224"/>
        <v>1.1048243655045524</v>
      </c>
      <c r="AK98" s="3988">
        <f t="shared" ref="AK98:AY98" si="450">SUM(AK89+AK97)</f>
        <v>84963.210327153633</v>
      </c>
      <c r="AL98" s="3989">
        <f t="shared" si="450"/>
        <v>300.90569512807247</v>
      </c>
      <c r="AM98" s="3986" t="e">
        <f t="shared" si="450"/>
        <v>#REF!</v>
      </c>
      <c r="AN98" s="3986" t="e">
        <f t="shared" si="450"/>
        <v>#REF!</v>
      </c>
      <c r="AO98" s="3986" t="e">
        <f t="shared" si="450"/>
        <v>#REF!</v>
      </c>
      <c r="AP98" s="3987">
        <f t="shared" si="450"/>
        <v>25525.759999999998</v>
      </c>
      <c r="AQ98" s="3988">
        <f t="shared" si="450"/>
        <v>25440.449918838356</v>
      </c>
      <c r="AR98" s="3989">
        <f t="shared" si="450"/>
        <v>85.310081161642032</v>
      </c>
      <c r="AS98" s="3987">
        <f t="shared" si="450"/>
        <v>40253.670000000006</v>
      </c>
      <c r="AT98" s="3988">
        <f t="shared" si="450"/>
        <v>40114.792459398108</v>
      </c>
      <c r="AU98" s="3989">
        <f t="shared" si="450"/>
        <v>138.8775406018996</v>
      </c>
      <c r="AV98" s="3987">
        <f t="shared" si="450"/>
        <v>73344.06</v>
      </c>
      <c r="AW98" s="3988">
        <f t="shared" si="450"/>
        <v>73012.944878892187</v>
      </c>
      <c r="AX98" s="3989">
        <f t="shared" si="450"/>
        <v>331.11512110780825</v>
      </c>
      <c r="AY98" s="3987">
        <f t="shared" si="450"/>
        <v>96807.316536620885</v>
      </c>
      <c r="AZ98" s="3991">
        <f t="shared" si="227"/>
        <v>1.1353816945844211</v>
      </c>
      <c r="BA98" s="3988">
        <f>SUM(BA89+BA97)</f>
        <v>96545.850412967484</v>
      </c>
      <c r="BB98" s="3989">
        <f>SUM(BB89+BB97)</f>
        <v>261.46612365339604</v>
      </c>
      <c r="BC98" s="3987">
        <f>SUM(BC89+BC97)</f>
        <v>85384.51252614359</v>
      </c>
      <c r="BD98" s="3991">
        <f t="shared" si="229"/>
        <v>1.0014120418938071</v>
      </c>
      <c r="BE98" s="3988">
        <f>SUM(BE89+BE97)</f>
        <v>85118.755094018459</v>
      </c>
      <c r="BF98" s="3989">
        <f>SUM(BF89+BF97)</f>
        <v>265.7574321251206</v>
      </c>
      <c r="BG98" s="3979"/>
      <c r="BH98" s="3987">
        <f t="shared" ref="BH98:BQ98" si="451">SUM(BH89+BH97)</f>
        <v>38669.27635</v>
      </c>
      <c r="BI98" s="3988">
        <f t="shared" si="451"/>
        <v>38508.235329938965</v>
      </c>
      <c r="BJ98" s="3989">
        <f t="shared" si="451"/>
        <v>161.04102006103977</v>
      </c>
      <c r="BK98" s="3987">
        <f t="shared" si="451"/>
        <v>59688.815588999976</v>
      </c>
      <c r="BL98" s="3988">
        <f t="shared" si="451"/>
        <v>59435.119734529311</v>
      </c>
      <c r="BM98" s="3989">
        <f t="shared" si="451"/>
        <v>253.69585447067101</v>
      </c>
      <c r="BN98" s="3987">
        <f t="shared" si="451"/>
        <v>81554.202000000005</v>
      </c>
      <c r="BO98" s="3988">
        <f t="shared" si="451"/>
        <v>81207.195393151706</v>
      </c>
      <c r="BP98" s="3989">
        <f t="shared" si="451"/>
        <v>347.00660684829899</v>
      </c>
      <c r="BQ98" s="4021">
        <f t="shared" si="451"/>
        <v>90038.477318232995</v>
      </c>
      <c r="BR98" s="3978">
        <f t="shared" si="234"/>
        <v>1.0545059596219446</v>
      </c>
      <c r="BS98" s="4022">
        <f>SUM(BS89+BS97)</f>
        <v>89683.201826851262</v>
      </c>
      <c r="BT98" s="4023">
        <f>SUM(BT89+BT97)</f>
        <v>355.27549138171457</v>
      </c>
      <c r="BU98" s="4021">
        <f>SUM(BU89+BU97)</f>
        <v>90271.862221013726</v>
      </c>
      <c r="BV98" s="4017">
        <f t="shared" si="236"/>
        <v>1.0572392996138931</v>
      </c>
      <c r="BW98" s="4022">
        <f t="shared" ref="BW98:CH98" si="452">SUM(BW89+BW97)</f>
        <v>89935.769460888638</v>
      </c>
      <c r="BX98" s="4023">
        <f t="shared" si="452"/>
        <v>336.09276012508087</v>
      </c>
      <c r="BY98" s="3992">
        <f t="shared" si="452"/>
        <v>40121.254999999997</v>
      </c>
      <c r="BZ98" s="3993">
        <f t="shared" si="452"/>
        <v>39971.938164185158</v>
      </c>
      <c r="CA98" s="3993">
        <f t="shared" si="452"/>
        <v>149.31683581483804</v>
      </c>
      <c r="CB98" s="3993">
        <f t="shared" si="452"/>
        <v>60544.265999999996</v>
      </c>
      <c r="CC98" s="3993">
        <f t="shared" si="452"/>
        <v>60306.745698394247</v>
      </c>
      <c r="CD98" s="3993">
        <f t="shared" si="452"/>
        <v>237.52030160576152</v>
      </c>
      <c r="CE98" s="3993">
        <f t="shared" si="452"/>
        <v>80927.815986411559</v>
      </c>
      <c r="CF98" s="3993">
        <f t="shared" si="452"/>
        <v>80590.424606879897</v>
      </c>
      <c r="CG98" s="3994">
        <f t="shared" si="452"/>
        <v>337.39137953168631</v>
      </c>
      <c r="CH98" s="4021">
        <f t="shared" si="452"/>
        <v>92585.205032595535</v>
      </c>
      <c r="CI98" s="3978">
        <f t="shared" si="240"/>
        <v>1.0256263995741888</v>
      </c>
      <c r="CJ98" s="4022">
        <f>SUM(CJ89+CJ97)</f>
        <v>92263.466652782023</v>
      </c>
      <c r="CK98" s="4023">
        <f>SUM(CK89+CK97)</f>
        <v>321.73837981352978</v>
      </c>
      <c r="CL98" s="4021">
        <f>SUM(CL94+CL97)</f>
        <v>103161.90212561234</v>
      </c>
      <c r="CM98" s="4017">
        <f t="shared" si="242"/>
        <v>1.1427913370507388</v>
      </c>
      <c r="CN98" s="4022">
        <f>SUM(CN94+CN97)</f>
        <v>102892.29589953308</v>
      </c>
      <c r="CO98" s="4023">
        <f>SUM(CO94+CO97)</f>
        <v>269.60622607925791</v>
      </c>
    </row>
    <row r="99" spans="1:93" ht="20.25" customHeight="1">
      <c r="A99" s="4003" t="s">
        <v>70</v>
      </c>
      <c r="B99" s="3985"/>
      <c r="C99" s="3985"/>
      <c r="D99" s="3985"/>
      <c r="E99" s="3985"/>
      <c r="F99" s="3985"/>
      <c r="G99" s="3985"/>
      <c r="H99" s="3985"/>
      <c r="I99" s="3985"/>
      <c r="J99" s="3985"/>
      <c r="K99" s="3985"/>
      <c r="L99" s="3985"/>
      <c r="M99" s="3985"/>
      <c r="N99" s="3985"/>
      <c r="O99" s="3985"/>
      <c r="P99" s="3985"/>
      <c r="Q99" s="3985"/>
      <c r="R99" s="3985"/>
      <c r="S99" s="3985"/>
      <c r="T99" s="3985"/>
      <c r="U99" s="3985"/>
      <c r="V99" s="3985"/>
      <c r="W99" s="3996">
        <f>SUM(W98/W95)</f>
        <v>26.676300000000001</v>
      </c>
      <c r="X99" s="3985"/>
      <c r="Y99" s="3997">
        <f t="shared" ref="Y99:AE99" si="453">SUM(Y98/Y95)</f>
        <v>21.012977494947457</v>
      </c>
      <c r="Z99" s="3998">
        <f t="shared" si="453"/>
        <v>21.084097933596048</v>
      </c>
      <c r="AA99" s="3999">
        <f t="shared" si="453"/>
        <v>11.766096682714025</v>
      </c>
      <c r="AB99" s="3997">
        <f t="shared" si="453"/>
        <v>20.395164115988724</v>
      </c>
      <c r="AC99" s="3998">
        <f t="shared" si="453"/>
        <v>20.464577348087886</v>
      </c>
      <c r="AD99" s="3999">
        <f t="shared" si="453"/>
        <v>12.474700612223577</v>
      </c>
      <c r="AE99" s="3997">
        <f t="shared" si="453"/>
        <v>24.443567402728235</v>
      </c>
      <c r="AF99" s="3990">
        <f t="shared" si="222"/>
        <v>1.1632605330970187</v>
      </c>
      <c r="AG99" s="3998">
        <f t="shared" ref="AG99" si="454">SUM(AG98/AG95)</f>
        <v>24.654934562515429</v>
      </c>
      <c r="AH99" s="3999">
        <f t="shared" ref="AH99" si="455">SUM(AH98/AH95)</f>
        <v>12.622142857142858</v>
      </c>
      <c r="AI99" s="3997">
        <f t="shared" ref="AI99:AK99" si="456">SUM(AI98/AI95)</f>
        <v>23.215649528216762</v>
      </c>
      <c r="AJ99" s="3990">
        <f t="shared" si="224"/>
        <v>1.1048243655045524</v>
      </c>
      <c r="AK99" s="3998">
        <f t="shared" si="456"/>
        <v>23.311441360647965</v>
      </c>
      <c r="AL99" s="3999">
        <f t="shared" ref="AL99" si="457">SUM(AL98/AL95)</f>
        <v>10.746631968859731</v>
      </c>
      <c r="AM99" s="3996" t="e">
        <f t="shared" ref="AM99" si="458">SUM(AM98/AM95)</f>
        <v>#REF!</v>
      </c>
      <c r="AN99" s="3996" t="e">
        <f t="shared" ref="AN99" si="459">SUM(AN98/AN95)</f>
        <v>#REF!</v>
      </c>
      <c r="AO99" s="3996" t="e">
        <f t="shared" ref="AO99" si="460">SUM(AO98/AO95)</f>
        <v>#REF!</v>
      </c>
      <c r="AP99" s="3997">
        <f t="shared" ref="AP99" si="461">SUM(AP98/AP95)</f>
        <v>15.278116283802387</v>
      </c>
      <c r="AQ99" s="3998">
        <f t="shared" ref="AQ99" si="462">SUM(AQ98/AQ95)</f>
        <v>15.315700072145278</v>
      </c>
      <c r="AR99" s="3999">
        <f t="shared" ref="AR99" si="463">SUM(AR98/AR95)</f>
        <v>8.8221386930343364</v>
      </c>
      <c r="AS99" s="3997">
        <f t="shared" ref="AS99" si="464">SUM(AS98/AS95)</f>
        <v>16.707135060202461</v>
      </c>
      <c r="AT99" s="3998">
        <f t="shared" ref="AT99" si="465">SUM(AT98/AT95)</f>
        <v>16.748202615846935</v>
      </c>
      <c r="AU99" s="3999">
        <f t="shared" ref="AU99:AW99" si="466">SUM(AU98/AU95)</f>
        <v>9.7801084930915216</v>
      </c>
      <c r="AV99" s="3997">
        <f t="shared" si="466"/>
        <v>22.84897272543186</v>
      </c>
      <c r="AW99" s="3998">
        <f t="shared" si="466"/>
        <v>22.912707042020791</v>
      </c>
      <c r="AX99" s="3999">
        <f t="shared" ref="AX99" si="467">SUM(AX98/AX95)</f>
        <v>14.162323400676145</v>
      </c>
      <c r="AY99" s="3997">
        <f t="shared" ref="AY99" si="468">SUM(AY98/AY95)</f>
        <v>27.947222772749925</v>
      </c>
      <c r="AZ99" s="3991">
        <f t="shared" si="227"/>
        <v>1.2038096430936518</v>
      </c>
      <c r="BA99" s="3998">
        <f t="shared" ref="BA99" si="469">SUM(BA98/BA95)</f>
        <v>28.024920294039909</v>
      </c>
      <c r="BB99" s="3999">
        <f t="shared" ref="BB99" si="470">SUM(BB98/BB95)</f>
        <v>13.8098304746512</v>
      </c>
      <c r="BC99" s="3997">
        <f t="shared" ref="BC99" si="471">SUM(BC98/BC95)</f>
        <v>24.649583092287262</v>
      </c>
      <c r="BD99" s="3991">
        <f t="shared" si="229"/>
        <v>1.0617658171625854</v>
      </c>
      <c r="BE99" s="3998">
        <f t="shared" ref="BE99" si="472">SUM(BE98/BE95)</f>
        <v>24.707911493183879</v>
      </c>
      <c r="BF99" s="3999">
        <f t="shared" ref="BF99" si="473">SUM(BF98/BF95)</f>
        <v>14.036484091115524</v>
      </c>
      <c r="BG99" s="3979"/>
      <c r="BH99" s="3997">
        <f t="shared" ref="BH99:BJ99" si="474">SUM(BH98/BH95)</f>
        <v>24.509749161759764</v>
      </c>
      <c r="BI99" s="3998">
        <f t="shared" si="474"/>
        <v>24.566970761948454</v>
      </c>
      <c r="BJ99" s="3999">
        <f t="shared" si="474"/>
        <v>15.742035196582577</v>
      </c>
      <c r="BK99" s="3997">
        <f t="shared" ref="BK99:BM99" si="475">SUM(BK98/BK95)</f>
        <v>25.896937596643603</v>
      </c>
      <c r="BL99" s="3998">
        <f t="shared" si="475"/>
        <v>25.959642079793717</v>
      </c>
      <c r="BM99" s="3999">
        <f t="shared" si="475"/>
        <v>16.538191295350131</v>
      </c>
      <c r="BN99" s="3997">
        <f t="shared" ref="BN99:BQ99" si="476">SUM(BN98/BN95)</f>
        <v>26.638728854250708</v>
      </c>
      <c r="BO99" s="3998">
        <f t="shared" si="476"/>
        <v>26.705514066228972</v>
      </c>
      <c r="BP99" s="3999">
        <f t="shared" si="476"/>
        <v>16.804194036237242</v>
      </c>
      <c r="BQ99" s="4024">
        <f t="shared" si="476"/>
        <v>27.936232490919327</v>
      </c>
      <c r="BR99" s="3978">
        <f t="shared" si="234"/>
        <v>1.1333348879097449</v>
      </c>
      <c r="BS99" s="4025">
        <f t="shared" ref="BS99:BU99" si="477">SUM(BS98/BS95)</f>
        <v>28.026000570891018</v>
      </c>
      <c r="BT99" s="4026">
        <f t="shared" si="477"/>
        <v>15.446760494857156</v>
      </c>
      <c r="BU99" s="4024">
        <f t="shared" si="477"/>
        <v>27.390385260111881</v>
      </c>
      <c r="BV99" s="4017">
        <f t="shared" si="236"/>
        <v>1.1111906094948194</v>
      </c>
      <c r="BW99" s="4025">
        <f t="shared" ref="BW99:CH99" si="478">SUM(BW98/BW95)</f>
        <v>27.480183167332868</v>
      </c>
      <c r="BX99" s="4026">
        <f t="shared" si="478"/>
        <v>14.612728701090473</v>
      </c>
      <c r="BY99" s="4000">
        <f t="shared" si="478"/>
        <v>25.046823984767613</v>
      </c>
      <c r="BZ99" s="4001">
        <f t="shared" si="478"/>
        <v>25.099172504762873</v>
      </c>
      <c r="CA99" s="4001">
        <f t="shared" si="478"/>
        <v>16.072856384804957</v>
      </c>
      <c r="CB99" s="4001">
        <f t="shared" ref="CB99:CD99" si="479">SUM(CB98/CB95)</f>
        <v>25.883794483301127</v>
      </c>
      <c r="CC99" s="4001">
        <f t="shared" si="479"/>
        <v>25.940058798801751</v>
      </c>
      <c r="CD99" s="4001">
        <f t="shared" si="479"/>
        <v>16.691518032730958</v>
      </c>
      <c r="CE99" s="4001">
        <f t="shared" ref="CE99:CG99" si="480">SUM(CE98/CE95)</f>
        <v>26.105747092390825</v>
      </c>
      <c r="CF99" s="4001">
        <f t="shared" si="480"/>
        <v>26.165722274961006</v>
      </c>
      <c r="CG99" s="4002">
        <f t="shared" si="480"/>
        <v>16.869568976584315</v>
      </c>
      <c r="CH99" s="4024">
        <f t="shared" si="478"/>
        <v>28.461483256254393</v>
      </c>
      <c r="CI99" s="3978">
        <f t="shared" si="240"/>
        <v>1.0391048897622601</v>
      </c>
      <c r="CJ99" s="4025">
        <f t="shared" ref="CJ99:CL99" si="481">SUM(CJ98/CJ95)</f>
        <v>28.564540759375241</v>
      </c>
      <c r="CK99" s="4026">
        <f t="shared" si="481"/>
        <v>13.988625209283903</v>
      </c>
      <c r="CL99" s="4024">
        <f t="shared" si="481"/>
        <v>31.752577656524561</v>
      </c>
      <c r="CM99" s="4017">
        <f t="shared" si="242"/>
        <v>1.1592599868525859</v>
      </c>
      <c r="CN99" s="4025">
        <f t="shared" ref="CN99:CO99" si="482">SUM(CN98/CN95)</f>
        <v>31.855199968895693</v>
      </c>
      <c r="CO99" s="4026">
        <f t="shared" si="482"/>
        <v>14.242272904345374</v>
      </c>
    </row>
    <row r="100" spans="1:93" ht="20.25" customHeight="1">
      <c r="A100" s="4003" t="s">
        <v>326</v>
      </c>
      <c r="B100" s="3985"/>
      <c r="C100" s="3985"/>
      <c r="D100" s="3985"/>
      <c r="E100" s="3985"/>
      <c r="F100" s="3985"/>
      <c r="G100" s="3985"/>
      <c r="H100" s="3985"/>
      <c r="I100" s="3985"/>
      <c r="J100" s="3985"/>
      <c r="K100" s="3985"/>
      <c r="L100" s="3985"/>
      <c r="M100" s="3985"/>
      <c r="N100" s="3985"/>
      <c r="O100" s="3985"/>
      <c r="P100" s="3985"/>
      <c r="Q100" s="3985"/>
      <c r="R100" s="3985"/>
      <c r="S100" s="3985"/>
      <c r="T100" s="3985"/>
      <c r="U100" s="3985"/>
      <c r="V100" s="3985"/>
      <c r="W100" s="3986">
        <f>SUM(W65)</f>
        <v>4947</v>
      </c>
      <c r="X100" s="3985"/>
      <c r="Y100" s="3987">
        <f t="shared" ref="Y100:AE100" si="483">SUM(Y65)</f>
        <v>4947</v>
      </c>
      <c r="Z100" s="3988">
        <f t="shared" si="483"/>
        <v>4947</v>
      </c>
      <c r="AA100" s="3989">
        <f t="shared" si="483"/>
        <v>0</v>
      </c>
      <c r="AB100" s="3987">
        <f t="shared" si="483"/>
        <v>1044.8800000000001</v>
      </c>
      <c r="AC100" s="3988">
        <f t="shared" si="483"/>
        <v>1044.8800000000001</v>
      </c>
      <c r="AD100" s="3989">
        <f t="shared" si="483"/>
        <v>0</v>
      </c>
      <c r="AE100" s="3987">
        <f t="shared" si="483"/>
        <v>5656.1</v>
      </c>
      <c r="AF100" s="3990">
        <f t="shared" si="222"/>
        <v>1.1433393976147161</v>
      </c>
      <c r="AG100" s="3988">
        <f t="shared" ref="AG100:AI100" si="484">SUM(AG65)</f>
        <v>5656.1</v>
      </c>
      <c r="AH100" s="3989">
        <f t="shared" si="484"/>
        <v>0</v>
      </c>
      <c r="AI100" s="3987">
        <f t="shared" si="484"/>
        <v>3568.1</v>
      </c>
      <c r="AJ100" s="3990">
        <f t="shared" si="224"/>
        <v>0.72126541338184758</v>
      </c>
      <c r="AK100" s="3988">
        <f t="shared" ref="AK100:AY100" si="485">SUM(AK65)</f>
        <v>3568.1</v>
      </c>
      <c r="AL100" s="3989">
        <f t="shared" si="485"/>
        <v>0</v>
      </c>
      <c r="AM100" s="3986" t="e">
        <f t="shared" si="485"/>
        <v>#REF!</v>
      </c>
      <c r="AN100" s="3986" t="e">
        <f t="shared" si="485"/>
        <v>#REF!</v>
      </c>
      <c r="AO100" s="3986" t="e">
        <f t="shared" si="485"/>
        <v>#REF!</v>
      </c>
      <c r="AP100" s="3987">
        <f t="shared" si="485"/>
        <v>0</v>
      </c>
      <c r="AQ100" s="3988">
        <f t="shared" si="485"/>
        <v>0</v>
      </c>
      <c r="AR100" s="3989">
        <f t="shared" si="485"/>
        <v>0</v>
      </c>
      <c r="AS100" s="3987">
        <f t="shared" si="485"/>
        <v>0</v>
      </c>
      <c r="AT100" s="3988">
        <f t="shared" si="485"/>
        <v>0</v>
      </c>
      <c r="AU100" s="3989">
        <f t="shared" si="485"/>
        <v>0</v>
      </c>
      <c r="AV100" s="3987">
        <f t="shared" ref="AV100:AX100" si="486">SUM(AV65)</f>
        <v>0</v>
      </c>
      <c r="AW100" s="3988">
        <f t="shared" si="486"/>
        <v>0</v>
      </c>
      <c r="AX100" s="3989">
        <f t="shared" si="486"/>
        <v>0</v>
      </c>
      <c r="AY100" s="3987">
        <f t="shared" si="485"/>
        <v>0.9</v>
      </c>
      <c r="AZ100" s="3991">
        <f t="shared" si="227"/>
        <v>2.5223508309744685E-4</v>
      </c>
      <c r="BA100" s="3988">
        <f t="shared" ref="BA100:BC100" si="487">SUM(BA65)</f>
        <v>0.9</v>
      </c>
      <c r="BB100" s="3989">
        <f t="shared" si="487"/>
        <v>0</v>
      </c>
      <c r="BC100" s="3987">
        <f t="shared" si="487"/>
        <v>0.9</v>
      </c>
      <c r="BD100" s="3991">
        <f t="shared" si="229"/>
        <v>2.5223508309744685E-4</v>
      </c>
      <c r="BE100" s="3988">
        <f t="shared" ref="BE100:BF100" si="488">SUM(BE65)</f>
        <v>0.9</v>
      </c>
      <c r="BF100" s="3989">
        <f t="shared" si="488"/>
        <v>0</v>
      </c>
      <c r="BG100" s="3979"/>
      <c r="BH100" s="3987">
        <f t="shared" ref="BH100:BJ100" si="489">SUM(BH65)</f>
        <v>0</v>
      </c>
      <c r="BI100" s="3988">
        <f t="shared" si="489"/>
        <v>0</v>
      </c>
      <c r="BJ100" s="3989">
        <f t="shared" si="489"/>
        <v>0</v>
      </c>
      <c r="BK100" s="3987">
        <f t="shared" ref="BK100:BM100" si="490">SUM(BK65)</f>
        <v>0</v>
      </c>
      <c r="BL100" s="3988">
        <f t="shared" si="490"/>
        <v>0</v>
      </c>
      <c r="BM100" s="3989">
        <f t="shared" si="490"/>
        <v>0</v>
      </c>
      <c r="BN100" s="3987">
        <f t="shared" ref="BN100:BQ100" si="491">SUM(BN65)</f>
        <v>0</v>
      </c>
      <c r="BO100" s="3988">
        <f t="shared" si="491"/>
        <v>0</v>
      </c>
      <c r="BP100" s="3989">
        <f t="shared" si="491"/>
        <v>0</v>
      </c>
      <c r="BQ100" s="4021">
        <f t="shared" si="491"/>
        <v>0</v>
      </c>
      <c r="BR100" s="3978">
        <f t="shared" si="234"/>
        <v>0</v>
      </c>
      <c r="BS100" s="4022">
        <f t="shared" ref="BS100:BU100" si="492">SUM(BS65)</f>
        <v>0</v>
      </c>
      <c r="BT100" s="4023">
        <f t="shared" si="492"/>
        <v>0</v>
      </c>
      <c r="BU100" s="4021">
        <f t="shared" si="492"/>
        <v>0</v>
      </c>
      <c r="BV100" s="4017">
        <f t="shared" si="236"/>
        <v>0</v>
      </c>
      <c r="BW100" s="4022">
        <f t="shared" ref="BW100:CH100" si="493">SUM(BW65)</f>
        <v>0</v>
      </c>
      <c r="BX100" s="4023">
        <f t="shared" si="493"/>
        <v>0</v>
      </c>
      <c r="BY100" s="3992">
        <f t="shared" si="493"/>
        <v>0</v>
      </c>
      <c r="BZ100" s="3993">
        <f t="shared" si="493"/>
        <v>0</v>
      </c>
      <c r="CA100" s="3993">
        <f t="shared" si="493"/>
        <v>0</v>
      </c>
      <c r="CB100" s="3993">
        <f t="shared" ref="CB100:CD100" si="494">SUM(CB65)</f>
        <v>0</v>
      </c>
      <c r="CC100" s="3993">
        <f t="shared" si="494"/>
        <v>0</v>
      </c>
      <c r="CD100" s="3993">
        <f t="shared" si="494"/>
        <v>0</v>
      </c>
      <c r="CE100" s="3993">
        <f t="shared" ref="CE100:CG100" si="495">SUM(CE65)</f>
        <v>0</v>
      </c>
      <c r="CF100" s="3993">
        <f t="shared" si="495"/>
        <v>0</v>
      </c>
      <c r="CG100" s="3994">
        <f t="shared" si="495"/>
        <v>0</v>
      </c>
      <c r="CH100" s="4021">
        <f t="shared" si="493"/>
        <v>0</v>
      </c>
      <c r="CI100" s="3978" t="e">
        <f t="shared" si="240"/>
        <v>#DIV/0!</v>
      </c>
      <c r="CJ100" s="4022">
        <f t="shared" ref="CJ100:CL100" si="496">SUM(CJ65)</f>
        <v>0</v>
      </c>
      <c r="CK100" s="4023">
        <f t="shared" si="496"/>
        <v>0</v>
      </c>
      <c r="CL100" s="4021">
        <f t="shared" si="496"/>
        <v>-3902.11</v>
      </c>
      <c r="CM100" s="4017" t="e">
        <f t="shared" si="242"/>
        <v>#DIV/0!</v>
      </c>
      <c r="CN100" s="4022">
        <f t="shared" ref="CN100:CO100" si="497">SUM(CN65)</f>
        <v>-3902.11</v>
      </c>
      <c r="CO100" s="4023">
        <f t="shared" si="497"/>
        <v>0</v>
      </c>
    </row>
    <row r="101" spans="1:93" ht="20.25" customHeight="1">
      <c r="A101" s="3995" t="s">
        <v>1701</v>
      </c>
      <c r="B101" s="3985"/>
      <c r="C101" s="3985"/>
      <c r="D101" s="3985"/>
      <c r="E101" s="3985"/>
      <c r="F101" s="3985"/>
      <c r="G101" s="3985"/>
      <c r="H101" s="3985"/>
      <c r="I101" s="3985"/>
      <c r="J101" s="3985"/>
      <c r="K101" s="3985"/>
      <c r="L101" s="3985"/>
      <c r="M101" s="3985"/>
      <c r="N101" s="3985"/>
      <c r="O101" s="3985"/>
      <c r="P101" s="3985"/>
      <c r="Q101" s="3985"/>
      <c r="R101" s="3985"/>
      <c r="S101" s="3985"/>
      <c r="T101" s="3985"/>
      <c r="U101" s="3985"/>
      <c r="V101" s="3985"/>
      <c r="W101" s="3986">
        <f>SUM(W98+W100)</f>
        <v>100981.68000000001</v>
      </c>
      <c r="X101" s="3985"/>
      <c r="Y101" s="3987">
        <f t="shared" ref="Y101:AE101" si="498">SUM(Y98+Y100)</f>
        <v>82121.362445693521</v>
      </c>
      <c r="Z101" s="3988">
        <f t="shared" si="498"/>
        <v>81792.21173857752</v>
      </c>
      <c r="AA101" s="3989">
        <f t="shared" si="498"/>
        <v>329.45070711599271</v>
      </c>
      <c r="AB101" s="3987">
        <f t="shared" si="498"/>
        <v>71942.549500000008</v>
      </c>
      <c r="AC101" s="3988">
        <f t="shared" si="498"/>
        <v>71565.813541510855</v>
      </c>
      <c r="AD101" s="3989">
        <f t="shared" si="498"/>
        <v>376.73595848915204</v>
      </c>
      <c r="AE101" s="3987">
        <f t="shared" si="498"/>
        <v>95429.989999999991</v>
      </c>
      <c r="AF101" s="3990">
        <f t="shared" si="222"/>
        <v>1.1620604816816988</v>
      </c>
      <c r="AG101" s="3988">
        <f t="shared" ref="AG101" si="499">SUM(AG98+AG100)</f>
        <v>95515.939999999988</v>
      </c>
      <c r="AH101" s="3989">
        <f t="shared" ref="AH101" si="500">SUM(AH98+AH100)</f>
        <v>353.42</v>
      </c>
      <c r="AI101" s="3987">
        <f t="shared" ref="AI101:AK101" si="501">SUM(AI98+AI100)</f>
        <v>88832.216022281704</v>
      </c>
      <c r="AJ101" s="3990">
        <f t="shared" si="224"/>
        <v>1.0817187316031933</v>
      </c>
      <c r="AK101" s="3988">
        <f t="shared" si="501"/>
        <v>88531.310327153638</v>
      </c>
      <c r="AL101" s="3989">
        <f t="shared" ref="AL101" si="502">SUM(AL98+AL100)</f>
        <v>300.90569512807247</v>
      </c>
      <c r="AM101" s="3986" t="e">
        <f t="shared" ref="AM101" si="503">SUM(AM98+AM100)</f>
        <v>#REF!</v>
      </c>
      <c r="AN101" s="3986" t="e">
        <f t="shared" ref="AN101" si="504">SUM(AN98+AN100)</f>
        <v>#REF!</v>
      </c>
      <c r="AO101" s="3986" t="e">
        <f t="shared" ref="AO101" si="505">SUM(AO98+AO100)</f>
        <v>#REF!</v>
      </c>
      <c r="AP101" s="3987">
        <f t="shared" ref="AP101" si="506">SUM(AP98+AP100)</f>
        <v>25525.759999999998</v>
      </c>
      <c r="AQ101" s="3988">
        <f t="shared" ref="AQ101" si="507">SUM(AQ98+AQ100)</f>
        <v>25440.449918838356</v>
      </c>
      <c r="AR101" s="3989">
        <f t="shared" ref="AR101" si="508">SUM(AR98+AR100)</f>
        <v>85.310081161642032</v>
      </c>
      <c r="AS101" s="3987">
        <f t="shared" ref="AS101" si="509">SUM(AS98+AS100)</f>
        <v>40253.670000000006</v>
      </c>
      <c r="AT101" s="3988">
        <f t="shared" ref="AT101" si="510">SUM(AT98+AT100)</f>
        <v>40114.792459398108</v>
      </c>
      <c r="AU101" s="3989">
        <f t="shared" ref="AU101:AW101" si="511">SUM(AU98+AU100)</f>
        <v>138.8775406018996</v>
      </c>
      <c r="AV101" s="3987">
        <f t="shared" si="511"/>
        <v>73344.06</v>
      </c>
      <c r="AW101" s="3988">
        <f t="shared" si="511"/>
        <v>73012.944878892187</v>
      </c>
      <c r="AX101" s="3989">
        <f t="shared" ref="AX101" si="512">SUM(AX98+AX100)</f>
        <v>331.11512110780825</v>
      </c>
      <c r="AY101" s="3987">
        <f t="shared" ref="AY101" si="513">SUM(AY98+AY100)</f>
        <v>96808.216536620879</v>
      </c>
      <c r="AZ101" s="3991">
        <f t="shared" si="227"/>
        <v>1.0897872514216977</v>
      </c>
      <c r="BA101" s="3988">
        <f t="shared" ref="BA101" si="514">SUM(BA98+BA100)</f>
        <v>96546.750412967478</v>
      </c>
      <c r="BB101" s="3989">
        <f t="shared" ref="BB101" si="515">SUM(BB98+BB100)</f>
        <v>261.46612365339604</v>
      </c>
      <c r="BC101" s="3987">
        <f t="shared" ref="BC101" si="516">SUM(BC98+BC100)</f>
        <v>85385.412526143584</v>
      </c>
      <c r="BD101" s="3991">
        <f t="shared" si="229"/>
        <v>0.96119872214745194</v>
      </c>
      <c r="BE101" s="3988">
        <f t="shared" ref="BE101" si="517">SUM(BE98+BE100)</f>
        <v>85119.655094018453</v>
      </c>
      <c r="BF101" s="3989">
        <f t="shared" ref="BF101" si="518">SUM(BF98+BF100)</f>
        <v>265.7574321251206</v>
      </c>
      <c r="BG101" s="3979"/>
      <c r="BH101" s="3987">
        <f t="shared" ref="BH101:BJ101" si="519">SUM(BH98+BH100)</f>
        <v>38669.27635</v>
      </c>
      <c r="BI101" s="3988">
        <f t="shared" si="519"/>
        <v>38508.235329938965</v>
      </c>
      <c r="BJ101" s="3989">
        <f t="shared" si="519"/>
        <v>161.04102006103977</v>
      </c>
      <c r="BK101" s="3987">
        <f t="shared" ref="BK101:BM101" si="520">SUM(BK98+BK100)</f>
        <v>59688.815588999976</v>
      </c>
      <c r="BL101" s="3988">
        <f t="shared" si="520"/>
        <v>59435.119734529311</v>
      </c>
      <c r="BM101" s="3989">
        <f t="shared" si="520"/>
        <v>253.69585447067101</v>
      </c>
      <c r="BN101" s="3987">
        <f t="shared" ref="BN101:BQ101" si="521">SUM(BN98+BN100)</f>
        <v>81554.202000000005</v>
      </c>
      <c r="BO101" s="3988">
        <f t="shared" si="521"/>
        <v>81207.195393151706</v>
      </c>
      <c r="BP101" s="3989">
        <f t="shared" si="521"/>
        <v>347.00660684829899</v>
      </c>
      <c r="BQ101" s="4021">
        <f t="shared" si="521"/>
        <v>90038.477318232995</v>
      </c>
      <c r="BR101" s="3978">
        <f t="shared" si="234"/>
        <v>1.054494844662895</v>
      </c>
      <c r="BS101" s="4022">
        <f t="shared" ref="BS101:BT101" si="522">SUM(BS98+BS100)</f>
        <v>89683.201826851262</v>
      </c>
      <c r="BT101" s="4023">
        <f t="shared" si="522"/>
        <v>355.27549138171457</v>
      </c>
      <c r="BU101" s="4021">
        <f>SUM(BU98+BU100)+BU90</f>
        <v>85037.162221013728</v>
      </c>
      <c r="BV101" s="4017">
        <f t="shared" si="236"/>
        <v>0.99592143089988316</v>
      </c>
      <c r="BW101" s="4022">
        <f>SUM(BW98+BW100)+BW90</f>
        <v>84701.069460888641</v>
      </c>
      <c r="BX101" s="4023">
        <f>SUM(BX98+BX100)+BX90</f>
        <v>336.09276012508087</v>
      </c>
      <c r="BY101" s="3992">
        <f t="shared" ref="BY101:CA101" si="523">SUM(BY98+BY100)</f>
        <v>40121.254999999997</v>
      </c>
      <c r="BZ101" s="3993">
        <f t="shared" si="523"/>
        <v>39971.938164185158</v>
      </c>
      <c r="CA101" s="3993">
        <f t="shared" si="523"/>
        <v>149.31683581483804</v>
      </c>
      <c r="CB101" s="3993">
        <f t="shared" ref="CB101:CD101" si="524">SUM(CB98+CB100)</f>
        <v>60544.265999999996</v>
      </c>
      <c r="CC101" s="3993">
        <f t="shared" si="524"/>
        <v>60306.745698394247</v>
      </c>
      <c r="CD101" s="3993">
        <f t="shared" si="524"/>
        <v>237.52030160576152</v>
      </c>
      <c r="CE101" s="3993">
        <f t="shared" ref="CE101:CG101" si="525">SUM(CE98+CE100)</f>
        <v>80927.815986411559</v>
      </c>
      <c r="CF101" s="3993">
        <f t="shared" si="525"/>
        <v>80590.424606879897</v>
      </c>
      <c r="CG101" s="3994">
        <f t="shared" si="525"/>
        <v>337.39137953168631</v>
      </c>
      <c r="CH101" s="4021">
        <f>SUM(CH98+CH100)+CH90</f>
        <v>97819.905032595532</v>
      </c>
      <c r="CI101" s="3978">
        <f t="shared" si="240"/>
        <v>1.1503194894763673</v>
      </c>
      <c r="CJ101" s="4022">
        <f>SUM(CJ98+CJ100)+CJ90</f>
        <v>97498.16665278202</v>
      </c>
      <c r="CK101" s="4023">
        <f t="shared" ref="CK101" si="526">SUM(CK98+CK100)</f>
        <v>321.73837981352978</v>
      </c>
      <c r="CL101" s="4021">
        <f>SUM(CL98+CL100)</f>
        <v>99259.792125612337</v>
      </c>
      <c r="CM101" s="4017">
        <f t="shared" si="242"/>
        <v>1.1672519347204182</v>
      </c>
      <c r="CN101" s="4022">
        <f>SUM(CN98+CN100)</f>
        <v>98990.185899533084</v>
      </c>
      <c r="CO101" s="4023">
        <f>SUM(CO98+CO100)</f>
        <v>269.60622607925791</v>
      </c>
    </row>
    <row r="102" spans="1:93" ht="20.25" customHeight="1" thickBot="1">
      <c r="A102" s="1287" t="s">
        <v>1702</v>
      </c>
      <c r="B102" s="2910"/>
      <c r="C102" s="2910"/>
      <c r="D102" s="2910"/>
      <c r="E102" s="2910"/>
      <c r="F102" s="2910"/>
      <c r="G102" s="2910"/>
      <c r="H102" s="2910"/>
      <c r="I102" s="2910"/>
      <c r="J102" s="2910"/>
      <c r="K102" s="2910"/>
      <c r="L102" s="2910"/>
      <c r="M102" s="2910"/>
      <c r="N102" s="2910"/>
      <c r="O102" s="2910"/>
      <c r="P102" s="2910"/>
      <c r="Q102" s="2910"/>
      <c r="R102" s="2910"/>
      <c r="S102" s="2910"/>
      <c r="T102" s="2910"/>
      <c r="U102" s="2910"/>
      <c r="V102" s="2910"/>
      <c r="W102" s="1462">
        <f>SUM(W101/W95)</f>
        <v>28.050466666666669</v>
      </c>
      <c r="X102" s="2910"/>
      <c r="Y102" s="4004">
        <f t="shared" ref="Y102:AE102" si="527">SUM(Y101/Y95)</f>
        <v>22.359942942710681</v>
      </c>
      <c r="Z102" s="4005">
        <f t="shared" si="527"/>
        <v>22.441411292720257</v>
      </c>
      <c r="AA102" s="4006">
        <f t="shared" si="527"/>
        <v>11.766096682714025</v>
      </c>
      <c r="AB102" s="4004">
        <f t="shared" si="527"/>
        <v>20.6957452102871</v>
      </c>
      <c r="AC102" s="4005">
        <f t="shared" si="527"/>
        <v>20.767792670200482</v>
      </c>
      <c r="AD102" s="4006">
        <f t="shared" si="527"/>
        <v>12.474700612223577</v>
      </c>
      <c r="AE102" s="4004">
        <f t="shared" si="527"/>
        <v>25.983606066381679</v>
      </c>
      <c r="AF102" s="4007">
        <f t="shared" si="222"/>
        <v>1.1620604816816988</v>
      </c>
      <c r="AG102" s="4005">
        <f t="shared" ref="AG102" si="528">SUM(AG101/AG95)</f>
        <v>26.206804400910908</v>
      </c>
      <c r="AH102" s="4006">
        <f t="shared" ref="AH102" si="529">SUM(AH101/AH95)</f>
        <v>12.622142857142858</v>
      </c>
      <c r="AI102" s="4004">
        <f t="shared" ref="AI102:AK102" si="530">SUM(AI101/AI95)</f>
        <v>24.187169118708773</v>
      </c>
      <c r="AJ102" s="4007">
        <f t="shared" si="224"/>
        <v>1.0817187316031933</v>
      </c>
      <c r="AK102" s="4005">
        <f t="shared" si="530"/>
        <v>24.290424541705391</v>
      </c>
      <c r="AL102" s="4006">
        <f t="shared" ref="AL102" si="531">SUM(AL101/AL95)</f>
        <v>10.746631968859731</v>
      </c>
      <c r="AM102" s="1462" t="e">
        <f t="shared" ref="AM102" si="532">SUM(AM101/AM95)</f>
        <v>#REF!</v>
      </c>
      <c r="AN102" s="1462" t="e">
        <f t="shared" ref="AN102" si="533">SUM(AN101/AN95)</f>
        <v>#REF!</v>
      </c>
      <c r="AO102" s="1462" t="e">
        <f t="shared" ref="AO102" si="534">SUM(AO101/AO95)</f>
        <v>#REF!</v>
      </c>
      <c r="AP102" s="4004">
        <f t="shared" ref="AP102" si="535">SUM(AP101/AP95)</f>
        <v>15.278116283802387</v>
      </c>
      <c r="AQ102" s="4005">
        <f t="shared" ref="AQ102" si="536">SUM(AQ101/AQ95)</f>
        <v>15.315700072145278</v>
      </c>
      <c r="AR102" s="4006">
        <f t="shared" ref="AR102" si="537">SUM(AR101/AR95)</f>
        <v>8.8221386930343364</v>
      </c>
      <c r="AS102" s="4004">
        <f t="shared" ref="AS102" si="538">SUM(AS101/AS95)</f>
        <v>16.707135060202461</v>
      </c>
      <c r="AT102" s="4005">
        <f t="shared" ref="AT102" si="539">SUM(AT101/AT95)</f>
        <v>16.748202615846935</v>
      </c>
      <c r="AU102" s="4006">
        <f t="shared" ref="AU102:AW102" si="540">SUM(AU101/AU95)</f>
        <v>9.7801084930915216</v>
      </c>
      <c r="AV102" s="4004">
        <f t="shared" si="540"/>
        <v>22.84897272543186</v>
      </c>
      <c r="AW102" s="4005">
        <f t="shared" si="540"/>
        <v>22.912707042020791</v>
      </c>
      <c r="AX102" s="4006">
        <f t="shared" ref="AX102" si="541">SUM(AX101/AX95)</f>
        <v>14.162323400676145</v>
      </c>
      <c r="AY102" s="4004">
        <f t="shared" ref="AY102" si="542">SUM(AY101/AY95)</f>
        <v>27.947482592992806</v>
      </c>
      <c r="AZ102" s="4008">
        <f t="shared" si="227"/>
        <v>1.1554672833281441</v>
      </c>
      <c r="BA102" s="4005">
        <f t="shared" ref="BA102" si="543">SUM(BA101/BA95)</f>
        <v>28.025181542225685</v>
      </c>
      <c r="BB102" s="4006">
        <f t="shared" ref="BB102" si="544">SUM(BB101/BB95)</f>
        <v>13.8098304746512</v>
      </c>
      <c r="BC102" s="4004">
        <f t="shared" ref="BC102" si="545">SUM(BC101/BC95)</f>
        <v>24.649842912530143</v>
      </c>
      <c r="BD102" s="4008">
        <f t="shared" si="229"/>
        <v>1.019128893983029</v>
      </c>
      <c r="BE102" s="4005">
        <f t="shared" ref="BE102" si="546">SUM(BE101/BE95)</f>
        <v>24.708172741369651</v>
      </c>
      <c r="BF102" s="4006">
        <f t="shared" ref="BF102" si="547">SUM(BF101/BF95)</f>
        <v>14.036484091115524</v>
      </c>
      <c r="BG102" s="1451"/>
      <c r="BH102" s="4004">
        <f t="shared" ref="BH102:BJ102" si="548">SUM(BH101/BH95)</f>
        <v>24.509749161759764</v>
      </c>
      <c r="BI102" s="4005">
        <f t="shared" si="548"/>
        <v>24.566970761948454</v>
      </c>
      <c r="BJ102" s="4006">
        <f t="shared" si="548"/>
        <v>15.742035196582577</v>
      </c>
      <c r="BK102" s="4004">
        <f t="shared" ref="BK102:BM102" si="549">SUM(BK101/BK95)</f>
        <v>25.896937596643603</v>
      </c>
      <c r="BL102" s="4005">
        <f t="shared" si="549"/>
        <v>25.959642079793717</v>
      </c>
      <c r="BM102" s="4006">
        <f t="shared" si="549"/>
        <v>16.538191295350131</v>
      </c>
      <c r="BN102" s="4004">
        <f t="shared" ref="BN102:BQ102" si="550">SUM(BN101/BN95)</f>
        <v>26.638728854250708</v>
      </c>
      <c r="BO102" s="4005">
        <f t="shared" si="550"/>
        <v>26.705514066228972</v>
      </c>
      <c r="BP102" s="4006">
        <f t="shared" si="550"/>
        <v>16.804194036237242</v>
      </c>
      <c r="BQ102" s="4027">
        <f t="shared" si="550"/>
        <v>27.936232490919327</v>
      </c>
      <c r="BR102" s="4028">
        <f t="shared" si="234"/>
        <v>1.1333229420589381</v>
      </c>
      <c r="BS102" s="4029">
        <f t="shared" ref="BS102:BU102" si="551">SUM(BS101/BS95)</f>
        <v>28.026000570891018</v>
      </c>
      <c r="BT102" s="4030">
        <f t="shared" si="551"/>
        <v>15.446760494857156</v>
      </c>
      <c r="BU102" s="4027">
        <f t="shared" si="551"/>
        <v>25.802066971406731</v>
      </c>
      <c r="BV102" s="4031">
        <f t="shared" si="236"/>
        <v>1.046743667412618</v>
      </c>
      <c r="BW102" s="4029">
        <f t="shared" ref="BW102:CH102" si="552">SUM(BW101/BW95)</f>
        <v>25.880702608170083</v>
      </c>
      <c r="BX102" s="4030">
        <f t="shared" si="552"/>
        <v>14.612728701090473</v>
      </c>
      <c r="BY102" s="4009">
        <f t="shared" si="552"/>
        <v>25.046823984767613</v>
      </c>
      <c r="BZ102" s="4010">
        <f t="shared" si="552"/>
        <v>25.099172504762873</v>
      </c>
      <c r="CA102" s="4010">
        <f t="shared" si="552"/>
        <v>16.072856384804957</v>
      </c>
      <c r="CB102" s="4010">
        <f t="shared" ref="CB102:CD102" si="553">SUM(CB101/CB95)</f>
        <v>25.883794483301127</v>
      </c>
      <c r="CC102" s="4010">
        <f t="shared" si="553"/>
        <v>25.940058798801751</v>
      </c>
      <c r="CD102" s="4010">
        <f t="shared" si="553"/>
        <v>16.691518032730958</v>
      </c>
      <c r="CE102" s="4010">
        <f t="shared" ref="CE102:CG102" si="554">SUM(CE101/CE95)</f>
        <v>26.105747092390825</v>
      </c>
      <c r="CF102" s="4010">
        <f t="shared" si="554"/>
        <v>26.165722274961006</v>
      </c>
      <c r="CG102" s="4011">
        <f t="shared" si="554"/>
        <v>16.869568976584315</v>
      </c>
      <c r="CH102" s="4027">
        <f t="shared" si="552"/>
        <v>30.070674771778521</v>
      </c>
      <c r="CI102" s="4028">
        <f t="shared" si="240"/>
        <v>1.165436660756759</v>
      </c>
      <c r="CJ102" s="4029">
        <f t="shared" ref="CJ102:CL102" si="555">SUM(CJ101/CJ95)</f>
        <v>30.185190914174001</v>
      </c>
      <c r="CK102" s="4030">
        <f t="shared" si="555"/>
        <v>13.988625209283903</v>
      </c>
      <c r="CL102" s="4027">
        <f t="shared" si="555"/>
        <v>30.551533004900797</v>
      </c>
      <c r="CM102" s="4031">
        <f t="shared" si="242"/>
        <v>1.1840730837090423</v>
      </c>
      <c r="CN102" s="4029">
        <f t="shared" ref="CN102:CO102" si="556">SUM(CN101/CN95)</f>
        <v>30.647116377564423</v>
      </c>
      <c r="CO102" s="4030">
        <f t="shared" si="556"/>
        <v>14.242272904345374</v>
      </c>
    </row>
    <row r="103" spans="1:93" ht="20.25" customHeight="1">
      <c r="A103" s="393"/>
      <c r="B103" s="1387"/>
      <c r="C103" s="1387"/>
      <c r="D103" s="1387"/>
      <c r="E103" s="1387"/>
      <c r="F103" s="1387"/>
      <c r="G103" s="1387"/>
      <c r="H103" s="1387"/>
      <c r="I103" s="1388"/>
      <c r="J103" s="104"/>
      <c r="K103" s="104"/>
      <c r="L103" s="104"/>
      <c r="M103" s="104"/>
      <c r="N103" s="1389"/>
      <c r="O103" s="1390"/>
      <c r="P103" s="1391"/>
      <c r="Q103" s="1389"/>
      <c r="R103" s="104"/>
      <c r="S103" s="1388"/>
      <c r="T103" s="1388"/>
      <c r="U103" s="1388"/>
      <c r="V103" s="1388"/>
      <c r="W103" s="1392"/>
      <c r="X103" s="1388"/>
      <c r="Y103" s="1392"/>
      <c r="Z103" s="1392"/>
      <c r="AA103" s="1392"/>
      <c r="AB103" s="1392"/>
      <c r="AC103" s="1392"/>
      <c r="AD103" s="1392"/>
      <c r="AE103" s="1392"/>
      <c r="AF103" s="1392"/>
      <c r="AG103" s="1392"/>
      <c r="AH103" s="1392"/>
      <c r="AI103" s="1392"/>
      <c r="AJ103" s="1392"/>
      <c r="AK103" s="1393"/>
      <c r="AL103" s="1393"/>
      <c r="AM103" s="1394"/>
      <c r="AN103" s="1395"/>
      <c r="AO103" s="1394"/>
      <c r="AP103" s="1394"/>
      <c r="AQ103" s="1394"/>
      <c r="AR103" s="1394"/>
      <c r="AS103" s="1394"/>
      <c r="AT103" s="1394"/>
      <c r="AU103" s="1394"/>
      <c r="AV103" s="1394"/>
      <c r="AW103" s="1394"/>
      <c r="AX103" s="1394"/>
      <c r="AY103" s="1394"/>
      <c r="AZ103" s="2163"/>
      <c r="BA103" s="1394"/>
      <c r="BB103" s="1394"/>
      <c r="BC103" s="1394"/>
      <c r="BD103" s="2163"/>
      <c r="BE103" s="1394"/>
      <c r="BF103" s="1394"/>
      <c r="BG103" s="1396"/>
    </row>
    <row r="104" spans="1:93" ht="20.25" customHeight="1">
      <c r="A104" s="393"/>
      <c r="B104" s="1387"/>
      <c r="C104" s="1387"/>
      <c r="D104" s="1387"/>
      <c r="E104" s="1387"/>
      <c r="F104" s="1387"/>
      <c r="G104" s="1387"/>
      <c r="H104" s="1387"/>
      <c r="I104" s="1388"/>
      <c r="J104" s="104"/>
      <c r="K104" s="104"/>
      <c r="L104" s="104"/>
      <c r="M104" s="104"/>
      <c r="N104" s="1389"/>
      <c r="O104" s="1390"/>
      <c r="P104" s="1391"/>
      <c r="Q104" s="1389"/>
      <c r="R104" s="104"/>
      <c r="S104" s="1388"/>
      <c r="T104" s="1388"/>
      <c r="U104" s="1388"/>
      <c r="V104" s="1388"/>
      <c r="W104" s="1392"/>
      <c r="X104" s="1388"/>
      <c r="Y104" s="1392"/>
      <c r="Z104" s="1392"/>
      <c r="AA104" s="1392"/>
      <c r="AB104" s="1392"/>
      <c r="AC104" s="1392"/>
      <c r="AD104" s="1392"/>
      <c r="AE104" s="1392"/>
      <c r="AF104" s="1392"/>
      <c r="AG104" s="1392"/>
      <c r="AH104" s="1392"/>
      <c r="AI104" s="1392"/>
      <c r="AJ104" s="1392"/>
      <c r="AK104" s="1393"/>
      <c r="AL104" s="1393"/>
      <c r="AM104" s="1394"/>
      <c r="AN104" s="1395"/>
      <c r="AO104" s="1394"/>
      <c r="AP104" s="1394"/>
      <c r="AQ104" s="1394"/>
      <c r="AR104" s="1394"/>
      <c r="AS104" s="1394"/>
      <c r="AT104" s="1394"/>
      <c r="AU104" s="1394"/>
      <c r="AV104" s="1394"/>
      <c r="AW104" s="1394"/>
      <c r="AX104" s="1394"/>
      <c r="AY104" s="1394"/>
      <c r="AZ104" s="2163"/>
      <c r="BA104" s="1394">
        <f>BE104</f>
        <v>24.29</v>
      </c>
      <c r="BB104" s="1394"/>
      <c r="BC104" s="1394"/>
      <c r="BD104" s="2163"/>
      <c r="BE104" s="1394">
        <f>BE69</f>
        <v>24.29</v>
      </c>
      <c r="BF104" s="1394"/>
      <c r="BG104" s="1396"/>
      <c r="BS104" s="1394">
        <f>SUM(BE105)</f>
        <v>25.126345482739303</v>
      </c>
      <c r="BW104" s="1394">
        <v>25.126000000000001</v>
      </c>
      <c r="BX104" s="1394">
        <v>14.28</v>
      </c>
      <c r="BY104" s="1394"/>
      <c r="BZ104" s="1394"/>
      <c r="CA104" s="1394"/>
      <c r="CB104" s="1394"/>
      <c r="CC104" s="1394"/>
      <c r="CD104" s="1394"/>
      <c r="CE104" s="1394"/>
      <c r="CF104" s="1394"/>
      <c r="CG104" s="1394"/>
    </row>
    <row r="105" spans="1:93" ht="20.25" customHeight="1">
      <c r="A105" s="393"/>
      <c r="B105" s="1387"/>
      <c r="C105" s="1387"/>
      <c r="D105" s="1387"/>
      <c r="E105" s="1387"/>
      <c r="F105" s="1387"/>
      <c r="G105" s="1387"/>
      <c r="H105" s="1387"/>
      <c r="I105" s="1388"/>
      <c r="J105" s="104"/>
      <c r="K105" s="104"/>
      <c r="L105" s="104"/>
      <c r="M105" s="104"/>
      <c r="N105" s="1389"/>
      <c r="O105" s="1390"/>
      <c r="P105" s="1391"/>
      <c r="Q105" s="1389"/>
      <c r="R105" s="104"/>
      <c r="S105" s="1388"/>
      <c r="T105" s="1388"/>
      <c r="U105" s="1388"/>
      <c r="V105" s="1388"/>
      <c r="W105" s="1392"/>
      <c r="X105" s="1388"/>
      <c r="Y105" s="1392"/>
      <c r="Z105" s="1392"/>
      <c r="AA105" s="1392"/>
      <c r="AB105" s="1392"/>
      <c r="AC105" s="1392"/>
      <c r="AD105" s="1392"/>
      <c r="AE105" s="1392"/>
      <c r="AF105" s="1392"/>
      <c r="AG105" s="1392"/>
      <c r="AH105" s="1392"/>
      <c r="AI105" s="1392"/>
      <c r="AJ105" s="1392"/>
      <c r="AK105" s="1393"/>
      <c r="AL105" s="1393"/>
      <c r="AM105" s="1394"/>
      <c r="AN105" s="1395"/>
      <c r="AO105" s="1394"/>
      <c r="AP105" s="1394"/>
      <c r="AQ105" s="1394"/>
      <c r="AR105" s="1394"/>
      <c r="AS105" s="1394"/>
      <c r="AT105" s="1394"/>
      <c r="AU105" s="1394"/>
      <c r="AV105" s="1394"/>
      <c r="AW105" s="1394"/>
      <c r="AX105" s="1394"/>
      <c r="AY105" s="1394"/>
      <c r="AZ105" s="2163"/>
      <c r="BA105" s="1394">
        <f>BA102*2-BA104</f>
        <v>31.76036308445137</v>
      </c>
      <c r="BB105" s="1394"/>
      <c r="BC105" s="1394"/>
      <c r="BD105" s="2163"/>
      <c r="BE105" s="1394">
        <f>BE102*2-BE104</f>
        <v>25.126345482739303</v>
      </c>
      <c r="BF105" s="1394"/>
      <c r="BG105" s="1396"/>
      <c r="BS105" s="1394">
        <f>BS102*2-BS104</f>
        <v>30.925655659042732</v>
      </c>
      <c r="BW105" s="1394">
        <f>BW102*2-BW104</f>
        <v>26.635405216340164</v>
      </c>
      <c r="BX105" s="1394">
        <f>BX102*2-BX104</f>
        <v>14.945457402180947</v>
      </c>
      <c r="BY105" s="1394"/>
      <c r="BZ105" s="1394"/>
      <c r="CA105" s="1394"/>
      <c r="CB105" s="1394"/>
      <c r="CC105" s="1394"/>
      <c r="CD105" s="1394"/>
      <c r="CE105" s="1394"/>
      <c r="CF105" s="1394"/>
      <c r="CG105" s="1394"/>
    </row>
    <row r="106" spans="1:93" ht="20.25" customHeight="1">
      <c r="A106" s="393"/>
      <c r="B106" s="1387"/>
      <c r="C106" s="1387"/>
      <c r="D106" s="1387"/>
      <c r="E106" s="1387"/>
      <c r="F106" s="1387"/>
      <c r="G106" s="1387"/>
      <c r="H106" s="1387"/>
      <c r="I106" s="1388"/>
      <c r="J106" s="104"/>
      <c r="K106" s="104"/>
      <c r="L106" s="104"/>
      <c r="M106" s="104"/>
      <c r="N106" s="1389"/>
      <c r="O106" s="1390"/>
      <c r="P106" s="1391"/>
      <c r="Q106" s="1389"/>
      <c r="R106" s="104"/>
      <c r="S106" s="1388"/>
      <c r="T106" s="1388"/>
      <c r="U106" s="1388"/>
      <c r="V106" s="1388"/>
      <c r="W106" s="1392"/>
      <c r="X106" s="1388"/>
      <c r="Y106" s="1392"/>
      <c r="Z106" s="1392"/>
      <c r="AA106" s="1392"/>
      <c r="AB106" s="1392"/>
      <c r="AC106" s="1392"/>
      <c r="AD106" s="1392"/>
      <c r="AE106" s="1392"/>
      <c r="AF106" s="1392"/>
      <c r="AG106" s="1392"/>
      <c r="AH106" s="1392"/>
      <c r="AI106" s="1392"/>
      <c r="AJ106" s="1392"/>
      <c r="AK106" s="1393"/>
      <c r="AL106" s="1393"/>
      <c r="AM106" s="1394"/>
      <c r="AN106" s="1395"/>
      <c r="AO106" s="1394"/>
      <c r="AP106" s="1394"/>
      <c r="AQ106" s="1394"/>
      <c r="AR106" s="1394"/>
      <c r="AS106" s="1394"/>
      <c r="AT106" s="1394"/>
      <c r="AU106" s="1394"/>
      <c r="AV106" s="1394"/>
      <c r="AW106" s="1394"/>
      <c r="AX106" s="1394"/>
      <c r="AY106" s="1394"/>
      <c r="AZ106" s="2163"/>
      <c r="BA106" s="2136">
        <f>BA105/BA104</f>
        <v>1.3075489124928519</v>
      </c>
      <c r="BB106" s="1394"/>
      <c r="BC106" s="1394"/>
      <c r="BD106" s="2163"/>
      <c r="BE106" s="2136">
        <f>BE105/BE104</f>
        <v>1.0344316789929726</v>
      </c>
      <c r="BF106" s="1394"/>
      <c r="BG106" s="1396"/>
      <c r="BS106" s="2136">
        <f>BS105/BS104</f>
        <v>1.2308059554576809</v>
      </c>
      <c r="BW106" s="2136">
        <f>BW105/BW104</f>
        <v>1.0600734385234483</v>
      </c>
      <c r="BX106" s="2136">
        <f>BX105/BX104</f>
        <v>1.0466006584160328</v>
      </c>
      <c r="BY106" s="2136"/>
      <c r="BZ106" s="2136"/>
      <c r="CA106" s="2136"/>
      <c r="CB106" s="2136"/>
      <c r="CC106" s="2136"/>
      <c r="CD106" s="2136"/>
      <c r="CE106" s="2136"/>
      <c r="CF106" s="2136"/>
      <c r="CG106" s="2136"/>
    </row>
    <row r="107" spans="1:93" ht="24" customHeight="1">
      <c r="A107" s="393"/>
      <c r="B107" s="1397"/>
      <c r="C107" s="1397"/>
      <c r="D107" s="1397"/>
      <c r="E107" s="1397"/>
      <c r="F107" s="1397"/>
      <c r="G107" s="1397"/>
      <c r="H107" s="1397"/>
      <c r="I107" s="1388"/>
      <c r="J107" s="104"/>
      <c r="K107" s="104"/>
      <c r="L107" s="104"/>
      <c r="M107" s="104"/>
      <c r="N107" s="1389"/>
      <c r="O107" s="1390"/>
      <c r="P107" s="1391"/>
      <c r="Q107" s="1389"/>
      <c r="R107" s="104"/>
      <c r="S107" s="1388"/>
      <c r="T107" s="1388"/>
      <c r="U107" s="1388"/>
      <c r="V107" s="1388"/>
      <c r="W107" s="1392"/>
      <c r="X107" s="1388"/>
      <c r="Y107" s="1392"/>
      <c r="Z107" s="1398"/>
      <c r="AA107" s="618"/>
      <c r="AB107" s="618"/>
      <c r="AC107" s="618"/>
      <c r="AD107" s="618"/>
      <c r="AE107" s="618"/>
      <c r="AF107" s="618"/>
      <c r="AG107" s="618"/>
      <c r="AH107" s="618"/>
      <c r="AI107" s="618"/>
      <c r="AJ107" s="618"/>
      <c r="AK107" s="618"/>
      <c r="AL107" s="1398"/>
      <c r="AM107" s="1394"/>
      <c r="AN107" s="1395"/>
      <c r="AO107" s="1394"/>
      <c r="AP107" s="1394"/>
      <c r="AQ107" s="1394"/>
      <c r="AR107" s="1394"/>
      <c r="AS107" s="1394"/>
      <c r="AT107" s="1394"/>
      <c r="AU107" s="1394"/>
      <c r="AV107" s="1394"/>
      <c r="AW107" s="1394"/>
      <c r="AX107" s="1394"/>
      <c r="AY107" s="1394"/>
      <c r="AZ107" s="2163"/>
      <c r="BA107" s="1394"/>
      <c r="BB107" s="1394"/>
      <c r="BC107" s="1394"/>
      <c r="BD107" s="2163"/>
      <c r="BE107" s="1394"/>
      <c r="BF107" s="1394"/>
      <c r="BG107" s="1399"/>
    </row>
    <row r="108" spans="1:93" ht="18" hidden="1">
      <c r="A108" s="5358" t="s">
        <v>442</v>
      </c>
      <c r="B108" s="5358"/>
      <c r="C108" s="5358"/>
      <c r="D108" s="5358"/>
      <c r="E108" s="5358"/>
      <c r="F108" s="5358"/>
      <c r="G108" s="5358"/>
      <c r="H108" s="5358"/>
      <c r="I108" s="618"/>
      <c r="J108" s="618"/>
      <c r="K108" s="5368" t="s">
        <v>443</v>
      </c>
      <c r="L108" s="5368"/>
      <c r="M108" s="5368"/>
      <c r="N108" s="5368"/>
      <c r="O108" s="5368"/>
      <c r="P108" s="5368"/>
      <c r="Q108" s="5368"/>
      <c r="R108" s="5368"/>
      <c r="S108" s="5368"/>
      <c r="T108" s="618"/>
      <c r="U108" s="618"/>
      <c r="V108" s="618"/>
      <c r="W108" s="618"/>
      <c r="X108" s="618"/>
      <c r="Y108" s="618"/>
      <c r="Z108" s="1400">
        <f>Z67-Z63</f>
        <v>1.3573133591242055</v>
      </c>
      <c r="AA108" s="618"/>
      <c r="AB108" s="618"/>
      <c r="AC108" s="618"/>
      <c r="AD108" s="618"/>
      <c r="AE108" s="618"/>
      <c r="AF108" s="618"/>
      <c r="AG108" s="618"/>
      <c r="AH108" s="618"/>
      <c r="AI108" s="618"/>
      <c r="AJ108" s="618"/>
      <c r="AK108" s="618"/>
      <c r="AL108" s="618"/>
      <c r="AM108" s="618"/>
      <c r="AN108" s="618"/>
      <c r="AO108" s="618"/>
      <c r="AP108" s="618"/>
      <c r="AQ108" s="618"/>
      <c r="AR108" s="618"/>
      <c r="AS108" s="618"/>
      <c r="AT108" s="618"/>
      <c r="AU108" s="618"/>
      <c r="AV108" s="618"/>
      <c r="AW108" s="618"/>
      <c r="AX108" s="618"/>
      <c r="AY108" s="618"/>
      <c r="AZ108" s="2166"/>
      <c r="BA108" s="618"/>
      <c r="BB108" s="618"/>
      <c r="BC108" s="618"/>
      <c r="BD108" s="2166"/>
      <c r="BE108" s="618"/>
      <c r="BF108" s="618"/>
      <c r="BG108" s="618"/>
    </row>
    <row r="109" spans="1:93" hidden="1">
      <c r="A109" s="334"/>
      <c r="B109" s="334"/>
      <c r="C109" s="334"/>
      <c r="D109" s="334"/>
      <c r="E109" s="334" t="s">
        <v>261</v>
      </c>
      <c r="F109" s="334"/>
      <c r="G109" s="334" t="s">
        <v>262</v>
      </c>
      <c r="H109" s="334" t="s">
        <v>238</v>
      </c>
      <c r="I109" s="618"/>
      <c r="J109" s="618"/>
      <c r="K109" s="334"/>
      <c r="L109" s="1401" t="s">
        <v>261</v>
      </c>
      <c r="M109" s="1401"/>
      <c r="N109" s="1401"/>
      <c r="O109" s="1401" t="s">
        <v>261</v>
      </c>
      <c r="P109" s="1401" t="s">
        <v>262</v>
      </c>
      <c r="Q109" s="1401" t="s">
        <v>262</v>
      </c>
      <c r="R109" s="1401" t="s">
        <v>238</v>
      </c>
      <c r="S109" s="1401" t="s">
        <v>238</v>
      </c>
      <c r="T109" s="618"/>
      <c r="U109" s="618"/>
      <c r="V109" s="618"/>
      <c r="W109" s="618"/>
      <c r="X109" s="618"/>
      <c r="Y109" s="618"/>
      <c r="Z109" s="618"/>
      <c r="AA109" s="618"/>
      <c r="AB109" s="618"/>
      <c r="AC109" s="618"/>
      <c r="AD109" s="618"/>
      <c r="AE109" s="618"/>
      <c r="AF109" s="618"/>
      <c r="AG109" s="618"/>
      <c r="AH109" s="618"/>
      <c r="AI109" s="618"/>
      <c r="AJ109" s="618"/>
      <c r="AK109" s="618"/>
      <c r="AL109" s="618"/>
      <c r="AM109" s="618"/>
      <c r="AN109" s="618"/>
      <c r="AO109" s="618"/>
      <c r="AP109" s="618"/>
      <c r="AQ109" s="618"/>
      <c r="AR109" s="618"/>
      <c r="AS109" s="618"/>
      <c r="AT109" s="618"/>
      <c r="AU109" s="618"/>
      <c r="AV109" s="618"/>
      <c r="AW109" s="618"/>
      <c r="AX109" s="618"/>
      <c r="AY109" s="618"/>
      <c r="AZ109" s="2166"/>
      <c r="BA109" s="618"/>
      <c r="BB109" s="618"/>
      <c r="BC109" s="618"/>
      <c r="BD109" s="2166"/>
      <c r="BE109" s="618"/>
      <c r="BF109" s="618"/>
      <c r="BG109" s="618"/>
    </row>
    <row r="110" spans="1:93" hidden="1">
      <c r="A110" s="14" t="s">
        <v>259</v>
      </c>
      <c r="B110" s="334"/>
      <c r="C110" s="334"/>
      <c r="D110" s="334"/>
      <c r="E110" s="1402">
        <f>Z55/2</f>
        <v>1822.35</v>
      </c>
      <c r="F110" s="1402"/>
      <c r="G110" s="1402">
        <f>H110-E110</f>
        <v>1822.35</v>
      </c>
      <c r="H110" s="1402">
        <f>AK55</f>
        <v>3644.7</v>
      </c>
      <c r="I110" s="618"/>
      <c r="J110" s="618"/>
      <c r="K110" s="190" t="s">
        <v>259</v>
      </c>
      <c r="L110" s="1403">
        <f>S110/2</f>
        <v>1822.35</v>
      </c>
      <c r="M110" s="334"/>
      <c r="N110" s="334"/>
      <c r="O110" s="1402">
        <f>BM49/2</f>
        <v>124.63493959183435</v>
      </c>
      <c r="P110" s="1402">
        <f>S110/2</f>
        <v>1822.35</v>
      </c>
      <c r="Q110" s="1402">
        <f>S110/2</f>
        <v>1822.35</v>
      </c>
      <c r="R110" s="1402">
        <f>BM49</f>
        <v>249.26987918366871</v>
      </c>
      <c r="S110" s="1402">
        <f>Z55</f>
        <v>3644.7</v>
      </c>
      <c r="T110" s="618"/>
      <c r="U110" s="618"/>
      <c r="V110" s="618"/>
      <c r="W110" s="618"/>
      <c r="X110" s="618"/>
      <c r="Y110" s="618"/>
      <c r="Z110" s="618"/>
      <c r="AA110" s="618"/>
      <c r="AB110" s="618"/>
      <c r="AC110" s="618"/>
      <c r="AD110" s="618"/>
      <c r="AE110" s="618"/>
      <c r="AF110" s="618"/>
      <c r="AG110" s="618"/>
      <c r="AH110" s="618"/>
      <c r="AI110" s="618"/>
      <c r="AJ110" s="618"/>
      <c r="AK110" s="618"/>
      <c r="AL110" s="618"/>
      <c r="AM110" s="618"/>
      <c r="AN110" s="618"/>
      <c r="AO110" s="618"/>
      <c r="AP110" s="618"/>
      <c r="AQ110" s="618"/>
      <c r="AR110" s="618"/>
      <c r="AS110" s="618"/>
      <c r="AT110" s="618"/>
      <c r="AU110" s="618"/>
      <c r="AV110" s="618"/>
      <c r="AW110" s="618"/>
      <c r="AX110" s="618"/>
      <c r="AY110" s="618"/>
      <c r="AZ110" s="2166"/>
      <c r="BA110" s="618"/>
      <c r="BB110" s="618"/>
      <c r="BC110" s="618"/>
      <c r="BD110" s="2166"/>
      <c r="BE110" s="618"/>
      <c r="BF110" s="618"/>
      <c r="BG110" s="618"/>
    </row>
    <row r="111" spans="1:93" ht="25.5" hidden="1">
      <c r="A111" s="14" t="s">
        <v>280</v>
      </c>
      <c r="B111" s="334"/>
      <c r="C111" s="334"/>
      <c r="D111" s="334"/>
      <c r="E111" s="1402" t="e">
        <f>#REF!</f>
        <v>#REF!</v>
      </c>
      <c r="F111" s="1402"/>
      <c r="G111" s="1402" t="e">
        <f>G112/G110</f>
        <v>#REF!</v>
      </c>
      <c r="H111" s="1402">
        <f>AK63</f>
        <v>23.311441360647965</v>
      </c>
      <c r="I111" s="618"/>
      <c r="J111" s="618"/>
      <c r="K111" s="190" t="s">
        <v>294</v>
      </c>
      <c r="L111" s="1402">
        <v>24.29</v>
      </c>
      <c r="M111" s="334"/>
      <c r="N111" s="334"/>
      <c r="O111" s="1402">
        <v>26.38</v>
      </c>
      <c r="P111" s="1402">
        <f>P112/P110</f>
        <v>24.290849083410784</v>
      </c>
      <c r="Q111" s="1402">
        <f>Q112/Q110</f>
        <v>24.290849083410784</v>
      </c>
      <c r="R111" s="1402">
        <f>BM64</f>
        <v>0</v>
      </c>
      <c r="S111" s="1402">
        <f>AK67</f>
        <v>24.290424541705391</v>
      </c>
      <c r="T111" s="618"/>
      <c r="U111" s="618"/>
      <c r="V111" s="618"/>
      <c r="W111" s="618"/>
      <c r="X111" s="618"/>
      <c r="Y111" s="618"/>
      <c r="Z111" s="618"/>
      <c r="AA111" s="618" t="s">
        <v>444</v>
      </c>
      <c r="AB111" s="618"/>
      <c r="AC111" s="618"/>
      <c r="AD111" s="618"/>
      <c r="AE111" s="618"/>
      <c r="AF111" s="618"/>
      <c r="AG111" s="618"/>
      <c r="AH111" s="618"/>
      <c r="AI111" s="618"/>
      <c r="AJ111" s="618"/>
      <c r="AK111" s="670">
        <f>AK49*0.07</f>
        <v>5659.9720218102429</v>
      </c>
      <c r="AL111" s="618"/>
      <c r="AM111" s="618"/>
      <c r="AN111" s="618"/>
      <c r="AO111" s="618"/>
      <c r="AP111" s="618"/>
      <c r="AQ111" s="618"/>
      <c r="AR111" s="618"/>
      <c r="AS111" s="618"/>
      <c r="AT111" s="618"/>
      <c r="AU111" s="618"/>
      <c r="AV111" s="618"/>
      <c r="AW111" s="618"/>
      <c r="AX111" s="618"/>
      <c r="AY111" s="618"/>
      <c r="AZ111" s="2166"/>
      <c r="BA111" s="618"/>
      <c r="BB111" s="618"/>
      <c r="BC111" s="618"/>
      <c r="BD111" s="2166"/>
      <c r="BE111" s="618"/>
      <c r="BF111" s="618"/>
      <c r="BG111" s="618"/>
    </row>
    <row r="112" spans="1:93" hidden="1">
      <c r="A112" s="14" t="s">
        <v>260</v>
      </c>
      <c r="B112" s="334"/>
      <c r="C112" s="334"/>
      <c r="D112" s="334"/>
      <c r="E112" s="1402" t="e">
        <f>E110*E111</f>
        <v>#REF!</v>
      </c>
      <c r="F112" s="1402"/>
      <c r="G112" s="1402" t="e">
        <f>H112-E112</f>
        <v>#REF!</v>
      </c>
      <c r="H112" s="1402">
        <f>AK49+AK61</f>
        <v>84963.210327153633</v>
      </c>
      <c r="I112" s="618"/>
      <c r="J112" s="618"/>
      <c r="K112" s="190" t="s">
        <v>260</v>
      </c>
      <c r="L112" s="1402">
        <f>L110*L111</f>
        <v>44264.881499999996</v>
      </c>
      <c r="M112" s="334"/>
      <c r="N112" s="334"/>
      <c r="O112" s="1402">
        <f>O110*O111</f>
        <v>3287.8697064325902</v>
      </c>
      <c r="P112" s="1402">
        <f>S112-L112</f>
        <v>44266.428827153642</v>
      </c>
      <c r="Q112" s="1402">
        <f>S112-L112</f>
        <v>44266.428827153642</v>
      </c>
      <c r="R112" s="1402">
        <f>BM46+BM61</f>
        <v>46.055274159819419</v>
      </c>
      <c r="S112" s="1402">
        <f>AK66</f>
        <v>88531.310327153638</v>
      </c>
      <c r="T112" s="618"/>
      <c r="U112" s="618"/>
      <c r="V112" s="618"/>
      <c r="W112" s="618"/>
      <c r="X112" s="618"/>
      <c r="Y112" s="618"/>
      <c r="Z112" s="618"/>
      <c r="AA112" s="618"/>
      <c r="AB112" s="618"/>
      <c r="AC112" s="618"/>
      <c r="AD112" s="618"/>
      <c r="AE112" s="618"/>
      <c r="AF112" s="618"/>
      <c r="AG112" s="618"/>
      <c r="AH112" s="618"/>
      <c r="AI112" s="618"/>
      <c r="AJ112" s="618"/>
      <c r="AK112" s="670">
        <f>AK111-AI65</f>
        <v>2091.872021810243</v>
      </c>
      <c r="AL112" s="618"/>
      <c r="AM112" s="618"/>
      <c r="AN112" s="618"/>
      <c r="AO112" s="618"/>
      <c r="AP112" s="618"/>
      <c r="AQ112" s="618"/>
      <c r="AR112" s="618"/>
      <c r="AS112" s="618"/>
      <c r="AT112" s="618"/>
      <c r="AU112" s="618"/>
      <c r="AV112" s="618"/>
      <c r="AW112" s="618"/>
      <c r="AX112" s="618"/>
      <c r="AY112" s="618"/>
      <c r="AZ112" s="2166"/>
      <c r="BA112" s="618"/>
      <c r="BB112" s="618"/>
      <c r="BC112" s="618"/>
      <c r="BD112" s="2166"/>
      <c r="BE112" s="618"/>
      <c r="BF112" s="618"/>
      <c r="BG112" s="618"/>
    </row>
    <row r="113" spans="1:59" ht="20.25" hidden="1">
      <c r="A113" s="334"/>
      <c r="B113" s="334"/>
      <c r="C113" s="334"/>
      <c r="D113" s="334"/>
      <c r="E113" s="334"/>
      <c r="F113" s="334"/>
      <c r="G113" s="1404" t="e">
        <f>G111/E111</f>
        <v>#REF!</v>
      </c>
      <c r="H113" s="334"/>
      <c r="I113" s="618"/>
      <c r="J113" s="618"/>
      <c r="K113" s="334"/>
      <c r="L113" s="334"/>
      <c r="M113" s="334"/>
      <c r="N113" s="334"/>
      <c r="O113" s="334"/>
      <c r="P113" s="1405">
        <f>P111/L111</f>
        <v>1.0000349560893695</v>
      </c>
      <c r="Q113" s="1406">
        <f>Q111/O111</f>
        <v>0.9208054997502193</v>
      </c>
      <c r="R113" s="334"/>
      <c r="S113" s="334"/>
      <c r="T113" s="618"/>
      <c r="U113" s="618"/>
      <c r="V113" s="618"/>
      <c r="W113" s="618" t="s">
        <v>264</v>
      </c>
      <c r="X113" s="618"/>
      <c r="Y113" s="618"/>
      <c r="Z113" s="618"/>
      <c r="AA113" s="618" t="s">
        <v>264</v>
      </c>
      <c r="AB113" s="618"/>
      <c r="AC113" s="618"/>
      <c r="AD113" s="618"/>
      <c r="AE113" s="618"/>
      <c r="AF113" s="618"/>
      <c r="AG113" s="618"/>
      <c r="AH113" s="618"/>
      <c r="AI113" s="618"/>
      <c r="AJ113" s="618"/>
      <c r="AK113" s="618"/>
      <c r="AL113" s="618"/>
      <c r="AM113" s="618"/>
      <c r="AN113" s="618"/>
      <c r="AO113" s="618"/>
      <c r="AP113" s="618"/>
      <c r="AQ113" s="618"/>
      <c r="AR113" s="618"/>
      <c r="AS113" s="618"/>
      <c r="AT113" s="618"/>
      <c r="AU113" s="618"/>
      <c r="AV113" s="618"/>
      <c r="AW113" s="618"/>
      <c r="AX113" s="618"/>
      <c r="AY113" s="618"/>
      <c r="AZ113" s="2166"/>
      <c r="BA113" s="618"/>
      <c r="BB113" s="618"/>
      <c r="BC113" s="618"/>
      <c r="BD113" s="2166"/>
      <c r="BE113" s="618"/>
      <c r="BF113" s="618"/>
      <c r="BG113" s="618"/>
    </row>
    <row r="114" spans="1:59" hidden="1">
      <c r="A114" s="618"/>
      <c r="B114" s="618"/>
      <c r="C114" s="618"/>
      <c r="D114" s="618"/>
      <c r="E114" s="618"/>
      <c r="F114" s="618"/>
      <c r="G114" s="618"/>
      <c r="H114" s="618"/>
      <c r="I114" s="618"/>
      <c r="J114" s="618"/>
      <c r="K114" s="618"/>
      <c r="L114" s="618"/>
      <c r="M114" s="618"/>
      <c r="N114" s="618"/>
      <c r="O114" s="618"/>
      <c r="P114" s="1407" t="e">
        <f>G111/L111</f>
        <v>#REF!</v>
      </c>
      <c r="Q114" s="618"/>
      <c r="R114" s="618"/>
      <c r="S114" s="618"/>
      <c r="T114" s="618"/>
      <c r="U114" s="618"/>
      <c r="V114" s="618"/>
      <c r="W114" s="618" t="s">
        <v>259</v>
      </c>
      <c r="X114" s="670">
        <f>[24]динамика!G45/2</f>
        <v>1491.6933333333334</v>
      </c>
      <c r="Y114" s="670">
        <f>X114</f>
        <v>1491.6933333333334</v>
      </c>
      <c r="Z114" s="618"/>
      <c r="AA114" s="618" t="s">
        <v>259</v>
      </c>
      <c r="AB114" s="618"/>
      <c r="AC114" s="618"/>
      <c r="AD114" s="618"/>
      <c r="AE114" s="618"/>
      <c r="AF114" s="618"/>
      <c r="AG114" s="618"/>
      <c r="AH114" s="618"/>
      <c r="AI114" s="618"/>
      <c r="AJ114" s="618"/>
      <c r="AK114" s="618"/>
      <c r="AL114" s="618"/>
      <c r="AM114" s="618"/>
      <c r="AN114" s="618"/>
      <c r="AO114" s="618"/>
      <c r="AP114" s="618"/>
      <c r="AQ114" s="618"/>
      <c r="AR114" s="618"/>
      <c r="AS114" s="618"/>
      <c r="AT114" s="618"/>
      <c r="AU114" s="618"/>
      <c r="AV114" s="618"/>
      <c r="AW114" s="618"/>
      <c r="AX114" s="618"/>
      <c r="AY114" s="618"/>
      <c r="AZ114" s="2166"/>
      <c r="BA114" s="618"/>
      <c r="BB114" s="618"/>
      <c r="BC114" s="618"/>
      <c r="BD114" s="2166"/>
      <c r="BE114" s="618"/>
      <c r="BF114" s="618"/>
      <c r="BG114" s="670">
        <f>X114</f>
        <v>1491.6933333333334</v>
      </c>
    </row>
    <row r="115" spans="1:59" hidden="1">
      <c r="A115" s="334"/>
      <c r="B115" s="334"/>
      <c r="C115" s="334"/>
      <c r="D115" s="334"/>
      <c r="E115" s="334" t="s">
        <v>261</v>
      </c>
      <c r="F115" s="334"/>
      <c r="G115" s="334" t="s">
        <v>262</v>
      </c>
      <c r="H115" s="334" t="s">
        <v>238</v>
      </c>
      <c r="I115" s="618"/>
      <c r="J115" s="618"/>
      <c r="K115" s="618"/>
      <c r="L115" s="618"/>
      <c r="M115" s="618"/>
      <c r="N115" s="618"/>
      <c r="O115" s="618"/>
      <c r="P115" s="618"/>
      <c r="Q115" s="670">
        <f>S112-H112</f>
        <v>3568.1000000000058</v>
      </c>
      <c r="R115" s="618"/>
      <c r="S115" s="618"/>
      <c r="T115" s="618"/>
      <c r="U115" s="618"/>
      <c r="V115" s="618"/>
      <c r="W115" s="618" t="s">
        <v>118</v>
      </c>
      <c r="X115" s="670">
        <v>19.14</v>
      </c>
      <c r="Y115" s="670">
        <f>X115*1.2</f>
        <v>22.968</v>
      </c>
      <c r="Z115" s="618"/>
      <c r="AA115" s="618" t="s">
        <v>118</v>
      </c>
      <c r="AB115" s="618"/>
      <c r="AC115" s="618"/>
      <c r="AD115" s="618"/>
      <c r="AE115" s="618"/>
      <c r="AF115" s="618"/>
      <c r="AG115" s="618"/>
      <c r="AH115" s="618"/>
      <c r="AI115" s="618"/>
      <c r="AJ115" s="618"/>
      <c r="AK115" s="618"/>
      <c r="AL115" s="618"/>
      <c r="AM115" s="618"/>
      <c r="AN115" s="618"/>
      <c r="AO115" s="618"/>
      <c r="AP115" s="618"/>
      <c r="AQ115" s="618"/>
      <c r="AR115" s="618"/>
      <c r="AS115" s="618"/>
      <c r="AT115" s="618"/>
      <c r="AU115" s="618"/>
      <c r="AV115" s="618"/>
      <c r="AW115" s="618"/>
      <c r="AX115" s="618"/>
      <c r="AY115" s="618"/>
      <c r="AZ115" s="2166"/>
      <c r="BA115" s="618"/>
      <c r="BB115" s="618"/>
      <c r="BC115" s="618"/>
      <c r="BD115" s="2166"/>
      <c r="BE115" s="618"/>
      <c r="BF115" s="618"/>
      <c r="BG115" s="670">
        <f>22.59/1.18</f>
        <v>19.14406779661017</v>
      </c>
    </row>
    <row r="116" spans="1:59" hidden="1">
      <c r="A116" s="14" t="s">
        <v>259</v>
      </c>
      <c r="B116" s="334"/>
      <c r="C116" s="334"/>
      <c r="D116" s="334"/>
      <c r="E116" s="334">
        <f>AA55/2</f>
        <v>14</v>
      </c>
      <c r="F116" s="334"/>
      <c r="G116" s="334">
        <f>H116-E116</f>
        <v>14</v>
      </c>
      <c r="H116" s="1408">
        <f>AA55</f>
        <v>28</v>
      </c>
      <c r="I116" s="618"/>
      <c r="J116" s="618"/>
      <c r="K116" s="618"/>
      <c r="L116" s="618"/>
      <c r="M116" s="618"/>
      <c r="N116" s="618"/>
      <c r="O116" s="618"/>
      <c r="P116" s="618"/>
      <c r="Q116" s="618"/>
      <c r="R116" s="618"/>
      <c r="S116" s="618"/>
      <c r="T116" s="618"/>
      <c r="U116" s="618"/>
      <c r="V116" s="618"/>
      <c r="W116" s="618" t="s">
        <v>322</v>
      </c>
      <c r="X116" s="670">
        <f>X114*X115</f>
        <v>28551.010400000003</v>
      </c>
      <c r="Y116" s="670">
        <f>Y114*Y115</f>
        <v>34261.212480000002</v>
      </c>
      <c r="Z116" s="618"/>
      <c r="AA116" s="618" t="s">
        <v>322</v>
      </c>
      <c r="AB116" s="618"/>
      <c r="AC116" s="618"/>
      <c r="AD116" s="618"/>
      <c r="AE116" s="618"/>
      <c r="AF116" s="618"/>
      <c r="AG116" s="618"/>
      <c r="AH116" s="618"/>
      <c r="AI116" s="618"/>
      <c r="AJ116" s="618"/>
      <c r="AK116" s="618"/>
      <c r="AL116" s="618"/>
      <c r="AM116" s="618"/>
      <c r="AN116" s="618"/>
      <c r="AO116" s="618"/>
      <c r="AP116" s="618"/>
      <c r="AQ116" s="618"/>
      <c r="AR116" s="618"/>
      <c r="AS116" s="618"/>
      <c r="AT116" s="618"/>
      <c r="AU116" s="618"/>
      <c r="AV116" s="618"/>
      <c r="AW116" s="618"/>
      <c r="AX116" s="618"/>
      <c r="AY116" s="618"/>
      <c r="AZ116" s="2166"/>
      <c r="BA116" s="618"/>
      <c r="BB116" s="618"/>
      <c r="BC116" s="618"/>
      <c r="BD116" s="2166"/>
      <c r="BE116" s="618"/>
      <c r="BF116" s="618"/>
      <c r="BG116" s="670">
        <f>BG114*BG115</f>
        <v>28557.078305084746</v>
      </c>
    </row>
    <row r="117" spans="1:59" hidden="1">
      <c r="A117" s="14" t="s">
        <v>281</v>
      </c>
      <c r="B117" s="334"/>
      <c r="C117" s="334"/>
      <c r="D117" s="334"/>
      <c r="E117" s="1402">
        <v>12.04</v>
      </c>
      <c r="F117" s="1402"/>
      <c r="G117" s="1402">
        <f>G118/G116</f>
        <v>9.4532639377194609</v>
      </c>
      <c r="H117" s="1402">
        <f>AL67</f>
        <v>10.746631968859731</v>
      </c>
      <c r="I117" s="618"/>
      <c r="J117" s="618"/>
      <c r="K117" s="618"/>
      <c r="L117" s="618"/>
      <c r="M117" s="618"/>
      <c r="N117" s="618"/>
      <c r="O117" s="618"/>
      <c r="P117" s="618"/>
      <c r="Q117" s="618"/>
      <c r="R117" s="618"/>
      <c r="S117" s="618"/>
      <c r="T117" s="618"/>
      <c r="U117" s="618"/>
      <c r="V117" s="618"/>
      <c r="W117" s="618"/>
      <c r="X117" s="618"/>
      <c r="Y117" s="379">
        <f>Y115/X115</f>
        <v>1.2</v>
      </c>
      <c r="Z117" s="618"/>
      <c r="AA117" s="618"/>
      <c r="AB117" s="618"/>
      <c r="AC117" s="618"/>
      <c r="AD117" s="618"/>
      <c r="AE117" s="618"/>
      <c r="AF117" s="618"/>
      <c r="AG117" s="618"/>
      <c r="AH117" s="618"/>
      <c r="AI117" s="618"/>
      <c r="AJ117" s="618"/>
      <c r="AK117" s="618"/>
      <c r="AL117" s="618"/>
      <c r="AM117" s="618"/>
      <c r="AN117" s="618"/>
      <c r="AO117" s="618"/>
      <c r="AP117" s="618"/>
      <c r="AQ117" s="618"/>
      <c r="AR117" s="618"/>
      <c r="AS117" s="618"/>
      <c r="AT117" s="618"/>
      <c r="AU117" s="618"/>
      <c r="AV117" s="618"/>
      <c r="AW117" s="618"/>
      <c r="AX117" s="618"/>
      <c r="AY117" s="618"/>
      <c r="AZ117" s="2166"/>
      <c r="BA117" s="618"/>
      <c r="BB117" s="618"/>
      <c r="BC117" s="618"/>
      <c r="BD117" s="2166"/>
      <c r="BE117" s="618"/>
      <c r="BF117" s="618"/>
      <c r="BG117" s="618"/>
    </row>
    <row r="118" spans="1:59" hidden="1">
      <c r="A118" s="14" t="s">
        <v>260</v>
      </c>
      <c r="B118" s="334"/>
      <c r="C118" s="334"/>
      <c r="D118" s="334"/>
      <c r="E118" s="1402">
        <f>E116*E117</f>
        <v>168.56</v>
      </c>
      <c r="F118" s="1402"/>
      <c r="G118" s="1402">
        <f>H118-E118</f>
        <v>132.34569512807246</v>
      </c>
      <c r="H118" s="1402">
        <f>H116*H117</f>
        <v>300.90569512807247</v>
      </c>
      <c r="I118" s="618"/>
      <c r="J118" s="618"/>
      <c r="K118" s="618"/>
      <c r="L118" s="618"/>
      <c r="M118" s="618"/>
      <c r="N118" s="618"/>
      <c r="O118" s="618"/>
      <c r="P118" s="618"/>
      <c r="Q118" s="618"/>
      <c r="R118" s="618"/>
      <c r="S118" s="618"/>
      <c r="T118" s="618"/>
      <c r="U118" s="618"/>
      <c r="V118" s="618"/>
      <c r="W118" s="618"/>
      <c r="X118" s="618"/>
      <c r="Y118" s="670">
        <f>Y116-X116</f>
        <v>5710.2020799999991</v>
      </c>
      <c r="Z118" s="618"/>
      <c r="AA118" s="618"/>
      <c r="AB118" s="618"/>
      <c r="AC118" s="618"/>
      <c r="AD118" s="618"/>
      <c r="AE118" s="618"/>
      <c r="AF118" s="618"/>
      <c r="AG118" s="618"/>
      <c r="AH118" s="618"/>
      <c r="AI118" s="618"/>
      <c r="AJ118" s="618"/>
      <c r="AK118" s="618"/>
      <c r="AL118" s="618"/>
      <c r="AM118" s="618"/>
      <c r="AN118" s="618"/>
      <c r="AO118" s="618"/>
      <c r="AP118" s="618"/>
      <c r="AQ118" s="618"/>
      <c r="AR118" s="618"/>
      <c r="AS118" s="618"/>
      <c r="AT118" s="618"/>
      <c r="AU118" s="618"/>
      <c r="AV118" s="618"/>
      <c r="AW118" s="618"/>
      <c r="AX118" s="618"/>
      <c r="AY118" s="618"/>
      <c r="AZ118" s="2166"/>
      <c r="BA118" s="618"/>
      <c r="BB118" s="618"/>
      <c r="BC118" s="618"/>
      <c r="BD118" s="2166"/>
      <c r="BE118" s="618"/>
      <c r="BF118" s="618"/>
      <c r="BG118" s="618"/>
    </row>
    <row r="119" spans="1:59" ht="20.25" hidden="1">
      <c r="A119" s="334"/>
      <c r="B119" s="334"/>
      <c r="C119" s="334"/>
      <c r="D119" s="334"/>
      <c r="E119" s="334"/>
      <c r="F119" s="334"/>
      <c r="G119" s="1405">
        <f>G117/E117</f>
        <v>0.78515481210294535</v>
      </c>
      <c r="H119" s="334"/>
      <c r="I119" s="618"/>
      <c r="J119" s="618"/>
      <c r="K119" s="618"/>
      <c r="L119" s="618"/>
      <c r="M119" s="618"/>
      <c r="N119" s="618"/>
      <c r="O119" s="618"/>
      <c r="P119" s="618"/>
      <c r="Q119" s="618"/>
      <c r="R119" s="618"/>
      <c r="S119" s="618"/>
      <c r="T119" s="618"/>
      <c r="U119" s="618"/>
      <c r="V119" s="618"/>
      <c r="W119" s="618"/>
      <c r="X119" s="618"/>
      <c r="Y119" s="618"/>
      <c r="Z119" s="618"/>
      <c r="AA119" s="618"/>
      <c r="AB119" s="618"/>
      <c r="AC119" s="618"/>
      <c r="AD119" s="618"/>
      <c r="AE119" s="618"/>
      <c r="AF119" s="618"/>
      <c r="AG119" s="618"/>
      <c r="AH119" s="618"/>
      <c r="AI119" s="618"/>
      <c r="AJ119" s="618"/>
      <c r="AK119" s="618"/>
      <c r="AL119" s="618"/>
      <c r="AM119" s="618"/>
      <c r="AN119" s="618"/>
      <c r="AO119" s="618"/>
      <c r="AP119" s="618"/>
      <c r="AQ119" s="618"/>
      <c r="AR119" s="618"/>
      <c r="AS119" s="618"/>
      <c r="AT119" s="618"/>
      <c r="AU119" s="618"/>
      <c r="AV119" s="618"/>
      <c r="AW119" s="618"/>
      <c r="AX119" s="618"/>
      <c r="AY119" s="618"/>
      <c r="AZ119" s="2166"/>
      <c r="BA119" s="618"/>
      <c r="BB119" s="618"/>
      <c r="BC119" s="618"/>
      <c r="BD119" s="2166"/>
      <c r="BE119" s="618"/>
      <c r="BF119" s="618"/>
      <c r="BG119" s="618"/>
    </row>
    <row r="120" spans="1:59" hidden="1">
      <c r="A120" s="618"/>
      <c r="B120" s="618"/>
      <c r="C120" s="618"/>
      <c r="D120" s="618"/>
      <c r="E120" s="618"/>
      <c r="F120" s="618"/>
      <c r="G120" s="618"/>
      <c r="H120" s="618"/>
      <c r="I120" s="618"/>
      <c r="J120" s="618"/>
      <c r="K120" s="618"/>
      <c r="L120" s="618"/>
      <c r="M120" s="618"/>
      <c r="N120" s="618"/>
      <c r="O120" s="618"/>
      <c r="P120" s="618"/>
      <c r="Q120" s="618"/>
      <c r="R120" s="618"/>
      <c r="S120" s="618"/>
      <c r="T120" s="618"/>
      <c r="U120" s="618"/>
      <c r="V120" s="618"/>
      <c r="W120" s="618"/>
      <c r="X120" s="618"/>
      <c r="Y120" s="618"/>
      <c r="Z120" s="618"/>
      <c r="AA120" s="618"/>
      <c r="AB120" s="618"/>
      <c r="AC120" s="618"/>
      <c r="AD120" s="618"/>
      <c r="AE120" s="618"/>
      <c r="AF120" s="618"/>
      <c r="AG120" s="618"/>
      <c r="AH120" s="618"/>
      <c r="AI120" s="618"/>
      <c r="AJ120" s="618"/>
      <c r="AK120" s="618"/>
      <c r="AL120" s="618"/>
      <c r="AM120" s="618"/>
      <c r="AN120" s="618"/>
      <c r="AO120" s="618"/>
      <c r="AP120" s="618"/>
      <c r="AQ120" s="618"/>
      <c r="AR120" s="618"/>
      <c r="AS120" s="618"/>
      <c r="AT120" s="618"/>
      <c r="AU120" s="618"/>
      <c r="AV120" s="618"/>
      <c r="AW120" s="618"/>
      <c r="AX120" s="618"/>
      <c r="AY120" s="618"/>
      <c r="AZ120" s="2166"/>
      <c r="BA120" s="618"/>
      <c r="BB120" s="618"/>
      <c r="BC120" s="618"/>
      <c r="BD120" s="2166"/>
      <c r="BE120" s="618"/>
      <c r="BF120" s="618"/>
      <c r="BG120" s="618"/>
    </row>
    <row r="121" spans="1:59" ht="25.5" hidden="1">
      <c r="A121" s="334" t="s">
        <v>282</v>
      </c>
      <c r="B121" s="334"/>
      <c r="C121" s="334"/>
      <c r="D121" s="334"/>
      <c r="E121" s="338" t="s">
        <v>283</v>
      </c>
      <c r="F121" s="338"/>
      <c r="G121" s="338" t="s">
        <v>284</v>
      </c>
      <c r="H121" s="5357" t="s">
        <v>246</v>
      </c>
      <c r="I121" s="5357"/>
      <c r="J121" s="618"/>
      <c r="K121" s="618"/>
      <c r="L121" s="618"/>
      <c r="M121" s="618"/>
      <c r="N121" s="618"/>
      <c r="O121" s="618"/>
      <c r="P121" s="618"/>
      <c r="Q121" s="618"/>
      <c r="R121" s="618"/>
      <c r="S121" s="618"/>
      <c r="T121" s="618"/>
      <c r="U121" s="618"/>
      <c r="V121" s="618"/>
      <c r="W121" s="618"/>
      <c r="X121" s="618"/>
      <c r="Y121" s="618"/>
      <c r="Z121" s="670" t="e">
        <f>#REF!-#REF!</f>
        <v>#REF!</v>
      </c>
      <c r="AA121" s="618"/>
      <c r="AB121" s="618"/>
      <c r="AC121" s="618"/>
      <c r="AD121" s="618"/>
      <c r="AE121" s="618"/>
      <c r="AF121" s="618"/>
      <c r="AG121" s="618"/>
      <c r="AH121" s="618"/>
      <c r="AI121" s="618"/>
      <c r="AJ121" s="618"/>
      <c r="AK121" s="618"/>
      <c r="AL121" s="618"/>
      <c r="AM121" s="618"/>
      <c r="AN121" s="618"/>
      <c r="AO121" s="618"/>
      <c r="AP121" s="618"/>
      <c r="AQ121" s="618"/>
      <c r="AR121" s="618"/>
      <c r="AS121" s="618"/>
      <c r="AT121" s="618"/>
      <c r="AU121" s="618"/>
      <c r="AV121" s="618"/>
      <c r="AW121" s="618"/>
      <c r="AX121" s="618"/>
      <c r="AY121" s="618"/>
      <c r="AZ121" s="2166"/>
      <c r="BA121" s="618"/>
      <c r="BB121" s="618"/>
      <c r="BC121" s="618"/>
      <c r="BD121" s="2166"/>
      <c r="BE121" s="618"/>
      <c r="BF121" s="618"/>
      <c r="BG121" s="618"/>
    </row>
    <row r="122" spans="1:59" hidden="1">
      <c r="A122" s="334" t="s">
        <v>285</v>
      </c>
      <c r="B122" s="334"/>
      <c r="C122" s="334"/>
      <c r="D122" s="334"/>
      <c r="E122" s="1402">
        <v>0</v>
      </c>
      <c r="F122" s="334"/>
      <c r="G122" s="334"/>
      <c r="H122" s="5357"/>
      <c r="I122" s="5357"/>
      <c r="J122" s="618"/>
      <c r="K122" s="618"/>
      <c r="L122" s="618"/>
      <c r="M122" s="618"/>
      <c r="N122" s="618"/>
      <c r="O122" s="618"/>
      <c r="P122" s="618"/>
      <c r="Q122" s="618"/>
      <c r="R122" s="618"/>
      <c r="S122" s="618"/>
      <c r="T122" s="618"/>
      <c r="U122" s="618"/>
      <c r="V122" s="618"/>
      <c r="W122" s="618"/>
      <c r="X122" s="618"/>
      <c r="Y122" s="618"/>
      <c r="Z122" s="618"/>
      <c r="AA122" s="618"/>
      <c r="AB122" s="618"/>
      <c r="AC122" s="618"/>
      <c r="AD122" s="618"/>
      <c r="AE122" s="618"/>
      <c r="AF122" s="618"/>
      <c r="AG122" s="618"/>
      <c r="AH122" s="618"/>
      <c r="AI122" s="618"/>
      <c r="AJ122" s="618"/>
      <c r="AK122" s="618"/>
      <c r="AL122" s="618"/>
      <c r="AM122" s="618"/>
      <c r="AN122" s="618"/>
      <c r="AO122" s="618"/>
      <c r="AP122" s="618"/>
      <c r="AQ122" s="618"/>
      <c r="AR122" s="618"/>
      <c r="AS122" s="618"/>
      <c r="AT122" s="618"/>
      <c r="AU122" s="618"/>
      <c r="AV122" s="618"/>
      <c r="AW122" s="618"/>
      <c r="AX122" s="618"/>
      <c r="AY122" s="618"/>
      <c r="AZ122" s="2166"/>
      <c r="BA122" s="618"/>
      <c r="BB122" s="618"/>
      <c r="BC122" s="618"/>
      <c r="BD122" s="2166"/>
      <c r="BE122" s="618"/>
      <c r="BF122" s="618"/>
      <c r="BG122" s="618"/>
    </row>
    <row r="123" spans="1:59" ht="31.5" hidden="1" customHeight="1">
      <c r="A123" s="334" t="s">
        <v>286</v>
      </c>
      <c r="B123" s="334"/>
      <c r="C123" s="334"/>
      <c r="D123" s="334"/>
      <c r="E123" s="1402">
        <v>0</v>
      </c>
      <c r="F123" s="334"/>
      <c r="G123" s="1403"/>
      <c r="H123" s="5360"/>
      <c r="I123" s="5361"/>
      <c r="J123" s="618"/>
      <c r="K123" s="618"/>
      <c r="L123" s="618"/>
      <c r="M123" s="618"/>
      <c r="N123" s="618"/>
      <c r="O123" s="618"/>
      <c r="P123" s="618"/>
      <c r="Q123" s="618" t="s">
        <v>323</v>
      </c>
      <c r="R123" s="618"/>
      <c r="S123" s="618"/>
      <c r="T123" s="618"/>
      <c r="U123" s="618"/>
      <c r="V123" s="618"/>
      <c r="W123" s="618"/>
      <c r="X123" s="618"/>
      <c r="Y123" s="618"/>
      <c r="Z123" s="618"/>
      <c r="AA123" s="618"/>
      <c r="AB123" s="618"/>
      <c r="AC123" s="618"/>
      <c r="AD123" s="618"/>
      <c r="AE123" s="618"/>
      <c r="AF123" s="618"/>
      <c r="AG123" s="618"/>
      <c r="AH123" s="618"/>
      <c r="AI123" s="618"/>
      <c r="AJ123" s="618"/>
      <c r="AK123" s="618"/>
      <c r="AL123" s="618"/>
      <c r="AM123" s="618"/>
      <c r="AN123" s="618"/>
      <c r="AO123" s="618"/>
      <c r="AP123" s="618"/>
      <c r="AQ123" s="618"/>
      <c r="AR123" s="618"/>
      <c r="AS123" s="618"/>
      <c r="AT123" s="618"/>
      <c r="AU123" s="618"/>
      <c r="AV123" s="618"/>
      <c r="AW123" s="618"/>
      <c r="AX123" s="618"/>
      <c r="AY123" s="618"/>
      <c r="AZ123" s="2166"/>
      <c r="BA123" s="618"/>
      <c r="BB123" s="618"/>
      <c r="BC123" s="618"/>
      <c r="BD123" s="2166"/>
      <c r="BE123" s="618"/>
      <c r="BF123" s="618"/>
      <c r="BG123" s="618"/>
    </row>
    <row r="124" spans="1:59" hidden="1">
      <c r="A124" s="334" t="s">
        <v>287</v>
      </c>
      <c r="B124" s="334"/>
      <c r="C124" s="334"/>
      <c r="D124" s="334"/>
      <c r="E124" s="1402">
        <v>0</v>
      </c>
      <c r="F124" s="334"/>
      <c r="G124" s="334"/>
      <c r="H124" s="5357"/>
      <c r="I124" s="5357"/>
      <c r="J124" s="618"/>
      <c r="K124" s="618"/>
      <c r="L124" s="618"/>
      <c r="M124" s="618"/>
      <c r="N124" s="618"/>
      <c r="O124" s="618"/>
      <c r="P124" s="618"/>
      <c r="Q124" s="618"/>
      <c r="R124" s="618"/>
      <c r="S124" s="618"/>
      <c r="T124" s="618" t="s">
        <v>261</v>
      </c>
      <c r="U124" s="618" t="s">
        <v>262</v>
      </c>
      <c r="V124" s="618"/>
      <c r="W124" s="618"/>
      <c r="X124" s="618"/>
      <c r="Y124" s="618"/>
      <c r="Z124" s="618"/>
      <c r="AA124" s="618"/>
      <c r="AB124" s="618"/>
      <c r="AC124" s="618"/>
      <c r="AD124" s="618"/>
      <c r="AE124" s="618"/>
      <c r="AF124" s="618"/>
      <c r="AG124" s="618"/>
      <c r="AH124" s="618"/>
      <c r="AI124" s="618"/>
      <c r="AJ124" s="618"/>
      <c r="AK124" s="618"/>
      <c r="AL124" s="618"/>
      <c r="AM124" s="618"/>
      <c r="AN124" s="618"/>
      <c r="AO124" s="618"/>
      <c r="AP124" s="618"/>
      <c r="AQ124" s="618"/>
      <c r="AR124" s="618"/>
      <c r="AS124" s="618"/>
      <c r="AT124" s="618"/>
      <c r="AU124" s="618"/>
      <c r="AV124" s="618"/>
      <c r="AW124" s="618"/>
      <c r="AX124" s="618"/>
      <c r="AY124" s="618"/>
      <c r="AZ124" s="2166"/>
      <c r="BA124" s="618"/>
      <c r="BB124" s="618"/>
      <c r="BC124" s="618"/>
      <c r="BD124" s="2166"/>
      <c r="BE124" s="618"/>
      <c r="BF124" s="618"/>
      <c r="BG124" s="618"/>
    </row>
    <row r="125" spans="1:59" hidden="1">
      <c r="A125" s="334" t="s">
        <v>288</v>
      </c>
      <c r="B125" s="334"/>
      <c r="C125" s="334"/>
      <c r="D125" s="334"/>
      <c r="E125" s="1402">
        <v>0</v>
      </c>
      <c r="F125" s="334"/>
      <c r="G125" s="334"/>
      <c r="H125" s="5357"/>
      <c r="I125" s="5357"/>
      <c r="J125" s="618"/>
      <c r="K125" s="618"/>
      <c r="L125" s="618"/>
      <c r="M125" s="618"/>
      <c r="N125" s="618"/>
      <c r="O125" s="618"/>
      <c r="P125" s="618"/>
      <c r="Q125" s="618" t="s">
        <v>324</v>
      </c>
      <c r="R125" s="618"/>
      <c r="S125" s="618"/>
      <c r="T125" s="670" t="e">
        <f>E111</f>
        <v>#REF!</v>
      </c>
      <c r="U125" s="670" t="e">
        <f>G111</f>
        <v>#REF!</v>
      </c>
      <c r="V125" s="670"/>
      <c r="W125" s="618"/>
      <c r="X125" s="618"/>
      <c r="Y125" s="670" t="e">
        <f>E111</f>
        <v>#REF!</v>
      </c>
      <c r="Z125" s="618"/>
      <c r="AA125" s="618"/>
      <c r="AB125" s="618"/>
      <c r="AC125" s="618"/>
      <c r="AD125" s="618"/>
      <c r="AE125" s="618"/>
      <c r="AF125" s="618"/>
      <c r="AG125" s="618"/>
      <c r="AH125" s="618"/>
      <c r="AI125" s="618"/>
      <c r="AJ125" s="618"/>
      <c r="AK125" s="618"/>
      <c r="AL125" s="618"/>
      <c r="AM125" s="618"/>
      <c r="AN125" s="618"/>
      <c r="AO125" s="618"/>
      <c r="AP125" s="618"/>
      <c r="AQ125" s="618"/>
      <c r="AR125" s="618"/>
      <c r="AS125" s="618"/>
      <c r="AT125" s="618"/>
      <c r="AU125" s="618"/>
      <c r="AV125" s="618"/>
      <c r="AW125" s="618"/>
      <c r="AX125" s="618"/>
      <c r="AY125" s="618"/>
      <c r="AZ125" s="2166"/>
      <c r="BA125" s="618"/>
      <c r="BB125" s="618"/>
      <c r="BC125" s="618"/>
      <c r="BD125" s="2166"/>
      <c r="BE125" s="618"/>
      <c r="BF125" s="618"/>
      <c r="BG125" s="618"/>
    </row>
    <row r="126" spans="1:59" hidden="1">
      <c r="A126" s="334" t="s">
        <v>289</v>
      </c>
      <c r="B126" s="334"/>
      <c r="C126" s="334"/>
      <c r="D126" s="334"/>
      <c r="E126" s="1402">
        <v>0</v>
      </c>
      <c r="F126" s="334"/>
      <c r="G126" s="334"/>
      <c r="H126" s="5357"/>
      <c r="I126" s="5357"/>
      <c r="J126" s="618"/>
      <c r="K126" s="618"/>
      <c r="L126" s="618"/>
      <c r="M126" s="618"/>
      <c r="N126" s="618"/>
      <c r="O126" s="618"/>
      <c r="P126" s="618"/>
      <c r="Q126" s="618" t="s">
        <v>325</v>
      </c>
      <c r="R126" s="618"/>
      <c r="S126" s="618"/>
      <c r="T126" s="670">
        <f>X115</f>
        <v>19.14</v>
      </c>
      <c r="U126" s="618">
        <f>T126*1.042</f>
        <v>19.94388</v>
      </c>
      <c r="V126" s="618"/>
      <c r="W126" s="618"/>
      <c r="X126" s="618"/>
      <c r="Y126" s="670">
        <f>X115</f>
        <v>19.14</v>
      </c>
      <c r="Z126" s="618"/>
      <c r="AA126" s="618"/>
      <c r="AB126" s="618"/>
      <c r="AC126" s="618"/>
      <c r="AD126" s="618"/>
      <c r="AE126" s="618"/>
      <c r="AF126" s="618"/>
      <c r="AG126" s="618"/>
      <c r="AH126" s="618"/>
      <c r="AI126" s="618"/>
      <c r="AJ126" s="618"/>
      <c r="AK126" s="618"/>
      <c r="AL126" s="618"/>
      <c r="AM126" s="618"/>
      <c r="AN126" s="618"/>
      <c r="AO126" s="618"/>
      <c r="AP126" s="618"/>
      <c r="AQ126" s="618"/>
      <c r="AR126" s="618"/>
      <c r="AS126" s="618"/>
      <c r="AT126" s="618"/>
      <c r="AU126" s="618"/>
      <c r="AV126" s="618"/>
      <c r="AW126" s="618"/>
      <c r="AX126" s="618"/>
      <c r="AY126" s="618"/>
      <c r="AZ126" s="2166"/>
      <c r="BA126" s="618"/>
      <c r="BB126" s="618"/>
      <c r="BC126" s="618"/>
      <c r="BD126" s="2166"/>
      <c r="BE126" s="618"/>
      <c r="BF126" s="618"/>
      <c r="BG126" s="618"/>
    </row>
    <row r="127" spans="1:59" hidden="1">
      <c r="A127" s="334" t="s">
        <v>290</v>
      </c>
      <c r="B127" s="334"/>
      <c r="C127" s="334"/>
      <c r="D127" s="334"/>
      <c r="E127" s="1402">
        <v>0</v>
      </c>
      <c r="F127" s="334"/>
      <c r="G127" s="334"/>
      <c r="H127" s="5357"/>
      <c r="I127" s="5357"/>
      <c r="J127" s="618"/>
      <c r="K127" s="618"/>
      <c r="L127" s="618"/>
      <c r="M127" s="618"/>
      <c r="N127" s="618"/>
      <c r="O127" s="618"/>
      <c r="P127" s="618"/>
      <c r="Q127" s="618" t="s">
        <v>259</v>
      </c>
      <c r="R127" s="618"/>
      <c r="S127" s="618"/>
      <c r="T127" s="670">
        <f>X114</f>
        <v>1491.6933333333334</v>
      </c>
      <c r="U127" s="670">
        <f>Y114</f>
        <v>1491.6933333333334</v>
      </c>
      <c r="V127" s="670"/>
      <c r="W127" s="618"/>
      <c r="X127" s="618"/>
      <c r="Y127" s="670">
        <f>X114</f>
        <v>1491.6933333333334</v>
      </c>
      <c r="Z127" s="618"/>
      <c r="AA127" s="618"/>
      <c r="AB127" s="618"/>
      <c r="AC127" s="618"/>
      <c r="AD127" s="618"/>
      <c r="AE127" s="618"/>
      <c r="AF127" s="618"/>
      <c r="AG127" s="618"/>
      <c r="AH127" s="618"/>
      <c r="AI127" s="618"/>
      <c r="AJ127" s="618"/>
      <c r="AK127" s="618"/>
      <c r="AL127" s="618"/>
      <c r="AM127" s="618"/>
      <c r="AN127" s="618"/>
      <c r="AO127" s="618"/>
      <c r="AP127" s="618"/>
      <c r="AQ127" s="618"/>
      <c r="AR127" s="618"/>
      <c r="AS127" s="618"/>
      <c r="AT127" s="618"/>
      <c r="AU127" s="618"/>
      <c r="AV127" s="618"/>
      <c r="AW127" s="618"/>
      <c r="AX127" s="618"/>
      <c r="AY127" s="618"/>
      <c r="AZ127" s="2166"/>
      <c r="BA127" s="618"/>
      <c r="BB127" s="618"/>
      <c r="BC127" s="618"/>
      <c r="BD127" s="2166"/>
      <c r="BE127" s="618"/>
      <c r="BF127" s="618"/>
      <c r="BG127" s="618"/>
    </row>
    <row r="128" spans="1:59" hidden="1">
      <c r="A128" s="334" t="s">
        <v>291</v>
      </c>
      <c r="B128" s="334"/>
      <c r="C128" s="334"/>
      <c r="D128" s="334"/>
      <c r="E128" s="1402">
        <v>0</v>
      </c>
      <c r="F128" s="334"/>
      <c r="G128" s="334"/>
      <c r="H128" s="5357"/>
      <c r="I128" s="5357"/>
      <c r="J128" s="618"/>
      <c r="K128" s="618"/>
      <c r="L128" s="618"/>
      <c r="M128" s="618"/>
      <c r="N128" s="618"/>
      <c r="O128" s="618"/>
      <c r="P128" s="618"/>
      <c r="Q128" s="618"/>
      <c r="R128" s="618"/>
      <c r="S128" s="618"/>
      <c r="T128" s="618" t="e">
        <f>(T125-T126)*T127</f>
        <v>#REF!</v>
      </c>
      <c r="U128" s="618" t="e">
        <f>(U125-U126)*U127</f>
        <v>#REF!</v>
      </c>
      <c r="V128" s="618"/>
      <c r="W128" s="618" t="e">
        <f>T128+U128</f>
        <v>#REF!</v>
      </c>
      <c r="X128" s="618"/>
      <c r="Y128" s="618" t="e">
        <f>(Y125-Y126)*Y127</f>
        <v>#REF!</v>
      </c>
      <c r="Z128" s="618" t="e">
        <f>Y128+#REF!</f>
        <v>#REF!</v>
      </c>
      <c r="AA128" s="618"/>
      <c r="AB128" s="618"/>
      <c r="AC128" s="618"/>
      <c r="AD128" s="618"/>
      <c r="AE128" s="618"/>
      <c r="AF128" s="618"/>
      <c r="AG128" s="618"/>
      <c r="AH128" s="618"/>
      <c r="AI128" s="618"/>
      <c r="AJ128" s="618"/>
      <c r="AK128" s="618"/>
      <c r="AL128" s="618"/>
      <c r="AM128" s="618"/>
      <c r="AN128" s="618"/>
      <c r="AO128" s="618"/>
      <c r="AP128" s="618"/>
      <c r="AQ128" s="618"/>
      <c r="AR128" s="618"/>
      <c r="AS128" s="618"/>
      <c r="AT128" s="618"/>
      <c r="AU128" s="618"/>
      <c r="AV128" s="618"/>
      <c r="AW128" s="618"/>
      <c r="AX128" s="618"/>
      <c r="AY128" s="618"/>
      <c r="AZ128" s="2166"/>
      <c r="BA128" s="618"/>
      <c r="BB128" s="618"/>
      <c r="BC128" s="618"/>
      <c r="BD128" s="2166"/>
      <c r="BE128" s="618"/>
      <c r="BF128" s="618"/>
      <c r="BG128" s="618"/>
    </row>
    <row r="129" spans="1:59" hidden="1">
      <c r="A129" s="334" t="s">
        <v>292</v>
      </c>
      <c r="B129" s="334"/>
      <c r="C129" s="334"/>
      <c r="D129" s="334"/>
      <c r="E129" s="1402">
        <v>0</v>
      </c>
      <c r="F129" s="334"/>
      <c r="G129" s="334"/>
      <c r="H129" s="5357"/>
      <c r="I129" s="5357"/>
      <c r="J129" s="618"/>
      <c r="K129" s="618"/>
      <c r="L129" s="618"/>
      <c r="M129" s="618"/>
      <c r="N129" s="618"/>
      <c r="O129" s="618"/>
      <c r="P129" s="618"/>
      <c r="Q129" s="618"/>
      <c r="R129" s="618"/>
      <c r="S129" s="618"/>
      <c r="T129" s="618"/>
      <c r="U129" s="618"/>
      <c r="V129" s="618"/>
      <c r="W129" s="618"/>
      <c r="X129" s="618"/>
      <c r="Y129" s="618"/>
      <c r="Z129" s="618"/>
      <c r="AA129" s="618"/>
      <c r="AB129" s="618"/>
      <c r="AC129" s="618"/>
      <c r="AD129" s="618"/>
      <c r="AE129" s="618"/>
      <c r="AF129" s="618"/>
      <c r="AG129" s="618"/>
      <c r="AH129" s="618"/>
      <c r="AI129" s="618"/>
      <c r="AJ129" s="618"/>
      <c r="AK129" s="618"/>
      <c r="AL129" s="618"/>
      <c r="AM129" s="618"/>
      <c r="AN129" s="618"/>
      <c r="AO129" s="618"/>
      <c r="AP129" s="618"/>
      <c r="AQ129" s="618"/>
      <c r="AR129" s="618"/>
      <c r="AS129" s="618"/>
      <c r="AT129" s="618"/>
      <c r="AU129" s="618"/>
      <c r="AV129" s="618"/>
      <c r="AW129" s="618"/>
      <c r="AX129" s="618"/>
      <c r="AY129" s="618"/>
      <c r="AZ129" s="2166"/>
      <c r="BA129" s="618"/>
      <c r="BB129" s="618"/>
      <c r="BC129" s="618"/>
      <c r="BD129" s="2166"/>
      <c r="BE129" s="618"/>
      <c r="BF129" s="618"/>
      <c r="BG129" s="618"/>
    </row>
    <row r="130" spans="1:59" hidden="1">
      <c r="A130" s="334" t="s">
        <v>293</v>
      </c>
      <c r="B130" s="334"/>
      <c r="C130" s="334"/>
      <c r="D130" s="334"/>
      <c r="E130" s="1402">
        <f>SUM(E122:E129)</f>
        <v>0</v>
      </c>
      <c r="F130" s="334"/>
      <c r="G130" s="334"/>
      <c r="H130" s="5357"/>
      <c r="I130" s="5357"/>
      <c r="J130" s="618"/>
      <c r="K130" s="618"/>
      <c r="L130" s="618"/>
      <c r="M130" s="618"/>
      <c r="N130" s="618"/>
      <c r="O130" s="618"/>
      <c r="P130" s="618"/>
      <c r="Q130" s="618"/>
      <c r="R130" s="618"/>
      <c r="S130" s="618"/>
      <c r="T130" s="618"/>
      <c r="U130" s="618"/>
      <c r="V130" s="618"/>
      <c r="W130" s="618"/>
      <c r="X130" s="618"/>
      <c r="Y130" s="618"/>
      <c r="Z130" s="618"/>
      <c r="AA130" s="618"/>
      <c r="AB130" s="618"/>
      <c r="AC130" s="618"/>
      <c r="AD130" s="618"/>
      <c r="AE130" s="618"/>
      <c r="AF130" s="618"/>
      <c r="AG130" s="618"/>
      <c r="AH130" s="618"/>
      <c r="AI130" s="618"/>
      <c r="AJ130" s="618"/>
      <c r="AK130" s="618"/>
      <c r="AL130" s="618"/>
      <c r="AM130" s="618"/>
      <c r="AN130" s="618"/>
      <c r="AO130" s="618"/>
      <c r="AP130" s="618"/>
      <c r="AQ130" s="618"/>
      <c r="AR130" s="618"/>
      <c r="AS130" s="618"/>
      <c r="AT130" s="618"/>
      <c r="AU130" s="618"/>
      <c r="AV130" s="618"/>
      <c r="AW130" s="618"/>
      <c r="AX130" s="618"/>
      <c r="AY130" s="618"/>
      <c r="AZ130" s="2166"/>
      <c r="BA130" s="618"/>
      <c r="BB130" s="618"/>
      <c r="BC130" s="618"/>
      <c r="BD130" s="2166"/>
      <c r="BE130" s="618"/>
      <c r="BF130" s="618"/>
      <c r="BG130" s="618"/>
    </row>
    <row r="131" spans="1:59" hidden="1">
      <c r="A131" s="618"/>
      <c r="B131" s="618"/>
      <c r="C131" s="618"/>
      <c r="D131" s="618"/>
      <c r="E131" s="618"/>
      <c r="F131" s="618"/>
      <c r="G131" s="618"/>
      <c r="H131" s="618"/>
      <c r="I131" s="618"/>
      <c r="J131" s="618"/>
      <c r="K131" s="618"/>
      <c r="L131" s="618"/>
      <c r="M131" s="618"/>
      <c r="N131" s="618"/>
      <c r="O131" s="618"/>
      <c r="P131" s="618"/>
      <c r="Q131" s="618"/>
      <c r="R131" s="618"/>
      <c r="S131" s="618"/>
      <c r="T131" s="618"/>
      <c r="U131" s="618"/>
      <c r="V131" s="618"/>
      <c r="W131" s="618"/>
      <c r="X131" s="618"/>
      <c r="Y131" s="618"/>
      <c r="Z131" s="618"/>
      <c r="AA131" s="618"/>
      <c r="AB131" s="618"/>
      <c r="AC131" s="618"/>
      <c r="AD131" s="618"/>
      <c r="AE131" s="618"/>
      <c r="AF131" s="618"/>
      <c r="AG131" s="618"/>
      <c r="AH131" s="618"/>
      <c r="AI131" s="618"/>
      <c r="AJ131" s="618"/>
      <c r="AK131" s="618"/>
      <c r="AL131" s="618"/>
      <c r="AM131" s="618"/>
      <c r="AN131" s="618"/>
      <c r="AO131" s="618"/>
      <c r="AP131" s="618"/>
      <c r="AQ131" s="618"/>
      <c r="AR131" s="618"/>
      <c r="AS131" s="618"/>
      <c r="AT131" s="618"/>
      <c r="AU131" s="618"/>
      <c r="AV131" s="618"/>
      <c r="AW131" s="618"/>
      <c r="AX131" s="618"/>
      <c r="AY131" s="618"/>
      <c r="AZ131" s="2166"/>
      <c r="BA131" s="618"/>
      <c r="BB131" s="618"/>
      <c r="BC131" s="618"/>
      <c r="BD131" s="2166"/>
      <c r="BE131" s="618"/>
      <c r="BF131" s="618"/>
      <c r="BG131" s="618"/>
    </row>
  </sheetData>
  <mergeCells count="215">
    <mergeCell ref="BY4:CG4"/>
    <mergeCell ref="BY5:CA5"/>
    <mergeCell ref="CB5:CD5"/>
    <mergeCell ref="CE5:CG5"/>
    <mergeCell ref="BY6:BY7"/>
    <mergeCell ref="BZ6:CA6"/>
    <mergeCell ref="CB6:CB7"/>
    <mergeCell ref="CC6:CD6"/>
    <mergeCell ref="CE6:CE7"/>
    <mergeCell ref="CF6:CG6"/>
    <mergeCell ref="BU75:BX75"/>
    <mergeCell ref="BU76:BU77"/>
    <mergeCell ref="BV76:BV77"/>
    <mergeCell ref="BW76:BX76"/>
    <mergeCell ref="BQ74:BX74"/>
    <mergeCell ref="BH76:BH77"/>
    <mergeCell ref="AE74:AX74"/>
    <mergeCell ref="AV75:AX75"/>
    <mergeCell ref="AV76:AV77"/>
    <mergeCell ref="AW76:AX76"/>
    <mergeCell ref="BQ75:BT75"/>
    <mergeCell ref="BQ76:BQ77"/>
    <mergeCell ref="BR76:BR77"/>
    <mergeCell ref="BS76:BT76"/>
    <mergeCell ref="AQ76:AR76"/>
    <mergeCell ref="AS76:AS77"/>
    <mergeCell ref="AT76:AU76"/>
    <mergeCell ref="AF76:AF77"/>
    <mergeCell ref="AG76:AH76"/>
    <mergeCell ref="AY76:AY77"/>
    <mergeCell ref="AZ76:AZ77"/>
    <mergeCell ref="AP76:AP77"/>
    <mergeCell ref="BH74:BP75"/>
    <mergeCell ref="AY74:BF74"/>
    <mergeCell ref="K75:K77"/>
    <mergeCell ref="BH6:BH7"/>
    <mergeCell ref="BI6:BJ6"/>
    <mergeCell ref="BK6:BK7"/>
    <mergeCell ref="BL6:BM6"/>
    <mergeCell ref="BN6:BN7"/>
    <mergeCell ref="BO6:BP6"/>
    <mergeCell ref="BH4:BP5"/>
    <mergeCell ref="BQ4:BX4"/>
    <mergeCell ref="BG74:BG77"/>
    <mergeCell ref="BI76:BJ76"/>
    <mergeCell ref="BK76:BK77"/>
    <mergeCell ref="BL76:BM76"/>
    <mergeCell ref="BN76:BN77"/>
    <mergeCell ref="BO76:BP76"/>
    <mergeCell ref="BQ5:BT5"/>
    <mergeCell ref="BU5:BX5"/>
    <mergeCell ref="BQ6:BQ7"/>
    <mergeCell ref="BR6:BR7"/>
    <mergeCell ref="BS6:BT6"/>
    <mergeCell ref="BU6:BU7"/>
    <mergeCell ref="BV6:BV7"/>
    <mergeCell ref="BW6:BX6"/>
    <mergeCell ref="A72:CO72"/>
    <mergeCell ref="B74:B77"/>
    <mergeCell ref="C74:D74"/>
    <mergeCell ref="E74:F74"/>
    <mergeCell ref="G74:H74"/>
    <mergeCell ref="I74:M74"/>
    <mergeCell ref="N74:V74"/>
    <mergeCell ref="W74:AD74"/>
    <mergeCell ref="L75:L77"/>
    <mergeCell ref="M75:M77"/>
    <mergeCell ref="N75:N77"/>
    <mergeCell ref="O75:O77"/>
    <mergeCell ref="P75:P77"/>
    <mergeCell ref="Q75:Q77"/>
    <mergeCell ref="R75:R77"/>
    <mergeCell ref="W75:W77"/>
    <mergeCell ref="X75:X77"/>
    <mergeCell ref="C75:C77"/>
    <mergeCell ref="D75:D77"/>
    <mergeCell ref="E75:E77"/>
    <mergeCell ref="F75:F77"/>
    <mergeCell ref="G75:G77"/>
    <mergeCell ref="H75:H77"/>
    <mergeCell ref="I75:I77"/>
    <mergeCell ref="J75:J77"/>
    <mergeCell ref="AE75:AH75"/>
    <mergeCell ref="AI75:AL75"/>
    <mergeCell ref="AP75:AR75"/>
    <mergeCell ref="AS75:AU75"/>
    <mergeCell ref="AY75:BB75"/>
    <mergeCell ref="BC75:BF75"/>
    <mergeCell ref="S76:S77"/>
    <mergeCell ref="T76:T77"/>
    <mergeCell ref="Y76:Y77"/>
    <mergeCell ref="BA76:BB76"/>
    <mergeCell ref="BC76:BC77"/>
    <mergeCell ref="BD76:BD77"/>
    <mergeCell ref="BE76:BF76"/>
    <mergeCell ref="AI76:AI77"/>
    <mergeCell ref="AJ76:AJ77"/>
    <mergeCell ref="AC76:AD76"/>
    <mergeCell ref="V75:V77"/>
    <mergeCell ref="AK76:AL76"/>
    <mergeCell ref="Y75:AA75"/>
    <mergeCell ref="AB75:AD75"/>
    <mergeCell ref="AE76:AE77"/>
    <mergeCell ref="S75:T75"/>
    <mergeCell ref="U75:U77"/>
    <mergeCell ref="AV5:AX5"/>
    <mergeCell ref="AV6:AV7"/>
    <mergeCell ref="AW6:AX6"/>
    <mergeCell ref="W5:W7"/>
    <mergeCell ref="X5:X7"/>
    <mergeCell ref="Y6:Y7"/>
    <mergeCell ref="Z6:AA6"/>
    <mergeCell ref="Y5:AA5"/>
    <mergeCell ref="AY4:BF4"/>
    <mergeCell ref="AY6:AY7"/>
    <mergeCell ref="AZ6:AZ7"/>
    <mergeCell ref="BC5:BF5"/>
    <mergeCell ref="BC6:BC7"/>
    <mergeCell ref="BD6:BD7"/>
    <mergeCell ref="AP6:AP7"/>
    <mergeCell ref="AQ6:AR6"/>
    <mergeCell ref="BA6:BB6"/>
    <mergeCell ref="B4:B7"/>
    <mergeCell ref="C5:C7"/>
    <mergeCell ref="E4:F4"/>
    <mergeCell ref="C4:D4"/>
    <mergeCell ref="F5:F7"/>
    <mergeCell ref="D5:D7"/>
    <mergeCell ref="E5:E7"/>
    <mergeCell ref="K5:K7"/>
    <mergeCell ref="I5:I7"/>
    <mergeCell ref="G5:G7"/>
    <mergeCell ref="J5:J7"/>
    <mergeCell ref="L5:L7"/>
    <mergeCell ref="G4:H4"/>
    <mergeCell ref="W4:AD4"/>
    <mergeCell ref="AG6:AH6"/>
    <mergeCell ref="AI5:AL5"/>
    <mergeCell ref="AI6:AI7"/>
    <mergeCell ref="AJ6:AJ7"/>
    <mergeCell ref="AT6:AU6"/>
    <mergeCell ref="AB5:AD5"/>
    <mergeCell ref="AB6:AB7"/>
    <mergeCell ref="AC6:AD6"/>
    <mergeCell ref="AK6:AL6"/>
    <mergeCell ref="S5:T5"/>
    <mergeCell ref="S6:S7"/>
    <mergeCell ref="T6:T7"/>
    <mergeCell ref="Q5:Q7"/>
    <mergeCell ref="N5:N7"/>
    <mergeCell ref="O5:O7"/>
    <mergeCell ref="N4:V4"/>
    <mergeCell ref="V5:V7"/>
    <mergeCell ref="AE5:AH5"/>
    <mergeCell ref="AE6:AE7"/>
    <mergeCell ref="AF6:AF7"/>
    <mergeCell ref="AE4:AX4"/>
    <mergeCell ref="H129:I129"/>
    <mergeCell ref="H130:I130"/>
    <mergeCell ref="A108:H108"/>
    <mergeCell ref="AS6:AS7"/>
    <mergeCell ref="BE6:BF6"/>
    <mergeCell ref="Z76:AA76"/>
    <mergeCell ref="AB76:AB77"/>
    <mergeCell ref="H123:I123"/>
    <mergeCell ref="H124:I124"/>
    <mergeCell ref="H125:I125"/>
    <mergeCell ref="H126:I126"/>
    <mergeCell ref="H121:I121"/>
    <mergeCell ref="H122:I122"/>
    <mergeCell ref="U5:U7"/>
    <mergeCell ref="AP5:AR5"/>
    <mergeCell ref="AS5:AU5"/>
    <mergeCell ref="AY5:BB5"/>
    <mergeCell ref="K108:S108"/>
    <mergeCell ref="R5:R7"/>
    <mergeCell ref="P5:P7"/>
    <mergeCell ref="H127:I127"/>
    <mergeCell ref="H128:I128"/>
    <mergeCell ref="A74:A77"/>
    <mergeCell ref="A4:A7"/>
    <mergeCell ref="A1:CO1"/>
    <mergeCell ref="A2:CO2"/>
    <mergeCell ref="CH74:CO74"/>
    <mergeCell ref="CH75:CK75"/>
    <mergeCell ref="CL75:CO75"/>
    <mergeCell ref="CH76:CH77"/>
    <mergeCell ref="CI76:CI77"/>
    <mergeCell ref="CJ76:CK76"/>
    <mergeCell ref="CL76:CL77"/>
    <mergeCell ref="CM76:CM77"/>
    <mergeCell ref="CN76:CO76"/>
    <mergeCell ref="CH4:CO4"/>
    <mergeCell ref="CH5:CK5"/>
    <mergeCell ref="CL5:CO5"/>
    <mergeCell ref="CH6:CH7"/>
    <mergeCell ref="CI6:CI7"/>
    <mergeCell ref="CJ6:CK6"/>
    <mergeCell ref="CL6:CL7"/>
    <mergeCell ref="CM6:CM7"/>
    <mergeCell ref="CN6:CO6"/>
    <mergeCell ref="BG4:BG7"/>
    <mergeCell ref="I4:M4"/>
    <mergeCell ref="H5:H7"/>
    <mergeCell ref="M5:M7"/>
    <mergeCell ref="BY74:CG74"/>
    <mergeCell ref="BY75:CA75"/>
    <mergeCell ref="CB75:CD75"/>
    <mergeCell ref="CE75:CG75"/>
    <mergeCell ref="BY76:BY77"/>
    <mergeCell ref="BZ76:CA76"/>
    <mergeCell ref="CB76:CB77"/>
    <mergeCell ref="CC76:CD76"/>
    <mergeCell ref="CE76:CE77"/>
    <mergeCell ref="CF76:CG76"/>
  </mergeCells>
  <phoneticPr fontId="9" type="noConversion"/>
  <printOptions horizontalCentered="1" verticalCentered="1"/>
  <pageMargins left="0.19685039370078741" right="0.15748031496062992" top="0.19685039370078741" bottom="0.19685039370078741" header="0" footer="0"/>
  <pageSetup paperSize="9" scale="29" orientation="landscape" r:id="rId1"/>
  <headerFooter alignWithMargins="0"/>
  <rowBreaks count="1" manualBreakCount="1">
    <brk id="41" max="92" man="1"/>
  </rowBreaks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CZ80"/>
  <sheetViews>
    <sheetView view="pageBreakPreview" topLeftCell="A60" zoomScale="60" zoomScaleNormal="65" zoomScalePageLayoutView="80" workbookViewId="0">
      <pane xSplit="10" topLeftCell="K1" activePane="topRight" state="frozen"/>
      <selection activeCell="A40" sqref="A40"/>
      <selection pane="topRight" activeCell="CZ58" sqref="CZ58"/>
    </sheetView>
  </sheetViews>
  <sheetFormatPr defaultRowHeight="12.75"/>
  <cols>
    <col min="1" max="1" width="38.5703125" customWidth="1"/>
    <col min="2" max="2" width="9.7109375" hidden="1" customWidth="1"/>
    <col min="3" max="3" width="8.28515625" hidden="1" customWidth="1"/>
    <col min="4" max="4" width="11.5703125" hidden="1" customWidth="1"/>
    <col min="5" max="5" width="7.85546875" hidden="1" customWidth="1"/>
    <col min="6" max="6" width="7.7109375" hidden="1" customWidth="1"/>
    <col min="7" max="7" width="9.85546875" hidden="1" customWidth="1"/>
    <col min="8" max="8" width="9.140625" hidden="1" customWidth="1"/>
    <col min="9" max="9" width="8" hidden="1" customWidth="1"/>
    <col min="10" max="10" width="12.85546875" hidden="1" customWidth="1"/>
    <col min="11" max="11" width="13.5703125" hidden="1" customWidth="1"/>
    <col min="12" max="12" width="11.28515625" hidden="1" customWidth="1"/>
    <col min="13" max="13" width="13" hidden="1" customWidth="1"/>
    <col min="14" max="14" width="7" hidden="1" customWidth="1"/>
    <col min="15" max="15" width="13.5703125" hidden="1" customWidth="1"/>
    <col min="16" max="16" width="11.7109375" hidden="1" customWidth="1"/>
    <col min="17" max="17" width="13.5703125" hidden="1" customWidth="1"/>
    <col min="18" max="18" width="10.85546875" hidden="1" customWidth="1"/>
    <col min="19" max="19" width="9.7109375" hidden="1" customWidth="1"/>
    <col min="20" max="20" width="10.140625" hidden="1" customWidth="1"/>
    <col min="21" max="21" width="0" hidden="1" customWidth="1"/>
    <col min="22" max="22" width="12.140625" hidden="1" customWidth="1"/>
    <col min="23" max="23" width="0" hidden="1" customWidth="1"/>
    <col min="24" max="24" width="13.5703125" hidden="1" customWidth="1"/>
    <col min="25" max="25" width="11.85546875" hidden="1" customWidth="1"/>
    <col min="26" max="26" width="12.140625" hidden="1" customWidth="1"/>
    <col min="27" max="27" width="0" hidden="1" customWidth="1"/>
    <col min="28" max="28" width="13.5703125" hidden="1" customWidth="1"/>
    <col min="29" max="30" width="12.140625" hidden="1" customWidth="1"/>
    <col min="31" max="31" width="13.5703125" hidden="1" customWidth="1"/>
    <col min="32" max="32" width="12.140625" hidden="1" customWidth="1"/>
    <col min="33" max="33" width="12.85546875" hidden="1" customWidth="1"/>
    <col min="34" max="34" width="13.5703125" hidden="1" customWidth="1"/>
    <col min="35" max="35" width="11.85546875" hidden="1" customWidth="1"/>
    <col min="36" max="36" width="12.85546875" hidden="1" customWidth="1"/>
    <col min="37" max="37" width="12.28515625" hidden="1" customWidth="1"/>
    <col min="38" max="38" width="13.5703125" hidden="1" customWidth="1"/>
    <col min="39" max="39" width="11.140625" hidden="1" customWidth="1"/>
    <col min="40" max="40" width="12.140625" hidden="1" customWidth="1"/>
    <col min="41" max="42" width="11.5703125" hidden="1" customWidth="1"/>
    <col min="43" max="43" width="12.140625" hidden="1" customWidth="1"/>
    <col min="44" max="44" width="13.7109375" hidden="1" customWidth="1"/>
    <col min="45" max="45" width="12.5703125" hidden="1" customWidth="1"/>
    <col min="46" max="46" width="14.28515625" hidden="1" customWidth="1"/>
    <col min="47" max="47" width="13.7109375" hidden="1" customWidth="1"/>
    <col min="48" max="49" width="12.140625" hidden="1" customWidth="1"/>
    <col min="50" max="50" width="13.5703125" hidden="1" customWidth="1"/>
    <col min="51" max="51" width="12.140625" hidden="1" customWidth="1"/>
    <col min="52" max="52" width="13.140625" hidden="1" customWidth="1"/>
    <col min="53" max="53" width="12.28515625" hidden="1" customWidth="1"/>
    <col min="54" max="54" width="13.5703125" customWidth="1"/>
    <col min="55" max="55" width="12" customWidth="1"/>
    <col min="56" max="56" width="13.5703125" customWidth="1"/>
    <col min="57" max="58" width="11.5703125" hidden="1" customWidth="1"/>
    <col min="59" max="59" width="12" hidden="1" customWidth="1"/>
    <col min="60" max="60" width="13.5703125" customWidth="1"/>
    <col min="61" max="61" width="12" customWidth="1"/>
    <col min="62" max="62" width="13.5703125" customWidth="1"/>
    <col min="63" max="64" width="11.5703125" hidden="1" customWidth="1"/>
    <col min="65" max="65" width="12" hidden="1" customWidth="1"/>
    <col min="66" max="66" width="13.5703125" customWidth="1"/>
    <col min="67" max="67" width="12" customWidth="1"/>
    <col min="68" max="68" width="13.5703125" customWidth="1"/>
    <col min="69" max="69" width="14.42578125" hidden="1" customWidth="1"/>
    <col min="70" max="70" width="11.5703125" hidden="1" customWidth="1"/>
    <col min="71" max="71" width="12" hidden="1" customWidth="1"/>
    <col min="72" max="74" width="13.5703125" customWidth="1"/>
    <col min="75" max="80" width="13.5703125" hidden="1" customWidth="1"/>
    <col min="81" max="104" width="13.5703125" customWidth="1"/>
  </cols>
  <sheetData>
    <row r="1" spans="1:41" hidden="1">
      <c r="A1" s="5"/>
      <c r="B1" s="5"/>
      <c r="C1" s="5"/>
      <c r="D1" s="5"/>
      <c r="E1" s="5"/>
      <c r="F1" s="5"/>
      <c r="G1" s="5"/>
      <c r="H1" s="5"/>
    </row>
    <row r="2" spans="1:41" hidden="1">
      <c r="A2" s="5"/>
      <c r="B2" s="5"/>
      <c r="C2" s="5"/>
      <c r="D2" s="5"/>
      <c r="E2" s="5"/>
      <c r="F2" s="5"/>
      <c r="G2" s="5"/>
      <c r="H2" s="5"/>
    </row>
    <row r="3" spans="1:41" ht="18.75" hidden="1">
      <c r="A3" s="5454" t="s">
        <v>245</v>
      </c>
      <c r="B3" s="5454"/>
      <c r="C3" s="5454"/>
      <c r="D3" s="5454"/>
      <c r="E3" s="5454"/>
      <c r="F3" s="5454"/>
      <c r="G3" s="5454"/>
      <c r="H3" s="5454"/>
      <c r="I3" s="5454"/>
      <c r="J3" s="5454"/>
      <c r="K3" s="5454"/>
      <c r="L3" s="5454"/>
      <c r="M3" s="5454"/>
      <c r="N3" s="5454"/>
      <c r="O3" s="5454"/>
      <c r="P3" s="5454"/>
      <c r="Q3" s="5454"/>
      <c r="R3" s="5454"/>
      <c r="S3" s="5454"/>
      <c r="T3" s="5454"/>
      <c r="U3" s="5454"/>
      <c r="V3" s="5454"/>
      <c r="W3" s="5454"/>
      <c r="X3" s="5454"/>
      <c r="Y3" s="5454"/>
      <c r="Z3" s="5454"/>
      <c r="AA3" s="5454"/>
      <c r="AB3" s="5454"/>
      <c r="AC3" s="5454"/>
      <c r="AD3" s="5454"/>
      <c r="AE3" s="5454"/>
      <c r="AF3" s="5454"/>
      <c r="AG3" s="5454"/>
      <c r="AH3" s="5454"/>
      <c r="AI3" s="5454"/>
      <c r="AJ3" s="5454"/>
      <c r="AK3" s="5454"/>
      <c r="AL3" s="5454"/>
    </row>
    <row r="4" spans="1:41" ht="15.75" hidden="1">
      <c r="A4" s="60"/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</row>
    <row r="5" spans="1:41" ht="15.75" hidden="1">
      <c r="A5" s="5455"/>
      <c r="B5" s="89"/>
      <c r="C5" s="89"/>
      <c r="D5" s="89"/>
      <c r="E5" s="89"/>
      <c r="F5" s="89"/>
      <c r="G5" s="89"/>
      <c r="H5" s="5456" t="s">
        <v>59</v>
      </c>
      <c r="I5" s="5456"/>
      <c r="J5" s="5456"/>
      <c r="K5" s="5456" t="s">
        <v>67</v>
      </c>
      <c r="L5" s="5456"/>
      <c r="M5" s="5456"/>
      <c r="N5" s="5456"/>
      <c r="O5" s="5456" t="s">
        <v>95</v>
      </c>
      <c r="P5" s="5456"/>
      <c r="Q5" s="5456"/>
      <c r="R5" s="5457" t="s">
        <v>214</v>
      </c>
      <c r="S5" s="5458"/>
      <c r="T5" s="5458"/>
      <c r="U5" s="5459"/>
      <c r="V5" s="5463" t="s">
        <v>163</v>
      </c>
      <c r="W5" s="5463"/>
      <c r="X5" s="5463"/>
      <c r="Y5" s="5463"/>
      <c r="Z5" s="5463"/>
      <c r="AA5" s="5463"/>
      <c r="AB5" s="5463"/>
      <c r="AC5" s="5463"/>
      <c r="AD5" s="5463"/>
      <c r="AE5" s="5464"/>
      <c r="AF5" s="5464"/>
      <c r="AG5" s="5464"/>
      <c r="AH5" s="5463"/>
      <c r="AI5" s="5463"/>
      <c r="AJ5" s="5463"/>
      <c r="AK5" s="5463"/>
      <c r="AL5" s="5463"/>
      <c r="AM5" s="5463"/>
      <c r="AN5" s="5463"/>
      <c r="AO5" s="5463"/>
    </row>
    <row r="6" spans="1:41" ht="12.75" hidden="1" customHeight="1">
      <c r="A6" s="5455"/>
      <c r="B6" s="2198"/>
      <c r="C6" s="90" t="s">
        <v>134</v>
      </c>
      <c r="D6" s="90"/>
      <c r="E6" s="2198"/>
      <c r="F6" s="90" t="s">
        <v>135</v>
      </c>
      <c r="G6" s="90"/>
      <c r="H6" s="5456"/>
      <c r="I6" s="5456"/>
      <c r="J6" s="5456"/>
      <c r="K6" s="5456"/>
      <c r="L6" s="5456"/>
      <c r="M6" s="5456"/>
      <c r="N6" s="5456"/>
      <c r="O6" s="5456"/>
      <c r="P6" s="5456"/>
      <c r="Q6" s="5456"/>
      <c r="R6" s="5460"/>
      <c r="S6" s="5461"/>
      <c r="T6" s="5461"/>
      <c r="U6" s="5462"/>
      <c r="V6" s="5465" t="s">
        <v>126</v>
      </c>
      <c r="W6" s="5465"/>
      <c r="X6" s="5465"/>
      <c r="Y6" s="5465"/>
      <c r="Z6" s="5465" t="s">
        <v>127</v>
      </c>
      <c r="AA6" s="5465"/>
      <c r="AB6" s="5465"/>
      <c r="AC6" s="5465"/>
      <c r="AD6" s="5456" t="s">
        <v>240</v>
      </c>
      <c r="AE6" s="5466"/>
      <c r="AF6" s="5466"/>
      <c r="AG6" s="5466"/>
      <c r="AH6" s="5456"/>
      <c r="AI6" s="5456"/>
      <c r="AJ6" s="5467" t="s">
        <v>244</v>
      </c>
      <c r="AK6" s="5467"/>
      <c r="AL6" s="5467"/>
      <c r="AM6" s="5467" t="s">
        <v>378</v>
      </c>
      <c r="AN6" s="5467"/>
      <c r="AO6" s="5467"/>
    </row>
    <row r="7" spans="1:41" ht="12.75" hidden="1" customHeight="1">
      <c r="A7" s="5455"/>
      <c r="B7" s="2198" t="s">
        <v>136</v>
      </c>
      <c r="C7" s="2198" t="s">
        <v>137</v>
      </c>
      <c r="D7" s="2198" t="s">
        <v>45</v>
      </c>
      <c r="E7" s="2198" t="s">
        <v>136</v>
      </c>
      <c r="F7" s="2198" t="s">
        <v>137</v>
      </c>
      <c r="G7" s="2198" t="s">
        <v>45</v>
      </c>
      <c r="H7" s="5467" t="s">
        <v>151</v>
      </c>
      <c r="I7" s="5467" t="s">
        <v>138</v>
      </c>
      <c r="J7" s="5467" t="s">
        <v>102</v>
      </c>
      <c r="K7" s="5467" t="s">
        <v>231</v>
      </c>
      <c r="L7" s="5493" t="s">
        <v>152</v>
      </c>
      <c r="M7" s="5480" t="s">
        <v>102</v>
      </c>
      <c r="N7" s="5481"/>
      <c r="O7" s="5467" t="s">
        <v>151</v>
      </c>
      <c r="P7" s="5467" t="s">
        <v>138</v>
      </c>
      <c r="Q7" s="5467" t="s">
        <v>102</v>
      </c>
      <c r="R7" s="5467" t="s">
        <v>151</v>
      </c>
      <c r="S7" s="5467" t="s">
        <v>138</v>
      </c>
      <c r="T7" s="5467" t="s">
        <v>102</v>
      </c>
      <c r="U7" s="2194"/>
      <c r="V7" s="5467" t="s">
        <v>118</v>
      </c>
      <c r="W7" s="5467"/>
      <c r="X7" s="5467" t="s">
        <v>152</v>
      </c>
      <c r="Y7" s="5467" t="s">
        <v>102</v>
      </c>
      <c r="Z7" s="5467" t="s">
        <v>118</v>
      </c>
      <c r="AA7" s="5467"/>
      <c r="AB7" s="5467" t="s">
        <v>152</v>
      </c>
      <c r="AC7" s="5467" t="s">
        <v>102</v>
      </c>
      <c r="AD7" s="5467" t="s">
        <v>151</v>
      </c>
      <c r="AE7" s="947"/>
      <c r="AF7" s="947"/>
      <c r="AG7" s="947"/>
      <c r="AH7" s="5467" t="s">
        <v>138</v>
      </c>
      <c r="AI7" s="5467" t="s">
        <v>102</v>
      </c>
      <c r="AJ7" s="5467" t="s">
        <v>151</v>
      </c>
      <c r="AK7" s="5467" t="s">
        <v>138</v>
      </c>
      <c r="AL7" s="5467" t="s">
        <v>102</v>
      </c>
      <c r="AM7" s="5467" t="s">
        <v>151</v>
      </c>
      <c r="AN7" s="5467" t="s">
        <v>138</v>
      </c>
      <c r="AO7" s="5467" t="s">
        <v>102</v>
      </c>
    </row>
    <row r="8" spans="1:41" ht="32.25" hidden="1" customHeight="1">
      <c r="A8" s="5455"/>
      <c r="B8" s="2198"/>
      <c r="C8" s="2198"/>
      <c r="D8" s="2198"/>
      <c r="E8" s="2198"/>
      <c r="F8" s="2198"/>
      <c r="G8" s="2198"/>
      <c r="H8" s="5467"/>
      <c r="I8" s="5467"/>
      <c r="J8" s="5467"/>
      <c r="K8" s="5467"/>
      <c r="L8" s="5494"/>
      <c r="M8" s="5482"/>
      <c r="N8" s="5483"/>
      <c r="O8" s="5467"/>
      <c r="P8" s="5467"/>
      <c r="Q8" s="5467"/>
      <c r="R8" s="5467"/>
      <c r="S8" s="5467"/>
      <c r="T8" s="5467"/>
      <c r="U8" s="2194"/>
      <c r="V8" s="23" t="s">
        <v>232</v>
      </c>
      <c r="W8" s="2194" t="s">
        <v>167</v>
      </c>
      <c r="X8" s="5467"/>
      <c r="Y8" s="5467"/>
      <c r="Z8" s="2194" t="s">
        <v>232</v>
      </c>
      <c r="AA8" s="2194" t="s">
        <v>167</v>
      </c>
      <c r="AB8" s="5467"/>
      <c r="AC8" s="5467"/>
      <c r="AD8" s="5467"/>
      <c r="AE8" s="947"/>
      <c r="AF8" s="947"/>
      <c r="AG8" s="947"/>
      <c r="AH8" s="5467"/>
      <c r="AI8" s="5467"/>
      <c r="AJ8" s="5467"/>
      <c r="AK8" s="5467"/>
      <c r="AL8" s="5467"/>
      <c r="AM8" s="5467"/>
      <c r="AN8" s="5467"/>
      <c r="AO8" s="5467"/>
    </row>
    <row r="9" spans="1:41" hidden="1">
      <c r="A9" s="80" t="s">
        <v>139</v>
      </c>
      <c r="B9" s="62">
        <f t="shared" ref="B9:B17" si="0">D9/C9</f>
        <v>3.2157289543713894</v>
      </c>
      <c r="C9" s="63">
        <v>1001455</v>
      </c>
      <c r="D9" s="64">
        <v>3220407.84</v>
      </c>
      <c r="E9" s="62"/>
      <c r="F9" s="63">
        <v>471906</v>
      </c>
      <c r="G9" s="65">
        <v>1517423</v>
      </c>
      <c r="H9" s="66">
        <f t="shared" ref="H9:H17" si="1">J9/I9*1000</f>
        <v>3.2216815838073627</v>
      </c>
      <c r="I9" s="67">
        <f>C9+F9</f>
        <v>1473361</v>
      </c>
      <c r="J9" s="68">
        <v>4746.7</v>
      </c>
      <c r="K9" s="122">
        <v>3.859</v>
      </c>
      <c r="L9" s="123">
        <v>1517.6</v>
      </c>
      <c r="M9" s="124">
        <f>K9*L9</f>
        <v>5856.4183999999996</v>
      </c>
      <c r="N9" s="71">
        <f t="shared" ref="N9:N17" si="2">M9/J9*100</f>
        <v>123.37873469989677</v>
      </c>
      <c r="O9" s="69">
        <v>4.2809999999999997</v>
      </c>
      <c r="P9" s="67">
        <v>1398.9</v>
      </c>
      <c r="Q9" s="70">
        <f>O9*P9</f>
        <v>5988.6908999999996</v>
      </c>
      <c r="R9" s="70">
        <f>T9/S9</f>
        <v>4.3702750841084503</v>
      </c>
      <c r="S9" s="138">
        <v>1010.6</v>
      </c>
      <c r="T9" s="138">
        <v>4416.6000000000004</v>
      </c>
      <c r="U9" s="70"/>
      <c r="V9" s="92">
        <v>5.25</v>
      </c>
      <c r="W9" s="17">
        <f>V9/R9*100</f>
        <v>120.12973780736314</v>
      </c>
      <c r="X9" s="141">
        <v>1140</v>
      </c>
      <c r="Y9" s="141">
        <f>V9*X9</f>
        <v>5985</v>
      </c>
      <c r="Z9" s="92" t="e">
        <f>AC9/AB9</f>
        <v>#REF!</v>
      </c>
      <c r="AA9" s="93" t="e">
        <f>Z9/R9*100</f>
        <v>#REF!</v>
      </c>
      <c r="AB9" s="141" t="e">
        <f>AB19*AB20</f>
        <v>#REF!</v>
      </c>
      <c r="AC9" s="141">
        <v>5549</v>
      </c>
      <c r="AD9" s="69">
        <v>4.9930000000000003</v>
      </c>
      <c r="AE9" s="948"/>
      <c r="AF9" s="948"/>
      <c r="AG9" s="948"/>
      <c r="AH9" s="138">
        <f>862347/1000</f>
        <v>862.34699999999998</v>
      </c>
      <c r="AI9" s="138">
        <v>4305.8999999999996</v>
      </c>
      <c r="AJ9" s="69">
        <v>5.548</v>
      </c>
      <c r="AK9" s="138">
        <f>241902/1000</f>
        <v>241.90199999999999</v>
      </c>
      <c r="AL9" s="138">
        <v>1342.1</v>
      </c>
      <c r="AM9" s="69">
        <v>5.1100000000000003</v>
      </c>
      <c r="AN9" s="138">
        <v>1138.8</v>
      </c>
      <c r="AO9" s="138">
        <v>5819.3</v>
      </c>
    </row>
    <row r="10" spans="1:41" hidden="1">
      <c r="A10" s="80" t="s">
        <v>166</v>
      </c>
      <c r="B10" s="62"/>
      <c r="C10" s="63"/>
      <c r="D10" s="64"/>
      <c r="E10" s="62"/>
      <c r="F10" s="63"/>
      <c r="G10" s="65"/>
      <c r="H10" s="66"/>
      <c r="I10" s="67"/>
      <c r="J10" s="68"/>
      <c r="K10" s="122"/>
      <c r="L10" s="123"/>
      <c r="M10" s="124"/>
      <c r="N10" s="71"/>
      <c r="O10" s="69">
        <v>1.992</v>
      </c>
      <c r="P10" s="67">
        <v>11</v>
      </c>
      <c r="Q10" s="70">
        <f>O10*P10</f>
        <v>21.911999999999999</v>
      </c>
      <c r="R10" s="70"/>
      <c r="S10" s="138"/>
      <c r="T10" s="138"/>
      <c r="U10" s="70"/>
      <c r="V10" s="92"/>
      <c r="W10" s="17"/>
      <c r="X10" s="141"/>
      <c r="Y10" s="141"/>
      <c r="Z10" s="92"/>
      <c r="AA10" s="2"/>
      <c r="AB10" s="141"/>
      <c r="AC10" s="141"/>
      <c r="AD10" s="69">
        <v>2.2519999999999998</v>
      </c>
      <c r="AE10" s="948"/>
      <c r="AF10" s="948"/>
      <c r="AG10" s="948"/>
      <c r="AH10" s="138">
        <f>5062/1000</f>
        <v>5.0620000000000003</v>
      </c>
      <c r="AI10" s="138">
        <v>11.4</v>
      </c>
      <c r="AJ10" s="69">
        <v>2.4180000000000001</v>
      </c>
      <c r="AK10" s="138">
        <f>1365/1000</f>
        <v>1.365</v>
      </c>
      <c r="AL10" s="136">
        <v>3.3</v>
      </c>
      <c r="AM10" s="69">
        <v>0</v>
      </c>
      <c r="AN10" s="138">
        <v>0</v>
      </c>
      <c r="AO10" s="136">
        <v>0</v>
      </c>
    </row>
    <row r="11" spans="1:41" hidden="1">
      <c r="A11" s="80" t="s">
        <v>140</v>
      </c>
      <c r="B11" s="62">
        <f t="shared" si="0"/>
        <v>2.4554085546843858</v>
      </c>
      <c r="C11" s="63">
        <v>1618131</v>
      </c>
      <c r="D11" s="64">
        <v>3973172.7</v>
      </c>
      <c r="E11" s="62"/>
      <c r="F11" s="63">
        <v>767032</v>
      </c>
      <c r="G11" s="65">
        <v>1883973</v>
      </c>
      <c r="H11" s="66">
        <f t="shared" si="1"/>
        <v>2.5213371161635494</v>
      </c>
      <c r="I11" s="67">
        <f>C11+F11</f>
        <v>2385163</v>
      </c>
      <c r="J11" s="68">
        <v>6013.8</v>
      </c>
      <c r="K11" s="122">
        <v>3.0270000000000001</v>
      </c>
      <c r="L11" s="123">
        <v>2199.8000000000002</v>
      </c>
      <c r="M11" s="124">
        <f>K11*L11</f>
        <v>6658.7946000000011</v>
      </c>
      <c r="N11" s="71">
        <f t="shared" si="2"/>
        <v>110.72524194352991</v>
      </c>
      <c r="O11" s="69">
        <v>3.3395999999999999</v>
      </c>
      <c r="P11" s="67">
        <v>2055.6999999999998</v>
      </c>
      <c r="Q11" s="70">
        <f>O11*P11</f>
        <v>6865.2157199999992</v>
      </c>
      <c r="R11" s="130">
        <f>T11/S11</f>
        <v>3.4186351706036748</v>
      </c>
      <c r="S11" s="136">
        <f>1164.3+131.1</f>
        <v>1295.3999999999999</v>
      </c>
      <c r="T11" s="139">
        <f>3776+652.5</f>
        <v>4428.5</v>
      </c>
      <c r="U11" s="70"/>
      <c r="V11" s="92">
        <v>4.2</v>
      </c>
      <c r="W11" s="17">
        <f>V11/R11*100</f>
        <v>122.85604606525911</v>
      </c>
      <c r="X11" s="141">
        <v>1830</v>
      </c>
      <c r="Y11" s="141">
        <f>V11*X11</f>
        <v>7686</v>
      </c>
      <c r="Z11" s="92">
        <v>3.9470000000000001</v>
      </c>
      <c r="AA11" s="17">
        <f>Z11/R11*100</f>
        <v>115.45543186180423</v>
      </c>
      <c r="AB11" s="141" t="e">
        <f>AB22*AB21</f>
        <v>#REF!</v>
      </c>
      <c r="AC11" s="141" t="e">
        <f>Z11*AB11</f>
        <v>#REF!</v>
      </c>
      <c r="AD11" s="56">
        <v>3.9390000000000001</v>
      </c>
      <c r="AE11" s="949"/>
      <c r="AF11" s="949"/>
      <c r="AG11" s="949"/>
      <c r="AH11" s="136">
        <f>1426046/1000</f>
        <v>1426.046</v>
      </c>
      <c r="AI11" s="136">
        <v>5616.5</v>
      </c>
      <c r="AJ11" s="69">
        <v>4.3929999999999998</v>
      </c>
      <c r="AK11" s="138">
        <f>462899/1000</f>
        <v>462.899</v>
      </c>
      <c r="AL11" s="138">
        <v>2033.5</v>
      </c>
      <c r="AM11" s="69">
        <v>4.0129999999999999</v>
      </c>
      <c r="AN11" s="138">
        <v>1930.37</v>
      </c>
      <c r="AO11" s="138">
        <v>7747.1</v>
      </c>
    </row>
    <row r="12" spans="1:41" hidden="1">
      <c r="A12" s="80" t="s">
        <v>166</v>
      </c>
      <c r="B12" s="62"/>
      <c r="C12" s="63"/>
      <c r="D12" s="64"/>
      <c r="E12" s="62"/>
      <c r="F12" s="63"/>
      <c r="G12" s="65"/>
      <c r="H12" s="66"/>
      <c r="I12" s="67"/>
      <c r="J12" s="68"/>
      <c r="K12" s="122">
        <v>1.97</v>
      </c>
      <c r="L12" s="123">
        <v>80.099999999999994</v>
      </c>
      <c r="M12" s="124">
        <f>K12*L12</f>
        <v>157.797</v>
      </c>
      <c r="N12" s="71"/>
      <c r="O12" s="69">
        <v>2.0289999999999999</v>
      </c>
      <c r="P12" s="109">
        <v>33.799999999999997</v>
      </c>
      <c r="Q12" s="70">
        <f>O12*P12</f>
        <v>68.580199999999991</v>
      </c>
      <c r="R12" s="70"/>
      <c r="S12" s="138"/>
      <c r="T12" s="138"/>
      <c r="U12" s="70"/>
      <c r="V12" s="92"/>
      <c r="W12" s="17"/>
      <c r="X12" s="141"/>
      <c r="Y12" s="141"/>
      <c r="Z12" s="92"/>
      <c r="AA12" s="17"/>
      <c r="AB12" s="141"/>
      <c r="AC12" s="141"/>
      <c r="AD12" s="69">
        <v>2.2759999999999998</v>
      </c>
      <c r="AE12" s="948"/>
      <c r="AF12" s="948"/>
      <c r="AG12" s="948"/>
      <c r="AH12" s="138">
        <f>51221/1000</f>
        <v>51.220999999999997</v>
      </c>
      <c r="AI12" s="138">
        <v>116.6</v>
      </c>
      <c r="AJ12" s="69">
        <v>2.427</v>
      </c>
      <c r="AK12" s="138">
        <f>14584/1000</f>
        <v>14.584</v>
      </c>
      <c r="AL12" s="138">
        <v>35.4</v>
      </c>
      <c r="AM12" s="69">
        <v>0</v>
      </c>
      <c r="AN12" s="138">
        <v>0</v>
      </c>
      <c r="AO12" s="138">
        <v>0</v>
      </c>
    </row>
    <row r="13" spans="1:41" ht="13.5" hidden="1">
      <c r="A13" s="143" t="s">
        <v>141</v>
      </c>
      <c r="B13" s="72">
        <f t="shared" si="0"/>
        <v>2.7460753493109218</v>
      </c>
      <c r="C13" s="73">
        <f>C9+C11</f>
        <v>2619586</v>
      </c>
      <c r="D13" s="73">
        <f>D9+D11</f>
        <v>7193580.54</v>
      </c>
      <c r="E13" s="72"/>
      <c r="F13" s="73">
        <f>F9+F11</f>
        <v>1238938</v>
      </c>
      <c r="G13" s="74">
        <v>2274969</v>
      </c>
      <c r="H13" s="66">
        <f t="shared" si="1"/>
        <v>2.7887606763622563</v>
      </c>
      <c r="I13" s="63">
        <f>I9+I11</f>
        <v>3858524</v>
      </c>
      <c r="J13" s="65">
        <f>SUM(J9:J11)</f>
        <v>10760.5</v>
      </c>
      <c r="K13" s="122">
        <f>M13/L13</f>
        <v>3.3371981566820277</v>
      </c>
      <c r="L13" s="125">
        <f>L9+L11+L12</f>
        <v>3797.5</v>
      </c>
      <c r="M13" s="126">
        <f>SUM(M9:M12)</f>
        <v>12673.01</v>
      </c>
      <c r="N13" s="71">
        <f t="shared" si="2"/>
        <v>117.77343060266716</v>
      </c>
      <c r="O13" s="62">
        <f>Q13/P13</f>
        <v>3.6990337829342166</v>
      </c>
      <c r="P13" s="110">
        <f>SUM(P9:P12)</f>
        <v>3499.4</v>
      </c>
      <c r="Q13" s="64">
        <f>SUM(Q9:Q12)</f>
        <v>12944.398819999999</v>
      </c>
      <c r="R13" s="64"/>
      <c r="S13" s="140"/>
      <c r="T13" s="140"/>
      <c r="U13" s="64"/>
      <c r="V13" s="92"/>
      <c r="W13" s="17"/>
      <c r="X13" s="134">
        <f>SUM(X9:X11)</f>
        <v>2970</v>
      </c>
      <c r="Y13" s="134">
        <f>SUM(Y9:Y11)</f>
        <v>13671</v>
      </c>
      <c r="Z13" s="94"/>
      <c r="AA13" s="18"/>
      <c r="AB13" s="134" t="e">
        <f>SUM(AB9:AB11)</f>
        <v>#REF!</v>
      </c>
      <c r="AC13" s="134" t="e">
        <f>SUM(AC9:AC11)</f>
        <v>#REF!</v>
      </c>
      <c r="AD13" s="134"/>
      <c r="AE13" s="950"/>
      <c r="AF13" s="950"/>
      <c r="AG13" s="950"/>
      <c r="AH13" s="134">
        <f>AH9+AH10+AH11+AH12</f>
        <v>2344.6759999999999</v>
      </c>
      <c r="AI13" s="134">
        <f>AI9+AI10+AI11+AI12</f>
        <v>10050.4</v>
      </c>
      <c r="AJ13" s="69"/>
      <c r="AK13" s="134">
        <f>AK12+AK11+AK10+AK9</f>
        <v>720.75</v>
      </c>
      <c r="AL13" s="134">
        <f>AL12+AL11+AL10+AL9</f>
        <v>3414.3</v>
      </c>
      <c r="AM13" s="69"/>
      <c r="AN13" s="134">
        <f>AN12+AN11+AN10+AN9</f>
        <v>3069.17</v>
      </c>
      <c r="AO13" s="134">
        <f>AO12+AO11+AO10+AO9</f>
        <v>13566.400000000001</v>
      </c>
    </row>
    <row r="14" spans="1:41" hidden="1">
      <c r="A14" s="80" t="s">
        <v>142</v>
      </c>
      <c r="B14" s="62">
        <f t="shared" si="0"/>
        <v>3.2500910790907525</v>
      </c>
      <c r="C14" s="63">
        <v>285027</v>
      </c>
      <c r="D14" s="64">
        <v>926363.71</v>
      </c>
      <c r="E14" s="62"/>
      <c r="F14" s="63">
        <v>131931</v>
      </c>
      <c r="G14" s="65">
        <v>432860</v>
      </c>
      <c r="H14" s="66">
        <f t="shared" si="1"/>
        <v>3.2598007473174757</v>
      </c>
      <c r="I14" s="67">
        <f>C14+F14</f>
        <v>416958</v>
      </c>
      <c r="J14" s="68">
        <v>1359.2</v>
      </c>
      <c r="K14" s="122">
        <v>3.895</v>
      </c>
      <c r="L14" s="123">
        <v>394.35700000000003</v>
      </c>
      <c r="M14" s="124">
        <f>K14*L14</f>
        <v>1536.0205150000002</v>
      </c>
      <c r="N14" s="71">
        <f t="shared" si="2"/>
        <v>113.00916090347263</v>
      </c>
      <c r="O14" s="69">
        <v>4.05</v>
      </c>
      <c r="P14" s="67">
        <v>406</v>
      </c>
      <c r="Q14" s="70">
        <v>1642.7</v>
      </c>
      <c r="R14" s="70">
        <f>T14/S14</f>
        <v>4.4454409566517183</v>
      </c>
      <c r="S14" s="138">
        <v>267.60000000000002</v>
      </c>
      <c r="T14" s="138">
        <v>1189.5999999999999</v>
      </c>
      <c r="U14" s="70"/>
      <c r="V14" s="92">
        <v>5.4</v>
      </c>
      <c r="W14" s="17">
        <f>V14/R14*100</f>
        <v>121.47276395427036</v>
      </c>
      <c r="X14" s="141">
        <v>406</v>
      </c>
      <c r="Y14" s="141">
        <f>V14*X14</f>
        <v>2192.4</v>
      </c>
      <c r="Z14" s="92">
        <f>(R31+R31*1.12)/2</f>
        <v>5.1214040561622447</v>
      </c>
      <c r="AA14" s="93">
        <f>Z14/R14*100</f>
        <v>115.20576037567392</v>
      </c>
      <c r="AB14" s="141" t="e">
        <f>AB25*AB24</f>
        <v>#REF!</v>
      </c>
      <c r="AC14" s="141" t="e">
        <f>Z14*AB14</f>
        <v>#REF!</v>
      </c>
      <c r="AD14" s="69">
        <v>4.96</v>
      </c>
      <c r="AE14" s="948"/>
      <c r="AF14" s="948"/>
      <c r="AG14" s="948"/>
      <c r="AH14" s="138">
        <f>259401/1000</f>
        <v>259.40100000000001</v>
      </c>
      <c r="AI14" s="138">
        <v>1286.5999999999999</v>
      </c>
      <c r="AJ14" s="69">
        <v>5.577</v>
      </c>
      <c r="AK14" s="138">
        <f>54257/1000</f>
        <v>54.256999999999998</v>
      </c>
      <c r="AL14" s="138">
        <v>302.60000000000002</v>
      </c>
      <c r="AM14" s="69">
        <v>4.9829999999999997</v>
      </c>
      <c r="AN14" s="138">
        <v>363.8</v>
      </c>
      <c r="AO14" s="138">
        <v>0</v>
      </c>
    </row>
    <row r="15" spans="1:41" hidden="1">
      <c r="A15" s="80" t="s">
        <v>143</v>
      </c>
      <c r="B15" s="62">
        <f t="shared" si="0"/>
        <v>2.3971996414976844</v>
      </c>
      <c r="C15" s="63">
        <v>1440437</v>
      </c>
      <c r="D15" s="64">
        <v>3453015.06</v>
      </c>
      <c r="E15" s="62"/>
      <c r="F15" s="63">
        <v>557215</v>
      </c>
      <c r="G15" s="65">
        <v>1341966</v>
      </c>
      <c r="H15" s="66">
        <f t="shared" si="1"/>
        <v>2.400317973300655</v>
      </c>
      <c r="I15" s="67">
        <f>C15+F15</f>
        <v>1997652</v>
      </c>
      <c r="J15" s="68">
        <v>4795</v>
      </c>
      <c r="K15" s="122">
        <v>2.9569999999999999</v>
      </c>
      <c r="L15" s="123">
        <v>2030.7</v>
      </c>
      <c r="M15" s="124">
        <f>K15*L15</f>
        <v>6004.7798999999995</v>
      </c>
      <c r="N15" s="71">
        <f t="shared" si="2"/>
        <v>125.23002919708028</v>
      </c>
      <c r="O15" s="69">
        <v>3.11</v>
      </c>
      <c r="P15" s="67">
        <v>2324.1999999999998</v>
      </c>
      <c r="Q15" s="70">
        <v>7235.2</v>
      </c>
      <c r="R15" s="70">
        <f>T15/S15</f>
        <v>3.2274393683023126</v>
      </c>
      <c r="S15" s="138">
        <v>1418.4</v>
      </c>
      <c r="T15" s="138">
        <v>4577.8</v>
      </c>
      <c r="U15" s="70"/>
      <c r="V15" s="92">
        <v>4</v>
      </c>
      <c r="W15" s="17">
        <f>V15/R15*100</f>
        <v>123.93726244047359</v>
      </c>
      <c r="X15" s="141">
        <v>2254</v>
      </c>
      <c r="Y15" s="141">
        <f>V15*X15</f>
        <v>9016</v>
      </c>
      <c r="Z15" s="92" t="e">
        <f>AC15/AB15</f>
        <v>#REF!</v>
      </c>
      <c r="AA15" s="93" t="e">
        <f>Z15/R15*100</f>
        <v>#REF!</v>
      </c>
      <c r="AB15" s="141" t="e">
        <f>AB26*AB24</f>
        <v>#REF!</v>
      </c>
      <c r="AC15" s="141">
        <v>8582.7999999999993</v>
      </c>
      <c r="AD15" s="69">
        <v>3.762</v>
      </c>
      <c r="AE15" s="948"/>
      <c r="AF15" s="948"/>
      <c r="AG15" s="948"/>
      <c r="AH15" s="138">
        <f>1540308/1000</f>
        <v>1540.308</v>
      </c>
      <c r="AI15" s="138">
        <v>5794.5</v>
      </c>
      <c r="AJ15" s="69">
        <v>4.1840000000000002</v>
      </c>
      <c r="AK15" s="138">
        <f>483414/1000</f>
        <v>483.41399999999999</v>
      </c>
      <c r="AL15" s="70">
        <v>2022.8</v>
      </c>
      <c r="AM15" s="69">
        <v>3.83</v>
      </c>
      <c r="AN15" s="138">
        <v>2289.4</v>
      </c>
      <c r="AO15" s="70">
        <v>0</v>
      </c>
    </row>
    <row r="16" spans="1:41" hidden="1">
      <c r="A16" s="80" t="s">
        <v>166</v>
      </c>
      <c r="B16" s="62"/>
      <c r="C16" s="63"/>
      <c r="D16" s="64"/>
      <c r="E16" s="62"/>
      <c r="F16" s="63"/>
      <c r="G16" s="65"/>
      <c r="H16" s="66"/>
      <c r="I16" s="67"/>
      <c r="J16" s="68"/>
      <c r="K16" s="122">
        <v>1.97</v>
      </c>
      <c r="L16" s="123">
        <v>126.9</v>
      </c>
      <c r="M16" s="124">
        <f>K16*L16</f>
        <v>249.99299999999999</v>
      </c>
      <c r="N16" s="71"/>
      <c r="O16" s="69"/>
      <c r="P16" s="67"/>
      <c r="Q16" s="70"/>
      <c r="R16" s="70"/>
      <c r="S16" s="70"/>
      <c r="T16" s="70"/>
      <c r="U16" s="70"/>
      <c r="V16" s="92"/>
      <c r="W16" s="17"/>
      <c r="X16" s="2"/>
      <c r="Y16" s="17"/>
      <c r="Z16" s="92"/>
      <c r="AA16" s="17"/>
      <c r="AB16" s="141"/>
      <c r="AC16" s="141"/>
      <c r="AD16" s="69"/>
      <c r="AE16" s="948"/>
      <c r="AF16" s="948"/>
      <c r="AG16" s="948"/>
      <c r="AH16" s="138">
        <f>(13283+97372)/1000</f>
        <v>110.655</v>
      </c>
      <c r="AI16" s="70">
        <f>30.3+223.1</f>
        <v>253.4</v>
      </c>
      <c r="AJ16" s="64"/>
      <c r="AK16" s="138">
        <f>(4088+36605)/1000</f>
        <v>40.692999999999998</v>
      </c>
      <c r="AL16" s="70">
        <f>9.9+89</f>
        <v>98.9</v>
      </c>
      <c r="AM16" s="64"/>
      <c r="AN16" s="138">
        <v>0</v>
      </c>
      <c r="AO16" s="70">
        <v>0</v>
      </c>
    </row>
    <row r="17" spans="1:42" ht="13.5" hidden="1">
      <c r="A17" s="143" t="s">
        <v>144</v>
      </c>
      <c r="B17" s="72">
        <f t="shared" si="0"/>
        <v>2.5380875926707249</v>
      </c>
      <c r="C17" s="73">
        <f>C14+C15</f>
        <v>1725464</v>
      </c>
      <c r="D17" s="73">
        <f>D14+D15</f>
        <v>4379378.7699999996</v>
      </c>
      <c r="E17" s="72"/>
      <c r="F17" s="73">
        <v>689146</v>
      </c>
      <c r="G17" s="74">
        <v>1774826</v>
      </c>
      <c r="H17" s="66">
        <f t="shared" si="1"/>
        <v>2.5487345782548734</v>
      </c>
      <c r="I17" s="63">
        <f>I14+I15</f>
        <v>2414610</v>
      </c>
      <c r="J17" s="65">
        <f>J14+J15</f>
        <v>6154.2</v>
      </c>
      <c r="K17" s="122">
        <f>M17/L17</f>
        <v>3.0528701757122079</v>
      </c>
      <c r="L17" s="125">
        <f>L14+L15+L16</f>
        <v>2551.9570000000003</v>
      </c>
      <c r="M17" s="126">
        <f>M14+M15+M16</f>
        <v>7790.7934150000001</v>
      </c>
      <c r="N17" s="71">
        <f t="shared" si="2"/>
        <v>126.59311388970134</v>
      </c>
      <c r="O17" s="62">
        <f>Q17/P17</f>
        <v>3.2517397992821038</v>
      </c>
      <c r="P17" s="63">
        <f>P14+P15</f>
        <v>2730.2</v>
      </c>
      <c r="Q17" s="64">
        <f>Q14+Q15</f>
        <v>8877.9</v>
      </c>
      <c r="R17" s="64"/>
      <c r="S17" s="64"/>
      <c r="T17" s="64"/>
      <c r="U17" s="64"/>
      <c r="V17" s="92"/>
      <c r="W17" s="18"/>
      <c r="X17" s="2190">
        <f>SUM(X14:X15)</f>
        <v>2660</v>
      </c>
      <c r="Y17" s="18">
        <f>SUM(Y14:Y15)</f>
        <v>11208.4</v>
      </c>
      <c r="Z17" s="94"/>
      <c r="AA17" s="18"/>
      <c r="AB17" s="134" t="e">
        <f>SUM(AB14:AB15)</f>
        <v>#REF!</v>
      </c>
      <c r="AC17" s="134" t="e">
        <f>SUM(AC14:AC15)</f>
        <v>#REF!</v>
      </c>
      <c r="AD17" s="134"/>
      <c r="AE17" s="950"/>
      <c r="AF17" s="950"/>
      <c r="AG17" s="950"/>
      <c r="AH17" s="134">
        <f>SUM(AH14:AH16)</f>
        <v>1910.364</v>
      </c>
      <c r="AI17" s="134">
        <f>SUM(AI14:AI16)</f>
        <v>7334.5</v>
      </c>
      <c r="AJ17" s="2198"/>
      <c r="AK17" s="134">
        <f>AK14+AK15+AK16</f>
        <v>578.36399999999992</v>
      </c>
      <c r="AL17" s="134">
        <f>AL14+AL15+AL16</f>
        <v>2424.3000000000002</v>
      </c>
      <c r="AM17" s="2198"/>
      <c r="AN17" s="134">
        <f>AN14+AN15+AN16</f>
        <v>2653.2000000000003</v>
      </c>
      <c r="AO17" s="134">
        <f>AO14+AO15+AO16</f>
        <v>0</v>
      </c>
    </row>
    <row r="18" spans="1:42" hidden="1">
      <c r="A18" s="80"/>
      <c r="B18" s="56"/>
      <c r="C18" s="19"/>
      <c r="D18" s="2198"/>
      <c r="E18" s="56"/>
      <c r="F18" s="19"/>
      <c r="G18" s="2198"/>
      <c r="H18" s="56"/>
      <c r="I18" s="19"/>
      <c r="J18" s="2198"/>
      <c r="K18" s="75"/>
      <c r="L18" s="76"/>
      <c r="M18" s="77"/>
      <c r="N18" s="78"/>
      <c r="O18" s="56"/>
      <c r="P18" s="19"/>
      <c r="Q18" s="2198"/>
      <c r="R18" s="2198"/>
      <c r="S18" s="2198"/>
      <c r="T18" s="2198"/>
      <c r="U18" s="2198"/>
      <c r="V18" s="2"/>
      <c r="W18" s="2"/>
      <c r="X18" s="2"/>
      <c r="Y18" s="2"/>
      <c r="Z18" s="2"/>
      <c r="AA18" s="2"/>
      <c r="AB18" s="2"/>
      <c r="AC18" s="2"/>
      <c r="AD18" s="56"/>
      <c r="AE18" s="949"/>
      <c r="AF18" s="949"/>
      <c r="AG18" s="949"/>
      <c r="AH18" s="2198"/>
      <c r="AI18" s="2198"/>
      <c r="AJ18" s="61"/>
      <c r="AK18" s="2198"/>
      <c r="AL18" s="61"/>
      <c r="AM18" s="61"/>
      <c r="AN18" s="2198"/>
      <c r="AO18" s="61"/>
    </row>
    <row r="19" spans="1:42" hidden="1">
      <c r="A19" s="80" t="s">
        <v>145</v>
      </c>
      <c r="B19" s="61"/>
      <c r="C19" s="61"/>
      <c r="D19" s="61"/>
      <c r="E19" s="61"/>
      <c r="F19" s="61"/>
      <c r="G19" s="61"/>
      <c r="H19" s="61"/>
      <c r="I19" s="2198">
        <v>8838.9</v>
      </c>
      <c r="J19" s="61"/>
      <c r="K19" s="79"/>
      <c r="L19" s="19">
        <v>8862.9</v>
      </c>
      <c r="M19" s="77"/>
      <c r="N19" s="78"/>
      <c r="O19" s="61"/>
      <c r="P19" s="11">
        <f>объемы!F10</f>
        <v>8372.9</v>
      </c>
      <c r="Q19" s="61"/>
      <c r="R19" s="61"/>
      <c r="S19" s="2198">
        <v>6666.9</v>
      </c>
      <c r="T19" s="61"/>
      <c r="U19" s="61"/>
      <c r="V19" s="2"/>
      <c r="W19" s="2"/>
      <c r="X19" s="2"/>
      <c r="Y19" s="2"/>
      <c r="Z19" s="2"/>
      <c r="AA19" s="2"/>
      <c r="AB19" s="2" t="e">
        <f>объемы!#REF!</f>
        <v>#REF!</v>
      </c>
      <c r="AC19" s="2"/>
      <c r="AD19" s="142"/>
      <c r="AE19" s="951"/>
      <c r="AF19" s="951"/>
      <c r="AG19" s="951"/>
      <c r="AH19" s="2198">
        <f>3309.7+2615.3</f>
        <v>5925</v>
      </c>
      <c r="AI19" s="61"/>
      <c r="AJ19" s="2198"/>
      <c r="AK19" s="92">
        <f>645.46+642.86+630.6</f>
        <v>1918.92</v>
      </c>
      <c r="AL19" s="2198"/>
      <c r="AM19" s="2198"/>
      <c r="AN19" s="92">
        <v>7835.7</v>
      </c>
      <c r="AO19" s="2198"/>
    </row>
    <row r="20" spans="1:42" ht="25.5" hidden="1">
      <c r="A20" s="80" t="s">
        <v>146</v>
      </c>
      <c r="B20" s="56"/>
      <c r="C20" s="19"/>
      <c r="D20" s="2198"/>
      <c r="E20" s="56"/>
      <c r="F20" s="19"/>
      <c r="G20" s="2198"/>
      <c r="H20" s="56"/>
      <c r="I20" s="92">
        <f>(I9/I19)/1000</f>
        <v>0.1666905384154137</v>
      </c>
      <c r="J20" s="2197"/>
      <c r="K20" s="95"/>
      <c r="L20" s="92">
        <f>(L9/L19)</f>
        <v>0.17123063557074997</v>
      </c>
      <c r="M20" s="96"/>
      <c r="N20" s="97"/>
      <c r="O20" s="92"/>
      <c r="P20" s="92">
        <f>P9/P19</f>
        <v>0.16707472918582572</v>
      </c>
      <c r="Q20" s="2198"/>
      <c r="R20" s="2198"/>
      <c r="S20" s="92">
        <f>S9/S19</f>
        <v>0.15158469453569126</v>
      </c>
      <c r="T20" s="2198"/>
      <c r="U20" s="2198"/>
      <c r="V20" s="2"/>
      <c r="W20" s="2"/>
      <c r="X20" s="2"/>
      <c r="Y20" s="2"/>
      <c r="Z20" s="2"/>
      <c r="AA20" s="2"/>
      <c r="AB20" s="2">
        <v>0.17100000000000001</v>
      </c>
      <c r="AC20" s="2"/>
      <c r="AD20" s="56"/>
      <c r="AE20" s="949"/>
      <c r="AF20" s="949"/>
      <c r="AG20" s="949"/>
      <c r="AH20" s="92">
        <f>AH9/AH19</f>
        <v>0.14554379746835441</v>
      </c>
      <c r="AI20" s="2198"/>
      <c r="AJ20" s="2198"/>
      <c r="AK20" s="92">
        <f>AK9/AK19</f>
        <v>0.12606153461321992</v>
      </c>
      <c r="AL20" s="2198"/>
      <c r="AM20" s="2198"/>
      <c r="AN20" s="92">
        <f>AN9/AN19</f>
        <v>0.14533481373712623</v>
      </c>
      <c r="AO20" s="2198"/>
      <c r="AP20" s="333">
        <f>(L20+P20+S20+AN20)/4</f>
        <v>0.15880621825734828</v>
      </c>
    </row>
    <row r="21" spans="1:42" hidden="1">
      <c r="A21" s="80" t="s">
        <v>159</v>
      </c>
      <c r="B21" s="56"/>
      <c r="C21" s="19"/>
      <c r="D21" s="2198"/>
      <c r="E21" s="56"/>
      <c r="F21" s="19"/>
      <c r="G21" s="2198"/>
      <c r="H21" s="56"/>
      <c r="I21" s="92">
        <f>I19</f>
        <v>8838.9</v>
      </c>
      <c r="J21" s="2197"/>
      <c r="K21" s="95"/>
      <c r="L21" s="17">
        <f>L19</f>
        <v>8862.9</v>
      </c>
      <c r="M21" s="96"/>
      <c r="N21" s="97"/>
      <c r="O21" s="92"/>
      <c r="P21" s="17">
        <f>P19</f>
        <v>8372.9</v>
      </c>
      <c r="Q21" s="2198"/>
      <c r="R21" s="2198"/>
      <c r="S21" s="2197">
        <f>S19</f>
        <v>6666.9</v>
      </c>
      <c r="T21" s="2198"/>
      <c r="U21" s="2198"/>
      <c r="V21" s="2"/>
      <c r="W21" s="2"/>
      <c r="X21" s="2"/>
      <c r="Y21" s="2"/>
      <c r="Z21" s="2"/>
      <c r="AA21" s="2"/>
      <c r="AB21" s="2" t="e">
        <f>AB19</f>
        <v>#REF!</v>
      </c>
      <c r="AC21" s="2"/>
      <c r="AD21" s="56"/>
      <c r="AE21" s="949"/>
      <c r="AF21" s="949"/>
      <c r="AG21" s="949"/>
      <c r="AH21" s="2197">
        <f>3021.8+2363</f>
        <v>5384.8</v>
      </c>
      <c r="AI21" s="2198"/>
      <c r="AJ21" s="82"/>
      <c r="AK21" s="92">
        <f>590.3+595+591.9</f>
        <v>1777.1999999999998</v>
      </c>
      <c r="AL21" s="82"/>
      <c r="AM21" s="82"/>
      <c r="AN21" s="92">
        <v>7024</v>
      </c>
      <c r="AO21" s="82"/>
    </row>
    <row r="22" spans="1:42" ht="25.5" hidden="1">
      <c r="A22" s="80" t="s">
        <v>147</v>
      </c>
      <c r="B22" s="79"/>
      <c r="C22" s="81"/>
      <c r="D22" s="82"/>
      <c r="E22" s="79"/>
      <c r="F22" s="81"/>
      <c r="G22" s="82"/>
      <c r="H22" s="79"/>
      <c r="I22" s="95">
        <f>(I11/I21)/1000</f>
        <v>0.26984839742501898</v>
      </c>
      <c r="J22" s="96"/>
      <c r="K22" s="95"/>
      <c r="L22" s="92">
        <f>(L11/L21)</f>
        <v>0.24820318405939368</v>
      </c>
      <c r="M22" s="96"/>
      <c r="N22" s="97"/>
      <c r="O22" s="95"/>
      <c r="P22" s="92">
        <f>(P11+P12)/P21</f>
        <v>0.24955511232667296</v>
      </c>
      <c r="Q22" s="82"/>
      <c r="R22" s="82"/>
      <c r="S22" s="92">
        <f>S11/S21</f>
        <v>0.1943031993880214</v>
      </c>
      <c r="T22" s="82"/>
      <c r="U22" s="82"/>
      <c r="V22" s="2"/>
      <c r="W22" s="2"/>
      <c r="X22" s="2"/>
      <c r="Y22" s="2"/>
      <c r="Z22" s="2"/>
      <c r="AA22" s="2"/>
      <c r="AB22" s="92">
        <v>0.27500000000000002</v>
      </c>
      <c r="AC22" s="2"/>
      <c r="AD22" s="79"/>
      <c r="AE22" s="952"/>
      <c r="AF22" s="952"/>
      <c r="AG22" s="952"/>
      <c r="AH22" s="92">
        <f>AH11/AH21</f>
        <v>0.26482803446738967</v>
      </c>
      <c r="AI22" s="82"/>
      <c r="AJ22" s="85"/>
      <c r="AK22" s="92">
        <f>AK11/AK21</f>
        <v>0.26046533873508892</v>
      </c>
      <c r="AL22" s="85"/>
      <c r="AM22" s="85"/>
      <c r="AN22" s="92">
        <f>AN11/AN21</f>
        <v>0.27482488610478356</v>
      </c>
      <c r="AO22" s="85"/>
      <c r="AP22" s="333">
        <f>(L22+P22+S22+AN22)/4</f>
        <v>0.24172159546971789</v>
      </c>
    </row>
    <row r="23" spans="1:42" hidden="1">
      <c r="A23" s="144"/>
      <c r="B23" s="83"/>
      <c r="C23" s="84"/>
      <c r="D23" s="85"/>
      <c r="E23" s="83"/>
      <c r="F23" s="84"/>
      <c r="G23" s="85"/>
      <c r="H23" s="83"/>
      <c r="I23" s="98"/>
      <c r="J23" s="99"/>
      <c r="K23" s="100"/>
      <c r="L23" s="98"/>
      <c r="M23" s="99"/>
      <c r="N23" s="101"/>
      <c r="O23" s="100"/>
      <c r="P23" s="98"/>
      <c r="Q23" s="85"/>
      <c r="R23" s="85"/>
      <c r="S23" s="85"/>
      <c r="T23" s="85"/>
      <c r="U23" s="85"/>
      <c r="V23" s="2"/>
      <c r="W23" s="2"/>
      <c r="X23" s="2"/>
      <c r="Y23" s="2"/>
      <c r="Z23" s="2"/>
      <c r="AA23" s="2"/>
      <c r="AB23" s="2"/>
      <c r="AC23" s="2"/>
      <c r="AD23" s="83"/>
      <c r="AE23" s="953"/>
      <c r="AF23" s="953"/>
      <c r="AG23" s="953"/>
      <c r="AH23" s="85"/>
      <c r="AI23" s="85"/>
      <c r="AJ23" s="2198"/>
      <c r="AK23" s="2198"/>
      <c r="AL23" s="2198"/>
      <c r="AM23" s="2198"/>
      <c r="AN23" s="2198"/>
      <c r="AO23" s="2198"/>
    </row>
    <row r="24" spans="1:42" hidden="1">
      <c r="A24" s="80" t="s">
        <v>148</v>
      </c>
      <c r="B24" s="83"/>
      <c r="C24" s="84"/>
      <c r="D24" s="85"/>
      <c r="E24" s="83"/>
      <c r="F24" s="84"/>
      <c r="G24" s="85"/>
      <c r="H24" s="83"/>
      <c r="I24" s="2197">
        <v>4585.8</v>
      </c>
      <c r="J24" s="2197"/>
      <c r="K24" s="2197"/>
      <c r="L24" s="2197">
        <v>4415.2</v>
      </c>
      <c r="M24" s="96"/>
      <c r="N24" s="97"/>
      <c r="O24" s="100"/>
      <c r="P24" s="2197">
        <f>объемы!F22</f>
        <v>4093.2000000000003</v>
      </c>
      <c r="Q24" s="2198"/>
      <c r="R24" s="2198"/>
      <c r="S24" s="2198">
        <f>объемы!J22</f>
        <v>2958.3</v>
      </c>
      <c r="T24" s="2198"/>
      <c r="U24" s="2198"/>
      <c r="V24" s="2"/>
      <c r="W24" s="2"/>
      <c r="X24" s="2">
        <v>3695</v>
      </c>
      <c r="Y24" s="2"/>
      <c r="Z24" s="2"/>
      <c r="AA24" s="2"/>
      <c r="AB24" s="2" t="e">
        <f>объемы!#REF!</f>
        <v>#REF!</v>
      </c>
      <c r="AC24" s="2"/>
      <c r="AD24" s="56"/>
      <c r="AE24" s="949"/>
      <c r="AF24" s="949"/>
      <c r="AG24" s="949"/>
      <c r="AH24" s="2198">
        <v>3930.9</v>
      </c>
      <c r="AI24" s="2198"/>
      <c r="AJ24" s="82"/>
      <c r="AK24" s="92">
        <f>1129.9</f>
        <v>1129.9000000000001</v>
      </c>
      <c r="AL24" s="82"/>
      <c r="AM24" s="82"/>
      <c r="AN24" s="92">
        <v>3801.2</v>
      </c>
      <c r="AO24" s="82"/>
    </row>
    <row r="25" spans="1:42" ht="25.5" hidden="1">
      <c r="A25" s="80" t="s">
        <v>149</v>
      </c>
      <c r="B25" s="83"/>
      <c r="C25" s="86"/>
      <c r="D25" s="87"/>
      <c r="E25" s="88"/>
      <c r="F25" s="86"/>
      <c r="G25" s="87"/>
      <c r="H25" s="88"/>
      <c r="I25" s="92">
        <f>(I14/I24)/1000</f>
        <v>9.0923721051942949E-2</v>
      </c>
      <c r="J25" s="96"/>
      <c r="K25" s="102"/>
      <c r="L25" s="92">
        <f>(L14/L24)</f>
        <v>8.9318037687986962E-2</v>
      </c>
      <c r="M25" s="96"/>
      <c r="N25" s="97"/>
      <c r="O25" s="103"/>
      <c r="P25" s="92">
        <f>(P14/P24)</f>
        <v>9.9188898661194166E-2</v>
      </c>
      <c r="Q25" s="82"/>
      <c r="R25" s="82"/>
      <c r="S25" s="92">
        <f>S14/S24</f>
        <v>9.0457357265997365E-2</v>
      </c>
      <c r="T25" s="82"/>
      <c r="U25" s="82"/>
      <c r="V25" s="2"/>
      <c r="W25" s="2"/>
      <c r="X25" s="92">
        <f>X14/X24</f>
        <v>0.10987821380243572</v>
      </c>
      <c r="Y25" s="2"/>
      <c r="Z25" s="2"/>
      <c r="AA25" s="2"/>
      <c r="AB25" s="2">
        <v>9.9000000000000005E-2</v>
      </c>
      <c r="AC25" s="2"/>
      <c r="AD25" s="79"/>
      <c r="AE25" s="952"/>
      <c r="AF25" s="952"/>
      <c r="AG25" s="952"/>
      <c r="AH25" s="92">
        <f>AH14/AH24</f>
        <v>6.5990231244753117E-2</v>
      </c>
      <c r="AI25" s="82"/>
      <c r="AJ25" s="82"/>
      <c r="AK25" s="92">
        <f>AK14/AK24</f>
        <v>4.801929374280909E-2</v>
      </c>
      <c r="AL25" s="82"/>
      <c r="AM25" s="82"/>
      <c r="AN25" s="92">
        <f>AN14/AN24</f>
        <v>9.5706618962432918E-2</v>
      </c>
      <c r="AO25" s="82"/>
      <c r="AP25" s="333">
        <f>(L25+P25+S25+AN25)/4</f>
        <v>9.3667728144402856E-2</v>
      </c>
    </row>
    <row r="26" spans="1:42" ht="25.5" hidden="1">
      <c r="A26" s="80" t="s">
        <v>150</v>
      </c>
      <c r="B26" s="83"/>
      <c r="C26" s="84"/>
      <c r="D26" s="85"/>
      <c r="E26" s="83"/>
      <c r="F26" s="84"/>
      <c r="G26" s="85"/>
      <c r="H26" s="83"/>
      <c r="I26" s="92">
        <f>(I15/I24)/1000</f>
        <v>0.4356169043569279</v>
      </c>
      <c r="J26" s="96"/>
      <c r="K26" s="95"/>
      <c r="L26" s="92">
        <f>(L15/L24)</f>
        <v>0.45993386483058529</v>
      </c>
      <c r="M26" s="96"/>
      <c r="N26" s="97"/>
      <c r="O26" s="100"/>
      <c r="P26" s="92">
        <f>(P15/P24)</f>
        <v>0.56781979869051102</v>
      </c>
      <c r="Q26" s="82"/>
      <c r="R26" s="82"/>
      <c r="S26" s="92">
        <f>S15/S24</f>
        <v>0.47946455734712506</v>
      </c>
      <c r="T26" s="82"/>
      <c r="U26" s="82"/>
      <c r="V26" s="2"/>
      <c r="W26" s="2"/>
      <c r="X26" s="92">
        <f>X15/X24</f>
        <v>0.61001353179972939</v>
      </c>
      <c r="Y26" s="2"/>
      <c r="Z26" s="2"/>
      <c r="AA26" s="2"/>
      <c r="AB26" s="2">
        <v>0.56799999999999995</v>
      </c>
      <c r="AC26" s="2"/>
      <c r="AD26" s="79"/>
      <c r="AE26" s="952"/>
      <c r="AF26" s="952"/>
      <c r="AG26" s="952"/>
      <c r="AH26" s="92">
        <f>AH15/AH24</f>
        <v>0.39184614210486146</v>
      </c>
      <c r="AI26" s="82"/>
      <c r="AJ26" s="25"/>
      <c r="AK26" s="92">
        <f>AK15/AK24</f>
        <v>0.42783786175767763</v>
      </c>
      <c r="AL26" s="25"/>
      <c r="AM26" s="25"/>
      <c r="AN26" s="92">
        <f>AN15/AN24</f>
        <v>0.60228348942439236</v>
      </c>
      <c r="AO26" s="25"/>
      <c r="AP26" s="333">
        <f>(L26+P26+S26+AN26)/4</f>
        <v>0.52737542757315348</v>
      </c>
    </row>
    <row r="27" spans="1:42" hidden="1"/>
    <row r="28" spans="1:42" hidden="1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42" hidden="1">
      <c r="A29" s="5"/>
      <c r="B29" s="5"/>
      <c r="C29" s="5"/>
      <c r="D29" s="5"/>
      <c r="E29" s="5"/>
      <c r="F29" s="5"/>
      <c r="G29" s="5"/>
      <c r="H29" s="5"/>
      <c r="I29" s="5"/>
      <c r="J29" s="5"/>
    </row>
    <row r="30" spans="1:42" hidden="1">
      <c r="A30" t="s">
        <v>215</v>
      </c>
      <c r="R30">
        <v>4.1559999999999997</v>
      </c>
      <c r="S30">
        <v>203.5</v>
      </c>
      <c r="T30">
        <v>879.9</v>
      </c>
    </row>
    <row r="31" spans="1:42" hidden="1">
      <c r="A31" t="s">
        <v>216</v>
      </c>
      <c r="R31">
        <f>T31/S31</f>
        <v>4.8315132605304187</v>
      </c>
      <c r="S31" s="127">
        <f>S14-S30</f>
        <v>64.100000000000023</v>
      </c>
      <c r="T31" s="127">
        <f>T14-T30</f>
        <v>309.69999999999993</v>
      </c>
    </row>
    <row r="32" spans="1:42" hidden="1">
      <c r="A32" t="s">
        <v>217</v>
      </c>
      <c r="R32">
        <f>T32/S32</f>
        <v>3.0743776563448693</v>
      </c>
      <c r="S32">
        <v>988.2</v>
      </c>
      <c r="T32">
        <v>3038.1</v>
      </c>
    </row>
    <row r="33" spans="1:104" hidden="1">
      <c r="A33" t="s">
        <v>218</v>
      </c>
      <c r="R33">
        <f>T33/S33</f>
        <v>3.579033007903301</v>
      </c>
      <c r="S33" s="127">
        <f>S15-S32</f>
        <v>430.20000000000005</v>
      </c>
      <c r="T33" s="127">
        <f>T15-T32</f>
        <v>1539.7000000000003</v>
      </c>
    </row>
    <row r="34" spans="1:104" hidden="1"/>
    <row r="35" spans="1:104" hidden="1">
      <c r="A35" t="s">
        <v>224</v>
      </c>
      <c r="R35">
        <v>4.2</v>
      </c>
      <c r="S35">
        <v>705.5</v>
      </c>
      <c r="T35">
        <v>2961.4</v>
      </c>
    </row>
    <row r="36" spans="1:104" hidden="1">
      <c r="A36" t="s">
        <v>225</v>
      </c>
      <c r="R36">
        <f>T36/S36</f>
        <v>4.7695837430350707</v>
      </c>
      <c r="S36">
        <f>1010.6-S35</f>
        <v>305.10000000000002</v>
      </c>
      <c r="T36">
        <f>4416.6-2961.4</f>
        <v>1455.2000000000003</v>
      </c>
    </row>
    <row r="37" spans="1:104" hidden="1">
      <c r="A37" t="s">
        <v>226</v>
      </c>
      <c r="R37">
        <f>T37/S37</f>
        <v>3.2470974551424887</v>
      </c>
      <c r="S37">
        <f>89.4+763.3</f>
        <v>852.69999999999993</v>
      </c>
      <c r="T37">
        <f>2343.2+425.6</f>
        <v>2768.7999999999997</v>
      </c>
    </row>
    <row r="38" spans="1:104" ht="2.25" hidden="1" customHeight="1">
      <c r="A38" t="s">
        <v>225</v>
      </c>
      <c r="R38">
        <f>T38/S38</f>
        <v>3.749039981929073</v>
      </c>
      <c r="S38">
        <f>131.1+1164.3-S37</f>
        <v>442.69999999999993</v>
      </c>
      <c r="T38">
        <f>3776+652.5-T37</f>
        <v>1659.7000000000003</v>
      </c>
    </row>
    <row r="39" spans="1:104" hidden="1"/>
    <row r="40" spans="1:104">
      <c r="A40" s="5021" t="s">
        <v>1663</v>
      </c>
      <c r="B40" s="5021"/>
      <c r="C40" s="5021"/>
      <c r="D40" s="5021"/>
      <c r="E40" s="5021"/>
      <c r="F40" s="5021"/>
      <c r="G40" s="5021"/>
      <c r="H40" s="5021"/>
      <c r="I40" s="5021"/>
      <c r="J40" s="5021"/>
      <c r="K40" s="5021"/>
      <c r="L40" s="5021"/>
      <c r="M40" s="5021"/>
      <c r="N40" s="5021"/>
      <c r="O40" s="5021"/>
      <c r="P40" s="5021"/>
      <c r="Q40" s="5021"/>
      <c r="R40" s="5021"/>
      <c r="S40" s="5021"/>
      <c r="T40" s="5021"/>
      <c r="U40" s="5021"/>
      <c r="V40" s="5021"/>
      <c r="W40" s="5021"/>
      <c r="X40" s="5021"/>
      <c r="Y40" s="5021"/>
      <c r="Z40" s="5021"/>
      <c r="AA40" s="5021"/>
      <c r="AB40" s="5021"/>
      <c r="AC40" s="5021"/>
      <c r="AD40" s="5021"/>
      <c r="AE40" s="5021"/>
      <c r="AF40" s="5021"/>
      <c r="AG40" s="5021"/>
      <c r="AH40" s="5021"/>
      <c r="AI40" s="5021"/>
      <c r="AJ40" s="5021"/>
      <c r="AK40" s="5021"/>
      <c r="AL40" s="5021"/>
      <c r="AM40" s="5021"/>
      <c r="AN40" s="5021"/>
      <c r="AO40" s="5021"/>
      <c r="AP40" s="5021"/>
      <c r="AQ40" s="5021"/>
      <c r="AR40" s="5021"/>
      <c r="AS40" s="5021"/>
      <c r="AT40" s="5021"/>
      <c r="AU40" s="5021"/>
      <c r="AV40" s="5021"/>
      <c r="AW40" s="5021"/>
      <c r="AX40" s="5021"/>
      <c r="AY40" s="5021"/>
      <c r="AZ40" s="5021"/>
      <c r="BA40" s="5021"/>
      <c r="BB40" s="5021"/>
      <c r="BC40" s="5021"/>
      <c r="BD40" s="5021"/>
      <c r="BE40" s="5021"/>
      <c r="BF40" s="5021"/>
      <c r="BG40" s="5021"/>
      <c r="BH40" s="5021"/>
      <c r="BI40" s="5021"/>
      <c r="BJ40" s="5021"/>
      <c r="BK40" s="5021"/>
      <c r="BL40" s="5021"/>
      <c r="BM40" s="5021"/>
      <c r="BN40" s="5021"/>
      <c r="BO40" s="5021"/>
      <c r="BP40" s="5021"/>
      <c r="BQ40" s="5021"/>
      <c r="BR40" s="5021"/>
      <c r="BS40" s="5021"/>
      <c r="BT40" s="5021"/>
      <c r="BU40" s="5021"/>
      <c r="BV40" s="5021"/>
      <c r="BW40" s="5021"/>
      <c r="BX40" s="5021"/>
      <c r="BY40" s="5021"/>
      <c r="BZ40" s="5021"/>
      <c r="CA40" s="5021"/>
      <c r="CB40" s="5021"/>
      <c r="CC40" s="5021"/>
      <c r="CD40" s="5021"/>
      <c r="CE40" s="5021"/>
      <c r="CF40" s="4894"/>
      <c r="CG40" s="4894"/>
      <c r="CH40" s="4894"/>
      <c r="CI40" s="4894"/>
      <c r="CJ40" s="4894"/>
      <c r="CK40" s="4894"/>
      <c r="CL40" s="4894"/>
      <c r="CM40" s="4894"/>
      <c r="CN40" s="4894"/>
      <c r="CO40" s="4894"/>
      <c r="CP40" s="4894"/>
      <c r="CQ40" s="4894"/>
      <c r="CR40" s="4894"/>
      <c r="CS40" s="4894"/>
      <c r="CT40" s="4894"/>
      <c r="CU40" s="4894"/>
      <c r="CV40" s="4894"/>
      <c r="CW40" s="4894"/>
      <c r="CX40" s="4894"/>
      <c r="CY40" s="4894"/>
      <c r="CZ40" s="4894"/>
    </row>
    <row r="41" spans="1:104" ht="20.25">
      <c r="A41" s="5505" t="s">
        <v>837</v>
      </c>
      <c r="B41" s="5505"/>
      <c r="C41" s="5505"/>
      <c r="D41" s="5505"/>
      <c r="E41" s="5505"/>
      <c r="F41" s="5505"/>
      <c r="G41" s="5505"/>
      <c r="H41" s="5505"/>
      <c r="I41" s="5505"/>
      <c r="J41" s="5505"/>
      <c r="K41" s="5505"/>
      <c r="L41" s="5505"/>
      <c r="M41" s="5505"/>
      <c r="N41" s="5505"/>
      <c r="O41" s="5505"/>
      <c r="P41" s="5505"/>
      <c r="Q41" s="5505"/>
      <c r="R41" s="5505"/>
      <c r="S41" s="5505"/>
      <c r="T41" s="5505"/>
      <c r="U41" s="5505"/>
      <c r="V41" s="5505"/>
      <c r="W41" s="5505"/>
      <c r="X41" s="5505"/>
      <c r="Y41" s="5505"/>
      <c r="Z41" s="5505"/>
      <c r="AA41" s="5505"/>
      <c r="AB41" s="5505"/>
      <c r="AC41" s="5505"/>
      <c r="AD41" s="5505"/>
      <c r="AE41" s="5505"/>
      <c r="AF41" s="5505"/>
      <c r="AG41" s="5505"/>
      <c r="AH41" s="5505"/>
      <c r="AI41" s="5505"/>
      <c r="AJ41" s="5505"/>
      <c r="AK41" s="5505"/>
      <c r="AL41" s="5505"/>
      <c r="AM41" s="5505"/>
      <c r="AN41" s="5505"/>
      <c r="AO41" s="5505"/>
      <c r="AP41" s="5505"/>
      <c r="AQ41" s="5505"/>
      <c r="AR41" s="5505"/>
      <c r="AS41" s="5505"/>
      <c r="AT41" s="5505"/>
      <c r="AU41" s="5505"/>
      <c r="AV41" s="5505"/>
      <c r="AW41" s="5505"/>
      <c r="AX41" s="5505"/>
      <c r="AY41" s="5505"/>
      <c r="AZ41" s="5505"/>
      <c r="BA41" s="5505"/>
      <c r="BB41" s="5505"/>
      <c r="BC41" s="5505"/>
      <c r="BD41" s="5505"/>
      <c r="BE41" s="5505"/>
      <c r="BF41" s="5505"/>
      <c r="BG41" s="5505"/>
      <c r="BH41" s="5505"/>
      <c r="BI41" s="5505"/>
      <c r="BJ41" s="5505"/>
      <c r="BK41" s="5505"/>
      <c r="BL41" s="5505"/>
      <c r="BM41" s="5505"/>
      <c r="BN41" s="5505"/>
      <c r="BO41" s="5505"/>
      <c r="BP41" s="5505"/>
      <c r="BQ41" s="5505"/>
      <c r="BR41" s="5505"/>
      <c r="BS41" s="5505"/>
      <c r="BT41" s="4894"/>
      <c r="BU41" s="4894"/>
      <c r="BV41" s="4894"/>
      <c r="BW41" s="4894"/>
      <c r="BX41" s="4894"/>
      <c r="BY41" s="4894"/>
      <c r="BZ41" s="4894"/>
      <c r="CA41" s="4894"/>
      <c r="CB41" s="4894"/>
      <c r="CC41" s="4894"/>
      <c r="CD41" s="4894"/>
      <c r="CE41" s="4894"/>
      <c r="CF41" s="4894"/>
      <c r="CG41" s="4894"/>
      <c r="CH41" s="4894"/>
      <c r="CI41" s="4894"/>
      <c r="CJ41" s="4894"/>
      <c r="CK41" s="4894"/>
      <c r="CL41" s="4894"/>
      <c r="CM41" s="4894"/>
      <c r="CN41" s="4894"/>
      <c r="CO41" s="4894"/>
      <c r="CP41" s="4894"/>
      <c r="CQ41" s="4894"/>
      <c r="CR41" s="4894"/>
      <c r="CS41" s="4894"/>
      <c r="CT41" s="4894"/>
      <c r="CU41" s="4894"/>
      <c r="CV41" s="4894"/>
      <c r="CW41" s="4894"/>
      <c r="CX41" s="4894"/>
      <c r="CY41" s="4894"/>
      <c r="CZ41" s="4894"/>
    </row>
    <row r="43" spans="1:104" ht="13.5" thickBot="1"/>
    <row r="44" spans="1:104" ht="21" thickBot="1">
      <c r="A44" s="5513" t="s">
        <v>545</v>
      </c>
      <c r="B44" s="771"/>
      <c r="C44" s="376"/>
      <c r="D44" s="376"/>
      <c r="E44" s="376"/>
      <c r="F44" s="376"/>
      <c r="G44" s="376"/>
      <c r="H44" s="376"/>
      <c r="I44" s="376"/>
      <c r="J44" s="779"/>
      <c r="K44" s="5468" t="s">
        <v>298</v>
      </c>
      <c r="L44" s="5469"/>
      <c r="M44" s="5469"/>
      <c r="N44" s="5469"/>
      <c r="O44" s="5469"/>
      <c r="P44" s="5469"/>
      <c r="Q44" s="5469"/>
      <c r="R44" s="5469"/>
      <c r="S44" s="5469"/>
      <c r="T44" s="5469"/>
      <c r="U44" s="5469"/>
      <c r="V44" s="5469"/>
      <c r="W44" s="5469"/>
      <c r="X44" s="5469"/>
      <c r="Y44" s="5469"/>
      <c r="Z44" s="5469"/>
      <c r="AA44" s="5469"/>
      <c r="AB44" s="5469"/>
      <c r="AC44" s="5469"/>
      <c r="AD44" s="5469"/>
      <c r="AE44" s="5476"/>
      <c r="AF44" s="5476"/>
      <c r="AG44" s="5477"/>
      <c r="AH44" s="5468" t="s">
        <v>840</v>
      </c>
      <c r="AI44" s="5469"/>
      <c r="AJ44" s="5469"/>
      <c r="AK44" s="5469"/>
      <c r="AL44" s="5469"/>
      <c r="AM44" s="5469"/>
      <c r="AN44" s="5469"/>
      <c r="AO44" s="5469"/>
      <c r="AP44" s="5469"/>
      <c r="AQ44" s="5469"/>
      <c r="AR44" s="5470"/>
      <c r="AS44" s="5470"/>
      <c r="AT44" s="5470"/>
      <c r="AU44" s="5470"/>
      <c r="AV44" s="5470"/>
      <c r="AW44" s="5471"/>
      <c r="AX44" s="5434" t="s">
        <v>841</v>
      </c>
      <c r="AY44" s="5435"/>
      <c r="AZ44" s="5435"/>
      <c r="BA44" s="5435"/>
      <c r="BB44" s="5435"/>
      <c r="BC44" s="5435"/>
      <c r="BD44" s="5435"/>
      <c r="BE44" s="5435"/>
      <c r="BF44" s="5435"/>
      <c r="BG44" s="5436"/>
      <c r="BH44" s="5434" t="s">
        <v>1550</v>
      </c>
      <c r="BI44" s="5435"/>
      <c r="BJ44" s="5436"/>
      <c r="BK44" s="5487" t="s">
        <v>841</v>
      </c>
      <c r="BL44" s="5435"/>
      <c r="BM44" s="5488"/>
      <c r="BN44" s="5434" t="s">
        <v>1551</v>
      </c>
      <c r="BO44" s="5435"/>
      <c r="BP44" s="5436"/>
      <c r="BQ44" s="2387"/>
      <c r="BT44" s="5443" t="s">
        <v>1654</v>
      </c>
      <c r="BU44" s="5444"/>
      <c r="BV44" s="5445"/>
      <c r="BW44" s="5495" t="s">
        <v>1658</v>
      </c>
      <c r="BX44" s="5496"/>
      <c r="BY44" s="5496"/>
      <c r="BZ44" s="5496"/>
      <c r="CA44" s="5496"/>
      <c r="CB44" s="5496"/>
      <c r="CC44" s="5496"/>
      <c r="CD44" s="5496"/>
      <c r="CE44" s="5497"/>
      <c r="CF44" s="5443" t="s">
        <v>1550</v>
      </c>
      <c r="CG44" s="5444"/>
      <c r="CH44" s="5444"/>
      <c r="CI44" s="5511"/>
      <c r="CJ44" s="5511"/>
      <c r="CK44" s="5512"/>
      <c r="CL44" s="5515" t="s">
        <v>1897</v>
      </c>
      <c r="CM44" s="5516"/>
      <c r="CN44" s="5516"/>
      <c r="CO44" s="5516"/>
      <c r="CP44" s="5516"/>
      <c r="CQ44" s="5516"/>
      <c r="CR44" s="5516"/>
      <c r="CS44" s="5516"/>
      <c r="CT44" s="5517"/>
      <c r="CU44" s="5443" t="s">
        <v>1850</v>
      </c>
      <c r="CV44" s="5444"/>
      <c r="CW44" s="5444"/>
      <c r="CX44" s="5501"/>
      <c r="CY44" s="5501"/>
      <c r="CZ44" s="5092"/>
    </row>
    <row r="45" spans="1:104" ht="20.25">
      <c r="A45" s="5514"/>
      <c r="B45" s="771"/>
      <c r="C45" s="376"/>
      <c r="D45" s="376"/>
      <c r="E45" s="376"/>
      <c r="F45" s="376"/>
      <c r="G45" s="376"/>
      <c r="H45" s="376"/>
      <c r="I45" s="376"/>
      <c r="J45" s="779"/>
      <c r="K45" s="5506" t="s">
        <v>129</v>
      </c>
      <c r="L45" s="5429"/>
      <c r="M45" s="5429"/>
      <c r="N45" s="5429"/>
      <c r="O45" s="5429" t="s">
        <v>130</v>
      </c>
      <c r="P45" s="5429"/>
      <c r="Q45" s="5429"/>
      <c r="R45" s="5429"/>
      <c r="S45" s="5428" t="s">
        <v>367</v>
      </c>
      <c r="T45" s="5428"/>
      <c r="U45" s="5428"/>
      <c r="V45" s="5428"/>
      <c r="W45" s="2193"/>
      <c r="X45" s="5429" t="s">
        <v>390</v>
      </c>
      <c r="Y45" s="5429"/>
      <c r="Z45" s="5429"/>
      <c r="AA45" s="5429"/>
      <c r="AB45" s="5429" t="s">
        <v>134</v>
      </c>
      <c r="AC45" s="5429"/>
      <c r="AD45" s="5429"/>
      <c r="AE45" s="5489" t="s">
        <v>838</v>
      </c>
      <c r="AF45" s="5490"/>
      <c r="AG45" s="5491"/>
      <c r="AH45" s="5430" t="s">
        <v>129</v>
      </c>
      <c r="AI45" s="5431"/>
      <c r="AJ45" s="5431"/>
      <c r="AK45" s="5431"/>
      <c r="AL45" s="5429" t="s">
        <v>130</v>
      </c>
      <c r="AM45" s="5429"/>
      <c r="AN45" s="5429"/>
      <c r="AO45" s="5478" t="s">
        <v>367</v>
      </c>
      <c r="AP45" s="5478"/>
      <c r="AQ45" s="5478"/>
      <c r="AR45" s="5479" t="s">
        <v>390</v>
      </c>
      <c r="AS45" s="5479"/>
      <c r="AT45" s="5479"/>
      <c r="AU45" s="5507" t="s">
        <v>134</v>
      </c>
      <c r="AV45" s="5431"/>
      <c r="AW45" s="5431"/>
      <c r="AX45" s="5484" t="s">
        <v>129</v>
      </c>
      <c r="AY45" s="5485"/>
      <c r="AZ45" s="5485"/>
      <c r="BA45" s="5492"/>
      <c r="BB45" s="5485" t="s">
        <v>130</v>
      </c>
      <c r="BC45" s="5485"/>
      <c r="BD45" s="5485"/>
      <c r="BE45" s="5508" t="s">
        <v>367</v>
      </c>
      <c r="BF45" s="5508"/>
      <c r="BG45" s="5509"/>
      <c r="BH45" s="5484" t="s">
        <v>130</v>
      </c>
      <c r="BI45" s="5485"/>
      <c r="BJ45" s="5486"/>
      <c r="BK45" s="5472" t="s">
        <v>367</v>
      </c>
      <c r="BL45" s="5473"/>
      <c r="BM45" s="5451"/>
      <c r="BN45" s="5484" t="s">
        <v>130</v>
      </c>
      <c r="BO45" s="5485"/>
      <c r="BP45" s="5486"/>
      <c r="BQ45" s="5450" t="s">
        <v>367</v>
      </c>
      <c r="BR45" s="5429"/>
      <c r="BS45" s="5451"/>
      <c r="BT45" s="5446"/>
      <c r="BU45" s="5447"/>
      <c r="BV45" s="5448"/>
      <c r="BW45" s="5498"/>
      <c r="BX45" s="5499"/>
      <c r="BY45" s="5499"/>
      <c r="BZ45" s="5499"/>
      <c r="CA45" s="5499"/>
      <c r="CB45" s="5499"/>
      <c r="CC45" s="5499"/>
      <c r="CD45" s="5499"/>
      <c r="CE45" s="5500"/>
      <c r="CF45" s="5432" t="s">
        <v>129</v>
      </c>
      <c r="CG45" s="5433"/>
      <c r="CH45" s="5433"/>
      <c r="CI45" s="5433" t="s">
        <v>130</v>
      </c>
      <c r="CJ45" s="5433"/>
      <c r="CK45" s="5510"/>
      <c r="CL45" s="5518" t="s">
        <v>598</v>
      </c>
      <c r="CM45" s="5519"/>
      <c r="CN45" s="5519"/>
      <c r="CO45" s="5519" t="s">
        <v>229</v>
      </c>
      <c r="CP45" s="5519"/>
      <c r="CQ45" s="5519"/>
      <c r="CR45" s="5519" t="s">
        <v>1899</v>
      </c>
      <c r="CS45" s="5519"/>
      <c r="CT45" s="5520"/>
      <c r="CU45" s="5502" t="s">
        <v>129</v>
      </c>
      <c r="CV45" s="5503"/>
      <c r="CW45" s="5503"/>
      <c r="CX45" s="5503" t="s">
        <v>130</v>
      </c>
      <c r="CY45" s="5503"/>
      <c r="CZ45" s="5504"/>
    </row>
    <row r="46" spans="1:104" ht="18" customHeight="1">
      <c r="A46" s="5514"/>
      <c r="B46" s="771"/>
      <c r="C46" s="376"/>
      <c r="D46" s="376"/>
      <c r="E46" s="376"/>
      <c r="F46" s="376"/>
      <c r="G46" s="376"/>
      <c r="H46" s="376"/>
      <c r="I46" s="376"/>
      <c r="J46" s="779"/>
      <c r="K46" s="961" t="s">
        <v>118</v>
      </c>
      <c r="L46" s="5426" t="s">
        <v>839</v>
      </c>
      <c r="M46" s="5426" t="s">
        <v>102</v>
      </c>
      <c r="N46" s="5426" t="s">
        <v>102</v>
      </c>
      <c r="O46" s="2192" t="s">
        <v>118</v>
      </c>
      <c r="P46" s="5426" t="s">
        <v>839</v>
      </c>
      <c r="Q46" s="5426" t="s">
        <v>102</v>
      </c>
      <c r="R46" s="5426" t="s">
        <v>243</v>
      </c>
      <c r="S46" s="5428"/>
      <c r="T46" s="5428"/>
      <c r="U46" s="5428"/>
      <c r="V46" s="5428"/>
      <c r="W46" s="2192"/>
      <c r="X46" s="2192" t="s">
        <v>118</v>
      </c>
      <c r="Y46" s="5426" t="s">
        <v>839</v>
      </c>
      <c r="Z46" s="5426" t="s">
        <v>102</v>
      </c>
      <c r="AA46" s="5426" t="s">
        <v>102</v>
      </c>
      <c r="AB46" s="2192" t="s">
        <v>118</v>
      </c>
      <c r="AC46" s="5426" t="s">
        <v>839</v>
      </c>
      <c r="AD46" s="5426" t="s">
        <v>102</v>
      </c>
      <c r="AE46" s="2199" t="s">
        <v>118</v>
      </c>
      <c r="AF46" s="5475" t="s">
        <v>839</v>
      </c>
      <c r="AG46" s="5427" t="s">
        <v>102</v>
      </c>
      <c r="AH46" s="961" t="s">
        <v>118</v>
      </c>
      <c r="AI46" s="5426" t="s">
        <v>839</v>
      </c>
      <c r="AJ46" s="5426" t="s">
        <v>102</v>
      </c>
      <c r="AK46" s="5426" t="s">
        <v>395</v>
      </c>
      <c r="AL46" s="2192" t="s">
        <v>118</v>
      </c>
      <c r="AM46" s="5426" t="s">
        <v>839</v>
      </c>
      <c r="AN46" s="5426" t="s">
        <v>102</v>
      </c>
      <c r="AO46" s="5425" t="s">
        <v>845</v>
      </c>
      <c r="AP46" s="5425"/>
      <c r="AQ46" s="5425"/>
      <c r="AR46" s="2200" t="s">
        <v>118</v>
      </c>
      <c r="AS46" s="5425" t="s">
        <v>839</v>
      </c>
      <c r="AT46" s="5425" t="s">
        <v>102</v>
      </c>
      <c r="AU46" s="985" t="s">
        <v>118</v>
      </c>
      <c r="AV46" s="5426" t="s">
        <v>839</v>
      </c>
      <c r="AW46" s="5426" t="s">
        <v>102</v>
      </c>
      <c r="AX46" s="3435" t="s">
        <v>118</v>
      </c>
      <c r="AY46" s="5438" t="s">
        <v>839</v>
      </c>
      <c r="AZ46" s="5438" t="s">
        <v>102</v>
      </c>
      <c r="BA46" s="5438" t="s">
        <v>395</v>
      </c>
      <c r="BB46" s="3436" t="s">
        <v>118</v>
      </c>
      <c r="BC46" s="5438" t="s">
        <v>839</v>
      </c>
      <c r="BD46" s="5438" t="s">
        <v>102</v>
      </c>
      <c r="BE46" s="5438" t="s">
        <v>845</v>
      </c>
      <c r="BF46" s="5438"/>
      <c r="BG46" s="5440"/>
      <c r="BH46" s="3435" t="s">
        <v>118</v>
      </c>
      <c r="BI46" s="5438" t="s">
        <v>839</v>
      </c>
      <c r="BJ46" s="5440" t="s">
        <v>102</v>
      </c>
      <c r="BK46" s="5452" t="s">
        <v>845</v>
      </c>
      <c r="BL46" s="5453"/>
      <c r="BM46" s="5442"/>
      <c r="BN46" s="3435" t="s">
        <v>118</v>
      </c>
      <c r="BO46" s="5438" t="s">
        <v>839</v>
      </c>
      <c r="BP46" s="5440" t="s">
        <v>102</v>
      </c>
      <c r="BQ46" s="5441" t="s">
        <v>845</v>
      </c>
      <c r="BR46" s="5426"/>
      <c r="BS46" s="5442"/>
      <c r="BT46" s="3472" t="s">
        <v>118</v>
      </c>
      <c r="BU46" s="5449" t="s">
        <v>839</v>
      </c>
      <c r="BV46" s="5439" t="s">
        <v>102</v>
      </c>
      <c r="BW46" s="2743" t="s">
        <v>118</v>
      </c>
      <c r="BX46" s="5437" t="s">
        <v>839</v>
      </c>
      <c r="BY46" s="5437" t="s">
        <v>102</v>
      </c>
      <c r="BZ46" s="2744" t="s">
        <v>118</v>
      </c>
      <c r="CA46" s="5437" t="s">
        <v>839</v>
      </c>
      <c r="CB46" s="5437" t="s">
        <v>102</v>
      </c>
      <c r="CC46" s="2744" t="s">
        <v>118</v>
      </c>
      <c r="CD46" s="5437" t="s">
        <v>839</v>
      </c>
      <c r="CE46" s="5474" t="s">
        <v>102</v>
      </c>
      <c r="CF46" s="3472" t="s">
        <v>118</v>
      </c>
      <c r="CG46" s="5449" t="s">
        <v>839</v>
      </c>
      <c r="CH46" s="5449" t="s">
        <v>102</v>
      </c>
      <c r="CI46" s="3486" t="s">
        <v>118</v>
      </c>
      <c r="CJ46" s="5449" t="s">
        <v>839</v>
      </c>
      <c r="CK46" s="5439" t="s">
        <v>102</v>
      </c>
      <c r="CL46" s="4210" t="s">
        <v>118</v>
      </c>
      <c r="CM46" s="5521" t="s">
        <v>839</v>
      </c>
      <c r="CN46" s="5521" t="s">
        <v>102</v>
      </c>
      <c r="CO46" s="4211" t="s">
        <v>118</v>
      </c>
      <c r="CP46" s="5521" t="s">
        <v>839</v>
      </c>
      <c r="CQ46" s="5521" t="s">
        <v>102</v>
      </c>
      <c r="CR46" s="4211" t="s">
        <v>118</v>
      </c>
      <c r="CS46" s="5521" t="s">
        <v>839</v>
      </c>
      <c r="CT46" s="5522" t="s">
        <v>102</v>
      </c>
      <c r="CU46" s="3472" t="s">
        <v>118</v>
      </c>
      <c r="CV46" s="5449" t="s">
        <v>839</v>
      </c>
      <c r="CW46" s="5449" t="s">
        <v>102</v>
      </c>
      <c r="CX46" s="4105" t="s">
        <v>118</v>
      </c>
      <c r="CY46" s="5449" t="s">
        <v>839</v>
      </c>
      <c r="CZ46" s="5439" t="s">
        <v>102</v>
      </c>
    </row>
    <row r="47" spans="1:104" ht="37.5">
      <c r="A47" s="5514"/>
      <c r="B47" s="771"/>
      <c r="C47" s="376"/>
      <c r="D47" s="376"/>
      <c r="E47" s="376"/>
      <c r="F47" s="376"/>
      <c r="G47" s="376"/>
      <c r="H47" s="376"/>
      <c r="I47" s="376"/>
      <c r="J47" s="779"/>
      <c r="K47" s="961" t="s">
        <v>232</v>
      </c>
      <c r="L47" s="5426"/>
      <c r="M47" s="5426"/>
      <c r="N47" s="5426"/>
      <c r="O47" s="2192" t="s">
        <v>232</v>
      </c>
      <c r="P47" s="5426"/>
      <c r="Q47" s="5426"/>
      <c r="R47" s="5426"/>
      <c r="S47" s="2192" t="s">
        <v>118</v>
      </c>
      <c r="T47" s="2192" t="s">
        <v>376</v>
      </c>
      <c r="U47" s="2192"/>
      <c r="V47" s="2192" t="s">
        <v>102</v>
      </c>
      <c r="W47" s="2192"/>
      <c r="X47" s="2192" t="s">
        <v>232</v>
      </c>
      <c r="Y47" s="5426"/>
      <c r="Z47" s="5426"/>
      <c r="AA47" s="5426"/>
      <c r="AB47" s="2192" t="s">
        <v>232</v>
      </c>
      <c r="AC47" s="5426"/>
      <c r="AD47" s="5426"/>
      <c r="AE47" s="2199" t="s">
        <v>232</v>
      </c>
      <c r="AF47" s="5475"/>
      <c r="AG47" s="5427"/>
      <c r="AH47" s="961" t="s">
        <v>232</v>
      </c>
      <c r="AI47" s="5426"/>
      <c r="AJ47" s="5426"/>
      <c r="AK47" s="5426"/>
      <c r="AL47" s="2192" t="s">
        <v>232</v>
      </c>
      <c r="AM47" s="5426"/>
      <c r="AN47" s="5426"/>
      <c r="AO47" s="2200" t="s">
        <v>118</v>
      </c>
      <c r="AP47" s="2200" t="s">
        <v>376</v>
      </c>
      <c r="AQ47" s="2200" t="s">
        <v>102</v>
      </c>
      <c r="AR47" s="2200" t="s">
        <v>232</v>
      </c>
      <c r="AS47" s="5425"/>
      <c r="AT47" s="5425"/>
      <c r="AU47" s="985" t="s">
        <v>232</v>
      </c>
      <c r="AV47" s="5426"/>
      <c r="AW47" s="5426"/>
      <c r="AX47" s="3435" t="s">
        <v>232</v>
      </c>
      <c r="AY47" s="5438"/>
      <c r="AZ47" s="5438"/>
      <c r="BA47" s="5438"/>
      <c r="BB47" s="3436" t="s">
        <v>232</v>
      </c>
      <c r="BC47" s="5438"/>
      <c r="BD47" s="5438"/>
      <c r="BE47" s="3436" t="s">
        <v>118</v>
      </c>
      <c r="BF47" s="3436" t="s">
        <v>376</v>
      </c>
      <c r="BG47" s="3437" t="s">
        <v>102</v>
      </c>
      <c r="BH47" s="3435" t="s">
        <v>232</v>
      </c>
      <c r="BI47" s="5438"/>
      <c r="BJ47" s="5440"/>
      <c r="BK47" s="3430" t="s">
        <v>118</v>
      </c>
      <c r="BL47" s="2729" t="s">
        <v>376</v>
      </c>
      <c r="BM47" s="3467" t="s">
        <v>102</v>
      </c>
      <c r="BN47" s="3435" t="s">
        <v>232</v>
      </c>
      <c r="BO47" s="5438"/>
      <c r="BP47" s="5440"/>
      <c r="BQ47" s="2723" t="s">
        <v>118</v>
      </c>
      <c r="BR47" s="2192" t="s">
        <v>376</v>
      </c>
      <c r="BS47" s="3467" t="s">
        <v>102</v>
      </c>
      <c r="BT47" s="3472" t="s">
        <v>232</v>
      </c>
      <c r="BU47" s="5449"/>
      <c r="BV47" s="5439"/>
      <c r="BW47" s="2743" t="s">
        <v>232</v>
      </c>
      <c r="BX47" s="5437"/>
      <c r="BY47" s="5437"/>
      <c r="BZ47" s="2744" t="s">
        <v>232</v>
      </c>
      <c r="CA47" s="5437"/>
      <c r="CB47" s="5437"/>
      <c r="CC47" s="2744" t="s">
        <v>232</v>
      </c>
      <c r="CD47" s="5437"/>
      <c r="CE47" s="5474"/>
      <c r="CF47" s="3472" t="s">
        <v>232</v>
      </c>
      <c r="CG47" s="5449"/>
      <c r="CH47" s="5449"/>
      <c r="CI47" s="3486" t="s">
        <v>232</v>
      </c>
      <c r="CJ47" s="5449"/>
      <c r="CK47" s="5439"/>
      <c r="CL47" s="4210" t="s">
        <v>232</v>
      </c>
      <c r="CM47" s="5521"/>
      <c r="CN47" s="5521"/>
      <c r="CO47" s="4211" t="s">
        <v>232</v>
      </c>
      <c r="CP47" s="5521"/>
      <c r="CQ47" s="5521"/>
      <c r="CR47" s="4211" t="s">
        <v>232</v>
      </c>
      <c r="CS47" s="5521"/>
      <c r="CT47" s="5522"/>
      <c r="CU47" s="3472" t="s">
        <v>232</v>
      </c>
      <c r="CV47" s="5449"/>
      <c r="CW47" s="5449"/>
      <c r="CX47" s="4105" t="s">
        <v>232</v>
      </c>
      <c r="CY47" s="5449"/>
      <c r="CZ47" s="5439"/>
    </row>
    <row r="48" spans="1:104" ht="30" customHeight="1">
      <c r="A48" s="973" t="s">
        <v>139</v>
      </c>
      <c r="B48" s="771"/>
      <c r="C48" s="376"/>
      <c r="D48" s="376"/>
      <c r="E48" s="376"/>
      <c r="F48" s="376"/>
      <c r="G48" s="376"/>
      <c r="H48" s="376"/>
      <c r="I48" s="376"/>
      <c r="J48" s="779"/>
      <c r="K48" s="963">
        <v>5.75</v>
      </c>
      <c r="L48" s="964">
        <v>1091.2</v>
      </c>
      <c r="M48" s="956">
        <f>L48*K48</f>
        <v>6274.4000000000005</v>
      </c>
      <c r="N48" s="964">
        <f>K48*M48</f>
        <v>36077.800000000003</v>
      </c>
      <c r="O48" s="957">
        <v>5.5810000000000004</v>
      </c>
      <c r="P48" s="851">
        <f>Q56*Q57</f>
        <v>808.97481109618491</v>
      </c>
      <c r="Q48" s="851">
        <f>O48*P48</f>
        <v>4514.8884207278079</v>
      </c>
      <c r="R48" s="965"/>
      <c r="S48" s="957">
        <f>O48-K48</f>
        <v>-0.16899999999999959</v>
      </c>
      <c r="T48" s="2193">
        <f>P48-L48</f>
        <v>-282.22518890381514</v>
      </c>
      <c r="U48" s="965"/>
      <c r="V48" s="2193">
        <f>Q48-M48</f>
        <v>-1759.5115792721926</v>
      </c>
      <c r="W48" s="965"/>
      <c r="X48" s="957">
        <v>4.9657999999999998</v>
      </c>
      <c r="Y48" s="964">
        <v>505.33199999999999</v>
      </c>
      <c r="Z48" s="956">
        <v>2509.4</v>
      </c>
      <c r="AA48" s="964">
        <f>X48*Z48</f>
        <v>12461.178519999999</v>
      </c>
      <c r="AB48" s="957">
        <f t="shared" ref="AB48:AB55" si="3">AD48/AC48</f>
        <v>4.9915147295592019</v>
      </c>
      <c r="AC48" s="964">
        <v>689.43</v>
      </c>
      <c r="AD48" s="956">
        <v>3441.3</v>
      </c>
      <c r="AE48" s="998">
        <f>SUM(AG48/AF48)</f>
        <v>5.007427152968611</v>
      </c>
      <c r="AF48" s="999">
        <v>910.84699999999998</v>
      </c>
      <c r="AG48" s="421">
        <v>4561</v>
      </c>
      <c r="AH48" s="963">
        <v>5.5810000000000004</v>
      </c>
      <c r="AI48" s="964">
        <v>846.8</v>
      </c>
      <c r="AJ48" s="851">
        <f>4962.29</f>
        <v>4962.29</v>
      </c>
      <c r="AK48" s="964"/>
      <c r="AL48" s="957">
        <f>K73*1.028</f>
        <v>5.2037132396875592</v>
      </c>
      <c r="AM48" s="851">
        <f>AN56*AN57</f>
        <v>883.18331415423415</v>
      </c>
      <c r="AN48" s="851">
        <f>AL48*AM48</f>
        <v>4595.8327049355248</v>
      </c>
      <c r="AO48" s="987">
        <f t="shared" ref="AO48:AQ54" si="4">AL48-AH48</f>
        <v>-0.37728676031244124</v>
      </c>
      <c r="AP48" s="988">
        <f t="shared" si="4"/>
        <v>36.383314154234199</v>
      </c>
      <c r="AQ48" s="988">
        <f t="shared" si="4"/>
        <v>-366.45729506447515</v>
      </c>
      <c r="AR48" s="987">
        <f>SUM(AT48/AS48)</f>
        <v>4.9360225547603553</v>
      </c>
      <c r="AS48" s="989">
        <v>414.99</v>
      </c>
      <c r="AT48" s="990">
        <v>2048.4</v>
      </c>
      <c r="AU48" s="987">
        <f>SUM(AW48/AV48)</f>
        <v>5.0309675458654715</v>
      </c>
      <c r="AV48" s="1962">
        <v>546.21699999999998</v>
      </c>
      <c r="AW48" s="1963">
        <v>2748</v>
      </c>
      <c r="AX48" s="3438">
        <f>SUM(AL48*1.1)</f>
        <v>5.7240845636563158</v>
      </c>
      <c r="AY48" s="3421">
        <v>910.85</v>
      </c>
      <c r="AZ48" s="3439">
        <f>SUM(AX48*AY48)</f>
        <v>5213.7824248063553</v>
      </c>
      <c r="BA48" s="3440">
        <f t="shared" ref="BA48:BA62" si="5">SUM(AZ48/AN48)</f>
        <v>1.1344587062986879</v>
      </c>
      <c r="BB48" s="3441">
        <f>(AU64+AU64*1.06)/2</f>
        <v>5.4911565455279785</v>
      </c>
      <c r="BC48" s="3442">
        <f>BD56*BD57</f>
        <v>703.79138799999998</v>
      </c>
      <c r="BD48" s="3443">
        <f>BC48*BB48</f>
        <v>3864.6286869024211</v>
      </c>
      <c r="BE48" s="3441">
        <f t="shared" ref="BE48:BG54" si="6">BB48-AX48</f>
        <v>-0.2329280181283373</v>
      </c>
      <c r="BF48" s="3444">
        <f t="shared" si="6"/>
        <v>-207.05861200000004</v>
      </c>
      <c r="BG48" s="3445">
        <f t="shared" si="6"/>
        <v>-1349.1537379039341</v>
      </c>
      <c r="BH48" s="3461">
        <f>BB48*1.066</f>
        <v>5.8535728775328257</v>
      </c>
      <c r="BI48" s="3442">
        <f>BJ56*BJ57</f>
        <v>689.4896345311181</v>
      </c>
      <c r="BJ48" s="3462">
        <f>BI48*BH48</f>
        <v>4035.9778240313735</v>
      </c>
      <c r="BK48" s="3431">
        <f>BH48-BB48</f>
        <v>0.36241633200484724</v>
      </c>
      <c r="BL48" s="2733">
        <f t="shared" ref="BL48" si="7">BI48-BE48</f>
        <v>689.72256254924639</v>
      </c>
      <c r="BM48" s="3468">
        <f t="shared" ref="BM48" si="8">BJ48-BF48</f>
        <v>4243.0364360313733</v>
      </c>
      <c r="BN48" s="3461">
        <f>BH48*1.067</f>
        <v>6.2457622603275249</v>
      </c>
      <c r="BO48" s="3442">
        <f>BP56*BP57</f>
        <v>689.4896345311181</v>
      </c>
      <c r="BP48" s="3462">
        <f>BO48*BN48</f>
        <v>4306.3883382414751</v>
      </c>
      <c r="BQ48" s="2724">
        <f t="shared" ref="BQ48" si="9">BN48-BJ48</f>
        <v>-4029.7320617710461</v>
      </c>
      <c r="BR48" s="2193">
        <f t="shared" ref="BR48" si="10">BO48-BK48</f>
        <v>689.12721819911326</v>
      </c>
      <c r="BS48" s="3468">
        <f t="shared" ref="BS48" si="11">BP48-BL48</f>
        <v>3616.6657756922286</v>
      </c>
      <c r="BT48" s="3473">
        <f>SUM(BV48/BU48)</f>
        <v>5.137487369484675</v>
      </c>
      <c r="BU48" s="3474">
        <f>SUM(электр!BI48)</f>
        <v>742.25</v>
      </c>
      <c r="BV48" s="3475">
        <f>SUM(электр!BJ48)</f>
        <v>3813.3</v>
      </c>
      <c r="BW48" s="2745">
        <f>SUM(BY48/BX48)</f>
        <v>2.4988840685106704</v>
      </c>
      <c r="BX48" s="2746">
        <f>SUM(электр!BL48)</f>
        <v>398.77</v>
      </c>
      <c r="BY48" s="2752">
        <f>SUM(электр!BM48)</f>
        <v>996.48</v>
      </c>
      <c r="BZ48" s="2753">
        <f>SUM(CB48/CA48)</f>
        <v>2.4608424138150768</v>
      </c>
      <c r="CA48" s="2746">
        <f>SUM(электр!BO48)</f>
        <v>549.255</v>
      </c>
      <c r="CB48" s="2752">
        <f>SUM(электр!BP48)</f>
        <v>1351.63</v>
      </c>
      <c r="CC48" s="2753">
        <f>SUM(CE48/CD48)</f>
        <v>2.4452635206706232</v>
      </c>
      <c r="CD48" s="2746">
        <f>SUM(электр!BR48)</f>
        <v>789.23599999999999</v>
      </c>
      <c r="CE48" s="2754">
        <f>SUM(электр!BS48)</f>
        <v>1929.89</v>
      </c>
      <c r="CF48" s="3473">
        <f>SUM(CH48/CG48)</f>
        <v>6.0402722000807767</v>
      </c>
      <c r="CG48" s="3474">
        <f>SUM(электр!BU48)</f>
        <v>698.89499999999998</v>
      </c>
      <c r="CH48" s="3487">
        <f>SUM(электр!BV48)</f>
        <v>4221.5160392754542</v>
      </c>
      <c r="CI48" s="3488">
        <f>SUM(CK48/CJ48)</f>
        <v>5.6443833236826872</v>
      </c>
      <c r="CJ48" s="3474">
        <f>SUM(электр!BY48)</f>
        <v>690.8</v>
      </c>
      <c r="CK48" s="3475">
        <f>SUM(электр!BZ48)</f>
        <v>3899.14</v>
      </c>
      <c r="CL48" s="4213">
        <f>SUM(CN48/CM48)</f>
        <v>4.4581943593583366</v>
      </c>
      <c r="CM48" s="4214">
        <f>SUM(электр!CE48)</f>
        <v>440.73</v>
      </c>
      <c r="CN48" s="4214">
        <f>SUM(электр!CF48)</f>
        <v>1964.86</v>
      </c>
      <c r="CO48" s="4215">
        <f>SUM(CQ48/CP48)</f>
        <v>4.5777549648332512</v>
      </c>
      <c r="CP48" s="4214">
        <f>SUM(электр!CH48)</f>
        <v>635.11699999999996</v>
      </c>
      <c r="CQ48" s="4214">
        <f>SUM(электр!CI48)</f>
        <v>2907.41</v>
      </c>
      <c r="CR48" s="4215">
        <f>SUM(CT48/CS48)</f>
        <v>4.6535134215060401</v>
      </c>
      <c r="CS48" s="4214">
        <f>SUM(электр!CK48)</f>
        <v>846.82266666666658</v>
      </c>
      <c r="CT48" s="4216">
        <f>SUM(электр!CL48)</f>
        <v>3940.7006449688683</v>
      </c>
      <c r="CU48" s="3473">
        <f>SUM(CW48/CV48)</f>
        <v>6.0392250000000001</v>
      </c>
      <c r="CV48" s="3474">
        <f>SUM(электр!CN48)</f>
        <v>690.68</v>
      </c>
      <c r="CW48" s="3474">
        <f>SUM(электр!CO48)</f>
        <v>4171.1719229999999</v>
      </c>
      <c r="CX48" s="4402">
        <f>SUM(CZ48/CY48)</f>
        <v>6.0397925000000008</v>
      </c>
      <c r="CY48" s="4403">
        <f>SUM(электр!CR48)</f>
        <v>660.458844</v>
      </c>
      <c r="CZ48" s="4404">
        <f>SUM(электр!CS48)</f>
        <v>3989.0343725498706</v>
      </c>
    </row>
    <row r="49" spans="1:104" ht="30" customHeight="1">
      <c r="A49" s="1808" t="s">
        <v>1662</v>
      </c>
      <c r="B49" s="1809"/>
      <c r="C49" s="1810"/>
      <c r="D49" s="1810"/>
      <c r="E49" s="1810"/>
      <c r="F49" s="1810"/>
      <c r="G49" s="1810"/>
      <c r="H49" s="1810"/>
      <c r="I49" s="1810"/>
      <c r="J49" s="1811"/>
      <c r="K49" s="1812"/>
      <c r="L49" s="1813"/>
      <c r="M49" s="1814"/>
      <c r="N49" s="1813"/>
      <c r="O49" s="1815"/>
      <c r="P49" s="1816"/>
      <c r="Q49" s="1816"/>
      <c r="R49" s="1817"/>
      <c r="S49" s="1815"/>
      <c r="T49" s="1818"/>
      <c r="U49" s="1817"/>
      <c r="V49" s="1818"/>
      <c r="W49" s="1817"/>
      <c r="X49" s="1815"/>
      <c r="Y49" s="1813"/>
      <c r="Z49" s="1814"/>
      <c r="AA49" s="1813"/>
      <c r="AB49" s="1815"/>
      <c r="AC49" s="1813"/>
      <c r="AD49" s="1814"/>
      <c r="AE49" s="1819"/>
      <c r="AF49" s="1820"/>
      <c r="AG49" s="1821"/>
      <c r="AH49" s="1812"/>
      <c r="AI49" s="1813"/>
      <c r="AJ49" s="1816"/>
      <c r="AK49" s="1813"/>
      <c r="AL49" s="1815"/>
      <c r="AM49" s="1816"/>
      <c r="AN49" s="1816"/>
      <c r="AO49" s="1815"/>
      <c r="AP49" s="1818"/>
      <c r="AQ49" s="1818"/>
      <c r="AR49" s="1815"/>
      <c r="AS49" s="1813"/>
      <c r="AT49" s="1816">
        <v>132.9</v>
      </c>
      <c r="AU49" s="1815"/>
      <c r="AV49" s="1962"/>
      <c r="AW49" s="1963">
        <v>205.8</v>
      </c>
      <c r="AX49" s="3438"/>
      <c r="AY49" s="3421"/>
      <c r="AZ49" s="3439"/>
      <c r="BA49" s="3440"/>
      <c r="BB49" s="3441"/>
      <c r="BC49" s="3442"/>
      <c r="BD49" s="3443"/>
      <c r="BE49" s="3441"/>
      <c r="BF49" s="3444"/>
      <c r="BG49" s="3445"/>
      <c r="BH49" s="3461"/>
      <c r="BI49" s="3442"/>
      <c r="BJ49" s="3462"/>
      <c r="BK49" s="3431"/>
      <c r="BL49" s="2733"/>
      <c r="BM49" s="3468"/>
      <c r="BN49" s="3461"/>
      <c r="BO49" s="3442"/>
      <c r="BP49" s="3462"/>
      <c r="BQ49" s="2724"/>
      <c r="BR49" s="1818"/>
      <c r="BS49" s="3468"/>
      <c r="BT49" s="3476"/>
      <c r="BU49" s="3477"/>
      <c r="BV49" s="3475">
        <f>SUM(электр!BJ49)</f>
        <v>258.7</v>
      </c>
      <c r="BW49" s="2747"/>
      <c r="BX49" s="2748"/>
      <c r="BY49" s="2752">
        <f>SUM(электр!BM49)</f>
        <v>0</v>
      </c>
      <c r="BZ49" s="2748"/>
      <c r="CA49" s="2748"/>
      <c r="CB49" s="2752">
        <f>SUM(электр!BP49)</f>
        <v>0</v>
      </c>
      <c r="CC49" s="2748"/>
      <c r="CD49" s="2748"/>
      <c r="CE49" s="2754">
        <f>SUM(электр!BS49)</f>
        <v>0</v>
      </c>
      <c r="CF49" s="3476"/>
      <c r="CG49" s="3477"/>
      <c r="CH49" s="3487">
        <f>SUM(электр!BV49)</f>
        <v>0</v>
      </c>
      <c r="CI49" s="3477"/>
      <c r="CJ49" s="3477"/>
      <c r="CK49" s="3475"/>
      <c r="CL49" s="4217"/>
      <c r="CM49" s="4218"/>
      <c r="CN49" s="4214">
        <f>SUM(электр!CF49)</f>
        <v>0</v>
      </c>
      <c r="CO49" s="4218"/>
      <c r="CP49" s="4218"/>
      <c r="CQ49" s="4214">
        <f>SUM(электр!CI49)</f>
        <v>0</v>
      </c>
      <c r="CR49" s="4218"/>
      <c r="CS49" s="4218"/>
      <c r="CT49" s="4216">
        <f>SUM(электр!CL49)</f>
        <v>0</v>
      </c>
      <c r="CU49" s="3476"/>
      <c r="CV49" s="3477"/>
      <c r="CW49" s="3487">
        <f>SUM(электр!CB49)</f>
        <v>0</v>
      </c>
      <c r="CX49" s="4405"/>
      <c r="CY49" s="4405"/>
      <c r="CZ49" s="4406"/>
    </row>
    <row r="50" spans="1:104" ht="30" customHeight="1">
      <c r="A50" s="973" t="s">
        <v>140</v>
      </c>
      <c r="B50" s="771"/>
      <c r="C50" s="376"/>
      <c r="D50" s="376"/>
      <c r="E50" s="376"/>
      <c r="F50" s="376"/>
      <c r="G50" s="376"/>
      <c r="H50" s="376"/>
      <c r="I50" s="376"/>
      <c r="J50" s="779"/>
      <c r="K50" s="963">
        <v>4.55</v>
      </c>
      <c r="L50" s="964">
        <v>1754.8</v>
      </c>
      <c r="M50" s="956">
        <f>L50*K50</f>
        <v>7984.3399999999992</v>
      </c>
      <c r="N50" s="964">
        <f>K50*M50</f>
        <v>36328.746999999996</v>
      </c>
      <c r="O50" s="957">
        <v>4.5730000000000004</v>
      </c>
      <c r="P50" s="851">
        <f>Q58*Q59</f>
        <v>1337.6993677016787</v>
      </c>
      <c r="Q50" s="851">
        <f>O50*P50</f>
        <v>6117.2992084997777</v>
      </c>
      <c r="R50" s="965"/>
      <c r="S50" s="957">
        <f>O50-K50</f>
        <v>2.3000000000000576E-2</v>
      </c>
      <c r="T50" s="2193">
        <f>P50-L50</f>
        <v>-417.10063229832122</v>
      </c>
      <c r="U50" s="965"/>
      <c r="V50" s="2193">
        <f t="shared" ref="V50:V62" si="12">Q50-M50</f>
        <v>-1867.0407915002215</v>
      </c>
      <c r="W50" s="965"/>
      <c r="X50" s="957">
        <v>3.9638</v>
      </c>
      <c r="Y50" s="964">
        <v>820.02</v>
      </c>
      <c r="Z50" s="956">
        <v>3250.4</v>
      </c>
      <c r="AA50" s="964">
        <f>X50*Z50</f>
        <v>12883.935520000001</v>
      </c>
      <c r="AB50" s="957">
        <f t="shared" si="3"/>
        <v>4.0118462507876496</v>
      </c>
      <c r="AC50" s="964">
        <v>1190.25</v>
      </c>
      <c r="AD50" s="956">
        <v>4775.1000000000004</v>
      </c>
      <c r="AE50" s="998">
        <f>SUM(AG50/AF50)</f>
        <v>4.0205962981621663</v>
      </c>
      <c r="AF50" s="999">
        <v>1528.43</v>
      </c>
      <c r="AG50" s="421">
        <v>6145.2</v>
      </c>
      <c r="AH50" s="963">
        <v>4.5730000000000004</v>
      </c>
      <c r="AI50" s="964">
        <v>1387.6</v>
      </c>
      <c r="AJ50" s="851">
        <v>6662.8</v>
      </c>
      <c r="AK50" s="964"/>
      <c r="AL50" s="957">
        <f>K75*1.028</f>
        <v>4.2335618399373365</v>
      </c>
      <c r="AM50" s="851">
        <f>AN58*AN59</f>
        <v>1220.7907457602632</v>
      </c>
      <c r="AN50" s="851">
        <f>AL50*AM50</f>
        <v>5168.2931157992934</v>
      </c>
      <c r="AO50" s="987">
        <f t="shared" si="4"/>
        <v>-0.33943816006266392</v>
      </c>
      <c r="AP50" s="988">
        <f t="shared" si="4"/>
        <v>-166.80925423973667</v>
      </c>
      <c r="AQ50" s="988">
        <f t="shared" si="4"/>
        <v>-1494.5068842007067</v>
      </c>
      <c r="AR50" s="987">
        <f>SUM(AT50/AS50)</f>
        <v>3.819503849443969</v>
      </c>
      <c r="AS50" s="989">
        <v>678.02</v>
      </c>
      <c r="AT50" s="990">
        <v>2589.6999999999998</v>
      </c>
      <c r="AU50" s="987">
        <f>SUM(AW50/AV50)</f>
        <v>3.9526209082140822</v>
      </c>
      <c r="AV50" s="1962">
        <v>1016.06</v>
      </c>
      <c r="AW50" s="1963">
        <v>4016.1</v>
      </c>
      <c r="AX50" s="3438">
        <f>SUM(AL50*1.1)</f>
        <v>4.6569180239310706</v>
      </c>
      <c r="AY50" s="3421">
        <v>1528.43</v>
      </c>
      <c r="AZ50" s="3439">
        <f>SUM(AX50*AY50)</f>
        <v>7117.7732153169663</v>
      </c>
      <c r="BA50" s="3440">
        <f t="shared" si="5"/>
        <v>1.3771999876628862</v>
      </c>
      <c r="BB50" s="3441">
        <f>(AU66+AU66*1.06)/2</f>
        <v>4.3462075494024379</v>
      </c>
      <c r="BC50" s="3442">
        <f>BD58*BD59</f>
        <v>1237.0113330000001</v>
      </c>
      <c r="BD50" s="3443">
        <f>BC50*BB50</f>
        <v>5376.3079941809738</v>
      </c>
      <c r="BE50" s="3441">
        <f t="shared" si="6"/>
        <v>-0.31071047452863265</v>
      </c>
      <c r="BF50" s="3444">
        <f t="shared" si="6"/>
        <v>-291.41866699999991</v>
      </c>
      <c r="BG50" s="3445">
        <f t="shared" si="6"/>
        <v>-1741.4652211359926</v>
      </c>
      <c r="BH50" s="3461">
        <f>BB50*1.066</f>
        <v>4.6330572476629994</v>
      </c>
      <c r="BI50" s="3442">
        <f>BJ58*BJ59</f>
        <v>1174.3244273913758</v>
      </c>
      <c r="BJ50" s="3462">
        <f>BI50*BH50</f>
        <v>5440.7122994333158</v>
      </c>
      <c r="BK50" s="3431">
        <f>BH50-BB50</f>
        <v>0.2868496982605615</v>
      </c>
      <c r="BL50" s="2733">
        <f t="shared" ref="BL50:BL52" si="13">BI50-BE50</f>
        <v>1174.6351378659044</v>
      </c>
      <c r="BM50" s="3468">
        <f t="shared" ref="BM50:BM52" si="14">BJ50-BF50</f>
        <v>5732.1309664333157</v>
      </c>
      <c r="BN50" s="3461">
        <f>BH50*1.067</f>
        <v>4.9434720832564203</v>
      </c>
      <c r="BO50" s="3442">
        <f>BP58*BP59</f>
        <v>1174.3244273913758</v>
      </c>
      <c r="BP50" s="3462">
        <f>BO50*BN50</f>
        <v>5805.2400234953475</v>
      </c>
      <c r="BQ50" s="2724">
        <f t="shared" ref="BQ50:BQ52" si="15">BN50-BJ50</f>
        <v>-5435.7688273500598</v>
      </c>
      <c r="BR50" s="2193">
        <f t="shared" ref="BR50:BR52" si="16">BO50-BK50</f>
        <v>1174.0375776931153</v>
      </c>
      <c r="BS50" s="3468">
        <f t="shared" ref="BS50:BS52" si="17">BP50-BL50</f>
        <v>4630.6048856294428</v>
      </c>
      <c r="BT50" s="3473">
        <f>SUM(BV50/BU50)</f>
        <v>4.0982880444335077</v>
      </c>
      <c r="BU50" s="3474">
        <f>SUM(электр!BI50)</f>
        <v>1422.35</v>
      </c>
      <c r="BV50" s="3475">
        <f>SUM(электр!BJ50)</f>
        <v>5829.2</v>
      </c>
      <c r="BW50" s="2745">
        <f>SUM(BY50/BX50)</f>
        <v>5.4724165850946838</v>
      </c>
      <c r="BX50" s="2746">
        <f>SUM(электр!BL50)</f>
        <v>827.49</v>
      </c>
      <c r="BY50" s="2752">
        <f>SUM(электр!BM50)</f>
        <v>4528.37</v>
      </c>
      <c r="BZ50" s="2753">
        <f>SUM(CB50/CA50)</f>
        <v>5.5201098083991447</v>
      </c>
      <c r="CA50" s="2746">
        <f>SUM(электр!BO50)</f>
        <v>1135.068</v>
      </c>
      <c r="CB50" s="2752">
        <f>SUM(электр!BP50)</f>
        <v>6265.7</v>
      </c>
      <c r="CC50" s="2753">
        <f>SUM(CE50/CD50)</f>
        <v>5.6195698256871598</v>
      </c>
      <c r="CD50" s="2746">
        <f>SUM(электр!BR50)</f>
        <v>1516.6410000000001</v>
      </c>
      <c r="CE50" s="2754">
        <f>SUM(электр!BS50)</f>
        <v>8522.8700000000008</v>
      </c>
      <c r="CF50" s="3473">
        <f>SUM(CH50/CG50)</f>
        <v>4.7808283043426822</v>
      </c>
      <c r="CG50" s="3474">
        <f>SUM(электр!BU50)</f>
        <v>1179.3262500000001</v>
      </c>
      <c r="CH50" s="3487">
        <f>SUM(электр!BV50)</f>
        <v>5638.1563160543146</v>
      </c>
      <c r="CI50" s="3488">
        <f>SUM(CK50/CJ50)</f>
        <v>4.3116761988561372</v>
      </c>
      <c r="CJ50" s="3474">
        <f>SUM(электр!BY50)</f>
        <v>1136.5</v>
      </c>
      <c r="CK50" s="3475">
        <f>SUM(электр!BZ50)</f>
        <v>4900.22</v>
      </c>
      <c r="CL50" s="4213">
        <f>SUM(CN50/CM50)</f>
        <v>4.4501865744342641</v>
      </c>
      <c r="CM50" s="4214">
        <f>SUM(электр!CE50)</f>
        <v>744.20699999999999</v>
      </c>
      <c r="CN50" s="4214">
        <f>SUM(электр!CF50)</f>
        <v>3311.86</v>
      </c>
      <c r="CO50" s="4215">
        <f>SUM(CQ50/CP50)</f>
        <v>4.5872281919579541</v>
      </c>
      <c r="CP50" s="4214">
        <f>SUM(электр!CH50)</f>
        <v>1131.7270000000001</v>
      </c>
      <c r="CQ50" s="4214">
        <f>SUM(электр!CI50)</f>
        <v>5191.49</v>
      </c>
      <c r="CR50" s="4215">
        <f>SUM(CT50/CS50)</f>
        <v>4.6502971476630437</v>
      </c>
      <c r="CS50" s="4214">
        <f>SUM(электр!CK50)</f>
        <v>1508.9693333333335</v>
      </c>
      <c r="CT50" s="4216">
        <f>SUM(электр!CL50)</f>
        <v>7017.155786711005</v>
      </c>
      <c r="CU50" s="3473">
        <f>SUM(CW50/CV50)</f>
        <v>4.6140300000000005</v>
      </c>
      <c r="CV50" s="3474">
        <f>SUM(электр!CN50)</f>
        <v>1121.67</v>
      </c>
      <c r="CW50" s="3474">
        <f>SUM(электр!CO50)</f>
        <v>5175.4190301000008</v>
      </c>
      <c r="CX50" s="4402">
        <f>SUM(CZ50/CY50)</f>
        <v>4.6136367000000007</v>
      </c>
      <c r="CY50" s="4403">
        <f>SUM(электр!CR50)</f>
        <v>1091.3868460000001</v>
      </c>
      <c r="CZ50" s="4404">
        <f>SUM(электр!CS50)</f>
        <v>5035.2624066028493</v>
      </c>
    </row>
    <row r="51" spans="1:104" ht="30" customHeight="1">
      <c r="A51" s="974" t="s">
        <v>141</v>
      </c>
      <c r="B51" s="771"/>
      <c r="C51" s="376"/>
      <c r="D51" s="376"/>
      <c r="E51" s="376"/>
      <c r="F51" s="376"/>
      <c r="G51" s="376"/>
      <c r="H51" s="376"/>
      <c r="I51" s="376"/>
      <c r="J51" s="779"/>
      <c r="K51" s="966">
        <f>M51/L51</f>
        <v>5.0100983836964161</v>
      </c>
      <c r="L51" s="857">
        <f>L48+L50</f>
        <v>2846</v>
      </c>
      <c r="M51" s="857">
        <f>SUM(M48:M50)</f>
        <v>14258.74</v>
      </c>
      <c r="N51" s="967">
        <f>SUM(N48:N50)</f>
        <v>72406.546999999991</v>
      </c>
      <c r="O51" s="968">
        <f>Q51/P51</f>
        <v>4.9528651037213312</v>
      </c>
      <c r="P51" s="857">
        <f>P48+P50</f>
        <v>2146.6741787978635</v>
      </c>
      <c r="Q51" s="857">
        <f>Q48+Q50</f>
        <v>10632.187629227585</v>
      </c>
      <c r="R51" s="969"/>
      <c r="S51" s="968">
        <f t="shared" ref="S51:T54" si="18">O51-K51</f>
        <v>-5.7233279975084983E-2</v>
      </c>
      <c r="T51" s="2193">
        <f t="shared" si="18"/>
        <v>-699.32582120213647</v>
      </c>
      <c r="U51" s="969"/>
      <c r="V51" s="2193">
        <f t="shared" si="12"/>
        <v>-3626.5523707724151</v>
      </c>
      <c r="W51" s="969"/>
      <c r="X51" s="968">
        <f>Z51/Y51</f>
        <v>4.3458643439629627</v>
      </c>
      <c r="Y51" s="857">
        <f>Y48+Y50</f>
        <v>1325.3519999999999</v>
      </c>
      <c r="Z51" s="857">
        <f>SUM(Z48:Z50)</f>
        <v>5759.8</v>
      </c>
      <c r="AA51" s="967">
        <f>SUM(AA48:AA50)</f>
        <v>25345.11404</v>
      </c>
      <c r="AB51" s="968">
        <f t="shared" si="3"/>
        <v>4.3711695607763037</v>
      </c>
      <c r="AC51" s="857">
        <f>AC48+AC50</f>
        <v>1879.6799999999998</v>
      </c>
      <c r="AD51" s="857">
        <f>SUM(AD48:AD50)</f>
        <v>8216.4000000000015</v>
      </c>
      <c r="AE51" s="1000">
        <f>AG51/AF51</f>
        <v>4.389087422215681</v>
      </c>
      <c r="AF51" s="1001">
        <f>AF48+AF50</f>
        <v>2439.277</v>
      </c>
      <c r="AG51" s="422">
        <f>AG48+AG50</f>
        <v>10706.2</v>
      </c>
      <c r="AH51" s="966">
        <f>AJ51/AI51</f>
        <v>5.202779269602579</v>
      </c>
      <c r="AI51" s="857">
        <f>AI48+AI50</f>
        <v>2234.3999999999996</v>
      </c>
      <c r="AJ51" s="857">
        <f>SUM(AJ48:AJ50)</f>
        <v>11625.09</v>
      </c>
      <c r="AK51" s="967"/>
      <c r="AL51" s="968">
        <f>AN51/AM51</f>
        <v>4.6408014275288254</v>
      </c>
      <c r="AM51" s="857">
        <f>AM48+AM50</f>
        <v>2103.9740599144975</v>
      </c>
      <c r="AN51" s="857">
        <f>AN48+AN50</f>
        <v>9764.1258207348183</v>
      </c>
      <c r="AO51" s="991">
        <f t="shared" si="4"/>
        <v>-0.56197784207375356</v>
      </c>
      <c r="AP51" s="988">
        <f t="shared" si="4"/>
        <v>-130.42594008550213</v>
      </c>
      <c r="AQ51" s="988">
        <f t="shared" si="4"/>
        <v>-1860.9641792651819</v>
      </c>
      <c r="AR51" s="991">
        <f>AT51/AS51</f>
        <v>4.3650103841684889</v>
      </c>
      <c r="AS51" s="992">
        <f>AS48+AS50</f>
        <v>1093.01</v>
      </c>
      <c r="AT51" s="992">
        <f>SUM(AT48:AT50)</f>
        <v>4771</v>
      </c>
      <c r="AU51" s="991">
        <f>AW51/AV51</f>
        <v>4.4613727271156138</v>
      </c>
      <c r="AV51" s="992">
        <f>AV48+AV50</f>
        <v>1562.277</v>
      </c>
      <c r="AW51" s="992">
        <f>SUM(AW48:AW50)</f>
        <v>6969.9</v>
      </c>
      <c r="AX51" s="3446">
        <f>AZ51/AY51</f>
        <v>5.0554080056915653</v>
      </c>
      <c r="AY51" s="3423">
        <f>AY48+AY50</f>
        <v>2439.2800000000002</v>
      </c>
      <c r="AZ51" s="3423">
        <f>SUM(AZ48:AZ50)</f>
        <v>12331.555640123323</v>
      </c>
      <c r="BA51" s="3440">
        <f t="shared" si="5"/>
        <v>1.2629451797862317</v>
      </c>
      <c r="BB51" s="3447">
        <f>BD51/BC51</f>
        <v>4.7613992813870309</v>
      </c>
      <c r="BC51" s="3448">
        <f>BC48+BC50</f>
        <v>1940.802721</v>
      </c>
      <c r="BD51" s="3448">
        <f>SUM(BD48:BD50)</f>
        <v>9240.9366810833944</v>
      </c>
      <c r="BE51" s="3447">
        <f t="shared" si="6"/>
        <v>-0.2940087243045344</v>
      </c>
      <c r="BF51" s="3444">
        <f t="shared" si="6"/>
        <v>-498.47727900000018</v>
      </c>
      <c r="BG51" s="3445">
        <f t="shared" si="6"/>
        <v>-3090.6189590399281</v>
      </c>
      <c r="BH51" s="3463">
        <f>BJ51/BI51</f>
        <v>5.0845684218572957</v>
      </c>
      <c r="BI51" s="3448">
        <f>BI48+BI50</f>
        <v>1863.8140619224939</v>
      </c>
      <c r="BJ51" s="3464">
        <f>SUM(BJ48:BJ50)</f>
        <v>9476.6901234646903</v>
      </c>
      <c r="BK51" s="3432">
        <f t="shared" ref="BK51:BK52" si="19">BH51-BD51</f>
        <v>-9235.8521126615378</v>
      </c>
      <c r="BL51" s="2733">
        <f t="shared" si="13"/>
        <v>1864.1080706467985</v>
      </c>
      <c r="BM51" s="3468">
        <f t="shared" si="14"/>
        <v>9975.1674024646909</v>
      </c>
      <c r="BN51" s="3463">
        <f>BP51/BO51</f>
        <v>5.4252345061217335</v>
      </c>
      <c r="BO51" s="3448">
        <f>BO48+BO50</f>
        <v>1863.8140619224939</v>
      </c>
      <c r="BP51" s="3464">
        <f>SUM(BP48:BP50)</f>
        <v>10111.628361736823</v>
      </c>
      <c r="BQ51" s="2725">
        <f t="shared" si="15"/>
        <v>-9471.2648889585689</v>
      </c>
      <c r="BR51" s="2193">
        <f t="shared" si="16"/>
        <v>11099.666174584032</v>
      </c>
      <c r="BS51" s="3468">
        <f t="shared" si="17"/>
        <v>8247.5202910900243</v>
      </c>
      <c r="BT51" s="3478">
        <f>SUM(BV51/BU51)</f>
        <v>4.5741476485262869</v>
      </c>
      <c r="BU51" s="3479">
        <f>SUM(BU48:BU50)</f>
        <v>2164.6</v>
      </c>
      <c r="BV51" s="3480">
        <f>SUM(BV48:BV50)</f>
        <v>9901.2000000000007</v>
      </c>
      <c r="BW51" s="2749">
        <f>SUM(BY51/BX51)</f>
        <v>4.5054474581247046</v>
      </c>
      <c r="BX51" s="2750">
        <f>SUM(BX48:BX50)</f>
        <v>1226.26</v>
      </c>
      <c r="BY51" s="2755">
        <f>SUM(BY48:BY50)</f>
        <v>5524.85</v>
      </c>
      <c r="BZ51" s="2756">
        <f>SUM(CB51/CA51)</f>
        <v>4.5224876701202801</v>
      </c>
      <c r="CA51" s="2750">
        <f>SUM(CA48:CA50)</f>
        <v>1684.3229999999999</v>
      </c>
      <c r="CB51" s="2755">
        <f>SUM(CB48:CB50)</f>
        <v>7617.33</v>
      </c>
      <c r="CC51" s="2756">
        <f>SUM(CE51/CD51)</f>
        <v>4.5330952171343055</v>
      </c>
      <c r="CD51" s="2750">
        <f>SUM(CD48:CD50)</f>
        <v>2305.877</v>
      </c>
      <c r="CE51" s="2757">
        <f>SUM(CE48:CE50)</f>
        <v>10452.76</v>
      </c>
      <c r="CF51" s="3478">
        <f>SUM(CH51/CG51)</f>
        <v>5.2494733276656138</v>
      </c>
      <c r="CG51" s="3479">
        <f>SUM(CG48:CG50)</f>
        <v>1878.2212500000001</v>
      </c>
      <c r="CH51" s="3489">
        <f>SUM(CH48:CH50)</f>
        <v>9859.6723553297688</v>
      </c>
      <c r="CI51" s="3490">
        <f>SUM(CK51/CJ51)</f>
        <v>4.8154982761451324</v>
      </c>
      <c r="CJ51" s="3479">
        <f>SUM(CJ48:CJ50)</f>
        <v>1827.3</v>
      </c>
      <c r="CK51" s="3480">
        <f>SUM(CK48:CK50)</f>
        <v>8799.36</v>
      </c>
      <c r="CL51" s="4219">
        <f>SUM(CN51/CM51)</f>
        <v>4.4531650205875932</v>
      </c>
      <c r="CM51" s="4220">
        <f>SUM(CM48:CM50)</f>
        <v>1184.9369999999999</v>
      </c>
      <c r="CN51" s="4221">
        <f>SUM(CN48:CN50)</f>
        <v>5276.72</v>
      </c>
      <c r="CO51" s="4222">
        <f>SUM(CQ51/CP51)</f>
        <v>4.5838229068327481</v>
      </c>
      <c r="CP51" s="4220">
        <f>SUM(CP48:CP50)</f>
        <v>1766.8440000000001</v>
      </c>
      <c r="CQ51" s="4221">
        <f>SUM(CQ48:CQ50)</f>
        <v>8098.9</v>
      </c>
      <c r="CR51" s="4222">
        <f>SUM(CT51/CS51)</f>
        <v>4.651453282666667</v>
      </c>
      <c r="CS51" s="4220">
        <f>SUM(CS48:CS50)</f>
        <v>2355.7919999999999</v>
      </c>
      <c r="CT51" s="4223">
        <f>SUM(CT48:CT50)</f>
        <v>10957.856431679873</v>
      </c>
      <c r="CU51" s="3478">
        <f>SUM(CW51/CV51)</f>
        <v>5.1571666361905812</v>
      </c>
      <c r="CV51" s="3479">
        <f>SUM(CV48:CV50)</f>
        <v>1812.35</v>
      </c>
      <c r="CW51" s="3489">
        <f>SUM(CW48:CW50)</f>
        <v>9346.5909530999998</v>
      </c>
      <c r="CX51" s="4407">
        <f>SUM(CZ51/CY51)</f>
        <v>5.1513080351002367</v>
      </c>
      <c r="CY51" s="4408">
        <f>SUM(CY48:CY50)</f>
        <v>1751.8456900000001</v>
      </c>
      <c r="CZ51" s="4409">
        <f>SUM(CZ48:CZ50)</f>
        <v>9024.296779152719</v>
      </c>
    </row>
    <row r="52" spans="1:104" ht="30" customHeight="1">
      <c r="A52" s="973" t="s">
        <v>142</v>
      </c>
      <c r="B52" s="771"/>
      <c r="C52" s="376"/>
      <c r="D52" s="376"/>
      <c r="E52" s="376"/>
      <c r="F52" s="376"/>
      <c r="G52" s="376"/>
      <c r="H52" s="376"/>
      <c r="I52" s="376"/>
      <c r="J52" s="779"/>
      <c r="K52" s="963">
        <v>5.75</v>
      </c>
      <c r="L52" s="964">
        <v>397.8</v>
      </c>
      <c r="M52" s="956">
        <v>2285.4</v>
      </c>
      <c r="N52" s="964">
        <f>K52*M52</f>
        <v>13141.050000000001</v>
      </c>
      <c r="O52" s="957">
        <v>5.63</v>
      </c>
      <c r="P52" s="965">
        <f>Q60*Q61</f>
        <v>363.59730000000002</v>
      </c>
      <c r="Q52" s="851">
        <f>O52*P52</f>
        <v>2047.0527990000001</v>
      </c>
      <c r="R52" s="964"/>
      <c r="S52" s="957">
        <f t="shared" si="18"/>
        <v>-0.12000000000000011</v>
      </c>
      <c r="T52" s="2193">
        <f t="shared" si="18"/>
        <v>-34.202699999999993</v>
      </c>
      <c r="U52" s="964"/>
      <c r="V52" s="2193">
        <f t="shared" si="12"/>
        <v>-238.34720100000004</v>
      </c>
      <c r="W52" s="964"/>
      <c r="X52" s="957">
        <v>4.9886999999999997</v>
      </c>
      <c r="Y52" s="964">
        <v>162.167</v>
      </c>
      <c r="Z52" s="956">
        <v>809</v>
      </c>
      <c r="AA52" s="964">
        <f>X52*Z52</f>
        <v>4035.8582999999999</v>
      </c>
      <c r="AB52" s="957">
        <f t="shared" si="3"/>
        <v>5.0153983485829059</v>
      </c>
      <c r="AC52" s="964">
        <v>224.05</v>
      </c>
      <c r="AD52" s="956">
        <v>1123.7</v>
      </c>
      <c r="AE52" s="998">
        <f>SUM(AG52/AF52)</f>
        <v>5.0316393763454892</v>
      </c>
      <c r="AF52" s="998">
        <v>306.58</v>
      </c>
      <c r="AG52" s="421">
        <v>1542.6</v>
      </c>
      <c r="AH52" s="963">
        <v>5.91</v>
      </c>
      <c r="AI52" s="964">
        <v>397.8</v>
      </c>
      <c r="AJ52" s="956">
        <v>2285.4</v>
      </c>
      <c r="AK52" s="964"/>
      <c r="AL52" s="957">
        <f>K77*1.028</f>
        <v>5.2277943861803733</v>
      </c>
      <c r="AM52" s="965">
        <f>AN60*AN61</f>
        <v>360.82530000000003</v>
      </c>
      <c r="AN52" s="851">
        <f>AL52*AM52</f>
        <v>1886.3204777318492</v>
      </c>
      <c r="AO52" s="987">
        <f t="shared" si="4"/>
        <v>-0.68220561381962685</v>
      </c>
      <c r="AP52" s="988">
        <f t="shared" si="4"/>
        <v>-36.974699999999984</v>
      </c>
      <c r="AQ52" s="988">
        <f t="shared" si="4"/>
        <v>-399.07952226815087</v>
      </c>
      <c r="AR52" s="987">
        <f t="shared" ref="AR52:AR54" si="20">SUM(AT52/AS52)</f>
        <v>4.9758749575263339</v>
      </c>
      <c r="AS52" s="989">
        <v>147.15</v>
      </c>
      <c r="AT52" s="2189">
        <v>732.2</v>
      </c>
      <c r="AU52" s="987">
        <f t="shared" ref="AU52:AU54" si="21">SUM(AW52/AV52)</f>
        <v>5.0682433840383414</v>
      </c>
      <c r="AV52" s="1962">
        <v>191.96</v>
      </c>
      <c r="AW52" s="1964">
        <v>972.9</v>
      </c>
      <c r="AX52" s="3438">
        <f t="shared" ref="AX52:AX54" si="22">SUM(AL52*1.1)</f>
        <v>5.7505738247984111</v>
      </c>
      <c r="AY52" s="3421">
        <v>306.58</v>
      </c>
      <c r="AZ52" s="3439">
        <f t="shared" ref="AZ52:AZ54" si="23">SUM(AX52*AY52)</f>
        <v>1763.0109232066968</v>
      </c>
      <c r="BA52" s="3440">
        <f t="shared" si="5"/>
        <v>0.93462958390112882</v>
      </c>
      <c r="BB52" s="3441">
        <f>(AU70+AU70*1.06)/2</f>
        <v>5.5327159116268669</v>
      </c>
      <c r="BC52" s="3442">
        <f>BD60*BD61</f>
        <v>290.97040000000004</v>
      </c>
      <c r="BD52" s="3443">
        <f>BC52*BB52</f>
        <v>1609.8565618924345</v>
      </c>
      <c r="BE52" s="3441">
        <f t="shared" si="6"/>
        <v>-0.21785791317154413</v>
      </c>
      <c r="BF52" s="3444">
        <f t="shared" si="6"/>
        <v>-15.609599999999944</v>
      </c>
      <c r="BG52" s="3445">
        <f t="shared" si="6"/>
        <v>-153.15436131426236</v>
      </c>
      <c r="BH52" s="3461">
        <f>BB52*1.066</f>
        <v>5.8978751617942402</v>
      </c>
      <c r="BI52" s="3442">
        <f>BJ60*BJ61</f>
        <v>290.97040000000004</v>
      </c>
      <c r="BJ52" s="3462">
        <f>BI52*BH52</f>
        <v>1716.107094977335</v>
      </c>
      <c r="BK52" s="3431">
        <f t="shared" si="19"/>
        <v>-1603.9586867306402</v>
      </c>
      <c r="BL52" s="2733">
        <f t="shared" si="13"/>
        <v>291.18825791317158</v>
      </c>
      <c r="BM52" s="3468">
        <f t="shared" si="14"/>
        <v>1731.716694977335</v>
      </c>
      <c r="BN52" s="3461">
        <f>BH52*1.067</f>
        <v>6.2930327976344538</v>
      </c>
      <c r="BO52" s="3442">
        <f>BP60*BP61</f>
        <v>290.97040000000004</v>
      </c>
      <c r="BP52" s="3462">
        <f>BO52*BN52</f>
        <v>1831.0862703408163</v>
      </c>
      <c r="BQ52" s="2724">
        <f t="shared" si="15"/>
        <v>-1709.8140621797006</v>
      </c>
      <c r="BR52" s="2193">
        <f t="shared" si="16"/>
        <v>1894.9290867306404</v>
      </c>
      <c r="BS52" s="3468">
        <f t="shared" si="17"/>
        <v>1539.8980124276447</v>
      </c>
      <c r="BT52" s="3473">
        <f>SUM(BV52/BU52)</f>
        <v>5.1865168539325843</v>
      </c>
      <c r="BU52" s="3474">
        <f>SUM(электр!BI52)</f>
        <v>267</v>
      </c>
      <c r="BV52" s="3481">
        <f>SUM(электр!BJ52)</f>
        <v>1384.8</v>
      </c>
      <c r="BW52" s="2745">
        <f>SUM(BY52/BX52)</f>
        <v>2.5335154711226893</v>
      </c>
      <c r="BX52" s="2746">
        <f>SUM(электр!BL52)</f>
        <v>157.38999999999999</v>
      </c>
      <c r="BY52" s="2748">
        <f>SUM(электр!BM52)</f>
        <v>398.75</v>
      </c>
      <c r="BZ52" s="2753">
        <f>SUM(CB52/CA52)</f>
        <v>2.4949254601078033</v>
      </c>
      <c r="CA52" s="2746">
        <f>SUM(электр!BO52)</f>
        <v>205.93</v>
      </c>
      <c r="CB52" s="2748">
        <f>SUM(электр!BP52)</f>
        <v>513.78</v>
      </c>
      <c r="CC52" s="2753">
        <f>SUM(CE52/CD52)</f>
        <v>2.4750203879019965</v>
      </c>
      <c r="CD52" s="2746">
        <f>SUM(электр!BR52)</f>
        <v>282.02999999999997</v>
      </c>
      <c r="CE52" s="2758">
        <f>SUM(электр!BS52)</f>
        <v>698.03</v>
      </c>
      <c r="CF52" s="3473">
        <f>SUM(CH52/CG52)</f>
        <v>6.0859875027895542</v>
      </c>
      <c r="CG52" s="3474">
        <f>SUM(электр!BU52)</f>
        <v>270.73200000000003</v>
      </c>
      <c r="CH52" s="3477">
        <f>SUM(электр!BV52)</f>
        <v>1647.6715686052219</v>
      </c>
      <c r="CI52" s="3488">
        <f>SUM(CK52/CJ52)</f>
        <v>5.6593930635838143</v>
      </c>
      <c r="CJ52" s="3474">
        <f>SUM(электр!BY52)</f>
        <v>276.8</v>
      </c>
      <c r="CK52" s="3475">
        <f>SUM(электр!BZ52)</f>
        <v>1566.52</v>
      </c>
      <c r="CL52" s="4213">
        <f>SUM(CN52/CM52)</f>
        <v>4.4763147649571478</v>
      </c>
      <c r="CM52" s="4214">
        <f>SUM(электр!CE52)</f>
        <v>182.37100000000001</v>
      </c>
      <c r="CN52" s="4214">
        <f>SUM(электр!CF52)</f>
        <v>816.35</v>
      </c>
      <c r="CO52" s="4215">
        <f>SUM(CQ52/CP52)</f>
        <v>4.6317479430062205</v>
      </c>
      <c r="CP52" s="4214">
        <f>SUM(электр!CH52)</f>
        <v>254.13300000000001</v>
      </c>
      <c r="CQ52" s="4214">
        <f>SUM(электр!CI52)</f>
        <v>1177.08</v>
      </c>
      <c r="CR52" s="4215">
        <f>SUM(CT52/CS52)</f>
        <v>4.7515349360584622</v>
      </c>
      <c r="CS52" s="4214">
        <f>SUM(электр!CK52)</f>
        <v>338.84400000000005</v>
      </c>
      <c r="CT52" s="4216">
        <f>SUM(электр!CL52)</f>
        <v>1610.0291038737937</v>
      </c>
      <c r="CU52" s="3473">
        <f>SUM(CW52/CV52)</f>
        <v>6.0557850000000002</v>
      </c>
      <c r="CV52" s="3474">
        <f>SUM(электр!CN52)</f>
        <v>273.25200000000001</v>
      </c>
      <c r="CW52" s="3474">
        <f>SUM(электр!CO52)</f>
        <v>1654.7553628200001</v>
      </c>
      <c r="CX52" s="4402">
        <f>SUM(CZ52/CY52)</f>
        <v>6.0546465000000005</v>
      </c>
      <c r="CY52" s="4403">
        <f>SUM(электр!CR52)</f>
        <v>272.91012000000001</v>
      </c>
      <c r="CZ52" s="4404">
        <f>SUM(электр!CS52)</f>
        <v>1652.3743028725801</v>
      </c>
    </row>
    <row r="53" spans="1:104" ht="30" customHeight="1">
      <c r="A53" s="1808" t="s">
        <v>1662</v>
      </c>
      <c r="B53" s="1809"/>
      <c r="C53" s="1810"/>
      <c r="D53" s="1810"/>
      <c r="E53" s="1810"/>
      <c r="F53" s="1810"/>
      <c r="G53" s="1810"/>
      <c r="H53" s="1810"/>
      <c r="I53" s="1810"/>
      <c r="J53" s="1811"/>
      <c r="K53" s="1812"/>
      <c r="L53" s="1813"/>
      <c r="M53" s="1814"/>
      <c r="N53" s="1813"/>
      <c r="O53" s="1815"/>
      <c r="P53" s="1817"/>
      <c r="Q53" s="1816"/>
      <c r="R53" s="1813"/>
      <c r="S53" s="1815"/>
      <c r="T53" s="1818"/>
      <c r="U53" s="1813"/>
      <c r="V53" s="1818"/>
      <c r="W53" s="1813"/>
      <c r="X53" s="1815"/>
      <c r="Y53" s="1813"/>
      <c r="Z53" s="1814"/>
      <c r="AA53" s="1813"/>
      <c r="AB53" s="1815"/>
      <c r="AC53" s="1813"/>
      <c r="AD53" s="1814"/>
      <c r="AE53" s="1819"/>
      <c r="AF53" s="1819"/>
      <c r="AG53" s="1821"/>
      <c r="AH53" s="1812"/>
      <c r="AI53" s="1813"/>
      <c r="AJ53" s="1814"/>
      <c r="AK53" s="1813"/>
      <c r="AL53" s="1815"/>
      <c r="AM53" s="1817"/>
      <c r="AN53" s="1816"/>
      <c r="AO53" s="1815"/>
      <c r="AP53" s="1818"/>
      <c r="AQ53" s="1818"/>
      <c r="AR53" s="1815"/>
      <c r="AS53" s="1813"/>
      <c r="AT53" s="1814">
        <v>132.9</v>
      </c>
      <c r="AU53" s="1815"/>
      <c r="AV53" s="1962"/>
      <c r="AW53" s="1964">
        <v>205.9</v>
      </c>
      <c r="AX53" s="3438"/>
      <c r="AY53" s="3421"/>
      <c r="AZ53" s="3439"/>
      <c r="BA53" s="3440"/>
      <c r="BB53" s="3441"/>
      <c r="BC53" s="3442"/>
      <c r="BD53" s="3443"/>
      <c r="BE53" s="3441"/>
      <c r="BF53" s="3444"/>
      <c r="BG53" s="3445"/>
      <c r="BH53" s="3461"/>
      <c r="BI53" s="3442"/>
      <c r="BJ53" s="3462"/>
      <c r="BK53" s="3431"/>
      <c r="BL53" s="2733"/>
      <c r="BM53" s="3468"/>
      <c r="BN53" s="3461"/>
      <c r="BO53" s="3442"/>
      <c r="BP53" s="3462"/>
      <c r="BQ53" s="2724"/>
      <c r="BR53" s="1818"/>
      <c r="BS53" s="3468"/>
      <c r="BT53" s="3476"/>
      <c r="BU53" s="3477"/>
      <c r="BV53" s="3481">
        <f>SUM(электр!BJ53)</f>
        <v>258.5</v>
      </c>
      <c r="BW53" s="2747"/>
      <c r="BX53" s="2748"/>
      <c r="BY53" s="2748">
        <f>SUM(электр!BM53)</f>
        <v>0</v>
      </c>
      <c r="BZ53" s="2748"/>
      <c r="CA53" s="2748"/>
      <c r="CB53" s="2748">
        <f>SUM(электр!BP53)</f>
        <v>0</v>
      </c>
      <c r="CC53" s="2748"/>
      <c r="CD53" s="2748"/>
      <c r="CE53" s="2758">
        <f>SUM(электр!BS53)</f>
        <v>0</v>
      </c>
      <c r="CF53" s="3476"/>
      <c r="CG53" s="3477"/>
      <c r="CH53" s="3477">
        <f>SUM(электр!BV53)</f>
        <v>0</v>
      </c>
      <c r="CI53" s="3477"/>
      <c r="CJ53" s="3477"/>
      <c r="CK53" s="3475"/>
      <c r="CL53" s="4217"/>
      <c r="CM53" s="4218"/>
      <c r="CN53" s="4214">
        <f>SUM(электр!CF53)</f>
        <v>0</v>
      </c>
      <c r="CO53" s="4218"/>
      <c r="CP53" s="4218"/>
      <c r="CQ53" s="4214">
        <f>SUM(электр!CI53)</f>
        <v>0</v>
      </c>
      <c r="CR53" s="4218"/>
      <c r="CS53" s="4218"/>
      <c r="CT53" s="4216">
        <f>SUM(электр!CL53)</f>
        <v>0</v>
      </c>
      <c r="CU53" s="3476"/>
      <c r="CV53" s="3477"/>
      <c r="CW53" s="4212">
        <f>SUM(электр!CO53)</f>
        <v>0</v>
      </c>
      <c r="CX53" s="4405"/>
      <c r="CY53" s="4405"/>
      <c r="CZ53" s="4410">
        <f>SUM(электр!CS53)</f>
        <v>0</v>
      </c>
    </row>
    <row r="54" spans="1:104" ht="30" customHeight="1">
      <c r="A54" s="973" t="s">
        <v>143</v>
      </c>
      <c r="B54" s="771"/>
      <c r="C54" s="376"/>
      <c r="D54" s="376"/>
      <c r="E54" s="376"/>
      <c r="F54" s="376"/>
      <c r="G54" s="376"/>
      <c r="H54" s="376"/>
      <c r="I54" s="376"/>
      <c r="J54" s="779"/>
      <c r="K54" s="963">
        <v>4.2300000000000004</v>
      </c>
      <c r="L54" s="964">
        <v>2282.1999999999998</v>
      </c>
      <c r="M54" s="956">
        <v>9664.7999999999993</v>
      </c>
      <c r="N54" s="964">
        <f>K54*M54</f>
        <v>40882.103999999999</v>
      </c>
      <c r="O54" s="957">
        <v>4.3</v>
      </c>
      <c r="P54" s="965">
        <f>Q60*Q62</f>
        <v>1439.1333261085247</v>
      </c>
      <c r="Q54" s="851">
        <f>O54*P54</f>
        <v>6188.2733022666562</v>
      </c>
      <c r="R54" s="964"/>
      <c r="S54" s="957">
        <f t="shared" si="18"/>
        <v>6.9999999999999396E-2</v>
      </c>
      <c r="T54" s="2193">
        <f t="shared" si="18"/>
        <v>-843.06667389147515</v>
      </c>
      <c r="U54" s="964"/>
      <c r="V54" s="2193">
        <f t="shared" si="12"/>
        <v>-3476.5266977333431</v>
      </c>
      <c r="W54" s="964"/>
      <c r="X54" s="957">
        <v>3.7764000000000002</v>
      </c>
      <c r="Y54" s="964">
        <v>940.27</v>
      </c>
      <c r="Z54" s="956">
        <v>3550.8</v>
      </c>
      <c r="AA54" s="964">
        <f>X54*Z54</f>
        <v>13409.241120000001</v>
      </c>
      <c r="AB54" s="957">
        <f t="shared" si="3"/>
        <v>3.8226634015509302</v>
      </c>
      <c r="AC54" s="964">
        <v>1372.08</v>
      </c>
      <c r="AD54" s="956">
        <v>5245</v>
      </c>
      <c r="AE54" s="998">
        <f>SUM(AG54/AF54)</f>
        <v>3.8318886233811065</v>
      </c>
      <c r="AF54" s="998">
        <v>1853.89</v>
      </c>
      <c r="AG54" s="421">
        <v>7103.9</v>
      </c>
      <c r="AH54" s="963">
        <v>4.5199999999999996</v>
      </c>
      <c r="AI54" s="964">
        <v>2282.1999999999998</v>
      </c>
      <c r="AJ54" s="956">
        <v>9664.7999999999993</v>
      </c>
      <c r="AK54" s="964"/>
      <c r="AL54" s="957">
        <f>K78*1.028</f>
        <v>4.0333424422778537</v>
      </c>
      <c r="AM54" s="965">
        <f>AN60*AN62</f>
        <v>1428.1616341295885</v>
      </c>
      <c r="AN54" s="851">
        <f>AL54*AM54</f>
        <v>5760.2649333677646</v>
      </c>
      <c r="AO54" s="987">
        <f t="shared" si="4"/>
        <v>-0.48665755772214592</v>
      </c>
      <c r="AP54" s="988">
        <f t="shared" si="4"/>
        <v>-854.03836587041133</v>
      </c>
      <c r="AQ54" s="988">
        <f t="shared" si="4"/>
        <v>-3904.5350666322347</v>
      </c>
      <c r="AR54" s="987">
        <f t="shared" si="20"/>
        <v>3.6631900547829748</v>
      </c>
      <c r="AS54" s="989">
        <v>949.2</v>
      </c>
      <c r="AT54" s="2189">
        <v>3477.1</v>
      </c>
      <c r="AU54" s="987">
        <f t="shared" si="21"/>
        <v>3.7705916930708683</v>
      </c>
      <c r="AV54" s="1962">
        <v>1394.98</v>
      </c>
      <c r="AW54" s="1964">
        <v>5259.9</v>
      </c>
      <c r="AX54" s="3438">
        <f t="shared" si="22"/>
        <v>4.4366766865056393</v>
      </c>
      <c r="AY54" s="3421">
        <v>1853.89</v>
      </c>
      <c r="AZ54" s="3439">
        <f t="shared" si="23"/>
        <v>8225.1105423459394</v>
      </c>
      <c r="BA54" s="3440">
        <f t="shared" si="5"/>
        <v>1.4279049032449784</v>
      </c>
      <c r="BB54" s="3441">
        <f>(AU72+AU72*1.06)/2</f>
        <v>4.1192606218313967</v>
      </c>
      <c r="BC54" s="3442">
        <f>BD60*BD62</f>
        <v>1454.8519999999999</v>
      </c>
      <c r="BD54" s="3443">
        <f>BC54*BB54</f>
        <v>5992.9145541926509</v>
      </c>
      <c r="BE54" s="3441">
        <f t="shared" si="6"/>
        <v>-0.31741606467424255</v>
      </c>
      <c r="BF54" s="3444">
        <f t="shared" si="6"/>
        <v>-399.03800000000024</v>
      </c>
      <c r="BG54" s="3445">
        <f t="shared" si="6"/>
        <v>-2232.1959881532885</v>
      </c>
      <c r="BH54" s="3461">
        <f>BB54*1.066</f>
        <v>4.3911318228722696</v>
      </c>
      <c r="BI54" s="3442">
        <f>BJ60*BJ62</f>
        <v>1454.8519999999999</v>
      </c>
      <c r="BJ54" s="3462">
        <f>BI54*BH54</f>
        <v>6388.4469147693662</v>
      </c>
      <c r="BK54" s="3431">
        <f t="shared" ref="BK54" si="24">BH54-BD54</f>
        <v>-5988.5234223697789</v>
      </c>
      <c r="BL54" s="2733">
        <f t="shared" ref="BL54" si="25">BI54-BE54</f>
        <v>1455.1694160646741</v>
      </c>
      <c r="BM54" s="3468">
        <f t="shared" ref="BM54" si="26">BJ54-BF54</f>
        <v>6787.4849147693667</v>
      </c>
      <c r="BN54" s="3461">
        <f>BH54*1.067</f>
        <v>4.6853376550047114</v>
      </c>
      <c r="BO54" s="3442">
        <f>BP60*BP62</f>
        <v>1454.8519999999999</v>
      </c>
      <c r="BP54" s="3462">
        <f>BO54*BN54</f>
        <v>6816.4728580589135</v>
      </c>
      <c r="BQ54" s="2724">
        <f t="shared" ref="BQ54" si="27">BN54-BJ54</f>
        <v>-6383.7615771143619</v>
      </c>
      <c r="BR54" s="2193">
        <f t="shared" ref="BR54" si="28">BO54-BK54</f>
        <v>7443.3754223697788</v>
      </c>
      <c r="BS54" s="3468">
        <f t="shared" ref="BS54" si="29">BP54-BL54</f>
        <v>5361.3034419942396</v>
      </c>
      <c r="BT54" s="3473">
        <f>SUM(BV54/BU54)</f>
        <v>3.8536448739079385</v>
      </c>
      <c r="BU54" s="3474">
        <f>SUM(электр!BI54)</f>
        <v>1856.58</v>
      </c>
      <c r="BV54" s="3481">
        <f>SUM(электр!BJ54)</f>
        <v>7154.6</v>
      </c>
      <c r="BW54" s="2745">
        <f>SUM(BY54/BX54)</f>
        <v>5.2168794892258585</v>
      </c>
      <c r="BX54" s="2746">
        <f>SUM(электр!BL54)</f>
        <v>902.16</v>
      </c>
      <c r="BY54" s="2748">
        <f>SUM(электр!BM54)</f>
        <v>4706.46</v>
      </c>
      <c r="BZ54" s="2753">
        <f>SUM(CB54/CA54)</f>
        <v>5.0524350273034244</v>
      </c>
      <c r="CA54" s="2746">
        <f>SUM(электр!BO54)</f>
        <v>1332.9829999999999</v>
      </c>
      <c r="CB54" s="2748">
        <f>SUM(электр!BP54)</f>
        <v>6734.81</v>
      </c>
      <c r="CC54" s="2753">
        <f>SUM(CE54/CD54)</f>
        <v>5.0461153020955294</v>
      </c>
      <c r="CD54" s="2746">
        <f>SUM(электр!BR54)</f>
        <v>1842.4469999999999</v>
      </c>
      <c r="CE54" s="2758">
        <f>SUM(электр!BS54)</f>
        <v>9297.2000000000007</v>
      </c>
      <c r="CF54" s="3473">
        <f>SUM(CH54/CG54)</f>
        <v>4.5311866840145365</v>
      </c>
      <c r="CG54" s="3474">
        <f>SUM(электр!BU54)</f>
        <v>1353.6599999999999</v>
      </c>
      <c r="CH54" s="3477">
        <f>SUM(электр!BV54)</f>
        <v>6133.6861666831164</v>
      </c>
      <c r="CI54" s="3488">
        <f>SUM(CK54/CJ54)</f>
        <v>4.3128955353272644</v>
      </c>
      <c r="CJ54" s="3474">
        <f>SUM(электр!BY54)</f>
        <v>1384.2</v>
      </c>
      <c r="CK54" s="3475">
        <f>SUM(электр!BZ54)</f>
        <v>5969.91</v>
      </c>
      <c r="CL54" s="4213">
        <f>SUM(CN54/CM54)</f>
        <v>4.4579075946432711</v>
      </c>
      <c r="CM54" s="4214">
        <f>SUM(электр!CE54)</f>
        <v>1009.422</v>
      </c>
      <c r="CN54" s="4214">
        <f>SUM(электр!CF54)</f>
        <v>4499.91</v>
      </c>
      <c r="CO54" s="4215">
        <f>SUM(CQ54/CP54)</f>
        <v>4.6205310559320827</v>
      </c>
      <c r="CP54" s="4214">
        <f>SUM(электр!CH54)</f>
        <v>1480.635</v>
      </c>
      <c r="CQ54" s="4214">
        <f>SUM(электр!CI54)</f>
        <v>6841.32</v>
      </c>
      <c r="CR54" s="4215">
        <f>SUM(CT54/CS54)</f>
        <v>4.713403504778773</v>
      </c>
      <c r="CS54" s="4214">
        <f>SUM(электр!CK54)</f>
        <v>1974.1799999999998</v>
      </c>
      <c r="CT54" s="4216">
        <f>SUM(электр!CL54)</f>
        <v>9305.1069310641578</v>
      </c>
      <c r="CU54" s="3473">
        <f>SUM(CW54/CV54)</f>
        <v>4.6150649999999995</v>
      </c>
      <c r="CV54" s="3474">
        <f>SUM(электр!CN54)</f>
        <v>1366.26</v>
      </c>
      <c r="CW54" s="3474">
        <f>SUM(электр!CO54)</f>
        <v>6305.3787068999991</v>
      </c>
      <c r="CX54" s="4402">
        <f>SUM(CZ54/CY54)</f>
        <v>4.6147391500000001</v>
      </c>
      <c r="CY54" s="4403">
        <f>SUM(электр!CR54)</f>
        <v>1364.5505999999998</v>
      </c>
      <c r="CZ54" s="4404">
        <f>SUM(электр!CS54)</f>
        <v>6297.0450759759897</v>
      </c>
    </row>
    <row r="55" spans="1:104" ht="30" customHeight="1">
      <c r="A55" s="974" t="s">
        <v>144</v>
      </c>
      <c r="B55" s="771"/>
      <c r="C55" s="376"/>
      <c r="D55" s="376"/>
      <c r="E55" s="376"/>
      <c r="F55" s="376"/>
      <c r="G55" s="376"/>
      <c r="H55" s="376"/>
      <c r="I55" s="376"/>
      <c r="J55" s="779"/>
      <c r="K55" s="966">
        <f>M55/L55</f>
        <v>4.4590298507462682</v>
      </c>
      <c r="L55" s="857">
        <f>SUM(L52:L54)</f>
        <v>2680</v>
      </c>
      <c r="M55" s="857">
        <f>SUM(M52:M54)</f>
        <v>11950.199999999999</v>
      </c>
      <c r="N55" s="857">
        <f>SUM(N52:N54)</f>
        <v>54023.154000000002</v>
      </c>
      <c r="O55" s="968">
        <f>Q55/P55</f>
        <v>4.5682510642446301</v>
      </c>
      <c r="P55" s="857">
        <f>SUM(P52:P54)</f>
        <v>1802.7306261085246</v>
      </c>
      <c r="Q55" s="857">
        <f>SUM(Q52:Q54)</f>
        <v>8235.3261012666553</v>
      </c>
      <c r="R55" s="967"/>
      <c r="S55" s="968">
        <f>O55-K55</f>
        <v>0.10922121349836189</v>
      </c>
      <c r="T55" s="2191">
        <f>P55-L55</f>
        <v>-877.26937389147542</v>
      </c>
      <c r="U55" s="2191">
        <f>P55-L55</f>
        <v>-877.26937389147542</v>
      </c>
      <c r="V55" s="2191">
        <f t="shared" si="12"/>
        <v>-3714.8738987333436</v>
      </c>
      <c r="W55" s="967"/>
      <c r="X55" s="968">
        <f>Z55/Y55</f>
        <v>3.9546931026444145</v>
      </c>
      <c r="Y55" s="857">
        <f>SUM(Y52:Y54)</f>
        <v>1102.4369999999999</v>
      </c>
      <c r="Z55" s="857">
        <f>SUM(Z52:Z54)</f>
        <v>4359.8</v>
      </c>
      <c r="AA55" s="857">
        <f>SUM(AA52:AA54)</f>
        <v>17445.099419999999</v>
      </c>
      <c r="AB55" s="968">
        <f t="shared" si="3"/>
        <v>3.9900885266237713</v>
      </c>
      <c r="AC55" s="857">
        <f>SUM(AC52:AC54)</f>
        <v>1596.1299999999999</v>
      </c>
      <c r="AD55" s="857">
        <f>SUM(AD52:AD54)</f>
        <v>6368.7</v>
      </c>
      <c r="AE55" s="1000">
        <f>AG55/AF55</f>
        <v>4.0021384235837569</v>
      </c>
      <c r="AF55" s="1001">
        <f>SUM(AF52:AF54)</f>
        <v>2160.4700000000003</v>
      </c>
      <c r="AG55" s="422">
        <f>SUM(AG52:AG54)</f>
        <v>8646.5</v>
      </c>
      <c r="AH55" s="966">
        <f>AJ55/AI55</f>
        <v>4.4590298507462682</v>
      </c>
      <c r="AI55" s="857">
        <f>SUM(AI52:AI54)</f>
        <v>2680</v>
      </c>
      <c r="AJ55" s="857">
        <f>SUM(AJ52:AJ54)</f>
        <v>11950.199999999999</v>
      </c>
      <c r="AK55" s="857"/>
      <c r="AL55" s="968">
        <f>AN55/AM55</f>
        <v>4.2742544762183936</v>
      </c>
      <c r="AM55" s="857">
        <f>SUM(AM52:AM54)</f>
        <v>1788.9869341295885</v>
      </c>
      <c r="AN55" s="857">
        <f>SUM(AN52:AN54)</f>
        <v>7646.5854110996133</v>
      </c>
      <c r="AO55" s="991">
        <f>AL55-AH55</f>
        <v>-0.18477537452787463</v>
      </c>
      <c r="AP55" s="2201">
        <f>AM55-AI55</f>
        <v>-891.01306587041154</v>
      </c>
      <c r="AQ55" s="2201">
        <f>AN55-AJ55</f>
        <v>-4303.6145889003856</v>
      </c>
      <c r="AR55" s="991">
        <f>AT55/AS55</f>
        <v>3.9605965248323978</v>
      </c>
      <c r="AS55" s="992">
        <f>SUM(AS52:AS54)</f>
        <v>1096.3500000000001</v>
      </c>
      <c r="AT55" s="992">
        <f>SUM(AT52:AT54)</f>
        <v>4342.2</v>
      </c>
      <c r="AU55" s="991">
        <f>AW55/AV55</f>
        <v>4.0573052541368924</v>
      </c>
      <c r="AV55" s="992">
        <f>SUM(AV52:AV54)</f>
        <v>1586.94</v>
      </c>
      <c r="AW55" s="992">
        <f>SUM(AW52:AW54)</f>
        <v>6438.7</v>
      </c>
      <c r="AX55" s="3446">
        <f>AZ55/AY55</f>
        <v>4.6231243505129136</v>
      </c>
      <c r="AY55" s="3423">
        <f>SUM(AY52:AY54)</f>
        <v>2160.4700000000003</v>
      </c>
      <c r="AZ55" s="3423">
        <f>SUM(AZ52:AZ54)</f>
        <v>9988.1214655526364</v>
      </c>
      <c r="BA55" s="3440">
        <f t="shared" si="5"/>
        <v>1.3062198260486442</v>
      </c>
      <c r="BB55" s="3447">
        <f>BD55/BC55</f>
        <v>4.3548365034639751</v>
      </c>
      <c r="BC55" s="3448">
        <f>SUM(BC52:BC54)</f>
        <v>1745.8224</v>
      </c>
      <c r="BD55" s="3448">
        <f>SUM(BD52:BD54)</f>
        <v>7602.7711160850849</v>
      </c>
      <c r="BE55" s="3447">
        <f>BB55-AX55</f>
        <v>-0.26828784704893849</v>
      </c>
      <c r="BF55" s="3449">
        <f>BC55-AY55</f>
        <v>-414.64760000000024</v>
      </c>
      <c r="BG55" s="3450">
        <f>BD55-AZ55</f>
        <v>-2385.3503494675515</v>
      </c>
      <c r="BH55" s="3463">
        <f>BJ55/BI55</f>
        <v>4.6422557126925978</v>
      </c>
      <c r="BI55" s="3448">
        <f>SUM(BI52:BI54)</f>
        <v>1745.8224</v>
      </c>
      <c r="BJ55" s="3464">
        <f>SUM(BJ52:BJ54)</f>
        <v>8104.554009746701</v>
      </c>
      <c r="BK55" s="3432">
        <f>BH55-BD55</f>
        <v>-7598.1288603723924</v>
      </c>
      <c r="BL55" s="2737">
        <f>BI55-BE55</f>
        <v>1746.0906878470489</v>
      </c>
      <c r="BM55" s="3469">
        <f>BJ55-BF55</f>
        <v>8519.2016097467022</v>
      </c>
      <c r="BN55" s="3463">
        <f>BP55/BO55</f>
        <v>4.9532868454430012</v>
      </c>
      <c r="BO55" s="3448">
        <f>SUM(BO52:BO54)</f>
        <v>1745.8224</v>
      </c>
      <c r="BP55" s="3464">
        <f>SUM(BP52:BP54)</f>
        <v>8647.5591283997292</v>
      </c>
      <c r="BQ55" s="2725">
        <f>BN55-BJ55</f>
        <v>-8099.6007229012585</v>
      </c>
      <c r="BR55" s="2191">
        <f>BO55-BK55</f>
        <v>9343.9512603723924</v>
      </c>
      <c r="BS55" s="3469">
        <f>BP55-BL55</f>
        <v>6901.4684405526805</v>
      </c>
      <c r="BT55" s="3478">
        <f>SUM(BV55/BU55)</f>
        <v>4.142956705186525</v>
      </c>
      <c r="BU55" s="3482">
        <f>SUM(BU52:BU54)</f>
        <v>2123.58</v>
      </c>
      <c r="BV55" s="3483">
        <f>SUM(BV52:BV54)</f>
        <v>8797.9</v>
      </c>
      <c r="BW55" s="2749">
        <f>SUM(BY55/BX55)</f>
        <v>4.8182813458543725</v>
      </c>
      <c r="BX55" s="2951">
        <f>SUM(BX52:BX54)</f>
        <v>1059.55</v>
      </c>
      <c r="BY55" s="2951">
        <f>SUM(BY52:BY54)</f>
        <v>5105.21</v>
      </c>
      <c r="BZ55" s="2756">
        <f>SUM(CB55/CA55)</f>
        <v>4.7102012914310301</v>
      </c>
      <c r="CA55" s="2951">
        <f>SUM(CA52:CA54)</f>
        <v>1538.913</v>
      </c>
      <c r="CB55" s="2951">
        <f>SUM(CB52:CB54)</f>
        <v>7248.59</v>
      </c>
      <c r="CC55" s="2756">
        <f>SUM(CE55/CD55)</f>
        <v>4.7047955802769348</v>
      </c>
      <c r="CD55" s="2951">
        <f>SUM(CD52:CD54)</f>
        <v>2124.4769999999999</v>
      </c>
      <c r="CE55" s="2952">
        <f>SUM(CE52:CE54)</f>
        <v>9995.2300000000014</v>
      </c>
      <c r="CF55" s="3478">
        <f>SUM(CH55/CG55)</f>
        <v>4.7903201538103728</v>
      </c>
      <c r="CG55" s="3482">
        <f>SUM(CG52:CG54)</f>
        <v>1624.3919999999998</v>
      </c>
      <c r="CH55" s="3482">
        <f>SUM(CH52:CH54)</f>
        <v>7781.3577352883385</v>
      </c>
      <c r="CI55" s="3490">
        <f>SUM(CK55/CJ55)</f>
        <v>4.5372847682119204</v>
      </c>
      <c r="CJ55" s="3482">
        <f>SUM(CJ52:CJ54)</f>
        <v>1661</v>
      </c>
      <c r="CK55" s="3483">
        <f>SUM(CK52:CK54)</f>
        <v>7536.43</v>
      </c>
      <c r="CL55" s="4219">
        <f>SUM(CN55/CM55)</f>
        <v>4.4607243036332651</v>
      </c>
      <c r="CM55" s="4220">
        <f>SUM(CM52:CM54)</f>
        <v>1191.7930000000001</v>
      </c>
      <c r="CN55" s="4220">
        <f>SUM(CN52:CN54)</f>
        <v>5316.26</v>
      </c>
      <c r="CO55" s="4222">
        <f>SUM(CQ55/CP55)</f>
        <v>4.6221742619185964</v>
      </c>
      <c r="CP55" s="4220">
        <f>SUM(CP52:CP54)</f>
        <v>1734.768</v>
      </c>
      <c r="CQ55" s="4220">
        <f>SUM(CQ52:CQ54)</f>
        <v>8018.4</v>
      </c>
      <c r="CR55" s="4222">
        <f>SUM(CT55/CS55)</f>
        <v>4.7189895284000309</v>
      </c>
      <c r="CS55" s="4220">
        <f>SUM(CS52:CS54)</f>
        <v>2313.0239999999999</v>
      </c>
      <c r="CT55" s="4224">
        <f>SUM(CT52:CT54)</f>
        <v>10915.136034937952</v>
      </c>
      <c r="CU55" s="3478">
        <f>SUM(CW55/CV55)</f>
        <v>4.8551849999999996</v>
      </c>
      <c r="CV55" s="3479">
        <f>SUM(CV52:CV54)</f>
        <v>1639.5119999999999</v>
      </c>
      <c r="CW55" s="3479">
        <f>SUM(CW52:CW54)</f>
        <v>7960.1340697199994</v>
      </c>
      <c r="CX55" s="4407">
        <f>SUM(CZ55/CY55)</f>
        <v>4.8547237083333341</v>
      </c>
      <c r="CY55" s="4408">
        <f>SUM(CY52:CY54)</f>
        <v>1637.4607199999998</v>
      </c>
      <c r="CZ55" s="4411">
        <f>SUM(CZ52:CZ54)</f>
        <v>7949.41937884857</v>
      </c>
    </row>
    <row r="56" spans="1:104" ht="40.5" customHeight="1">
      <c r="A56" s="975" t="s">
        <v>145</v>
      </c>
      <c r="B56" s="771"/>
      <c r="C56" s="376"/>
      <c r="D56" s="376"/>
      <c r="E56" s="376"/>
      <c r="F56" s="376"/>
      <c r="G56" s="376"/>
      <c r="H56" s="376"/>
      <c r="I56" s="376"/>
      <c r="J56" s="779"/>
      <c r="K56" s="814"/>
      <c r="L56" s="956"/>
      <c r="M56" s="851">
        <f>объемы!E39</f>
        <v>5875</v>
      </c>
      <c r="N56" s="956"/>
      <c r="O56" s="956"/>
      <c r="P56" s="956"/>
      <c r="Q56" s="851">
        <f>объемы!F39</f>
        <v>5558.2912165809075</v>
      </c>
      <c r="R56" s="956"/>
      <c r="S56" s="957"/>
      <c r="T56" s="2193"/>
      <c r="U56" s="956"/>
      <c r="V56" s="2193">
        <f t="shared" si="12"/>
        <v>-316.70878341909247</v>
      </c>
      <c r="W56" s="956"/>
      <c r="X56" s="970"/>
      <c r="Y56" s="970"/>
      <c r="Z56" s="851">
        <v>3493.3</v>
      </c>
      <c r="AA56" s="956"/>
      <c r="AB56" s="956"/>
      <c r="AC56" s="956"/>
      <c r="AD56" s="851">
        <v>5158</v>
      </c>
      <c r="AE56" s="1002"/>
      <c r="AF56" s="1002"/>
      <c r="AG56" s="421">
        <f>SUM(объемы!I39)</f>
        <v>6977.9000000000005</v>
      </c>
      <c r="AH56" s="814"/>
      <c r="AI56" s="956"/>
      <c r="AJ56" s="851">
        <f>SUM(объемы!J39)</f>
        <v>5800.03</v>
      </c>
      <c r="AK56" s="956"/>
      <c r="AL56" s="956"/>
      <c r="AM56" s="956"/>
      <c r="AN56" s="851">
        <f>SUM(объемы!K39)</f>
        <v>5561.39</v>
      </c>
      <c r="AO56" s="2189"/>
      <c r="AP56" s="987"/>
      <c r="AQ56" s="988">
        <f t="shared" ref="AQ56:AQ62" si="30">AN56-AJ56</f>
        <v>-238.63999999999942</v>
      </c>
      <c r="AR56" s="2189"/>
      <c r="AS56" s="2189"/>
      <c r="AT56" s="990">
        <f>SUM(объемы!N39)</f>
        <v>3367.79</v>
      </c>
      <c r="AU56" s="2189"/>
      <c r="AV56" s="2189"/>
      <c r="AW56" s="990">
        <f>объемы!P39+объемы!Q39</f>
        <v>4982.8100000000004</v>
      </c>
      <c r="AX56" s="3451"/>
      <c r="AY56" s="3425"/>
      <c r="AZ56" s="3439">
        <f>SUM(объемы!T39)</f>
        <v>5757.92</v>
      </c>
      <c r="BA56" s="3440">
        <f t="shared" si="5"/>
        <v>1.0353382877302257</v>
      </c>
      <c r="BB56" s="3452"/>
      <c r="BC56" s="3452"/>
      <c r="BD56" s="3443">
        <f>SUM(объемы!U39:V39)</f>
        <v>5675.7370000000001</v>
      </c>
      <c r="BE56" s="3452"/>
      <c r="BF56" s="3441"/>
      <c r="BG56" s="3445">
        <f t="shared" ref="BG56:BG62" si="31">BD56-AZ56</f>
        <v>-82.182999999999993</v>
      </c>
      <c r="BH56" s="3465"/>
      <c r="BI56" s="3452"/>
      <c r="BJ56" s="3462">
        <f>объемы!Y39+объемы!Z39</f>
        <v>5560.400278476759</v>
      </c>
      <c r="BK56" s="3433"/>
      <c r="BL56" s="2730"/>
      <c r="BM56" s="3468">
        <f t="shared" ref="BM56:BM62" si="32">BJ56-BF56</f>
        <v>5560.400278476759</v>
      </c>
      <c r="BN56" s="3465"/>
      <c r="BO56" s="3452"/>
      <c r="BP56" s="3462">
        <f>BJ56</f>
        <v>5560.400278476759</v>
      </c>
      <c r="BQ56" s="2726"/>
      <c r="BR56" s="957"/>
      <c r="BS56" s="3468">
        <f t="shared" ref="BS56:BS62" si="33">BP56-BL56</f>
        <v>5560.400278476759</v>
      </c>
      <c r="BT56" s="3476"/>
      <c r="BU56" s="3477"/>
      <c r="BV56" s="3475">
        <f>SUM(электр!BJ56)</f>
        <v>6716.13</v>
      </c>
      <c r="BW56" s="2747"/>
      <c r="BX56" s="2748"/>
      <c r="BY56" s="2752">
        <f>SUM(электр!BM56)</f>
        <v>3158.83</v>
      </c>
      <c r="BZ56" s="2748"/>
      <c r="CA56" s="2748"/>
      <c r="CB56" s="2752">
        <f>SUM(электр!BP56)</f>
        <v>4683.07</v>
      </c>
      <c r="CC56" s="2748"/>
      <c r="CD56" s="2748"/>
      <c r="CE56" s="2754">
        <f>SUM(электр!BS56)</f>
        <v>6332.03</v>
      </c>
      <c r="CF56" s="3476"/>
      <c r="CG56" s="3477"/>
      <c r="CH56" s="3487">
        <f>SUM(электр!BV56)</f>
        <v>5636.25</v>
      </c>
      <c r="CI56" s="3477"/>
      <c r="CJ56" s="3477"/>
      <c r="CK56" s="3475">
        <f>SUM(электр!BZ56)</f>
        <v>5570.6850000000004</v>
      </c>
      <c r="CL56" s="4217"/>
      <c r="CM56" s="4218"/>
      <c r="CN56" s="4214">
        <f>SUM(электр!CF56)</f>
        <v>3202.46</v>
      </c>
      <c r="CO56" s="4218"/>
      <c r="CP56" s="4218"/>
      <c r="CQ56" s="4214">
        <f>SUM(электр!CI56)</f>
        <v>5034.43</v>
      </c>
      <c r="CR56" s="4218"/>
      <c r="CS56" s="4218"/>
      <c r="CT56" s="4216">
        <f>SUM(электр!CL56)</f>
        <v>6245.85</v>
      </c>
      <c r="CU56" s="3476"/>
      <c r="CV56" s="3477"/>
      <c r="CW56" s="3474">
        <f>SUM(электр!CO56)</f>
        <v>5570</v>
      </c>
      <c r="CX56" s="4405"/>
      <c r="CY56" s="4405"/>
      <c r="CZ56" s="4404">
        <f>SUM(электр!CS56)</f>
        <v>5326.2809999999999</v>
      </c>
    </row>
    <row r="57" spans="1:104" ht="45" customHeight="1">
      <c r="A57" s="976" t="s">
        <v>146</v>
      </c>
      <c r="B57" s="771"/>
      <c r="C57" s="376"/>
      <c r="D57" s="376"/>
      <c r="E57" s="376"/>
      <c r="F57" s="376"/>
      <c r="G57" s="376"/>
      <c r="H57" s="376"/>
      <c r="I57" s="376"/>
      <c r="J57" s="779"/>
      <c r="K57" s="814"/>
      <c r="L57" s="956"/>
      <c r="M57" s="957">
        <f>L48/M56</f>
        <v>0.18573617021276598</v>
      </c>
      <c r="N57" s="956"/>
      <c r="O57" s="956"/>
      <c r="P57" s="956"/>
      <c r="Q57" s="957">
        <f>AH20</f>
        <v>0.14554379746835441</v>
      </c>
      <c r="R57" s="956"/>
      <c r="S57" s="957"/>
      <c r="T57" s="2193"/>
      <c r="U57" s="956"/>
      <c r="V57" s="957">
        <f t="shared" si="12"/>
        <v>-4.0192372744411564E-2</v>
      </c>
      <c r="W57" s="956"/>
      <c r="X57" s="970"/>
      <c r="Y57" s="970"/>
      <c r="Z57" s="957">
        <f>Y48/Z56</f>
        <v>0.14465748718976326</v>
      </c>
      <c r="AA57" s="956"/>
      <c r="AB57" s="956"/>
      <c r="AC57" s="956"/>
      <c r="AD57" s="957">
        <f>AC48/AD56</f>
        <v>0.13366227219852655</v>
      </c>
      <c r="AE57" s="1002"/>
      <c r="AF57" s="1002"/>
      <c r="AG57" s="958">
        <f>AF48/AG56</f>
        <v>0.1305331116811648</v>
      </c>
      <c r="AH57" s="814"/>
      <c r="AI57" s="956"/>
      <c r="AJ57" s="957">
        <f>AI48/AJ56</f>
        <v>0.14599924483149224</v>
      </c>
      <c r="AK57" s="956"/>
      <c r="AL57" s="956"/>
      <c r="AM57" s="956"/>
      <c r="AN57" s="957">
        <f>AP20</f>
        <v>0.15880621825734828</v>
      </c>
      <c r="AO57" s="2189"/>
      <c r="AP57" s="987"/>
      <c r="AQ57" s="987">
        <f t="shared" si="30"/>
        <v>1.2806973425856044E-2</v>
      </c>
      <c r="AR57" s="2189"/>
      <c r="AS57" s="2189"/>
      <c r="AT57" s="987">
        <f>AS48/AT56</f>
        <v>0.12322324135412244</v>
      </c>
      <c r="AU57" s="2189"/>
      <c r="AV57" s="2189"/>
      <c r="AW57" s="987">
        <f>AV48/AW56</f>
        <v>0.10962027450374386</v>
      </c>
      <c r="AX57" s="3451"/>
      <c r="AY57" s="3425"/>
      <c r="AZ57" s="3418">
        <f>AY48/AZ56</f>
        <v>0.15819080501292135</v>
      </c>
      <c r="BA57" s="3440">
        <f t="shared" si="5"/>
        <v>0.99612475348144336</v>
      </c>
      <c r="BB57" s="3452"/>
      <c r="BC57" s="3452"/>
      <c r="BD57" s="3441">
        <v>0.124</v>
      </c>
      <c r="BE57" s="3452"/>
      <c r="BF57" s="3441"/>
      <c r="BG57" s="3453">
        <f t="shared" si="31"/>
        <v>-3.4190805012921349E-2</v>
      </c>
      <c r="BH57" s="3465"/>
      <c r="BI57" s="3452"/>
      <c r="BJ57" s="3453">
        <v>0.124</v>
      </c>
      <c r="BK57" s="3433"/>
      <c r="BL57" s="2730"/>
      <c r="BM57" s="3470">
        <f t="shared" si="32"/>
        <v>0.124</v>
      </c>
      <c r="BN57" s="3465"/>
      <c r="BO57" s="3452"/>
      <c r="BP57" s="3453">
        <v>0.124</v>
      </c>
      <c r="BQ57" s="2726"/>
      <c r="BR57" s="957"/>
      <c r="BS57" s="3470">
        <f t="shared" si="33"/>
        <v>0.124</v>
      </c>
      <c r="BT57" s="3476"/>
      <c r="BU57" s="3477"/>
      <c r="BV57" s="4085">
        <f>SUM(BU48/BV56)</f>
        <v>0.11051751529526677</v>
      </c>
      <c r="BW57" s="2747"/>
      <c r="BX57" s="2748"/>
      <c r="BY57" s="2753">
        <f>SUM(BX48/BY56)</f>
        <v>0.1262397786522225</v>
      </c>
      <c r="BZ57" s="2748"/>
      <c r="CA57" s="2748"/>
      <c r="CB57" s="2753">
        <f>SUM(CA48/CB56)</f>
        <v>0.11728524237305871</v>
      </c>
      <c r="CC57" s="2748"/>
      <c r="CD57" s="2748"/>
      <c r="CE57" s="4087">
        <f>SUM(CD48/CE56)</f>
        <v>0.124641860509189</v>
      </c>
      <c r="CF57" s="3476"/>
      <c r="CG57" s="3477"/>
      <c r="CH57" s="3488">
        <f>SUM(CG48/CH56)</f>
        <v>0.124</v>
      </c>
      <c r="CI57" s="3477"/>
      <c r="CJ57" s="3477"/>
      <c r="CK57" s="4085">
        <f>SUM(CJ48/CK56)</f>
        <v>0.12400629366047441</v>
      </c>
      <c r="CL57" s="4217"/>
      <c r="CM57" s="4218"/>
      <c r="CN57" s="4215">
        <f>SUM(электр!CF57)</f>
        <v>0.13762232783547648</v>
      </c>
      <c r="CO57" s="4218"/>
      <c r="CP57" s="4218"/>
      <c r="CQ57" s="4215">
        <f>SUM(электр!CI57)</f>
        <v>0.12615469874444574</v>
      </c>
      <c r="CR57" s="4218"/>
      <c r="CS57" s="4218"/>
      <c r="CT57" s="4225">
        <f>SUM(электр!CL57)</f>
        <v>0.13558165288418175</v>
      </c>
      <c r="CU57" s="3476"/>
      <c r="CV57" s="3477"/>
      <c r="CW57" s="3488">
        <f>SUM(электр!CO57)</f>
        <v>0.124</v>
      </c>
      <c r="CX57" s="4405"/>
      <c r="CY57" s="4405"/>
      <c r="CZ57" s="4412">
        <f>SUM(электр!CS57)</f>
        <v>0.124</v>
      </c>
    </row>
    <row r="58" spans="1:104" ht="45.75" customHeight="1">
      <c r="A58" s="976" t="s">
        <v>881</v>
      </c>
      <c r="B58" s="771"/>
      <c r="C58" s="376"/>
      <c r="D58" s="376"/>
      <c r="E58" s="376"/>
      <c r="F58" s="376"/>
      <c r="G58" s="376"/>
      <c r="H58" s="376"/>
      <c r="I58" s="376"/>
      <c r="J58" s="779"/>
      <c r="K58" s="814"/>
      <c r="L58" s="956"/>
      <c r="M58" s="851">
        <f>объемы!E44</f>
        <v>4999</v>
      </c>
      <c r="N58" s="956"/>
      <c r="O58" s="956"/>
      <c r="P58" s="956"/>
      <c r="Q58" s="851">
        <f>объемы!F44</f>
        <v>5051.2</v>
      </c>
      <c r="R58" s="956"/>
      <c r="S58" s="957"/>
      <c r="T58" s="2193"/>
      <c r="U58" s="956"/>
      <c r="V58" s="2193">
        <f t="shared" si="12"/>
        <v>52.199999999999818</v>
      </c>
      <c r="W58" s="956"/>
      <c r="X58" s="970"/>
      <c r="Y58" s="970"/>
      <c r="Z58" s="851">
        <v>3054.18</v>
      </c>
      <c r="AA58" s="956"/>
      <c r="AB58" s="956"/>
      <c r="AC58" s="956"/>
      <c r="AD58" s="851">
        <v>4509.2</v>
      </c>
      <c r="AE58" s="1002"/>
      <c r="AF58" s="1002"/>
      <c r="AG58" s="421">
        <f>SUM(объемы!I44)</f>
        <v>6136.9000000000005</v>
      </c>
      <c r="AH58" s="814"/>
      <c r="AI58" s="956"/>
      <c r="AJ58" s="851">
        <f>SUM(объемы!J44)</f>
        <v>5046.03</v>
      </c>
      <c r="AK58" s="956"/>
      <c r="AL58" s="956"/>
      <c r="AM58" s="956"/>
      <c r="AN58" s="851">
        <f>SUM(объемы!K44)</f>
        <v>5050.4000000000005</v>
      </c>
      <c r="AO58" s="2189"/>
      <c r="AP58" s="987"/>
      <c r="AQ58" s="988">
        <f t="shared" si="30"/>
        <v>4.3700000000008004</v>
      </c>
      <c r="AR58" s="2189"/>
      <c r="AS58" s="2189"/>
      <c r="AT58" s="990">
        <f>SUM(объемы!N44)</f>
        <v>2888.49</v>
      </c>
      <c r="AU58" s="2189"/>
      <c r="AV58" s="2189"/>
      <c r="AW58" s="990">
        <f>объемы!P39</f>
        <v>4965.25</v>
      </c>
      <c r="AX58" s="3451"/>
      <c r="AY58" s="3425"/>
      <c r="AZ58" s="3439">
        <f>SUM(объемы!T44)</f>
        <v>5007.92</v>
      </c>
      <c r="BA58" s="3440">
        <f t="shared" si="5"/>
        <v>0.99158878504672887</v>
      </c>
      <c r="BB58" s="3452"/>
      <c r="BC58" s="3452"/>
      <c r="BD58" s="3443">
        <f>объемы!U44</f>
        <v>4967.9170000000004</v>
      </c>
      <c r="BE58" s="3452"/>
      <c r="BF58" s="3441"/>
      <c r="BG58" s="3445">
        <f t="shared" si="31"/>
        <v>-40.002999999999702</v>
      </c>
      <c r="BH58" s="3465"/>
      <c r="BI58" s="3452"/>
      <c r="BJ58" s="3462">
        <f>объемы!Y44</f>
        <v>4852.5802784767593</v>
      </c>
      <c r="BK58" s="3433"/>
      <c r="BL58" s="2730"/>
      <c r="BM58" s="3468">
        <f t="shared" si="32"/>
        <v>4852.5802784767593</v>
      </c>
      <c r="BN58" s="3465"/>
      <c r="BO58" s="3452"/>
      <c r="BP58" s="3462">
        <f>BJ58</f>
        <v>4852.5802784767593</v>
      </c>
      <c r="BQ58" s="2726"/>
      <c r="BR58" s="957"/>
      <c r="BS58" s="3468">
        <f t="shared" si="33"/>
        <v>4852.5802784767593</v>
      </c>
      <c r="BT58" s="3476"/>
      <c r="BU58" s="3477"/>
      <c r="BV58" s="3475">
        <f>SUM(электр!BJ58)</f>
        <v>5666.93</v>
      </c>
      <c r="BW58" s="2747"/>
      <c r="BX58" s="2748"/>
      <c r="BY58" s="2752">
        <f>SUM(электр!BM58)</f>
        <v>2511.62</v>
      </c>
      <c r="BZ58" s="2748"/>
      <c r="CA58" s="2748"/>
      <c r="CB58" s="2752">
        <f>SUM(электр!BP58)</f>
        <v>3803.72</v>
      </c>
      <c r="CC58" s="2748"/>
      <c r="CD58" s="2748"/>
      <c r="CE58" s="2754">
        <f>SUM(электр!BS58)</f>
        <v>5144.2299999999996</v>
      </c>
      <c r="CF58" s="3476"/>
      <c r="CG58" s="3477"/>
      <c r="CH58" s="3487">
        <f>SUM(электр!BV58)</f>
        <v>4736.25</v>
      </c>
      <c r="CI58" s="3477"/>
      <c r="CJ58" s="3477"/>
      <c r="CK58" s="3475">
        <f>SUM(электр!BZ58)</f>
        <v>4696.1390000000001</v>
      </c>
      <c r="CL58" s="4217"/>
      <c r="CM58" s="4218"/>
      <c r="CN58" s="4214">
        <f>SUM(электр!CF58)</f>
        <v>2727.48</v>
      </c>
      <c r="CO58" s="4218"/>
      <c r="CP58" s="4218"/>
      <c r="CQ58" s="4214">
        <f>SUM(электр!CI58)</f>
        <v>4130.59</v>
      </c>
      <c r="CR58" s="4218"/>
      <c r="CS58" s="4218"/>
      <c r="CT58" s="4216">
        <f>SUM(электр!CL58)</f>
        <v>5144</v>
      </c>
      <c r="CU58" s="3476"/>
      <c r="CV58" s="3477"/>
      <c r="CW58" s="3474">
        <f>SUM(электр!CO58)</f>
        <v>4635</v>
      </c>
      <c r="CX58" s="4405"/>
      <c r="CY58" s="4405"/>
      <c r="CZ58" s="4404">
        <f>SUM(электр!CS58)</f>
        <v>4509.8630000000003</v>
      </c>
    </row>
    <row r="59" spans="1:104" ht="40.5" customHeight="1">
      <c r="A59" s="976" t="s">
        <v>147</v>
      </c>
      <c r="B59" s="771"/>
      <c r="C59" s="376"/>
      <c r="D59" s="376"/>
      <c r="E59" s="376"/>
      <c r="F59" s="376"/>
      <c r="G59" s="376"/>
      <c r="H59" s="376"/>
      <c r="I59" s="376"/>
      <c r="J59" s="779"/>
      <c r="K59" s="814"/>
      <c r="L59" s="956"/>
      <c r="M59" s="957">
        <f>L50/M58</f>
        <v>0.35103020604120821</v>
      </c>
      <c r="N59" s="956"/>
      <c r="O59" s="956"/>
      <c r="P59" s="956"/>
      <c r="Q59" s="957">
        <f>AH22</f>
        <v>0.26482803446738967</v>
      </c>
      <c r="R59" s="956"/>
      <c r="S59" s="957"/>
      <c r="T59" s="2193"/>
      <c r="U59" s="956"/>
      <c r="V59" s="957">
        <f t="shared" si="12"/>
        <v>-8.6202171573818542E-2</v>
      </c>
      <c r="W59" s="956"/>
      <c r="X59" s="970"/>
      <c r="Y59" s="970"/>
      <c r="Z59" s="957">
        <f>Y50/Z58</f>
        <v>0.26849105160796027</v>
      </c>
      <c r="AA59" s="956"/>
      <c r="AB59" s="956"/>
      <c r="AC59" s="956"/>
      <c r="AD59" s="957">
        <f>AC50/AD58</f>
        <v>0.26396034773352256</v>
      </c>
      <c r="AE59" s="1002"/>
      <c r="AF59" s="1002"/>
      <c r="AG59" s="958">
        <f>AF50/AG58</f>
        <v>0.24905571216738093</v>
      </c>
      <c r="AH59" s="814"/>
      <c r="AI59" s="956"/>
      <c r="AJ59" s="957">
        <f>AI50/AJ58</f>
        <v>0.27498845627156399</v>
      </c>
      <c r="AK59" s="956"/>
      <c r="AL59" s="956"/>
      <c r="AM59" s="956"/>
      <c r="AN59" s="957">
        <f>AP22</f>
        <v>0.24172159546971789</v>
      </c>
      <c r="AO59" s="2189"/>
      <c r="AP59" s="987"/>
      <c r="AQ59" s="987">
        <f t="shared" si="30"/>
        <v>-3.3266860801846099E-2</v>
      </c>
      <c r="AR59" s="2189"/>
      <c r="AS59" s="2189"/>
      <c r="AT59" s="987">
        <f>AS50/AT58</f>
        <v>0.23473164179207823</v>
      </c>
      <c r="AU59" s="2189"/>
      <c r="AV59" s="2189"/>
      <c r="AW59" s="987">
        <f>AV50/AW58</f>
        <v>0.20463420774381955</v>
      </c>
      <c r="AX59" s="3451"/>
      <c r="AY59" s="3425"/>
      <c r="AZ59" s="3418">
        <f>AY50/AZ58</f>
        <v>0.30520255914631222</v>
      </c>
      <c r="BA59" s="3440">
        <f t="shared" si="5"/>
        <v>1.2626201583405776</v>
      </c>
      <c r="BB59" s="3452"/>
      <c r="BC59" s="3452"/>
      <c r="BD59" s="3441">
        <v>0.249</v>
      </c>
      <c r="BE59" s="3452"/>
      <c r="BF59" s="3441"/>
      <c r="BG59" s="3453">
        <f t="shared" si="31"/>
        <v>-5.6202559146312225E-2</v>
      </c>
      <c r="BH59" s="3465"/>
      <c r="BI59" s="3452"/>
      <c r="BJ59" s="3453">
        <v>0.24199999999999999</v>
      </c>
      <c r="BK59" s="3433"/>
      <c r="BL59" s="2730"/>
      <c r="BM59" s="3470">
        <f t="shared" si="32"/>
        <v>0.24199999999999999</v>
      </c>
      <c r="BN59" s="3465"/>
      <c r="BO59" s="3452"/>
      <c r="BP59" s="3453">
        <v>0.24199999999999999</v>
      </c>
      <c r="BQ59" s="2726"/>
      <c r="BR59" s="957"/>
      <c r="BS59" s="3470">
        <f t="shared" si="33"/>
        <v>0.24199999999999999</v>
      </c>
      <c r="BT59" s="3476"/>
      <c r="BU59" s="3477"/>
      <c r="BV59" s="4085">
        <f>SUM(BU50/BV58)</f>
        <v>0.25099127746416489</v>
      </c>
      <c r="BW59" s="2747"/>
      <c r="BX59" s="2748"/>
      <c r="BY59" s="2753">
        <f>SUM(BX50/BY58)</f>
        <v>0.32946464831463362</v>
      </c>
      <c r="BZ59" s="2748"/>
      <c r="CA59" s="2748"/>
      <c r="CB59" s="2753">
        <f>SUM(CA50/CB58)</f>
        <v>0.29840997760087495</v>
      </c>
      <c r="CC59" s="2748"/>
      <c r="CD59" s="2748"/>
      <c r="CE59" s="4087">
        <f>SUM(CD50/CE58)</f>
        <v>0.2948237151138266</v>
      </c>
      <c r="CF59" s="3476"/>
      <c r="CG59" s="3477"/>
      <c r="CH59" s="3488">
        <f>SUM(CG50/CH58)</f>
        <v>0.24900000000000003</v>
      </c>
      <c r="CI59" s="3477"/>
      <c r="CJ59" s="3477"/>
      <c r="CK59" s="4085">
        <f>SUM(CJ50/CK58)</f>
        <v>0.24200731707472883</v>
      </c>
      <c r="CL59" s="4217"/>
      <c r="CM59" s="4218"/>
      <c r="CN59" s="4215">
        <f>SUM(электр!CF59)</f>
        <v>0.27285516300761142</v>
      </c>
      <c r="CO59" s="4218"/>
      <c r="CP59" s="4218"/>
      <c r="CQ59" s="4215">
        <f>SUM(электр!CI59)</f>
        <v>0.27398676702359714</v>
      </c>
      <c r="CR59" s="4218"/>
      <c r="CS59" s="4218"/>
      <c r="CT59" s="4225">
        <f>SUM(электр!CL59)</f>
        <v>0.29334551581130119</v>
      </c>
      <c r="CU59" s="3476"/>
      <c r="CV59" s="3477"/>
      <c r="CW59" s="3488">
        <f>SUM(электр!CO59)</f>
        <v>0.24199999999999999</v>
      </c>
      <c r="CX59" s="4405"/>
      <c r="CY59" s="4405"/>
      <c r="CZ59" s="4412">
        <f>SUM(электр!CS59)</f>
        <v>0.24199999999999999</v>
      </c>
    </row>
    <row r="60" spans="1:104" ht="48" customHeight="1">
      <c r="A60" s="977" t="s">
        <v>148</v>
      </c>
      <c r="B60" s="771"/>
      <c r="C60" s="376"/>
      <c r="D60" s="376"/>
      <c r="E60" s="376"/>
      <c r="F60" s="376"/>
      <c r="G60" s="376"/>
      <c r="H60" s="376"/>
      <c r="I60" s="376"/>
      <c r="J60" s="779"/>
      <c r="K60" s="814"/>
      <c r="L60" s="956"/>
      <c r="M60" s="851">
        <f>объемы!E58</f>
        <v>3600</v>
      </c>
      <c r="N60" s="956"/>
      <c r="O60" s="956"/>
      <c r="P60" s="956"/>
      <c r="Q60" s="851">
        <f>объемы!F57</f>
        <v>3672.7</v>
      </c>
      <c r="R60" s="956"/>
      <c r="S60" s="957"/>
      <c r="T60" s="2193"/>
      <c r="U60" s="956"/>
      <c r="V60" s="2193">
        <f t="shared" si="12"/>
        <v>72.699999999999818</v>
      </c>
      <c r="W60" s="956"/>
      <c r="X60" s="970"/>
      <c r="Y60" s="970"/>
      <c r="Z60" s="851">
        <v>1773.8</v>
      </c>
      <c r="AA60" s="956"/>
      <c r="AB60" s="956"/>
      <c r="AC60" s="956"/>
      <c r="AD60" s="851">
        <v>2603.1999999999998</v>
      </c>
      <c r="AE60" s="1002"/>
      <c r="AF60" s="1002"/>
      <c r="AG60" s="421">
        <f>объемы!I57</f>
        <v>4393.3999999999996</v>
      </c>
      <c r="AH60" s="814"/>
      <c r="AI60" s="956"/>
      <c r="AJ60" s="851">
        <f>объемы!J58</f>
        <v>3672.7</v>
      </c>
      <c r="AK60" s="956"/>
      <c r="AL60" s="956"/>
      <c r="AM60" s="956"/>
      <c r="AN60" s="851">
        <f>объемы!K57</f>
        <v>3644.7</v>
      </c>
      <c r="AO60" s="2189"/>
      <c r="AP60" s="987"/>
      <c r="AQ60" s="988">
        <f t="shared" si="30"/>
        <v>-28</v>
      </c>
      <c r="AR60" s="2189"/>
      <c r="AS60" s="2189"/>
      <c r="AT60" s="990">
        <f>объемы!N57</f>
        <v>2027.43</v>
      </c>
      <c r="AU60" s="2189"/>
      <c r="AV60" s="2189"/>
      <c r="AW60" s="990">
        <f>объемы!P57</f>
        <v>2915.24</v>
      </c>
      <c r="AX60" s="3451"/>
      <c r="AY60" s="3425"/>
      <c r="AZ60" s="3439">
        <f>SUM(объемы!T58)</f>
        <v>3463.9333333333334</v>
      </c>
      <c r="BA60" s="3440">
        <f t="shared" si="5"/>
        <v>0.95040286809156682</v>
      </c>
      <c r="BB60" s="3452"/>
      <c r="BC60" s="3452"/>
      <c r="BD60" s="3443">
        <f>SUM(объемы!U58:V58)</f>
        <v>3463.9333333333334</v>
      </c>
      <c r="BE60" s="3452"/>
      <c r="BF60" s="3441"/>
      <c r="BG60" s="3445">
        <f t="shared" si="31"/>
        <v>0</v>
      </c>
      <c r="BH60" s="3465"/>
      <c r="BI60" s="3452"/>
      <c r="BJ60" s="3462">
        <f>объемы!Y58+объемы!Z58</f>
        <v>3463.9333333333334</v>
      </c>
      <c r="BK60" s="3433"/>
      <c r="BL60" s="2730"/>
      <c r="BM60" s="3468">
        <f t="shared" si="32"/>
        <v>3463.9333333333334</v>
      </c>
      <c r="BN60" s="3465"/>
      <c r="BO60" s="3452"/>
      <c r="BP60" s="3462">
        <f>BJ60</f>
        <v>3463.9333333333334</v>
      </c>
      <c r="BQ60" s="2726"/>
      <c r="BR60" s="957"/>
      <c r="BS60" s="3468">
        <f t="shared" si="33"/>
        <v>3463.9333333333334</v>
      </c>
      <c r="BT60" s="3476"/>
      <c r="BU60" s="3477"/>
      <c r="BV60" s="3475">
        <f>SUM(электр!BJ60)</f>
        <v>3209.95</v>
      </c>
      <c r="BW60" s="2747"/>
      <c r="BX60" s="2748"/>
      <c r="BY60" s="2752">
        <f>SUM(электр!BM60)</f>
        <v>1577.71</v>
      </c>
      <c r="BZ60" s="2748"/>
      <c r="CA60" s="2748"/>
      <c r="CB60" s="2752">
        <f>SUM(электр!BP60)</f>
        <v>2304.86</v>
      </c>
      <c r="CC60" s="2748"/>
      <c r="CD60" s="2748"/>
      <c r="CE60" s="2754">
        <f>SUM(электр!BS60)</f>
        <v>3061.4900000000002</v>
      </c>
      <c r="CF60" s="3476"/>
      <c r="CG60" s="3477"/>
      <c r="CH60" s="3487">
        <f>SUM(электр!BV60)</f>
        <v>3223</v>
      </c>
      <c r="CI60" s="3477"/>
      <c r="CJ60" s="3477"/>
      <c r="CK60" s="3475">
        <f>SUM(электр!BZ60)</f>
        <v>3295.75</v>
      </c>
      <c r="CL60" s="4217"/>
      <c r="CM60" s="4218"/>
      <c r="CN60" s="4214">
        <f>SUM(электр!CF60)</f>
        <v>1601.85</v>
      </c>
      <c r="CO60" s="4218"/>
      <c r="CP60" s="4218"/>
      <c r="CQ60" s="4214">
        <f>SUM(электр!CI60)</f>
        <v>2339.08</v>
      </c>
      <c r="CR60" s="4218"/>
      <c r="CS60" s="4218"/>
      <c r="CT60" s="4216">
        <f>SUM(электр!CL60)</f>
        <v>3100</v>
      </c>
      <c r="CU60" s="3476"/>
      <c r="CV60" s="3477"/>
      <c r="CW60" s="3474">
        <f>SUM(электр!CO60)</f>
        <v>3253</v>
      </c>
      <c r="CX60" s="4405"/>
      <c r="CY60" s="4405"/>
      <c r="CZ60" s="4404">
        <f>SUM(электр!CS60)</f>
        <v>3248.93</v>
      </c>
    </row>
    <row r="61" spans="1:104" ht="56.25" customHeight="1">
      <c r="A61" s="976" t="s">
        <v>149</v>
      </c>
      <c r="B61" s="771"/>
      <c r="C61" s="376"/>
      <c r="D61" s="376"/>
      <c r="E61" s="376"/>
      <c r="F61" s="376"/>
      <c r="G61" s="376"/>
      <c r="H61" s="376"/>
      <c r="I61" s="376"/>
      <c r="J61" s="779"/>
      <c r="K61" s="814"/>
      <c r="L61" s="956"/>
      <c r="M61" s="957">
        <f>L52/M60</f>
        <v>0.1105</v>
      </c>
      <c r="N61" s="956"/>
      <c r="O61" s="956"/>
      <c r="P61" s="956"/>
      <c r="Q61" s="957">
        <f>AB25</f>
        <v>9.9000000000000005E-2</v>
      </c>
      <c r="R61" s="956"/>
      <c r="S61" s="957"/>
      <c r="T61" s="2193"/>
      <c r="U61" s="956"/>
      <c r="V61" s="957">
        <f t="shared" si="12"/>
        <v>-1.1499999999999996E-2</v>
      </c>
      <c r="W61" s="956"/>
      <c r="X61" s="970"/>
      <c r="Y61" s="970"/>
      <c r="Z61" s="957">
        <f>Y52/Z60</f>
        <v>9.1423497575825907E-2</v>
      </c>
      <c r="AA61" s="956"/>
      <c r="AB61" s="956"/>
      <c r="AC61" s="956"/>
      <c r="AD61" s="957">
        <f>AC52/AD60</f>
        <v>8.6067148125384157E-2</v>
      </c>
      <c r="AE61" s="1002"/>
      <c r="AF61" s="1002"/>
      <c r="AG61" s="2065">
        <f>AF52/AG60</f>
        <v>6.9781945645741347E-2</v>
      </c>
      <c r="AH61" s="814"/>
      <c r="AI61" s="956"/>
      <c r="AJ61" s="957">
        <f>AI52/AJ60</f>
        <v>0.1083126854902388</v>
      </c>
      <c r="AK61" s="956"/>
      <c r="AL61" s="956"/>
      <c r="AM61" s="956"/>
      <c r="AN61" s="957">
        <f>Q61</f>
        <v>9.9000000000000005E-2</v>
      </c>
      <c r="AO61" s="2189"/>
      <c r="AP61" s="987"/>
      <c r="AQ61" s="987">
        <f t="shared" si="30"/>
        <v>-9.3126854902387951E-3</v>
      </c>
      <c r="AR61" s="2189"/>
      <c r="AS61" s="2189"/>
      <c r="AT61" s="987">
        <f>AS52/AT60</f>
        <v>7.2579571181249164E-2</v>
      </c>
      <c r="AU61" s="2189"/>
      <c r="AV61" s="2189"/>
      <c r="AW61" s="987">
        <f>AV52/AW60</f>
        <v>6.5847065764739796E-2</v>
      </c>
      <c r="AX61" s="3451"/>
      <c r="AY61" s="3425"/>
      <c r="AZ61" s="3418">
        <f>AY52/AZ60</f>
        <v>8.8506322292576836E-2</v>
      </c>
      <c r="BA61" s="3440">
        <f t="shared" si="5"/>
        <v>0.89400325548057402</v>
      </c>
      <c r="BB61" s="3452"/>
      <c r="BC61" s="3452"/>
      <c r="BD61" s="3441">
        <v>8.4000000000000005E-2</v>
      </c>
      <c r="BE61" s="3452"/>
      <c r="BF61" s="3441"/>
      <c r="BG61" s="3453">
        <f t="shared" si="31"/>
        <v>-4.5063222925768309E-3</v>
      </c>
      <c r="BH61" s="3465"/>
      <c r="BI61" s="3452"/>
      <c r="BJ61" s="3453">
        <v>8.4000000000000005E-2</v>
      </c>
      <c r="BK61" s="3433"/>
      <c r="BL61" s="2730"/>
      <c r="BM61" s="3470">
        <f t="shared" si="32"/>
        <v>8.4000000000000005E-2</v>
      </c>
      <c r="BN61" s="3465"/>
      <c r="BO61" s="3452"/>
      <c r="BP61" s="3453">
        <v>8.4000000000000005E-2</v>
      </c>
      <c r="BQ61" s="2726"/>
      <c r="BR61" s="957"/>
      <c r="BS61" s="3470">
        <f t="shared" si="33"/>
        <v>8.4000000000000005E-2</v>
      </c>
      <c r="BT61" s="3476"/>
      <c r="BU61" s="3477"/>
      <c r="BV61" s="4085">
        <f>SUM(BU52/BV60)</f>
        <v>8.3178865714419237E-2</v>
      </c>
      <c r="BW61" s="2747"/>
      <c r="BX61" s="2748"/>
      <c r="BY61" s="2753">
        <f>SUM(BX52/BY60)</f>
        <v>9.9758510752926702E-2</v>
      </c>
      <c r="BZ61" s="2748"/>
      <c r="CA61" s="2748"/>
      <c r="CB61" s="2753">
        <f>SUM(CA52/CB60)</f>
        <v>8.9345990645852677E-2</v>
      </c>
      <c r="CC61" s="2748"/>
      <c r="CD61" s="2748"/>
      <c r="CE61" s="4087">
        <f>SUM(CD52/CE60)</f>
        <v>9.2121809968348733E-2</v>
      </c>
      <c r="CF61" s="3476"/>
      <c r="CG61" s="3477"/>
      <c r="CH61" s="3488">
        <f>SUM(CG52/CH60)</f>
        <v>8.4000000000000005E-2</v>
      </c>
      <c r="CI61" s="3477"/>
      <c r="CJ61" s="3477"/>
      <c r="CK61" s="4085">
        <f>SUM(CJ52/CK60)</f>
        <v>8.3986952893878489E-2</v>
      </c>
      <c r="CL61" s="4217"/>
      <c r="CM61" s="4218"/>
      <c r="CN61" s="4215">
        <f>SUM(электр!CF61)</f>
        <v>0.11385023566501234</v>
      </c>
      <c r="CO61" s="4218"/>
      <c r="CP61" s="4218"/>
      <c r="CQ61" s="4215">
        <f>SUM(электр!CI61)</f>
        <v>0.1086465618961301</v>
      </c>
      <c r="CR61" s="4218"/>
      <c r="CS61" s="4218"/>
      <c r="CT61" s="4225">
        <f>SUM(электр!CL61)</f>
        <v>0.10930451612903228</v>
      </c>
      <c r="CU61" s="3476"/>
      <c r="CV61" s="3477"/>
      <c r="CW61" s="3488">
        <f>SUM(электр!CO61)</f>
        <v>8.4000000000000005E-2</v>
      </c>
      <c r="CX61" s="4405"/>
      <c r="CY61" s="4405"/>
      <c r="CZ61" s="4412">
        <f>SUM(электр!CS61)</f>
        <v>8.4000000000000005E-2</v>
      </c>
    </row>
    <row r="62" spans="1:104" ht="58.5" customHeight="1" thickBot="1">
      <c r="A62" s="978" t="s">
        <v>150</v>
      </c>
      <c r="B62" s="771"/>
      <c r="C62" s="376"/>
      <c r="D62" s="376"/>
      <c r="E62" s="376"/>
      <c r="F62" s="376"/>
      <c r="G62" s="376"/>
      <c r="H62" s="376"/>
      <c r="I62" s="376"/>
      <c r="J62" s="779"/>
      <c r="K62" s="2187"/>
      <c r="L62" s="405"/>
      <c r="M62" s="971">
        <f>L54/M60</f>
        <v>0.63394444444444442</v>
      </c>
      <c r="N62" s="405"/>
      <c r="O62" s="405"/>
      <c r="P62" s="405"/>
      <c r="Q62" s="971">
        <f>AH26</f>
        <v>0.39184614210486146</v>
      </c>
      <c r="R62" s="405"/>
      <c r="S62" s="971"/>
      <c r="T62" s="638"/>
      <c r="U62" s="405"/>
      <c r="V62" s="971">
        <f t="shared" si="12"/>
        <v>-0.24209830233958296</v>
      </c>
      <c r="W62" s="405"/>
      <c r="X62" s="972"/>
      <c r="Y62" s="972"/>
      <c r="Z62" s="971">
        <f>Y54/Z60</f>
        <v>0.5300879467809223</v>
      </c>
      <c r="AA62" s="405"/>
      <c r="AB62" s="405"/>
      <c r="AC62" s="405"/>
      <c r="AD62" s="971">
        <f>AC54/AD60</f>
        <v>0.52707437000614632</v>
      </c>
      <c r="AE62" s="1003"/>
      <c r="AF62" s="1003"/>
      <c r="AG62" s="2066">
        <f>AF54/AG60</f>
        <v>0.42197159375426785</v>
      </c>
      <c r="AH62" s="2187"/>
      <c r="AI62" s="405"/>
      <c r="AJ62" s="971">
        <f>AI54/AJ60</f>
        <v>0.6213957034334413</v>
      </c>
      <c r="AK62" s="405"/>
      <c r="AL62" s="405"/>
      <c r="AM62" s="405"/>
      <c r="AN62" s="971">
        <f>Q62</f>
        <v>0.39184614210486146</v>
      </c>
      <c r="AO62" s="2188"/>
      <c r="AP62" s="996"/>
      <c r="AQ62" s="996">
        <f t="shared" si="30"/>
        <v>-0.22954956132857984</v>
      </c>
      <c r="AR62" s="2188"/>
      <c r="AS62" s="2188"/>
      <c r="AT62" s="996">
        <f>AS54/AT60</f>
        <v>0.46817892602950534</v>
      </c>
      <c r="AU62" s="2188"/>
      <c r="AV62" s="2188"/>
      <c r="AW62" s="996">
        <f>AV54/AW60</f>
        <v>0.47851291831890347</v>
      </c>
      <c r="AX62" s="3454"/>
      <c r="AY62" s="3455"/>
      <c r="AZ62" s="3456">
        <f>AY54/AZ60</f>
        <v>0.5351979445331897</v>
      </c>
      <c r="BA62" s="3457">
        <f t="shared" si="5"/>
        <v>1.3658369625850904</v>
      </c>
      <c r="BB62" s="3458"/>
      <c r="BC62" s="3458"/>
      <c r="BD62" s="3459">
        <v>0.42</v>
      </c>
      <c r="BE62" s="3458"/>
      <c r="BF62" s="3459"/>
      <c r="BG62" s="3460">
        <f t="shared" si="31"/>
        <v>-0.11519794453318971</v>
      </c>
      <c r="BH62" s="3466"/>
      <c r="BI62" s="3458"/>
      <c r="BJ62" s="3460">
        <v>0.42</v>
      </c>
      <c r="BK62" s="3434"/>
      <c r="BL62" s="2739"/>
      <c r="BM62" s="3471">
        <f t="shared" si="32"/>
        <v>0.42</v>
      </c>
      <c r="BN62" s="3466"/>
      <c r="BO62" s="3458"/>
      <c r="BP62" s="3460">
        <v>0.42</v>
      </c>
      <c r="BQ62" s="2727"/>
      <c r="BR62" s="971"/>
      <c r="BS62" s="3471">
        <f t="shared" si="33"/>
        <v>0.42</v>
      </c>
      <c r="BT62" s="3484"/>
      <c r="BU62" s="3485"/>
      <c r="BV62" s="4086">
        <f>SUM(BU54/BV60)</f>
        <v>0.57838284085421887</v>
      </c>
      <c r="BW62" s="2751"/>
      <c r="BX62" s="2759"/>
      <c r="BY62" s="4088">
        <f>SUM(BX54/BY60)</f>
        <v>0.57181611322739923</v>
      </c>
      <c r="BZ62" s="2759"/>
      <c r="CA62" s="2759"/>
      <c r="CB62" s="4088">
        <f>SUM(CA54/CB60)</f>
        <v>0.57833577744418307</v>
      </c>
      <c r="CC62" s="2759"/>
      <c r="CD62" s="2759"/>
      <c r="CE62" s="4089">
        <f>SUM(CD54/CE60)</f>
        <v>0.60181382268111272</v>
      </c>
      <c r="CF62" s="3484"/>
      <c r="CG62" s="3485"/>
      <c r="CH62" s="4084">
        <f>SUM(CG54/CH60)</f>
        <v>0.41999999999999993</v>
      </c>
      <c r="CI62" s="3485"/>
      <c r="CJ62" s="3485"/>
      <c r="CK62" s="4086">
        <f>SUM(CJ54/CK60)</f>
        <v>0.41999544868391109</v>
      </c>
      <c r="CL62" s="4226"/>
      <c r="CM62" s="3672"/>
      <c r="CN62" s="4227">
        <f>SUM(электр!CF62)</f>
        <v>0.6301601273527484</v>
      </c>
      <c r="CO62" s="3672"/>
      <c r="CP62" s="3672"/>
      <c r="CQ62" s="4227">
        <f>SUM(электр!CI62)</f>
        <v>0.63299887135112953</v>
      </c>
      <c r="CR62" s="3672"/>
      <c r="CS62" s="3672"/>
      <c r="CT62" s="4228">
        <f>SUM(электр!CL62)</f>
        <v>0.63683225806451604</v>
      </c>
      <c r="CU62" s="3484"/>
      <c r="CV62" s="3485"/>
      <c r="CW62" s="4084">
        <f>SUM(электр!CO62)</f>
        <v>0.42</v>
      </c>
      <c r="CX62" s="4413"/>
      <c r="CY62" s="4413"/>
      <c r="CZ62" s="4414">
        <f>SUM(электр!CS62)</f>
        <v>0.42</v>
      </c>
    </row>
    <row r="64" spans="1:104" ht="16.5">
      <c r="A64" s="619" t="s">
        <v>445</v>
      </c>
      <c r="B64" s="619"/>
      <c r="C64" s="619"/>
      <c r="D64" s="619"/>
      <c r="E64" s="619"/>
      <c r="F64" s="619"/>
      <c r="G64" s="619"/>
      <c r="H64" s="619"/>
      <c r="I64" s="619"/>
      <c r="J64" s="619"/>
      <c r="K64" s="619"/>
      <c r="L64" s="619"/>
      <c r="M64" s="619"/>
      <c r="N64" s="619"/>
      <c r="O64" s="619"/>
      <c r="P64" s="619"/>
      <c r="Q64" s="619"/>
      <c r="R64" s="619"/>
      <c r="S64" s="619"/>
      <c r="T64" s="619"/>
      <c r="U64" s="5"/>
      <c r="V64" s="5"/>
      <c r="W64" s="5"/>
      <c r="X64" s="5"/>
      <c r="Y64" s="5"/>
      <c r="Z64" s="5"/>
      <c r="AU64">
        <f t="shared" ref="AU64:AU66" si="34">AW64/AV64</f>
        <v>5.3312199471145423</v>
      </c>
      <c r="AV64" s="129">
        <f>AV48-AS48</f>
        <v>131.22699999999998</v>
      </c>
      <c r="AW64" s="156">
        <f>AW48-AT48</f>
        <v>699.59999999999991</v>
      </c>
    </row>
    <row r="65" spans="1:49" ht="16.5">
      <c r="A65" s="619" t="s">
        <v>446</v>
      </c>
      <c r="B65" s="619"/>
      <c r="C65" s="619"/>
      <c r="D65" s="619"/>
      <c r="E65" s="619"/>
      <c r="F65" s="619"/>
      <c r="G65" s="619"/>
      <c r="H65" s="619"/>
      <c r="I65" s="619"/>
      <c r="J65" s="619"/>
      <c r="K65" s="619"/>
      <c r="L65" s="619"/>
      <c r="M65" s="619"/>
      <c r="N65" s="619"/>
      <c r="O65" s="619"/>
      <c r="P65" s="619"/>
      <c r="Q65" s="619"/>
      <c r="R65" s="619"/>
      <c r="S65" s="619"/>
      <c r="T65" s="619"/>
      <c r="U65" s="5"/>
      <c r="V65" s="5"/>
      <c r="W65" s="5"/>
      <c r="X65" s="5"/>
      <c r="Y65" s="5"/>
      <c r="Z65" s="5"/>
      <c r="AU65" t="e">
        <f t="shared" si="34"/>
        <v>#DIV/0!</v>
      </c>
      <c r="AV65" s="129">
        <f t="shared" ref="AV65:AV66" si="35">AV49-AS49</f>
        <v>0</v>
      </c>
      <c r="AW65" s="156">
        <f>AW49-AT49</f>
        <v>72.900000000000006</v>
      </c>
    </row>
    <row r="66" spans="1:49" ht="16.5">
      <c r="A66" s="620" t="s">
        <v>447</v>
      </c>
      <c r="B66" s="619"/>
      <c r="C66" s="619"/>
      <c r="D66" s="619"/>
      <c r="E66" s="619"/>
      <c r="F66" s="619"/>
      <c r="G66" s="619"/>
      <c r="H66" s="619"/>
      <c r="I66" s="619"/>
      <c r="J66" s="619"/>
      <c r="K66" s="619"/>
      <c r="L66" s="621"/>
      <c r="M66" s="619" t="s">
        <v>451</v>
      </c>
      <c r="N66" s="619"/>
      <c r="O66" s="619"/>
      <c r="P66" s="619"/>
      <c r="Q66" s="619"/>
      <c r="R66" s="619"/>
      <c r="S66" s="619"/>
      <c r="T66" s="619"/>
      <c r="U66" s="5"/>
      <c r="V66" s="28"/>
      <c r="W66" s="28"/>
      <c r="X66" s="28"/>
      <c r="Y66" s="28"/>
      <c r="Z66" s="28"/>
      <c r="AA66" s="292"/>
      <c r="AB66" s="292"/>
      <c r="AU66">
        <f t="shared" si="34"/>
        <v>4.2196189800023669</v>
      </c>
      <c r="AV66" s="129">
        <f t="shared" si="35"/>
        <v>338.03999999999996</v>
      </c>
      <c r="AW66" s="156">
        <f>AW50-AT50</f>
        <v>1426.4</v>
      </c>
    </row>
    <row r="67" spans="1:49" ht="16.5">
      <c r="A67" s="620" t="s">
        <v>448</v>
      </c>
      <c r="B67" s="619"/>
      <c r="C67" s="619"/>
      <c r="D67" s="619"/>
      <c r="E67" s="619"/>
      <c r="F67" s="619"/>
      <c r="G67" s="619"/>
      <c r="H67" s="619"/>
      <c r="I67" s="619"/>
      <c r="J67" s="619"/>
      <c r="K67" s="619"/>
      <c r="L67" s="621">
        <f>AN59</f>
        <v>0.24172159546971789</v>
      </c>
      <c r="M67" s="619" t="s">
        <v>451</v>
      </c>
      <c r="N67" s="619"/>
      <c r="O67" s="619"/>
      <c r="P67" s="619"/>
      <c r="Q67" s="619"/>
      <c r="R67" s="619"/>
      <c r="S67" s="619"/>
      <c r="T67" s="619"/>
      <c r="U67" s="5"/>
      <c r="V67" s="28"/>
      <c r="W67" s="28"/>
      <c r="X67" s="5424"/>
      <c r="Y67" s="5424"/>
      <c r="Z67" s="5424"/>
      <c r="AA67" s="292"/>
      <c r="AB67" s="292"/>
      <c r="AU67">
        <f>AW67/AV67</f>
        <v>4.6858185212256567</v>
      </c>
      <c r="AV67" s="129">
        <f>SUM(AV64:AV66)</f>
        <v>469.26699999999994</v>
      </c>
      <c r="AW67" s="156">
        <f>SUM(AW64:AW66)</f>
        <v>2198.9</v>
      </c>
    </row>
    <row r="68" spans="1:49" ht="16.5">
      <c r="A68" s="620" t="s">
        <v>449</v>
      </c>
      <c r="B68" s="619"/>
      <c r="C68" s="619"/>
      <c r="D68" s="619"/>
      <c r="E68" s="619"/>
      <c r="F68" s="619"/>
      <c r="G68" s="619"/>
      <c r="H68" s="619"/>
      <c r="I68" s="619"/>
      <c r="J68" s="619"/>
      <c r="K68" s="619"/>
      <c r="L68" s="621">
        <f>AN61</f>
        <v>9.9000000000000005E-2</v>
      </c>
      <c r="M68" s="619" t="s">
        <v>452</v>
      </c>
      <c r="N68" s="619"/>
      <c r="O68" s="619"/>
      <c r="P68" s="619"/>
      <c r="Q68" s="619"/>
      <c r="R68" s="619"/>
      <c r="S68" s="619"/>
      <c r="T68" s="619"/>
      <c r="U68" s="5"/>
      <c r="V68" s="28"/>
      <c r="W68" s="28"/>
      <c r="X68" s="28"/>
      <c r="Y68" s="622"/>
      <c r="Z68" s="622"/>
      <c r="AA68" s="292"/>
      <c r="AB68" s="292"/>
    </row>
    <row r="69" spans="1:49" ht="16.5">
      <c r="A69" s="620" t="s">
        <v>450</v>
      </c>
      <c r="B69" s="619"/>
      <c r="C69" s="619"/>
      <c r="D69" s="619"/>
      <c r="E69" s="619"/>
      <c r="F69" s="619"/>
      <c r="G69" s="619"/>
      <c r="H69" s="619"/>
      <c r="I69" s="619"/>
      <c r="J69" s="619"/>
      <c r="K69" s="619"/>
      <c r="L69" s="621">
        <f>AN62</f>
        <v>0.39184614210486146</v>
      </c>
      <c r="M69" s="619" t="s">
        <v>452</v>
      </c>
      <c r="N69" s="619"/>
      <c r="O69" s="619"/>
      <c r="P69" s="619"/>
      <c r="Q69" s="619"/>
      <c r="R69" s="619"/>
      <c r="S69" s="619"/>
      <c r="T69" s="619"/>
      <c r="U69" s="5"/>
      <c r="V69" s="28"/>
      <c r="W69" s="28"/>
      <c r="X69" s="28"/>
      <c r="Y69" s="622"/>
      <c r="Z69" s="622"/>
      <c r="AA69" s="292"/>
      <c r="AB69" s="292"/>
    </row>
    <row r="70" spans="1:49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28"/>
      <c r="W70" s="28"/>
      <c r="X70" s="28"/>
      <c r="Y70" s="622"/>
      <c r="Z70" s="622"/>
      <c r="AA70" s="292"/>
      <c r="AB70" s="292"/>
      <c r="AU70">
        <f>AW70/AV70</f>
        <v>5.3715688462396765</v>
      </c>
      <c r="AV70">
        <f t="shared" ref="AV70:AW73" si="36">AV52-AS52</f>
        <v>44.81</v>
      </c>
      <c r="AW70">
        <f>AW52-AT52</f>
        <v>240.69999999999993</v>
      </c>
    </row>
    <row r="71" spans="1:49" ht="16.5">
      <c r="A71" s="5421" t="s">
        <v>576</v>
      </c>
      <c r="B71" s="5422"/>
      <c r="C71" s="5422"/>
      <c r="D71" s="5422"/>
      <c r="E71" s="5422"/>
      <c r="F71" s="5422"/>
      <c r="G71" s="5422"/>
      <c r="H71" s="5422"/>
      <c r="I71" s="5422"/>
      <c r="J71" s="5422"/>
      <c r="K71" s="5422"/>
      <c r="L71" s="5422"/>
      <c r="M71" s="5423"/>
      <c r="N71" s="5"/>
      <c r="O71" s="5"/>
      <c r="P71" s="5"/>
      <c r="Q71" s="5"/>
      <c r="R71" s="5"/>
      <c r="S71" s="5"/>
      <c r="T71" s="5"/>
      <c r="U71" s="5"/>
      <c r="V71" s="28"/>
      <c r="W71" s="28"/>
      <c r="X71" s="28"/>
      <c r="Y71" s="622"/>
      <c r="Z71" s="622"/>
      <c r="AA71" s="292"/>
      <c r="AB71" s="292"/>
      <c r="AU71" t="e">
        <f t="shared" ref="AU71:AU73" si="37">AW71/AV71</f>
        <v>#DIV/0!</v>
      </c>
      <c r="AV71">
        <f t="shared" si="36"/>
        <v>0</v>
      </c>
      <c r="AW71">
        <f t="shared" si="36"/>
        <v>73</v>
      </c>
    </row>
    <row r="72" spans="1:49" ht="16.5">
      <c r="A72" s="2195" t="s">
        <v>545</v>
      </c>
      <c r="B72" s="2196"/>
      <c r="C72" s="2196"/>
      <c r="D72" s="2196"/>
      <c r="E72" s="2196"/>
      <c r="F72" s="2196"/>
      <c r="G72" s="2196"/>
      <c r="H72" s="2196"/>
      <c r="I72" s="2196"/>
      <c r="J72" s="2196"/>
      <c r="K72" s="2196" t="s">
        <v>344</v>
      </c>
      <c r="L72" s="2196" t="s">
        <v>360</v>
      </c>
      <c r="M72" s="619" t="s">
        <v>577</v>
      </c>
      <c r="N72" s="5"/>
      <c r="O72" s="2196" t="s">
        <v>579</v>
      </c>
      <c r="P72" s="619" t="s">
        <v>580</v>
      </c>
      <c r="Q72" s="5"/>
      <c r="R72" s="5"/>
      <c r="S72" s="5"/>
      <c r="T72" s="5"/>
      <c r="U72" s="5"/>
      <c r="V72" s="28"/>
      <c r="W72" s="28"/>
      <c r="X72" s="623"/>
      <c r="Y72" s="624"/>
      <c r="Z72" s="624"/>
      <c r="AA72" s="292"/>
      <c r="AB72" s="292"/>
      <c r="AU72">
        <f t="shared" si="37"/>
        <v>3.9992821571178605</v>
      </c>
      <c r="AV72">
        <f t="shared" si="36"/>
        <v>445.78</v>
      </c>
      <c r="AW72">
        <f t="shared" si="36"/>
        <v>1782.7999999999997</v>
      </c>
    </row>
    <row r="73" spans="1:49" ht="16.5">
      <c r="A73" s="628" t="s">
        <v>139</v>
      </c>
      <c r="B73" s="619"/>
      <c r="C73" s="619"/>
      <c r="D73" s="619"/>
      <c r="E73" s="619"/>
      <c r="F73" s="619"/>
      <c r="G73" s="619"/>
      <c r="H73" s="619"/>
      <c r="I73" s="619"/>
      <c r="J73" s="619"/>
      <c r="K73" s="627">
        <f>SUM(M73/L73)</f>
        <v>5.0619778596182483</v>
      </c>
      <c r="L73" s="626">
        <f>SUM(AC48-Y48)</f>
        <v>184.09799999999996</v>
      </c>
      <c r="M73" s="626">
        <f>SUM(AD48-Z48)</f>
        <v>931.90000000000009</v>
      </c>
      <c r="N73" s="5"/>
      <c r="O73" s="630">
        <f>SUM(AD56-Z56)</f>
        <v>1664.6999999999998</v>
      </c>
      <c r="P73" s="621">
        <f>SUM(L73/O73)</f>
        <v>0.11058929536853486</v>
      </c>
      <c r="Q73" s="5"/>
      <c r="R73" s="5"/>
      <c r="S73" s="5"/>
      <c r="T73" s="5"/>
      <c r="U73" s="5"/>
      <c r="V73" s="28"/>
      <c r="W73" s="28"/>
      <c r="X73" s="28"/>
      <c r="Y73" s="622"/>
      <c r="Z73" s="622"/>
      <c r="AA73" s="292"/>
      <c r="AB73" s="292"/>
      <c r="AU73">
        <f t="shared" si="37"/>
        <v>4.2734258749668772</v>
      </c>
      <c r="AV73">
        <f t="shared" si="36"/>
        <v>490.58999999999992</v>
      </c>
      <c r="AW73">
        <f t="shared" si="36"/>
        <v>2096.5</v>
      </c>
    </row>
    <row r="74" spans="1:49" ht="16.5">
      <c r="A74" s="628" t="s">
        <v>581</v>
      </c>
      <c r="B74" s="619"/>
      <c r="C74" s="619"/>
      <c r="D74" s="619"/>
      <c r="E74" s="619"/>
      <c r="F74" s="619"/>
      <c r="G74" s="619"/>
      <c r="H74" s="619"/>
      <c r="I74" s="619"/>
      <c r="J74" s="619"/>
      <c r="K74" s="627"/>
      <c r="L74" s="626"/>
      <c r="M74" s="626"/>
      <c r="N74" s="5"/>
      <c r="O74" s="630">
        <f>SUM(AD58-Z58)</f>
        <v>1455.02</v>
      </c>
      <c r="P74" s="621"/>
      <c r="Q74" s="5"/>
      <c r="R74" s="5"/>
      <c r="S74" s="5"/>
      <c r="T74" s="5"/>
      <c r="U74" s="5"/>
      <c r="V74" s="28"/>
      <c r="W74" s="28"/>
      <c r="X74" s="28"/>
      <c r="Y74" s="622"/>
      <c r="Z74" s="622"/>
      <c r="AA74" s="292"/>
      <c r="AB74" s="292"/>
    </row>
    <row r="75" spans="1:49" ht="16.5">
      <c r="A75" s="619" t="s">
        <v>140</v>
      </c>
      <c r="B75" s="619"/>
      <c r="C75" s="619"/>
      <c r="D75" s="619"/>
      <c r="E75" s="619"/>
      <c r="F75" s="619"/>
      <c r="G75" s="619"/>
      <c r="H75" s="619"/>
      <c r="I75" s="619"/>
      <c r="J75" s="619"/>
      <c r="K75" s="627">
        <f>SUM(M75/L75)</f>
        <v>4.1182508170596659</v>
      </c>
      <c r="L75" s="626">
        <f>SUM(AC50-Y50)</f>
        <v>370.23</v>
      </c>
      <c r="M75" s="626">
        <f>SUM(AD50-Z50)</f>
        <v>1524.7000000000003</v>
      </c>
      <c r="N75" s="5"/>
      <c r="O75" s="626"/>
      <c r="P75" s="621">
        <f>SUM(L75/O74)</f>
        <v>0.2544501106514</v>
      </c>
      <c r="Q75" s="5"/>
      <c r="R75" s="5"/>
      <c r="S75" s="5"/>
      <c r="T75" s="5"/>
      <c r="U75" s="5"/>
      <c r="V75" s="28"/>
      <c r="W75" s="28"/>
      <c r="X75" s="28"/>
      <c r="Y75" s="622"/>
      <c r="Z75" s="622"/>
      <c r="AA75" s="292"/>
      <c r="AB75" s="292"/>
    </row>
    <row r="76" spans="1:49" ht="16.5">
      <c r="A76" s="619" t="s">
        <v>54</v>
      </c>
      <c r="B76" s="619"/>
      <c r="C76" s="619"/>
      <c r="D76" s="619"/>
      <c r="E76" s="619"/>
      <c r="F76" s="619"/>
      <c r="G76" s="619"/>
      <c r="H76" s="619"/>
      <c r="I76" s="619"/>
      <c r="J76" s="619"/>
      <c r="K76" s="627">
        <f>SUM(M76/L76)</f>
        <v>4.4316722229438179</v>
      </c>
      <c r="L76" s="626">
        <f>SUM(L73:L75)</f>
        <v>554.32799999999997</v>
      </c>
      <c r="M76" s="626">
        <f>SUM(M73:M75)</f>
        <v>2456.6000000000004</v>
      </c>
      <c r="N76" s="5"/>
      <c r="O76" s="619"/>
      <c r="P76" s="619"/>
      <c r="Q76" s="5"/>
      <c r="R76" s="5"/>
      <c r="S76" s="5"/>
      <c r="T76" s="5"/>
      <c r="U76" s="5"/>
      <c r="V76" s="28"/>
      <c r="W76" s="28"/>
      <c r="X76" s="28"/>
      <c r="Y76" s="28"/>
      <c r="Z76" s="28"/>
      <c r="AA76" s="292"/>
      <c r="AB76" s="292"/>
    </row>
    <row r="77" spans="1:49" ht="16.5">
      <c r="A77" s="619" t="s">
        <v>142</v>
      </c>
      <c r="B77" s="619"/>
      <c r="C77" s="619"/>
      <c r="D77" s="619"/>
      <c r="E77" s="619"/>
      <c r="F77" s="619"/>
      <c r="G77" s="619"/>
      <c r="H77" s="619"/>
      <c r="I77" s="619"/>
      <c r="J77" s="619"/>
      <c r="K77" s="627">
        <f t="shared" ref="K77:K79" si="38">SUM(M77/L77)</f>
        <v>5.0854030993972499</v>
      </c>
      <c r="L77" s="626">
        <f>SUM(AC52-Y52)</f>
        <v>61.88300000000001</v>
      </c>
      <c r="M77" s="626">
        <f>SUM(AD52-Z52)</f>
        <v>314.70000000000005</v>
      </c>
      <c r="N77" s="5"/>
      <c r="O77" s="629">
        <f>SUM(AD60-Z60)</f>
        <v>829.39999999999986</v>
      </c>
      <c r="P77" s="621">
        <f>SUM(L77/O77)</f>
        <v>7.4611767542802049E-2</v>
      </c>
      <c r="Q77" s="5"/>
      <c r="R77" s="5"/>
      <c r="S77" s="5"/>
      <c r="T77" s="5"/>
      <c r="U77" s="5"/>
      <c r="V77" s="28"/>
      <c r="W77" s="28"/>
      <c r="X77" s="623"/>
      <c r="Y77" s="624"/>
      <c r="Z77" s="624"/>
      <c r="AA77" s="292"/>
      <c r="AB77" s="292"/>
    </row>
    <row r="78" spans="1:49" ht="16.5">
      <c r="A78" s="619" t="s">
        <v>578</v>
      </c>
      <c r="B78" s="619"/>
      <c r="C78" s="619"/>
      <c r="D78" s="619"/>
      <c r="E78" s="619"/>
      <c r="F78" s="619"/>
      <c r="G78" s="619"/>
      <c r="H78" s="619"/>
      <c r="I78" s="619"/>
      <c r="J78" s="619"/>
      <c r="K78" s="627">
        <f t="shared" si="38"/>
        <v>3.9234848660290407</v>
      </c>
      <c r="L78" s="626">
        <f>SUM(AC54-Y54)</f>
        <v>431.80999999999995</v>
      </c>
      <c r="M78" s="626">
        <f>SUM(AD54-Z54)</f>
        <v>1694.1999999999998</v>
      </c>
      <c r="N78" s="5"/>
      <c r="O78" s="629">
        <f>SUM(O77)</f>
        <v>829.39999999999986</v>
      </c>
      <c r="P78" s="621">
        <f>SUM(L78/O78)</f>
        <v>0.52062937062937065</v>
      </c>
      <c r="Q78" s="5"/>
      <c r="R78" s="5"/>
      <c r="S78" s="5"/>
      <c r="T78" s="5"/>
      <c r="U78" s="5"/>
      <c r="V78" s="28"/>
      <c r="W78" s="28"/>
      <c r="X78" s="28"/>
      <c r="Y78" s="28"/>
      <c r="Z78" s="443"/>
      <c r="AA78" s="292"/>
      <c r="AB78" s="292"/>
    </row>
    <row r="79" spans="1:49" ht="16.5">
      <c r="A79" s="619" t="s">
        <v>54</v>
      </c>
      <c r="B79" s="619"/>
      <c r="C79" s="619"/>
      <c r="D79" s="619"/>
      <c r="E79" s="619"/>
      <c r="F79" s="619"/>
      <c r="G79" s="619"/>
      <c r="H79" s="619"/>
      <c r="I79" s="619"/>
      <c r="J79" s="619"/>
      <c r="K79" s="627">
        <f t="shared" si="38"/>
        <v>4.0691279803440601</v>
      </c>
      <c r="L79" s="626">
        <f>SUM(L77:L78)</f>
        <v>493.69299999999998</v>
      </c>
      <c r="M79" s="626">
        <f>SUM(M77:M78)</f>
        <v>2008.8999999999999</v>
      </c>
      <c r="N79" s="5"/>
      <c r="O79" s="619"/>
      <c r="P79" s="619"/>
      <c r="Q79" s="5"/>
      <c r="R79" s="5"/>
      <c r="S79" s="5"/>
      <c r="T79" s="5"/>
      <c r="U79" s="5"/>
      <c r="V79" s="28"/>
      <c r="W79" s="28"/>
      <c r="X79" s="28"/>
      <c r="Y79" s="28"/>
      <c r="Z79" s="622"/>
      <c r="AA79" s="292"/>
      <c r="AB79" s="292"/>
    </row>
    <row r="80" spans="1:49" ht="16.5">
      <c r="A80" s="619"/>
      <c r="B80" s="619"/>
      <c r="C80" s="619"/>
      <c r="D80" s="619"/>
      <c r="E80" s="619"/>
      <c r="F80" s="619"/>
      <c r="G80" s="619"/>
      <c r="H80" s="619"/>
      <c r="I80" s="619"/>
      <c r="J80" s="619"/>
      <c r="K80" s="619"/>
      <c r="L80" s="619"/>
      <c r="M80" s="619"/>
      <c r="N80" s="5"/>
      <c r="O80" s="619"/>
      <c r="P80" s="619"/>
      <c r="Q80" s="5"/>
      <c r="R80" s="5"/>
      <c r="S80" s="5"/>
      <c r="T80" s="5"/>
      <c r="U80" s="5"/>
      <c r="V80" s="28"/>
      <c r="W80" s="28"/>
      <c r="X80" s="28"/>
      <c r="Y80" s="28"/>
      <c r="Z80" s="625"/>
      <c r="AA80" s="292"/>
      <c r="AB80" s="292"/>
    </row>
  </sheetData>
  <mergeCells count="137">
    <mergeCell ref="CL44:CT44"/>
    <mergeCell ref="CL45:CN45"/>
    <mergeCell ref="CO45:CQ45"/>
    <mergeCell ref="CR45:CT45"/>
    <mergeCell ref="CM46:CM47"/>
    <mergeCell ref="CN46:CN47"/>
    <mergeCell ref="CP46:CP47"/>
    <mergeCell ref="CQ46:CQ47"/>
    <mergeCell ref="CS46:CS47"/>
    <mergeCell ref="CT46:CT47"/>
    <mergeCell ref="CV46:CV47"/>
    <mergeCell ref="CW46:CW47"/>
    <mergeCell ref="CY46:CY47"/>
    <mergeCell ref="CZ46:CZ47"/>
    <mergeCell ref="A41:CZ41"/>
    <mergeCell ref="BC46:BC47"/>
    <mergeCell ref="BD46:BD47"/>
    <mergeCell ref="BE46:BG46"/>
    <mergeCell ref="N46:N47"/>
    <mergeCell ref="P46:P47"/>
    <mergeCell ref="Q46:Q47"/>
    <mergeCell ref="X45:AA45"/>
    <mergeCell ref="AB45:AD45"/>
    <mergeCell ref="AT46:AT47"/>
    <mergeCell ref="AV46:AV47"/>
    <mergeCell ref="K45:N45"/>
    <mergeCell ref="AU45:AW45"/>
    <mergeCell ref="BB45:BD45"/>
    <mergeCell ref="BE45:BG45"/>
    <mergeCell ref="AD46:AD47"/>
    <mergeCell ref="CI45:CK45"/>
    <mergeCell ref="CG46:CG47"/>
    <mergeCell ref="CF44:CK44"/>
    <mergeCell ref="A44:A47"/>
    <mergeCell ref="M7:N8"/>
    <mergeCell ref="O7:O8"/>
    <mergeCell ref="BN45:BP45"/>
    <mergeCell ref="BK44:BM44"/>
    <mergeCell ref="P7:P8"/>
    <mergeCell ref="Q7:Q8"/>
    <mergeCell ref="R7:R8"/>
    <mergeCell ref="AE45:AG45"/>
    <mergeCell ref="T7:T8"/>
    <mergeCell ref="AL7:AL8"/>
    <mergeCell ref="AM7:AM8"/>
    <mergeCell ref="S7:S8"/>
    <mergeCell ref="BH45:BJ45"/>
    <mergeCell ref="AL45:AN45"/>
    <mergeCell ref="AX45:BA45"/>
    <mergeCell ref="A40:CZ40"/>
    <mergeCell ref="L7:L8"/>
    <mergeCell ref="AN7:AN8"/>
    <mergeCell ref="Y7:Y8"/>
    <mergeCell ref="BW44:CE45"/>
    <mergeCell ref="CU44:CZ44"/>
    <mergeCell ref="CU45:CW45"/>
    <mergeCell ref="CX45:CZ45"/>
    <mergeCell ref="AB7:AB8"/>
    <mergeCell ref="X7:X8"/>
    <mergeCell ref="AC7:AC8"/>
    <mergeCell ref="AD7:AD8"/>
    <mergeCell ref="AH7:AH8"/>
    <mergeCell ref="AH44:AW44"/>
    <mergeCell ref="BN44:BP44"/>
    <mergeCell ref="BK45:BM45"/>
    <mergeCell ref="CD46:CD47"/>
    <mergeCell ref="CE46:CE47"/>
    <mergeCell ref="AI7:AI8"/>
    <mergeCell ref="AJ7:AJ8"/>
    <mergeCell ref="AK7:AK8"/>
    <mergeCell ref="CB46:CB47"/>
    <mergeCell ref="AF46:AF47"/>
    <mergeCell ref="AY46:AY47"/>
    <mergeCell ref="AZ46:AZ47"/>
    <mergeCell ref="BA46:BA47"/>
    <mergeCell ref="AW46:AW47"/>
    <mergeCell ref="K44:AG44"/>
    <mergeCell ref="AO7:AO8"/>
    <mergeCell ref="AO45:AQ45"/>
    <mergeCell ref="AR45:AT45"/>
    <mergeCell ref="BX46:BX47"/>
    <mergeCell ref="AX44:BG44"/>
    <mergeCell ref="CJ46:CJ47"/>
    <mergeCell ref="CK46:CK47"/>
    <mergeCell ref="BU46:BU47"/>
    <mergeCell ref="BI46:BI47"/>
    <mergeCell ref="BJ46:BJ47"/>
    <mergeCell ref="BK46:BM46"/>
    <mergeCell ref="A3:AL3"/>
    <mergeCell ref="A5:A8"/>
    <mergeCell ref="H5:J6"/>
    <mergeCell ref="K5:N6"/>
    <mergeCell ref="O5:Q6"/>
    <mergeCell ref="R5:U6"/>
    <mergeCell ref="V5:AO5"/>
    <mergeCell ref="V6:Y6"/>
    <mergeCell ref="Z6:AC6"/>
    <mergeCell ref="AD6:AI6"/>
    <mergeCell ref="AJ6:AL6"/>
    <mergeCell ref="AM6:AO6"/>
    <mergeCell ref="H7:H8"/>
    <mergeCell ref="I7:I8"/>
    <mergeCell ref="J7:J8"/>
    <mergeCell ref="K7:K8"/>
    <mergeCell ref="Z7:AA7"/>
    <mergeCell ref="V7:W7"/>
    <mergeCell ref="CF45:CH45"/>
    <mergeCell ref="BH44:BJ44"/>
    <mergeCell ref="BY46:BY47"/>
    <mergeCell ref="BO46:BO47"/>
    <mergeCell ref="BV46:BV47"/>
    <mergeCell ref="BP46:BP47"/>
    <mergeCell ref="BQ46:BS46"/>
    <mergeCell ref="BT44:BV45"/>
    <mergeCell ref="CA46:CA47"/>
    <mergeCell ref="CH46:CH47"/>
    <mergeCell ref="BQ45:BS45"/>
    <mergeCell ref="A71:M71"/>
    <mergeCell ref="X67:Z67"/>
    <mergeCell ref="AO46:AQ46"/>
    <mergeCell ref="AS46:AS47"/>
    <mergeCell ref="R46:R47"/>
    <mergeCell ref="AG46:AG47"/>
    <mergeCell ref="AI46:AI47"/>
    <mergeCell ref="AJ46:AJ47"/>
    <mergeCell ref="AK46:AK47"/>
    <mergeCell ref="AM46:AM47"/>
    <mergeCell ref="AN46:AN47"/>
    <mergeCell ref="S45:V46"/>
    <mergeCell ref="Y46:Y47"/>
    <mergeCell ref="Z46:Z47"/>
    <mergeCell ref="AA46:AA47"/>
    <mergeCell ref="AC46:AC47"/>
    <mergeCell ref="O45:R45"/>
    <mergeCell ref="AH45:AK45"/>
    <mergeCell ref="L46:L47"/>
    <mergeCell ref="M46:M47"/>
  </mergeCells>
  <printOptions horizontalCentered="1" verticalCentered="1"/>
  <pageMargins left="0.11811023622047245" right="0.11811023622047245" top="0.15748031496062992" bottom="0.15748031496062992" header="0.31496062992125984" footer="0.31496062992125984"/>
  <pageSetup paperSize="9" scale="28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 enableFormatConditionsCalculation="0">
    <tabColor rgb="FFFF0000"/>
    <pageSetUpPr fitToPage="1"/>
  </sheetPr>
  <dimension ref="A1:CS179"/>
  <sheetViews>
    <sheetView topLeftCell="A40" zoomScale="50" zoomScaleNormal="50" zoomScalePageLayoutView="80" workbookViewId="0">
      <pane xSplit="10" ySplit="8" topLeftCell="AX48" activePane="bottomRight" state="frozen"/>
      <selection activeCell="A40" sqref="A40"/>
      <selection pane="topRight" activeCell="K40" sqref="K40"/>
      <selection pane="bottomLeft" activeCell="A48" sqref="A48"/>
      <selection pane="bottomRight" activeCell="CQ54" sqref="CQ54"/>
    </sheetView>
  </sheetViews>
  <sheetFormatPr defaultRowHeight="12.75"/>
  <cols>
    <col min="1" max="1" width="41.28515625" customWidth="1"/>
    <col min="2" max="2" width="9.7109375" hidden="1" customWidth="1"/>
    <col min="3" max="3" width="8.28515625" hidden="1" customWidth="1"/>
    <col min="4" max="4" width="11.5703125" hidden="1" customWidth="1"/>
    <col min="5" max="5" width="7.85546875" hidden="1" customWidth="1"/>
    <col min="6" max="6" width="7.7109375" hidden="1" customWidth="1"/>
    <col min="7" max="7" width="9.85546875" hidden="1" customWidth="1"/>
    <col min="8" max="8" width="9.140625" hidden="1" customWidth="1"/>
    <col min="9" max="9" width="8" hidden="1" customWidth="1"/>
    <col min="10" max="10" width="12.85546875" hidden="1" customWidth="1"/>
    <col min="11" max="11" width="13.5703125" hidden="1" customWidth="1"/>
    <col min="12" max="12" width="11.28515625" hidden="1" customWidth="1"/>
    <col min="13" max="13" width="13" hidden="1" customWidth="1"/>
    <col min="14" max="14" width="7" hidden="1" customWidth="1"/>
    <col min="15" max="15" width="13.5703125" hidden="1" customWidth="1"/>
    <col min="16" max="16" width="11.7109375" hidden="1" customWidth="1"/>
    <col min="17" max="17" width="13.5703125" hidden="1" customWidth="1"/>
    <col min="18" max="18" width="10.85546875" hidden="1" customWidth="1"/>
    <col min="19" max="19" width="9.7109375" hidden="1" customWidth="1"/>
    <col min="20" max="20" width="10.140625" hidden="1" customWidth="1"/>
    <col min="21" max="21" width="9.140625" hidden="1" customWidth="1"/>
    <col min="22" max="22" width="12.140625" hidden="1" customWidth="1"/>
    <col min="23" max="23" width="9.140625" hidden="1" customWidth="1"/>
    <col min="24" max="24" width="13.5703125" hidden="1" customWidth="1"/>
    <col min="25" max="25" width="11.85546875" hidden="1" customWidth="1"/>
    <col min="26" max="26" width="12.140625" hidden="1" customWidth="1"/>
    <col min="27" max="27" width="9.140625" hidden="1" customWidth="1"/>
    <col min="28" max="28" width="13.5703125" hidden="1" customWidth="1"/>
    <col min="29" max="30" width="12.140625" hidden="1" customWidth="1"/>
    <col min="31" max="31" width="13.5703125" hidden="1" customWidth="1"/>
    <col min="32" max="32" width="12.140625" hidden="1" customWidth="1"/>
    <col min="33" max="33" width="12.85546875" hidden="1" customWidth="1"/>
    <col min="34" max="34" width="14.42578125" customWidth="1"/>
    <col min="35" max="35" width="11.85546875" customWidth="1"/>
    <col min="36" max="36" width="12.85546875" customWidth="1"/>
    <col min="37" max="37" width="12.28515625" hidden="1" customWidth="1"/>
    <col min="38" max="38" width="13.5703125" customWidth="1"/>
    <col min="39" max="39" width="11.140625" customWidth="1"/>
    <col min="40" max="40" width="12.140625" customWidth="1"/>
    <col min="41" max="42" width="11.5703125" hidden="1" customWidth="1"/>
    <col min="43" max="43" width="12.140625" hidden="1" customWidth="1"/>
    <col min="44" max="44" width="13.7109375" hidden="1" customWidth="1"/>
    <col min="45" max="45" width="12.5703125" hidden="1" customWidth="1"/>
    <col min="46" max="46" width="14.28515625" hidden="1" customWidth="1"/>
    <col min="47" max="47" width="13.7109375" hidden="1" customWidth="1"/>
    <col min="48" max="49" width="12.140625" hidden="1" customWidth="1"/>
    <col min="50" max="50" width="13.5703125" customWidth="1"/>
    <col min="51" max="51" width="12.140625" customWidth="1"/>
    <col min="52" max="52" width="13.140625" customWidth="1"/>
    <col min="53" max="53" width="12.42578125" hidden="1" customWidth="1"/>
    <col min="54" max="54" width="13.5703125" customWidth="1"/>
    <col min="55" max="55" width="12" customWidth="1"/>
    <col min="56" max="56" width="14" customWidth="1"/>
    <col min="57" max="58" width="11.5703125" hidden="1" customWidth="1"/>
    <col min="59" max="59" width="12" hidden="1" customWidth="1"/>
    <col min="60" max="60" width="13.7109375" customWidth="1"/>
    <col min="61" max="62" width="12.140625" customWidth="1"/>
    <col min="63" max="68" width="13.7109375" hidden="1" customWidth="1"/>
    <col min="69" max="74" width="13.7109375" customWidth="1"/>
    <col min="75" max="75" width="13.7109375" hidden="1" customWidth="1"/>
    <col min="76" max="78" width="13.7109375" customWidth="1"/>
    <col min="79" max="90" width="13.7109375" hidden="1" customWidth="1"/>
    <col min="91" max="93" width="13.7109375" customWidth="1"/>
    <col min="94" max="94" width="13.7109375" hidden="1" customWidth="1"/>
    <col min="95" max="97" width="13.7109375" customWidth="1"/>
  </cols>
  <sheetData>
    <row r="1" spans="1:41" hidden="1">
      <c r="A1" s="5"/>
      <c r="B1" s="5"/>
      <c r="C1" s="5"/>
      <c r="D1" s="5"/>
      <c r="E1" s="5"/>
      <c r="F1" s="5"/>
      <c r="G1" s="5"/>
      <c r="H1" s="5"/>
    </row>
    <row r="2" spans="1:41" hidden="1">
      <c r="A2" s="5"/>
      <c r="B2" s="5"/>
      <c r="C2" s="5"/>
      <c r="D2" s="5"/>
      <c r="E2" s="5"/>
      <c r="F2" s="5"/>
      <c r="G2" s="5"/>
      <c r="H2" s="5"/>
    </row>
    <row r="3" spans="1:41" ht="18.75" hidden="1">
      <c r="A3" s="5454" t="s">
        <v>245</v>
      </c>
      <c r="B3" s="5454"/>
      <c r="C3" s="5454"/>
      <c r="D3" s="5454"/>
      <c r="E3" s="5454"/>
      <c r="F3" s="5454"/>
      <c r="G3" s="5454"/>
      <c r="H3" s="5454"/>
      <c r="I3" s="5454"/>
      <c r="J3" s="5454"/>
      <c r="K3" s="5454"/>
      <c r="L3" s="5454"/>
      <c r="M3" s="5454"/>
      <c r="N3" s="5454"/>
      <c r="O3" s="5454"/>
      <c r="P3" s="5454"/>
      <c r="Q3" s="5454"/>
      <c r="R3" s="5454"/>
      <c r="S3" s="5454"/>
      <c r="T3" s="5454"/>
      <c r="U3" s="5454"/>
      <c r="V3" s="5454"/>
      <c r="W3" s="5454"/>
      <c r="X3" s="5454"/>
      <c r="Y3" s="5454"/>
      <c r="Z3" s="5454"/>
      <c r="AA3" s="5454"/>
      <c r="AB3" s="5454"/>
      <c r="AC3" s="5454"/>
      <c r="AD3" s="5454"/>
      <c r="AE3" s="5454"/>
      <c r="AF3" s="5454"/>
      <c r="AG3" s="5454"/>
      <c r="AH3" s="5454"/>
      <c r="AI3" s="5454"/>
      <c r="AJ3" s="5454"/>
      <c r="AK3" s="5454"/>
      <c r="AL3" s="5454"/>
    </row>
    <row r="4" spans="1:41" ht="15.75" hidden="1">
      <c r="A4" s="60"/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</row>
    <row r="5" spans="1:41" ht="15.75" hidden="1">
      <c r="A5" s="5455"/>
      <c r="B5" s="89"/>
      <c r="C5" s="89"/>
      <c r="D5" s="89"/>
      <c r="E5" s="89"/>
      <c r="F5" s="89"/>
      <c r="G5" s="89"/>
      <c r="H5" s="5456" t="s">
        <v>59</v>
      </c>
      <c r="I5" s="5456"/>
      <c r="J5" s="5456"/>
      <c r="K5" s="5456" t="s">
        <v>67</v>
      </c>
      <c r="L5" s="5456"/>
      <c r="M5" s="5456"/>
      <c r="N5" s="5456"/>
      <c r="O5" s="5456" t="s">
        <v>95</v>
      </c>
      <c r="P5" s="5456"/>
      <c r="Q5" s="5456"/>
      <c r="R5" s="5457" t="s">
        <v>214</v>
      </c>
      <c r="S5" s="5458"/>
      <c r="T5" s="5458"/>
      <c r="U5" s="5459"/>
      <c r="V5" s="5463" t="s">
        <v>163</v>
      </c>
      <c r="W5" s="5463"/>
      <c r="X5" s="5463"/>
      <c r="Y5" s="5463"/>
      <c r="Z5" s="5463"/>
      <c r="AA5" s="5463"/>
      <c r="AB5" s="5463"/>
      <c r="AC5" s="5463"/>
      <c r="AD5" s="5463"/>
      <c r="AE5" s="5464"/>
      <c r="AF5" s="5464"/>
      <c r="AG5" s="5464"/>
      <c r="AH5" s="5463"/>
      <c r="AI5" s="5463"/>
      <c r="AJ5" s="5463"/>
      <c r="AK5" s="5463"/>
      <c r="AL5" s="5463"/>
      <c r="AM5" s="5463"/>
      <c r="AN5" s="5463"/>
      <c r="AO5" s="5463"/>
    </row>
    <row r="6" spans="1:41" ht="12.75" hidden="1" customHeight="1">
      <c r="A6" s="5455"/>
      <c r="B6" s="15"/>
      <c r="C6" s="90" t="s">
        <v>134</v>
      </c>
      <c r="D6" s="90"/>
      <c r="E6" s="15"/>
      <c r="F6" s="90" t="s">
        <v>135</v>
      </c>
      <c r="G6" s="90"/>
      <c r="H6" s="5456"/>
      <c r="I6" s="5456"/>
      <c r="J6" s="5456"/>
      <c r="K6" s="5456"/>
      <c r="L6" s="5456"/>
      <c r="M6" s="5456"/>
      <c r="N6" s="5456"/>
      <c r="O6" s="5456"/>
      <c r="P6" s="5456"/>
      <c r="Q6" s="5456"/>
      <c r="R6" s="5460"/>
      <c r="S6" s="5461"/>
      <c r="T6" s="5461"/>
      <c r="U6" s="5462"/>
      <c r="V6" s="5465" t="s">
        <v>126</v>
      </c>
      <c r="W6" s="5465"/>
      <c r="X6" s="5465"/>
      <c r="Y6" s="5465"/>
      <c r="Z6" s="5465" t="s">
        <v>127</v>
      </c>
      <c r="AA6" s="5465"/>
      <c r="AB6" s="5465"/>
      <c r="AC6" s="5465"/>
      <c r="AD6" s="5456" t="s">
        <v>240</v>
      </c>
      <c r="AE6" s="5466"/>
      <c r="AF6" s="5466"/>
      <c r="AG6" s="5466"/>
      <c r="AH6" s="5456"/>
      <c r="AI6" s="5456"/>
      <c r="AJ6" s="5467" t="s">
        <v>244</v>
      </c>
      <c r="AK6" s="5467"/>
      <c r="AL6" s="5467"/>
      <c r="AM6" s="5467" t="s">
        <v>378</v>
      </c>
      <c r="AN6" s="5467"/>
      <c r="AO6" s="5467"/>
    </row>
    <row r="7" spans="1:41" ht="12.75" hidden="1" customHeight="1">
      <c r="A7" s="5455"/>
      <c r="B7" s="15" t="s">
        <v>136</v>
      </c>
      <c r="C7" s="15" t="s">
        <v>137</v>
      </c>
      <c r="D7" s="15" t="s">
        <v>45</v>
      </c>
      <c r="E7" s="15" t="s">
        <v>136</v>
      </c>
      <c r="F7" s="15" t="s">
        <v>137</v>
      </c>
      <c r="G7" s="15" t="s">
        <v>45</v>
      </c>
      <c r="H7" s="5467" t="s">
        <v>151</v>
      </c>
      <c r="I7" s="5467" t="s">
        <v>138</v>
      </c>
      <c r="J7" s="5467" t="s">
        <v>102</v>
      </c>
      <c r="K7" s="5467" t="s">
        <v>231</v>
      </c>
      <c r="L7" s="5493" t="s">
        <v>152</v>
      </c>
      <c r="M7" s="5480" t="s">
        <v>102</v>
      </c>
      <c r="N7" s="5481"/>
      <c r="O7" s="5467" t="s">
        <v>151</v>
      </c>
      <c r="P7" s="5467" t="s">
        <v>138</v>
      </c>
      <c r="Q7" s="5467" t="s">
        <v>102</v>
      </c>
      <c r="R7" s="5467" t="s">
        <v>151</v>
      </c>
      <c r="S7" s="5467" t="s">
        <v>138</v>
      </c>
      <c r="T7" s="5467" t="s">
        <v>102</v>
      </c>
      <c r="U7" s="91"/>
      <c r="V7" s="5467" t="s">
        <v>118</v>
      </c>
      <c r="W7" s="5467"/>
      <c r="X7" s="5467" t="s">
        <v>152</v>
      </c>
      <c r="Y7" s="5467" t="s">
        <v>102</v>
      </c>
      <c r="Z7" s="5467" t="s">
        <v>118</v>
      </c>
      <c r="AA7" s="5467"/>
      <c r="AB7" s="5467" t="s">
        <v>152</v>
      </c>
      <c r="AC7" s="5467" t="s">
        <v>102</v>
      </c>
      <c r="AD7" s="5467" t="s">
        <v>151</v>
      </c>
      <c r="AE7" s="947"/>
      <c r="AF7" s="947"/>
      <c r="AG7" s="947"/>
      <c r="AH7" s="5467" t="s">
        <v>138</v>
      </c>
      <c r="AI7" s="5467" t="s">
        <v>102</v>
      </c>
      <c r="AJ7" s="5467" t="s">
        <v>151</v>
      </c>
      <c r="AK7" s="5467" t="s">
        <v>138</v>
      </c>
      <c r="AL7" s="5467" t="s">
        <v>102</v>
      </c>
      <c r="AM7" s="5467" t="s">
        <v>151</v>
      </c>
      <c r="AN7" s="5467" t="s">
        <v>138</v>
      </c>
      <c r="AO7" s="5467" t="s">
        <v>102</v>
      </c>
    </row>
    <row r="8" spans="1:41" ht="32.25" hidden="1" customHeight="1">
      <c r="A8" s="5455"/>
      <c r="B8" s="15"/>
      <c r="C8" s="15"/>
      <c r="D8" s="15"/>
      <c r="E8" s="15"/>
      <c r="F8" s="15"/>
      <c r="G8" s="15"/>
      <c r="H8" s="5467"/>
      <c r="I8" s="5467"/>
      <c r="J8" s="5467"/>
      <c r="K8" s="5467"/>
      <c r="L8" s="5494"/>
      <c r="M8" s="5482"/>
      <c r="N8" s="5483"/>
      <c r="O8" s="5467"/>
      <c r="P8" s="5467"/>
      <c r="Q8" s="5467"/>
      <c r="R8" s="5467"/>
      <c r="S8" s="5467"/>
      <c r="T8" s="5467"/>
      <c r="U8" s="91"/>
      <c r="V8" s="23" t="s">
        <v>232</v>
      </c>
      <c r="W8" s="91" t="s">
        <v>167</v>
      </c>
      <c r="X8" s="5467"/>
      <c r="Y8" s="5467"/>
      <c r="Z8" s="91" t="s">
        <v>232</v>
      </c>
      <c r="AA8" s="91" t="s">
        <v>167</v>
      </c>
      <c r="AB8" s="5467"/>
      <c r="AC8" s="5467"/>
      <c r="AD8" s="5467"/>
      <c r="AE8" s="947"/>
      <c r="AF8" s="947"/>
      <c r="AG8" s="947"/>
      <c r="AH8" s="5467"/>
      <c r="AI8" s="5467"/>
      <c r="AJ8" s="5467"/>
      <c r="AK8" s="5467"/>
      <c r="AL8" s="5467"/>
      <c r="AM8" s="5467"/>
      <c r="AN8" s="5467"/>
      <c r="AO8" s="5467"/>
    </row>
    <row r="9" spans="1:41" hidden="1">
      <c r="A9" s="80" t="s">
        <v>139</v>
      </c>
      <c r="B9" s="62">
        <f t="shared" ref="B9:B17" si="0">D9/C9</f>
        <v>3.2157289543713894</v>
      </c>
      <c r="C9" s="63">
        <v>1001455</v>
      </c>
      <c r="D9" s="64">
        <v>3220407.84</v>
      </c>
      <c r="E9" s="62"/>
      <c r="F9" s="63">
        <v>471906</v>
      </c>
      <c r="G9" s="65">
        <v>1517423</v>
      </c>
      <c r="H9" s="66">
        <f t="shared" ref="H9:H17" si="1">J9/I9*1000</f>
        <v>3.2216815838073627</v>
      </c>
      <c r="I9" s="67">
        <f>C9+F9</f>
        <v>1473361</v>
      </c>
      <c r="J9" s="68">
        <v>4746.7</v>
      </c>
      <c r="K9" s="122">
        <v>3.859</v>
      </c>
      <c r="L9" s="123">
        <v>1517.6</v>
      </c>
      <c r="M9" s="124">
        <f>K9*L9</f>
        <v>5856.4183999999996</v>
      </c>
      <c r="N9" s="71">
        <f t="shared" ref="N9:N17" si="2">M9/J9*100</f>
        <v>123.37873469989677</v>
      </c>
      <c r="O9" s="69">
        <v>4.2809999999999997</v>
      </c>
      <c r="P9" s="67">
        <v>1398.9</v>
      </c>
      <c r="Q9" s="70">
        <f>O9*P9</f>
        <v>5988.6908999999996</v>
      </c>
      <c r="R9" s="70">
        <f>T9/S9</f>
        <v>4.3702750841084503</v>
      </c>
      <c r="S9" s="138">
        <v>1010.6</v>
      </c>
      <c r="T9" s="138">
        <v>4416.6000000000004</v>
      </c>
      <c r="U9" s="70"/>
      <c r="V9" s="92">
        <v>5.25</v>
      </c>
      <c r="W9" s="17">
        <f>V9/R9*100</f>
        <v>120.12973780736314</v>
      </c>
      <c r="X9" s="141">
        <v>1140</v>
      </c>
      <c r="Y9" s="141">
        <f>V9*X9</f>
        <v>5985</v>
      </c>
      <c r="Z9" s="92" t="e">
        <f>AC9/AB9</f>
        <v>#REF!</v>
      </c>
      <c r="AA9" s="93" t="e">
        <f>Z9/R9*100</f>
        <v>#REF!</v>
      </c>
      <c r="AB9" s="141" t="e">
        <f>AB19*AB20</f>
        <v>#REF!</v>
      </c>
      <c r="AC9" s="141">
        <v>5549</v>
      </c>
      <c r="AD9" s="69">
        <v>4.9930000000000003</v>
      </c>
      <c r="AE9" s="948"/>
      <c r="AF9" s="948"/>
      <c r="AG9" s="948"/>
      <c r="AH9" s="138">
        <f>862347/1000</f>
        <v>862.34699999999998</v>
      </c>
      <c r="AI9" s="138">
        <v>4305.8999999999996</v>
      </c>
      <c r="AJ9" s="69">
        <v>5.548</v>
      </c>
      <c r="AK9" s="138">
        <f>241902/1000</f>
        <v>241.90199999999999</v>
      </c>
      <c r="AL9" s="138">
        <v>1342.1</v>
      </c>
      <c r="AM9" s="69">
        <v>5.1100000000000003</v>
      </c>
      <c r="AN9" s="138">
        <v>1138.8</v>
      </c>
      <c r="AO9" s="138">
        <v>5819.3</v>
      </c>
    </row>
    <row r="10" spans="1:41" hidden="1">
      <c r="A10" s="80" t="s">
        <v>166</v>
      </c>
      <c r="B10" s="62"/>
      <c r="C10" s="63"/>
      <c r="D10" s="64"/>
      <c r="E10" s="62"/>
      <c r="F10" s="63"/>
      <c r="G10" s="65"/>
      <c r="H10" s="66"/>
      <c r="I10" s="67"/>
      <c r="J10" s="68"/>
      <c r="K10" s="122"/>
      <c r="L10" s="123"/>
      <c r="M10" s="124"/>
      <c r="N10" s="71"/>
      <c r="O10" s="69">
        <v>1.992</v>
      </c>
      <c r="P10" s="67">
        <v>11</v>
      </c>
      <c r="Q10" s="70">
        <f>O10*P10</f>
        <v>21.911999999999999</v>
      </c>
      <c r="R10" s="70"/>
      <c r="S10" s="138"/>
      <c r="T10" s="138"/>
      <c r="U10" s="70"/>
      <c r="V10" s="92"/>
      <c r="W10" s="17"/>
      <c r="X10" s="141"/>
      <c r="Y10" s="141"/>
      <c r="Z10" s="92"/>
      <c r="AA10" s="2"/>
      <c r="AB10" s="141"/>
      <c r="AC10" s="141"/>
      <c r="AD10" s="69">
        <v>2.2519999999999998</v>
      </c>
      <c r="AE10" s="948"/>
      <c r="AF10" s="948"/>
      <c r="AG10" s="948"/>
      <c r="AH10" s="138">
        <f>5062/1000</f>
        <v>5.0620000000000003</v>
      </c>
      <c r="AI10" s="138">
        <v>11.4</v>
      </c>
      <c r="AJ10" s="69">
        <v>2.4180000000000001</v>
      </c>
      <c r="AK10" s="138">
        <f>1365/1000</f>
        <v>1.365</v>
      </c>
      <c r="AL10" s="136">
        <v>3.3</v>
      </c>
      <c r="AM10" s="69">
        <v>0</v>
      </c>
      <c r="AN10" s="138">
        <v>0</v>
      </c>
      <c r="AO10" s="136">
        <v>0</v>
      </c>
    </row>
    <row r="11" spans="1:41" hidden="1">
      <c r="A11" s="80" t="s">
        <v>140</v>
      </c>
      <c r="B11" s="62">
        <f t="shared" si="0"/>
        <v>2.4554085546843858</v>
      </c>
      <c r="C11" s="63">
        <v>1618131</v>
      </c>
      <c r="D11" s="64">
        <v>3973172.7</v>
      </c>
      <c r="E11" s="62"/>
      <c r="F11" s="63">
        <v>767032</v>
      </c>
      <c r="G11" s="65">
        <v>1883973</v>
      </c>
      <c r="H11" s="66">
        <f t="shared" si="1"/>
        <v>2.5213371161635494</v>
      </c>
      <c r="I11" s="67">
        <f>C11+F11</f>
        <v>2385163</v>
      </c>
      <c r="J11" s="68">
        <v>6013.8</v>
      </c>
      <c r="K11" s="122">
        <v>3.0270000000000001</v>
      </c>
      <c r="L11" s="123">
        <v>2199.8000000000002</v>
      </c>
      <c r="M11" s="124">
        <f>K11*L11</f>
        <v>6658.7946000000011</v>
      </c>
      <c r="N11" s="71">
        <f t="shared" si="2"/>
        <v>110.72524194352991</v>
      </c>
      <c r="O11" s="69">
        <v>3.3395999999999999</v>
      </c>
      <c r="P11" s="67">
        <v>2055.6999999999998</v>
      </c>
      <c r="Q11" s="70">
        <f>O11*P11</f>
        <v>6865.2157199999992</v>
      </c>
      <c r="R11" s="130">
        <f>T11/S11</f>
        <v>3.4186351706036748</v>
      </c>
      <c r="S11" s="136">
        <f>1164.3+131.1</f>
        <v>1295.3999999999999</v>
      </c>
      <c r="T11" s="139">
        <f>3776+652.5</f>
        <v>4428.5</v>
      </c>
      <c r="U11" s="70"/>
      <c r="V11" s="92">
        <v>4.2</v>
      </c>
      <c r="W11" s="17">
        <f>V11/R11*100</f>
        <v>122.85604606525911</v>
      </c>
      <c r="X11" s="141">
        <v>1830</v>
      </c>
      <c r="Y11" s="141">
        <f>V11*X11</f>
        <v>7686</v>
      </c>
      <c r="Z11" s="92">
        <v>3.9470000000000001</v>
      </c>
      <c r="AA11" s="17">
        <f>Z11/R11*100</f>
        <v>115.45543186180423</v>
      </c>
      <c r="AB11" s="141" t="e">
        <f>AB22*AB21</f>
        <v>#REF!</v>
      </c>
      <c r="AC11" s="141" t="e">
        <f>Z11*AB11</f>
        <v>#REF!</v>
      </c>
      <c r="AD11" s="56">
        <v>3.9390000000000001</v>
      </c>
      <c r="AE11" s="949"/>
      <c r="AF11" s="949"/>
      <c r="AG11" s="949"/>
      <c r="AH11" s="136">
        <f>1426046/1000</f>
        <v>1426.046</v>
      </c>
      <c r="AI11" s="136">
        <v>5616.5</v>
      </c>
      <c r="AJ11" s="69">
        <v>4.3929999999999998</v>
      </c>
      <c r="AK11" s="138">
        <f>462899/1000</f>
        <v>462.899</v>
      </c>
      <c r="AL11" s="138">
        <v>2033.5</v>
      </c>
      <c r="AM11" s="69">
        <v>4.0129999999999999</v>
      </c>
      <c r="AN11" s="138">
        <v>1930.37</v>
      </c>
      <c r="AO11" s="138">
        <v>7747.1</v>
      </c>
    </row>
    <row r="12" spans="1:41" hidden="1">
      <c r="A12" s="80" t="s">
        <v>166</v>
      </c>
      <c r="B12" s="62"/>
      <c r="C12" s="63"/>
      <c r="D12" s="64"/>
      <c r="E12" s="62"/>
      <c r="F12" s="63"/>
      <c r="G12" s="65"/>
      <c r="H12" s="66"/>
      <c r="I12" s="67"/>
      <c r="J12" s="68"/>
      <c r="K12" s="122">
        <v>1.97</v>
      </c>
      <c r="L12" s="123">
        <v>80.099999999999994</v>
      </c>
      <c r="M12" s="124">
        <f>K12*L12</f>
        <v>157.797</v>
      </c>
      <c r="N12" s="71"/>
      <c r="O12" s="69">
        <v>2.0289999999999999</v>
      </c>
      <c r="P12" s="109">
        <v>33.799999999999997</v>
      </c>
      <c r="Q12" s="70">
        <f>O12*P12</f>
        <v>68.580199999999991</v>
      </c>
      <c r="R12" s="70"/>
      <c r="S12" s="138"/>
      <c r="T12" s="138"/>
      <c r="U12" s="70"/>
      <c r="V12" s="92"/>
      <c r="W12" s="17"/>
      <c r="X12" s="141"/>
      <c r="Y12" s="141"/>
      <c r="Z12" s="92"/>
      <c r="AA12" s="17"/>
      <c r="AB12" s="141"/>
      <c r="AC12" s="141"/>
      <c r="AD12" s="69">
        <v>2.2759999999999998</v>
      </c>
      <c r="AE12" s="948"/>
      <c r="AF12" s="948"/>
      <c r="AG12" s="948"/>
      <c r="AH12" s="138">
        <f>51221/1000</f>
        <v>51.220999999999997</v>
      </c>
      <c r="AI12" s="138">
        <v>116.6</v>
      </c>
      <c r="AJ12" s="69">
        <v>2.427</v>
      </c>
      <c r="AK12" s="138">
        <f>14584/1000</f>
        <v>14.584</v>
      </c>
      <c r="AL12" s="138">
        <v>35.4</v>
      </c>
      <c r="AM12" s="69">
        <v>0</v>
      </c>
      <c r="AN12" s="138">
        <v>0</v>
      </c>
      <c r="AO12" s="138">
        <v>0</v>
      </c>
    </row>
    <row r="13" spans="1:41" ht="13.5" hidden="1">
      <c r="A13" s="143" t="s">
        <v>141</v>
      </c>
      <c r="B13" s="72">
        <f t="shared" si="0"/>
        <v>2.7460753493109218</v>
      </c>
      <c r="C13" s="73">
        <f>C9+C11</f>
        <v>2619586</v>
      </c>
      <c r="D13" s="73">
        <f>D9+D11</f>
        <v>7193580.54</v>
      </c>
      <c r="E13" s="72"/>
      <c r="F13" s="73">
        <f>F9+F11</f>
        <v>1238938</v>
      </c>
      <c r="G13" s="74">
        <v>2274969</v>
      </c>
      <c r="H13" s="66">
        <f t="shared" si="1"/>
        <v>2.7887606763622563</v>
      </c>
      <c r="I13" s="63">
        <f>I9+I11</f>
        <v>3858524</v>
      </c>
      <c r="J13" s="65">
        <f>SUM(J9:J11)</f>
        <v>10760.5</v>
      </c>
      <c r="K13" s="122">
        <f>M13/L13</f>
        <v>3.3371981566820277</v>
      </c>
      <c r="L13" s="125">
        <f>L9+L11+L12</f>
        <v>3797.5</v>
      </c>
      <c r="M13" s="126">
        <f>SUM(M9:M12)</f>
        <v>12673.01</v>
      </c>
      <c r="N13" s="71">
        <f t="shared" si="2"/>
        <v>117.77343060266716</v>
      </c>
      <c r="O13" s="62">
        <f>Q13/P13</f>
        <v>3.6990337829342166</v>
      </c>
      <c r="P13" s="110">
        <f>SUM(P9:P12)</f>
        <v>3499.4</v>
      </c>
      <c r="Q13" s="64">
        <f>SUM(Q9:Q12)</f>
        <v>12944.398819999999</v>
      </c>
      <c r="R13" s="64"/>
      <c r="S13" s="140"/>
      <c r="T13" s="140"/>
      <c r="U13" s="64"/>
      <c r="V13" s="92"/>
      <c r="W13" s="17"/>
      <c r="X13" s="134">
        <f>SUM(X9:X11)</f>
        <v>2970</v>
      </c>
      <c r="Y13" s="134">
        <f>SUM(Y9:Y11)</f>
        <v>13671</v>
      </c>
      <c r="Z13" s="94"/>
      <c r="AA13" s="18"/>
      <c r="AB13" s="134" t="e">
        <f>SUM(AB9:AB11)</f>
        <v>#REF!</v>
      </c>
      <c r="AC13" s="134" t="e">
        <f>SUM(AC9:AC11)</f>
        <v>#REF!</v>
      </c>
      <c r="AD13" s="134"/>
      <c r="AE13" s="950"/>
      <c r="AF13" s="950"/>
      <c r="AG13" s="950"/>
      <c r="AH13" s="134">
        <f>AH9+AH10+AH11+AH12</f>
        <v>2344.6759999999999</v>
      </c>
      <c r="AI13" s="134">
        <f>AI9+AI10+AI11+AI12</f>
        <v>10050.4</v>
      </c>
      <c r="AJ13" s="69"/>
      <c r="AK13" s="134">
        <f>AK12+AK11+AK10+AK9</f>
        <v>720.75</v>
      </c>
      <c r="AL13" s="134">
        <f>AL12+AL11+AL10+AL9</f>
        <v>3414.3</v>
      </c>
      <c r="AM13" s="69"/>
      <c r="AN13" s="134">
        <f>AN12+AN11+AN10+AN9</f>
        <v>3069.17</v>
      </c>
      <c r="AO13" s="134">
        <f>AO12+AO11+AO10+AO9</f>
        <v>13566.400000000001</v>
      </c>
    </row>
    <row r="14" spans="1:41" hidden="1">
      <c r="A14" s="80" t="s">
        <v>142</v>
      </c>
      <c r="B14" s="62">
        <f t="shared" si="0"/>
        <v>3.2500910790907525</v>
      </c>
      <c r="C14" s="63">
        <v>285027</v>
      </c>
      <c r="D14" s="64">
        <v>926363.71</v>
      </c>
      <c r="E14" s="62"/>
      <c r="F14" s="63">
        <v>131931</v>
      </c>
      <c r="G14" s="65">
        <v>432860</v>
      </c>
      <c r="H14" s="66">
        <f t="shared" si="1"/>
        <v>3.2598007473174757</v>
      </c>
      <c r="I14" s="67">
        <f>C14+F14</f>
        <v>416958</v>
      </c>
      <c r="J14" s="68">
        <v>1359.2</v>
      </c>
      <c r="K14" s="122">
        <v>3.895</v>
      </c>
      <c r="L14" s="123">
        <v>394.35700000000003</v>
      </c>
      <c r="M14" s="124">
        <f>K14*L14</f>
        <v>1536.0205150000002</v>
      </c>
      <c r="N14" s="71">
        <f t="shared" si="2"/>
        <v>113.00916090347263</v>
      </c>
      <c r="O14" s="69">
        <v>4.05</v>
      </c>
      <c r="P14" s="67">
        <v>406</v>
      </c>
      <c r="Q14" s="70">
        <v>1642.7</v>
      </c>
      <c r="R14" s="70">
        <f>T14/S14</f>
        <v>4.4454409566517183</v>
      </c>
      <c r="S14" s="138">
        <v>267.60000000000002</v>
      </c>
      <c r="T14" s="138">
        <v>1189.5999999999999</v>
      </c>
      <c r="U14" s="70"/>
      <c r="V14" s="92">
        <v>5.4</v>
      </c>
      <c r="W14" s="17">
        <f>V14/R14*100</f>
        <v>121.47276395427036</v>
      </c>
      <c r="X14" s="141">
        <v>406</v>
      </c>
      <c r="Y14" s="141">
        <f>V14*X14</f>
        <v>2192.4</v>
      </c>
      <c r="Z14" s="92">
        <f>(R31+R31*1.12)/2</f>
        <v>5.1214040561622447</v>
      </c>
      <c r="AA14" s="93">
        <f>Z14/R14*100</f>
        <v>115.20576037567392</v>
      </c>
      <c r="AB14" s="141" t="e">
        <f>AB25*AB24</f>
        <v>#REF!</v>
      </c>
      <c r="AC14" s="141" t="e">
        <f>Z14*AB14</f>
        <v>#REF!</v>
      </c>
      <c r="AD14" s="69">
        <v>4.96</v>
      </c>
      <c r="AE14" s="948"/>
      <c r="AF14" s="948"/>
      <c r="AG14" s="948"/>
      <c r="AH14" s="138">
        <f>259401/1000</f>
        <v>259.40100000000001</v>
      </c>
      <c r="AI14" s="138">
        <v>1286.5999999999999</v>
      </c>
      <c r="AJ14" s="69">
        <v>5.577</v>
      </c>
      <c r="AK14" s="138">
        <f>54257/1000</f>
        <v>54.256999999999998</v>
      </c>
      <c r="AL14" s="138">
        <v>302.60000000000002</v>
      </c>
      <c r="AM14" s="69">
        <v>4.9829999999999997</v>
      </c>
      <c r="AN14" s="138">
        <v>363.8</v>
      </c>
      <c r="AO14" s="138">
        <v>0</v>
      </c>
    </row>
    <row r="15" spans="1:41" hidden="1">
      <c r="A15" s="80" t="s">
        <v>143</v>
      </c>
      <c r="B15" s="62">
        <f t="shared" si="0"/>
        <v>2.3971996414976844</v>
      </c>
      <c r="C15" s="63">
        <v>1440437</v>
      </c>
      <c r="D15" s="64">
        <v>3453015.06</v>
      </c>
      <c r="E15" s="62"/>
      <c r="F15" s="63">
        <v>557215</v>
      </c>
      <c r="G15" s="65">
        <v>1341966</v>
      </c>
      <c r="H15" s="66">
        <f t="shared" si="1"/>
        <v>2.400317973300655</v>
      </c>
      <c r="I15" s="67">
        <f>C15+F15</f>
        <v>1997652</v>
      </c>
      <c r="J15" s="68">
        <v>4795</v>
      </c>
      <c r="K15" s="122">
        <v>2.9569999999999999</v>
      </c>
      <c r="L15" s="123">
        <v>2030.7</v>
      </c>
      <c r="M15" s="124">
        <f>K15*L15</f>
        <v>6004.7798999999995</v>
      </c>
      <c r="N15" s="71">
        <f t="shared" si="2"/>
        <v>125.23002919708028</v>
      </c>
      <c r="O15" s="69">
        <v>3.11</v>
      </c>
      <c r="P15" s="67">
        <v>2324.1999999999998</v>
      </c>
      <c r="Q15" s="70">
        <v>7235.2</v>
      </c>
      <c r="R15" s="70">
        <f>T15/S15</f>
        <v>3.2274393683023126</v>
      </c>
      <c r="S15" s="138">
        <v>1418.4</v>
      </c>
      <c r="T15" s="138">
        <v>4577.8</v>
      </c>
      <c r="U15" s="70"/>
      <c r="V15" s="92">
        <v>4</v>
      </c>
      <c r="W15" s="17">
        <f>V15/R15*100</f>
        <v>123.93726244047359</v>
      </c>
      <c r="X15" s="141">
        <v>2254</v>
      </c>
      <c r="Y15" s="141">
        <f>V15*X15</f>
        <v>9016</v>
      </c>
      <c r="Z15" s="92" t="e">
        <f>AC15/AB15</f>
        <v>#REF!</v>
      </c>
      <c r="AA15" s="93" t="e">
        <f>Z15/R15*100</f>
        <v>#REF!</v>
      </c>
      <c r="AB15" s="141" t="e">
        <f>AB26*AB24</f>
        <v>#REF!</v>
      </c>
      <c r="AC15" s="141">
        <v>8582.7999999999993</v>
      </c>
      <c r="AD15" s="69">
        <v>3.762</v>
      </c>
      <c r="AE15" s="948"/>
      <c r="AF15" s="948"/>
      <c r="AG15" s="948"/>
      <c r="AH15" s="138">
        <f>1540308/1000</f>
        <v>1540.308</v>
      </c>
      <c r="AI15" s="138">
        <v>5794.5</v>
      </c>
      <c r="AJ15" s="69">
        <v>4.1840000000000002</v>
      </c>
      <c r="AK15" s="138">
        <f>483414/1000</f>
        <v>483.41399999999999</v>
      </c>
      <c r="AL15" s="70">
        <v>2022.8</v>
      </c>
      <c r="AM15" s="69">
        <v>3.83</v>
      </c>
      <c r="AN15" s="138">
        <v>2289.4</v>
      </c>
      <c r="AO15" s="70">
        <v>0</v>
      </c>
    </row>
    <row r="16" spans="1:41" hidden="1">
      <c r="A16" s="80" t="s">
        <v>166</v>
      </c>
      <c r="B16" s="62"/>
      <c r="C16" s="63"/>
      <c r="D16" s="64"/>
      <c r="E16" s="62"/>
      <c r="F16" s="63"/>
      <c r="G16" s="65"/>
      <c r="H16" s="66"/>
      <c r="I16" s="67"/>
      <c r="J16" s="68"/>
      <c r="K16" s="122">
        <v>1.97</v>
      </c>
      <c r="L16" s="123">
        <v>126.9</v>
      </c>
      <c r="M16" s="124">
        <f>K16*L16</f>
        <v>249.99299999999999</v>
      </c>
      <c r="N16" s="71"/>
      <c r="O16" s="69"/>
      <c r="P16" s="67"/>
      <c r="Q16" s="70"/>
      <c r="R16" s="70"/>
      <c r="S16" s="70"/>
      <c r="T16" s="70"/>
      <c r="U16" s="70"/>
      <c r="V16" s="92"/>
      <c r="W16" s="17"/>
      <c r="X16" s="2"/>
      <c r="Y16" s="17"/>
      <c r="Z16" s="92"/>
      <c r="AA16" s="17"/>
      <c r="AB16" s="141"/>
      <c r="AC16" s="141"/>
      <c r="AD16" s="69"/>
      <c r="AE16" s="948"/>
      <c r="AF16" s="948"/>
      <c r="AG16" s="948"/>
      <c r="AH16" s="138">
        <f>(13283+97372)/1000</f>
        <v>110.655</v>
      </c>
      <c r="AI16" s="70">
        <f>30.3+223.1</f>
        <v>253.4</v>
      </c>
      <c r="AJ16" s="64"/>
      <c r="AK16" s="138">
        <f>(4088+36605)/1000</f>
        <v>40.692999999999998</v>
      </c>
      <c r="AL16" s="70">
        <f>9.9+89</f>
        <v>98.9</v>
      </c>
      <c r="AM16" s="64"/>
      <c r="AN16" s="138">
        <v>0</v>
      </c>
      <c r="AO16" s="70">
        <v>0</v>
      </c>
    </row>
    <row r="17" spans="1:42" ht="13.5" hidden="1">
      <c r="A17" s="143" t="s">
        <v>144</v>
      </c>
      <c r="B17" s="72">
        <f t="shared" si="0"/>
        <v>2.5380875926707249</v>
      </c>
      <c r="C17" s="73">
        <f>C14+C15</f>
        <v>1725464</v>
      </c>
      <c r="D17" s="73">
        <f>D14+D15</f>
        <v>4379378.7699999996</v>
      </c>
      <c r="E17" s="72"/>
      <c r="F17" s="73">
        <v>689146</v>
      </c>
      <c r="G17" s="74">
        <v>1774826</v>
      </c>
      <c r="H17" s="66">
        <f t="shared" si="1"/>
        <v>2.5487345782548734</v>
      </c>
      <c r="I17" s="63">
        <f>I14+I15</f>
        <v>2414610</v>
      </c>
      <c r="J17" s="65">
        <f>J14+J15</f>
        <v>6154.2</v>
      </c>
      <c r="K17" s="122">
        <f>M17/L17</f>
        <v>3.0528701757122079</v>
      </c>
      <c r="L17" s="125">
        <f>L14+L15+L16</f>
        <v>2551.9570000000003</v>
      </c>
      <c r="M17" s="126">
        <f>M14+M15+M16</f>
        <v>7790.7934150000001</v>
      </c>
      <c r="N17" s="71">
        <f t="shared" si="2"/>
        <v>126.59311388970134</v>
      </c>
      <c r="O17" s="62">
        <f>Q17/P17</f>
        <v>3.2517397992821038</v>
      </c>
      <c r="P17" s="63">
        <f>P14+P15</f>
        <v>2730.2</v>
      </c>
      <c r="Q17" s="64">
        <f>Q14+Q15</f>
        <v>8877.9</v>
      </c>
      <c r="R17" s="64"/>
      <c r="S17" s="64"/>
      <c r="T17" s="64"/>
      <c r="U17" s="64"/>
      <c r="V17" s="92"/>
      <c r="W17" s="18"/>
      <c r="X17" s="22">
        <f>SUM(X14:X15)</f>
        <v>2660</v>
      </c>
      <c r="Y17" s="18">
        <f>SUM(Y14:Y15)</f>
        <v>11208.4</v>
      </c>
      <c r="Z17" s="94"/>
      <c r="AA17" s="18"/>
      <c r="AB17" s="134" t="e">
        <f>SUM(AB14:AB15)</f>
        <v>#REF!</v>
      </c>
      <c r="AC17" s="134" t="e">
        <f>SUM(AC14:AC15)</f>
        <v>#REF!</v>
      </c>
      <c r="AD17" s="134"/>
      <c r="AE17" s="950"/>
      <c r="AF17" s="950"/>
      <c r="AG17" s="950"/>
      <c r="AH17" s="134">
        <f>SUM(AH14:AH16)</f>
        <v>1910.364</v>
      </c>
      <c r="AI17" s="134">
        <f>SUM(AI14:AI16)</f>
        <v>7334.5</v>
      </c>
      <c r="AJ17" s="15"/>
      <c r="AK17" s="134">
        <f>AK14+AK15+AK16</f>
        <v>578.36399999999992</v>
      </c>
      <c r="AL17" s="134">
        <f>AL14+AL15+AL16</f>
        <v>2424.3000000000002</v>
      </c>
      <c r="AM17" s="15"/>
      <c r="AN17" s="134">
        <f>AN14+AN15+AN16</f>
        <v>2653.2000000000003</v>
      </c>
      <c r="AO17" s="134">
        <f>AO14+AO15+AO16</f>
        <v>0</v>
      </c>
    </row>
    <row r="18" spans="1:42" hidden="1">
      <c r="A18" s="80"/>
      <c r="B18" s="56"/>
      <c r="C18" s="19"/>
      <c r="D18" s="15"/>
      <c r="E18" s="56"/>
      <c r="F18" s="19"/>
      <c r="G18" s="15"/>
      <c r="H18" s="56"/>
      <c r="I18" s="19"/>
      <c r="J18" s="15"/>
      <c r="K18" s="75"/>
      <c r="L18" s="76"/>
      <c r="M18" s="77"/>
      <c r="N18" s="78"/>
      <c r="O18" s="56"/>
      <c r="P18" s="19"/>
      <c r="Q18" s="15"/>
      <c r="R18" s="15"/>
      <c r="S18" s="15"/>
      <c r="T18" s="15"/>
      <c r="U18" s="15"/>
      <c r="V18" s="2"/>
      <c r="W18" s="2"/>
      <c r="X18" s="2"/>
      <c r="Y18" s="2"/>
      <c r="Z18" s="2"/>
      <c r="AA18" s="2"/>
      <c r="AB18" s="2"/>
      <c r="AC18" s="2"/>
      <c r="AD18" s="56"/>
      <c r="AE18" s="949"/>
      <c r="AF18" s="949"/>
      <c r="AG18" s="949"/>
      <c r="AH18" s="15"/>
      <c r="AI18" s="15"/>
      <c r="AJ18" s="61"/>
      <c r="AK18" s="15"/>
      <c r="AL18" s="61"/>
      <c r="AM18" s="61"/>
      <c r="AN18" s="15"/>
      <c r="AO18" s="61"/>
    </row>
    <row r="19" spans="1:42" hidden="1">
      <c r="A19" s="80" t="s">
        <v>145</v>
      </c>
      <c r="B19" s="61"/>
      <c r="C19" s="61"/>
      <c r="D19" s="61"/>
      <c r="E19" s="61"/>
      <c r="F19" s="61"/>
      <c r="G19" s="61"/>
      <c r="H19" s="61"/>
      <c r="I19" s="15">
        <v>8838.9</v>
      </c>
      <c r="J19" s="61"/>
      <c r="K19" s="79"/>
      <c r="L19" s="19">
        <v>8862.9</v>
      </c>
      <c r="M19" s="77"/>
      <c r="N19" s="78"/>
      <c r="O19" s="61"/>
      <c r="P19" s="11">
        <f>объемы!F10</f>
        <v>8372.9</v>
      </c>
      <c r="Q19" s="61"/>
      <c r="R19" s="61"/>
      <c r="S19" s="15">
        <v>6666.9</v>
      </c>
      <c r="T19" s="61"/>
      <c r="U19" s="61"/>
      <c r="V19" s="2"/>
      <c r="W19" s="2"/>
      <c r="X19" s="2"/>
      <c r="Y19" s="2"/>
      <c r="Z19" s="2"/>
      <c r="AA19" s="2"/>
      <c r="AB19" s="2" t="e">
        <f>объемы!#REF!</f>
        <v>#REF!</v>
      </c>
      <c r="AC19" s="2"/>
      <c r="AD19" s="142"/>
      <c r="AE19" s="951"/>
      <c r="AF19" s="951"/>
      <c r="AG19" s="951"/>
      <c r="AH19" s="15">
        <f>3309.7+2615.3</f>
        <v>5925</v>
      </c>
      <c r="AI19" s="61"/>
      <c r="AJ19" s="15"/>
      <c r="AK19" s="92">
        <f>645.46+642.86+630.6</f>
        <v>1918.92</v>
      </c>
      <c r="AL19" s="15"/>
      <c r="AM19" s="15"/>
      <c r="AN19" s="92">
        <v>7835.7</v>
      </c>
      <c r="AO19" s="15"/>
    </row>
    <row r="20" spans="1:42" ht="25.5" hidden="1">
      <c r="A20" s="80" t="s">
        <v>146</v>
      </c>
      <c r="B20" s="56"/>
      <c r="C20" s="19"/>
      <c r="D20" s="15"/>
      <c r="E20" s="56"/>
      <c r="F20" s="19"/>
      <c r="G20" s="15"/>
      <c r="H20" s="56"/>
      <c r="I20" s="92">
        <f>(I9/I19)/1000</f>
        <v>0.1666905384154137</v>
      </c>
      <c r="J20" s="21"/>
      <c r="K20" s="95"/>
      <c r="L20" s="92">
        <f>(L9/L19)</f>
        <v>0.17123063557074997</v>
      </c>
      <c r="M20" s="96"/>
      <c r="N20" s="97"/>
      <c r="O20" s="92"/>
      <c r="P20" s="92">
        <f>P9/P19</f>
        <v>0.16707472918582572</v>
      </c>
      <c r="Q20" s="15"/>
      <c r="R20" s="15"/>
      <c r="S20" s="92">
        <f>S9/S19</f>
        <v>0.15158469453569126</v>
      </c>
      <c r="T20" s="15"/>
      <c r="U20" s="15"/>
      <c r="V20" s="2"/>
      <c r="W20" s="2"/>
      <c r="X20" s="2"/>
      <c r="Y20" s="2"/>
      <c r="Z20" s="2"/>
      <c r="AA20" s="2"/>
      <c r="AB20" s="2">
        <v>0.17100000000000001</v>
      </c>
      <c r="AC20" s="2"/>
      <c r="AD20" s="56"/>
      <c r="AE20" s="949"/>
      <c r="AF20" s="949"/>
      <c r="AG20" s="949"/>
      <c r="AH20" s="92">
        <f>AH9/AH19</f>
        <v>0.14554379746835441</v>
      </c>
      <c r="AI20" s="15"/>
      <c r="AJ20" s="15"/>
      <c r="AK20" s="92">
        <f>AK9/AK19</f>
        <v>0.12606153461321992</v>
      </c>
      <c r="AL20" s="15"/>
      <c r="AM20" s="15"/>
      <c r="AN20" s="92">
        <f>AN9/AN19</f>
        <v>0.14533481373712623</v>
      </c>
      <c r="AO20" s="15"/>
      <c r="AP20" s="333">
        <f>(L20+P20+S20+AN20)/4</f>
        <v>0.15880621825734828</v>
      </c>
    </row>
    <row r="21" spans="1:42" hidden="1">
      <c r="A21" s="80" t="s">
        <v>159</v>
      </c>
      <c r="B21" s="56"/>
      <c r="C21" s="19"/>
      <c r="D21" s="15"/>
      <c r="E21" s="56"/>
      <c r="F21" s="19"/>
      <c r="G21" s="15"/>
      <c r="H21" s="56"/>
      <c r="I21" s="92">
        <f>I19</f>
        <v>8838.9</v>
      </c>
      <c r="J21" s="21"/>
      <c r="K21" s="95"/>
      <c r="L21" s="17">
        <f>L19</f>
        <v>8862.9</v>
      </c>
      <c r="M21" s="96"/>
      <c r="N21" s="97"/>
      <c r="O21" s="92"/>
      <c r="P21" s="17">
        <f>P19</f>
        <v>8372.9</v>
      </c>
      <c r="Q21" s="15"/>
      <c r="R21" s="15"/>
      <c r="S21" s="21">
        <f>S19</f>
        <v>6666.9</v>
      </c>
      <c r="T21" s="15"/>
      <c r="U21" s="15"/>
      <c r="V21" s="2"/>
      <c r="W21" s="2"/>
      <c r="X21" s="2"/>
      <c r="Y21" s="2"/>
      <c r="Z21" s="2"/>
      <c r="AA21" s="2"/>
      <c r="AB21" s="2" t="e">
        <f>AB19</f>
        <v>#REF!</v>
      </c>
      <c r="AC21" s="2"/>
      <c r="AD21" s="56"/>
      <c r="AE21" s="949"/>
      <c r="AF21" s="949"/>
      <c r="AG21" s="949"/>
      <c r="AH21" s="21">
        <f>3021.8+2363</f>
        <v>5384.8</v>
      </c>
      <c r="AI21" s="15"/>
      <c r="AJ21" s="82"/>
      <c r="AK21" s="92">
        <f>590.3+595+591.9</f>
        <v>1777.1999999999998</v>
      </c>
      <c r="AL21" s="82"/>
      <c r="AM21" s="82"/>
      <c r="AN21" s="92">
        <v>7024</v>
      </c>
      <c r="AO21" s="82"/>
    </row>
    <row r="22" spans="1:42" ht="25.5" hidden="1">
      <c r="A22" s="80" t="s">
        <v>147</v>
      </c>
      <c r="B22" s="79"/>
      <c r="C22" s="81"/>
      <c r="D22" s="82"/>
      <c r="E22" s="79"/>
      <c r="F22" s="81"/>
      <c r="G22" s="82"/>
      <c r="H22" s="79"/>
      <c r="I22" s="95">
        <f>(I11/I21)/1000</f>
        <v>0.26984839742501898</v>
      </c>
      <c r="J22" s="96"/>
      <c r="K22" s="95"/>
      <c r="L22" s="92">
        <f>(L11/L21)</f>
        <v>0.24820318405939368</v>
      </c>
      <c r="M22" s="96"/>
      <c r="N22" s="97"/>
      <c r="O22" s="95"/>
      <c r="P22" s="92">
        <f>(P11+P12)/P21</f>
        <v>0.24955511232667296</v>
      </c>
      <c r="Q22" s="82"/>
      <c r="R22" s="82"/>
      <c r="S22" s="92">
        <f>S11/S21</f>
        <v>0.1943031993880214</v>
      </c>
      <c r="T22" s="82"/>
      <c r="U22" s="82"/>
      <c r="V22" s="2"/>
      <c r="W22" s="2"/>
      <c r="X22" s="2"/>
      <c r="Y22" s="2"/>
      <c r="Z22" s="2"/>
      <c r="AA22" s="2"/>
      <c r="AB22" s="92">
        <v>0.27500000000000002</v>
      </c>
      <c r="AC22" s="2"/>
      <c r="AD22" s="79"/>
      <c r="AE22" s="952"/>
      <c r="AF22" s="952"/>
      <c r="AG22" s="952"/>
      <c r="AH22" s="92">
        <f>AH11/AH21</f>
        <v>0.26482803446738967</v>
      </c>
      <c r="AI22" s="82"/>
      <c r="AJ22" s="85"/>
      <c r="AK22" s="92">
        <f>AK11/AK21</f>
        <v>0.26046533873508892</v>
      </c>
      <c r="AL22" s="85"/>
      <c r="AM22" s="85"/>
      <c r="AN22" s="92">
        <f>AN11/AN21</f>
        <v>0.27482488610478356</v>
      </c>
      <c r="AO22" s="85"/>
      <c r="AP22" s="333">
        <f>(L22+P22+S22+AN22)/4</f>
        <v>0.24172159546971789</v>
      </c>
    </row>
    <row r="23" spans="1:42" hidden="1">
      <c r="A23" s="144"/>
      <c r="B23" s="83"/>
      <c r="C23" s="84"/>
      <c r="D23" s="85"/>
      <c r="E23" s="83"/>
      <c r="F23" s="84"/>
      <c r="G23" s="85"/>
      <c r="H23" s="83"/>
      <c r="I23" s="98"/>
      <c r="J23" s="99"/>
      <c r="K23" s="100"/>
      <c r="L23" s="98"/>
      <c r="M23" s="99"/>
      <c r="N23" s="101"/>
      <c r="O23" s="100"/>
      <c r="P23" s="98"/>
      <c r="Q23" s="85"/>
      <c r="R23" s="85"/>
      <c r="S23" s="85"/>
      <c r="T23" s="85"/>
      <c r="U23" s="85"/>
      <c r="V23" s="2"/>
      <c r="W23" s="2"/>
      <c r="X23" s="2"/>
      <c r="Y23" s="2"/>
      <c r="Z23" s="2"/>
      <c r="AA23" s="2"/>
      <c r="AB23" s="2"/>
      <c r="AC23" s="2"/>
      <c r="AD23" s="83"/>
      <c r="AE23" s="953"/>
      <c r="AF23" s="953"/>
      <c r="AG23" s="953"/>
      <c r="AH23" s="85"/>
      <c r="AI23" s="85"/>
      <c r="AJ23" s="15"/>
      <c r="AK23" s="15"/>
      <c r="AL23" s="15"/>
      <c r="AM23" s="15"/>
      <c r="AN23" s="15"/>
      <c r="AO23" s="15"/>
    </row>
    <row r="24" spans="1:42" hidden="1">
      <c r="A24" s="80" t="s">
        <v>148</v>
      </c>
      <c r="B24" s="83"/>
      <c r="C24" s="84"/>
      <c r="D24" s="85"/>
      <c r="E24" s="83"/>
      <c r="F24" s="84"/>
      <c r="G24" s="85"/>
      <c r="H24" s="83"/>
      <c r="I24" s="21">
        <v>4585.8</v>
      </c>
      <c r="J24" s="21"/>
      <c r="K24" s="21"/>
      <c r="L24" s="21">
        <v>4415.2</v>
      </c>
      <c r="M24" s="96"/>
      <c r="N24" s="97"/>
      <c r="O24" s="100"/>
      <c r="P24" s="21">
        <f>объемы!F22</f>
        <v>4093.2000000000003</v>
      </c>
      <c r="Q24" s="15"/>
      <c r="R24" s="15"/>
      <c r="S24" s="15">
        <f>объемы!J22</f>
        <v>2958.3</v>
      </c>
      <c r="T24" s="15"/>
      <c r="U24" s="15"/>
      <c r="V24" s="2"/>
      <c r="W24" s="2"/>
      <c r="X24" s="2">
        <v>3695</v>
      </c>
      <c r="Y24" s="2"/>
      <c r="Z24" s="2"/>
      <c r="AA24" s="2"/>
      <c r="AB24" s="2" t="e">
        <f>объемы!#REF!</f>
        <v>#REF!</v>
      </c>
      <c r="AC24" s="2"/>
      <c r="AD24" s="56"/>
      <c r="AE24" s="949"/>
      <c r="AF24" s="949"/>
      <c r="AG24" s="949"/>
      <c r="AH24" s="15">
        <v>3930.9</v>
      </c>
      <c r="AI24" s="15"/>
      <c r="AJ24" s="82"/>
      <c r="AK24" s="92">
        <f>1129.9</f>
        <v>1129.9000000000001</v>
      </c>
      <c r="AL24" s="82"/>
      <c r="AM24" s="82"/>
      <c r="AN24" s="92">
        <v>3801.2</v>
      </c>
      <c r="AO24" s="82"/>
    </row>
    <row r="25" spans="1:42" ht="25.5" hidden="1">
      <c r="A25" s="80" t="s">
        <v>149</v>
      </c>
      <c r="B25" s="83"/>
      <c r="C25" s="86"/>
      <c r="D25" s="87"/>
      <c r="E25" s="88"/>
      <c r="F25" s="86"/>
      <c r="G25" s="87"/>
      <c r="H25" s="88"/>
      <c r="I25" s="92">
        <f>(I14/I24)/1000</f>
        <v>9.0923721051942949E-2</v>
      </c>
      <c r="J25" s="96"/>
      <c r="K25" s="102"/>
      <c r="L25" s="92">
        <f>(L14/L24)</f>
        <v>8.9318037687986962E-2</v>
      </c>
      <c r="M25" s="96"/>
      <c r="N25" s="97"/>
      <c r="O25" s="103"/>
      <c r="P25" s="92">
        <f>(P14/P24)</f>
        <v>9.9188898661194166E-2</v>
      </c>
      <c r="Q25" s="82"/>
      <c r="R25" s="82"/>
      <c r="S25" s="92">
        <f>S14/S24</f>
        <v>9.0457357265997365E-2</v>
      </c>
      <c r="T25" s="82"/>
      <c r="U25" s="82"/>
      <c r="V25" s="2"/>
      <c r="W25" s="2"/>
      <c r="X25" s="92">
        <f>X14/X24</f>
        <v>0.10987821380243572</v>
      </c>
      <c r="Y25" s="2"/>
      <c r="Z25" s="2"/>
      <c r="AA25" s="2"/>
      <c r="AB25" s="2">
        <v>9.9000000000000005E-2</v>
      </c>
      <c r="AC25" s="2"/>
      <c r="AD25" s="79"/>
      <c r="AE25" s="952"/>
      <c r="AF25" s="952"/>
      <c r="AG25" s="952"/>
      <c r="AH25" s="92">
        <f>AH14/AH24</f>
        <v>6.5990231244753117E-2</v>
      </c>
      <c r="AI25" s="82"/>
      <c r="AJ25" s="82"/>
      <c r="AK25" s="92">
        <f>AK14/AK24</f>
        <v>4.801929374280909E-2</v>
      </c>
      <c r="AL25" s="82"/>
      <c r="AM25" s="82"/>
      <c r="AN25" s="92">
        <f>AN14/AN24</f>
        <v>9.5706618962432918E-2</v>
      </c>
      <c r="AO25" s="82"/>
      <c r="AP25" s="333">
        <f>(L25+P25+S25+AN25)/4</f>
        <v>9.3667728144402856E-2</v>
      </c>
    </row>
    <row r="26" spans="1:42" ht="25.5" hidden="1">
      <c r="A26" s="80" t="s">
        <v>150</v>
      </c>
      <c r="B26" s="83"/>
      <c r="C26" s="84"/>
      <c r="D26" s="85"/>
      <c r="E26" s="83"/>
      <c r="F26" s="84"/>
      <c r="G26" s="85"/>
      <c r="H26" s="83"/>
      <c r="I26" s="92">
        <f>(I15/I24)/1000</f>
        <v>0.4356169043569279</v>
      </c>
      <c r="J26" s="96"/>
      <c r="K26" s="95"/>
      <c r="L26" s="92">
        <f>(L15/L24)</f>
        <v>0.45993386483058529</v>
      </c>
      <c r="M26" s="96"/>
      <c r="N26" s="97"/>
      <c r="O26" s="100"/>
      <c r="P26" s="92">
        <f>(P15/P24)</f>
        <v>0.56781979869051102</v>
      </c>
      <c r="Q26" s="82"/>
      <c r="R26" s="82"/>
      <c r="S26" s="92">
        <f>S15/S24</f>
        <v>0.47946455734712506</v>
      </c>
      <c r="T26" s="82"/>
      <c r="U26" s="82"/>
      <c r="V26" s="2"/>
      <c r="W26" s="2"/>
      <c r="X26" s="92">
        <f>X15/X24</f>
        <v>0.61001353179972939</v>
      </c>
      <c r="Y26" s="2"/>
      <c r="Z26" s="2"/>
      <c r="AA26" s="2"/>
      <c r="AB26" s="2">
        <v>0.56799999999999995</v>
      </c>
      <c r="AC26" s="2"/>
      <c r="AD26" s="79"/>
      <c r="AE26" s="952"/>
      <c r="AF26" s="952"/>
      <c r="AG26" s="952"/>
      <c r="AH26" s="92">
        <f>AH15/AH24</f>
        <v>0.39184614210486146</v>
      </c>
      <c r="AI26" s="82"/>
      <c r="AJ26" s="25"/>
      <c r="AK26" s="92">
        <f>AK15/AK24</f>
        <v>0.42783786175767763</v>
      </c>
      <c r="AL26" s="25"/>
      <c r="AM26" s="25"/>
      <c r="AN26" s="92">
        <f>AN15/AN24</f>
        <v>0.60228348942439236</v>
      </c>
      <c r="AO26" s="25"/>
      <c r="AP26" s="333">
        <f>(L26+P26+S26+AN26)/4</f>
        <v>0.52737542757315348</v>
      </c>
    </row>
    <row r="27" spans="1:42" hidden="1"/>
    <row r="28" spans="1:42" hidden="1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42" hidden="1">
      <c r="A29" s="5"/>
      <c r="B29" s="5"/>
      <c r="C29" s="5"/>
      <c r="D29" s="5"/>
      <c r="E29" s="5"/>
      <c r="F29" s="5"/>
      <c r="G29" s="5"/>
      <c r="H29" s="5"/>
      <c r="I29" s="5"/>
      <c r="J29" s="5"/>
    </row>
    <row r="30" spans="1:42" hidden="1">
      <c r="A30" t="s">
        <v>215</v>
      </c>
      <c r="R30">
        <v>4.1559999999999997</v>
      </c>
      <c r="S30">
        <v>203.5</v>
      </c>
      <c r="T30">
        <v>879.9</v>
      </c>
    </row>
    <row r="31" spans="1:42" hidden="1">
      <c r="A31" t="s">
        <v>216</v>
      </c>
      <c r="R31">
        <f>T31/S31</f>
        <v>4.8315132605304187</v>
      </c>
      <c r="S31" s="127">
        <f>S14-S30</f>
        <v>64.100000000000023</v>
      </c>
      <c r="T31" s="127">
        <f>T14-T30</f>
        <v>309.69999999999993</v>
      </c>
    </row>
    <row r="32" spans="1:42" hidden="1">
      <c r="A32" t="s">
        <v>217</v>
      </c>
      <c r="R32">
        <f>T32/S32</f>
        <v>3.0743776563448693</v>
      </c>
      <c r="S32">
        <v>988.2</v>
      </c>
      <c r="T32">
        <v>3038.1</v>
      </c>
    </row>
    <row r="33" spans="1:97" hidden="1">
      <c r="A33" t="s">
        <v>218</v>
      </c>
      <c r="R33">
        <f>T33/S33</f>
        <v>3.579033007903301</v>
      </c>
      <c r="S33" s="127">
        <f>S15-S32</f>
        <v>430.20000000000005</v>
      </c>
      <c r="T33" s="127">
        <f>T15-T32</f>
        <v>1539.7000000000003</v>
      </c>
    </row>
    <row r="34" spans="1:97" hidden="1"/>
    <row r="35" spans="1:97" hidden="1">
      <c r="A35" t="s">
        <v>224</v>
      </c>
      <c r="R35">
        <v>4.2</v>
      </c>
      <c r="S35">
        <v>705.5</v>
      </c>
      <c r="T35">
        <v>2961.4</v>
      </c>
    </row>
    <row r="36" spans="1:97" hidden="1">
      <c r="A36" t="s">
        <v>225</v>
      </c>
      <c r="R36">
        <f>T36/S36</f>
        <v>4.7695837430350707</v>
      </c>
      <c r="S36">
        <f>1010.6-S35</f>
        <v>305.10000000000002</v>
      </c>
      <c r="T36">
        <f>4416.6-2961.4</f>
        <v>1455.2000000000003</v>
      </c>
    </row>
    <row r="37" spans="1:97" hidden="1">
      <c r="A37" t="s">
        <v>226</v>
      </c>
      <c r="R37">
        <f>T37/S37</f>
        <v>3.2470974551424887</v>
      </c>
      <c r="S37">
        <f>89.4+763.3</f>
        <v>852.69999999999993</v>
      </c>
      <c r="T37">
        <f>2343.2+425.6</f>
        <v>2768.7999999999997</v>
      </c>
    </row>
    <row r="38" spans="1:97" ht="2.25" hidden="1" customHeight="1">
      <c r="A38" t="s">
        <v>225</v>
      </c>
      <c r="R38">
        <f>T38/S38</f>
        <v>3.749039981929073</v>
      </c>
      <c r="S38">
        <f>131.1+1164.3-S37</f>
        <v>442.69999999999993</v>
      </c>
      <c r="T38">
        <f>3776+652.5-T37</f>
        <v>1659.7000000000003</v>
      </c>
    </row>
    <row r="39" spans="1:97" hidden="1"/>
    <row r="40" spans="1:97">
      <c r="A40" s="5021" t="s">
        <v>1533</v>
      </c>
      <c r="B40" s="5021"/>
      <c r="C40" s="5021"/>
      <c r="D40" s="5021"/>
      <c r="E40" s="5021"/>
      <c r="F40" s="5021"/>
      <c r="G40" s="5021"/>
      <c r="H40" s="5021"/>
      <c r="I40" s="5021"/>
      <c r="J40" s="5021"/>
      <c r="K40" s="5021"/>
      <c r="L40" s="5021"/>
      <c r="M40" s="5021"/>
      <c r="N40" s="5021"/>
      <c r="O40" s="5021"/>
      <c r="P40" s="5021"/>
      <c r="Q40" s="5021"/>
      <c r="R40" s="5021"/>
      <c r="S40" s="5021"/>
      <c r="T40" s="5021"/>
      <c r="U40" s="5021"/>
      <c r="V40" s="5021"/>
      <c r="W40" s="5021"/>
      <c r="X40" s="5021"/>
      <c r="Y40" s="5021"/>
      <c r="Z40" s="5021"/>
      <c r="AA40" s="5021"/>
      <c r="AB40" s="5021"/>
      <c r="AC40" s="5021"/>
      <c r="AD40" s="5021"/>
      <c r="AE40" s="5021"/>
      <c r="AF40" s="5021"/>
      <c r="AG40" s="5021"/>
      <c r="AH40" s="5021"/>
      <c r="AI40" s="5021"/>
      <c r="AJ40" s="5021"/>
      <c r="AK40" s="5021"/>
      <c r="AL40" s="5021"/>
      <c r="AM40" s="5021"/>
      <c r="AN40" s="5021"/>
      <c r="AO40" s="5021"/>
      <c r="AP40" s="5021"/>
      <c r="AQ40" s="5021"/>
      <c r="AR40" s="5021"/>
      <c r="AS40" s="5021"/>
      <c r="AT40" s="5021"/>
      <c r="AU40" s="5021"/>
      <c r="AV40" s="5021"/>
      <c r="AW40" s="5021"/>
      <c r="AX40" s="5021"/>
      <c r="AY40" s="5021"/>
      <c r="AZ40" s="5021"/>
      <c r="BA40" s="5021"/>
      <c r="BB40" s="5021"/>
      <c r="BC40" s="5021"/>
      <c r="BD40" s="5021"/>
      <c r="BE40" s="5021"/>
      <c r="BF40" s="5021"/>
      <c r="BG40" s="5021"/>
      <c r="BH40" s="5021"/>
      <c r="BI40" s="5021"/>
      <c r="BJ40" s="5021"/>
      <c r="BK40" s="5021"/>
      <c r="BL40" s="5021"/>
      <c r="BM40" s="5021"/>
      <c r="BN40" s="5021"/>
      <c r="BO40" s="5021"/>
      <c r="BP40" s="5021"/>
      <c r="BQ40" s="5021"/>
      <c r="BR40" s="5021"/>
      <c r="BS40" s="5021"/>
      <c r="BT40" s="5021"/>
      <c r="BU40" s="5021"/>
      <c r="BV40" s="5021"/>
      <c r="BW40" s="5021"/>
      <c r="BX40" s="5021"/>
      <c r="BY40" s="5021"/>
      <c r="BZ40" s="5021"/>
      <c r="CA40" s="5021"/>
      <c r="CB40" s="5021"/>
      <c r="CC40" s="5021"/>
      <c r="CD40" s="5021"/>
      <c r="CE40" s="5021"/>
      <c r="CF40" s="5021"/>
      <c r="CG40" s="5021"/>
      <c r="CH40" s="5021"/>
      <c r="CI40" s="5021"/>
      <c r="CJ40" s="5021"/>
      <c r="CK40" s="5021"/>
      <c r="CL40" s="5021"/>
      <c r="CM40" s="4894"/>
      <c r="CN40" s="4894"/>
      <c r="CO40" s="4894"/>
      <c r="CP40" s="4894"/>
      <c r="CQ40" s="4894"/>
      <c r="CR40" s="4894"/>
      <c r="CS40" s="4894"/>
    </row>
    <row r="41" spans="1:97" ht="25.5">
      <c r="A41" s="5595" t="s">
        <v>837</v>
      </c>
      <c r="B41" s="5595"/>
      <c r="C41" s="5595"/>
      <c r="D41" s="5595"/>
      <c r="E41" s="5595"/>
      <c r="F41" s="5595"/>
      <c r="G41" s="5595"/>
      <c r="H41" s="5595"/>
      <c r="I41" s="5595"/>
      <c r="J41" s="5595"/>
      <c r="K41" s="5595"/>
      <c r="L41" s="5595"/>
      <c r="M41" s="5595"/>
      <c r="N41" s="5595"/>
      <c r="O41" s="5595"/>
      <c r="P41" s="5595"/>
      <c r="Q41" s="5595"/>
      <c r="R41" s="5595"/>
      <c r="S41" s="5595"/>
      <c r="T41" s="5595"/>
      <c r="U41" s="5595"/>
      <c r="V41" s="5595"/>
      <c r="W41" s="5595"/>
      <c r="X41" s="5595"/>
      <c r="Y41" s="5595"/>
      <c r="Z41" s="5595"/>
      <c r="AA41" s="5595"/>
      <c r="AB41" s="5595"/>
      <c r="AC41" s="5595"/>
      <c r="AD41" s="5595"/>
      <c r="AE41" s="5595"/>
      <c r="AF41" s="5595"/>
      <c r="AG41" s="5595"/>
      <c r="AH41" s="5595"/>
      <c r="AI41" s="5595"/>
      <c r="AJ41" s="5595"/>
      <c r="AK41" s="5595"/>
      <c r="AL41" s="5595"/>
      <c r="AM41" s="5596"/>
      <c r="AN41" s="5596"/>
      <c r="AO41" s="5596"/>
      <c r="AP41" s="5596"/>
      <c r="AQ41" s="5596"/>
      <c r="AR41" s="5596"/>
      <c r="AS41" s="5596"/>
      <c r="AT41" s="5596"/>
      <c r="AU41" s="5596"/>
      <c r="AV41" s="5596"/>
      <c r="AW41" s="5596"/>
      <c r="AX41" s="5596"/>
      <c r="AY41" s="5596"/>
      <c r="AZ41" s="5596"/>
      <c r="BA41" s="5596"/>
      <c r="BB41" s="5596"/>
      <c r="BC41" s="5596"/>
      <c r="BD41" s="5596"/>
      <c r="BE41" s="5596"/>
      <c r="BF41" s="5596"/>
      <c r="BG41" s="5596"/>
      <c r="BH41" s="5596"/>
      <c r="BI41" s="5596"/>
      <c r="BJ41" s="5596"/>
      <c r="BK41" s="5596"/>
      <c r="BL41" s="5596"/>
      <c r="BM41" s="5596"/>
      <c r="BN41" s="5596"/>
      <c r="BO41" s="5596"/>
      <c r="BP41" s="5596"/>
      <c r="BQ41" s="5596"/>
      <c r="BR41" s="5596"/>
      <c r="BS41" s="5596"/>
      <c r="BT41" s="5596"/>
      <c r="BU41" s="5596"/>
      <c r="BV41" s="5596"/>
      <c r="BW41" s="5596"/>
      <c r="BX41" s="5596"/>
      <c r="BY41" s="5596"/>
      <c r="BZ41" s="5596"/>
      <c r="CA41" s="5596"/>
      <c r="CB41" s="5596"/>
      <c r="CC41" s="5596"/>
      <c r="CD41" s="5596"/>
      <c r="CE41" s="5596"/>
      <c r="CF41" s="5596"/>
      <c r="CG41" s="5596"/>
      <c r="CH41" s="5596"/>
      <c r="CI41" s="5596"/>
      <c r="CJ41" s="5596"/>
      <c r="CK41" s="5596"/>
      <c r="CL41" s="5596"/>
      <c r="CM41" s="4894"/>
      <c r="CN41" s="4894"/>
      <c r="CO41" s="4894"/>
      <c r="CP41" s="4894"/>
      <c r="CQ41" s="4894"/>
      <c r="CR41" s="4894"/>
      <c r="CS41" s="4894"/>
    </row>
    <row r="43" spans="1:97" ht="13.5" thickBot="1"/>
    <row r="44" spans="1:97" ht="20.25">
      <c r="A44" s="5513" t="s">
        <v>545</v>
      </c>
      <c r="B44" s="771"/>
      <c r="C44" s="376"/>
      <c r="D44" s="376"/>
      <c r="E44" s="376"/>
      <c r="F44" s="376"/>
      <c r="G44" s="376"/>
      <c r="H44" s="376"/>
      <c r="I44" s="376"/>
      <c r="J44" s="779"/>
      <c r="K44" s="5468" t="s">
        <v>298</v>
      </c>
      <c r="L44" s="5469"/>
      <c r="M44" s="5469"/>
      <c r="N44" s="5469"/>
      <c r="O44" s="5469"/>
      <c r="P44" s="5469"/>
      <c r="Q44" s="5469"/>
      <c r="R44" s="5469"/>
      <c r="S44" s="5469"/>
      <c r="T44" s="5469"/>
      <c r="U44" s="5469"/>
      <c r="V44" s="5469"/>
      <c r="W44" s="5469"/>
      <c r="X44" s="5469"/>
      <c r="Y44" s="5469"/>
      <c r="Z44" s="5469"/>
      <c r="AA44" s="5469"/>
      <c r="AB44" s="5469"/>
      <c r="AC44" s="5469"/>
      <c r="AD44" s="5469"/>
      <c r="AE44" s="5476"/>
      <c r="AF44" s="5476"/>
      <c r="AG44" s="5477"/>
      <c r="AH44" s="5468" t="s">
        <v>840</v>
      </c>
      <c r="AI44" s="5469"/>
      <c r="AJ44" s="5469"/>
      <c r="AK44" s="5469"/>
      <c r="AL44" s="5469"/>
      <c r="AM44" s="5469"/>
      <c r="AN44" s="5469"/>
      <c r="AO44" s="5469"/>
      <c r="AP44" s="5469"/>
      <c r="AQ44" s="5469"/>
      <c r="AR44" s="5470"/>
      <c r="AS44" s="5470"/>
      <c r="AT44" s="5470"/>
      <c r="AU44" s="5470"/>
      <c r="AV44" s="5470"/>
      <c r="AW44" s="5470"/>
      <c r="AX44" s="5434" t="s">
        <v>841</v>
      </c>
      <c r="AY44" s="5435"/>
      <c r="AZ44" s="5435"/>
      <c r="BA44" s="5435"/>
      <c r="BB44" s="5435"/>
      <c r="BC44" s="5435"/>
      <c r="BD44" s="5435"/>
      <c r="BE44" s="5435"/>
      <c r="BF44" s="5435"/>
      <c r="BG44" s="5436"/>
      <c r="BH44" s="5607" t="s">
        <v>1648</v>
      </c>
      <c r="BI44" s="5608"/>
      <c r="BJ44" s="5609"/>
      <c r="BK44" s="5615" t="s">
        <v>1658</v>
      </c>
      <c r="BL44" s="5616"/>
      <c r="BM44" s="5616"/>
      <c r="BN44" s="5616"/>
      <c r="BO44" s="5616"/>
      <c r="BP44" s="5616"/>
      <c r="BQ44" s="5616"/>
      <c r="BR44" s="5616"/>
      <c r="BS44" s="5617"/>
      <c r="BT44" s="5597" t="s">
        <v>1550</v>
      </c>
      <c r="BU44" s="5598"/>
      <c r="BV44" s="5598"/>
      <c r="BW44" s="5598"/>
      <c r="BX44" s="5598"/>
      <c r="BY44" s="5598"/>
      <c r="BZ44" s="5598"/>
      <c r="CA44" s="5598"/>
      <c r="CB44" s="5598"/>
      <c r="CC44" s="5599"/>
      <c r="CD44" s="5601" t="s">
        <v>1897</v>
      </c>
      <c r="CE44" s="5602"/>
      <c r="CF44" s="5602"/>
      <c r="CG44" s="5602"/>
      <c r="CH44" s="5602"/>
      <c r="CI44" s="5602"/>
      <c r="CJ44" s="5602"/>
      <c r="CK44" s="5602"/>
      <c r="CL44" s="5603"/>
      <c r="CM44" s="5597" t="s">
        <v>1849</v>
      </c>
      <c r="CN44" s="5598"/>
      <c r="CO44" s="5598"/>
      <c r="CP44" s="5598"/>
      <c r="CQ44" s="5598"/>
      <c r="CR44" s="5598"/>
      <c r="CS44" s="5599"/>
    </row>
    <row r="45" spans="1:97" ht="20.25">
      <c r="A45" s="5514"/>
      <c r="B45" s="771"/>
      <c r="C45" s="376"/>
      <c r="D45" s="376"/>
      <c r="E45" s="376"/>
      <c r="F45" s="376"/>
      <c r="G45" s="376"/>
      <c r="H45" s="376"/>
      <c r="I45" s="376"/>
      <c r="J45" s="779"/>
      <c r="K45" s="5506" t="s">
        <v>129</v>
      </c>
      <c r="L45" s="5429"/>
      <c r="M45" s="5429"/>
      <c r="N45" s="5429"/>
      <c r="O45" s="5429" t="s">
        <v>130</v>
      </c>
      <c r="P45" s="5429"/>
      <c r="Q45" s="5429"/>
      <c r="R45" s="5429"/>
      <c r="S45" s="5428" t="s">
        <v>367</v>
      </c>
      <c r="T45" s="5428"/>
      <c r="U45" s="5428"/>
      <c r="V45" s="5428"/>
      <c r="W45" s="960"/>
      <c r="X45" s="5429" t="s">
        <v>390</v>
      </c>
      <c r="Y45" s="5429"/>
      <c r="Z45" s="5429"/>
      <c r="AA45" s="5429"/>
      <c r="AB45" s="5429" t="s">
        <v>134</v>
      </c>
      <c r="AC45" s="5429"/>
      <c r="AD45" s="5429"/>
      <c r="AE45" s="5489" t="s">
        <v>838</v>
      </c>
      <c r="AF45" s="5490"/>
      <c r="AG45" s="5491"/>
      <c r="AH45" s="5430" t="s">
        <v>129</v>
      </c>
      <c r="AI45" s="5431"/>
      <c r="AJ45" s="5431"/>
      <c r="AK45" s="5431"/>
      <c r="AL45" s="5429" t="s">
        <v>130</v>
      </c>
      <c r="AM45" s="5429"/>
      <c r="AN45" s="5429"/>
      <c r="AO45" s="5478" t="s">
        <v>367</v>
      </c>
      <c r="AP45" s="5478"/>
      <c r="AQ45" s="5478"/>
      <c r="AR45" s="5479" t="s">
        <v>390</v>
      </c>
      <c r="AS45" s="5479"/>
      <c r="AT45" s="5479"/>
      <c r="AU45" s="5507" t="s">
        <v>134</v>
      </c>
      <c r="AV45" s="5431"/>
      <c r="AW45" s="5431"/>
      <c r="AX45" s="5430" t="s">
        <v>129</v>
      </c>
      <c r="AY45" s="5431"/>
      <c r="AZ45" s="5431"/>
      <c r="BA45" s="5623"/>
      <c r="BB45" s="5624" t="s">
        <v>130</v>
      </c>
      <c r="BC45" s="5624"/>
      <c r="BD45" s="5624"/>
      <c r="BE45" s="5429" t="s">
        <v>367</v>
      </c>
      <c r="BF45" s="5429"/>
      <c r="BG45" s="5625"/>
      <c r="BH45" s="5610"/>
      <c r="BI45" s="5611"/>
      <c r="BJ45" s="5612"/>
      <c r="BK45" s="5618"/>
      <c r="BL45" s="5619"/>
      <c r="BM45" s="5619"/>
      <c r="BN45" s="5619"/>
      <c r="BO45" s="5619"/>
      <c r="BP45" s="5619"/>
      <c r="BQ45" s="5619"/>
      <c r="BR45" s="5619"/>
      <c r="BS45" s="5620"/>
      <c r="BT45" s="5432" t="s">
        <v>129</v>
      </c>
      <c r="BU45" s="5433"/>
      <c r="BV45" s="5433"/>
      <c r="BW45" s="5600"/>
      <c r="BX45" s="5433" t="s">
        <v>130</v>
      </c>
      <c r="BY45" s="5433"/>
      <c r="BZ45" s="5433"/>
      <c r="CA45" s="5613" t="s">
        <v>367</v>
      </c>
      <c r="CB45" s="5613"/>
      <c r="CC45" s="5614"/>
      <c r="CD45" s="5604" t="s">
        <v>598</v>
      </c>
      <c r="CE45" s="5605"/>
      <c r="CF45" s="5605"/>
      <c r="CG45" s="5605" t="s">
        <v>229</v>
      </c>
      <c r="CH45" s="5605"/>
      <c r="CI45" s="5605"/>
      <c r="CJ45" s="5605" t="s">
        <v>1899</v>
      </c>
      <c r="CK45" s="5605"/>
      <c r="CL45" s="5606"/>
      <c r="CM45" s="5432" t="s">
        <v>129</v>
      </c>
      <c r="CN45" s="5433"/>
      <c r="CO45" s="5433"/>
      <c r="CP45" s="5600"/>
      <c r="CQ45" s="5433" t="s">
        <v>130</v>
      </c>
      <c r="CR45" s="5433"/>
      <c r="CS45" s="5510"/>
    </row>
    <row r="46" spans="1:97" ht="18" customHeight="1">
      <c r="A46" s="5514"/>
      <c r="B46" s="771"/>
      <c r="C46" s="376"/>
      <c r="D46" s="376"/>
      <c r="E46" s="376"/>
      <c r="F46" s="376"/>
      <c r="G46" s="376"/>
      <c r="H46" s="376"/>
      <c r="I46" s="376"/>
      <c r="J46" s="779"/>
      <c r="K46" s="961" t="s">
        <v>118</v>
      </c>
      <c r="L46" s="5426" t="s">
        <v>839</v>
      </c>
      <c r="M46" s="5426" t="s">
        <v>102</v>
      </c>
      <c r="N46" s="5426" t="s">
        <v>102</v>
      </c>
      <c r="O46" s="955" t="s">
        <v>118</v>
      </c>
      <c r="P46" s="5426" t="s">
        <v>839</v>
      </c>
      <c r="Q46" s="5426" t="s">
        <v>102</v>
      </c>
      <c r="R46" s="5426" t="s">
        <v>243</v>
      </c>
      <c r="S46" s="5428"/>
      <c r="T46" s="5428"/>
      <c r="U46" s="5428"/>
      <c r="V46" s="5428"/>
      <c r="W46" s="955"/>
      <c r="X46" s="955" t="s">
        <v>118</v>
      </c>
      <c r="Y46" s="5426" t="s">
        <v>839</v>
      </c>
      <c r="Z46" s="5426" t="s">
        <v>102</v>
      </c>
      <c r="AA46" s="5426" t="s">
        <v>102</v>
      </c>
      <c r="AB46" s="955" t="s">
        <v>118</v>
      </c>
      <c r="AC46" s="5426" t="s">
        <v>839</v>
      </c>
      <c r="AD46" s="5426" t="s">
        <v>102</v>
      </c>
      <c r="AE46" s="997" t="s">
        <v>118</v>
      </c>
      <c r="AF46" s="5475" t="s">
        <v>839</v>
      </c>
      <c r="AG46" s="5427" t="s">
        <v>102</v>
      </c>
      <c r="AH46" s="961" t="s">
        <v>118</v>
      </c>
      <c r="AI46" s="5426" t="s">
        <v>839</v>
      </c>
      <c r="AJ46" s="5426" t="s">
        <v>102</v>
      </c>
      <c r="AK46" s="5426" t="s">
        <v>395</v>
      </c>
      <c r="AL46" s="955" t="s">
        <v>118</v>
      </c>
      <c r="AM46" s="5426" t="s">
        <v>839</v>
      </c>
      <c r="AN46" s="5426" t="s">
        <v>102</v>
      </c>
      <c r="AO46" s="5425" t="s">
        <v>845</v>
      </c>
      <c r="AP46" s="5425"/>
      <c r="AQ46" s="5425"/>
      <c r="AR46" s="986" t="s">
        <v>118</v>
      </c>
      <c r="AS46" s="5425" t="s">
        <v>839</v>
      </c>
      <c r="AT46" s="5425" t="s">
        <v>102</v>
      </c>
      <c r="AU46" s="985" t="s">
        <v>118</v>
      </c>
      <c r="AV46" s="5426" t="s">
        <v>839</v>
      </c>
      <c r="AW46" s="5426" t="s">
        <v>102</v>
      </c>
      <c r="AX46" s="961" t="s">
        <v>118</v>
      </c>
      <c r="AY46" s="5426" t="s">
        <v>839</v>
      </c>
      <c r="AZ46" s="5426" t="s">
        <v>102</v>
      </c>
      <c r="BA46" s="5426" t="s">
        <v>395</v>
      </c>
      <c r="BB46" s="962" t="s">
        <v>118</v>
      </c>
      <c r="BC46" s="5426" t="s">
        <v>839</v>
      </c>
      <c r="BD46" s="5426" t="s">
        <v>102</v>
      </c>
      <c r="BE46" s="5426" t="s">
        <v>845</v>
      </c>
      <c r="BF46" s="5426"/>
      <c r="BG46" s="5633"/>
      <c r="BH46" s="2797" t="s">
        <v>118</v>
      </c>
      <c r="BI46" s="5588" t="s">
        <v>839</v>
      </c>
      <c r="BJ46" s="5589" t="s">
        <v>102</v>
      </c>
      <c r="BK46" s="2728" t="s">
        <v>118</v>
      </c>
      <c r="BL46" s="5453" t="s">
        <v>839</v>
      </c>
      <c r="BM46" s="5453" t="s">
        <v>102</v>
      </c>
      <c r="BN46" s="2729" t="s">
        <v>118</v>
      </c>
      <c r="BO46" s="5453" t="s">
        <v>839</v>
      </c>
      <c r="BP46" s="5453" t="s">
        <v>102</v>
      </c>
      <c r="BQ46" s="2729" t="s">
        <v>118</v>
      </c>
      <c r="BR46" s="5453" t="s">
        <v>839</v>
      </c>
      <c r="BS46" s="5634" t="s">
        <v>102</v>
      </c>
      <c r="BT46" s="3472" t="s">
        <v>118</v>
      </c>
      <c r="BU46" s="5449" t="s">
        <v>839</v>
      </c>
      <c r="BV46" s="5449" t="s">
        <v>102</v>
      </c>
      <c r="BW46" s="5449" t="s">
        <v>395</v>
      </c>
      <c r="BX46" s="3928" t="s">
        <v>118</v>
      </c>
      <c r="BY46" s="5449" t="s">
        <v>839</v>
      </c>
      <c r="BZ46" s="5449" t="s">
        <v>102</v>
      </c>
      <c r="CA46" s="5449" t="s">
        <v>845</v>
      </c>
      <c r="CB46" s="5449"/>
      <c r="CC46" s="5439"/>
      <c r="CD46" s="4210" t="s">
        <v>118</v>
      </c>
      <c r="CE46" s="5521" t="s">
        <v>839</v>
      </c>
      <c r="CF46" s="5521" t="s">
        <v>102</v>
      </c>
      <c r="CG46" s="4211" t="s">
        <v>118</v>
      </c>
      <c r="CH46" s="5521" t="s">
        <v>839</v>
      </c>
      <c r="CI46" s="5521" t="s">
        <v>102</v>
      </c>
      <c r="CJ46" s="4211" t="s">
        <v>118</v>
      </c>
      <c r="CK46" s="5521" t="s">
        <v>839</v>
      </c>
      <c r="CL46" s="5522" t="s">
        <v>102</v>
      </c>
      <c r="CM46" s="3472" t="s">
        <v>118</v>
      </c>
      <c r="CN46" s="5449" t="s">
        <v>839</v>
      </c>
      <c r="CO46" s="5449" t="s">
        <v>102</v>
      </c>
      <c r="CP46" s="5449" t="s">
        <v>395</v>
      </c>
      <c r="CQ46" s="4105" t="s">
        <v>118</v>
      </c>
      <c r="CR46" s="5449" t="s">
        <v>839</v>
      </c>
      <c r="CS46" s="5439" t="s">
        <v>102</v>
      </c>
    </row>
    <row r="47" spans="1:97" ht="37.5" customHeight="1">
      <c r="A47" s="5514"/>
      <c r="B47" s="771"/>
      <c r="C47" s="376"/>
      <c r="D47" s="376"/>
      <c r="E47" s="376"/>
      <c r="F47" s="376"/>
      <c r="G47" s="376"/>
      <c r="H47" s="376"/>
      <c r="I47" s="376"/>
      <c r="J47" s="779"/>
      <c r="K47" s="961" t="s">
        <v>232</v>
      </c>
      <c r="L47" s="5426"/>
      <c r="M47" s="5426"/>
      <c r="N47" s="5426"/>
      <c r="O47" s="955" t="s">
        <v>232</v>
      </c>
      <c r="P47" s="5426"/>
      <c r="Q47" s="5426"/>
      <c r="R47" s="5426"/>
      <c r="S47" s="955" t="s">
        <v>118</v>
      </c>
      <c r="T47" s="955" t="s">
        <v>376</v>
      </c>
      <c r="U47" s="955"/>
      <c r="V47" s="955" t="s">
        <v>102</v>
      </c>
      <c r="W47" s="955"/>
      <c r="X47" s="955" t="s">
        <v>232</v>
      </c>
      <c r="Y47" s="5426"/>
      <c r="Z47" s="5426"/>
      <c r="AA47" s="5426"/>
      <c r="AB47" s="955" t="s">
        <v>232</v>
      </c>
      <c r="AC47" s="5426"/>
      <c r="AD47" s="5426"/>
      <c r="AE47" s="997" t="s">
        <v>232</v>
      </c>
      <c r="AF47" s="5475"/>
      <c r="AG47" s="5427"/>
      <c r="AH47" s="961" t="s">
        <v>232</v>
      </c>
      <c r="AI47" s="5426"/>
      <c r="AJ47" s="5426"/>
      <c r="AK47" s="5426"/>
      <c r="AL47" s="955" t="s">
        <v>232</v>
      </c>
      <c r="AM47" s="5426"/>
      <c r="AN47" s="5426"/>
      <c r="AO47" s="986" t="s">
        <v>118</v>
      </c>
      <c r="AP47" s="986" t="s">
        <v>376</v>
      </c>
      <c r="AQ47" s="986" t="s">
        <v>102</v>
      </c>
      <c r="AR47" s="986" t="s">
        <v>232</v>
      </c>
      <c r="AS47" s="5425"/>
      <c r="AT47" s="5425"/>
      <c r="AU47" s="985" t="s">
        <v>232</v>
      </c>
      <c r="AV47" s="5426"/>
      <c r="AW47" s="5426"/>
      <c r="AX47" s="961" t="s">
        <v>232</v>
      </c>
      <c r="AY47" s="5426"/>
      <c r="AZ47" s="5426"/>
      <c r="BA47" s="5426"/>
      <c r="BB47" s="962" t="s">
        <v>232</v>
      </c>
      <c r="BC47" s="5426"/>
      <c r="BD47" s="5426"/>
      <c r="BE47" s="962" t="s">
        <v>118</v>
      </c>
      <c r="BF47" s="962" t="s">
        <v>376</v>
      </c>
      <c r="BG47" s="979" t="s">
        <v>102</v>
      </c>
      <c r="BH47" s="2797" t="s">
        <v>232</v>
      </c>
      <c r="BI47" s="5588"/>
      <c r="BJ47" s="5589"/>
      <c r="BK47" s="2728" t="s">
        <v>232</v>
      </c>
      <c r="BL47" s="5453"/>
      <c r="BM47" s="5453"/>
      <c r="BN47" s="2729" t="s">
        <v>232</v>
      </c>
      <c r="BO47" s="5453"/>
      <c r="BP47" s="5453"/>
      <c r="BQ47" s="2729" t="s">
        <v>232</v>
      </c>
      <c r="BR47" s="5453"/>
      <c r="BS47" s="5634"/>
      <c r="BT47" s="3472" t="s">
        <v>232</v>
      </c>
      <c r="BU47" s="5449"/>
      <c r="BV47" s="5449"/>
      <c r="BW47" s="5449"/>
      <c r="BX47" s="3928" t="s">
        <v>232</v>
      </c>
      <c r="BY47" s="5449"/>
      <c r="BZ47" s="5449"/>
      <c r="CA47" s="3928" t="s">
        <v>118</v>
      </c>
      <c r="CB47" s="3928" t="s">
        <v>376</v>
      </c>
      <c r="CC47" s="3929" t="s">
        <v>102</v>
      </c>
      <c r="CD47" s="4210" t="s">
        <v>232</v>
      </c>
      <c r="CE47" s="5521"/>
      <c r="CF47" s="5521"/>
      <c r="CG47" s="4211" t="s">
        <v>232</v>
      </c>
      <c r="CH47" s="5521"/>
      <c r="CI47" s="5521"/>
      <c r="CJ47" s="4211" t="s">
        <v>232</v>
      </c>
      <c r="CK47" s="5521"/>
      <c r="CL47" s="5522"/>
      <c r="CM47" s="3472" t="s">
        <v>232</v>
      </c>
      <c r="CN47" s="5449"/>
      <c r="CO47" s="5449"/>
      <c r="CP47" s="5449"/>
      <c r="CQ47" s="4105" t="s">
        <v>232</v>
      </c>
      <c r="CR47" s="5449"/>
      <c r="CS47" s="5439"/>
    </row>
    <row r="48" spans="1:97" ht="30" customHeight="1">
      <c r="A48" s="973" t="s">
        <v>139</v>
      </c>
      <c r="B48" s="771"/>
      <c r="C48" s="376"/>
      <c r="D48" s="376"/>
      <c r="E48" s="376"/>
      <c r="F48" s="376"/>
      <c r="G48" s="376"/>
      <c r="H48" s="376"/>
      <c r="I48" s="376"/>
      <c r="J48" s="779"/>
      <c r="K48" s="963">
        <v>5.75</v>
      </c>
      <c r="L48" s="964">
        <v>1091.2</v>
      </c>
      <c r="M48" s="956">
        <f>L48*K48</f>
        <v>6274.4000000000005</v>
      </c>
      <c r="N48" s="964">
        <f>K48*M48</f>
        <v>36077.800000000003</v>
      </c>
      <c r="O48" s="957">
        <v>5.5810000000000004</v>
      </c>
      <c r="P48" s="851">
        <f>Q56*Q57</f>
        <v>808.97481109618491</v>
      </c>
      <c r="Q48" s="851">
        <f>O48*P48</f>
        <v>4514.8884207278079</v>
      </c>
      <c r="R48" s="965"/>
      <c r="S48" s="957">
        <f>O48-K48</f>
        <v>-0.16899999999999959</v>
      </c>
      <c r="T48" s="960">
        <f>P48-L48</f>
        <v>-282.22518890381514</v>
      </c>
      <c r="U48" s="965"/>
      <c r="V48" s="960">
        <f>Q48-M48</f>
        <v>-1759.5115792721926</v>
      </c>
      <c r="W48" s="965"/>
      <c r="X48" s="957">
        <v>4.9657999999999998</v>
      </c>
      <c r="Y48" s="964">
        <v>505.33199999999999</v>
      </c>
      <c r="Z48" s="956">
        <v>2509.4</v>
      </c>
      <c r="AA48" s="964">
        <f>X48*Z48</f>
        <v>12461.178519999999</v>
      </c>
      <c r="AB48" s="957">
        <f t="shared" ref="AB48:AB55" si="3">AD48/AC48</f>
        <v>4.9915147295592019</v>
      </c>
      <c r="AC48" s="964">
        <v>689.43</v>
      </c>
      <c r="AD48" s="956">
        <v>3441.3</v>
      </c>
      <c r="AE48" s="998">
        <f>SUM(AG48/AF48)</f>
        <v>5.007427152968611</v>
      </c>
      <c r="AF48" s="999">
        <v>910.84699999999998</v>
      </c>
      <c r="AG48" s="421">
        <v>4561</v>
      </c>
      <c r="AH48" s="963">
        <v>5.5810000000000004</v>
      </c>
      <c r="AI48" s="964">
        <v>846.8</v>
      </c>
      <c r="AJ48" s="851">
        <f>4962.29</f>
        <v>4962.29</v>
      </c>
      <c r="AK48" s="964"/>
      <c r="AL48" s="957">
        <f>K74*1.028</f>
        <v>5.2037132396875592</v>
      </c>
      <c r="AM48" s="851">
        <f>AN56*AN57</f>
        <v>883.18331415423415</v>
      </c>
      <c r="AN48" s="851">
        <f>AL48*AM48</f>
        <v>4595.8327049355248</v>
      </c>
      <c r="AO48" s="987">
        <f t="shared" ref="AO48:AQ50" si="4">AL48-AH48</f>
        <v>-0.37728676031244124</v>
      </c>
      <c r="AP48" s="988">
        <f t="shared" si="4"/>
        <v>36.383314154234199</v>
      </c>
      <c r="AQ48" s="988">
        <f t="shared" si="4"/>
        <v>-366.45729506447515</v>
      </c>
      <c r="AR48" s="987">
        <f>SUM(AT48/AS48)</f>
        <v>4.9360225547603553</v>
      </c>
      <c r="AS48" s="989">
        <v>414.99</v>
      </c>
      <c r="AT48" s="990">
        <v>2048.4</v>
      </c>
      <c r="AU48" s="987">
        <f>SUM(AW48/AV48)</f>
        <v>5.0309675458654715</v>
      </c>
      <c r="AV48" s="2460">
        <v>546.21699999999998</v>
      </c>
      <c r="AW48" s="1963">
        <v>2748</v>
      </c>
      <c r="AX48" s="1005">
        <f>SUM(AL48*1.1)</f>
        <v>5.7240845636563158</v>
      </c>
      <c r="AY48" s="998">
        <v>910.85</v>
      </c>
      <c r="AZ48" s="999">
        <f>SUM(AX48*AY48)</f>
        <v>5213.7824248063553</v>
      </c>
      <c r="BA48" s="1006">
        <f>SUM(AZ48/AN48)</f>
        <v>1.1344587062986879</v>
      </c>
      <c r="BB48" s="2451">
        <f>(AU65+AU65*1.06)/2</f>
        <v>5.4911565455279785</v>
      </c>
      <c r="BC48" s="2459">
        <f>BD56*BD57</f>
        <v>703.79138799999998</v>
      </c>
      <c r="BD48" s="1009">
        <f>BC48*BB48</f>
        <v>3864.6286869024211</v>
      </c>
      <c r="BE48" s="957">
        <f t="shared" ref="BE48:BE54" si="5">BB48-AX48</f>
        <v>-0.2329280181283373</v>
      </c>
      <c r="BF48" s="960">
        <f t="shared" ref="BF48:BF54" si="6">BC48-AY48</f>
        <v>-207.05861200000004</v>
      </c>
      <c r="BG48" s="980">
        <f t="shared" ref="BG48:BG54" si="7">BD48-AZ48</f>
        <v>-1349.1537379039341</v>
      </c>
      <c r="BH48" s="2798">
        <f>SUM(BJ48/BI48)</f>
        <v>5.137487369484675</v>
      </c>
      <c r="BI48" s="2799">
        <v>742.25</v>
      </c>
      <c r="BJ48" s="2800">
        <v>3813.3</v>
      </c>
      <c r="BK48" s="2740">
        <f>SUM(BM48/BL48)</f>
        <v>2.4988840685106704</v>
      </c>
      <c r="BL48" s="2733">
        <v>398.77</v>
      </c>
      <c r="BM48" s="2732">
        <v>996.48</v>
      </c>
      <c r="BN48" s="2730">
        <f>SUM(BP48/BO48)</f>
        <v>2.4608424138150768</v>
      </c>
      <c r="BO48" s="2733">
        <v>549.255</v>
      </c>
      <c r="BP48" s="2732">
        <v>1351.63</v>
      </c>
      <c r="BQ48" s="3418">
        <f>SUM(BS48/BR48)</f>
        <v>2.4452635206706232</v>
      </c>
      <c r="BR48" s="3418">
        <v>789.23599999999999</v>
      </c>
      <c r="BS48" s="3419">
        <v>1929.89</v>
      </c>
      <c r="BT48" s="3438">
        <f>SUM(BB48*1.1)</f>
        <v>6.0402722000807767</v>
      </c>
      <c r="BU48" s="3421">
        <f>BV56*BV57</f>
        <v>698.89499999999998</v>
      </c>
      <c r="BV48" s="3439">
        <f>BU48*BT48</f>
        <v>4221.5160392754542</v>
      </c>
      <c r="BW48" s="3440">
        <f>SUM(BV48/BD48)</f>
        <v>1.0923471260208146</v>
      </c>
      <c r="BX48" s="3418">
        <f>SUM(BZ48/BY48)</f>
        <v>5.6443833236826872</v>
      </c>
      <c r="BY48" s="3421">
        <v>690.8</v>
      </c>
      <c r="BZ48" s="3439">
        <v>3899.14</v>
      </c>
      <c r="CA48" s="3418">
        <f t="shared" ref="CA48" si="8">BX48-BT48</f>
        <v>-0.39588887639808945</v>
      </c>
      <c r="CB48" s="3421">
        <f t="shared" ref="CB48" si="9">BY48-BU48</f>
        <v>-8.0950000000000273</v>
      </c>
      <c r="CC48" s="3957">
        <f t="shared" ref="CC48" si="10">BZ48-BV48</f>
        <v>-322.37603927545433</v>
      </c>
      <c r="CD48" s="4205">
        <f>SUM(CF48/CE48)</f>
        <v>4.4581943593583366</v>
      </c>
      <c r="CE48" s="4204">
        <v>440.73</v>
      </c>
      <c r="CF48" s="3952">
        <v>1964.86</v>
      </c>
      <c r="CG48" s="4204">
        <f>SUM(CI48/CH48)</f>
        <v>4.5777549648332512</v>
      </c>
      <c r="CH48" s="4204">
        <v>635.11699999999996</v>
      </c>
      <c r="CI48" s="3952">
        <v>2907.41</v>
      </c>
      <c r="CJ48" s="4204">
        <f>SUM((CD48+(CI48-CF48)/(CH48-CE48))/2)</f>
        <v>4.6535134215060401</v>
      </c>
      <c r="CK48" s="4204">
        <f>SUM(CH48/9*12)</f>
        <v>846.82266666666658</v>
      </c>
      <c r="CL48" s="3606">
        <f>SUM(CJ48*CK48)</f>
        <v>3940.7006449688683</v>
      </c>
      <c r="CM48" s="3438">
        <f>SUM(5.835+5.835*1.07)/2</f>
        <v>6.0392250000000001</v>
      </c>
      <c r="CN48" s="3421">
        <f>CO56*CO57</f>
        <v>690.68</v>
      </c>
      <c r="CO48" s="3439">
        <f>CN48*CM48</f>
        <v>4171.1719229999999</v>
      </c>
      <c r="CP48" s="3440">
        <f>SUM(CO48/BN48)</f>
        <v>1695.017892890336</v>
      </c>
      <c r="CQ48" s="3960">
        <f>SUM(5.8356+5.8355*1.07)/2</f>
        <v>6.0397925000000008</v>
      </c>
      <c r="CR48" s="4397">
        <f>CS56*CS57</f>
        <v>660.458844</v>
      </c>
      <c r="CS48" s="4396">
        <f>CR48*CQ48</f>
        <v>3989.0343725498706</v>
      </c>
    </row>
    <row r="49" spans="1:97" ht="30" customHeight="1">
      <c r="A49" s="1808" t="s">
        <v>1584</v>
      </c>
      <c r="B49" s="1809"/>
      <c r="C49" s="1810"/>
      <c r="D49" s="1810"/>
      <c r="E49" s="1810"/>
      <c r="F49" s="1810"/>
      <c r="G49" s="1810"/>
      <c r="H49" s="1810"/>
      <c r="I49" s="1810"/>
      <c r="J49" s="1811"/>
      <c r="K49" s="1812"/>
      <c r="L49" s="1813"/>
      <c r="M49" s="1814"/>
      <c r="N49" s="1813"/>
      <c r="O49" s="1815"/>
      <c r="P49" s="1816"/>
      <c r="Q49" s="1816"/>
      <c r="R49" s="1817"/>
      <c r="S49" s="1815"/>
      <c r="T49" s="1818"/>
      <c r="U49" s="1817"/>
      <c r="V49" s="1818"/>
      <c r="W49" s="1817"/>
      <c r="X49" s="1815"/>
      <c r="Y49" s="1813"/>
      <c r="Z49" s="1814"/>
      <c r="AA49" s="1813"/>
      <c r="AB49" s="1815"/>
      <c r="AC49" s="1813"/>
      <c r="AD49" s="1814"/>
      <c r="AE49" s="1819"/>
      <c r="AF49" s="1820"/>
      <c r="AG49" s="1821"/>
      <c r="AH49" s="1812"/>
      <c r="AI49" s="1813"/>
      <c r="AJ49" s="1816"/>
      <c r="AK49" s="1813"/>
      <c r="AL49" s="1815"/>
      <c r="AM49" s="1816"/>
      <c r="AN49" s="1816"/>
      <c r="AO49" s="1815"/>
      <c r="AP49" s="1818"/>
      <c r="AQ49" s="1818"/>
      <c r="AR49" s="1815"/>
      <c r="AS49" s="1813"/>
      <c r="AT49" s="1816">
        <v>132.9</v>
      </c>
      <c r="AU49" s="1815"/>
      <c r="AV49" s="1962"/>
      <c r="AW49" s="1963">
        <v>205.8</v>
      </c>
      <c r="AX49" s="1822"/>
      <c r="AY49" s="1819"/>
      <c r="AZ49" s="1820"/>
      <c r="BA49" s="1823"/>
      <c r="BB49" s="2452"/>
      <c r="BC49" s="2453"/>
      <c r="BD49" s="1820"/>
      <c r="BE49" s="1815"/>
      <c r="BF49" s="1818"/>
      <c r="BG49" s="1824"/>
      <c r="BH49" s="2798"/>
      <c r="BI49" s="2801"/>
      <c r="BJ49" s="2800">
        <v>258.7</v>
      </c>
      <c r="BK49" s="2740"/>
      <c r="BL49" s="2731"/>
      <c r="BM49" s="2732"/>
      <c r="BN49" s="2730"/>
      <c r="BO49" s="2731"/>
      <c r="BP49" s="2732"/>
      <c r="BQ49" s="3418"/>
      <c r="BR49" s="3420"/>
      <c r="BS49" s="3419"/>
      <c r="BT49" s="3438"/>
      <c r="BU49" s="3421"/>
      <c r="BV49" s="3439"/>
      <c r="BW49" s="3440"/>
      <c r="BX49" s="3418"/>
      <c r="BY49" s="3420"/>
      <c r="BZ49" s="3439"/>
      <c r="CA49" s="3418"/>
      <c r="CB49" s="3421"/>
      <c r="CC49" s="3957"/>
      <c r="CD49" s="4205"/>
      <c r="CE49" s="4202"/>
      <c r="CF49" s="3952"/>
      <c r="CG49" s="4204"/>
      <c r="CH49" s="4202"/>
      <c r="CI49" s="3952"/>
      <c r="CJ49" s="4204"/>
      <c r="CK49" s="4202"/>
      <c r="CL49" s="3606"/>
      <c r="CM49" s="3438"/>
      <c r="CN49" s="3421"/>
      <c r="CO49" s="3439"/>
      <c r="CP49" s="3440"/>
      <c r="CQ49" s="3418"/>
      <c r="CR49" s="3421"/>
      <c r="CS49" s="3419"/>
    </row>
    <row r="50" spans="1:97" ht="30" customHeight="1">
      <c r="A50" s="973" t="s">
        <v>140</v>
      </c>
      <c r="B50" s="771"/>
      <c r="C50" s="376"/>
      <c r="D50" s="376"/>
      <c r="E50" s="376"/>
      <c r="F50" s="376"/>
      <c r="G50" s="376"/>
      <c r="H50" s="376"/>
      <c r="I50" s="376"/>
      <c r="J50" s="779"/>
      <c r="K50" s="963">
        <v>4.55</v>
      </c>
      <c r="L50" s="964">
        <v>1754.8</v>
      </c>
      <c r="M50" s="956">
        <f>L50*K50</f>
        <v>7984.3399999999992</v>
      </c>
      <c r="N50" s="964">
        <f>K50*M50</f>
        <v>36328.746999999996</v>
      </c>
      <c r="O50" s="957">
        <v>4.5730000000000004</v>
      </c>
      <c r="P50" s="851">
        <f>Q58*Q59</f>
        <v>1337.6993677016787</v>
      </c>
      <c r="Q50" s="851">
        <f>O50*P50</f>
        <v>6117.2992084997777</v>
      </c>
      <c r="R50" s="965"/>
      <c r="S50" s="957">
        <f>O50-K50</f>
        <v>2.3000000000000576E-2</v>
      </c>
      <c r="T50" s="960">
        <f>P50-L50</f>
        <v>-417.10063229832122</v>
      </c>
      <c r="U50" s="965"/>
      <c r="V50" s="960">
        <f t="shared" ref="V50:V62" si="11">Q50-M50</f>
        <v>-1867.0407915002215</v>
      </c>
      <c r="W50" s="965"/>
      <c r="X50" s="957">
        <v>3.9638</v>
      </c>
      <c r="Y50" s="964">
        <v>820.02</v>
      </c>
      <c r="Z50" s="956">
        <v>3250.4</v>
      </c>
      <c r="AA50" s="964">
        <f>X50*Z50</f>
        <v>12883.935520000001</v>
      </c>
      <c r="AB50" s="957">
        <f t="shared" si="3"/>
        <v>4.0118462507876496</v>
      </c>
      <c r="AC50" s="964">
        <v>1190.25</v>
      </c>
      <c r="AD50" s="956">
        <v>4775.1000000000004</v>
      </c>
      <c r="AE50" s="998">
        <f>SUM(AG50/AF50)</f>
        <v>4.0205962981621663</v>
      </c>
      <c r="AF50" s="999">
        <v>1528.43</v>
      </c>
      <c r="AG50" s="421">
        <v>6145.2</v>
      </c>
      <c r="AH50" s="963">
        <v>4.5730000000000004</v>
      </c>
      <c r="AI50" s="964">
        <v>1387.6</v>
      </c>
      <c r="AJ50" s="851">
        <v>6662.8</v>
      </c>
      <c r="AK50" s="964"/>
      <c r="AL50" s="957">
        <f>K76*1.028</f>
        <v>4.2335618399373365</v>
      </c>
      <c r="AM50" s="851">
        <f>AN58*AN59</f>
        <v>1220.7907457602632</v>
      </c>
      <c r="AN50" s="851">
        <f>AL50*AM50</f>
        <v>5168.2931157992934</v>
      </c>
      <c r="AO50" s="987">
        <f t="shared" si="4"/>
        <v>-0.33943816006266392</v>
      </c>
      <c r="AP50" s="988">
        <f t="shared" si="4"/>
        <v>-166.80925423973667</v>
      </c>
      <c r="AQ50" s="988">
        <f t="shared" si="4"/>
        <v>-1494.5068842007067</v>
      </c>
      <c r="AR50" s="987">
        <f>SUM(AT50/AS50)</f>
        <v>3.819503849443969</v>
      </c>
      <c r="AS50" s="989">
        <v>678.02</v>
      </c>
      <c r="AT50" s="990">
        <v>2589.6999999999998</v>
      </c>
      <c r="AU50" s="987">
        <f>SUM(AW50/AV50)</f>
        <v>3.9526209082140822</v>
      </c>
      <c r="AV50" s="2460">
        <v>1016.06</v>
      </c>
      <c r="AW50" s="1963">
        <v>4016.1</v>
      </c>
      <c r="AX50" s="1005">
        <f>SUM(AL50*1.1)</f>
        <v>4.6569180239310706</v>
      </c>
      <c r="AY50" s="998">
        <v>1528.43</v>
      </c>
      <c r="AZ50" s="999">
        <f>SUM(AX50*AY50)</f>
        <v>7117.7732153169663</v>
      </c>
      <c r="BA50" s="1006">
        <f>SUM(AZ50/AN50)</f>
        <v>1.3771999876628862</v>
      </c>
      <c r="BB50" s="2451">
        <f>(AU67+AU67*1.06)/2</f>
        <v>4.3462075494024379</v>
      </c>
      <c r="BC50" s="2459">
        <f>BD58*BD59</f>
        <v>1237.0113330000001</v>
      </c>
      <c r="BD50" s="1009">
        <f>BC50*BB50</f>
        <v>5376.3079941809738</v>
      </c>
      <c r="BE50" s="957">
        <f t="shared" si="5"/>
        <v>-0.31071047452863265</v>
      </c>
      <c r="BF50" s="960">
        <f t="shared" si="6"/>
        <v>-291.41866699999991</v>
      </c>
      <c r="BG50" s="980">
        <f t="shared" si="7"/>
        <v>-1741.4652211359926</v>
      </c>
      <c r="BH50" s="2798">
        <f>SUM(BJ50/BI50)</f>
        <v>4.0982880444335077</v>
      </c>
      <c r="BI50" s="2799">
        <v>1422.35</v>
      </c>
      <c r="BJ50" s="2800">
        <v>5829.2</v>
      </c>
      <c r="BK50" s="2740">
        <f>SUM(BM50/BL50)</f>
        <v>5.4724165850946838</v>
      </c>
      <c r="BL50" s="2733">
        <v>827.49</v>
      </c>
      <c r="BM50" s="2732">
        <v>4528.37</v>
      </c>
      <c r="BN50" s="2730">
        <f>SUM(BP50/BO50)</f>
        <v>5.5201098083991447</v>
      </c>
      <c r="BO50" s="2733">
        <v>1135.068</v>
      </c>
      <c r="BP50" s="2732">
        <v>6265.7</v>
      </c>
      <c r="BQ50" s="3418">
        <f>SUM(BS50/BR50)</f>
        <v>5.6195698256871598</v>
      </c>
      <c r="BR50" s="3421">
        <v>1516.6410000000001</v>
      </c>
      <c r="BS50" s="3419">
        <v>8522.8700000000008</v>
      </c>
      <c r="BT50" s="3438">
        <f>SUM(BB50*1.1)</f>
        <v>4.7808283043426822</v>
      </c>
      <c r="BU50" s="3421">
        <f>BV58*BV59</f>
        <v>1179.3262500000001</v>
      </c>
      <c r="BV50" s="3439">
        <f>BU50*BT50</f>
        <v>5638.1563160543146</v>
      </c>
      <c r="BW50" s="3440">
        <f>SUM(BV50/BD50)</f>
        <v>1.0487041148231744</v>
      </c>
      <c r="BX50" s="3418">
        <f>SUM(BZ50/BY50)</f>
        <v>4.3116761988561372</v>
      </c>
      <c r="BY50" s="3421">
        <v>1136.5</v>
      </c>
      <c r="BZ50" s="3439">
        <v>4900.22</v>
      </c>
      <c r="CA50" s="3418">
        <f t="shared" ref="CA50:CA52" si="12">BX50-BT50</f>
        <v>-0.46915210548654507</v>
      </c>
      <c r="CB50" s="3421">
        <f t="shared" ref="CB50:CB52" si="13">BY50-BU50</f>
        <v>-42.826250000000073</v>
      </c>
      <c r="CC50" s="3957">
        <f t="shared" ref="CC50:CC52" si="14">BZ50-BV50</f>
        <v>-737.93631605431437</v>
      </c>
      <c r="CD50" s="4205">
        <f>SUM(CF50/CE50)</f>
        <v>4.4501865744342641</v>
      </c>
      <c r="CE50" s="4203">
        <v>744.20699999999999</v>
      </c>
      <c r="CF50" s="3952">
        <v>3311.86</v>
      </c>
      <c r="CG50" s="4204">
        <f>SUM(CI50/CH50)</f>
        <v>4.5872281919579541</v>
      </c>
      <c r="CH50" s="4203">
        <v>1131.7270000000001</v>
      </c>
      <c r="CI50" s="3952">
        <v>5191.49</v>
      </c>
      <c r="CJ50" s="4204">
        <f>SUM((CD50+(CI50-CF50)/(CH50-CE50))/2)</f>
        <v>4.6502971476630437</v>
      </c>
      <c r="CK50" s="4203">
        <f>SUM(CH50/9*12)</f>
        <v>1508.9693333333335</v>
      </c>
      <c r="CL50" s="3606">
        <f>SUM(CJ50*CK50)</f>
        <v>7017.155786711005</v>
      </c>
      <c r="CM50" s="3438">
        <f>SUM(4.458+4.458*1.07)/2</f>
        <v>4.6140300000000005</v>
      </c>
      <c r="CN50" s="3421">
        <f>CO58*CO59</f>
        <v>1121.67</v>
      </c>
      <c r="CO50" s="3439">
        <f>CN50*CM50</f>
        <v>5175.4190301000008</v>
      </c>
      <c r="CP50" s="3440">
        <f>SUM(CO50/BN50)</f>
        <v>937.55726058661401</v>
      </c>
      <c r="CQ50" s="3960">
        <f>SUM(4.45762+4.45762*1.07)/2</f>
        <v>4.6136367000000007</v>
      </c>
      <c r="CR50" s="4398">
        <f>CS58*CS59</f>
        <v>1091.3868460000001</v>
      </c>
      <c r="CS50" s="4396">
        <f>CR50*CQ50</f>
        <v>5035.2624066028493</v>
      </c>
    </row>
    <row r="51" spans="1:97" ht="30" customHeight="1">
      <c r="A51" s="974" t="s">
        <v>141</v>
      </c>
      <c r="B51" s="771"/>
      <c r="C51" s="376"/>
      <c r="D51" s="376"/>
      <c r="E51" s="376"/>
      <c r="F51" s="376"/>
      <c r="G51" s="376"/>
      <c r="H51" s="376"/>
      <c r="I51" s="376"/>
      <c r="J51" s="779"/>
      <c r="K51" s="966">
        <f>M51/L51</f>
        <v>5.0100983836964161</v>
      </c>
      <c r="L51" s="857">
        <f>L48+L50</f>
        <v>2846</v>
      </c>
      <c r="M51" s="857">
        <f>SUM(M48:M50)</f>
        <v>14258.74</v>
      </c>
      <c r="N51" s="967">
        <f>SUM(N48:N50)</f>
        <v>72406.546999999991</v>
      </c>
      <c r="O51" s="968">
        <f>Q51/P51</f>
        <v>4.9528651037213312</v>
      </c>
      <c r="P51" s="857">
        <f>P48+P50</f>
        <v>2146.6741787978635</v>
      </c>
      <c r="Q51" s="857">
        <f>Q48+Q50</f>
        <v>10632.187629227585</v>
      </c>
      <c r="R51" s="969"/>
      <c r="S51" s="968">
        <f t="shared" ref="S51:T54" si="15">O51-K51</f>
        <v>-5.7233279975084983E-2</v>
      </c>
      <c r="T51" s="960">
        <f t="shared" si="15"/>
        <v>-699.32582120213647</v>
      </c>
      <c r="U51" s="969"/>
      <c r="V51" s="960">
        <f t="shared" si="11"/>
        <v>-3626.5523707724151</v>
      </c>
      <c r="W51" s="969"/>
      <c r="X51" s="968">
        <f>Z51/Y51</f>
        <v>4.3458643439629627</v>
      </c>
      <c r="Y51" s="857">
        <f>Y48+Y50</f>
        <v>1325.3519999999999</v>
      </c>
      <c r="Z51" s="857">
        <f>SUM(Z48:Z50)</f>
        <v>5759.8</v>
      </c>
      <c r="AA51" s="967">
        <f>SUM(AA48:AA50)</f>
        <v>25345.11404</v>
      </c>
      <c r="AB51" s="968">
        <f t="shared" si="3"/>
        <v>4.3711695607763037</v>
      </c>
      <c r="AC51" s="857">
        <f>AC48+AC50</f>
        <v>1879.6799999999998</v>
      </c>
      <c r="AD51" s="857">
        <f>SUM(AD48:AD50)</f>
        <v>8216.4000000000015</v>
      </c>
      <c r="AE51" s="1000">
        <f>AG51/AF51</f>
        <v>4.389087422215681</v>
      </c>
      <c r="AF51" s="1001">
        <f>AF48+AF50</f>
        <v>2439.277</v>
      </c>
      <c r="AG51" s="422">
        <f>AG48+AG50</f>
        <v>10706.2</v>
      </c>
      <c r="AH51" s="966">
        <f>AJ51/AI51</f>
        <v>5.202779269602579</v>
      </c>
      <c r="AI51" s="857">
        <f>AI48+AI50</f>
        <v>2234.3999999999996</v>
      </c>
      <c r="AJ51" s="857">
        <f>SUM(AJ48:AJ50)</f>
        <v>11625.09</v>
      </c>
      <c r="AK51" s="967"/>
      <c r="AL51" s="968">
        <f>AN51/AM51</f>
        <v>4.6408014275288254</v>
      </c>
      <c r="AM51" s="857">
        <f>AM48+AM50</f>
        <v>2103.9740599144975</v>
      </c>
      <c r="AN51" s="857">
        <f>AN48+AN50</f>
        <v>9764.1258207348183</v>
      </c>
      <c r="AO51" s="991">
        <f t="shared" ref="AO51:AQ54" si="16">AL51-AH51</f>
        <v>-0.56197784207375356</v>
      </c>
      <c r="AP51" s="988">
        <f t="shared" si="16"/>
        <v>-130.42594008550213</v>
      </c>
      <c r="AQ51" s="988">
        <f t="shared" si="16"/>
        <v>-1860.9641792651819</v>
      </c>
      <c r="AR51" s="991">
        <f>AT51/AS51</f>
        <v>4.3650103841684889</v>
      </c>
      <c r="AS51" s="992">
        <f>AS48+AS50</f>
        <v>1093.01</v>
      </c>
      <c r="AT51" s="992">
        <f>SUM(AT48:AT50)</f>
        <v>4771</v>
      </c>
      <c r="AU51" s="991">
        <f>AW51/AV51</f>
        <v>4.4613727271156138</v>
      </c>
      <c r="AV51" s="992">
        <f>AV48+AV50</f>
        <v>1562.277</v>
      </c>
      <c r="AW51" s="992">
        <f>SUM(AW48:AW50)</f>
        <v>6969.9</v>
      </c>
      <c r="AX51" s="1007">
        <f>AZ51/AY51</f>
        <v>5.0554080056915653</v>
      </c>
      <c r="AY51" s="1001">
        <f>AY48+AY50</f>
        <v>2439.2800000000002</v>
      </c>
      <c r="AZ51" s="1001">
        <f>SUM(AZ48:AZ50)</f>
        <v>12331.555640123323</v>
      </c>
      <c r="BA51" s="1006">
        <f>SUM(AZ51/AN51)</f>
        <v>1.2629451797862317</v>
      </c>
      <c r="BB51" s="2454">
        <f>BD51/BC51</f>
        <v>4.7613992813870309</v>
      </c>
      <c r="BC51" s="1268">
        <f>BC48+BC50</f>
        <v>1940.802721</v>
      </c>
      <c r="BD51" s="1268">
        <f>SUM(BD48:BD50)</f>
        <v>9240.9366810833944</v>
      </c>
      <c r="BE51" s="968">
        <f t="shared" si="5"/>
        <v>-0.2940087243045344</v>
      </c>
      <c r="BF51" s="960">
        <f t="shared" si="6"/>
        <v>-498.47727900000018</v>
      </c>
      <c r="BG51" s="980">
        <f t="shared" si="7"/>
        <v>-3090.6189590399281</v>
      </c>
      <c r="BH51" s="2802">
        <f>BJ51/BI51</f>
        <v>4.5741476485262869</v>
      </c>
      <c r="BI51" s="2803">
        <f>BI48+BI50</f>
        <v>2164.6</v>
      </c>
      <c r="BJ51" s="2804">
        <f>SUM(BJ48:BJ50)</f>
        <v>9901.2000000000007</v>
      </c>
      <c r="BK51" s="2741">
        <f>BM51/BL51</f>
        <v>4.5054474581247046</v>
      </c>
      <c r="BL51" s="2736">
        <f>BL48+BL50</f>
        <v>1226.26</v>
      </c>
      <c r="BM51" s="2736">
        <f>SUM(BM48:BM50)</f>
        <v>5524.85</v>
      </c>
      <c r="BN51" s="2735">
        <f>BP51/BO51</f>
        <v>4.5224876701202801</v>
      </c>
      <c r="BO51" s="2736">
        <f>BO48+BO50</f>
        <v>1684.3229999999999</v>
      </c>
      <c r="BP51" s="2736">
        <f>SUM(BP48:BP50)</f>
        <v>7617.33</v>
      </c>
      <c r="BQ51" s="3422">
        <f>BS51/BR51</f>
        <v>4.5330952171343055</v>
      </c>
      <c r="BR51" s="3423">
        <f>BR48+BR50</f>
        <v>2305.877</v>
      </c>
      <c r="BS51" s="3424">
        <f>SUM(BS48:BS50)</f>
        <v>10452.76</v>
      </c>
      <c r="BT51" s="3446">
        <f>BV51/BU51</f>
        <v>5.2494733276656138</v>
      </c>
      <c r="BU51" s="3423">
        <f>BU48+BU50</f>
        <v>1878.2212500000001</v>
      </c>
      <c r="BV51" s="3423">
        <f>SUM(BV48:BV50)</f>
        <v>9859.6723553297688</v>
      </c>
      <c r="BW51" s="3440">
        <f t="shared" ref="BW51:BW62" si="17">SUM(BV51/BD51)</f>
        <v>1.066955947822146</v>
      </c>
      <c r="BX51" s="3422">
        <f>BZ51/BY51</f>
        <v>4.8154982761451324</v>
      </c>
      <c r="BY51" s="3423">
        <f>BY48+BY50</f>
        <v>1827.3</v>
      </c>
      <c r="BZ51" s="3423">
        <f>SUM(BZ48:BZ50)</f>
        <v>8799.36</v>
      </c>
      <c r="CA51" s="3422">
        <f t="shared" si="12"/>
        <v>-0.43397505152048144</v>
      </c>
      <c r="CB51" s="3421">
        <f t="shared" si="13"/>
        <v>-50.9212500000001</v>
      </c>
      <c r="CC51" s="3957">
        <f t="shared" si="14"/>
        <v>-1060.3123553297683</v>
      </c>
      <c r="CD51" s="4206">
        <f>CF51/CE51</f>
        <v>4.4531650205875932</v>
      </c>
      <c r="CE51" s="3947">
        <f>CE48+CE50</f>
        <v>1184.9369999999999</v>
      </c>
      <c r="CF51" s="3947">
        <f>SUM(CF48:CF50)</f>
        <v>5276.72</v>
      </c>
      <c r="CG51" s="4207">
        <f>CI51/CH51</f>
        <v>4.5838229068327481</v>
      </c>
      <c r="CH51" s="3947">
        <f>CH48+CH50</f>
        <v>1766.8440000000001</v>
      </c>
      <c r="CI51" s="3947">
        <f>SUM(CI48:CI50)</f>
        <v>8098.9</v>
      </c>
      <c r="CJ51" s="4207">
        <f>CL51/CK51</f>
        <v>4.651453282666667</v>
      </c>
      <c r="CK51" s="3947">
        <f>CK48+CK50</f>
        <v>2355.7919999999999</v>
      </c>
      <c r="CL51" s="3605">
        <f>SUM(CL48:CL50)</f>
        <v>10957.856431679873</v>
      </c>
      <c r="CM51" s="3446">
        <f>CO51/CN51</f>
        <v>5.1571666361905812</v>
      </c>
      <c r="CN51" s="3423">
        <f>CN48+CN50</f>
        <v>1812.35</v>
      </c>
      <c r="CO51" s="3423">
        <f>SUM(CO48:CO50)</f>
        <v>9346.5909530999998</v>
      </c>
      <c r="CP51" s="3440">
        <f t="shared" ref="CP51:CP52" si="18">SUM(CO51/BN51)</f>
        <v>2066.6924124198704</v>
      </c>
      <c r="CQ51" s="4399">
        <f>CS51/CR51</f>
        <v>5.1513080351002367</v>
      </c>
      <c r="CR51" s="4400">
        <f>CR48+CR50</f>
        <v>1751.8456900000001</v>
      </c>
      <c r="CS51" s="4401">
        <f>SUM(CS48:CS50)</f>
        <v>9024.296779152719</v>
      </c>
    </row>
    <row r="52" spans="1:97" ht="30" customHeight="1">
      <c r="A52" s="973" t="s">
        <v>142</v>
      </c>
      <c r="B52" s="771"/>
      <c r="C52" s="376"/>
      <c r="D52" s="376"/>
      <c r="E52" s="376"/>
      <c r="F52" s="376"/>
      <c r="G52" s="376"/>
      <c r="H52" s="376"/>
      <c r="I52" s="376"/>
      <c r="J52" s="779"/>
      <c r="K52" s="963">
        <v>5.75</v>
      </c>
      <c r="L52" s="964">
        <v>397.8</v>
      </c>
      <c r="M52" s="956">
        <v>2285.4</v>
      </c>
      <c r="N52" s="964">
        <f>K52*M52</f>
        <v>13141.050000000001</v>
      </c>
      <c r="O52" s="957">
        <v>5.63</v>
      </c>
      <c r="P52" s="965">
        <f>Q60*Q61</f>
        <v>363.59730000000002</v>
      </c>
      <c r="Q52" s="851">
        <f>O52*P52</f>
        <v>2047.0527990000001</v>
      </c>
      <c r="R52" s="964"/>
      <c r="S52" s="957">
        <f t="shared" si="15"/>
        <v>-0.12000000000000011</v>
      </c>
      <c r="T52" s="960">
        <f t="shared" si="15"/>
        <v>-34.202699999999993</v>
      </c>
      <c r="U52" s="964"/>
      <c r="V52" s="960">
        <f t="shared" si="11"/>
        <v>-238.34720100000004</v>
      </c>
      <c r="W52" s="964"/>
      <c r="X52" s="957">
        <v>4.9886999999999997</v>
      </c>
      <c r="Y52" s="964">
        <v>162.167</v>
      </c>
      <c r="Z52" s="956">
        <v>809</v>
      </c>
      <c r="AA52" s="964">
        <f>X52*Z52</f>
        <v>4035.8582999999999</v>
      </c>
      <c r="AB52" s="957">
        <f t="shared" si="3"/>
        <v>5.0153983485829059</v>
      </c>
      <c r="AC52" s="964">
        <v>224.05</v>
      </c>
      <c r="AD52" s="956">
        <v>1123.7</v>
      </c>
      <c r="AE52" s="998">
        <f>SUM(AG52/AF52)</f>
        <v>5.0316393763454892</v>
      </c>
      <c r="AF52" s="998">
        <v>306.58</v>
      </c>
      <c r="AG52" s="421">
        <v>1542.6</v>
      </c>
      <c r="AH52" s="963">
        <v>5.91</v>
      </c>
      <c r="AI52" s="964">
        <v>397.8</v>
      </c>
      <c r="AJ52" s="956">
        <v>2285.4</v>
      </c>
      <c r="AK52" s="964"/>
      <c r="AL52" s="957">
        <f>K78*1.028</f>
        <v>5.2277943861803733</v>
      </c>
      <c r="AM52" s="965">
        <f>AN60*AN61</f>
        <v>360.82530000000003</v>
      </c>
      <c r="AN52" s="851">
        <f>AL52*AM52</f>
        <v>1886.3204777318492</v>
      </c>
      <c r="AO52" s="987">
        <f t="shared" si="16"/>
        <v>-0.68220561381962685</v>
      </c>
      <c r="AP52" s="988">
        <f t="shared" si="16"/>
        <v>-36.974699999999984</v>
      </c>
      <c r="AQ52" s="988">
        <f t="shared" si="16"/>
        <v>-399.07952226815087</v>
      </c>
      <c r="AR52" s="987">
        <f t="shared" ref="AR52:AR54" si="19">SUM(AT52/AS52)</f>
        <v>4.9758749575263339</v>
      </c>
      <c r="AS52" s="989">
        <v>147.15</v>
      </c>
      <c r="AT52" s="993">
        <v>732.2</v>
      </c>
      <c r="AU52" s="987">
        <f t="shared" ref="AU52:AU54" si="20">SUM(AW52/AV52)</f>
        <v>5.0682433840383414</v>
      </c>
      <c r="AV52" s="2460">
        <v>191.96</v>
      </c>
      <c r="AW52" s="1964">
        <v>972.9</v>
      </c>
      <c r="AX52" s="1005">
        <f t="shared" ref="AX52:AX54" si="21">SUM(AL52*1.1)</f>
        <v>5.7505738247984111</v>
      </c>
      <c r="AY52" s="998">
        <v>306.58</v>
      </c>
      <c r="AZ52" s="999">
        <f t="shared" ref="AZ52:AZ54" si="22">SUM(AX52*AY52)</f>
        <v>1763.0109232066968</v>
      </c>
      <c r="BA52" s="1006">
        <f>SUM(AZ52/AN52)</f>
        <v>0.93462958390112882</v>
      </c>
      <c r="BB52" s="2451">
        <f>(AU71+AU71*1.06)/2</f>
        <v>5.5327159116268669</v>
      </c>
      <c r="BC52" s="2459">
        <f>BD60*BD61</f>
        <v>290.97040000000004</v>
      </c>
      <c r="BD52" s="1009">
        <f>BC52*BB52</f>
        <v>1609.8565618924345</v>
      </c>
      <c r="BE52" s="957">
        <f t="shared" si="5"/>
        <v>-0.21785791317154413</v>
      </c>
      <c r="BF52" s="960">
        <f t="shared" si="6"/>
        <v>-15.609599999999944</v>
      </c>
      <c r="BG52" s="980">
        <f t="shared" si="7"/>
        <v>-153.15436131426236</v>
      </c>
      <c r="BH52" s="2798">
        <f t="shared" ref="BH52" si="23">SUM(BJ52/BI52)</f>
        <v>5.1865168539325843</v>
      </c>
      <c r="BI52" s="2799">
        <v>267</v>
      </c>
      <c r="BJ52" s="2795">
        <v>1384.8</v>
      </c>
      <c r="BK52" s="2740">
        <f t="shared" ref="BK52" si="24">SUM(BM52/BL52)</f>
        <v>2.5335154711226893</v>
      </c>
      <c r="BL52" s="2733">
        <v>157.38999999999999</v>
      </c>
      <c r="BM52" s="2738">
        <v>398.75</v>
      </c>
      <c r="BN52" s="2730">
        <f t="shared" ref="BN52" si="25">SUM(BP52/BO52)</f>
        <v>2.4949254601078033</v>
      </c>
      <c r="BO52" s="2733">
        <v>205.93</v>
      </c>
      <c r="BP52" s="2738">
        <v>513.78</v>
      </c>
      <c r="BQ52" s="3418">
        <f>SUM(BS52/BR52)</f>
        <v>2.4750203879019965</v>
      </c>
      <c r="BR52" s="3421">
        <v>282.02999999999997</v>
      </c>
      <c r="BS52" s="3419">
        <v>698.03</v>
      </c>
      <c r="BT52" s="3438">
        <f>SUM(BB52*1.1)</f>
        <v>6.0859875027895542</v>
      </c>
      <c r="BU52" s="3421">
        <f>BV60*BV61</f>
        <v>270.73200000000003</v>
      </c>
      <c r="BV52" s="3439">
        <f>BU52*BT52</f>
        <v>1647.6715686052219</v>
      </c>
      <c r="BW52" s="3440">
        <f t="shared" si="17"/>
        <v>1.0234896745510884</v>
      </c>
      <c r="BX52" s="3418">
        <f>SUM(BZ52/BY52)</f>
        <v>5.6593930635838143</v>
      </c>
      <c r="BY52" s="3421">
        <v>276.8</v>
      </c>
      <c r="BZ52" s="3439">
        <v>1566.52</v>
      </c>
      <c r="CA52" s="3418">
        <f t="shared" si="12"/>
        <v>-0.42659443920573992</v>
      </c>
      <c r="CB52" s="3421">
        <f t="shared" si="13"/>
        <v>6.0679999999999836</v>
      </c>
      <c r="CC52" s="3957">
        <f t="shared" si="14"/>
        <v>-81.151568605221883</v>
      </c>
      <c r="CD52" s="4205">
        <f>SUM(CF52/CE52)</f>
        <v>4.4763147649571478</v>
      </c>
      <c r="CE52" s="4203">
        <v>182.37100000000001</v>
      </c>
      <c r="CF52" s="3952">
        <v>816.35</v>
      </c>
      <c r="CG52" s="4207">
        <f>CI52/CH52</f>
        <v>4.6317479430062205</v>
      </c>
      <c r="CH52" s="4203">
        <v>254.13300000000001</v>
      </c>
      <c r="CI52" s="3952">
        <v>1177.08</v>
      </c>
      <c r="CJ52" s="4204">
        <f>SUM((CD52+(CI52-CF52)/(CH52-CE52))/2)</f>
        <v>4.7515349360584622</v>
      </c>
      <c r="CK52" s="4203">
        <f>SUM(CH52/9*12)</f>
        <v>338.84400000000005</v>
      </c>
      <c r="CL52" s="3606">
        <f>SUM(CJ52*CK52)</f>
        <v>1610.0291038737937</v>
      </c>
      <c r="CM52" s="3438">
        <f>SUM(5.851+5.851*1.07)/2</f>
        <v>6.0557850000000002</v>
      </c>
      <c r="CN52" s="3421">
        <f>SUM(CO60*CO61)</f>
        <v>273.25200000000001</v>
      </c>
      <c r="CO52" s="3439">
        <f>CN52*CM52</f>
        <v>1654.7553628200001</v>
      </c>
      <c r="CP52" s="3440">
        <f t="shared" si="18"/>
        <v>663.24841734890936</v>
      </c>
      <c r="CQ52" s="3960">
        <f>SUM(5.8499+5.8499*1.07)/2</f>
        <v>6.0546465000000005</v>
      </c>
      <c r="CR52" s="4398">
        <f>SUM(CS60*CS61)</f>
        <v>272.91012000000001</v>
      </c>
      <c r="CS52" s="4396">
        <f>CR52*CQ52</f>
        <v>1652.3743028725801</v>
      </c>
    </row>
    <row r="53" spans="1:97" ht="30" customHeight="1">
      <c r="A53" s="1808" t="s">
        <v>1584</v>
      </c>
      <c r="B53" s="1809"/>
      <c r="C53" s="1810"/>
      <c r="D53" s="1810"/>
      <c r="E53" s="1810"/>
      <c r="F53" s="1810"/>
      <c r="G53" s="1810"/>
      <c r="H53" s="1810"/>
      <c r="I53" s="1810"/>
      <c r="J53" s="1811"/>
      <c r="K53" s="1812"/>
      <c r="L53" s="1813"/>
      <c r="M53" s="1814"/>
      <c r="N53" s="1813"/>
      <c r="O53" s="1815"/>
      <c r="P53" s="1817"/>
      <c r="Q53" s="1816"/>
      <c r="R53" s="1813"/>
      <c r="S53" s="1815"/>
      <c r="T53" s="1818"/>
      <c r="U53" s="1813"/>
      <c r="V53" s="1818"/>
      <c r="W53" s="1813"/>
      <c r="X53" s="1815"/>
      <c r="Y53" s="1813"/>
      <c r="Z53" s="1814"/>
      <c r="AA53" s="1813"/>
      <c r="AB53" s="1815"/>
      <c r="AC53" s="1813"/>
      <c r="AD53" s="1814"/>
      <c r="AE53" s="1819"/>
      <c r="AF53" s="1819"/>
      <c r="AG53" s="1821"/>
      <c r="AH53" s="1812"/>
      <c r="AI53" s="1813"/>
      <c r="AJ53" s="1814"/>
      <c r="AK53" s="1813"/>
      <c r="AL53" s="1815"/>
      <c r="AM53" s="1817"/>
      <c r="AN53" s="1816"/>
      <c r="AO53" s="1815"/>
      <c r="AP53" s="1818"/>
      <c r="AQ53" s="1818"/>
      <c r="AR53" s="1815"/>
      <c r="AS53" s="1813"/>
      <c r="AT53" s="1814">
        <v>132.9</v>
      </c>
      <c r="AU53" s="1815"/>
      <c r="AV53" s="1962"/>
      <c r="AW53" s="1964">
        <v>205.9</v>
      </c>
      <c r="AX53" s="1822"/>
      <c r="AY53" s="1819"/>
      <c r="AZ53" s="1820"/>
      <c r="BA53" s="1823"/>
      <c r="BB53" s="2452"/>
      <c r="BC53" s="2453"/>
      <c r="BD53" s="1820"/>
      <c r="BE53" s="1815"/>
      <c r="BF53" s="1818"/>
      <c r="BG53" s="1824"/>
      <c r="BH53" s="2798"/>
      <c r="BI53" s="2801"/>
      <c r="BJ53" s="2795">
        <v>258.5</v>
      </c>
      <c r="BK53" s="2740"/>
      <c r="BL53" s="2731"/>
      <c r="BM53" s="2738"/>
      <c r="BN53" s="2730"/>
      <c r="BO53" s="2731"/>
      <c r="BP53" s="2738"/>
      <c r="BQ53" s="3418"/>
      <c r="BR53" s="3420"/>
      <c r="BS53" s="3300"/>
      <c r="BT53" s="3438"/>
      <c r="BU53" s="3421"/>
      <c r="BV53" s="3439"/>
      <c r="BW53" s="3440"/>
      <c r="BX53" s="3418"/>
      <c r="BY53" s="3420"/>
      <c r="BZ53" s="3439"/>
      <c r="CA53" s="3418"/>
      <c r="CB53" s="3421"/>
      <c r="CC53" s="3957"/>
      <c r="CD53" s="4205"/>
      <c r="CE53" s="4202"/>
      <c r="CF53" s="4102"/>
      <c r="CG53" s="4204"/>
      <c r="CH53" s="4202"/>
      <c r="CI53" s="4102"/>
      <c r="CJ53" s="4204"/>
      <c r="CK53" s="4202"/>
      <c r="CL53" s="4103"/>
      <c r="CM53" s="3438"/>
      <c r="CN53" s="3421"/>
      <c r="CO53" s="3439"/>
      <c r="CP53" s="3440"/>
      <c r="CQ53" s="3418"/>
      <c r="CR53" s="3421"/>
      <c r="CS53" s="3419"/>
    </row>
    <row r="54" spans="1:97" ht="30" customHeight="1">
      <c r="A54" s="973" t="s">
        <v>143</v>
      </c>
      <c r="B54" s="771"/>
      <c r="C54" s="376"/>
      <c r="D54" s="376"/>
      <c r="E54" s="376"/>
      <c r="F54" s="376"/>
      <c r="G54" s="376"/>
      <c r="H54" s="376"/>
      <c r="I54" s="376"/>
      <c r="J54" s="779"/>
      <c r="K54" s="963">
        <v>4.2300000000000004</v>
      </c>
      <c r="L54" s="964">
        <v>2282.1999999999998</v>
      </c>
      <c r="M54" s="956">
        <v>9664.7999999999993</v>
      </c>
      <c r="N54" s="964">
        <f>K54*M54</f>
        <v>40882.103999999999</v>
      </c>
      <c r="O54" s="957">
        <v>4.3</v>
      </c>
      <c r="P54" s="965">
        <f>Q60*Q62</f>
        <v>1439.1333261085247</v>
      </c>
      <c r="Q54" s="851">
        <f>O54*P54</f>
        <v>6188.2733022666562</v>
      </c>
      <c r="R54" s="964"/>
      <c r="S54" s="957">
        <f t="shared" si="15"/>
        <v>6.9999999999999396E-2</v>
      </c>
      <c r="T54" s="960">
        <f t="shared" si="15"/>
        <v>-843.06667389147515</v>
      </c>
      <c r="U54" s="964"/>
      <c r="V54" s="960">
        <f t="shared" si="11"/>
        <v>-3476.5266977333431</v>
      </c>
      <c r="W54" s="964"/>
      <c r="X54" s="957">
        <v>3.7764000000000002</v>
      </c>
      <c r="Y54" s="964">
        <v>940.27</v>
      </c>
      <c r="Z54" s="956">
        <v>3550.8</v>
      </c>
      <c r="AA54" s="964">
        <f>X54*Z54</f>
        <v>13409.241120000001</v>
      </c>
      <c r="AB54" s="957">
        <f t="shared" si="3"/>
        <v>3.8226634015509302</v>
      </c>
      <c r="AC54" s="964">
        <v>1372.08</v>
      </c>
      <c r="AD54" s="956">
        <v>5245</v>
      </c>
      <c r="AE54" s="998">
        <f>SUM(AG54/AF54)</f>
        <v>3.8318886233811065</v>
      </c>
      <c r="AF54" s="998">
        <v>1853.89</v>
      </c>
      <c r="AG54" s="421">
        <v>7103.9</v>
      </c>
      <c r="AH54" s="963">
        <v>4.5199999999999996</v>
      </c>
      <c r="AI54" s="964">
        <v>2282.1999999999998</v>
      </c>
      <c r="AJ54" s="956">
        <v>9664.7999999999993</v>
      </c>
      <c r="AK54" s="964"/>
      <c r="AL54" s="957">
        <f>K79*1.028</f>
        <v>4.0333424422778537</v>
      </c>
      <c r="AM54" s="965">
        <f>AN60*AN62</f>
        <v>1428.1616341295885</v>
      </c>
      <c r="AN54" s="851">
        <f>AL54*AM54</f>
        <v>5760.2649333677646</v>
      </c>
      <c r="AO54" s="987">
        <f t="shared" si="16"/>
        <v>-0.48665755772214592</v>
      </c>
      <c r="AP54" s="988">
        <f t="shared" si="16"/>
        <v>-854.03836587041133</v>
      </c>
      <c r="AQ54" s="988">
        <f t="shared" si="16"/>
        <v>-3904.5350666322347</v>
      </c>
      <c r="AR54" s="987">
        <f t="shared" si="19"/>
        <v>3.6631900547829748</v>
      </c>
      <c r="AS54" s="989">
        <v>949.2</v>
      </c>
      <c r="AT54" s="993">
        <v>3477.1</v>
      </c>
      <c r="AU54" s="987">
        <f t="shared" si="20"/>
        <v>3.7705916930708683</v>
      </c>
      <c r="AV54" s="2460">
        <v>1394.98</v>
      </c>
      <c r="AW54" s="1964">
        <v>5259.9</v>
      </c>
      <c r="AX54" s="1005">
        <f t="shared" si="21"/>
        <v>4.4366766865056393</v>
      </c>
      <c r="AY54" s="998">
        <v>1853.89</v>
      </c>
      <c r="AZ54" s="999">
        <f t="shared" si="22"/>
        <v>8225.1105423459394</v>
      </c>
      <c r="BA54" s="1006">
        <f t="shared" ref="BA54:BA62" si="26">SUM(AZ54/AN54)</f>
        <v>1.4279049032449784</v>
      </c>
      <c r="BB54" s="2451">
        <f>(AU73+AU73*1.06)/2</f>
        <v>4.1192606218313967</v>
      </c>
      <c r="BC54" s="2459">
        <f>BD60*BD62</f>
        <v>1454.8519999999999</v>
      </c>
      <c r="BD54" s="1009">
        <f>BC54*BB54</f>
        <v>5992.9145541926509</v>
      </c>
      <c r="BE54" s="957">
        <f t="shared" si="5"/>
        <v>-0.31741606467424255</v>
      </c>
      <c r="BF54" s="960">
        <f t="shared" si="6"/>
        <v>-399.03800000000024</v>
      </c>
      <c r="BG54" s="980">
        <f t="shared" si="7"/>
        <v>-2232.1959881532885</v>
      </c>
      <c r="BH54" s="2798">
        <f t="shared" ref="BH54" si="27">SUM(BJ54/BI54)</f>
        <v>3.8536448739079385</v>
      </c>
      <c r="BI54" s="2799">
        <v>1856.58</v>
      </c>
      <c r="BJ54" s="2795">
        <v>7154.6</v>
      </c>
      <c r="BK54" s="2740">
        <f t="shared" ref="BK54" si="28">SUM(BM54/BL54)</f>
        <v>5.2168794892258585</v>
      </c>
      <c r="BL54" s="2733">
        <v>902.16</v>
      </c>
      <c r="BM54" s="2738">
        <v>4706.46</v>
      </c>
      <c r="BN54" s="2730">
        <f t="shared" ref="BN54" si="29">SUM(BP54/BO54)</f>
        <v>5.0524350273034244</v>
      </c>
      <c r="BO54" s="2733">
        <v>1332.9829999999999</v>
      </c>
      <c r="BP54" s="2738">
        <v>6734.81</v>
      </c>
      <c r="BQ54" s="3418">
        <f>SUM(BS54/BR54)</f>
        <v>5.0461153020955294</v>
      </c>
      <c r="BR54" s="3421">
        <v>1842.4469999999999</v>
      </c>
      <c r="BS54" s="3419">
        <v>9297.2000000000007</v>
      </c>
      <c r="BT54" s="3438">
        <f>SUM(BB54*1.1)</f>
        <v>4.5311866840145365</v>
      </c>
      <c r="BU54" s="3421">
        <f>BV60*BV62</f>
        <v>1353.6599999999999</v>
      </c>
      <c r="BV54" s="3439">
        <f>BU54*BT54</f>
        <v>6133.6861666831164</v>
      </c>
      <c r="BW54" s="3440">
        <f t="shared" si="17"/>
        <v>1.0234896745510882</v>
      </c>
      <c r="BX54" s="3418">
        <f>SUM(BZ54/BY54)</f>
        <v>4.3128955353272644</v>
      </c>
      <c r="BY54" s="3421">
        <v>1384.2</v>
      </c>
      <c r="BZ54" s="3439">
        <v>5969.91</v>
      </c>
      <c r="CA54" s="3418">
        <f t="shared" ref="CA54" si="30">BX54-BT54</f>
        <v>-0.21829114868727206</v>
      </c>
      <c r="CB54" s="3421">
        <f t="shared" ref="CB54" si="31">BY54-BU54</f>
        <v>30.540000000000191</v>
      </c>
      <c r="CC54" s="3957">
        <f t="shared" ref="CC54" si="32">BZ54-BV54</f>
        <v>-163.77616668311657</v>
      </c>
      <c r="CD54" s="4205">
        <f>SUM(CF54/CE54)</f>
        <v>4.4579075946432711</v>
      </c>
      <c r="CE54" s="4203">
        <v>1009.422</v>
      </c>
      <c r="CF54" s="3952">
        <v>4499.91</v>
      </c>
      <c r="CG54" s="4204">
        <f>SUM(CI54/CH54)</f>
        <v>4.6205310559320827</v>
      </c>
      <c r="CH54" s="4203">
        <v>1480.635</v>
      </c>
      <c r="CI54" s="3952">
        <v>6841.32</v>
      </c>
      <c r="CJ54" s="4204">
        <f>SUM((CD54+(CI54-CF54)/(CH54-CE54))/2)</f>
        <v>4.713403504778773</v>
      </c>
      <c r="CK54" s="4203">
        <f>SUM(CH54/9*12)</f>
        <v>1974.1799999999998</v>
      </c>
      <c r="CL54" s="3606">
        <f>SUM(CJ54*CK54)</f>
        <v>9305.1069310641578</v>
      </c>
      <c r="CM54" s="3438">
        <f>SUM(4.459+4.459*1.07)/2</f>
        <v>4.6150649999999995</v>
      </c>
      <c r="CN54" s="3421">
        <f>SUM(CO60*CO62)</f>
        <v>1366.26</v>
      </c>
      <c r="CO54" s="3439">
        <f>CN54*CM54</f>
        <v>6305.3787068999991</v>
      </c>
      <c r="CP54" s="3440">
        <f t="shared" ref="CP54:CP62" si="33">SUM(CO54/BN54)</f>
        <v>1247.9880835331182</v>
      </c>
      <c r="CQ54" s="3960">
        <f>SUM(4.45868+4.45869*1.07)/2</f>
        <v>4.6147391500000001</v>
      </c>
      <c r="CR54" s="4398">
        <f>SUM(CS60*CS62)</f>
        <v>1364.5505999999998</v>
      </c>
      <c r="CS54" s="4396">
        <f>CR54*CQ54</f>
        <v>6297.0450759759897</v>
      </c>
    </row>
    <row r="55" spans="1:97" ht="30" customHeight="1">
      <c r="A55" s="974" t="s">
        <v>144</v>
      </c>
      <c r="B55" s="771"/>
      <c r="C55" s="376"/>
      <c r="D55" s="376"/>
      <c r="E55" s="376"/>
      <c r="F55" s="376"/>
      <c r="G55" s="376"/>
      <c r="H55" s="376"/>
      <c r="I55" s="376"/>
      <c r="J55" s="779"/>
      <c r="K55" s="966">
        <f>M55/L55</f>
        <v>4.4590298507462682</v>
      </c>
      <c r="L55" s="857">
        <f>SUM(L52:L54)</f>
        <v>2680</v>
      </c>
      <c r="M55" s="857">
        <f>SUM(M52:M54)</f>
        <v>11950.199999999999</v>
      </c>
      <c r="N55" s="857">
        <f>SUM(N52:N54)</f>
        <v>54023.154000000002</v>
      </c>
      <c r="O55" s="968">
        <f>Q55/P55</f>
        <v>4.5682510642446301</v>
      </c>
      <c r="P55" s="857">
        <f>SUM(P52:P54)</f>
        <v>1802.7306261085246</v>
      </c>
      <c r="Q55" s="857">
        <f>SUM(Q52:Q54)</f>
        <v>8235.3261012666553</v>
      </c>
      <c r="R55" s="967"/>
      <c r="S55" s="968">
        <f>O55-K55</f>
        <v>0.10922121349836189</v>
      </c>
      <c r="T55" s="954">
        <f>P55-L55</f>
        <v>-877.26937389147542</v>
      </c>
      <c r="U55" s="954">
        <f>P55-L55</f>
        <v>-877.26937389147542</v>
      </c>
      <c r="V55" s="954">
        <f t="shared" si="11"/>
        <v>-3714.8738987333436</v>
      </c>
      <c r="W55" s="967"/>
      <c r="X55" s="968">
        <f>Z55/Y55</f>
        <v>3.9546931026444145</v>
      </c>
      <c r="Y55" s="857">
        <f>SUM(Y52:Y54)</f>
        <v>1102.4369999999999</v>
      </c>
      <c r="Z55" s="857">
        <f>SUM(Z52:Z54)</f>
        <v>4359.8</v>
      </c>
      <c r="AA55" s="857">
        <f>SUM(AA52:AA54)</f>
        <v>17445.099419999999</v>
      </c>
      <c r="AB55" s="968">
        <f t="shared" si="3"/>
        <v>3.9900885266237713</v>
      </c>
      <c r="AC55" s="857">
        <f>SUM(AC52:AC54)</f>
        <v>1596.1299999999999</v>
      </c>
      <c r="AD55" s="857">
        <f>SUM(AD52:AD54)</f>
        <v>6368.7</v>
      </c>
      <c r="AE55" s="1000">
        <f>AG55/AF55</f>
        <v>4.0021384235837569</v>
      </c>
      <c r="AF55" s="1001">
        <f>SUM(AF52:AF54)</f>
        <v>2160.4700000000003</v>
      </c>
      <c r="AG55" s="422">
        <f>SUM(AG52:AG54)</f>
        <v>8646.5</v>
      </c>
      <c r="AH55" s="966">
        <f>AJ55/AI55</f>
        <v>4.4590298507462682</v>
      </c>
      <c r="AI55" s="857">
        <f>SUM(AI52:AI54)</f>
        <v>2680</v>
      </c>
      <c r="AJ55" s="857">
        <f>SUM(AJ52:AJ54)</f>
        <v>11950.199999999999</v>
      </c>
      <c r="AK55" s="857"/>
      <c r="AL55" s="968">
        <f>AN55/AM55</f>
        <v>4.2742544762183936</v>
      </c>
      <c r="AM55" s="857">
        <f>SUM(AM52:AM54)</f>
        <v>1788.9869341295885</v>
      </c>
      <c r="AN55" s="857">
        <f>SUM(AN52:AN54)</f>
        <v>7646.5854110996133</v>
      </c>
      <c r="AO55" s="991">
        <f>AL55-AH55</f>
        <v>-0.18477537452787463</v>
      </c>
      <c r="AP55" s="994">
        <f>AM55-AI55</f>
        <v>-891.01306587041154</v>
      </c>
      <c r="AQ55" s="994">
        <f>AN55-AJ55</f>
        <v>-4303.6145889003856</v>
      </c>
      <c r="AR55" s="991">
        <f>AT55/AS55</f>
        <v>3.9605965248323978</v>
      </c>
      <c r="AS55" s="992">
        <f>SUM(AS52:AS54)</f>
        <v>1096.3500000000001</v>
      </c>
      <c r="AT55" s="992">
        <f>SUM(AT52:AT54)</f>
        <v>4342.2</v>
      </c>
      <c r="AU55" s="991">
        <f>AW55/AV55</f>
        <v>4.0573052541368924</v>
      </c>
      <c r="AV55" s="992">
        <f>SUM(AV52:AV54)</f>
        <v>1586.94</v>
      </c>
      <c r="AW55" s="992">
        <f>SUM(AW52:AW54)</f>
        <v>6438.7</v>
      </c>
      <c r="AX55" s="1007">
        <f>AZ55/AY55</f>
        <v>4.6231243505129136</v>
      </c>
      <c r="AY55" s="1001">
        <f>SUM(AY52:AY54)</f>
        <v>2160.4700000000003</v>
      </c>
      <c r="AZ55" s="1001">
        <f>SUM(AZ52:AZ54)</f>
        <v>9988.1214655526364</v>
      </c>
      <c r="BA55" s="1006">
        <f t="shared" si="26"/>
        <v>1.3062198260486442</v>
      </c>
      <c r="BB55" s="2454">
        <f>BD55/BC55</f>
        <v>4.3548365034639751</v>
      </c>
      <c r="BC55" s="1268">
        <f>SUM(BC52:BC54)</f>
        <v>1745.8224</v>
      </c>
      <c r="BD55" s="1268">
        <f>SUM(BD52:BD54)</f>
        <v>7602.7711160850849</v>
      </c>
      <c r="BE55" s="968">
        <f>BB55-AX55</f>
        <v>-0.26828784704893849</v>
      </c>
      <c r="BF55" s="959">
        <f>BC55-AY55</f>
        <v>-414.64760000000024</v>
      </c>
      <c r="BG55" s="407">
        <f>BD55-AZ55</f>
        <v>-2385.3503494675515</v>
      </c>
      <c r="BH55" s="2802">
        <f>BJ55/BI55</f>
        <v>4.142956705186525</v>
      </c>
      <c r="BI55" s="2803">
        <f>SUM(BI52:BI54)</f>
        <v>2123.58</v>
      </c>
      <c r="BJ55" s="2804">
        <f>SUM(BJ52:BJ54)</f>
        <v>8797.9</v>
      </c>
      <c r="BK55" s="2741">
        <f>BM55/BL55</f>
        <v>4.8182813458543725</v>
      </c>
      <c r="BL55" s="2736">
        <f>SUM(BL52:BL54)</f>
        <v>1059.55</v>
      </c>
      <c r="BM55" s="2736">
        <f>SUM(BM52:BM54)</f>
        <v>5105.21</v>
      </c>
      <c r="BN55" s="2735">
        <f>BP55/BO55</f>
        <v>4.7102012914310301</v>
      </c>
      <c r="BO55" s="2736">
        <f>SUM(BO52:BO54)</f>
        <v>1538.913</v>
      </c>
      <c r="BP55" s="2736">
        <f>SUM(BP52:BP54)</f>
        <v>7248.59</v>
      </c>
      <c r="BQ55" s="3422">
        <f>BS55/BR55</f>
        <v>4.7047955802769348</v>
      </c>
      <c r="BR55" s="3423">
        <f>SUM(BR52:BR54)</f>
        <v>2124.4769999999999</v>
      </c>
      <c r="BS55" s="3424">
        <f>SUM(BS52:BS54)</f>
        <v>9995.2300000000014</v>
      </c>
      <c r="BT55" s="3446">
        <f>BV55/BU55</f>
        <v>4.7903201538103728</v>
      </c>
      <c r="BU55" s="3423">
        <f>SUM(BU52:BU54)</f>
        <v>1624.3919999999998</v>
      </c>
      <c r="BV55" s="3423">
        <f>SUM(BV52:BV54)</f>
        <v>7781.3577352883385</v>
      </c>
      <c r="BW55" s="3440">
        <f t="shared" si="17"/>
        <v>1.0234896745510884</v>
      </c>
      <c r="BX55" s="3422">
        <f>BZ55/BY55</f>
        <v>4.5372847682119204</v>
      </c>
      <c r="BY55" s="3423">
        <f>SUM(BY52:BY54)</f>
        <v>1661</v>
      </c>
      <c r="BZ55" s="3423">
        <f>SUM(BZ52:BZ54)</f>
        <v>7536.43</v>
      </c>
      <c r="CA55" s="3422">
        <f>BX55-BT55</f>
        <v>-0.2530353855984524</v>
      </c>
      <c r="CB55" s="3958">
        <f>BY55-BU55</f>
        <v>36.608000000000175</v>
      </c>
      <c r="CC55" s="3959">
        <f>BZ55-BV55</f>
        <v>-244.92773528833823</v>
      </c>
      <c r="CD55" s="4206">
        <f>CF55/CE55</f>
        <v>4.4607243036332651</v>
      </c>
      <c r="CE55" s="3947">
        <f>SUM(CE52:CE54)</f>
        <v>1191.7930000000001</v>
      </c>
      <c r="CF55" s="3947">
        <f>SUM(CF52:CF54)</f>
        <v>5316.26</v>
      </c>
      <c r="CG55" s="4207">
        <f>CI55/CH55</f>
        <v>4.6221742619185964</v>
      </c>
      <c r="CH55" s="3947">
        <f>SUM(CH52:CH54)</f>
        <v>1734.768</v>
      </c>
      <c r="CI55" s="3947">
        <f>SUM(CI52:CI54)</f>
        <v>8018.4</v>
      </c>
      <c r="CJ55" s="4207">
        <f>CL55/CK55</f>
        <v>4.7189895284000309</v>
      </c>
      <c r="CK55" s="3947">
        <f>SUM(CK52:CK54)</f>
        <v>2313.0239999999999</v>
      </c>
      <c r="CL55" s="3605">
        <f>SUM(CL52:CL54)</f>
        <v>10915.136034937952</v>
      </c>
      <c r="CM55" s="3446">
        <f>CO55/CN55</f>
        <v>4.8551849999999996</v>
      </c>
      <c r="CN55" s="3423">
        <f>SUM(CN52:CN54)</f>
        <v>1639.5119999999999</v>
      </c>
      <c r="CO55" s="3423">
        <f>SUM(CO52:CO54)</f>
        <v>7960.1340697199994</v>
      </c>
      <c r="CP55" s="3440">
        <f t="shared" si="33"/>
        <v>1689.9774717062232</v>
      </c>
      <c r="CQ55" s="4399">
        <f>CS55/CR55</f>
        <v>4.8547237083333341</v>
      </c>
      <c r="CR55" s="4400">
        <f>SUM(CR52:CR54)</f>
        <v>1637.4607199999998</v>
      </c>
      <c r="CS55" s="4401">
        <f>SUM(CS52:CS54)</f>
        <v>7949.41937884857</v>
      </c>
    </row>
    <row r="56" spans="1:97" ht="40.5" customHeight="1">
      <c r="A56" s="975" t="s">
        <v>145</v>
      </c>
      <c r="B56" s="771"/>
      <c r="C56" s="376"/>
      <c r="D56" s="376"/>
      <c r="E56" s="376"/>
      <c r="F56" s="376"/>
      <c r="G56" s="376"/>
      <c r="H56" s="376"/>
      <c r="I56" s="376"/>
      <c r="J56" s="779"/>
      <c r="K56" s="814"/>
      <c r="L56" s="956"/>
      <c r="M56" s="851">
        <f>объемы!E39</f>
        <v>5875</v>
      </c>
      <c r="N56" s="956"/>
      <c r="O56" s="956"/>
      <c r="P56" s="956"/>
      <c r="Q56" s="851">
        <f>объемы!F39</f>
        <v>5558.2912165809075</v>
      </c>
      <c r="R56" s="956"/>
      <c r="S56" s="957"/>
      <c r="T56" s="960"/>
      <c r="U56" s="956"/>
      <c r="V56" s="960">
        <f t="shared" si="11"/>
        <v>-316.70878341909247</v>
      </c>
      <c r="W56" s="956"/>
      <c r="X56" s="970"/>
      <c r="Y56" s="970"/>
      <c r="Z56" s="851">
        <v>3493.3</v>
      </c>
      <c r="AA56" s="956"/>
      <c r="AB56" s="956"/>
      <c r="AC56" s="956"/>
      <c r="AD56" s="851">
        <v>5158</v>
      </c>
      <c r="AE56" s="1002"/>
      <c r="AF56" s="1002"/>
      <c r="AG56" s="421">
        <f>SUM(объемы!I39)</f>
        <v>6977.9000000000005</v>
      </c>
      <c r="AH56" s="814"/>
      <c r="AI56" s="956"/>
      <c r="AJ56" s="851">
        <f>SUM(объемы!J39)</f>
        <v>5800.03</v>
      </c>
      <c r="AK56" s="956"/>
      <c r="AL56" s="956"/>
      <c r="AM56" s="956"/>
      <c r="AN56" s="851">
        <f>SUM(объемы!K39)</f>
        <v>5561.39</v>
      </c>
      <c r="AO56" s="993"/>
      <c r="AP56" s="987"/>
      <c r="AQ56" s="988">
        <f t="shared" ref="AQ56:AQ62" si="34">AN56-AJ56</f>
        <v>-238.63999999999942</v>
      </c>
      <c r="AR56" s="993"/>
      <c r="AS56" s="993"/>
      <c r="AT56" s="990">
        <f>SUM(объемы!N39)</f>
        <v>3367.79</v>
      </c>
      <c r="AU56" s="993"/>
      <c r="AV56" s="993"/>
      <c r="AW56" s="990">
        <f>объемы!P39+объемы!Q39</f>
        <v>4982.8100000000004</v>
      </c>
      <c r="AX56" s="550"/>
      <c r="AY56" s="1002"/>
      <c r="AZ56" s="999">
        <f>SUM(объемы!T39)</f>
        <v>5757.92</v>
      </c>
      <c r="BA56" s="1006">
        <f t="shared" si="26"/>
        <v>1.0353382877302257</v>
      </c>
      <c r="BB56" s="2441"/>
      <c r="BC56" s="2441"/>
      <c r="BD56" s="1009">
        <f>SUM(объемы!U39:V39)</f>
        <v>5675.7370000000001</v>
      </c>
      <c r="BE56" s="956"/>
      <c r="BF56" s="957"/>
      <c r="BG56" s="980">
        <f t="shared" ref="BG56:BG62" si="35">BD56-AZ56</f>
        <v>-82.182999999999993</v>
      </c>
      <c r="BH56" s="2805"/>
      <c r="BI56" s="2806"/>
      <c r="BJ56" s="2800">
        <f>SUM(объемы!R39:S39)</f>
        <v>6716.13</v>
      </c>
      <c r="BK56" s="2742"/>
      <c r="BL56" s="2738"/>
      <c r="BM56" s="2732">
        <f>SUM(объемы!AA39)</f>
        <v>3158.83</v>
      </c>
      <c r="BN56" s="2738"/>
      <c r="BO56" s="2738"/>
      <c r="BP56" s="2732">
        <f>SUM(объемы!AB39)</f>
        <v>4683.07</v>
      </c>
      <c r="BQ56" s="3425"/>
      <c r="BR56" s="3425"/>
      <c r="BS56" s="3419">
        <f>SUM(объемы!AC39)</f>
        <v>6332.03</v>
      </c>
      <c r="BT56" s="3451"/>
      <c r="BU56" s="3425"/>
      <c r="BV56" s="3439">
        <f>SUM(объемы!AD39)</f>
        <v>5636.25</v>
      </c>
      <c r="BW56" s="3440">
        <f t="shared" si="17"/>
        <v>0.99304284183710412</v>
      </c>
      <c r="BX56" s="3425"/>
      <c r="BY56" s="3425"/>
      <c r="BZ56" s="3439">
        <f>SUM(объемы!AE39)</f>
        <v>5570.6850000000004</v>
      </c>
      <c r="CA56" s="3425"/>
      <c r="CB56" s="3418"/>
      <c r="CC56" s="3957">
        <f t="shared" ref="CC56:CC62" si="36">BZ56-BV56</f>
        <v>-65.5649999999996</v>
      </c>
      <c r="CD56" s="4101"/>
      <c r="CE56" s="4102"/>
      <c r="CF56" s="3952">
        <f>SUM(объемы!AF39)</f>
        <v>3202.46</v>
      </c>
      <c r="CG56" s="4102"/>
      <c r="CH56" s="3952"/>
      <c r="CI56" s="3952">
        <f>SUM(объемы!AG39)</f>
        <v>5034.43</v>
      </c>
      <c r="CJ56" s="4102"/>
      <c r="CK56" s="3952"/>
      <c r="CL56" s="3952">
        <f>SUM(объемы!AH39)</f>
        <v>6245.85</v>
      </c>
      <c r="CM56" s="3451"/>
      <c r="CN56" s="3425"/>
      <c r="CO56" s="3439">
        <f>SUM(объемы!AI39)</f>
        <v>5570</v>
      </c>
      <c r="CP56" s="3440" t="e">
        <f t="shared" si="33"/>
        <v>#DIV/0!</v>
      </c>
      <c r="CQ56" s="3425"/>
      <c r="CR56" s="3425"/>
      <c r="CS56" s="4396">
        <f>SUM(объемы!AJ39)</f>
        <v>5326.2809999999999</v>
      </c>
    </row>
    <row r="57" spans="1:97" ht="45" customHeight="1">
      <c r="A57" s="976" t="s">
        <v>146</v>
      </c>
      <c r="B57" s="771"/>
      <c r="C57" s="376"/>
      <c r="D57" s="376"/>
      <c r="E57" s="376"/>
      <c r="F57" s="376"/>
      <c r="G57" s="376"/>
      <c r="H57" s="376"/>
      <c r="I57" s="376"/>
      <c r="J57" s="779"/>
      <c r="K57" s="814"/>
      <c r="L57" s="956"/>
      <c r="M57" s="957">
        <f>L48/M56</f>
        <v>0.18573617021276598</v>
      </c>
      <c r="N57" s="956"/>
      <c r="O57" s="956"/>
      <c r="P57" s="956"/>
      <c r="Q57" s="957">
        <f>AH20</f>
        <v>0.14554379746835441</v>
      </c>
      <c r="R57" s="956"/>
      <c r="S57" s="957"/>
      <c r="T57" s="960"/>
      <c r="U57" s="956"/>
      <c r="V57" s="957">
        <f t="shared" si="11"/>
        <v>-4.0192372744411564E-2</v>
      </c>
      <c r="W57" s="956"/>
      <c r="X57" s="970"/>
      <c r="Y57" s="970"/>
      <c r="Z57" s="957">
        <f>Y48/Z56</f>
        <v>0.14465748718976326</v>
      </c>
      <c r="AA57" s="956"/>
      <c r="AB57" s="956"/>
      <c r="AC57" s="956"/>
      <c r="AD57" s="957">
        <f>AC48/AD56</f>
        <v>0.13366227219852655</v>
      </c>
      <c r="AE57" s="1002"/>
      <c r="AF57" s="1002"/>
      <c r="AG57" s="958">
        <f>AF48/AG56</f>
        <v>0.1305331116811648</v>
      </c>
      <c r="AH57" s="814"/>
      <c r="AI57" s="956"/>
      <c r="AJ57" s="957">
        <f>AI48/AJ56</f>
        <v>0.14599924483149224</v>
      </c>
      <c r="AK57" s="956"/>
      <c r="AL57" s="956"/>
      <c r="AM57" s="956"/>
      <c r="AN57" s="957">
        <f>AP20</f>
        <v>0.15880621825734828</v>
      </c>
      <c r="AO57" s="993"/>
      <c r="AP57" s="987"/>
      <c r="AQ57" s="987">
        <f t="shared" si="34"/>
        <v>1.2806973425856044E-2</v>
      </c>
      <c r="AR57" s="993"/>
      <c r="AS57" s="993"/>
      <c r="AT57" s="987">
        <f>AS48/AT56</f>
        <v>0.12322324135412244</v>
      </c>
      <c r="AU57" s="993"/>
      <c r="AV57" s="993"/>
      <c r="AW57" s="987">
        <f>AV48/AW56</f>
        <v>0.10962027450374386</v>
      </c>
      <c r="AX57" s="550"/>
      <c r="AY57" s="1002"/>
      <c r="AZ57" s="958">
        <f>AY48/AZ56</f>
        <v>0.15819080501292135</v>
      </c>
      <c r="BA57" s="1006">
        <f t="shared" si="26"/>
        <v>0.99612475348144336</v>
      </c>
      <c r="BB57" s="2463"/>
      <c r="BC57" s="4072"/>
      <c r="BD57" s="987">
        <v>0.124</v>
      </c>
      <c r="BE57" s="956"/>
      <c r="BF57" s="957"/>
      <c r="BG57" s="4074">
        <f t="shared" si="35"/>
        <v>-3.4190805012921349E-2</v>
      </c>
      <c r="BH57" s="2805"/>
      <c r="BI57" s="2806"/>
      <c r="BJ57" s="4075">
        <f>BI48/BJ56</f>
        <v>0.11051751529526677</v>
      </c>
      <c r="BK57" s="2742"/>
      <c r="BL57" s="2738"/>
      <c r="BM57" s="2730">
        <f>BL48/BM56</f>
        <v>0.1262397786522225</v>
      </c>
      <c r="BN57" s="2738"/>
      <c r="BO57" s="2738"/>
      <c r="BP57" s="2730">
        <f>BO48/BP56</f>
        <v>0.11728524237305871</v>
      </c>
      <c r="BQ57" s="3425"/>
      <c r="BR57" s="3425"/>
      <c r="BS57" s="4076">
        <f>BR48/BS56</f>
        <v>0.124641860509189</v>
      </c>
      <c r="BT57" s="3451"/>
      <c r="BU57" s="3425"/>
      <c r="BV57" s="3418">
        <v>0.124</v>
      </c>
      <c r="BW57" s="3440">
        <f t="shared" si="17"/>
        <v>1</v>
      </c>
      <c r="BX57" s="4077"/>
      <c r="BY57" s="3425"/>
      <c r="BZ57" s="3418">
        <v>0.124</v>
      </c>
      <c r="CA57" s="3426"/>
      <c r="CB57" s="3960"/>
      <c r="CC57" s="3427">
        <f t="shared" si="36"/>
        <v>0</v>
      </c>
      <c r="CD57" s="4101"/>
      <c r="CE57" s="4102"/>
      <c r="CF57" s="4204">
        <f>CE48/CF56</f>
        <v>0.13762232783547648</v>
      </c>
      <c r="CG57" s="4102"/>
      <c r="CH57" s="4204"/>
      <c r="CI57" s="4204">
        <f>CH48/CI56</f>
        <v>0.12615469874444574</v>
      </c>
      <c r="CJ57" s="4102"/>
      <c r="CK57" s="4204"/>
      <c r="CL57" s="4204">
        <f>CK48/CL56</f>
        <v>0.13558165288418175</v>
      </c>
      <c r="CM57" s="3451"/>
      <c r="CN57" s="3425"/>
      <c r="CO57" s="3418">
        <v>0.124</v>
      </c>
      <c r="CP57" s="3440" t="e">
        <f t="shared" si="33"/>
        <v>#DIV/0!</v>
      </c>
      <c r="CQ57" s="3425"/>
      <c r="CR57" s="3425"/>
      <c r="CS57" s="3427">
        <v>0.124</v>
      </c>
    </row>
    <row r="58" spans="1:97" ht="45.75" customHeight="1">
      <c r="A58" s="976" t="s">
        <v>881</v>
      </c>
      <c r="B58" s="771"/>
      <c r="C58" s="376"/>
      <c r="D58" s="376"/>
      <c r="E58" s="376"/>
      <c r="F58" s="376"/>
      <c r="G58" s="376"/>
      <c r="H58" s="376"/>
      <c r="I58" s="376"/>
      <c r="J58" s="779"/>
      <c r="K58" s="814"/>
      <c r="L58" s="956"/>
      <c r="M58" s="851">
        <f>объемы!E44</f>
        <v>4999</v>
      </c>
      <c r="N58" s="956"/>
      <c r="O58" s="956"/>
      <c r="P58" s="956"/>
      <c r="Q58" s="851">
        <f>объемы!F44</f>
        <v>5051.2</v>
      </c>
      <c r="R58" s="956"/>
      <c r="S58" s="957"/>
      <c r="T58" s="960"/>
      <c r="U58" s="956"/>
      <c r="V58" s="960">
        <f t="shared" si="11"/>
        <v>52.199999999999818</v>
      </c>
      <c r="W58" s="956"/>
      <c r="X58" s="970"/>
      <c r="Y58" s="970"/>
      <c r="Z58" s="851">
        <v>3054.18</v>
      </c>
      <c r="AA58" s="956"/>
      <c r="AB58" s="956"/>
      <c r="AC58" s="956"/>
      <c r="AD58" s="851">
        <v>4509.2</v>
      </c>
      <c r="AE58" s="1002"/>
      <c r="AF58" s="1002"/>
      <c r="AG58" s="421">
        <f>SUM(объемы!I44)</f>
        <v>6136.9000000000005</v>
      </c>
      <c r="AH58" s="814"/>
      <c r="AI58" s="956"/>
      <c r="AJ58" s="851">
        <f>SUM(объемы!J44)</f>
        <v>5046.03</v>
      </c>
      <c r="AK58" s="956"/>
      <c r="AL58" s="956"/>
      <c r="AM58" s="956"/>
      <c r="AN58" s="851">
        <f>SUM(объемы!K44)</f>
        <v>5050.4000000000005</v>
      </c>
      <c r="AO58" s="993"/>
      <c r="AP58" s="987"/>
      <c r="AQ58" s="988">
        <f t="shared" si="34"/>
        <v>4.3700000000008004</v>
      </c>
      <c r="AR58" s="993"/>
      <c r="AS58" s="993"/>
      <c r="AT58" s="990">
        <f>SUM(объемы!N44)</f>
        <v>2888.49</v>
      </c>
      <c r="AU58" s="993"/>
      <c r="AV58" s="993"/>
      <c r="AW58" s="990">
        <f>объемы!P39</f>
        <v>4965.25</v>
      </c>
      <c r="AX58" s="550"/>
      <c r="AY58" s="1002"/>
      <c r="AZ58" s="999">
        <f>SUM(объемы!T44)</f>
        <v>5007.92</v>
      </c>
      <c r="BA58" s="1006">
        <f t="shared" si="26"/>
        <v>0.99158878504672887</v>
      </c>
      <c r="BB58" s="2445"/>
      <c r="BC58" s="4072"/>
      <c r="BD58" s="990">
        <f>объемы!U44</f>
        <v>4967.9170000000004</v>
      </c>
      <c r="BE58" s="956"/>
      <c r="BF58" s="957"/>
      <c r="BG58" s="980">
        <f t="shared" si="35"/>
        <v>-40.002999999999702</v>
      </c>
      <c r="BH58" s="2805"/>
      <c r="BI58" s="2806"/>
      <c r="BJ58" s="2800">
        <f>SUM(объемы!R44)</f>
        <v>5666.93</v>
      </c>
      <c r="BK58" s="2742"/>
      <c r="BL58" s="2738"/>
      <c r="BM58" s="2732">
        <f>SUM(объемы!AA45)</f>
        <v>2511.62</v>
      </c>
      <c r="BN58" s="2738"/>
      <c r="BO58" s="2738"/>
      <c r="BP58" s="2732">
        <f>SUM(объемы!AB45)</f>
        <v>3803.72</v>
      </c>
      <c r="BQ58" s="3425"/>
      <c r="BR58" s="3425"/>
      <c r="BS58" s="3419">
        <f>SUM(объемы!AC45)</f>
        <v>5144.2299999999996</v>
      </c>
      <c r="BT58" s="3451"/>
      <c r="BU58" s="3425"/>
      <c r="BV58" s="3439">
        <f>SUM(объемы!AD44)</f>
        <v>4736.25</v>
      </c>
      <c r="BW58" s="3440">
        <f t="shared" si="17"/>
        <v>0.95336737711197661</v>
      </c>
      <c r="BX58" s="3425"/>
      <c r="BY58" s="3425"/>
      <c r="BZ58" s="3439">
        <f>SUM(объемы!AE45)</f>
        <v>4696.1390000000001</v>
      </c>
      <c r="CA58" s="3425"/>
      <c r="CB58" s="3418"/>
      <c r="CC58" s="3957">
        <f t="shared" si="36"/>
        <v>-40.110999999999876</v>
      </c>
      <c r="CD58" s="4101"/>
      <c r="CE58" s="4102"/>
      <c r="CF58" s="3952">
        <f>SUM(объемы!AF45)</f>
        <v>2727.48</v>
      </c>
      <c r="CG58" s="4102"/>
      <c r="CH58" s="3952"/>
      <c r="CI58" s="3952">
        <f>SUM(объемы!AG45)</f>
        <v>4130.59</v>
      </c>
      <c r="CJ58" s="4102"/>
      <c r="CK58" s="3952"/>
      <c r="CL58" s="3952">
        <f>SUM(объемы!AH45)</f>
        <v>5144</v>
      </c>
      <c r="CM58" s="3451"/>
      <c r="CN58" s="3425"/>
      <c r="CO58" s="3439">
        <f>SUM(объемы!AI45)</f>
        <v>4635</v>
      </c>
      <c r="CP58" s="3440" t="e">
        <f t="shared" si="33"/>
        <v>#DIV/0!</v>
      </c>
      <c r="CQ58" s="3425"/>
      <c r="CR58" s="3425"/>
      <c r="CS58" s="4396">
        <f>SUM(объемы!AJ44)</f>
        <v>4509.8630000000003</v>
      </c>
    </row>
    <row r="59" spans="1:97" ht="40.5" customHeight="1">
      <c r="A59" s="976" t="s">
        <v>147</v>
      </c>
      <c r="B59" s="771"/>
      <c r="C59" s="376"/>
      <c r="D59" s="376"/>
      <c r="E59" s="376"/>
      <c r="F59" s="376"/>
      <c r="G59" s="376"/>
      <c r="H59" s="376"/>
      <c r="I59" s="376"/>
      <c r="J59" s="779"/>
      <c r="K59" s="814"/>
      <c r="L59" s="956"/>
      <c r="M59" s="957">
        <f>L50/M58</f>
        <v>0.35103020604120821</v>
      </c>
      <c r="N59" s="956"/>
      <c r="O59" s="956"/>
      <c r="P59" s="956"/>
      <c r="Q59" s="957">
        <f>AH22</f>
        <v>0.26482803446738967</v>
      </c>
      <c r="R59" s="956"/>
      <c r="S59" s="957"/>
      <c r="T59" s="960"/>
      <c r="U59" s="956"/>
      <c r="V59" s="957">
        <f t="shared" si="11"/>
        <v>-8.6202171573818542E-2</v>
      </c>
      <c r="W59" s="956"/>
      <c r="X59" s="970"/>
      <c r="Y59" s="970"/>
      <c r="Z59" s="957">
        <f>Y50/Z58</f>
        <v>0.26849105160796027</v>
      </c>
      <c r="AA59" s="956"/>
      <c r="AB59" s="956"/>
      <c r="AC59" s="956"/>
      <c r="AD59" s="957">
        <f>AC50/AD58</f>
        <v>0.26396034773352256</v>
      </c>
      <c r="AE59" s="1002"/>
      <c r="AF59" s="1002"/>
      <c r="AG59" s="958">
        <f>AF50/AG58</f>
        <v>0.24905571216738093</v>
      </c>
      <c r="AH59" s="814"/>
      <c r="AI59" s="956"/>
      <c r="AJ59" s="957">
        <f>AI50/AJ58</f>
        <v>0.27498845627156399</v>
      </c>
      <c r="AK59" s="956"/>
      <c r="AL59" s="956"/>
      <c r="AM59" s="956"/>
      <c r="AN59" s="957">
        <f>AP22</f>
        <v>0.24172159546971789</v>
      </c>
      <c r="AO59" s="993"/>
      <c r="AP59" s="987"/>
      <c r="AQ59" s="987">
        <f t="shared" si="34"/>
        <v>-3.3266860801846099E-2</v>
      </c>
      <c r="AR59" s="993"/>
      <c r="AS59" s="993"/>
      <c r="AT59" s="987">
        <f>AS50/AT58</f>
        <v>0.23473164179207823</v>
      </c>
      <c r="AU59" s="993"/>
      <c r="AV59" s="993"/>
      <c r="AW59" s="987">
        <f>AV50/AW58</f>
        <v>0.20463420774381955</v>
      </c>
      <c r="AX59" s="550"/>
      <c r="AY59" s="1002"/>
      <c r="AZ59" s="958">
        <f>AY50/AZ58</f>
        <v>0.30520255914631222</v>
      </c>
      <c r="BA59" s="1006">
        <f t="shared" si="26"/>
        <v>1.2626201583405776</v>
      </c>
      <c r="BB59" s="987">
        <f>SUM(BB54+BB58)</f>
        <v>4.1192606218313967</v>
      </c>
      <c r="BC59" s="4072"/>
      <c r="BD59" s="987">
        <v>0.249</v>
      </c>
      <c r="BE59" s="956"/>
      <c r="BF59" s="957"/>
      <c r="BG59" s="4074">
        <f t="shared" si="35"/>
        <v>-5.6202559146312225E-2</v>
      </c>
      <c r="BH59" s="2805"/>
      <c r="BI59" s="2806"/>
      <c r="BJ59" s="4075">
        <f>BI50/BJ58</f>
        <v>0.25099127746416489</v>
      </c>
      <c r="BK59" s="2742"/>
      <c r="BL59" s="2738"/>
      <c r="BM59" s="2730">
        <f>BL50/BM58</f>
        <v>0.32946464831463362</v>
      </c>
      <c r="BN59" s="2738"/>
      <c r="BO59" s="2738"/>
      <c r="BP59" s="2730">
        <f>BO50/BP58</f>
        <v>0.29840997760087495</v>
      </c>
      <c r="BQ59" s="3425"/>
      <c r="BR59" s="3425"/>
      <c r="BS59" s="4076">
        <f>BR50/BS58</f>
        <v>0.2948237151138266</v>
      </c>
      <c r="BT59" s="3451"/>
      <c r="BU59" s="3425"/>
      <c r="BV59" s="3418">
        <v>0.249</v>
      </c>
      <c r="BW59" s="3440">
        <f t="shared" si="17"/>
        <v>1</v>
      </c>
      <c r="BX59" s="3418"/>
      <c r="BY59" s="3425"/>
      <c r="BZ59" s="3418">
        <f>BY50/BZ58</f>
        <v>0.24200731707472883</v>
      </c>
      <c r="CA59" s="3426"/>
      <c r="CB59" s="3960"/>
      <c r="CC59" s="3427">
        <f t="shared" si="36"/>
        <v>-6.9926829252711653E-3</v>
      </c>
      <c r="CD59" s="4101"/>
      <c r="CE59" s="4102"/>
      <c r="CF59" s="4204">
        <f>CE50/CF58</f>
        <v>0.27285516300761142</v>
      </c>
      <c r="CG59" s="4102"/>
      <c r="CH59" s="4204"/>
      <c r="CI59" s="4204">
        <f>CH50/CI58</f>
        <v>0.27398676702359714</v>
      </c>
      <c r="CJ59" s="4102"/>
      <c r="CK59" s="4204"/>
      <c r="CL59" s="4204">
        <f>CK50/CL58</f>
        <v>0.29334551581130119</v>
      </c>
      <c r="CM59" s="3451"/>
      <c r="CN59" s="3425"/>
      <c r="CO59" s="3418">
        <v>0.24199999999999999</v>
      </c>
      <c r="CP59" s="3440" t="e">
        <f t="shared" si="33"/>
        <v>#DIV/0!</v>
      </c>
      <c r="CQ59" s="3425"/>
      <c r="CR59" s="3425"/>
      <c r="CS59" s="3427">
        <v>0.24199999999999999</v>
      </c>
    </row>
    <row r="60" spans="1:97" ht="48" customHeight="1">
      <c r="A60" s="977" t="s">
        <v>148</v>
      </c>
      <c r="B60" s="771"/>
      <c r="C60" s="376"/>
      <c r="D60" s="376"/>
      <c r="E60" s="376"/>
      <c r="F60" s="376"/>
      <c r="G60" s="376"/>
      <c r="H60" s="376"/>
      <c r="I60" s="376"/>
      <c r="J60" s="779"/>
      <c r="K60" s="814"/>
      <c r="L60" s="956"/>
      <c r="M60" s="851">
        <f>объемы!E58</f>
        <v>3600</v>
      </c>
      <c r="N60" s="956"/>
      <c r="O60" s="956"/>
      <c r="P60" s="956"/>
      <c r="Q60" s="851">
        <f>объемы!F57</f>
        <v>3672.7</v>
      </c>
      <c r="R60" s="956"/>
      <c r="S60" s="957"/>
      <c r="T60" s="960"/>
      <c r="U60" s="956"/>
      <c r="V60" s="960">
        <f t="shared" si="11"/>
        <v>72.699999999999818</v>
      </c>
      <c r="W60" s="956"/>
      <c r="X60" s="970"/>
      <c r="Y60" s="970"/>
      <c r="Z60" s="851">
        <v>1773.8</v>
      </c>
      <c r="AA60" s="956"/>
      <c r="AB60" s="956"/>
      <c r="AC60" s="956"/>
      <c r="AD60" s="851">
        <v>2603.1999999999998</v>
      </c>
      <c r="AE60" s="1002"/>
      <c r="AF60" s="1002"/>
      <c r="AG60" s="421">
        <f>объемы!I57</f>
        <v>4393.3999999999996</v>
      </c>
      <c r="AH60" s="814"/>
      <c r="AI60" s="956"/>
      <c r="AJ60" s="851">
        <f>объемы!J58</f>
        <v>3672.7</v>
      </c>
      <c r="AK60" s="956"/>
      <c r="AL60" s="956"/>
      <c r="AM60" s="956"/>
      <c r="AN60" s="851">
        <f>объемы!K57</f>
        <v>3644.7</v>
      </c>
      <c r="AO60" s="993"/>
      <c r="AP60" s="987"/>
      <c r="AQ60" s="988">
        <f t="shared" si="34"/>
        <v>-28</v>
      </c>
      <c r="AR60" s="993"/>
      <c r="AS60" s="993"/>
      <c r="AT60" s="990">
        <f>объемы!N57</f>
        <v>2027.43</v>
      </c>
      <c r="AU60" s="993"/>
      <c r="AV60" s="993"/>
      <c r="AW60" s="990">
        <f>объемы!P57</f>
        <v>2915.24</v>
      </c>
      <c r="AX60" s="550"/>
      <c r="AY60" s="1002"/>
      <c r="AZ60" s="999">
        <f>SUM(объемы!T58)</f>
        <v>3463.9333333333334</v>
      </c>
      <c r="BA60" s="1006">
        <f t="shared" si="26"/>
        <v>0.95040286809156682</v>
      </c>
      <c r="BB60" s="993"/>
      <c r="BC60" s="4072"/>
      <c r="BD60" s="990">
        <f>SUM(объемы!U58:V58)</f>
        <v>3463.9333333333334</v>
      </c>
      <c r="BE60" s="956"/>
      <c r="BF60" s="957"/>
      <c r="BG60" s="980">
        <f t="shared" si="35"/>
        <v>0</v>
      </c>
      <c r="BH60" s="2805"/>
      <c r="BI60" s="2806"/>
      <c r="BJ60" s="2800">
        <f>SUM(объемы!R58:S58)</f>
        <v>3209.95</v>
      </c>
      <c r="BK60" s="2742"/>
      <c r="BL60" s="2738"/>
      <c r="BM60" s="2732">
        <f>SUM(объемы!AA58)</f>
        <v>1577.71</v>
      </c>
      <c r="BN60" s="2738"/>
      <c r="BO60" s="2738"/>
      <c r="BP60" s="2732">
        <f>SUM(объемы!AB58)</f>
        <v>2304.86</v>
      </c>
      <c r="BQ60" s="3425"/>
      <c r="BR60" s="3425"/>
      <c r="BS60" s="3419">
        <f>SUM(объемы!AC58)</f>
        <v>3061.4900000000002</v>
      </c>
      <c r="BT60" s="3451"/>
      <c r="BU60" s="3425"/>
      <c r="BV60" s="3439">
        <f>SUM(объемы!AD58)</f>
        <v>3223</v>
      </c>
      <c r="BW60" s="3440">
        <f t="shared" si="17"/>
        <v>0.93044515868280753</v>
      </c>
      <c r="BX60" s="3425"/>
      <c r="BY60" s="3425"/>
      <c r="BZ60" s="3439">
        <f>SUM(объемы!AE58)</f>
        <v>3295.75</v>
      </c>
      <c r="CA60" s="3425"/>
      <c r="CB60" s="3418"/>
      <c r="CC60" s="3957">
        <f t="shared" si="36"/>
        <v>72.75</v>
      </c>
      <c r="CD60" s="4101"/>
      <c r="CE60" s="4102"/>
      <c r="CF60" s="3952">
        <f>SUM(объемы!AF58)</f>
        <v>1601.85</v>
      </c>
      <c r="CG60" s="4102"/>
      <c r="CH60" s="3952"/>
      <c r="CI60" s="3952">
        <f>SUM(объемы!AG58)</f>
        <v>2339.08</v>
      </c>
      <c r="CJ60" s="4102"/>
      <c r="CK60" s="3952"/>
      <c r="CL60" s="3952">
        <f>SUM(объемы!AH58)</f>
        <v>3100</v>
      </c>
      <c r="CM60" s="3451"/>
      <c r="CN60" s="3425"/>
      <c r="CO60" s="3439">
        <f>SUM(объемы!AI58)</f>
        <v>3253</v>
      </c>
      <c r="CP60" s="3440" t="e">
        <f t="shared" si="33"/>
        <v>#DIV/0!</v>
      </c>
      <c r="CQ60" s="3425"/>
      <c r="CR60" s="3425"/>
      <c r="CS60" s="4396">
        <f>SUM(объемы!AJ58)</f>
        <v>3248.93</v>
      </c>
    </row>
    <row r="61" spans="1:97" ht="56.25" customHeight="1">
      <c r="A61" s="976" t="s">
        <v>149</v>
      </c>
      <c r="B61" s="771"/>
      <c r="C61" s="376"/>
      <c r="D61" s="376"/>
      <c r="E61" s="376"/>
      <c r="F61" s="376"/>
      <c r="G61" s="376"/>
      <c r="H61" s="376"/>
      <c r="I61" s="376"/>
      <c r="J61" s="779"/>
      <c r="K61" s="814"/>
      <c r="L61" s="956"/>
      <c r="M61" s="957">
        <f>L52/M60</f>
        <v>0.1105</v>
      </c>
      <c r="N61" s="956"/>
      <c r="O61" s="956"/>
      <c r="P61" s="956"/>
      <c r="Q61" s="957">
        <f>AB25</f>
        <v>9.9000000000000005E-2</v>
      </c>
      <c r="R61" s="956"/>
      <c r="S61" s="957"/>
      <c r="T61" s="960"/>
      <c r="U61" s="956"/>
      <c r="V61" s="957">
        <f t="shared" si="11"/>
        <v>-1.1499999999999996E-2</v>
      </c>
      <c r="W61" s="956"/>
      <c r="X61" s="970"/>
      <c r="Y61" s="970"/>
      <c r="Z61" s="957">
        <f>Y52/Z60</f>
        <v>9.1423497575825907E-2</v>
      </c>
      <c r="AA61" s="956"/>
      <c r="AB61" s="956"/>
      <c r="AC61" s="956"/>
      <c r="AD61" s="957">
        <f>AC52/AD60</f>
        <v>8.6067148125384157E-2</v>
      </c>
      <c r="AE61" s="1002"/>
      <c r="AF61" s="1002"/>
      <c r="AG61" s="2065">
        <f>AF52/AG60</f>
        <v>6.9781945645741347E-2</v>
      </c>
      <c r="AH61" s="814"/>
      <c r="AI61" s="956"/>
      <c r="AJ61" s="957">
        <f>AI52/AJ60</f>
        <v>0.1083126854902388</v>
      </c>
      <c r="AK61" s="956"/>
      <c r="AL61" s="956"/>
      <c r="AM61" s="956"/>
      <c r="AN61" s="957">
        <f>Q61</f>
        <v>9.9000000000000005E-2</v>
      </c>
      <c r="AO61" s="993"/>
      <c r="AP61" s="987"/>
      <c r="AQ61" s="987">
        <f t="shared" si="34"/>
        <v>-9.3126854902387951E-3</v>
      </c>
      <c r="AR61" s="993"/>
      <c r="AS61" s="993"/>
      <c r="AT61" s="987">
        <f>AS52/AT60</f>
        <v>7.2579571181249164E-2</v>
      </c>
      <c r="AU61" s="993"/>
      <c r="AV61" s="993"/>
      <c r="AW61" s="987">
        <f>AV52/AW60</f>
        <v>6.5847065764739796E-2</v>
      </c>
      <c r="AX61" s="550"/>
      <c r="AY61" s="1002"/>
      <c r="AZ61" s="958">
        <f>AY52/AZ60</f>
        <v>8.8506322292576836E-2</v>
      </c>
      <c r="BA61" s="1006">
        <f t="shared" si="26"/>
        <v>0.89400325548057402</v>
      </c>
      <c r="BB61" s="993"/>
      <c r="BC61" s="4072"/>
      <c r="BD61" s="987">
        <v>8.4000000000000005E-2</v>
      </c>
      <c r="BE61" s="956"/>
      <c r="BF61" s="957"/>
      <c r="BG61" s="4074">
        <f t="shared" si="35"/>
        <v>-4.5063222925768309E-3</v>
      </c>
      <c r="BH61" s="2805"/>
      <c r="BI61" s="2806"/>
      <c r="BJ61" s="4075">
        <f>BI52/BJ60</f>
        <v>8.3178865714419237E-2</v>
      </c>
      <c r="BK61" s="2742"/>
      <c r="BL61" s="2738"/>
      <c r="BM61" s="2730">
        <f>BL52/BM60</f>
        <v>9.9758510752926702E-2</v>
      </c>
      <c r="BN61" s="2738"/>
      <c r="BO61" s="2738"/>
      <c r="BP61" s="2730">
        <f>BO52/BP60</f>
        <v>8.9345990645852677E-2</v>
      </c>
      <c r="BQ61" s="3425"/>
      <c r="BR61" s="3425"/>
      <c r="BS61" s="4076">
        <f>BR52/BS60</f>
        <v>9.2121809968348733E-2</v>
      </c>
      <c r="BT61" s="3451"/>
      <c r="BU61" s="3425"/>
      <c r="BV61" s="3418">
        <v>8.4000000000000005E-2</v>
      </c>
      <c r="BW61" s="3440">
        <f t="shared" si="17"/>
        <v>1</v>
      </c>
      <c r="BX61" s="3425"/>
      <c r="BY61" s="3425"/>
      <c r="BZ61" s="3418">
        <f>BY52/BZ60</f>
        <v>8.3986952893878489E-2</v>
      </c>
      <c r="CA61" s="3426"/>
      <c r="CB61" s="3960"/>
      <c r="CC61" s="3427">
        <f t="shared" si="36"/>
        <v>-1.3047106121516494E-5</v>
      </c>
      <c r="CD61" s="4101"/>
      <c r="CE61" s="4102"/>
      <c r="CF61" s="4204">
        <f>CE52/CF60</f>
        <v>0.11385023566501234</v>
      </c>
      <c r="CG61" s="4102"/>
      <c r="CH61" s="4204"/>
      <c r="CI61" s="4204">
        <f>CH52/CI60</f>
        <v>0.1086465618961301</v>
      </c>
      <c r="CJ61" s="4102"/>
      <c r="CK61" s="4204"/>
      <c r="CL61" s="4204">
        <f>CK52/CL60</f>
        <v>0.10930451612903228</v>
      </c>
      <c r="CM61" s="3451"/>
      <c r="CN61" s="3425"/>
      <c r="CO61" s="3418">
        <v>8.4000000000000005E-2</v>
      </c>
      <c r="CP61" s="3440" t="e">
        <f t="shared" si="33"/>
        <v>#DIV/0!</v>
      </c>
      <c r="CQ61" s="3425"/>
      <c r="CR61" s="3425"/>
      <c r="CS61" s="3427">
        <v>8.4000000000000005E-2</v>
      </c>
    </row>
    <row r="62" spans="1:97" ht="58.5" customHeight="1" thickBot="1">
      <c r="A62" s="978" t="s">
        <v>150</v>
      </c>
      <c r="B62" s="771"/>
      <c r="C62" s="376"/>
      <c r="D62" s="376"/>
      <c r="E62" s="376"/>
      <c r="F62" s="376"/>
      <c r="G62" s="376"/>
      <c r="H62" s="376"/>
      <c r="I62" s="376"/>
      <c r="J62" s="779"/>
      <c r="K62" s="581"/>
      <c r="L62" s="405"/>
      <c r="M62" s="971">
        <f>L54/M60</f>
        <v>0.63394444444444442</v>
      </c>
      <c r="N62" s="405"/>
      <c r="O62" s="405"/>
      <c r="P62" s="405"/>
      <c r="Q62" s="971">
        <f>AH26</f>
        <v>0.39184614210486146</v>
      </c>
      <c r="R62" s="405"/>
      <c r="S62" s="971"/>
      <c r="T62" s="638"/>
      <c r="U62" s="405"/>
      <c r="V62" s="971">
        <f t="shared" si="11"/>
        <v>-0.24209830233958296</v>
      </c>
      <c r="W62" s="405"/>
      <c r="X62" s="972"/>
      <c r="Y62" s="972"/>
      <c r="Z62" s="971">
        <f>Y54/Z60</f>
        <v>0.5300879467809223</v>
      </c>
      <c r="AA62" s="405"/>
      <c r="AB62" s="405"/>
      <c r="AC62" s="405"/>
      <c r="AD62" s="971">
        <f>AC54/AD60</f>
        <v>0.52707437000614632</v>
      </c>
      <c r="AE62" s="1003"/>
      <c r="AF62" s="1003"/>
      <c r="AG62" s="2066">
        <f>AF54/AG60</f>
        <v>0.42197159375426785</v>
      </c>
      <c r="AH62" s="581"/>
      <c r="AI62" s="405"/>
      <c r="AJ62" s="971">
        <f>AI54/AJ60</f>
        <v>0.6213957034334413</v>
      </c>
      <c r="AK62" s="405"/>
      <c r="AL62" s="405"/>
      <c r="AM62" s="405"/>
      <c r="AN62" s="971">
        <f>Q62</f>
        <v>0.39184614210486146</v>
      </c>
      <c r="AO62" s="995"/>
      <c r="AP62" s="996"/>
      <c r="AQ62" s="996">
        <f t="shared" si="34"/>
        <v>-0.22954956132857984</v>
      </c>
      <c r="AR62" s="995"/>
      <c r="AS62" s="995"/>
      <c r="AT62" s="996">
        <f>AS54/AT60</f>
        <v>0.46817892602950534</v>
      </c>
      <c r="AU62" s="995"/>
      <c r="AV62" s="995"/>
      <c r="AW62" s="996">
        <f>AV54/AW60</f>
        <v>0.47851291831890347</v>
      </c>
      <c r="AX62" s="586"/>
      <c r="AY62" s="1003"/>
      <c r="AZ62" s="1004">
        <f>AY54/AZ60</f>
        <v>0.5351979445331897</v>
      </c>
      <c r="BA62" s="1008">
        <f t="shared" si="26"/>
        <v>1.3658369625850904</v>
      </c>
      <c r="BB62" s="995"/>
      <c r="BC62" s="4073"/>
      <c r="BD62" s="996">
        <v>0.42</v>
      </c>
      <c r="BE62" s="405"/>
      <c r="BF62" s="971"/>
      <c r="BG62" s="4078">
        <f t="shared" si="35"/>
        <v>-0.11519794453318971</v>
      </c>
      <c r="BH62" s="4071"/>
      <c r="BI62" s="4079"/>
      <c r="BJ62" s="4080">
        <f>BI54/BJ60</f>
        <v>0.57838284085421887</v>
      </c>
      <c r="BK62" s="4081"/>
      <c r="BL62" s="4082"/>
      <c r="BM62" s="2739">
        <f>BL54/BM60</f>
        <v>0.57181611322739923</v>
      </c>
      <c r="BN62" s="4082"/>
      <c r="BO62" s="4082"/>
      <c r="BP62" s="2739">
        <f>BO54/BP60</f>
        <v>0.57833577744418307</v>
      </c>
      <c r="BQ62" s="3455"/>
      <c r="BR62" s="3455"/>
      <c r="BS62" s="4083">
        <f>BR54/BS60</f>
        <v>0.60181382268111272</v>
      </c>
      <c r="BT62" s="3454"/>
      <c r="BU62" s="3455"/>
      <c r="BV62" s="3456">
        <v>0.42</v>
      </c>
      <c r="BW62" s="3457">
        <f t="shared" si="17"/>
        <v>1</v>
      </c>
      <c r="BX62" s="3455"/>
      <c r="BY62" s="3455"/>
      <c r="BZ62" s="3456">
        <f>BY54/BZ60</f>
        <v>0.41999544868391109</v>
      </c>
      <c r="CA62" s="3428"/>
      <c r="CB62" s="3961"/>
      <c r="CC62" s="3429">
        <f t="shared" si="36"/>
        <v>-4.5513160888965842E-6</v>
      </c>
      <c r="CD62" s="4100"/>
      <c r="CE62" s="4208"/>
      <c r="CF62" s="4209">
        <f>CE54/CF60</f>
        <v>0.6301601273527484</v>
      </c>
      <c r="CG62" s="4208"/>
      <c r="CH62" s="4209"/>
      <c r="CI62" s="4209">
        <f>CH54/CI60</f>
        <v>0.63299887135112953</v>
      </c>
      <c r="CJ62" s="4208"/>
      <c r="CK62" s="4209"/>
      <c r="CL62" s="4209">
        <f>CK54/CL60</f>
        <v>0.63683225806451604</v>
      </c>
      <c r="CM62" s="3454"/>
      <c r="CN62" s="3455"/>
      <c r="CO62" s="3456">
        <v>0.42</v>
      </c>
      <c r="CP62" s="3457" t="e">
        <f t="shared" si="33"/>
        <v>#DIV/0!</v>
      </c>
      <c r="CQ62" s="3455"/>
      <c r="CR62" s="3455"/>
      <c r="CS62" s="3429">
        <v>0.42</v>
      </c>
    </row>
    <row r="63" spans="1:97" ht="13.5" customHeight="1" thickBot="1">
      <c r="A63" s="2389"/>
      <c r="B63" s="2390"/>
      <c r="C63" s="2390"/>
      <c r="D63" s="2390"/>
      <c r="E63" s="2390"/>
      <c r="F63" s="2390"/>
      <c r="G63" s="2390"/>
      <c r="H63" s="2390"/>
      <c r="I63" s="2390"/>
      <c r="J63" s="2390"/>
      <c r="K63" s="2391"/>
      <c r="L63" s="2391"/>
      <c r="M63" s="2392"/>
      <c r="N63" s="2391"/>
      <c r="O63" s="2391"/>
      <c r="P63" s="2391"/>
      <c r="Q63" s="2392"/>
      <c r="R63" s="2391"/>
      <c r="S63" s="2392"/>
      <c r="T63" s="2393"/>
      <c r="U63" s="2391"/>
      <c r="V63" s="2392"/>
      <c r="W63" s="2391"/>
      <c r="X63" s="2394"/>
      <c r="Y63" s="2394"/>
      <c r="Z63" s="2392"/>
      <c r="AA63" s="2391"/>
      <c r="AB63" s="2391"/>
      <c r="AC63" s="2391"/>
      <c r="AD63" s="2392"/>
      <c r="AE63" s="2395"/>
      <c r="AF63" s="2395"/>
      <c r="AG63" s="2396"/>
      <c r="AH63" s="2391"/>
      <c r="AI63" s="2391"/>
      <c r="AJ63" s="2392"/>
      <c r="AK63" s="2391"/>
      <c r="AL63" s="2391"/>
      <c r="AM63" s="2391"/>
      <c r="AN63" s="2392"/>
      <c r="AO63" s="2391"/>
      <c r="AP63" s="2392"/>
      <c r="AQ63" s="2392"/>
      <c r="AR63" s="2391"/>
      <c r="AS63" s="2391"/>
      <c r="AT63" s="2392"/>
      <c r="AU63" s="2391"/>
      <c r="AV63" s="2391"/>
      <c r="AW63" s="2392"/>
      <c r="AX63" s="2395"/>
      <c r="AY63" s="2395"/>
      <c r="AZ63" s="2397"/>
      <c r="BA63" s="2398"/>
      <c r="BB63" s="2391"/>
      <c r="BC63" s="2391"/>
      <c r="BD63" s="2399"/>
      <c r="BE63" s="2391"/>
      <c r="BF63" s="2392"/>
      <c r="BG63" s="2392"/>
    </row>
    <row r="64" spans="1:97" ht="13.5" thickBot="1">
      <c r="AS64" s="5592" t="s">
        <v>1583</v>
      </c>
      <c r="AT64" s="5593"/>
      <c r="AU64" s="5593"/>
      <c r="AV64" s="5593"/>
      <c r="AW64" s="5594"/>
    </row>
    <row r="65" spans="1:71" ht="16.5" customHeight="1">
      <c r="A65" s="2400" t="s">
        <v>445</v>
      </c>
      <c r="B65" s="2400"/>
      <c r="C65" s="2400"/>
      <c r="D65" s="2400"/>
      <c r="E65" s="2400"/>
      <c r="F65" s="2400"/>
      <c r="G65" s="2400"/>
      <c r="H65" s="2400"/>
      <c r="I65" s="2400"/>
      <c r="J65" s="2400"/>
      <c r="K65" s="2400"/>
      <c r="L65" s="2400"/>
      <c r="M65" s="2400"/>
      <c r="N65" s="2400"/>
      <c r="O65" s="2400"/>
      <c r="P65" s="2400"/>
      <c r="Q65" s="2400"/>
      <c r="R65" s="2400"/>
      <c r="S65" s="2400"/>
      <c r="T65" s="2400"/>
      <c r="U65" s="2401"/>
      <c r="V65" s="2401"/>
      <c r="W65" s="2401"/>
      <c r="X65" s="2401"/>
      <c r="Y65" s="2401"/>
      <c r="Z65" s="2401"/>
      <c r="AA65" s="2388"/>
      <c r="AB65" s="2388"/>
      <c r="AC65" s="2388"/>
      <c r="AD65" s="2388"/>
      <c r="AE65" s="2388"/>
      <c r="AF65" s="2388"/>
      <c r="AG65" s="2388"/>
      <c r="AH65" s="2388"/>
      <c r="AI65" s="2388"/>
      <c r="AJ65" s="2388"/>
      <c r="AK65" s="2388"/>
      <c r="AL65" s="2388"/>
      <c r="AM65" s="2388"/>
      <c r="AN65" s="2388"/>
      <c r="AO65" s="2388"/>
      <c r="AS65" s="2432" t="s">
        <v>139</v>
      </c>
      <c r="AT65" s="2433"/>
      <c r="AU65" s="293">
        <f t="shared" ref="AU65:AU67" si="37">AW65/AV65</f>
        <v>5.3312199471145423</v>
      </c>
      <c r="AV65" s="2446">
        <f>AV48-AS48</f>
        <v>131.22699999999998</v>
      </c>
      <c r="AW65" s="2434">
        <f>AW48-AT48</f>
        <v>699.59999999999991</v>
      </c>
      <c r="BO65" s="2209" t="s">
        <v>1698</v>
      </c>
      <c r="BP65" s="2209"/>
      <c r="BQ65" s="2209">
        <f>SUM(BS65/BR65)</f>
        <v>2.3600358839751476</v>
      </c>
      <c r="BR65" s="2957">
        <f>SUM(BO48-BL48)</f>
        <v>150.48500000000001</v>
      </c>
      <c r="BS65" s="2956">
        <f>SUM(BP48-BM48)</f>
        <v>355.15000000000009</v>
      </c>
    </row>
    <row r="66" spans="1:71" ht="16.5" customHeight="1">
      <c r="A66" s="2400" t="s">
        <v>446</v>
      </c>
      <c r="B66" s="2400"/>
      <c r="C66" s="2400"/>
      <c r="D66" s="2400"/>
      <c r="E66" s="2400"/>
      <c r="F66" s="2400"/>
      <c r="G66" s="2400"/>
      <c r="H66" s="2400"/>
      <c r="I66" s="2400"/>
      <c r="J66" s="2400"/>
      <c r="K66" s="2400"/>
      <c r="L66" s="2400"/>
      <c r="M66" s="2400"/>
      <c r="N66" s="2400"/>
      <c r="O66" s="2400"/>
      <c r="P66" s="2400"/>
      <c r="Q66" s="2400"/>
      <c r="R66" s="2400"/>
      <c r="S66" s="2400"/>
      <c r="T66" s="2400"/>
      <c r="U66" s="2401"/>
      <c r="V66" s="2401"/>
      <c r="W66" s="2401"/>
      <c r="X66" s="2401"/>
      <c r="Y66" s="2401"/>
      <c r="Z66" s="2401"/>
      <c r="AA66" s="2388"/>
      <c r="AB66" s="2388"/>
      <c r="AC66" s="2388"/>
      <c r="AD66" s="2388"/>
      <c r="AE66" s="2388"/>
      <c r="AF66" s="2388"/>
      <c r="AG66" s="2388"/>
      <c r="AH66" s="2388"/>
      <c r="AI66" s="2388"/>
      <c r="AJ66" s="2388"/>
      <c r="AK66" s="2388"/>
      <c r="AL66" s="2388"/>
      <c r="AM66" s="2388"/>
      <c r="AN66" s="2388"/>
      <c r="AO66" s="2388"/>
      <c r="AS66" s="2419" t="s">
        <v>1584</v>
      </c>
      <c r="AT66" s="2420"/>
      <c r="AU66" s="2421"/>
      <c r="AV66" s="2447"/>
      <c r="AW66" s="2422">
        <f>AW49-AT49</f>
        <v>72.900000000000006</v>
      </c>
    </row>
    <row r="67" spans="1:71" ht="16.5" customHeight="1">
      <c r="A67" s="2402" t="s">
        <v>447</v>
      </c>
      <c r="B67" s="2400"/>
      <c r="C67" s="2400"/>
      <c r="D67" s="2400"/>
      <c r="E67" s="2400"/>
      <c r="F67" s="2400"/>
      <c r="G67" s="2400"/>
      <c r="H67" s="2400"/>
      <c r="I67" s="2400"/>
      <c r="J67" s="2400"/>
      <c r="K67" s="2400"/>
      <c r="L67" s="2403"/>
      <c r="M67" s="2400" t="s">
        <v>451</v>
      </c>
      <c r="N67" s="2400"/>
      <c r="O67" s="2400"/>
      <c r="P67" s="2400"/>
      <c r="Q67" s="2400"/>
      <c r="R67" s="2400"/>
      <c r="S67" s="2400"/>
      <c r="T67" s="2400"/>
      <c r="U67" s="2401"/>
      <c r="V67" s="2404"/>
      <c r="W67" s="2404"/>
      <c r="X67" s="2404"/>
      <c r="Y67" s="2404"/>
      <c r="Z67" s="2404"/>
      <c r="AA67" s="2405"/>
      <c r="AB67" s="2405"/>
      <c r="AC67" s="2388"/>
      <c r="AD67" s="2388"/>
      <c r="AE67" s="2388"/>
      <c r="AF67" s="2388"/>
      <c r="AG67" s="2388"/>
      <c r="AH67" s="2388"/>
      <c r="AI67" s="2388"/>
      <c r="AJ67" s="2388"/>
      <c r="AK67" s="2388"/>
      <c r="AL67" s="2388"/>
      <c r="AM67" s="2388"/>
      <c r="AN67" s="2388"/>
      <c r="AO67" s="2388"/>
      <c r="AS67" s="2419" t="s">
        <v>140</v>
      </c>
      <c r="AT67" s="2420"/>
      <c r="AU67" s="2421">
        <f t="shared" si="37"/>
        <v>4.2196189800023669</v>
      </c>
      <c r="AV67" s="2447">
        <f t="shared" ref="AV67" si="38">AV50-AS50</f>
        <v>338.03999999999996</v>
      </c>
      <c r="AW67" s="2422">
        <f>AW50-AT50</f>
        <v>1426.4</v>
      </c>
    </row>
    <row r="68" spans="1:71" ht="16.5" customHeight="1" thickBot="1">
      <c r="A68" s="2402" t="s">
        <v>448</v>
      </c>
      <c r="B68" s="2400"/>
      <c r="C68" s="2400"/>
      <c r="D68" s="2400"/>
      <c r="E68" s="2400"/>
      <c r="F68" s="2400"/>
      <c r="G68" s="2400"/>
      <c r="H68" s="2400"/>
      <c r="I68" s="2400"/>
      <c r="J68" s="2400"/>
      <c r="K68" s="2400"/>
      <c r="L68" s="2403">
        <f>AN59</f>
        <v>0.24172159546971789</v>
      </c>
      <c r="M68" s="2400" t="s">
        <v>451</v>
      </c>
      <c r="N68" s="2400"/>
      <c r="O68" s="2400"/>
      <c r="P68" s="2400"/>
      <c r="Q68" s="2400"/>
      <c r="R68" s="2400"/>
      <c r="S68" s="2400"/>
      <c r="T68" s="2400"/>
      <c r="U68" s="2401"/>
      <c r="V68" s="2404"/>
      <c r="W68" s="2404"/>
      <c r="X68" s="5632"/>
      <c r="Y68" s="5632"/>
      <c r="Z68" s="5632"/>
      <c r="AA68" s="2405"/>
      <c r="AB68" s="2405"/>
      <c r="AC68" s="2388"/>
      <c r="AD68" s="2388"/>
      <c r="AE68" s="2388"/>
      <c r="AF68" s="2388"/>
      <c r="AG68" s="2388"/>
      <c r="AH68" s="2388"/>
      <c r="AI68" s="2388"/>
      <c r="AJ68" s="2388"/>
      <c r="AK68" s="2388"/>
      <c r="AL68" s="2388"/>
      <c r="AM68" s="2388"/>
      <c r="AN68" s="2388"/>
      <c r="AO68" s="2388"/>
      <c r="AS68" s="2424" t="s">
        <v>54</v>
      </c>
      <c r="AT68" s="2425"/>
      <c r="AU68" s="2426">
        <f>AW68/AV68</f>
        <v>4.6858185212256567</v>
      </c>
      <c r="AV68" s="2448">
        <f>SUM(AV65:AV67)</f>
        <v>469.26699999999994</v>
      </c>
      <c r="AW68" s="2435">
        <f>SUM(AW65:AW67)</f>
        <v>2198.9</v>
      </c>
    </row>
    <row r="69" spans="1:71" ht="16.5" customHeight="1">
      <c r="A69" s="2402" t="s">
        <v>449</v>
      </c>
      <c r="B69" s="2400"/>
      <c r="C69" s="2400"/>
      <c r="D69" s="2400"/>
      <c r="E69" s="2400"/>
      <c r="F69" s="2400"/>
      <c r="G69" s="2400"/>
      <c r="H69" s="2400"/>
      <c r="I69" s="2400"/>
      <c r="J69" s="2400"/>
      <c r="K69" s="2400"/>
      <c r="L69" s="2403">
        <f>AN61</f>
        <v>9.9000000000000005E-2</v>
      </c>
      <c r="M69" s="2400" t="s">
        <v>452</v>
      </c>
      <c r="N69" s="2400"/>
      <c r="O69" s="2400"/>
      <c r="P69" s="2400"/>
      <c r="Q69" s="2400"/>
      <c r="R69" s="2400"/>
      <c r="S69" s="2400"/>
      <c r="T69" s="2400"/>
      <c r="U69" s="2401"/>
      <c r="V69" s="2404"/>
      <c r="W69" s="2404"/>
      <c r="X69" s="2404"/>
      <c r="Y69" s="2406"/>
      <c r="Z69" s="2406"/>
      <c r="AA69" s="2405"/>
      <c r="AB69" s="2405"/>
      <c r="AC69" s="2388"/>
      <c r="AD69" s="2388"/>
      <c r="AE69" s="2388"/>
      <c r="AF69" s="2388"/>
      <c r="AG69" s="2388"/>
      <c r="AH69" s="2388"/>
      <c r="AI69" s="2388"/>
      <c r="AJ69" s="2388"/>
      <c r="AK69" s="2388"/>
      <c r="AL69" s="2388"/>
      <c r="AM69" s="2388"/>
      <c r="AN69" s="2388"/>
      <c r="AO69" s="2388"/>
      <c r="AS69" s="2428"/>
      <c r="AT69" s="2429"/>
      <c r="AU69" s="2430"/>
      <c r="AV69" s="2449"/>
      <c r="AW69" s="2431"/>
    </row>
    <row r="70" spans="1:71" ht="16.5" customHeight="1" thickBot="1">
      <c r="A70" s="2402" t="s">
        <v>450</v>
      </c>
      <c r="B70" s="2400"/>
      <c r="C70" s="2400"/>
      <c r="D70" s="2400"/>
      <c r="E70" s="2400"/>
      <c r="F70" s="2400"/>
      <c r="G70" s="2400"/>
      <c r="H70" s="2400"/>
      <c r="I70" s="2400"/>
      <c r="J70" s="2400"/>
      <c r="K70" s="2400"/>
      <c r="L70" s="2403">
        <f>AN62</f>
        <v>0.39184614210486146</v>
      </c>
      <c r="M70" s="2400" t="s">
        <v>452</v>
      </c>
      <c r="N70" s="2400"/>
      <c r="O70" s="2400"/>
      <c r="P70" s="2400"/>
      <c r="Q70" s="2400"/>
      <c r="R70" s="2400"/>
      <c r="S70" s="2400"/>
      <c r="T70" s="2400"/>
      <c r="U70" s="2401"/>
      <c r="V70" s="2404"/>
      <c r="W70" s="2404"/>
      <c r="X70" s="2404"/>
      <c r="Y70" s="2406"/>
      <c r="Z70" s="2406"/>
      <c r="AA70" s="2405"/>
      <c r="AB70" s="2405"/>
      <c r="AC70" s="2388"/>
      <c r="AD70" s="2388"/>
      <c r="AE70" s="2388"/>
      <c r="AF70" s="2388"/>
      <c r="AG70" s="2388"/>
      <c r="AH70" s="2388"/>
      <c r="AI70" s="2388"/>
      <c r="AJ70" s="2388"/>
      <c r="AK70" s="2388"/>
      <c r="AL70" s="2388"/>
      <c r="AM70" s="2388"/>
      <c r="AN70" s="2388"/>
      <c r="AO70" s="2388"/>
      <c r="AS70" s="2436"/>
      <c r="AT70" s="2437"/>
      <c r="AU70" s="2438"/>
      <c r="AV70" s="2450"/>
      <c r="AW70" s="2439"/>
    </row>
    <row r="71" spans="1:71" ht="12.75" customHeight="1">
      <c r="A71" s="2401"/>
      <c r="B71" s="2401"/>
      <c r="C71" s="2401"/>
      <c r="D71" s="2401"/>
      <c r="E71" s="2401"/>
      <c r="F71" s="2401"/>
      <c r="G71" s="2401"/>
      <c r="H71" s="2401"/>
      <c r="I71" s="2401"/>
      <c r="J71" s="2401"/>
      <c r="K71" s="2401"/>
      <c r="L71" s="2401"/>
      <c r="M71" s="2401"/>
      <c r="N71" s="2401"/>
      <c r="O71" s="2401"/>
      <c r="P71" s="2401"/>
      <c r="Q71" s="2401"/>
      <c r="R71" s="2401"/>
      <c r="S71" s="2401"/>
      <c r="T71" s="2401"/>
      <c r="U71" s="2401"/>
      <c r="V71" s="2404"/>
      <c r="W71" s="2404"/>
      <c r="X71" s="2404"/>
      <c r="Y71" s="2406"/>
      <c r="Z71" s="2406"/>
      <c r="AA71" s="2405"/>
      <c r="AB71" s="2405"/>
      <c r="AC71" s="2388"/>
      <c r="AD71" s="2388"/>
      <c r="AE71" s="2388"/>
      <c r="AF71" s="2388"/>
      <c r="AG71" s="2388"/>
      <c r="AH71" s="2388"/>
      <c r="AI71" s="2388"/>
      <c r="AJ71" s="2388"/>
      <c r="AK71" s="2388"/>
      <c r="AL71" s="2388"/>
      <c r="AM71" s="2388"/>
      <c r="AN71" s="2388"/>
      <c r="AO71" s="2388"/>
      <c r="AS71" s="2432" t="s">
        <v>623</v>
      </c>
      <c r="AT71" s="2433"/>
      <c r="AU71" s="293">
        <f>AW71/AV71</f>
        <v>5.3715688462396765</v>
      </c>
      <c r="AV71" s="2446">
        <f t="shared" ref="AV71:AV74" si="39">AV52-AS52</f>
        <v>44.81</v>
      </c>
      <c r="AW71" s="2440">
        <f>AW52-AT52</f>
        <v>240.69999999999993</v>
      </c>
    </row>
    <row r="72" spans="1:71" ht="16.5" customHeight="1">
      <c r="A72" s="5629" t="s">
        <v>576</v>
      </c>
      <c r="B72" s="5630"/>
      <c r="C72" s="5630"/>
      <c r="D72" s="5630"/>
      <c r="E72" s="5630"/>
      <c r="F72" s="5630"/>
      <c r="G72" s="5630"/>
      <c r="H72" s="5630"/>
      <c r="I72" s="5630"/>
      <c r="J72" s="5630"/>
      <c r="K72" s="5630"/>
      <c r="L72" s="5630"/>
      <c r="M72" s="5631"/>
      <c r="N72" s="2401"/>
      <c r="O72" s="2401"/>
      <c r="P72" s="2401"/>
      <c r="Q72" s="2401"/>
      <c r="R72" s="2401"/>
      <c r="S72" s="2401"/>
      <c r="T72" s="2401"/>
      <c r="U72" s="2401"/>
      <c r="V72" s="2404"/>
      <c r="W72" s="2404"/>
      <c r="X72" s="2404"/>
      <c r="Y72" s="2406"/>
      <c r="Z72" s="2406"/>
      <c r="AA72" s="2405"/>
      <c r="AB72" s="2405"/>
      <c r="AC72" s="2388"/>
      <c r="AD72" s="2388"/>
      <c r="AE72" s="2388"/>
      <c r="AF72" s="2388"/>
      <c r="AG72" s="2388"/>
      <c r="AH72" s="2388"/>
      <c r="AI72" s="2388"/>
      <c r="AJ72" s="2388"/>
      <c r="AK72" s="2388"/>
      <c r="AL72" s="2388"/>
      <c r="AM72" s="2388"/>
      <c r="AN72" s="2388"/>
      <c r="AO72" s="2388"/>
      <c r="AS72" s="2419" t="s">
        <v>1584</v>
      </c>
      <c r="AT72" s="2420"/>
      <c r="AU72" s="2421"/>
      <c r="AV72" s="2447"/>
      <c r="AW72" s="2423">
        <f t="shared" ref="AW72:AW74" si="40">AW53-AT53</f>
        <v>73</v>
      </c>
    </row>
    <row r="73" spans="1:71" ht="16.5" customHeight="1">
      <c r="A73" s="2407" t="s">
        <v>545</v>
      </c>
      <c r="B73" s="2408"/>
      <c r="C73" s="2408"/>
      <c r="D73" s="2408"/>
      <c r="E73" s="2408"/>
      <c r="F73" s="2408"/>
      <c r="G73" s="2408"/>
      <c r="H73" s="2408"/>
      <c r="I73" s="2408"/>
      <c r="J73" s="2408"/>
      <c r="K73" s="2408" t="s">
        <v>344</v>
      </c>
      <c r="L73" s="2408" t="s">
        <v>360</v>
      </c>
      <c r="M73" s="2400" t="s">
        <v>577</v>
      </c>
      <c r="N73" s="2401"/>
      <c r="O73" s="2408" t="s">
        <v>579</v>
      </c>
      <c r="P73" s="2400" t="s">
        <v>580</v>
      </c>
      <c r="Q73" s="2401"/>
      <c r="R73" s="2401"/>
      <c r="S73" s="2401"/>
      <c r="T73" s="2401"/>
      <c r="U73" s="2401"/>
      <c r="V73" s="2404"/>
      <c r="W73" s="2404"/>
      <c r="X73" s="2409"/>
      <c r="Y73" s="2410"/>
      <c r="Z73" s="2410"/>
      <c r="AA73" s="2405"/>
      <c r="AB73" s="2405"/>
      <c r="AC73" s="2388"/>
      <c r="AD73" s="2388"/>
      <c r="AE73" s="2388"/>
      <c r="AF73" s="2388"/>
      <c r="AG73" s="2388"/>
      <c r="AH73" s="2408" t="s">
        <v>344</v>
      </c>
      <c r="AI73" s="2408" t="s">
        <v>360</v>
      </c>
      <c r="AJ73" s="2400" t="s">
        <v>577</v>
      </c>
      <c r="AK73" s="2401"/>
      <c r="AL73" s="2408" t="s">
        <v>579</v>
      </c>
      <c r="AM73" s="2400" t="s">
        <v>580</v>
      </c>
      <c r="AN73" s="2388"/>
      <c r="AO73" s="2388"/>
      <c r="AS73" s="2419" t="s">
        <v>632</v>
      </c>
      <c r="AT73" s="2420"/>
      <c r="AU73" s="2421">
        <f t="shared" ref="AU73:AU74" si="41">AW73/AV73</f>
        <v>3.9992821571178605</v>
      </c>
      <c r="AV73" s="2447">
        <f t="shared" si="39"/>
        <v>445.78</v>
      </c>
      <c r="AW73" s="2423">
        <f t="shared" si="40"/>
        <v>1782.7999999999997</v>
      </c>
    </row>
    <row r="74" spans="1:71" ht="16.5" customHeight="1" thickBot="1">
      <c r="A74" s="2411" t="s">
        <v>139</v>
      </c>
      <c r="B74" s="2400"/>
      <c r="C74" s="2400"/>
      <c r="D74" s="2400"/>
      <c r="E74" s="2400"/>
      <c r="F74" s="2400"/>
      <c r="G74" s="2400"/>
      <c r="H74" s="2400"/>
      <c r="I74" s="2400"/>
      <c r="J74" s="2400"/>
      <c r="K74" s="2412">
        <f>SUM(M74/L74)</f>
        <v>5.0619778596182483</v>
      </c>
      <c r="L74" s="2413">
        <f>SUM(AC48-Y48)</f>
        <v>184.09799999999996</v>
      </c>
      <c r="M74" s="2413">
        <f>SUM(AD48-Z48)</f>
        <v>931.90000000000009</v>
      </c>
      <c r="N74" s="2401"/>
      <c r="O74" s="2414">
        <f>SUM(AD56-Z56)</f>
        <v>1664.6999999999998</v>
      </c>
      <c r="P74" s="2403">
        <f>SUM(L74/O74)</f>
        <v>0.11058929536853486</v>
      </c>
      <c r="Q74" s="2401"/>
      <c r="R74" s="2401"/>
      <c r="S74" s="2401"/>
      <c r="T74" s="2401"/>
      <c r="U74" s="2401"/>
      <c r="V74" s="2404"/>
      <c r="W74" s="2404"/>
      <c r="X74" s="2404"/>
      <c r="Y74" s="2406"/>
      <c r="Z74" s="2406"/>
      <c r="AA74" s="2405"/>
      <c r="AB74" s="2405"/>
      <c r="AC74" s="2388"/>
      <c r="AD74" s="2388"/>
      <c r="AE74" s="2388"/>
      <c r="AF74" s="2388"/>
      <c r="AG74" s="2388"/>
      <c r="AH74" s="2412">
        <f>SUM(M74/L74)</f>
        <v>5.0619778596182483</v>
      </c>
      <c r="AI74" s="2413">
        <f>SUM(AC48-Y48)</f>
        <v>184.09799999999996</v>
      </c>
      <c r="AJ74" s="2413">
        <f>SUM(AD48-Z48)</f>
        <v>931.90000000000009</v>
      </c>
      <c r="AK74" s="2401"/>
      <c r="AL74" s="2414">
        <f>SUM(AD56-Z56)</f>
        <v>1664.6999999999998</v>
      </c>
      <c r="AM74" s="2415">
        <f>SUM(AI74/AL74)</f>
        <v>0.11058929536853486</v>
      </c>
      <c r="AN74" s="2388"/>
      <c r="AO74" s="2388"/>
      <c r="AS74" s="2424" t="s">
        <v>54</v>
      </c>
      <c r="AT74" s="2425"/>
      <c r="AU74" s="2426">
        <f t="shared" si="41"/>
        <v>4.2734258749668772</v>
      </c>
      <c r="AV74" s="2448">
        <f t="shared" si="39"/>
        <v>490.58999999999992</v>
      </c>
      <c r="AW74" s="2427">
        <f t="shared" si="40"/>
        <v>2096.5</v>
      </c>
    </row>
    <row r="75" spans="1:71" ht="16.5" customHeight="1">
      <c r="A75" s="2411" t="s">
        <v>581</v>
      </c>
      <c r="B75" s="2400"/>
      <c r="C75" s="2400"/>
      <c r="D75" s="2400"/>
      <c r="E75" s="2400"/>
      <c r="F75" s="2400"/>
      <c r="G75" s="2400"/>
      <c r="H75" s="2400"/>
      <c r="I75" s="2400"/>
      <c r="J75" s="2400"/>
      <c r="K75" s="2412"/>
      <c r="L75" s="2413"/>
      <c r="M75" s="2413"/>
      <c r="N75" s="2401"/>
      <c r="O75" s="2414">
        <f>SUM(AD58-Z58)</f>
        <v>1455.02</v>
      </c>
      <c r="P75" s="2403"/>
      <c r="Q75" s="2401"/>
      <c r="R75" s="2401"/>
      <c r="S75" s="2401"/>
      <c r="T75" s="2401"/>
      <c r="U75" s="2401"/>
      <c r="V75" s="2404"/>
      <c r="W75" s="2404"/>
      <c r="X75" s="2404"/>
      <c r="Y75" s="2406"/>
      <c r="Z75" s="2406"/>
      <c r="AA75" s="2405"/>
      <c r="AB75" s="2405"/>
      <c r="AC75" s="2388"/>
      <c r="AD75" s="2388"/>
      <c r="AE75" s="2388"/>
      <c r="AF75" s="2388"/>
      <c r="AG75" s="2388"/>
      <c r="AH75" s="2412"/>
      <c r="AI75" s="2413"/>
      <c r="AJ75" s="2413"/>
      <c r="AK75" s="2401"/>
      <c r="AL75" s="2414">
        <f>SUM(O75)</f>
        <v>1455.02</v>
      </c>
      <c r="AM75" s="2403"/>
      <c r="AN75" s="2388"/>
      <c r="AO75" s="2388"/>
    </row>
    <row r="76" spans="1:71" ht="16.5" customHeight="1">
      <c r="A76" s="2400" t="s">
        <v>140</v>
      </c>
      <c r="B76" s="2400"/>
      <c r="C76" s="2400"/>
      <c r="D76" s="2400"/>
      <c r="E76" s="2400"/>
      <c r="F76" s="2400"/>
      <c r="G76" s="2400"/>
      <c r="H76" s="2400"/>
      <c r="I76" s="2400"/>
      <c r="J76" s="2400"/>
      <c r="K76" s="2412">
        <f>SUM(M76/L76)</f>
        <v>4.1182508170596659</v>
      </c>
      <c r="L76" s="2413">
        <f>SUM(AC50-Y50)</f>
        <v>370.23</v>
      </c>
      <c r="M76" s="2413">
        <f>SUM(AD50-Z50)</f>
        <v>1524.7000000000003</v>
      </c>
      <c r="N76" s="2401"/>
      <c r="O76" s="2413"/>
      <c r="P76" s="2403">
        <f>SUM(L76/O75)</f>
        <v>0.2544501106514</v>
      </c>
      <c r="Q76" s="2401"/>
      <c r="R76" s="2401"/>
      <c r="S76" s="2401"/>
      <c r="T76" s="2401"/>
      <c r="U76" s="2401"/>
      <c r="V76" s="2404"/>
      <c r="W76" s="2404"/>
      <c r="X76" s="2404"/>
      <c r="Y76" s="2406"/>
      <c r="Z76" s="2406"/>
      <c r="AA76" s="2405"/>
      <c r="AB76" s="2405"/>
      <c r="AC76" s="2388"/>
      <c r="AD76" s="2388"/>
      <c r="AE76" s="2388"/>
      <c r="AF76" s="2388"/>
      <c r="AG76" s="2388"/>
      <c r="AH76" s="2412">
        <f t="shared" ref="AH76:AH80" si="42">SUM(K76)</f>
        <v>4.1182508170596659</v>
      </c>
      <c r="AI76" s="2413">
        <f t="shared" ref="AI76:AI80" si="43">SUM(L76)</f>
        <v>370.23</v>
      </c>
      <c r="AJ76" s="2413">
        <f t="shared" ref="AJ76:AJ80" si="44">SUM(M76)</f>
        <v>1524.7000000000003</v>
      </c>
      <c r="AK76" s="2401"/>
      <c r="AL76" s="2413"/>
      <c r="AM76" s="2415">
        <f>SUM(P76)</f>
        <v>0.2544501106514</v>
      </c>
      <c r="AN76" s="2388"/>
      <c r="AO76" s="2388"/>
    </row>
    <row r="77" spans="1:71" ht="16.5" customHeight="1">
      <c r="A77" s="2400" t="s">
        <v>54</v>
      </c>
      <c r="B77" s="2400"/>
      <c r="C77" s="2400"/>
      <c r="D77" s="2400"/>
      <c r="E77" s="2400"/>
      <c r="F77" s="2400"/>
      <c r="G77" s="2400"/>
      <c r="H77" s="2400"/>
      <c r="I77" s="2400"/>
      <c r="J77" s="2400"/>
      <c r="K77" s="2412">
        <f>SUM(M77/L77)</f>
        <v>4.4316722229438179</v>
      </c>
      <c r="L77" s="2413">
        <f>SUM(L74:L76)</f>
        <v>554.32799999999997</v>
      </c>
      <c r="M77" s="2413">
        <f>SUM(M74:M76)</f>
        <v>2456.6000000000004</v>
      </c>
      <c r="N77" s="2401"/>
      <c r="O77" s="2400"/>
      <c r="P77" s="2400"/>
      <c r="Q77" s="2401"/>
      <c r="R77" s="2401"/>
      <c r="S77" s="2401"/>
      <c r="T77" s="2401"/>
      <c r="U77" s="2401"/>
      <c r="V77" s="2404"/>
      <c r="W77" s="2404"/>
      <c r="X77" s="2404"/>
      <c r="Y77" s="2404"/>
      <c r="Z77" s="2404"/>
      <c r="AA77" s="2405"/>
      <c r="AB77" s="2405"/>
      <c r="AC77" s="2388"/>
      <c r="AD77" s="2388"/>
      <c r="AE77" s="2388"/>
      <c r="AF77" s="2388"/>
      <c r="AG77" s="2388"/>
      <c r="AH77" s="2412">
        <f t="shared" si="42"/>
        <v>4.4316722229438179</v>
      </c>
      <c r="AI77" s="2413">
        <f t="shared" si="43"/>
        <v>554.32799999999997</v>
      </c>
      <c r="AJ77" s="2413">
        <f t="shared" si="44"/>
        <v>2456.6000000000004</v>
      </c>
      <c r="AK77" s="2401"/>
      <c r="AL77" s="2400"/>
      <c r="AM77" s="2400"/>
      <c r="AN77" s="2388"/>
      <c r="AO77" s="2388"/>
    </row>
    <row r="78" spans="1:71" ht="16.5" customHeight="1">
      <c r="A78" s="2400" t="s">
        <v>142</v>
      </c>
      <c r="B78" s="2400"/>
      <c r="C78" s="2400"/>
      <c r="D78" s="2400"/>
      <c r="E78" s="2400"/>
      <c r="F78" s="2400"/>
      <c r="G78" s="2400"/>
      <c r="H78" s="2400"/>
      <c r="I78" s="2400"/>
      <c r="J78" s="2400"/>
      <c r="K78" s="2412">
        <f t="shared" ref="K78:K80" si="45">SUM(M78/L78)</f>
        <v>5.0854030993972499</v>
      </c>
      <c r="L78" s="2413">
        <f>SUM(AC52-Y52)</f>
        <v>61.88300000000001</v>
      </c>
      <c r="M78" s="2413">
        <f>SUM(AD52-Z52)</f>
        <v>314.70000000000005</v>
      </c>
      <c r="N78" s="2401"/>
      <c r="O78" s="2416">
        <f>SUM(AD60-Z60)</f>
        <v>829.39999999999986</v>
      </c>
      <c r="P78" s="2403">
        <f>SUM(L78/O78)</f>
        <v>7.4611767542802049E-2</v>
      </c>
      <c r="Q78" s="2401"/>
      <c r="R78" s="2401"/>
      <c r="S78" s="2401"/>
      <c r="T78" s="2401"/>
      <c r="U78" s="2401"/>
      <c r="V78" s="2404"/>
      <c r="W78" s="2404"/>
      <c r="X78" s="2409"/>
      <c r="Y78" s="2410"/>
      <c r="Z78" s="2410"/>
      <c r="AA78" s="2405"/>
      <c r="AB78" s="2405"/>
      <c r="AC78" s="2388"/>
      <c r="AD78" s="2388"/>
      <c r="AE78" s="2388"/>
      <c r="AF78" s="2388"/>
      <c r="AG78" s="2388"/>
      <c r="AH78" s="2412">
        <f t="shared" si="42"/>
        <v>5.0854030993972499</v>
      </c>
      <c r="AI78" s="2413">
        <f t="shared" si="43"/>
        <v>61.88300000000001</v>
      </c>
      <c r="AJ78" s="2413">
        <f t="shared" si="44"/>
        <v>314.70000000000005</v>
      </c>
      <c r="AK78" s="2401"/>
      <c r="AL78" s="2414">
        <f>SUM(O78)</f>
        <v>829.39999999999986</v>
      </c>
      <c r="AM78" s="2415">
        <f t="shared" ref="AM78:AM79" si="46">SUM(P78)</f>
        <v>7.4611767542802049E-2</v>
      </c>
      <c r="AN78" s="2388"/>
      <c r="AO78" s="2388"/>
    </row>
    <row r="79" spans="1:71" ht="16.5" customHeight="1">
      <c r="A79" s="2400" t="s">
        <v>578</v>
      </c>
      <c r="B79" s="2400"/>
      <c r="C79" s="2400"/>
      <c r="D79" s="2400"/>
      <c r="E79" s="2400"/>
      <c r="F79" s="2400"/>
      <c r="G79" s="2400"/>
      <c r="H79" s="2400"/>
      <c r="I79" s="2400"/>
      <c r="J79" s="2400"/>
      <c r="K79" s="2412">
        <f t="shared" si="45"/>
        <v>3.9234848660290407</v>
      </c>
      <c r="L79" s="2413">
        <f>SUM(AC54-Y54)</f>
        <v>431.80999999999995</v>
      </c>
      <c r="M79" s="2413">
        <f>SUM(AD54-Z54)</f>
        <v>1694.1999999999998</v>
      </c>
      <c r="N79" s="2401"/>
      <c r="O79" s="2416">
        <f>SUM(O78)</f>
        <v>829.39999999999986</v>
      </c>
      <c r="P79" s="2403">
        <f>SUM(L79/O79)</f>
        <v>0.52062937062937065</v>
      </c>
      <c r="Q79" s="2401"/>
      <c r="R79" s="2401"/>
      <c r="S79" s="2401"/>
      <c r="T79" s="2401"/>
      <c r="U79" s="2401"/>
      <c r="V79" s="2404"/>
      <c r="W79" s="2404"/>
      <c r="X79" s="2404"/>
      <c r="Y79" s="2404"/>
      <c r="Z79" s="2417"/>
      <c r="AA79" s="2405"/>
      <c r="AB79" s="2405"/>
      <c r="AC79" s="2388"/>
      <c r="AD79" s="2388"/>
      <c r="AE79" s="2388"/>
      <c r="AF79" s="2388"/>
      <c r="AG79" s="2388"/>
      <c r="AH79" s="2412">
        <f t="shared" si="42"/>
        <v>3.9234848660290407</v>
      </c>
      <c r="AI79" s="2413">
        <f t="shared" si="43"/>
        <v>431.80999999999995</v>
      </c>
      <c r="AJ79" s="2413">
        <f t="shared" si="44"/>
        <v>1694.1999999999998</v>
      </c>
      <c r="AK79" s="2401"/>
      <c r="AL79" s="2414">
        <f>SUM(O79)</f>
        <v>829.39999999999986</v>
      </c>
      <c r="AM79" s="2415">
        <f t="shared" si="46"/>
        <v>0.52062937062937065</v>
      </c>
      <c r="AN79" s="2388"/>
      <c r="AO79" s="2388"/>
    </row>
    <row r="80" spans="1:71" ht="16.5" customHeight="1">
      <c r="A80" s="2400" t="s">
        <v>54</v>
      </c>
      <c r="B80" s="2400"/>
      <c r="C80" s="2400"/>
      <c r="D80" s="2400"/>
      <c r="E80" s="2400"/>
      <c r="F80" s="2400"/>
      <c r="G80" s="2400"/>
      <c r="H80" s="2400"/>
      <c r="I80" s="2400"/>
      <c r="J80" s="2400"/>
      <c r="K80" s="2412">
        <f t="shared" si="45"/>
        <v>4.0691279803440601</v>
      </c>
      <c r="L80" s="2413">
        <f>SUM(L78:L79)</f>
        <v>493.69299999999998</v>
      </c>
      <c r="M80" s="2413">
        <f>SUM(M78:M79)</f>
        <v>2008.8999999999999</v>
      </c>
      <c r="N80" s="2401"/>
      <c r="O80" s="2400"/>
      <c r="P80" s="2400"/>
      <c r="Q80" s="2401"/>
      <c r="R80" s="2401"/>
      <c r="S80" s="2401"/>
      <c r="T80" s="2401"/>
      <c r="U80" s="2401"/>
      <c r="V80" s="2404"/>
      <c r="W80" s="2404"/>
      <c r="X80" s="2404"/>
      <c r="Y80" s="2404"/>
      <c r="Z80" s="2406"/>
      <c r="AA80" s="2405"/>
      <c r="AB80" s="2405"/>
      <c r="AC80" s="2388"/>
      <c r="AD80" s="2388"/>
      <c r="AE80" s="2388"/>
      <c r="AF80" s="2388"/>
      <c r="AG80" s="2388"/>
      <c r="AH80" s="2412">
        <f t="shared" si="42"/>
        <v>4.0691279803440601</v>
      </c>
      <c r="AI80" s="2413">
        <f t="shared" si="43"/>
        <v>493.69299999999998</v>
      </c>
      <c r="AJ80" s="2413">
        <f t="shared" si="44"/>
        <v>2008.8999999999999</v>
      </c>
      <c r="AK80" s="2401"/>
      <c r="AL80" s="2400"/>
      <c r="AM80" s="2400"/>
      <c r="AN80" s="2388"/>
      <c r="AO80" s="2388"/>
    </row>
    <row r="81" spans="1:96" ht="16.5">
      <c r="A81" s="2400"/>
      <c r="B81" s="2400"/>
      <c r="C81" s="2400"/>
      <c r="D81" s="2400"/>
      <c r="E81" s="2400"/>
      <c r="F81" s="2400"/>
      <c r="G81" s="2400"/>
      <c r="H81" s="2400"/>
      <c r="I81" s="2400"/>
      <c r="J81" s="2400"/>
      <c r="K81" s="2400"/>
      <c r="L81" s="2400"/>
      <c r="M81" s="2400"/>
      <c r="N81" s="2401"/>
      <c r="O81" s="2400"/>
      <c r="P81" s="2400"/>
      <c r="Q81" s="2401"/>
      <c r="R81" s="2401"/>
      <c r="S81" s="2401"/>
      <c r="T81" s="2401"/>
      <c r="U81" s="2401"/>
      <c r="V81" s="2404"/>
      <c r="W81" s="2404"/>
      <c r="X81" s="2404"/>
      <c r="Y81" s="2404"/>
      <c r="Z81" s="2418"/>
      <c r="AA81" s="2405"/>
      <c r="AB81" s="2405"/>
      <c r="AC81" s="2388"/>
      <c r="AD81" s="2388"/>
      <c r="AE81" s="2388"/>
      <c r="AF81" s="2388"/>
      <c r="AG81" s="2388"/>
      <c r="AH81" s="2388"/>
      <c r="AI81" s="2388"/>
      <c r="AJ81" s="2388"/>
      <c r="AK81" s="2388"/>
      <c r="AL81" s="2388"/>
      <c r="AM81" s="2388"/>
      <c r="AN81" s="2388"/>
      <c r="AO81" s="2388"/>
    </row>
    <row r="85" spans="1:96">
      <c r="BT85" s="127"/>
    </row>
    <row r="86" spans="1:96" ht="19.5" hidden="1" thickBot="1">
      <c r="A86" s="5628"/>
      <c r="B86" s="5628"/>
      <c r="C86" s="5628"/>
      <c r="D86" s="5628"/>
      <c r="E86" s="5628"/>
      <c r="F86" s="5628"/>
      <c r="G86" s="5628"/>
      <c r="H86" s="5628"/>
      <c r="I86" s="5628"/>
      <c r="J86" s="5628"/>
      <c r="K86" s="5628"/>
      <c r="L86" s="5628"/>
      <c r="M86" s="5628"/>
      <c r="N86" s="5628"/>
      <c r="O86" s="5628"/>
      <c r="P86" s="5628"/>
      <c r="Q86" s="5628"/>
      <c r="R86" s="5628"/>
      <c r="S86" s="5628"/>
      <c r="T86" s="5628"/>
      <c r="U86" s="5628"/>
      <c r="V86" s="5628"/>
      <c r="W86" s="5628"/>
      <c r="X86" s="5628"/>
      <c r="Y86" s="5628"/>
      <c r="Z86" s="5628"/>
      <c r="AA86" s="5628"/>
      <c r="AB86" s="5628"/>
      <c r="AC86" s="5628"/>
      <c r="AD86" s="5628"/>
      <c r="AE86" s="5628"/>
      <c r="AF86" s="5628"/>
      <c r="AG86" s="5628"/>
      <c r="AH86" s="5628"/>
      <c r="AI86" s="5628"/>
      <c r="AJ86" s="5628"/>
      <c r="AK86" s="5628"/>
      <c r="AL86" s="5628"/>
      <c r="AM86" s="5628"/>
      <c r="AN86" s="5628"/>
      <c r="AO86" s="5628"/>
      <c r="AP86" s="5628"/>
      <c r="AQ86" s="5628"/>
      <c r="AR86" s="5628"/>
      <c r="AS86" s="5628"/>
      <c r="AT86" s="5628"/>
      <c r="AU86" s="5628"/>
      <c r="AV86" s="5628"/>
      <c r="AW86" s="5628"/>
      <c r="AX86" s="5628"/>
      <c r="AY86" s="5628"/>
      <c r="AZ86" s="5628"/>
      <c r="BA86" s="1396"/>
      <c r="BB86" s="1396"/>
      <c r="BC86" s="1396"/>
      <c r="BG86" s="3023"/>
      <c r="BH86" s="3045"/>
      <c r="BI86" s="3045"/>
      <c r="BJ86" s="3045"/>
      <c r="BK86" s="5550" t="s">
        <v>886</v>
      </c>
      <c r="BL86" s="5621"/>
      <c r="BM86" s="5621"/>
      <c r="BN86" s="5621"/>
      <c r="BO86" s="5621"/>
      <c r="BP86" s="5621"/>
      <c r="BQ86" s="5621"/>
      <c r="BR86" s="5621"/>
      <c r="BS86" s="5621"/>
      <c r="BT86" s="5621"/>
      <c r="BU86" s="5621"/>
      <c r="BV86" s="5621"/>
      <c r="BW86" s="5621"/>
      <c r="BX86" s="5621"/>
      <c r="BY86" s="5621"/>
      <c r="BZ86" s="5621"/>
      <c r="CA86" s="5621"/>
      <c r="CB86" s="5621"/>
      <c r="CC86" s="5621"/>
      <c r="CD86" s="5621"/>
      <c r="CE86" s="5621"/>
      <c r="CF86" s="5621"/>
      <c r="CG86" s="5621"/>
      <c r="CH86" s="5621"/>
      <c r="CI86" s="5621"/>
      <c r="CJ86" s="5621"/>
      <c r="CK86" s="5621"/>
      <c r="CL86" s="5621"/>
      <c r="CM86" s="5621"/>
      <c r="CN86" s="5621"/>
      <c r="CO86" s="5622"/>
    </row>
    <row r="87" spans="1:96" ht="18.75" hidden="1" customHeight="1">
      <c r="A87" s="5626"/>
      <c r="B87" s="3138"/>
      <c r="C87" s="3138"/>
      <c r="D87" s="3138"/>
      <c r="E87" s="3138"/>
      <c r="F87" s="3138"/>
      <c r="G87" s="3138"/>
      <c r="H87" s="3138"/>
      <c r="I87" s="3138"/>
      <c r="J87" s="3138"/>
      <c r="K87" s="3138"/>
      <c r="L87" s="3138"/>
      <c r="M87" s="3138"/>
      <c r="N87" s="3138"/>
      <c r="O87" s="3138"/>
      <c r="P87" s="3138"/>
      <c r="Q87" s="3138"/>
      <c r="R87" s="3138"/>
      <c r="S87" s="3138"/>
      <c r="T87" s="3138"/>
      <c r="U87" s="3138"/>
      <c r="V87" s="3138"/>
      <c r="W87" s="3138"/>
      <c r="X87" s="3138"/>
      <c r="Y87" s="3138"/>
      <c r="Z87" s="3138"/>
      <c r="AA87" s="3138"/>
      <c r="AB87" s="3138"/>
      <c r="AC87" s="3138"/>
      <c r="AD87" s="3138"/>
      <c r="AE87" s="3138"/>
      <c r="AF87" s="3138"/>
      <c r="AG87" s="3138"/>
      <c r="AH87" s="5627"/>
      <c r="AI87" s="5626"/>
      <c r="AJ87" s="5626"/>
      <c r="AK87" s="5626"/>
      <c r="AL87" s="5626"/>
      <c r="AM87" s="5626"/>
      <c r="AN87" s="5626"/>
      <c r="AO87" s="5626"/>
      <c r="AP87" s="5626"/>
      <c r="AQ87" s="5626"/>
      <c r="AR87" s="5626"/>
      <c r="AS87" s="5626"/>
      <c r="AT87" s="5626"/>
      <c r="AU87" s="5626"/>
      <c r="AV87" s="5626"/>
      <c r="AW87" s="5626"/>
      <c r="AX87" s="5626"/>
      <c r="AY87" s="5626"/>
      <c r="AZ87" s="5626"/>
      <c r="BA87" s="1396"/>
      <c r="BB87" s="1396"/>
      <c r="BC87" s="1396"/>
      <c r="BG87" s="3023"/>
      <c r="BH87" s="2395"/>
      <c r="BI87" s="3024"/>
      <c r="BJ87" s="3024"/>
      <c r="BK87" s="5570" t="s">
        <v>1561</v>
      </c>
      <c r="BL87" s="4970"/>
      <c r="BM87" s="4970"/>
      <c r="BN87" s="5576" t="s">
        <v>1704</v>
      </c>
      <c r="BO87" s="5578" t="s">
        <v>1560</v>
      </c>
      <c r="BP87" s="5579"/>
      <c r="BQ87" s="5579"/>
      <c r="BR87" s="5579"/>
      <c r="BS87" s="5579"/>
      <c r="BT87" s="5579"/>
      <c r="BU87" s="5579"/>
      <c r="BV87" s="5579"/>
      <c r="BW87" s="5579"/>
      <c r="BX87" s="5579"/>
      <c r="BY87" s="5579"/>
      <c r="BZ87" s="5579"/>
      <c r="CA87" s="5579"/>
      <c r="CB87" s="5579"/>
      <c r="CC87" s="5579"/>
      <c r="CD87" s="5579"/>
      <c r="CE87" s="5579"/>
      <c r="CF87" s="5579"/>
      <c r="CG87" s="5579"/>
      <c r="CH87" s="5579"/>
      <c r="CI87" s="5579"/>
      <c r="CJ87" s="5579"/>
      <c r="CK87" s="5579"/>
      <c r="CL87" s="5579"/>
      <c r="CM87" s="5579"/>
      <c r="CN87" s="5579"/>
      <c r="CO87" s="5580"/>
    </row>
    <row r="88" spans="1:96" ht="19.5" hidden="1" thickBot="1">
      <c r="A88" s="5626"/>
      <c r="B88" s="3138"/>
      <c r="C88" s="3138"/>
      <c r="D88" s="3138"/>
      <c r="E88" s="3138"/>
      <c r="F88" s="3138"/>
      <c r="G88" s="3138"/>
      <c r="H88" s="3138"/>
      <c r="I88" s="3138"/>
      <c r="J88" s="3138"/>
      <c r="K88" s="3138"/>
      <c r="L88" s="3138"/>
      <c r="M88" s="3138"/>
      <c r="N88" s="3138"/>
      <c r="O88" s="3138"/>
      <c r="P88" s="3138"/>
      <c r="Q88" s="3138"/>
      <c r="R88" s="3138"/>
      <c r="S88" s="3138"/>
      <c r="T88" s="3138"/>
      <c r="U88" s="3138"/>
      <c r="V88" s="3138"/>
      <c r="W88" s="3138"/>
      <c r="X88" s="3138"/>
      <c r="Y88" s="3138"/>
      <c r="Z88" s="3138"/>
      <c r="AA88" s="3138"/>
      <c r="AB88" s="3138"/>
      <c r="AC88" s="3138"/>
      <c r="AD88" s="3138"/>
      <c r="AE88" s="3138"/>
      <c r="AF88" s="3138"/>
      <c r="AG88" s="3138"/>
      <c r="AH88" s="5627"/>
      <c r="AI88" s="2395"/>
      <c r="AJ88" s="2395"/>
      <c r="AK88" s="2395"/>
      <c r="AL88" s="2395"/>
      <c r="AM88" s="2395"/>
      <c r="AN88" s="2395"/>
      <c r="AO88" s="2395"/>
      <c r="AP88" s="2395"/>
      <c r="AQ88" s="2395"/>
      <c r="AR88" s="2395"/>
      <c r="AS88" s="2395"/>
      <c r="AT88" s="2395"/>
      <c r="AU88" s="2395"/>
      <c r="AV88" s="2395"/>
      <c r="AW88" s="2395"/>
      <c r="AX88" s="2395"/>
      <c r="AY88" s="2395"/>
      <c r="AZ88" s="2395"/>
      <c r="BA88" s="5591"/>
      <c r="BB88" s="5591"/>
      <c r="BC88" s="1396"/>
      <c r="BG88" s="3023"/>
      <c r="BH88" s="2395"/>
      <c r="BI88" s="3024"/>
      <c r="BJ88" s="3024"/>
      <c r="BK88" s="5571"/>
      <c r="BL88" s="5572"/>
      <c r="BM88" s="5572"/>
      <c r="BN88" s="5577"/>
      <c r="BO88" s="3027" t="s">
        <v>586</v>
      </c>
      <c r="BP88" s="3027" t="s">
        <v>587</v>
      </c>
      <c r="BQ88" s="3028" t="s">
        <v>588</v>
      </c>
      <c r="BR88" s="3029" t="s">
        <v>600</v>
      </c>
      <c r="BS88" s="3027" t="s">
        <v>1562</v>
      </c>
      <c r="BT88" s="3027" t="s">
        <v>590</v>
      </c>
      <c r="BU88" s="3028" t="s">
        <v>591</v>
      </c>
      <c r="BV88" s="3029" t="s">
        <v>599</v>
      </c>
      <c r="BW88" s="3029" t="s">
        <v>598</v>
      </c>
      <c r="BX88" s="3028" t="s">
        <v>592</v>
      </c>
      <c r="BY88" s="3028" t="s">
        <v>593</v>
      </c>
      <c r="BZ88" s="3027" t="s">
        <v>594</v>
      </c>
      <c r="CA88" s="3029" t="s">
        <v>225</v>
      </c>
      <c r="CB88" s="3029" t="s">
        <v>229</v>
      </c>
      <c r="CC88" s="3028" t="s">
        <v>595</v>
      </c>
      <c r="CD88" s="4049"/>
      <c r="CE88" s="4049"/>
      <c r="CF88" s="4049"/>
      <c r="CG88" s="4049"/>
      <c r="CH88" s="4049"/>
      <c r="CI88" s="4049"/>
      <c r="CJ88" s="4049"/>
      <c r="CK88" s="4049"/>
      <c r="CL88" s="4049"/>
      <c r="CM88" s="3028" t="s">
        <v>596</v>
      </c>
      <c r="CN88" s="3028" t="s">
        <v>597</v>
      </c>
      <c r="CO88" s="3030" t="s">
        <v>135</v>
      </c>
      <c r="CP88" s="5581" t="s">
        <v>1586</v>
      </c>
      <c r="CQ88" s="5582"/>
    </row>
    <row r="89" spans="1:96" ht="19.5" hidden="1" thickBot="1">
      <c r="A89" s="3046"/>
      <c r="B89" s="3139"/>
      <c r="C89" s="3139"/>
      <c r="D89" s="3139"/>
      <c r="E89" s="3139"/>
      <c r="F89" s="3139"/>
      <c r="G89" s="3139"/>
      <c r="H89" s="3139"/>
      <c r="I89" s="3139"/>
      <c r="J89" s="3139"/>
      <c r="K89" s="3139"/>
      <c r="L89" s="3139"/>
      <c r="M89" s="3139"/>
      <c r="N89" s="3139"/>
      <c r="O89" s="3139"/>
      <c r="P89" s="3139"/>
      <c r="Q89" s="3139"/>
      <c r="R89" s="3139"/>
      <c r="S89" s="3139"/>
      <c r="T89" s="3139"/>
      <c r="U89" s="3139"/>
      <c r="V89" s="3139"/>
      <c r="W89" s="3139"/>
      <c r="X89" s="3139"/>
      <c r="Y89" s="3139"/>
      <c r="Z89" s="3139"/>
      <c r="AA89" s="3139"/>
      <c r="AB89" s="3139"/>
      <c r="AC89" s="3139"/>
      <c r="AD89" s="3139"/>
      <c r="AE89" s="3139"/>
      <c r="AF89" s="3139"/>
      <c r="AG89" s="3139"/>
      <c r="AH89" s="3139"/>
      <c r="AI89" s="3139"/>
      <c r="AJ89" s="3139"/>
      <c r="AK89" s="3139"/>
      <c r="AL89" s="3139"/>
      <c r="AM89" s="3139"/>
      <c r="AN89" s="3139"/>
      <c r="AO89" s="3139"/>
      <c r="AP89" s="3139"/>
      <c r="AQ89" s="3139"/>
      <c r="AR89" s="3139"/>
      <c r="AS89" s="3139"/>
      <c r="AT89" s="3139"/>
      <c r="AU89" s="3139"/>
      <c r="AV89" s="3139"/>
      <c r="AW89" s="3139"/>
      <c r="AX89" s="3139"/>
      <c r="AY89" s="3139"/>
      <c r="AZ89" s="3139"/>
      <c r="BA89" s="1396"/>
      <c r="BB89" s="1396"/>
      <c r="BC89" s="1396"/>
      <c r="BG89" s="3023"/>
      <c r="BH89" s="3046"/>
      <c r="BI89" s="3024"/>
      <c r="BJ89" s="3024"/>
      <c r="BK89" s="5535" t="s">
        <v>401</v>
      </c>
      <c r="BL89" s="5389"/>
      <c r="BM89" s="5389"/>
      <c r="BN89" s="5389"/>
      <c r="BO89" s="5389"/>
      <c r="BP89" s="5389"/>
      <c r="BQ89" s="5389"/>
      <c r="BR89" s="5389"/>
      <c r="BS89" s="5389"/>
      <c r="BT89" s="5389"/>
      <c r="BU89" s="5389"/>
      <c r="BV89" s="5389"/>
      <c r="BW89" s="5389"/>
      <c r="BX89" s="5389"/>
      <c r="BY89" s="5389"/>
      <c r="BZ89" s="5389"/>
      <c r="CA89" s="5389"/>
      <c r="CB89" s="5389"/>
      <c r="CC89" s="5389"/>
      <c r="CD89" s="5389"/>
      <c r="CE89" s="5389"/>
      <c r="CF89" s="5389"/>
      <c r="CG89" s="5389"/>
      <c r="CH89" s="5389"/>
      <c r="CI89" s="5389"/>
      <c r="CJ89" s="5389"/>
      <c r="CK89" s="5389"/>
      <c r="CL89" s="5389"/>
      <c r="CM89" s="5389"/>
      <c r="CN89" s="5389"/>
      <c r="CO89" s="5390"/>
    </row>
    <row r="90" spans="1:96" ht="18.75" hidden="1">
      <c r="A90" s="3047"/>
      <c r="B90" s="3138"/>
      <c r="C90" s="3138"/>
      <c r="D90" s="3138"/>
      <c r="E90" s="3138"/>
      <c r="F90" s="3138"/>
      <c r="G90" s="3138"/>
      <c r="H90" s="3138"/>
      <c r="I90" s="3138"/>
      <c r="J90" s="3138"/>
      <c r="K90" s="3138"/>
      <c r="L90" s="3138"/>
      <c r="M90" s="3138"/>
      <c r="N90" s="3138"/>
      <c r="O90" s="3138"/>
      <c r="P90" s="3138"/>
      <c r="Q90" s="3138"/>
      <c r="R90" s="3138"/>
      <c r="S90" s="3138"/>
      <c r="T90" s="3138"/>
      <c r="U90" s="3138"/>
      <c r="V90" s="3138"/>
      <c r="W90" s="3138"/>
      <c r="X90" s="3138"/>
      <c r="Y90" s="3138"/>
      <c r="Z90" s="3138"/>
      <c r="AA90" s="3138"/>
      <c r="AB90" s="3138"/>
      <c r="AC90" s="3138"/>
      <c r="AD90" s="3138"/>
      <c r="AE90" s="3138"/>
      <c r="AF90" s="3138"/>
      <c r="AG90" s="3138"/>
      <c r="AH90" s="3140"/>
      <c r="AI90" s="3140"/>
      <c r="AJ90" s="3140"/>
      <c r="AK90" s="3140"/>
      <c r="AL90" s="3140"/>
      <c r="AM90" s="3140"/>
      <c r="AN90" s="3140"/>
      <c r="AO90" s="3140"/>
      <c r="AP90" s="3140"/>
      <c r="AQ90" s="3140"/>
      <c r="AR90" s="3140"/>
      <c r="AS90" s="3140"/>
      <c r="AT90" s="3140"/>
      <c r="AU90" s="3140"/>
      <c r="AV90" s="3140"/>
      <c r="AW90" s="3140"/>
      <c r="AX90" s="3140"/>
      <c r="AY90" s="3140"/>
      <c r="AZ90" s="3140"/>
      <c r="BA90" s="2456"/>
      <c r="BB90" s="2456"/>
      <c r="BC90" s="1396"/>
      <c r="BG90" s="3023"/>
      <c r="BH90" s="3047"/>
      <c r="BI90" s="3024"/>
      <c r="BJ90" s="3133">
        <f t="shared" ref="BJ90:BJ94" si="47">SUM(CP90)</f>
        <v>690.79999999999973</v>
      </c>
      <c r="BK90" s="5573" t="s">
        <v>1563</v>
      </c>
      <c r="BL90" s="5574"/>
      <c r="BM90" s="5574"/>
      <c r="BN90" s="2442">
        <v>690.8</v>
      </c>
      <c r="BO90" s="2443">
        <f>SUM(BN90/12)</f>
        <v>57.566666666666663</v>
      </c>
      <c r="BP90" s="2443">
        <f>SUM(BO90)</f>
        <v>57.566666666666663</v>
      </c>
      <c r="BQ90" s="2443">
        <f>SUM(BO90)</f>
        <v>57.566666666666663</v>
      </c>
      <c r="BR90" s="2442">
        <f>SUM(BO90:BQ90)</f>
        <v>172.7</v>
      </c>
      <c r="BS90" s="2443">
        <f>SUM(BO90)</f>
        <v>57.566666666666663</v>
      </c>
      <c r="BT90" s="2443">
        <f>SUM(BO90)</f>
        <v>57.566666666666663</v>
      </c>
      <c r="BU90" s="2443">
        <f>SUM(BO90)</f>
        <v>57.566666666666663</v>
      </c>
      <c r="BV90" s="2442">
        <f>SUM(BS90:BU90)</f>
        <v>172.7</v>
      </c>
      <c r="BW90" s="2442">
        <f>SUM(BR90+BV90)</f>
        <v>345.4</v>
      </c>
      <c r="BX90" s="2443">
        <f>SUM(BO90)</f>
        <v>57.566666666666663</v>
      </c>
      <c r="BY90" s="2443">
        <f>SUM(BO90)</f>
        <v>57.566666666666663</v>
      </c>
      <c r="BZ90" s="2443">
        <f>SUM(BO90)</f>
        <v>57.566666666666663</v>
      </c>
      <c r="CA90" s="2442">
        <f>SUM(BX90:BZ90)</f>
        <v>172.7</v>
      </c>
      <c r="CB90" s="2442">
        <f>SUM(BW90+CA90)</f>
        <v>518.09999999999991</v>
      </c>
      <c r="CC90" s="2443">
        <f>SUM(BO90)</f>
        <v>57.566666666666663</v>
      </c>
      <c r="CD90" s="2443"/>
      <c r="CE90" s="2443"/>
      <c r="CF90" s="2443"/>
      <c r="CG90" s="2443"/>
      <c r="CH90" s="2443"/>
      <c r="CI90" s="2443"/>
      <c r="CJ90" s="2443"/>
      <c r="CK90" s="2443"/>
      <c r="CL90" s="2443"/>
      <c r="CM90" s="2443">
        <f>SUM(BO90)</f>
        <v>57.566666666666663</v>
      </c>
      <c r="CN90" s="2443">
        <f>SUM(BO90)</f>
        <v>57.566666666666663</v>
      </c>
      <c r="CO90" s="2444">
        <f>SUM(CC90:CN90)</f>
        <v>172.7</v>
      </c>
      <c r="CP90" s="2455">
        <f>SUM(BO90+BP90+BQ90+BS90+BT90+BU90+BX90+BY90+BZ90+CC90+CM90+CN90)</f>
        <v>690.79999999999973</v>
      </c>
      <c r="CQ90" s="2456">
        <f>SUM(BR90+BV90+CA90+CO90)</f>
        <v>690.8</v>
      </c>
    </row>
    <row r="91" spans="1:96" ht="18.75" hidden="1">
      <c r="A91" s="3141"/>
      <c r="B91" s="3138"/>
      <c r="C91" s="3138"/>
      <c r="D91" s="3138"/>
      <c r="E91" s="3138"/>
      <c r="F91" s="3138"/>
      <c r="G91" s="3138"/>
      <c r="H91" s="3138"/>
      <c r="I91" s="3138"/>
      <c r="J91" s="3138"/>
      <c r="K91" s="3138"/>
      <c r="L91" s="3138"/>
      <c r="M91" s="3138"/>
      <c r="N91" s="3138"/>
      <c r="O91" s="3138"/>
      <c r="P91" s="3138"/>
      <c r="Q91" s="3138"/>
      <c r="R91" s="3138"/>
      <c r="S91" s="3138"/>
      <c r="T91" s="3138"/>
      <c r="U91" s="3138"/>
      <c r="V91" s="3138"/>
      <c r="W91" s="3138"/>
      <c r="X91" s="3138"/>
      <c r="Y91" s="3138"/>
      <c r="Z91" s="3138"/>
      <c r="AA91" s="3138"/>
      <c r="AB91" s="3138"/>
      <c r="AC91" s="3138"/>
      <c r="AD91" s="3138"/>
      <c r="AE91" s="3138"/>
      <c r="AF91" s="3138"/>
      <c r="AG91" s="3138"/>
      <c r="AH91" s="3142"/>
      <c r="AI91" s="3142"/>
      <c r="AJ91" s="3142"/>
      <c r="AK91" s="3142"/>
      <c r="AL91" s="3142"/>
      <c r="AM91" s="3142"/>
      <c r="AN91" s="3142"/>
      <c r="AO91" s="3142"/>
      <c r="AP91" s="3142"/>
      <c r="AQ91" s="3142"/>
      <c r="AR91" s="3142"/>
      <c r="AS91" s="3142"/>
      <c r="AT91" s="3142"/>
      <c r="AU91" s="3142"/>
      <c r="AV91" s="3142"/>
      <c r="AW91" s="3142"/>
      <c r="AX91" s="3142"/>
      <c r="AY91" s="3142"/>
      <c r="AZ91" s="3142"/>
      <c r="BA91" s="2458"/>
      <c r="BB91" s="2458"/>
      <c r="BC91" s="1396"/>
      <c r="BG91" s="3023"/>
      <c r="BH91" s="3048"/>
      <c r="BI91" s="3024"/>
      <c r="BJ91" s="3134">
        <f t="shared" si="47"/>
        <v>5.6443828499999995</v>
      </c>
      <c r="BK91" s="5564" t="s">
        <v>1564</v>
      </c>
      <c r="BL91" s="5575"/>
      <c r="BM91" s="5575"/>
      <c r="BN91" s="3032">
        <f>SUM(BX48)</f>
        <v>5.6443833236826872</v>
      </c>
      <c r="BO91" s="3031">
        <v>5.4535099999999996</v>
      </c>
      <c r="BP91" s="3031">
        <f>SUM(BO91)</f>
        <v>5.4535099999999996</v>
      </c>
      <c r="BQ91" s="3031">
        <f>SUM(BO91)</f>
        <v>5.4535099999999996</v>
      </c>
      <c r="BR91" s="3032">
        <f>SUM(BO91:BQ91)/3</f>
        <v>5.4535099999999987</v>
      </c>
      <c r="BS91" s="3031">
        <f>SUM(BO91)</f>
        <v>5.4535099999999996</v>
      </c>
      <c r="BT91" s="3031">
        <f>SUM(BO91)</f>
        <v>5.4535099999999996</v>
      </c>
      <c r="BU91" s="3031">
        <f>SUM(BO91)</f>
        <v>5.4535099999999996</v>
      </c>
      <c r="BV91" s="3032">
        <f>SUM(BS91:BU91)/3</f>
        <v>5.4535099999999987</v>
      </c>
      <c r="BW91" s="3032">
        <f>SUM(BO91+BP91+BQ91+BS91+BT91+BU91)/6</f>
        <v>5.4535100000000005</v>
      </c>
      <c r="BX91" s="3031">
        <f>SUM(BU91*1.07)</f>
        <v>5.8352557000000003</v>
      </c>
      <c r="BY91" s="3031">
        <f>SUM(BX91)</f>
        <v>5.8352557000000003</v>
      </c>
      <c r="BZ91" s="3031">
        <f>SUM(BX91)</f>
        <v>5.8352557000000003</v>
      </c>
      <c r="CA91" s="3032">
        <f>SUM(BX91:BZ91)/3</f>
        <v>5.8352557000000003</v>
      </c>
      <c r="CB91" s="3032">
        <f>SUM(BO91+BP91+BQ91+BS91+BT91+BU91+BX91+BY91+BZ91)/9</f>
        <v>5.5807585666666659</v>
      </c>
      <c r="CC91" s="3031">
        <f>SUM(BX91)</f>
        <v>5.8352557000000003</v>
      </c>
      <c r="CD91" s="4050"/>
      <c r="CE91" s="4050"/>
      <c r="CF91" s="4050"/>
      <c r="CG91" s="4050"/>
      <c r="CH91" s="4050"/>
      <c r="CI91" s="4050"/>
      <c r="CJ91" s="4050"/>
      <c r="CK91" s="4050"/>
      <c r="CL91" s="4050"/>
      <c r="CM91" s="3031">
        <f>SUM(BX91)</f>
        <v>5.8352557000000003</v>
      </c>
      <c r="CN91" s="3031">
        <f>SUM(BX91)</f>
        <v>5.8352557000000003</v>
      </c>
      <c r="CO91" s="3033">
        <f>SUM(CC91:CN91)/3</f>
        <v>5.8352557000000003</v>
      </c>
      <c r="CP91" s="2457">
        <f>SUM(BO91+BP91+BQ91+BS91+BT91+BU91+BX91+BY91+BZ91+CC91+CM91+CN91)/12</f>
        <v>5.6443828499999995</v>
      </c>
      <c r="CQ91" s="2458">
        <f>SUM(BR91+BV91+CA91+CO91)/4</f>
        <v>5.6443828499999995</v>
      </c>
    </row>
    <row r="92" spans="1:96" ht="18.75" hidden="1">
      <c r="A92" s="3047"/>
      <c r="B92" s="3138"/>
      <c r="C92" s="3138"/>
      <c r="D92" s="3138"/>
      <c r="E92" s="3138"/>
      <c r="F92" s="3138"/>
      <c r="G92" s="3138"/>
      <c r="H92" s="3138"/>
      <c r="I92" s="3138"/>
      <c r="J92" s="3138"/>
      <c r="K92" s="3138"/>
      <c r="L92" s="3138"/>
      <c r="M92" s="3138"/>
      <c r="N92" s="3138"/>
      <c r="O92" s="3138"/>
      <c r="P92" s="3138"/>
      <c r="Q92" s="3138"/>
      <c r="R92" s="3138"/>
      <c r="S92" s="3138"/>
      <c r="T92" s="3138"/>
      <c r="U92" s="3138"/>
      <c r="V92" s="3138"/>
      <c r="W92" s="3138"/>
      <c r="X92" s="3138"/>
      <c r="Y92" s="3138"/>
      <c r="Z92" s="3138"/>
      <c r="AA92" s="3138"/>
      <c r="AB92" s="3138"/>
      <c r="AC92" s="3138"/>
      <c r="AD92" s="3138"/>
      <c r="AE92" s="3138"/>
      <c r="AF92" s="3138"/>
      <c r="AG92" s="3138"/>
      <c r="AH92" s="3140"/>
      <c r="AI92" s="3140"/>
      <c r="AJ92" s="3140"/>
      <c r="AK92" s="3140"/>
      <c r="AL92" s="3140"/>
      <c r="AM92" s="3140"/>
      <c r="AN92" s="3140"/>
      <c r="AO92" s="3140"/>
      <c r="AP92" s="3140"/>
      <c r="AQ92" s="3140"/>
      <c r="AR92" s="3140"/>
      <c r="AS92" s="3140"/>
      <c r="AT92" s="3140"/>
      <c r="AU92" s="3140"/>
      <c r="AV92" s="3140"/>
      <c r="AW92" s="3140"/>
      <c r="AX92" s="3140"/>
      <c r="AY92" s="3140"/>
      <c r="AZ92" s="3140"/>
      <c r="BA92" s="2456"/>
      <c r="BB92" s="2456"/>
      <c r="BC92" s="1396"/>
      <c r="BG92" s="3023"/>
      <c r="BH92" s="3047"/>
      <c r="BI92" s="3024"/>
      <c r="BJ92" s="3133">
        <f>SUM(CP92)</f>
        <v>3899.1396727799979</v>
      </c>
      <c r="BK92" s="5566" t="s">
        <v>1565</v>
      </c>
      <c r="BL92" s="5575"/>
      <c r="BM92" s="5575"/>
      <c r="BN92" s="3035">
        <f>SUM(BN90*BN91)</f>
        <v>3899.14</v>
      </c>
      <c r="BO92" s="3034">
        <f t="shared" ref="BO92:CP92" si="48">SUM(BO90*BO91)</f>
        <v>313.94039233333331</v>
      </c>
      <c r="BP92" s="3034">
        <f t="shared" si="48"/>
        <v>313.94039233333331</v>
      </c>
      <c r="BQ92" s="3034">
        <f t="shared" si="48"/>
        <v>313.94039233333331</v>
      </c>
      <c r="BR92" s="3035">
        <f t="shared" si="48"/>
        <v>941.82117699999969</v>
      </c>
      <c r="BS92" s="3034">
        <f t="shared" si="48"/>
        <v>313.94039233333331</v>
      </c>
      <c r="BT92" s="3034">
        <f t="shared" si="48"/>
        <v>313.94039233333331</v>
      </c>
      <c r="BU92" s="3034">
        <f t="shared" si="48"/>
        <v>313.94039233333331</v>
      </c>
      <c r="BV92" s="3035">
        <f t="shared" si="48"/>
        <v>941.82117699999969</v>
      </c>
      <c r="BW92" s="3035">
        <f t="shared" si="48"/>
        <v>1883.6423540000001</v>
      </c>
      <c r="BX92" s="3034">
        <f t="shared" si="48"/>
        <v>335.91621979666667</v>
      </c>
      <c r="BY92" s="3034">
        <f t="shared" si="48"/>
        <v>335.91621979666667</v>
      </c>
      <c r="BZ92" s="3034">
        <f t="shared" si="48"/>
        <v>335.91621979666667</v>
      </c>
      <c r="CA92" s="3035">
        <f t="shared" si="48"/>
        <v>1007.7486593899999</v>
      </c>
      <c r="CB92" s="3035">
        <f t="shared" si="48"/>
        <v>2891.391013389999</v>
      </c>
      <c r="CC92" s="3034">
        <f t="shared" si="48"/>
        <v>335.91621979666667</v>
      </c>
      <c r="CD92" s="4051"/>
      <c r="CE92" s="4051"/>
      <c r="CF92" s="4051"/>
      <c r="CG92" s="4051"/>
      <c r="CH92" s="4051"/>
      <c r="CI92" s="4051"/>
      <c r="CJ92" s="4051"/>
      <c r="CK92" s="4051"/>
      <c r="CL92" s="4051"/>
      <c r="CM92" s="3034">
        <f t="shared" si="48"/>
        <v>335.91621979666667</v>
      </c>
      <c r="CN92" s="3034">
        <f t="shared" si="48"/>
        <v>335.91621979666667</v>
      </c>
      <c r="CO92" s="3036">
        <f t="shared" si="48"/>
        <v>1007.7486593899999</v>
      </c>
      <c r="CP92" s="2455">
        <f t="shared" si="48"/>
        <v>3899.1396727799979</v>
      </c>
      <c r="CQ92" s="2456">
        <f>SUM(BR92+BV92+CA92+CO92)</f>
        <v>3899.1396727799993</v>
      </c>
    </row>
    <row r="93" spans="1:96" ht="18.75" hidden="1">
      <c r="A93" s="3047"/>
      <c r="B93" s="3138"/>
      <c r="C93" s="3138"/>
      <c r="D93" s="3138"/>
      <c r="E93" s="3138"/>
      <c r="F93" s="3138"/>
      <c r="G93" s="3138"/>
      <c r="H93" s="3138"/>
      <c r="I93" s="3138"/>
      <c r="J93" s="3138"/>
      <c r="K93" s="3138"/>
      <c r="L93" s="3138"/>
      <c r="M93" s="3138"/>
      <c r="N93" s="3138"/>
      <c r="O93" s="3138"/>
      <c r="P93" s="3138"/>
      <c r="Q93" s="3138"/>
      <c r="R93" s="3138"/>
      <c r="S93" s="3138"/>
      <c r="T93" s="3138"/>
      <c r="U93" s="3138"/>
      <c r="V93" s="3138"/>
      <c r="W93" s="3138"/>
      <c r="X93" s="3138"/>
      <c r="Y93" s="3138"/>
      <c r="Z93" s="3138"/>
      <c r="AA93" s="3138"/>
      <c r="AB93" s="3138"/>
      <c r="AC93" s="3138"/>
      <c r="AD93" s="3138"/>
      <c r="AE93" s="3138"/>
      <c r="AF93" s="3138"/>
      <c r="AG93" s="3138"/>
      <c r="AH93" s="3142"/>
      <c r="AI93" s="3142"/>
      <c r="AJ93" s="3142"/>
      <c r="AK93" s="3142"/>
      <c r="AL93" s="3142"/>
      <c r="AM93" s="3142"/>
      <c r="AN93" s="3142"/>
      <c r="AO93" s="3142"/>
      <c r="AP93" s="3142"/>
      <c r="AQ93" s="3142"/>
      <c r="AR93" s="3142"/>
      <c r="AS93" s="3142"/>
      <c r="AT93" s="3142"/>
      <c r="AU93" s="3142"/>
      <c r="AV93" s="3142"/>
      <c r="AW93" s="3142"/>
      <c r="AX93" s="3142"/>
      <c r="AY93" s="3142"/>
      <c r="AZ93" s="3142"/>
      <c r="BA93" s="2456"/>
      <c r="BB93" s="2456"/>
      <c r="BC93" s="1396"/>
      <c r="BG93" s="3023"/>
      <c r="BH93" s="3047"/>
      <c r="BI93" s="3024"/>
      <c r="BJ93" s="3133">
        <f t="shared" si="47"/>
        <v>0</v>
      </c>
      <c r="BK93" s="5567" t="s">
        <v>1566</v>
      </c>
      <c r="BL93" s="5575"/>
      <c r="BM93" s="5575"/>
      <c r="BN93" s="3032">
        <f>SUM(BN90/BN97)</f>
        <v>0.12969649930223356</v>
      </c>
      <c r="BO93" s="3032">
        <f>SUM(BN93)</f>
        <v>0.12969649930223356</v>
      </c>
      <c r="BP93" s="3032">
        <f>SUM(BN93)</f>
        <v>0.12969649930223356</v>
      </c>
      <c r="BQ93" s="3032">
        <f>SUM(BN93)</f>
        <v>0.12969649930223356</v>
      </c>
      <c r="BR93" s="3032">
        <f>SUM(BN93)</f>
        <v>0.12969649930223356</v>
      </c>
      <c r="BS93" s="3032">
        <f>SUM(BN93)</f>
        <v>0.12969649930223356</v>
      </c>
      <c r="BT93" s="3032">
        <f>SUM(BN93)</f>
        <v>0.12969649930223356</v>
      </c>
      <c r="BU93" s="3032">
        <f>SUM(BN93)</f>
        <v>0.12969649930223356</v>
      </c>
      <c r="BV93" s="3032">
        <f>SUM(BN93)</f>
        <v>0.12969649930223356</v>
      </c>
      <c r="BW93" s="3032">
        <f>SUM(BN93)</f>
        <v>0.12969649930223356</v>
      </c>
      <c r="BX93" s="3032">
        <f>SUM(BN93)</f>
        <v>0.12969649930223356</v>
      </c>
      <c r="BY93" s="3032">
        <f>SUM(BN93)</f>
        <v>0.12969649930223356</v>
      </c>
      <c r="BZ93" s="3032">
        <f>SUM(BN93)</f>
        <v>0.12969649930223356</v>
      </c>
      <c r="CA93" s="3032">
        <f>SUM(BN93)</f>
        <v>0.12969649930223356</v>
      </c>
      <c r="CB93" s="3032">
        <f>SUM(BN93)</f>
        <v>0.12969649930223356</v>
      </c>
      <c r="CC93" s="3032">
        <f>SUM(BN93)</f>
        <v>0.12969649930223356</v>
      </c>
      <c r="CD93" s="4052"/>
      <c r="CE93" s="4052"/>
      <c r="CF93" s="4052"/>
      <c r="CG93" s="4052"/>
      <c r="CH93" s="4052"/>
      <c r="CI93" s="4052"/>
      <c r="CJ93" s="4052"/>
      <c r="CK93" s="4052"/>
      <c r="CL93" s="4052"/>
      <c r="CM93" s="3032">
        <f>SUM(BN93)</f>
        <v>0.12969649930223356</v>
      </c>
      <c r="CN93" s="3032">
        <f>SUM(BN93)</f>
        <v>0.12969649930223356</v>
      </c>
      <c r="CO93" s="3032">
        <f>SUM(BN93)</f>
        <v>0.12969649930223356</v>
      </c>
      <c r="CP93" s="2455"/>
      <c r="CQ93" s="2456"/>
    </row>
    <row r="94" spans="1:96" ht="18.75" hidden="1">
      <c r="A94" s="3047"/>
      <c r="B94" s="3138"/>
      <c r="C94" s="3138"/>
      <c r="D94" s="3138"/>
      <c r="E94" s="3138"/>
      <c r="F94" s="3138"/>
      <c r="G94" s="3138"/>
      <c r="H94" s="3138"/>
      <c r="I94" s="3138"/>
      <c r="J94" s="3138"/>
      <c r="K94" s="3138"/>
      <c r="L94" s="3138"/>
      <c r="M94" s="3138"/>
      <c r="N94" s="3138"/>
      <c r="O94" s="3138"/>
      <c r="P94" s="3138"/>
      <c r="Q94" s="3138"/>
      <c r="R94" s="3138"/>
      <c r="S94" s="3138"/>
      <c r="T94" s="3138"/>
      <c r="U94" s="3138"/>
      <c r="V94" s="3138"/>
      <c r="W94" s="3138"/>
      <c r="X94" s="3138"/>
      <c r="Y94" s="3138"/>
      <c r="Z94" s="3138"/>
      <c r="AA94" s="3138"/>
      <c r="AB94" s="3138"/>
      <c r="AC94" s="3138"/>
      <c r="AD94" s="3138"/>
      <c r="AE94" s="3138"/>
      <c r="AF94" s="3138"/>
      <c r="AG94" s="3138"/>
      <c r="AH94" s="3140"/>
      <c r="AI94" s="3140"/>
      <c r="AJ94" s="3140"/>
      <c r="AK94" s="3140"/>
      <c r="AL94" s="3140"/>
      <c r="AM94" s="3140"/>
      <c r="AN94" s="3140"/>
      <c r="AO94" s="3140"/>
      <c r="AP94" s="3140"/>
      <c r="AQ94" s="3140"/>
      <c r="AR94" s="3140"/>
      <c r="AS94" s="3140"/>
      <c r="AT94" s="3140"/>
      <c r="AU94" s="3140"/>
      <c r="AV94" s="3140"/>
      <c r="AW94" s="3140"/>
      <c r="AX94" s="3140"/>
      <c r="AY94" s="3140"/>
      <c r="AZ94" s="3140"/>
      <c r="BA94" s="2456"/>
      <c r="BB94" s="2456"/>
      <c r="BC94" s="1396"/>
      <c r="BG94" s="3023"/>
      <c r="BH94" s="3047"/>
      <c r="BI94" s="3024"/>
      <c r="BJ94" s="3134">
        <f t="shared" si="47"/>
        <v>690.8</v>
      </c>
      <c r="BK94" s="5567" t="s">
        <v>1563</v>
      </c>
      <c r="BL94" s="5575"/>
      <c r="BM94" s="5575"/>
      <c r="BN94" s="3035">
        <f>SUM(BN93*BN97)</f>
        <v>690.79999999999984</v>
      </c>
      <c r="BO94" s="3035">
        <f t="shared" ref="BO94:CO94" si="49">SUM(BO93*BO97)</f>
        <v>59.063400000000001</v>
      </c>
      <c r="BP94" s="3035">
        <f t="shared" si="49"/>
        <v>58.717999999999996</v>
      </c>
      <c r="BQ94" s="3035">
        <f t="shared" si="49"/>
        <v>58.717999999999996</v>
      </c>
      <c r="BR94" s="3035">
        <f t="shared" si="49"/>
        <v>176.49939999999998</v>
      </c>
      <c r="BS94" s="3035">
        <f t="shared" si="49"/>
        <v>58.372599999999998</v>
      </c>
      <c r="BT94" s="3035">
        <f t="shared" si="49"/>
        <v>55.264000000000003</v>
      </c>
      <c r="BU94" s="3035">
        <f t="shared" si="49"/>
        <v>55.264000000000003</v>
      </c>
      <c r="BV94" s="3035">
        <f t="shared" si="49"/>
        <v>168.9006</v>
      </c>
      <c r="BW94" s="3035">
        <f t="shared" si="49"/>
        <v>345.4</v>
      </c>
      <c r="BX94" s="3035">
        <f t="shared" si="49"/>
        <v>55.264000000000003</v>
      </c>
      <c r="BY94" s="3035">
        <f t="shared" si="49"/>
        <v>55.264000000000003</v>
      </c>
      <c r="BZ94" s="3035">
        <f t="shared" si="49"/>
        <v>58.372599999999998</v>
      </c>
      <c r="CA94" s="3035">
        <f t="shared" si="49"/>
        <v>168.90060000000003</v>
      </c>
      <c r="CB94" s="3035">
        <f t="shared" si="49"/>
        <v>514.30060000000003</v>
      </c>
      <c r="CC94" s="3035">
        <f t="shared" si="49"/>
        <v>58.717999999999996</v>
      </c>
      <c r="CD94" s="4053"/>
      <c r="CE94" s="4053"/>
      <c r="CF94" s="4053"/>
      <c r="CG94" s="4053"/>
      <c r="CH94" s="4053"/>
      <c r="CI94" s="4053"/>
      <c r="CJ94" s="4053"/>
      <c r="CK94" s="4053"/>
      <c r="CL94" s="4053"/>
      <c r="CM94" s="3035">
        <f t="shared" si="49"/>
        <v>58.717999999999996</v>
      </c>
      <c r="CN94" s="3035">
        <f t="shared" si="49"/>
        <v>59.063400000000001</v>
      </c>
      <c r="CO94" s="3036">
        <f t="shared" si="49"/>
        <v>176.49939999999998</v>
      </c>
      <c r="CP94" s="2455">
        <f>SUM(BO94+BP94+BQ94+BS94+BT94+BU94+BX94+BY94+BZ94+CC94+CM94+CN94)</f>
        <v>690.8</v>
      </c>
      <c r="CQ94" s="2456">
        <f>SUM(BR94+BV94+CA94+CO94)</f>
        <v>690.8</v>
      </c>
    </row>
    <row r="95" spans="1:96" ht="18.75" hidden="1">
      <c r="A95" s="3047"/>
      <c r="B95" s="3138"/>
      <c r="C95" s="3138"/>
      <c r="D95" s="3138"/>
      <c r="E95" s="3138"/>
      <c r="F95" s="3138"/>
      <c r="G95" s="3138"/>
      <c r="H95" s="3138"/>
      <c r="I95" s="3138"/>
      <c r="J95" s="3138"/>
      <c r="K95" s="3138"/>
      <c r="L95" s="3138"/>
      <c r="M95" s="3138"/>
      <c r="N95" s="3138"/>
      <c r="O95" s="3138"/>
      <c r="P95" s="3138"/>
      <c r="Q95" s="3138"/>
      <c r="R95" s="3138"/>
      <c r="S95" s="3138"/>
      <c r="T95" s="3138"/>
      <c r="U95" s="3138"/>
      <c r="V95" s="3138"/>
      <c r="W95" s="3138"/>
      <c r="X95" s="3138"/>
      <c r="Y95" s="3138"/>
      <c r="Z95" s="3138"/>
      <c r="AA95" s="3138"/>
      <c r="AB95" s="3138"/>
      <c r="AC95" s="3138"/>
      <c r="AD95" s="3138"/>
      <c r="AE95" s="3138"/>
      <c r="AF95" s="3138"/>
      <c r="AG95" s="3138"/>
      <c r="AH95" s="3142"/>
      <c r="AI95" s="3142"/>
      <c r="AJ95" s="3142"/>
      <c r="AK95" s="3142"/>
      <c r="AL95" s="3142"/>
      <c r="AM95" s="3142"/>
      <c r="AN95" s="3142"/>
      <c r="AO95" s="3142"/>
      <c r="AP95" s="3142"/>
      <c r="AQ95" s="3142"/>
      <c r="AR95" s="3142"/>
      <c r="AS95" s="3142"/>
      <c r="AT95" s="3142"/>
      <c r="AU95" s="3142"/>
      <c r="AV95" s="3142"/>
      <c r="AW95" s="3142"/>
      <c r="AX95" s="3142"/>
      <c r="AY95" s="3142"/>
      <c r="AZ95" s="3142"/>
      <c r="BA95" s="2458"/>
      <c r="BB95" s="3136"/>
      <c r="BC95" s="5591"/>
      <c r="BG95" s="3023"/>
      <c r="BH95" s="3047"/>
      <c r="BI95" s="3024"/>
      <c r="BJ95" s="3135">
        <f>SUM(CP95)</f>
        <v>5.6452054629019086</v>
      </c>
      <c r="BK95" s="5567" t="s">
        <v>1564</v>
      </c>
      <c r="BL95" s="5575"/>
      <c r="BM95" s="5575"/>
      <c r="BN95" s="3032">
        <f>SUM(BX48)</f>
        <v>5.6443833236826872</v>
      </c>
      <c r="BO95" s="3032">
        <f>SUM(BO91*CQ95)</f>
        <v>5.4551552258038187</v>
      </c>
      <c r="BP95" s="3032">
        <f>SUM(BO95)</f>
        <v>5.4551552258038187</v>
      </c>
      <c r="BQ95" s="3032">
        <f>SUM(BO95)</f>
        <v>5.4551552258038187</v>
      </c>
      <c r="BR95" s="3032">
        <f>SUM(BO95:BQ95)/3</f>
        <v>5.4551552258038187</v>
      </c>
      <c r="BS95" s="3032">
        <f>SUM(BO95)</f>
        <v>5.4551552258038187</v>
      </c>
      <c r="BT95" s="3032">
        <f>SUM(BO95)</f>
        <v>5.4551552258038187</v>
      </c>
      <c r="BU95" s="3032">
        <f>SUM(BO95)</f>
        <v>5.4551552258038187</v>
      </c>
      <c r="BV95" s="3032">
        <f>SUM(BS95:BU95)/3</f>
        <v>5.4551552258038187</v>
      </c>
      <c r="BW95" s="3032">
        <f>SUM(BO95+BP95+BQ95+BS95+BT95+BU95)/6</f>
        <v>5.4551552258038187</v>
      </c>
      <c r="BX95" s="3032">
        <f>SUM(BX91)</f>
        <v>5.8352557000000003</v>
      </c>
      <c r="BY95" s="3032">
        <f>SUM(BX95)</f>
        <v>5.8352557000000003</v>
      </c>
      <c r="BZ95" s="3032">
        <f>SUM(BX95)</f>
        <v>5.8352557000000003</v>
      </c>
      <c r="CA95" s="3032">
        <f>SUM(BX95:BZ95)/3</f>
        <v>5.8352557000000003</v>
      </c>
      <c r="CB95" s="3032">
        <f>SUM(BO95+BP95+BQ95+BS95+BT95+BU95+BX95+BY95+BZ95)/9</f>
        <v>5.581855383869212</v>
      </c>
      <c r="CC95" s="3032">
        <f>SUM(BX95)</f>
        <v>5.8352557000000003</v>
      </c>
      <c r="CD95" s="4052"/>
      <c r="CE95" s="4052"/>
      <c r="CF95" s="4052"/>
      <c r="CG95" s="4052"/>
      <c r="CH95" s="4052"/>
      <c r="CI95" s="4052"/>
      <c r="CJ95" s="4052"/>
      <c r="CK95" s="4052"/>
      <c r="CL95" s="4052"/>
      <c r="CM95" s="3032">
        <f>SUM(BX95)</f>
        <v>5.8352557000000003</v>
      </c>
      <c r="CN95" s="3032">
        <f>SUM(BX95)</f>
        <v>5.8352557000000003</v>
      </c>
      <c r="CO95" s="3033">
        <f>SUM(CC95:CN95)/3</f>
        <v>5.8352557000000003</v>
      </c>
      <c r="CP95" s="2457">
        <f>SUM(BO95+BP95+BQ95+BS95+BT95+BU95+BX95+BY95+BZ95+CC95+CM95+CN95)/12</f>
        <v>5.6452054629019086</v>
      </c>
      <c r="CQ95" s="2464">
        <v>1.0003016819999999</v>
      </c>
      <c r="CR95" s="5582" t="s">
        <v>1585</v>
      </c>
    </row>
    <row r="96" spans="1:96" ht="18.75" hidden="1">
      <c r="A96" s="3047"/>
      <c r="B96" s="3138"/>
      <c r="C96" s="3138"/>
      <c r="D96" s="3138"/>
      <c r="E96" s="3138"/>
      <c r="F96" s="3138"/>
      <c r="G96" s="3138"/>
      <c r="H96" s="3138"/>
      <c r="I96" s="3138"/>
      <c r="J96" s="3138"/>
      <c r="K96" s="3138"/>
      <c r="L96" s="3138"/>
      <c r="M96" s="3138"/>
      <c r="N96" s="3138"/>
      <c r="O96" s="3138"/>
      <c r="P96" s="3138"/>
      <c r="Q96" s="3138"/>
      <c r="R96" s="3138"/>
      <c r="S96" s="3138"/>
      <c r="T96" s="3138"/>
      <c r="U96" s="3138"/>
      <c r="V96" s="3138"/>
      <c r="W96" s="3138"/>
      <c r="X96" s="3138"/>
      <c r="Y96" s="3138"/>
      <c r="Z96" s="3138"/>
      <c r="AA96" s="3138"/>
      <c r="AB96" s="3138"/>
      <c r="AC96" s="3138"/>
      <c r="AD96" s="3138"/>
      <c r="AE96" s="3138"/>
      <c r="AF96" s="3138"/>
      <c r="AG96" s="3138"/>
      <c r="AH96" s="3140"/>
      <c r="AI96" s="3140"/>
      <c r="AJ96" s="3140"/>
      <c r="AK96" s="3140"/>
      <c r="AL96" s="3140"/>
      <c r="AM96" s="3140"/>
      <c r="AN96" s="3140"/>
      <c r="AO96" s="3140"/>
      <c r="AP96" s="3140"/>
      <c r="AQ96" s="3140"/>
      <c r="AR96" s="3140"/>
      <c r="AS96" s="3140"/>
      <c r="AT96" s="3140"/>
      <c r="AU96" s="3140"/>
      <c r="AV96" s="3140"/>
      <c r="AW96" s="3140"/>
      <c r="AX96" s="3140"/>
      <c r="AY96" s="3140"/>
      <c r="AZ96" s="3140"/>
      <c r="BA96" s="2456"/>
      <c r="BB96" s="3136"/>
      <c r="BC96" s="5591"/>
      <c r="BG96" s="3023"/>
      <c r="BH96" s="3047"/>
      <c r="BI96" s="3024"/>
      <c r="BJ96" s="3133">
        <f t="shared" ref="BJ96:BJ130" si="50">SUM(CP96)</f>
        <v>3899.7079337726395</v>
      </c>
      <c r="BK96" s="5567" t="s">
        <v>1567</v>
      </c>
      <c r="BL96" s="5575"/>
      <c r="BM96" s="5575"/>
      <c r="BN96" s="3035">
        <f>SUM(BN94*BN95)</f>
        <v>3899.1399999999994</v>
      </c>
      <c r="BO96" s="3035">
        <f t="shared" ref="BO96:CO96" si="51">SUM(BO94*BO95)</f>
        <v>322.20001516374128</v>
      </c>
      <c r="BP96" s="3035">
        <f t="shared" si="51"/>
        <v>320.31580454874859</v>
      </c>
      <c r="BQ96" s="3035">
        <f t="shared" si="51"/>
        <v>320.31580454874859</v>
      </c>
      <c r="BR96" s="3035">
        <f t="shared" si="51"/>
        <v>962.8316242612384</v>
      </c>
      <c r="BS96" s="3035">
        <f t="shared" si="51"/>
        <v>318.43159393375601</v>
      </c>
      <c r="BT96" s="3035">
        <f t="shared" si="51"/>
        <v>301.47369839882225</v>
      </c>
      <c r="BU96" s="3035">
        <f t="shared" si="51"/>
        <v>301.47369839882225</v>
      </c>
      <c r="BV96" s="3035">
        <f t="shared" si="51"/>
        <v>921.37899073140045</v>
      </c>
      <c r="BW96" s="3035">
        <f t="shared" si="51"/>
        <v>1884.210614992639</v>
      </c>
      <c r="BX96" s="3035">
        <f t="shared" si="51"/>
        <v>322.47957100480005</v>
      </c>
      <c r="BY96" s="3035">
        <f t="shared" si="51"/>
        <v>322.47957100480005</v>
      </c>
      <c r="BZ96" s="3035">
        <f t="shared" si="51"/>
        <v>340.61904687382003</v>
      </c>
      <c r="CA96" s="3035">
        <f t="shared" si="51"/>
        <v>985.57818888342024</v>
      </c>
      <c r="CB96" s="3035">
        <f t="shared" si="51"/>
        <v>2870.7515730371661</v>
      </c>
      <c r="CC96" s="3035">
        <f t="shared" si="51"/>
        <v>342.6345441926</v>
      </c>
      <c r="CD96" s="4053"/>
      <c r="CE96" s="4053"/>
      <c r="CF96" s="4053"/>
      <c r="CG96" s="4053"/>
      <c r="CH96" s="4053"/>
      <c r="CI96" s="4053"/>
      <c r="CJ96" s="4053"/>
      <c r="CK96" s="4053"/>
      <c r="CL96" s="4053"/>
      <c r="CM96" s="3035">
        <f t="shared" si="51"/>
        <v>342.6345441926</v>
      </c>
      <c r="CN96" s="3035">
        <f t="shared" si="51"/>
        <v>344.65004151138004</v>
      </c>
      <c r="CO96" s="3036">
        <f t="shared" si="51"/>
        <v>1029.91912989658</v>
      </c>
      <c r="CP96" s="2455">
        <f>SUM(BO96+BP96+BQ96+BS96+BT96+BU96+BX96+BY96+BZ96+CC96+CM96+CN96)</f>
        <v>3899.7079337726395</v>
      </c>
      <c r="CQ96" s="2464">
        <f>SUM(BN96/CP96)</f>
        <v>0.99985436504931002</v>
      </c>
      <c r="CR96" s="5582"/>
    </row>
    <row r="97" spans="1:96" ht="18.75" hidden="1">
      <c r="A97" s="3047"/>
      <c r="B97" s="3138"/>
      <c r="C97" s="3138"/>
      <c r="D97" s="3138"/>
      <c r="E97" s="3138"/>
      <c r="F97" s="3138"/>
      <c r="G97" s="3138"/>
      <c r="H97" s="3138"/>
      <c r="I97" s="3138"/>
      <c r="J97" s="3138"/>
      <c r="K97" s="3138"/>
      <c r="L97" s="3138"/>
      <c r="M97" s="3138"/>
      <c r="N97" s="3138"/>
      <c r="O97" s="3138"/>
      <c r="P97" s="3138"/>
      <c r="Q97" s="3138"/>
      <c r="R97" s="3138"/>
      <c r="S97" s="3138"/>
      <c r="T97" s="3138"/>
      <c r="U97" s="3138"/>
      <c r="V97" s="3138"/>
      <c r="W97" s="3138"/>
      <c r="X97" s="3138"/>
      <c r="Y97" s="3138"/>
      <c r="Z97" s="3138"/>
      <c r="AA97" s="3138"/>
      <c r="AB97" s="3138"/>
      <c r="AC97" s="3138"/>
      <c r="AD97" s="3138"/>
      <c r="AE97" s="3138"/>
      <c r="AF97" s="3138"/>
      <c r="AG97" s="3138"/>
      <c r="AH97" s="3140"/>
      <c r="AI97" s="3140"/>
      <c r="AJ97" s="3140"/>
      <c r="AK97" s="3140"/>
      <c r="AL97" s="3140"/>
      <c r="AM97" s="3140"/>
      <c r="AN97" s="3140"/>
      <c r="AO97" s="3140"/>
      <c r="AP97" s="3140"/>
      <c r="AQ97" s="3140"/>
      <c r="AR97" s="3140"/>
      <c r="AS97" s="3140"/>
      <c r="AT97" s="3140"/>
      <c r="AU97" s="3140"/>
      <c r="AV97" s="3140"/>
      <c r="AW97" s="3140"/>
      <c r="AX97" s="3140"/>
      <c r="AY97" s="3140"/>
      <c r="AZ97" s="3140"/>
      <c r="BA97" s="2456"/>
      <c r="BB97" s="2456"/>
      <c r="BC97" s="1396"/>
      <c r="BG97" s="3023"/>
      <c r="BH97" s="3047"/>
      <c r="BI97" s="3024"/>
      <c r="BJ97" s="3133">
        <f t="shared" si="50"/>
        <v>5326.2809999999999</v>
      </c>
      <c r="BK97" s="5567" t="s">
        <v>1568</v>
      </c>
      <c r="BL97" s="5575"/>
      <c r="BM97" s="5575"/>
      <c r="BN97" s="3035">
        <f>SUM('Произв. прогр. Вода'!B11)</f>
        <v>5326.2809999999999</v>
      </c>
      <c r="BO97" s="3035">
        <f>SUM('Произв. прогр. Вода'!E11)</f>
        <v>455.3970255000001</v>
      </c>
      <c r="BP97" s="3035">
        <f>SUM('Произв. прогр. Вода'!F11)</f>
        <v>452.73388500000004</v>
      </c>
      <c r="BQ97" s="3035">
        <f>SUM('Произв. прогр. Вода'!G11)</f>
        <v>452.73388500000004</v>
      </c>
      <c r="BR97" s="3035">
        <f>SUM(BO97:BQ97)</f>
        <v>1360.8647955000001</v>
      </c>
      <c r="BS97" s="3035">
        <f>SUM('Произв. прогр. Вода'!I11)</f>
        <v>450.07074450000005</v>
      </c>
      <c r="BT97" s="3035">
        <f>SUM('Произв. прогр. Вода'!J11)</f>
        <v>426.10248000000007</v>
      </c>
      <c r="BU97" s="3035">
        <f>SUM('Произв. прогр. Вода'!K11)</f>
        <v>426.10248000000007</v>
      </c>
      <c r="BV97" s="3035">
        <f>SUM(BS97:BU97)</f>
        <v>1302.2757045000001</v>
      </c>
      <c r="BW97" s="3035">
        <f>SUM(BR97+BV97)</f>
        <v>2663.1405000000004</v>
      </c>
      <c r="BX97" s="3035">
        <f>SUM('Произв. прогр. Вода'!N11)</f>
        <v>426.10248000000007</v>
      </c>
      <c r="BY97" s="3035">
        <f>SUM('Произв. прогр. Вода'!O11)</f>
        <v>426.10248000000007</v>
      </c>
      <c r="BZ97" s="3035">
        <f>SUM('Произв. прогр. Вода'!P11)</f>
        <v>450.07074450000005</v>
      </c>
      <c r="CA97" s="3035">
        <f>SUM(BX97:BZ97)</f>
        <v>1302.2757045000003</v>
      </c>
      <c r="CB97" s="3035">
        <f>SUM(BW97+CA97)</f>
        <v>3965.4162045000007</v>
      </c>
      <c r="CC97" s="3035">
        <f>SUM('Произв. прогр. Вода'!S11)</f>
        <v>452.73388500000004</v>
      </c>
      <c r="CD97" s="4053"/>
      <c r="CE97" s="4053"/>
      <c r="CF97" s="4053"/>
      <c r="CG97" s="4053"/>
      <c r="CH97" s="4053"/>
      <c r="CI97" s="4053"/>
      <c r="CJ97" s="4053"/>
      <c r="CK97" s="4053"/>
      <c r="CL97" s="4053"/>
      <c r="CM97" s="3035">
        <f>SUM('Произв. прогр. Вода'!T11)</f>
        <v>452.73388500000004</v>
      </c>
      <c r="CN97" s="3035">
        <f>SUM('Произв. прогр. Вода'!U11)</f>
        <v>455.3970255000001</v>
      </c>
      <c r="CO97" s="3036">
        <f>SUM(CC97:CN97)</f>
        <v>1360.8647955000001</v>
      </c>
      <c r="CP97" s="2455">
        <f>SUM(BO97+BP97+BQ97+BS97+BT97+BU97+BX97+BY97+BZ97+CC97+CM97+CN97)</f>
        <v>5326.2809999999999</v>
      </c>
      <c r="CQ97" s="2456">
        <f>SUM(BR97+BV97+CA97+CO97)</f>
        <v>5326.2810000000009</v>
      </c>
    </row>
    <row r="98" spans="1:96" ht="18.75" hidden="1">
      <c r="A98" s="3047"/>
      <c r="B98" s="3138"/>
      <c r="C98" s="3138"/>
      <c r="D98" s="3138"/>
      <c r="E98" s="3138"/>
      <c r="F98" s="3138"/>
      <c r="G98" s="3138"/>
      <c r="H98" s="3138"/>
      <c r="I98" s="3138"/>
      <c r="J98" s="3138"/>
      <c r="K98" s="3138"/>
      <c r="L98" s="3138"/>
      <c r="M98" s="3138"/>
      <c r="N98" s="3138"/>
      <c r="O98" s="3138"/>
      <c r="P98" s="3138"/>
      <c r="Q98" s="3138"/>
      <c r="R98" s="3138"/>
      <c r="S98" s="3138"/>
      <c r="T98" s="3138"/>
      <c r="U98" s="3138"/>
      <c r="V98" s="3138"/>
      <c r="W98" s="3138"/>
      <c r="X98" s="3138"/>
      <c r="Y98" s="3138"/>
      <c r="Z98" s="3138"/>
      <c r="AA98" s="3138"/>
      <c r="AB98" s="3138"/>
      <c r="AC98" s="3138"/>
      <c r="AD98" s="3138"/>
      <c r="AE98" s="3138"/>
      <c r="AF98" s="3138"/>
      <c r="AG98" s="3138"/>
      <c r="AH98" s="3140"/>
      <c r="AI98" s="3140"/>
      <c r="AJ98" s="3140"/>
      <c r="AK98" s="3140"/>
      <c r="AL98" s="3140"/>
      <c r="AM98" s="3140"/>
      <c r="AN98" s="3140"/>
      <c r="AO98" s="3140"/>
      <c r="AP98" s="3140"/>
      <c r="AQ98" s="3140"/>
      <c r="AR98" s="3140"/>
      <c r="AS98" s="3140"/>
      <c r="AT98" s="3140"/>
      <c r="AU98" s="3140"/>
      <c r="AV98" s="3140"/>
      <c r="AW98" s="3140"/>
      <c r="AX98" s="3140"/>
      <c r="AY98" s="3140"/>
      <c r="AZ98" s="3140"/>
      <c r="BA98" s="2456"/>
      <c r="BB98" s="2456"/>
      <c r="BC98" s="1396"/>
      <c r="BG98" s="3023"/>
      <c r="BH98" s="3047"/>
      <c r="BI98" s="3024"/>
      <c r="BJ98" s="3133">
        <f t="shared" si="50"/>
        <v>1136.5</v>
      </c>
      <c r="BK98" s="5566" t="s">
        <v>1569</v>
      </c>
      <c r="BL98" s="5575"/>
      <c r="BM98" s="5575"/>
      <c r="BN98" s="3035">
        <f>SUM(BY50)</f>
        <v>1136.5</v>
      </c>
      <c r="BO98" s="3049">
        <f>SUM(BN98/12)</f>
        <v>94.708333333333329</v>
      </c>
      <c r="BP98" s="3049">
        <f>SUM(BO98)</f>
        <v>94.708333333333329</v>
      </c>
      <c r="BQ98" s="3049">
        <f>SUM(BO98)</f>
        <v>94.708333333333329</v>
      </c>
      <c r="BR98" s="3035">
        <f>SUM(BO98:BQ98)</f>
        <v>284.125</v>
      </c>
      <c r="BS98" s="3049">
        <f>SUM(BO98)</f>
        <v>94.708333333333329</v>
      </c>
      <c r="BT98" s="3049">
        <f>SUM(BO98)</f>
        <v>94.708333333333329</v>
      </c>
      <c r="BU98" s="3049">
        <f>SUM(BO98)</f>
        <v>94.708333333333329</v>
      </c>
      <c r="BV98" s="3035">
        <f>SUM(BS98:BU98)</f>
        <v>284.125</v>
      </c>
      <c r="BW98" s="3035">
        <f>SUM(BR98+BV98)</f>
        <v>568.25</v>
      </c>
      <c r="BX98" s="3049">
        <f>SUM(BO98)</f>
        <v>94.708333333333329</v>
      </c>
      <c r="BY98" s="3049">
        <f>SUM(BO98)</f>
        <v>94.708333333333329</v>
      </c>
      <c r="BZ98" s="3049">
        <f>SUM(BO98)</f>
        <v>94.708333333333329</v>
      </c>
      <c r="CA98" s="3035">
        <f>SUM(BX98:BZ98)</f>
        <v>284.125</v>
      </c>
      <c r="CB98" s="3035">
        <f>SUM(BW98+CA98)</f>
        <v>852.375</v>
      </c>
      <c r="CC98" s="3049">
        <f>SUM(BO98)</f>
        <v>94.708333333333329</v>
      </c>
      <c r="CD98" s="4054"/>
      <c r="CE98" s="4054"/>
      <c r="CF98" s="4054"/>
      <c r="CG98" s="4054"/>
      <c r="CH98" s="4054"/>
      <c r="CI98" s="4054"/>
      <c r="CJ98" s="4054"/>
      <c r="CK98" s="4054"/>
      <c r="CL98" s="4054"/>
      <c r="CM98" s="3049">
        <f>SUM(BO98)</f>
        <v>94.708333333333329</v>
      </c>
      <c r="CN98" s="3049">
        <f>SUM(BO98)</f>
        <v>94.708333333333329</v>
      </c>
      <c r="CO98" s="3036">
        <f>SUM(CC98:CN98)</f>
        <v>284.125</v>
      </c>
      <c r="CP98" s="2455">
        <f>SUM(BO98+BP98+BQ98+BS98+BT98+BU98+BX98+BY98+BZ98+CC98+CM98+CN98)</f>
        <v>1136.5</v>
      </c>
      <c r="CQ98" s="2456">
        <f>SUM(BR98+BV98+CA98+CO98)</f>
        <v>1136.5</v>
      </c>
    </row>
    <row r="99" spans="1:96" ht="18.75" hidden="1">
      <c r="A99" s="3141"/>
      <c r="B99" s="3138"/>
      <c r="C99" s="3138"/>
      <c r="D99" s="3138"/>
      <c r="E99" s="3138"/>
      <c r="F99" s="3138"/>
      <c r="G99" s="3138"/>
      <c r="H99" s="3138"/>
      <c r="I99" s="3138"/>
      <c r="J99" s="3138"/>
      <c r="K99" s="3138"/>
      <c r="L99" s="3138"/>
      <c r="M99" s="3138"/>
      <c r="N99" s="3138"/>
      <c r="O99" s="3138"/>
      <c r="P99" s="3138"/>
      <c r="Q99" s="3138"/>
      <c r="R99" s="3138"/>
      <c r="S99" s="3138"/>
      <c r="T99" s="3138"/>
      <c r="U99" s="3138"/>
      <c r="V99" s="3138"/>
      <c r="W99" s="3138"/>
      <c r="X99" s="3138"/>
      <c r="Y99" s="3138"/>
      <c r="Z99" s="3138"/>
      <c r="AA99" s="3138"/>
      <c r="AB99" s="3138"/>
      <c r="AC99" s="3138"/>
      <c r="AD99" s="3138"/>
      <c r="AE99" s="3138"/>
      <c r="AF99" s="3138"/>
      <c r="AG99" s="3138"/>
      <c r="AH99" s="3142"/>
      <c r="AI99" s="3142"/>
      <c r="AJ99" s="3142"/>
      <c r="AK99" s="3142"/>
      <c r="AL99" s="3142"/>
      <c r="AM99" s="3142"/>
      <c r="AN99" s="3142"/>
      <c r="AO99" s="3142"/>
      <c r="AP99" s="3142"/>
      <c r="AQ99" s="3142"/>
      <c r="AR99" s="3142"/>
      <c r="AS99" s="3142"/>
      <c r="AT99" s="3142"/>
      <c r="AU99" s="3142"/>
      <c r="AV99" s="3142"/>
      <c r="AW99" s="3142"/>
      <c r="AX99" s="3142"/>
      <c r="AY99" s="3142"/>
      <c r="AZ99" s="3142"/>
      <c r="BA99" s="2458"/>
      <c r="BB99" s="2458"/>
      <c r="BC99" s="1396"/>
      <c r="BG99" s="3023"/>
      <c r="BH99" s="3048"/>
      <c r="BI99" s="3024"/>
      <c r="BJ99" s="3133">
        <f t="shared" si="50"/>
        <v>4.3116754500000001</v>
      </c>
      <c r="BK99" s="5564" t="s">
        <v>1564</v>
      </c>
      <c r="BL99" s="5575"/>
      <c r="BM99" s="5575"/>
      <c r="BN99" s="3032">
        <f>SUM(BX50)</f>
        <v>4.3116761988561372</v>
      </c>
      <c r="BO99" s="3031">
        <v>4.16587</v>
      </c>
      <c r="BP99" s="3031">
        <f>SUM(BO99)</f>
        <v>4.16587</v>
      </c>
      <c r="BQ99" s="3031">
        <f>SUM(BO99)</f>
        <v>4.16587</v>
      </c>
      <c r="BR99" s="3032">
        <f>SUM(BO99:BQ99)/3</f>
        <v>4.16587</v>
      </c>
      <c r="BS99" s="3031">
        <f>SUM(BO99)</f>
        <v>4.16587</v>
      </c>
      <c r="BT99" s="3031">
        <f>SUM(BO99)</f>
        <v>4.16587</v>
      </c>
      <c r="BU99" s="3031">
        <f>SUM(BO99)</f>
        <v>4.16587</v>
      </c>
      <c r="BV99" s="3032">
        <f>SUM(BS99:BU99)/3</f>
        <v>4.16587</v>
      </c>
      <c r="BW99" s="3032">
        <f>SUM(BO99+BP99+BQ99+BS99+BT99+BU99)/6</f>
        <v>4.1658699999999991</v>
      </c>
      <c r="BX99" s="3031">
        <f>SUM(BU99*1.07)</f>
        <v>4.4574809000000002</v>
      </c>
      <c r="BY99" s="3031">
        <f>SUM(BX99)</f>
        <v>4.4574809000000002</v>
      </c>
      <c r="BZ99" s="3031">
        <f>SUM(BX99)</f>
        <v>4.4574809000000002</v>
      </c>
      <c r="CA99" s="3032">
        <f>SUM(BX99:BZ99)/3</f>
        <v>4.4574809000000002</v>
      </c>
      <c r="CB99" s="3032">
        <f>SUM(BO99+BP99+BQ99+BS99+BT99+BU99+BX99+BY99+BZ99)/9</f>
        <v>4.2630736333333328</v>
      </c>
      <c r="CC99" s="3031">
        <f>SUM(BX99)</f>
        <v>4.4574809000000002</v>
      </c>
      <c r="CD99" s="4050"/>
      <c r="CE99" s="4050"/>
      <c r="CF99" s="4050"/>
      <c r="CG99" s="4050"/>
      <c r="CH99" s="4050"/>
      <c r="CI99" s="4050"/>
      <c r="CJ99" s="4050"/>
      <c r="CK99" s="4050"/>
      <c r="CL99" s="4050"/>
      <c r="CM99" s="3031">
        <f>SUM(BX99)</f>
        <v>4.4574809000000002</v>
      </c>
      <c r="CN99" s="3031">
        <f>SUM(BX99)</f>
        <v>4.4574809000000002</v>
      </c>
      <c r="CO99" s="3033">
        <f>SUM(CC99:CN99)/3</f>
        <v>4.4574809000000002</v>
      </c>
      <c r="CP99" s="2457">
        <f>SUM(BO99+BP99+BQ99+BS99+BT99+BU99+BX99+BY99+BZ99+CC99+CM99+CN99)/12</f>
        <v>4.3116754500000001</v>
      </c>
      <c r="CQ99" s="2458">
        <f>SUM(BR99+BV99+CA99+CO99)/4</f>
        <v>4.3116754500000001</v>
      </c>
    </row>
    <row r="100" spans="1:96" ht="18.75" hidden="1">
      <c r="A100" s="3047"/>
      <c r="B100" s="3138"/>
      <c r="C100" s="3138"/>
      <c r="D100" s="3138"/>
      <c r="E100" s="3138"/>
      <c r="F100" s="3138"/>
      <c r="G100" s="3138"/>
      <c r="H100" s="3138"/>
      <c r="I100" s="3138"/>
      <c r="J100" s="3138"/>
      <c r="K100" s="3138"/>
      <c r="L100" s="3138"/>
      <c r="M100" s="3138"/>
      <c r="N100" s="3138"/>
      <c r="O100" s="3138"/>
      <c r="P100" s="3138"/>
      <c r="Q100" s="3138"/>
      <c r="R100" s="3138"/>
      <c r="S100" s="3138"/>
      <c r="T100" s="3138"/>
      <c r="U100" s="3138"/>
      <c r="V100" s="3138"/>
      <c r="W100" s="3138"/>
      <c r="X100" s="3138"/>
      <c r="Y100" s="3138"/>
      <c r="Z100" s="3138"/>
      <c r="AA100" s="3138"/>
      <c r="AB100" s="3138"/>
      <c r="AC100" s="3138"/>
      <c r="AD100" s="3138"/>
      <c r="AE100" s="3138"/>
      <c r="AF100" s="3138"/>
      <c r="AG100" s="3138"/>
      <c r="AH100" s="3140"/>
      <c r="AI100" s="3140"/>
      <c r="AJ100" s="3140"/>
      <c r="AK100" s="3140"/>
      <c r="AL100" s="3140"/>
      <c r="AM100" s="3140"/>
      <c r="AN100" s="3140"/>
      <c r="AO100" s="3140"/>
      <c r="AP100" s="3140"/>
      <c r="AQ100" s="3140"/>
      <c r="AR100" s="3140"/>
      <c r="AS100" s="3140"/>
      <c r="AT100" s="3140"/>
      <c r="AU100" s="3140"/>
      <c r="AV100" s="3140"/>
      <c r="AW100" s="3140"/>
      <c r="AX100" s="3140"/>
      <c r="AY100" s="3140"/>
      <c r="AZ100" s="3140"/>
      <c r="BA100" s="2456"/>
      <c r="BB100" s="2456"/>
      <c r="BC100" s="1396"/>
      <c r="BG100" s="3023"/>
      <c r="BH100" s="3047"/>
      <c r="BI100" s="3024"/>
      <c r="BJ100" s="3133">
        <f t="shared" si="50"/>
        <v>4900.2191489249999</v>
      </c>
      <c r="BK100" s="5566" t="s">
        <v>1565</v>
      </c>
      <c r="BL100" s="5575"/>
      <c r="BM100" s="5575"/>
      <c r="BN100" s="3035">
        <f>SUM(BN98*BN99)</f>
        <v>4900.22</v>
      </c>
      <c r="BO100" s="3034">
        <f t="shared" ref="BO100:CP100" si="52">SUM(BO98*BO99)</f>
        <v>394.54260458333329</v>
      </c>
      <c r="BP100" s="3034">
        <f t="shared" si="52"/>
        <v>394.54260458333329</v>
      </c>
      <c r="BQ100" s="3034">
        <f t="shared" si="52"/>
        <v>394.54260458333329</v>
      </c>
      <c r="BR100" s="3035">
        <f t="shared" si="52"/>
        <v>1183.6278137500001</v>
      </c>
      <c r="BS100" s="3034">
        <f t="shared" si="52"/>
        <v>394.54260458333329</v>
      </c>
      <c r="BT100" s="3034">
        <f t="shared" si="52"/>
        <v>394.54260458333329</v>
      </c>
      <c r="BU100" s="3034">
        <f t="shared" si="52"/>
        <v>394.54260458333329</v>
      </c>
      <c r="BV100" s="3035">
        <f t="shared" si="52"/>
        <v>1183.6278137500001</v>
      </c>
      <c r="BW100" s="3035">
        <f t="shared" si="52"/>
        <v>2367.2556274999993</v>
      </c>
      <c r="BX100" s="3034">
        <f t="shared" si="52"/>
        <v>422.16058690416668</v>
      </c>
      <c r="BY100" s="3034">
        <f t="shared" si="52"/>
        <v>422.16058690416668</v>
      </c>
      <c r="BZ100" s="3034">
        <f t="shared" si="52"/>
        <v>422.16058690416668</v>
      </c>
      <c r="CA100" s="3035">
        <f t="shared" si="52"/>
        <v>1266.4817607125001</v>
      </c>
      <c r="CB100" s="3035">
        <f t="shared" si="52"/>
        <v>3633.7373882124994</v>
      </c>
      <c r="CC100" s="3034">
        <f t="shared" si="52"/>
        <v>422.16058690416668</v>
      </c>
      <c r="CD100" s="4051"/>
      <c r="CE100" s="4051"/>
      <c r="CF100" s="4051"/>
      <c r="CG100" s="4051"/>
      <c r="CH100" s="4051"/>
      <c r="CI100" s="4051"/>
      <c r="CJ100" s="4051"/>
      <c r="CK100" s="4051"/>
      <c r="CL100" s="4051"/>
      <c r="CM100" s="3034">
        <f t="shared" si="52"/>
        <v>422.16058690416668</v>
      </c>
      <c r="CN100" s="3034">
        <f t="shared" si="52"/>
        <v>422.16058690416668</v>
      </c>
      <c r="CO100" s="3036">
        <f t="shared" si="52"/>
        <v>1266.4817607125001</v>
      </c>
      <c r="CP100" s="2455">
        <f t="shared" si="52"/>
        <v>4900.2191489249999</v>
      </c>
      <c r="CQ100" s="2456">
        <f>SUM(BR100+BV100+CA100+CO100)</f>
        <v>4900.2191489249999</v>
      </c>
    </row>
    <row r="101" spans="1:96" ht="18.75" hidden="1">
      <c r="A101" s="3047"/>
      <c r="B101" s="3138"/>
      <c r="C101" s="3138"/>
      <c r="D101" s="3138"/>
      <c r="E101" s="3138"/>
      <c r="F101" s="3138"/>
      <c r="G101" s="3138"/>
      <c r="H101" s="3138"/>
      <c r="I101" s="3138"/>
      <c r="J101" s="3138"/>
      <c r="K101" s="3138"/>
      <c r="L101" s="3138"/>
      <c r="M101" s="3138"/>
      <c r="N101" s="3138"/>
      <c r="O101" s="3138"/>
      <c r="P101" s="3138"/>
      <c r="Q101" s="3138"/>
      <c r="R101" s="3138"/>
      <c r="S101" s="3138"/>
      <c r="T101" s="3138"/>
      <c r="U101" s="3138"/>
      <c r="V101" s="3138"/>
      <c r="W101" s="3138"/>
      <c r="X101" s="3138"/>
      <c r="Y101" s="3138"/>
      <c r="Z101" s="3138"/>
      <c r="AA101" s="3138"/>
      <c r="AB101" s="3138"/>
      <c r="AC101" s="3138"/>
      <c r="AD101" s="3138"/>
      <c r="AE101" s="3138"/>
      <c r="AF101" s="3138"/>
      <c r="AG101" s="3138"/>
      <c r="AH101" s="3142"/>
      <c r="AI101" s="3142"/>
      <c r="AJ101" s="3142"/>
      <c r="AK101" s="3142"/>
      <c r="AL101" s="3142"/>
      <c r="AM101" s="3142"/>
      <c r="AN101" s="3142"/>
      <c r="AO101" s="3142"/>
      <c r="AP101" s="3142"/>
      <c r="AQ101" s="3142"/>
      <c r="AR101" s="3142"/>
      <c r="AS101" s="3142"/>
      <c r="AT101" s="3142"/>
      <c r="AU101" s="3142"/>
      <c r="AV101" s="3142"/>
      <c r="AW101" s="3142"/>
      <c r="AX101" s="3142"/>
      <c r="AY101" s="3142"/>
      <c r="AZ101" s="3142"/>
      <c r="BA101" s="3137"/>
      <c r="BB101" s="3137"/>
      <c r="BC101" s="1396"/>
      <c r="BG101" s="3023"/>
      <c r="BH101" s="3047"/>
      <c r="BI101" s="3024"/>
      <c r="BJ101" s="3133">
        <f t="shared" si="50"/>
        <v>0</v>
      </c>
      <c r="BK101" s="5567" t="s">
        <v>1570</v>
      </c>
      <c r="BL101" s="5575"/>
      <c r="BM101" s="5575"/>
      <c r="BN101" s="3032">
        <f>SUM(BN98/BN105)</f>
        <v>0.25320584443202243</v>
      </c>
      <c r="BO101" s="3032">
        <f>SUM(BN101)</f>
        <v>0.25320584443202243</v>
      </c>
      <c r="BP101" s="3032">
        <f>SUM(BN101)</f>
        <v>0.25320584443202243</v>
      </c>
      <c r="BQ101" s="3032">
        <f>SUM(BN101)</f>
        <v>0.25320584443202243</v>
      </c>
      <c r="BR101" s="3032">
        <f>SUM(BN101)</f>
        <v>0.25320584443202243</v>
      </c>
      <c r="BS101" s="3032">
        <f>SUM(BN101)</f>
        <v>0.25320584443202243</v>
      </c>
      <c r="BT101" s="3032">
        <f>SUM(BN101)</f>
        <v>0.25320584443202243</v>
      </c>
      <c r="BU101" s="3032">
        <f>SUM(BN101)</f>
        <v>0.25320584443202243</v>
      </c>
      <c r="BV101" s="3032">
        <f>SUM(BN101)</f>
        <v>0.25320584443202243</v>
      </c>
      <c r="BW101" s="3032">
        <f>SUM(BN101)</f>
        <v>0.25320584443202243</v>
      </c>
      <c r="BX101" s="3032">
        <f>SUM(BN101)</f>
        <v>0.25320584443202243</v>
      </c>
      <c r="BY101" s="3032">
        <f>SUM(BN101)</f>
        <v>0.25320584443202243</v>
      </c>
      <c r="BZ101" s="3032">
        <f>SUM(BN101)</f>
        <v>0.25320584443202243</v>
      </c>
      <c r="CA101" s="3032">
        <f>SUM(BN101)</f>
        <v>0.25320584443202243</v>
      </c>
      <c r="CB101" s="3032">
        <f>SUM(BN101)</f>
        <v>0.25320584443202243</v>
      </c>
      <c r="CC101" s="3032">
        <f>SUM(BN101)</f>
        <v>0.25320584443202243</v>
      </c>
      <c r="CD101" s="4052"/>
      <c r="CE101" s="4052"/>
      <c r="CF101" s="4052"/>
      <c r="CG101" s="4052"/>
      <c r="CH101" s="4052"/>
      <c r="CI101" s="4052"/>
      <c r="CJ101" s="4052"/>
      <c r="CK101" s="4052"/>
      <c r="CL101" s="4052"/>
      <c r="CM101" s="3032">
        <f>SUM(BN101)</f>
        <v>0.25320584443202243</v>
      </c>
      <c r="CN101" s="3032">
        <f>SUM(BN101)</f>
        <v>0.25320584443202243</v>
      </c>
      <c r="CO101" s="3032">
        <f>SUM(BN101)</f>
        <v>0.25320584443202243</v>
      </c>
      <c r="CP101" s="2461"/>
      <c r="CQ101" s="2462"/>
    </row>
    <row r="102" spans="1:96" ht="18.75" hidden="1">
      <c r="A102" s="3047"/>
      <c r="B102" s="3138"/>
      <c r="C102" s="3138"/>
      <c r="D102" s="3138"/>
      <c r="E102" s="3138"/>
      <c r="F102" s="3138"/>
      <c r="G102" s="3138"/>
      <c r="H102" s="3138"/>
      <c r="I102" s="3138"/>
      <c r="J102" s="3138"/>
      <c r="K102" s="3138"/>
      <c r="L102" s="3138"/>
      <c r="M102" s="3138"/>
      <c r="N102" s="3138"/>
      <c r="O102" s="3138"/>
      <c r="P102" s="3138"/>
      <c r="Q102" s="3138"/>
      <c r="R102" s="3138"/>
      <c r="S102" s="3138"/>
      <c r="T102" s="3138"/>
      <c r="U102" s="3138"/>
      <c r="V102" s="3138"/>
      <c r="W102" s="3138"/>
      <c r="X102" s="3138"/>
      <c r="Y102" s="3138"/>
      <c r="Z102" s="3138"/>
      <c r="AA102" s="3138"/>
      <c r="AB102" s="3138"/>
      <c r="AC102" s="3138"/>
      <c r="AD102" s="3138"/>
      <c r="AE102" s="3138"/>
      <c r="AF102" s="3138"/>
      <c r="AG102" s="3138"/>
      <c r="AH102" s="3140"/>
      <c r="AI102" s="3140"/>
      <c r="AJ102" s="3140"/>
      <c r="AK102" s="3140"/>
      <c r="AL102" s="3140"/>
      <c r="AM102" s="3140"/>
      <c r="AN102" s="3140"/>
      <c r="AO102" s="3140"/>
      <c r="AP102" s="3140"/>
      <c r="AQ102" s="3140"/>
      <c r="AR102" s="3140"/>
      <c r="AS102" s="3140"/>
      <c r="AT102" s="3140"/>
      <c r="AU102" s="3140"/>
      <c r="AV102" s="3140"/>
      <c r="AW102" s="3140"/>
      <c r="AX102" s="3140"/>
      <c r="AY102" s="3140"/>
      <c r="AZ102" s="3140"/>
      <c r="BA102" s="2456"/>
      <c r="BB102" s="2456"/>
      <c r="BC102" s="1396"/>
      <c r="BG102" s="3023"/>
      <c r="BH102" s="3047"/>
      <c r="BI102" s="3024"/>
      <c r="BJ102" s="3133">
        <f t="shared" si="50"/>
        <v>1136.5000000000002</v>
      </c>
      <c r="BK102" s="5567" t="s">
        <v>1569</v>
      </c>
      <c r="BL102" s="5575"/>
      <c r="BM102" s="5575"/>
      <c r="BN102" s="3035">
        <f>SUM(BN101*BN105)</f>
        <v>1136.5</v>
      </c>
      <c r="BO102" s="3035">
        <f t="shared" ref="BO102:CO102" si="53">SUM(BO101*BO105)</f>
        <v>97.630398536289036</v>
      </c>
      <c r="BP102" s="3035">
        <f t="shared" si="53"/>
        <v>96.956075797145402</v>
      </c>
      <c r="BQ102" s="3035">
        <f t="shared" si="53"/>
        <v>96.956075797145402</v>
      </c>
      <c r="BR102" s="3035">
        <f t="shared" si="53"/>
        <v>291.54255013057985</v>
      </c>
      <c r="BS102" s="3035">
        <f t="shared" si="53"/>
        <v>96.281753058001783</v>
      </c>
      <c r="BT102" s="3035">
        <f t="shared" si="53"/>
        <v>90.212848405709224</v>
      </c>
      <c r="BU102" s="3035">
        <f t="shared" si="53"/>
        <v>90.212848405709224</v>
      </c>
      <c r="BV102" s="3035">
        <f t="shared" si="53"/>
        <v>276.70744986942026</v>
      </c>
      <c r="BW102" s="3035">
        <f t="shared" si="53"/>
        <v>568.25000000000011</v>
      </c>
      <c r="BX102" s="3035">
        <f t="shared" si="53"/>
        <v>90.212848405709224</v>
      </c>
      <c r="BY102" s="3035">
        <f t="shared" si="53"/>
        <v>90.212848405709224</v>
      </c>
      <c r="BZ102" s="3035">
        <f t="shared" si="53"/>
        <v>96.281753058001783</v>
      </c>
      <c r="CA102" s="3035">
        <f t="shared" si="53"/>
        <v>276.70744986942026</v>
      </c>
      <c r="CB102" s="3035">
        <f t="shared" si="53"/>
        <v>844.95744986942032</v>
      </c>
      <c r="CC102" s="3035">
        <f t="shared" si="53"/>
        <v>96.956075797145402</v>
      </c>
      <c r="CD102" s="4053"/>
      <c r="CE102" s="4053"/>
      <c r="CF102" s="4053"/>
      <c r="CG102" s="4053"/>
      <c r="CH102" s="4053"/>
      <c r="CI102" s="4053"/>
      <c r="CJ102" s="4053"/>
      <c r="CK102" s="4053"/>
      <c r="CL102" s="4053"/>
      <c r="CM102" s="3035">
        <f t="shared" si="53"/>
        <v>96.956075797145402</v>
      </c>
      <c r="CN102" s="3035">
        <f t="shared" si="53"/>
        <v>97.630398536289036</v>
      </c>
      <c r="CO102" s="3036">
        <f t="shared" si="53"/>
        <v>291.54255013057985</v>
      </c>
      <c r="CP102" s="2455">
        <f>SUM(BO102+BP102+BQ102+BS102+BT102+BU102+BX102+BY102+BZ102+CC102+CM102+CN102)</f>
        <v>1136.5000000000002</v>
      </c>
      <c r="CQ102" s="2456">
        <f>SUM(BR102+BV102+CA102+CO102)</f>
        <v>1136.5000000000002</v>
      </c>
    </row>
    <row r="103" spans="1:96" ht="18.75" hidden="1">
      <c r="A103" s="3047"/>
      <c r="B103" s="3138"/>
      <c r="C103" s="3138"/>
      <c r="D103" s="3138"/>
      <c r="E103" s="3138"/>
      <c r="F103" s="3138"/>
      <c r="G103" s="3138"/>
      <c r="H103" s="3138"/>
      <c r="I103" s="3138"/>
      <c r="J103" s="3138"/>
      <c r="K103" s="3138"/>
      <c r="L103" s="3138"/>
      <c r="M103" s="3138"/>
      <c r="N103" s="3138"/>
      <c r="O103" s="3138"/>
      <c r="P103" s="3138"/>
      <c r="Q103" s="3138"/>
      <c r="R103" s="3138"/>
      <c r="S103" s="3138"/>
      <c r="T103" s="3138"/>
      <c r="U103" s="3138"/>
      <c r="V103" s="3138"/>
      <c r="W103" s="3138"/>
      <c r="X103" s="3138"/>
      <c r="Y103" s="3138"/>
      <c r="Z103" s="3138"/>
      <c r="AA103" s="3138"/>
      <c r="AB103" s="3138"/>
      <c r="AC103" s="3138"/>
      <c r="AD103" s="3138"/>
      <c r="AE103" s="3138"/>
      <c r="AF103" s="3138"/>
      <c r="AG103" s="3138"/>
      <c r="AH103" s="3142"/>
      <c r="AI103" s="3142"/>
      <c r="AJ103" s="3142"/>
      <c r="AK103" s="3142"/>
      <c r="AL103" s="3142"/>
      <c r="AM103" s="3142"/>
      <c r="AN103" s="3142"/>
      <c r="AO103" s="3142"/>
      <c r="AP103" s="3142"/>
      <c r="AQ103" s="3142"/>
      <c r="AR103" s="3142"/>
      <c r="AS103" s="3142"/>
      <c r="AT103" s="3142"/>
      <c r="AU103" s="3142"/>
      <c r="AV103" s="3142"/>
      <c r="AW103" s="3142"/>
      <c r="AX103" s="3142"/>
      <c r="AY103" s="3142"/>
      <c r="AZ103" s="3142"/>
      <c r="BA103" s="2458"/>
      <c r="BB103" s="3136"/>
      <c r="BC103" s="5591"/>
      <c r="BG103" s="3023"/>
      <c r="BH103" s="3047"/>
      <c r="BI103" s="3024"/>
      <c r="BJ103" s="3133">
        <f t="shared" si="50"/>
        <v>4.3124205741716795</v>
      </c>
      <c r="BK103" s="5567" t="s">
        <v>1564</v>
      </c>
      <c r="BL103" s="5575"/>
      <c r="BM103" s="5575"/>
      <c r="BN103" s="3032">
        <f>SUM(BN99)</f>
        <v>4.3116761988561372</v>
      </c>
      <c r="BO103" s="3032">
        <f>SUM(BO99*CQ103)</f>
        <v>4.1673602483433596</v>
      </c>
      <c r="BP103" s="3032">
        <f>SUM(BO103)</f>
        <v>4.1673602483433596</v>
      </c>
      <c r="BQ103" s="3032">
        <f>SUM(BO103)</f>
        <v>4.1673602483433596</v>
      </c>
      <c r="BR103" s="3032">
        <f>SUM(BO103:BQ103)/3</f>
        <v>4.1673602483433596</v>
      </c>
      <c r="BS103" s="3032">
        <f>SUM(BO103)</f>
        <v>4.1673602483433596</v>
      </c>
      <c r="BT103" s="3032">
        <f>SUM(BO103)</f>
        <v>4.1673602483433596</v>
      </c>
      <c r="BU103" s="3032">
        <f>SUM(BO103)</f>
        <v>4.1673602483433596</v>
      </c>
      <c r="BV103" s="3032">
        <f>SUM(BS103:BU103)/3</f>
        <v>4.1673602483433596</v>
      </c>
      <c r="BW103" s="3032">
        <f>SUM(BO103+BP103+BQ103+BS103+BT103+BU103)/6</f>
        <v>4.1673602483433596</v>
      </c>
      <c r="BX103" s="3032">
        <f>SUM(BX99)</f>
        <v>4.4574809000000002</v>
      </c>
      <c r="BY103" s="3032">
        <f>SUM(BX103)</f>
        <v>4.4574809000000002</v>
      </c>
      <c r="BZ103" s="3032">
        <f>SUM(BX103)</f>
        <v>4.4574809000000002</v>
      </c>
      <c r="CA103" s="3032">
        <f>SUM(BX103:BZ103)/3</f>
        <v>4.4574809000000002</v>
      </c>
      <c r="CB103" s="3032">
        <f>SUM(BO103+BP103+BQ103+BS103+BT103+BU103+BX103+BY103+BZ103)/9</f>
        <v>4.2640671322289059</v>
      </c>
      <c r="CC103" s="3032">
        <f>SUM(BX103)</f>
        <v>4.4574809000000002</v>
      </c>
      <c r="CD103" s="4052"/>
      <c r="CE103" s="4052"/>
      <c r="CF103" s="4052"/>
      <c r="CG103" s="4052"/>
      <c r="CH103" s="4052"/>
      <c r="CI103" s="4052"/>
      <c r="CJ103" s="4052"/>
      <c r="CK103" s="4052"/>
      <c r="CL103" s="4052"/>
      <c r="CM103" s="3032">
        <f>SUM(BX103)</f>
        <v>4.4574809000000002</v>
      </c>
      <c r="CN103" s="3032">
        <f>SUM(BX103)</f>
        <v>4.4574809000000002</v>
      </c>
      <c r="CO103" s="3033">
        <f>SUM(CC103:CN103)/3</f>
        <v>4.4574809000000002</v>
      </c>
      <c r="CP103" s="2457">
        <f>SUM(BO103+BP103+BQ103+BS103+BT103+BU103+BX103+BY103+BZ103+CC103+CM103+CN103)/12</f>
        <v>4.3124205741716795</v>
      </c>
      <c r="CQ103" s="2464">
        <v>1.000357728</v>
      </c>
      <c r="CR103" s="5582" t="s">
        <v>1585</v>
      </c>
    </row>
    <row r="104" spans="1:96" ht="18.75" hidden="1">
      <c r="A104" s="3047"/>
      <c r="B104" s="3138"/>
      <c r="C104" s="3138"/>
      <c r="D104" s="3138"/>
      <c r="E104" s="3138"/>
      <c r="F104" s="3138"/>
      <c r="G104" s="3138"/>
      <c r="H104" s="3138"/>
      <c r="I104" s="3138"/>
      <c r="J104" s="3138"/>
      <c r="K104" s="3138"/>
      <c r="L104" s="3138"/>
      <c r="M104" s="3138"/>
      <c r="N104" s="3138"/>
      <c r="O104" s="3138"/>
      <c r="P104" s="3138"/>
      <c r="Q104" s="3138"/>
      <c r="R104" s="3138"/>
      <c r="S104" s="3138"/>
      <c r="T104" s="3138"/>
      <c r="U104" s="3138"/>
      <c r="V104" s="3138"/>
      <c r="W104" s="3138"/>
      <c r="X104" s="3138"/>
      <c r="Y104" s="3138"/>
      <c r="Z104" s="3138"/>
      <c r="AA104" s="3138"/>
      <c r="AB104" s="3138"/>
      <c r="AC104" s="3138"/>
      <c r="AD104" s="3138"/>
      <c r="AE104" s="3138"/>
      <c r="AF104" s="3138"/>
      <c r="AG104" s="3138"/>
      <c r="AH104" s="3140"/>
      <c r="AI104" s="3140"/>
      <c r="AJ104" s="3140"/>
      <c r="AK104" s="3140"/>
      <c r="AL104" s="3140"/>
      <c r="AM104" s="3140"/>
      <c r="AN104" s="3140"/>
      <c r="AO104" s="3140"/>
      <c r="AP104" s="3140"/>
      <c r="AQ104" s="3140"/>
      <c r="AR104" s="3140"/>
      <c r="AS104" s="3140"/>
      <c r="AT104" s="3140"/>
      <c r="AU104" s="3140"/>
      <c r="AV104" s="3140"/>
      <c r="AW104" s="3140"/>
      <c r="AX104" s="3140"/>
      <c r="AY104" s="3140"/>
      <c r="AZ104" s="3140"/>
      <c r="BA104" s="2456"/>
      <c r="BB104" s="3136"/>
      <c r="BC104" s="5591"/>
      <c r="BG104" s="3023"/>
      <c r="BH104" s="3047"/>
      <c r="BI104" s="3024"/>
      <c r="BJ104" s="3133">
        <f t="shared" si="50"/>
        <v>4901.0659825461144</v>
      </c>
      <c r="BK104" s="5567" t="s">
        <v>1567</v>
      </c>
      <c r="BL104" s="5575"/>
      <c r="BM104" s="5575"/>
      <c r="BN104" s="3035">
        <f>SUM(BN102*BN103)</f>
        <v>4900.22</v>
      </c>
      <c r="BO104" s="3035">
        <f t="shared" ref="BO104:CO104" si="54">SUM(BO102*BO103)</f>
        <v>406.86104189005067</v>
      </c>
      <c r="BP104" s="3035">
        <f t="shared" si="54"/>
        <v>404.05089611238947</v>
      </c>
      <c r="BQ104" s="3035">
        <f t="shared" si="54"/>
        <v>404.05089611238947</v>
      </c>
      <c r="BR104" s="3035">
        <f t="shared" si="54"/>
        <v>1214.9628341148295</v>
      </c>
      <c r="BS104" s="3035">
        <f t="shared" si="54"/>
        <v>401.24075033472832</v>
      </c>
      <c r="BT104" s="3035">
        <f t="shared" si="54"/>
        <v>375.94943833577827</v>
      </c>
      <c r="BU104" s="3035">
        <f t="shared" si="54"/>
        <v>375.94943833577827</v>
      </c>
      <c r="BV104" s="3035">
        <f t="shared" si="54"/>
        <v>1153.1396270062849</v>
      </c>
      <c r="BW104" s="3035">
        <f t="shared" si="54"/>
        <v>2368.1024611211146</v>
      </c>
      <c r="BX104" s="3035">
        <f t="shared" si="54"/>
        <v>402.12204870304436</v>
      </c>
      <c r="BY104" s="3035">
        <f t="shared" si="54"/>
        <v>402.12204870304436</v>
      </c>
      <c r="BZ104" s="3035">
        <f t="shared" si="54"/>
        <v>429.17407527455958</v>
      </c>
      <c r="CA104" s="3035">
        <f t="shared" si="54"/>
        <v>1233.4181726806482</v>
      </c>
      <c r="CB104" s="3035">
        <f t="shared" si="54"/>
        <v>3602.9552901201487</v>
      </c>
      <c r="CC104" s="3035">
        <f t="shared" si="54"/>
        <v>432.17985600472792</v>
      </c>
      <c r="CD104" s="4053"/>
      <c r="CE104" s="4053"/>
      <c r="CF104" s="4053"/>
      <c r="CG104" s="4053"/>
      <c r="CH104" s="4053"/>
      <c r="CI104" s="4053"/>
      <c r="CJ104" s="4053"/>
      <c r="CK104" s="4053"/>
      <c r="CL104" s="4053"/>
      <c r="CM104" s="3035">
        <f t="shared" si="54"/>
        <v>432.17985600472792</v>
      </c>
      <c r="CN104" s="3035">
        <f t="shared" si="54"/>
        <v>435.18563673489638</v>
      </c>
      <c r="CO104" s="3036">
        <f t="shared" si="54"/>
        <v>1299.5453487443522</v>
      </c>
      <c r="CP104" s="2455">
        <f>SUM(BO104+BP104+BQ104+BS104+BT104+BU104+BX104+BY104+BZ104+CC104+CM104+CN104)</f>
        <v>4901.0659825461144</v>
      </c>
      <c r="CQ104" s="2464">
        <f>SUM(BN104/CP104)</f>
        <v>0.9998273880520836</v>
      </c>
      <c r="CR104" s="5582"/>
    </row>
    <row r="105" spans="1:96" ht="19.5" hidden="1" thickBot="1">
      <c r="A105" s="3047"/>
      <c r="B105" s="3138"/>
      <c r="C105" s="3138"/>
      <c r="D105" s="3138"/>
      <c r="E105" s="3138"/>
      <c r="F105" s="3138"/>
      <c r="G105" s="3138"/>
      <c r="H105" s="3138"/>
      <c r="I105" s="3138"/>
      <c r="J105" s="3138"/>
      <c r="K105" s="3138"/>
      <c r="L105" s="3138"/>
      <c r="M105" s="3138"/>
      <c r="N105" s="3138"/>
      <c r="O105" s="3138"/>
      <c r="P105" s="3138"/>
      <c r="Q105" s="3138"/>
      <c r="R105" s="3138"/>
      <c r="S105" s="3138"/>
      <c r="T105" s="3138"/>
      <c r="U105" s="3138"/>
      <c r="V105" s="3138"/>
      <c r="W105" s="3138"/>
      <c r="X105" s="3138"/>
      <c r="Y105" s="3138"/>
      <c r="Z105" s="3138"/>
      <c r="AA105" s="3138"/>
      <c r="AB105" s="3138"/>
      <c r="AC105" s="3138"/>
      <c r="AD105" s="3138"/>
      <c r="AE105" s="3138"/>
      <c r="AF105" s="3138"/>
      <c r="AG105" s="3138"/>
      <c r="AH105" s="3140"/>
      <c r="AI105" s="3140"/>
      <c r="AJ105" s="3140"/>
      <c r="AK105" s="3140"/>
      <c r="AL105" s="3140"/>
      <c r="AM105" s="3140"/>
      <c r="AN105" s="3140"/>
      <c r="AO105" s="3140"/>
      <c r="AP105" s="3140"/>
      <c r="AQ105" s="3140"/>
      <c r="AR105" s="3140"/>
      <c r="AS105" s="3140"/>
      <c r="AT105" s="3140"/>
      <c r="AU105" s="3140"/>
      <c r="AV105" s="3140"/>
      <c r="AW105" s="3140"/>
      <c r="AX105" s="3140"/>
      <c r="AY105" s="3140"/>
      <c r="AZ105" s="3140"/>
      <c r="BA105" s="2456"/>
      <c r="BB105" s="2456"/>
      <c r="BC105" s="1396"/>
      <c r="BG105" s="3023"/>
      <c r="BH105" s="3047"/>
      <c r="BI105" s="3024"/>
      <c r="BJ105" s="3133">
        <f t="shared" si="50"/>
        <v>4488.4430000000002</v>
      </c>
      <c r="BK105" s="5568" t="s">
        <v>1571</v>
      </c>
      <c r="BL105" s="5572"/>
      <c r="BM105" s="5572"/>
      <c r="BN105" s="3037">
        <f>SUM('Произв. прогр. Вода'!C14)</f>
        <v>4488.4430000000002</v>
      </c>
      <c r="BO105" s="3037">
        <f>SUM('Произв. прогр. Вода'!E14-('Произв. прогр. Вода'!D17/12))</f>
        <v>385.57719216666675</v>
      </c>
      <c r="BP105" s="3037">
        <f>SUM('Произв. прогр. Вода'!F14-('Произв. прогр. Вода'!D17/12))</f>
        <v>382.91405166666669</v>
      </c>
      <c r="BQ105" s="3037">
        <f>SUM('Произв. прогр. Вода'!G14-('Произв. прогр. Вода'!D17/12))</f>
        <v>382.91405166666669</v>
      </c>
      <c r="BR105" s="3037">
        <f>SUM(BO105:BQ105)</f>
        <v>1151.4052955000002</v>
      </c>
      <c r="BS105" s="3037">
        <f>SUM('Произв. прогр. Вода'!I14-('Произв. прогр. Вода'!D17/12))</f>
        <v>380.2509111666667</v>
      </c>
      <c r="BT105" s="3037">
        <f>SUM('Произв. прогр. Вода'!J14-('Произв. прогр. Вода'!D17/12))</f>
        <v>356.28264666666672</v>
      </c>
      <c r="BU105" s="3037">
        <f>SUM('Произв. прогр. Вода'!K14-('Произв. прогр. Вода'!D17/12))</f>
        <v>356.28264666666672</v>
      </c>
      <c r="BV105" s="3037">
        <f>SUM(BS105:BU105)</f>
        <v>1092.8162045000001</v>
      </c>
      <c r="BW105" s="3037">
        <f>SUM(BR105+BV105)</f>
        <v>2244.2215000000006</v>
      </c>
      <c r="BX105" s="3037">
        <f>SUM('Произв. прогр. Вода'!N14-('Произв. прогр. Вода'!D14/12))</f>
        <v>356.28264666666672</v>
      </c>
      <c r="BY105" s="3037">
        <f>SUM('Произв. прогр. Вода'!O14-('Произв. прогр. Вода'!D14/12))</f>
        <v>356.28264666666672</v>
      </c>
      <c r="BZ105" s="3037">
        <f>SUM('Произв. прогр. Вода'!P14-('Произв. прогр. Вода'!D14/12))</f>
        <v>380.2509111666667</v>
      </c>
      <c r="CA105" s="3037">
        <f>SUM(BX105:BZ105)</f>
        <v>1092.8162045000001</v>
      </c>
      <c r="CB105" s="3037">
        <f>SUM(BW105+CA105)</f>
        <v>3337.0377045000005</v>
      </c>
      <c r="CC105" s="3037">
        <f>SUM('Произв. прогр. Вода'!S14-('Произв. прогр. Вода'!D14/12))</f>
        <v>382.91405166666669</v>
      </c>
      <c r="CD105" s="4055"/>
      <c r="CE105" s="4055"/>
      <c r="CF105" s="4055"/>
      <c r="CG105" s="4055"/>
      <c r="CH105" s="4055"/>
      <c r="CI105" s="4055"/>
      <c r="CJ105" s="4055"/>
      <c r="CK105" s="4055"/>
      <c r="CL105" s="4055"/>
      <c r="CM105" s="3037">
        <f>SUM('Произв. прогр. Вода'!T14-('Произв. прогр. Вода'!D14/12))</f>
        <v>382.91405166666669</v>
      </c>
      <c r="CN105" s="3037">
        <f>SUM('Произв. прогр. Вода'!U14-('Произв. прогр. Вода'!D14/12))</f>
        <v>385.57719216666675</v>
      </c>
      <c r="CO105" s="3044">
        <f>SUM(CC105:CN105)</f>
        <v>1151.4052955000002</v>
      </c>
      <c r="CP105" s="2455">
        <f>SUM(BO105+BP105+BQ105+BS105+BT105+BU105+BX105+BY105+BZ105+CC105+CM105+CN105)</f>
        <v>4488.4430000000002</v>
      </c>
      <c r="CQ105" s="2456">
        <f>SUM(BR105+BV105+CA105+CO105)</f>
        <v>4488.4430000000011</v>
      </c>
    </row>
    <row r="106" spans="1:96" ht="19.5" hidden="1" thickBot="1">
      <c r="A106" s="3046"/>
      <c r="B106" s="3139"/>
      <c r="C106" s="3139"/>
      <c r="D106" s="3139"/>
      <c r="E106" s="3139"/>
      <c r="F106" s="3139"/>
      <c r="G106" s="3139"/>
      <c r="H106" s="3139"/>
      <c r="I106" s="3139"/>
      <c r="J106" s="3139"/>
      <c r="K106" s="3139"/>
      <c r="L106" s="3139"/>
      <c r="M106" s="3139"/>
      <c r="N106" s="3139"/>
      <c r="O106" s="3139"/>
      <c r="P106" s="3139"/>
      <c r="Q106" s="3139"/>
      <c r="R106" s="3139"/>
      <c r="S106" s="3139"/>
      <c r="T106" s="3139"/>
      <c r="U106" s="3139"/>
      <c r="V106" s="3139"/>
      <c r="W106" s="3139"/>
      <c r="X106" s="3139"/>
      <c r="Y106" s="3139"/>
      <c r="Z106" s="3139"/>
      <c r="AA106" s="3139"/>
      <c r="AB106" s="3139"/>
      <c r="AC106" s="3139"/>
      <c r="AD106" s="3139"/>
      <c r="AE106" s="3139"/>
      <c r="AF106" s="3139"/>
      <c r="AG106" s="3139"/>
      <c r="AH106" s="3139"/>
      <c r="AI106" s="3139"/>
      <c r="AJ106" s="3139"/>
      <c r="AK106" s="3139"/>
      <c r="AL106" s="3139"/>
      <c r="AM106" s="3139"/>
      <c r="AN106" s="3139"/>
      <c r="AO106" s="3139"/>
      <c r="AP106" s="3139"/>
      <c r="AQ106" s="3139"/>
      <c r="AR106" s="3139"/>
      <c r="AS106" s="3139"/>
      <c r="AT106" s="3139"/>
      <c r="AU106" s="3139"/>
      <c r="AV106" s="3139"/>
      <c r="AW106" s="3139"/>
      <c r="AX106" s="3139"/>
      <c r="AY106" s="3139"/>
      <c r="AZ106" s="3139"/>
      <c r="BA106" s="3137"/>
      <c r="BB106" s="3137"/>
      <c r="BC106" s="1396"/>
      <c r="BG106" s="3023"/>
      <c r="BH106" s="3046"/>
      <c r="BI106" s="3024"/>
      <c r="BJ106" s="3133">
        <f t="shared" si="50"/>
        <v>0</v>
      </c>
      <c r="BK106" s="5535" t="s">
        <v>1572</v>
      </c>
      <c r="BL106" s="5389"/>
      <c r="BM106" s="5389"/>
      <c r="BN106" s="5389"/>
      <c r="BO106" s="5389"/>
      <c r="BP106" s="5389"/>
      <c r="BQ106" s="5389"/>
      <c r="BR106" s="5389"/>
      <c r="BS106" s="5389"/>
      <c r="BT106" s="5389"/>
      <c r="BU106" s="5389"/>
      <c r="BV106" s="5389"/>
      <c r="BW106" s="5389"/>
      <c r="BX106" s="5389"/>
      <c r="BY106" s="5389"/>
      <c r="BZ106" s="5389"/>
      <c r="CA106" s="5389"/>
      <c r="CB106" s="5389"/>
      <c r="CC106" s="5389"/>
      <c r="CD106" s="5389"/>
      <c r="CE106" s="5389"/>
      <c r="CF106" s="5389"/>
      <c r="CG106" s="5389"/>
      <c r="CH106" s="5389"/>
      <c r="CI106" s="5389"/>
      <c r="CJ106" s="5389"/>
      <c r="CK106" s="5389"/>
      <c r="CL106" s="5389"/>
      <c r="CM106" s="5389"/>
      <c r="CN106" s="5389"/>
      <c r="CO106" s="5390"/>
      <c r="CP106" s="127"/>
      <c r="CQ106" s="127"/>
    </row>
    <row r="107" spans="1:96" ht="18.75" hidden="1">
      <c r="A107" s="3047"/>
      <c r="B107" s="3138"/>
      <c r="C107" s="3138"/>
      <c r="D107" s="3138"/>
      <c r="E107" s="3138"/>
      <c r="F107" s="3138"/>
      <c r="G107" s="3138"/>
      <c r="H107" s="3138"/>
      <c r="I107" s="3138"/>
      <c r="J107" s="3138"/>
      <c r="K107" s="3138"/>
      <c r="L107" s="3138"/>
      <c r="M107" s="3138"/>
      <c r="N107" s="3138"/>
      <c r="O107" s="3138"/>
      <c r="P107" s="3138"/>
      <c r="Q107" s="3138"/>
      <c r="R107" s="3138"/>
      <c r="S107" s="3138"/>
      <c r="T107" s="3138"/>
      <c r="U107" s="3138"/>
      <c r="V107" s="3138"/>
      <c r="W107" s="3138"/>
      <c r="X107" s="3138"/>
      <c r="Y107" s="3138"/>
      <c r="Z107" s="3138"/>
      <c r="AA107" s="3138"/>
      <c r="AB107" s="3138"/>
      <c r="AC107" s="3138"/>
      <c r="AD107" s="3138"/>
      <c r="AE107" s="3138"/>
      <c r="AF107" s="3138"/>
      <c r="AG107" s="3138"/>
      <c r="AH107" s="3140"/>
      <c r="AI107" s="3140"/>
      <c r="AJ107" s="3140"/>
      <c r="AK107" s="3140"/>
      <c r="AL107" s="3140"/>
      <c r="AM107" s="3140"/>
      <c r="AN107" s="3140"/>
      <c r="AO107" s="3140"/>
      <c r="AP107" s="3140"/>
      <c r="AQ107" s="3140"/>
      <c r="AR107" s="3140"/>
      <c r="AS107" s="3140"/>
      <c r="AT107" s="3140"/>
      <c r="AU107" s="3140"/>
      <c r="AV107" s="3140"/>
      <c r="AW107" s="3140"/>
      <c r="AX107" s="3140"/>
      <c r="AY107" s="3140"/>
      <c r="AZ107" s="3140"/>
      <c r="BA107" s="2456"/>
      <c r="BB107" s="2456"/>
      <c r="BC107" s="1396"/>
      <c r="BG107" s="3023"/>
      <c r="BH107" s="3047"/>
      <c r="BI107" s="3024"/>
      <c r="BJ107" s="3133">
        <f t="shared" si="50"/>
        <v>1827.3000000000002</v>
      </c>
      <c r="BK107" s="5583" t="s">
        <v>1573</v>
      </c>
      <c r="BL107" s="5574"/>
      <c r="BM107" s="5574"/>
      <c r="BN107" s="2465">
        <f>SUM(BN94+BN102)</f>
        <v>1827.2999999999997</v>
      </c>
      <c r="BO107" s="2465">
        <f t="shared" ref="BO107:CO107" si="55">SUM(BO94+BO102)</f>
        <v>156.69379853628902</v>
      </c>
      <c r="BP107" s="2465">
        <f t="shared" si="55"/>
        <v>155.67407579714541</v>
      </c>
      <c r="BQ107" s="2465">
        <f t="shared" si="55"/>
        <v>155.67407579714541</v>
      </c>
      <c r="BR107" s="2465">
        <f t="shared" si="55"/>
        <v>468.04195013057983</v>
      </c>
      <c r="BS107" s="2465">
        <f t="shared" si="55"/>
        <v>154.65435305800179</v>
      </c>
      <c r="BT107" s="2465">
        <f t="shared" si="55"/>
        <v>145.47684840570923</v>
      </c>
      <c r="BU107" s="2465">
        <f t="shared" si="55"/>
        <v>145.47684840570923</v>
      </c>
      <c r="BV107" s="2465">
        <f t="shared" si="55"/>
        <v>445.60804986942026</v>
      </c>
      <c r="BW107" s="2465">
        <f t="shared" si="55"/>
        <v>913.65000000000009</v>
      </c>
      <c r="BX107" s="2465">
        <f t="shared" si="55"/>
        <v>145.47684840570923</v>
      </c>
      <c r="BY107" s="2465">
        <f t="shared" si="55"/>
        <v>145.47684840570923</v>
      </c>
      <c r="BZ107" s="2465">
        <f t="shared" si="55"/>
        <v>154.65435305800179</v>
      </c>
      <c r="CA107" s="2465">
        <f t="shared" si="55"/>
        <v>445.60804986942026</v>
      </c>
      <c r="CB107" s="2465">
        <f t="shared" si="55"/>
        <v>1359.2580498694203</v>
      </c>
      <c r="CC107" s="2465">
        <f t="shared" si="55"/>
        <v>155.67407579714541</v>
      </c>
      <c r="CD107" s="2465"/>
      <c r="CE107" s="2465"/>
      <c r="CF107" s="2465"/>
      <c r="CG107" s="2465"/>
      <c r="CH107" s="2465"/>
      <c r="CI107" s="2465"/>
      <c r="CJ107" s="2465"/>
      <c r="CK107" s="2465"/>
      <c r="CL107" s="2465"/>
      <c r="CM107" s="2465">
        <f t="shared" si="55"/>
        <v>155.67407579714541</v>
      </c>
      <c r="CN107" s="2465">
        <f t="shared" si="55"/>
        <v>156.69379853628902</v>
      </c>
      <c r="CO107" s="2469">
        <f t="shared" si="55"/>
        <v>468.04195013057983</v>
      </c>
      <c r="CP107" s="2455">
        <f>SUM(BO107+BP107+BQ107+BS107+BT107+BU107+BX107+BY107+BZ107+CC107+CM107+CN107)</f>
        <v>1827.3000000000002</v>
      </c>
      <c r="CQ107" s="2456">
        <f>SUM(BR107+BV107+CA107+CO107)</f>
        <v>1827.3000000000002</v>
      </c>
    </row>
    <row r="108" spans="1:96" ht="18.75" hidden="1">
      <c r="A108" s="3141"/>
      <c r="B108" s="3138"/>
      <c r="C108" s="3138"/>
      <c r="D108" s="3138"/>
      <c r="E108" s="3138"/>
      <c r="F108" s="3138"/>
      <c r="G108" s="3138"/>
      <c r="H108" s="3138"/>
      <c r="I108" s="3138"/>
      <c r="J108" s="3138"/>
      <c r="K108" s="3138"/>
      <c r="L108" s="3138"/>
      <c r="M108" s="3138"/>
      <c r="N108" s="3138"/>
      <c r="O108" s="3138"/>
      <c r="P108" s="3138"/>
      <c r="Q108" s="3138"/>
      <c r="R108" s="3138"/>
      <c r="S108" s="3138"/>
      <c r="T108" s="3138"/>
      <c r="U108" s="3138"/>
      <c r="V108" s="3138"/>
      <c r="W108" s="3138"/>
      <c r="X108" s="3138"/>
      <c r="Y108" s="3138"/>
      <c r="Z108" s="3138"/>
      <c r="AA108" s="3138"/>
      <c r="AB108" s="3138"/>
      <c r="AC108" s="3138"/>
      <c r="AD108" s="3138"/>
      <c r="AE108" s="3138"/>
      <c r="AF108" s="3138"/>
      <c r="AG108" s="3138"/>
      <c r="AH108" s="3142"/>
      <c r="AI108" s="3142"/>
      <c r="AJ108" s="3142"/>
      <c r="AK108" s="3142"/>
      <c r="AL108" s="3142"/>
      <c r="AM108" s="3142"/>
      <c r="AN108" s="3142"/>
      <c r="AO108" s="3142"/>
      <c r="AP108" s="3142"/>
      <c r="AQ108" s="3142"/>
      <c r="AR108" s="3142"/>
      <c r="AS108" s="3142"/>
      <c r="AT108" s="3142"/>
      <c r="AU108" s="3142"/>
      <c r="AV108" s="3142"/>
      <c r="AW108" s="3142"/>
      <c r="AX108" s="3142"/>
      <c r="AY108" s="3142"/>
      <c r="AZ108" s="3142"/>
      <c r="BA108" s="2458"/>
      <c r="BB108" s="2458"/>
      <c r="BC108" s="1396"/>
      <c r="BG108" s="3023"/>
      <c r="BH108" s="3048"/>
      <c r="BI108" s="3024"/>
      <c r="BJ108" s="3133">
        <f t="shared" si="50"/>
        <v>4.8163262597580845</v>
      </c>
      <c r="BK108" s="5584" t="s">
        <v>1574</v>
      </c>
      <c r="BL108" s="5575"/>
      <c r="BM108" s="5575"/>
      <c r="BN108" s="3038">
        <f>SUM(BN109/BN107)</f>
        <v>4.8154982761451333</v>
      </c>
      <c r="BO108" s="3038">
        <f t="shared" ref="BO108:CO108" si="56">SUM(BO109/BO107)</f>
        <v>4.6527754375993844</v>
      </c>
      <c r="BP108" s="3038">
        <f t="shared" si="56"/>
        <v>4.6530978067603268</v>
      </c>
      <c r="BQ108" s="3038">
        <f t="shared" si="56"/>
        <v>4.6530978067603268</v>
      </c>
      <c r="BR108" s="3038">
        <f t="shared" si="56"/>
        <v>4.6529898821430038</v>
      </c>
      <c r="BS108" s="3038">
        <f t="shared" si="56"/>
        <v>4.6534244270420073</v>
      </c>
      <c r="BT108" s="3038">
        <f t="shared" si="56"/>
        <v>4.65657006017471</v>
      </c>
      <c r="BU108" s="3038">
        <f t="shared" si="56"/>
        <v>4.65657006017471</v>
      </c>
      <c r="BV108" s="3038">
        <f t="shared" si="56"/>
        <v>4.6554783252806962</v>
      </c>
      <c r="BW108" s="3038">
        <f t="shared" si="56"/>
        <v>4.6542035529072985</v>
      </c>
      <c r="BX108" s="3038">
        <f t="shared" si="56"/>
        <v>4.9808724044327555</v>
      </c>
      <c r="BY108" s="3038">
        <f t="shared" si="56"/>
        <v>4.9808724044327555</v>
      </c>
      <c r="BZ108" s="3038">
        <f t="shared" si="56"/>
        <v>4.9775069820354503</v>
      </c>
      <c r="CA108" s="3038">
        <f t="shared" si="56"/>
        <v>4.9797043886759162</v>
      </c>
      <c r="CB108" s="3038">
        <f t="shared" si="56"/>
        <v>4.7626768616740751</v>
      </c>
      <c r="CC108" s="3038">
        <f t="shared" si="56"/>
        <v>4.9771575403920636</v>
      </c>
      <c r="CD108" s="4056"/>
      <c r="CE108" s="4056"/>
      <c r="CF108" s="4056"/>
      <c r="CG108" s="4056"/>
      <c r="CH108" s="4056"/>
      <c r="CI108" s="4056"/>
      <c r="CJ108" s="4056"/>
      <c r="CK108" s="4056"/>
      <c r="CL108" s="4056"/>
      <c r="CM108" s="3038">
        <f t="shared" si="56"/>
        <v>4.9771575403920636</v>
      </c>
      <c r="CN108" s="3038">
        <f t="shared" si="56"/>
        <v>4.9768126469004628</v>
      </c>
      <c r="CO108" s="3039">
        <f t="shared" si="56"/>
        <v>4.9770420749486899</v>
      </c>
      <c r="CP108" s="2457">
        <f>SUM(BO108+BP108+BQ108+BS108+BT108+BU108+BX108+BY108+BZ108+CC108+CM108+CN108)/12</f>
        <v>4.8163262597580845</v>
      </c>
      <c r="CQ108" s="2458">
        <f>SUM(BR108+BV108+CA108+CO108)/4</f>
        <v>4.8163036677620763</v>
      </c>
    </row>
    <row r="109" spans="1:96" ht="19.5" hidden="1" thickBot="1">
      <c r="A109" s="3047"/>
      <c r="B109" s="3138"/>
      <c r="C109" s="3138"/>
      <c r="D109" s="3138"/>
      <c r="E109" s="3138"/>
      <c r="F109" s="3138"/>
      <c r="G109" s="3138"/>
      <c r="H109" s="3138"/>
      <c r="I109" s="3138"/>
      <c r="J109" s="3138"/>
      <c r="K109" s="3138"/>
      <c r="L109" s="3138"/>
      <c r="M109" s="3138"/>
      <c r="N109" s="3138"/>
      <c r="O109" s="3138"/>
      <c r="P109" s="3138"/>
      <c r="Q109" s="3138"/>
      <c r="R109" s="3138"/>
      <c r="S109" s="3138"/>
      <c r="T109" s="3138"/>
      <c r="U109" s="3138"/>
      <c r="V109" s="3138"/>
      <c r="W109" s="3138"/>
      <c r="X109" s="3138"/>
      <c r="Y109" s="3138"/>
      <c r="Z109" s="3138"/>
      <c r="AA109" s="3138"/>
      <c r="AB109" s="3138"/>
      <c r="AC109" s="3138"/>
      <c r="AD109" s="3138"/>
      <c r="AE109" s="3138"/>
      <c r="AF109" s="3138"/>
      <c r="AG109" s="3138"/>
      <c r="AH109" s="3140"/>
      <c r="AI109" s="3140"/>
      <c r="AJ109" s="3140"/>
      <c r="AK109" s="3140"/>
      <c r="AL109" s="3140"/>
      <c r="AM109" s="3140"/>
      <c r="AN109" s="3140"/>
      <c r="AO109" s="3140"/>
      <c r="AP109" s="3140"/>
      <c r="AQ109" s="3140"/>
      <c r="AR109" s="3140"/>
      <c r="AS109" s="3140"/>
      <c r="AT109" s="3140"/>
      <c r="AU109" s="3140"/>
      <c r="AV109" s="3140"/>
      <c r="AW109" s="3140"/>
      <c r="AX109" s="3140"/>
      <c r="AY109" s="3140"/>
      <c r="AZ109" s="3140"/>
      <c r="BA109" s="2456"/>
      <c r="BB109" s="2456"/>
      <c r="BC109" s="1396"/>
      <c r="BG109" s="3023"/>
      <c r="BH109" s="3047"/>
      <c r="BI109" s="3024"/>
      <c r="BJ109" s="3133">
        <f t="shared" si="50"/>
        <v>8800.7739163187543</v>
      </c>
      <c r="BK109" s="5585" t="s">
        <v>1575</v>
      </c>
      <c r="BL109" s="5572"/>
      <c r="BM109" s="5572"/>
      <c r="BN109" s="3040">
        <f>SUM(BN96+BN104)</f>
        <v>8799.36</v>
      </c>
      <c r="BO109" s="3040">
        <f t="shared" ref="BO109:CO109" si="57">SUM(BO96+BO104)</f>
        <v>729.06105705379196</v>
      </c>
      <c r="BP109" s="3040">
        <f t="shared" si="57"/>
        <v>724.36670066113811</v>
      </c>
      <c r="BQ109" s="3040">
        <f t="shared" si="57"/>
        <v>724.36670066113811</v>
      </c>
      <c r="BR109" s="3040">
        <f t="shared" si="57"/>
        <v>2177.7944583760682</v>
      </c>
      <c r="BS109" s="3040">
        <f t="shared" si="57"/>
        <v>719.67234426848427</v>
      </c>
      <c r="BT109" s="3040">
        <f t="shared" si="57"/>
        <v>677.42313673460058</v>
      </c>
      <c r="BU109" s="3040">
        <f t="shared" si="57"/>
        <v>677.42313673460058</v>
      </c>
      <c r="BV109" s="3040">
        <f t="shared" si="57"/>
        <v>2074.5186177376854</v>
      </c>
      <c r="BW109" s="3040">
        <f t="shared" si="57"/>
        <v>4252.3130761137536</v>
      </c>
      <c r="BX109" s="3040">
        <f t="shared" si="57"/>
        <v>724.60161970784441</v>
      </c>
      <c r="BY109" s="3040">
        <f t="shared" si="57"/>
        <v>724.60161970784441</v>
      </c>
      <c r="BZ109" s="3040">
        <f t="shared" si="57"/>
        <v>769.79312214837955</v>
      </c>
      <c r="CA109" s="3040">
        <f t="shared" si="57"/>
        <v>2218.9963615640686</v>
      </c>
      <c r="CB109" s="3040">
        <f t="shared" si="57"/>
        <v>6473.7068631573147</v>
      </c>
      <c r="CC109" s="3040">
        <f t="shared" si="57"/>
        <v>774.81440019732793</v>
      </c>
      <c r="CD109" s="4057"/>
      <c r="CE109" s="4057"/>
      <c r="CF109" s="4057"/>
      <c r="CG109" s="4057"/>
      <c r="CH109" s="4057"/>
      <c r="CI109" s="4057"/>
      <c r="CJ109" s="4057"/>
      <c r="CK109" s="4057"/>
      <c r="CL109" s="4057"/>
      <c r="CM109" s="3040">
        <f t="shared" si="57"/>
        <v>774.81440019732793</v>
      </c>
      <c r="CN109" s="3040">
        <f t="shared" si="57"/>
        <v>779.83567824627642</v>
      </c>
      <c r="CO109" s="3041">
        <f t="shared" si="57"/>
        <v>2329.4644786409322</v>
      </c>
      <c r="CP109" s="2455">
        <f>SUM(BO109+BP109+BQ109+BS109+BT109+BU109+BX109+BY109+BZ109+CC109+CM109+CN109)</f>
        <v>8800.7739163187543</v>
      </c>
      <c r="CQ109" s="2456">
        <f>SUM(BR109+BV109+CA109+CO109)</f>
        <v>8800.7739163187543</v>
      </c>
    </row>
    <row r="110" spans="1:96" ht="19.5" hidden="1" thickBot="1">
      <c r="A110" s="3046"/>
      <c r="B110" s="3139"/>
      <c r="C110" s="3139"/>
      <c r="D110" s="3139"/>
      <c r="E110" s="3139"/>
      <c r="F110" s="3139"/>
      <c r="G110" s="3139"/>
      <c r="H110" s="3139"/>
      <c r="I110" s="3139"/>
      <c r="J110" s="3139"/>
      <c r="K110" s="3139"/>
      <c r="L110" s="3139"/>
      <c r="M110" s="3139"/>
      <c r="N110" s="3139"/>
      <c r="O110" s="3139"/>
      <c r="P110" s="3139"/>
      <c r="Q110" s="3139"/>
      <c r="R110" s="3139"/>
      <c r="S110" s="3139"/>
      <c r="T110" s="3139"/>
      <c r="U110" s="3139"/>
      <c r="V110" s="3139"/>
      <c r="W110" s="3139"/>
      <c r="X110" s="3139"/>
      <c r="Y110" s="3139"/>
      <c r="Z110" s="3139"/>
      <c r="AA110" s="3139"/>
      <c r="AB110" s="3139"/>
      <c r="AC110" s="3139"/>
      <c r="AD110" s="3139"/>
      <c r="AE110" s="3139"/>
      <c r="AF110" s="3139"/>
      <c r="AG110" s="3139"/>
      <c r="AH110" s="3139"/>
      <c r="AI110" s="3139"/>
      <c r="AJ110" s="3139"/>
      <c r="AK110" s="3139"/>
      <c r="AL110" s="3139"/>
      <c r="AM110" s="3139"/>
      <c r="AN110" s="3139"/>
      <c r="AO110" s="3139"/>
      <c r="AP110" s="3139"/>
      <c r="AQ110" s="3139"/>
      <c r="AR110" s="3139"/>
      <c r="AS110" s="3139"/>
      <c r="AT110" s="3139"/>
      <c r="AU110" s="3139"/>
      <c r="AV110" s="3139"/>
      <c r="AW110" s="3139"/>
      <c r="AX110" s="3139"/>
      <c r="AY110" s="3139"/>
      <c r="AZ110" s="3139"/>
      <c r="BA110" s="3137"/>
      <c r="BB110" s="3137"/>
      <c r="BC110" s="1396"/>
      <c r="BG110" s="3023"/>
      <c r="BH110" s="3046"/>
      <c r="BI110" s="3024"/>
      <c r="BJ110" s="3133">
        <f t="shared" si="50"/>
        <v>0</v>
      </c>
      <c r="BK110" s="5535" t="s">
        <v>405</v>
      </c>
      <c r="BL110" s="5389"/>
      <c r="BM110" s="5389"/>
      <c r="BN110" s="5389"/>
      <c r="BO110" s="5389"/>
      <c r="BP110" s="5389"/>
      <c r="BQ110" s="5389"/>
      <c r="BR110" s="5389"/>
      <c r="BS110" s="5389"/>
      <c r="BT110" s="5389"/>
      <c r="BU110" s="5389"/>
      <c r="BV110" s="5389"/>
      <c r="BW110" s="5389"/>
      <c r="BX110" s="5389"/>
      <c r="BY110" s="5389"/>
      <c r="BZ110" s="5389"/>
      <c r="CA110" s="5389"/>
      <c r="CB110" s="5389"/>
      <c r="CC110" s="5389"/>
      <c r="CD110" s="5389"/>
      <c r="CE110" s="5389"/>
      <c r="CF110" s="5389"/>
      <c r="CG110" s="5389"/>
      <c r="CH110" s="5389"/>
      <c r="CI110" s="5389"/>
      <c r="CJ110" s="5389"/>
      <c r="CK110" s="5389"/>
      <c r="CL110" s="5389"/>
      <c r="CM110" s="5389"/>
      <c r="CN110" s="5389"/>
      <c r="CO110" s="5390"/>
      <c r="CP110" s="127"/>
      <c r="CQ110" s="127"/>
    </row>
    <row r="111" spans="1:96" ht="18.75" hidden="1">
      <c r="A111" s="3047"/>
      <c r="B111" s="3138"/>
      <c r="C111" s="3138"/>
      <c r="D111" s="3138"/>
      <c r="E111" s="3138"/>
      <c r="F111" s="3138"/>
      <c r="G111" s="3138"/>
      <c r="H111" s="3138"/>
      <c r="I111" s="3138"/>
      <c r="J111" s="3138"/>
      <c r="K111" s="3138"/>
      <c r="L111" s="3138"/>
      <c r="M111" s="3138"/>
      <c r="N111" s="3138"/>
      <c r="O111" s="3138"/>
      <c r="P111" s="3138"/>
      <c r="Q111" s="3138"/>
      <c r="R111" s="3138"/>
      <c r="S111" s="3138"/>
      <c r="T111" s="3138"/>
      <c r="U111" s="3138"/>
      <c r="V111" s="3138"/>
      <c r="W111" s="3138"/>
      <c r="X111" s="3138"/>
      <c r="Y111" s="3138"/>
      <c r="Z111" s="3138"/>
      <c r="AA111" s="3138"/>
      <c r="AB111" s="3138"/>
      <c r="AC111" s="3138"/>
      <c r="AD111" s="3138"/>
      <c r="AE111" s="3138"/>
      <c r="AF111" s="3138"/>
      <c r="AG111" s="3138"/>
      <c r="AH111" s="3140"/>
      <c r="AI111" s="3140"/>
      <c r="AJ111" s="3140"/>
      <c r="AK111" s="3140"/>
      <c r="AL111" s="3140"/>
      <c r="AM111" s="3140"/>
      <c r="AN111" s="3140"/>
      <c r="AO111" s="3140"/>
      <c r="AP111" s="3140"/>
      <c r="AQ111" s="3140"/>
      <c r="AR111" s="3140"/>
      <c r="AS111" s="3140"/>
      <c r="AT111" s="3140"/>
      <c r="AU111" s="3140"/>
      <c r="AV111" s="3140"/>
      <c r="AW111" s="3140"/>
      <c r="AX111" s="3140"/>
      <c r="AY111" s="3140"/>
      <c r="AZ111" s="3140"/>
      <c r="BA111" s="2456"/>
      <c r="BB111" s="2456"/>
      <c r="BC111" s="1396"/>
      <c r="BG111" s="3023"/>
      <c r="BH111" s="3047"/>
      <c r="BI111" s="3024"/>
      <c r="BJ111" s="3133">
        <f t="shared" si="50"/>
        <v>276.8</v>
      </c>
      <c r="BK111" s="5573" t="s">
        <v>1576</v>
      </c>
      <c r="BL111" s="5590"/>
      <c r="BM111" s="5590"/>
      <c r="BN111" s="2442">
        <f>SUM(BY52)</f>
        <v>276.8</v>
      </c>
      <c r="BO111" s="2443">
        <f>SUM(BN111/12)</f>
        <v>23.066666666666666</v>
      </c>
      <c r="BP111" s="2443">
        <f>SUM(BO111)</f>
        <v>23.066666666666666</v>
      </c>
      <c r="BQ111" s="2443">
        <f>SUM(BO111)</f>
        <v>23.066666666666666</v>
      </c>
      <c r="BR111" s="2442">
        <f>SUM(BO111:BQ111)</f>
        <v>69.2</v>
      </c>
      <c r="BS111" s="2443">
        <f>SUM(BO111)</f>
        <v>23.066666666666666</v>
      </c>
      <c r="BT111" s="2443">
        <f>SUM(BO111)</f>
        <v>23.066666666666666</v>
      </c>
      <c r="BU111" s="2443">
        <f>SUM(BO111)</f>
        <v>23.066666666666666</v>
      </c>
      <c r="BV111" s="2442">
        <f>SUM(BS111:BU111)</f>
        <v>69.2</v>
      </c>
      <c r="BW111" s="2442">
        <f>SUM(BR111+BV111)</f>
        <v>138.4</v>
      </c>
      <c r="BX111" s="2443">
        <f>SUM(BO111)</f>
        <v>23.066666666666666</v>
      </c>
      <c r="BY111" s="2443">
        <f>SUM(BO111)</f>
        <v>23.066666666666666</v>
      </c>
      <c r="BZ111" s="2443">
        <f>SUM(BO111)</f>
        <v>23.066666666666666</v>
      </c>
      <c r="CA111" s="2442">
        <f>SUM(BX111:BZ111)</f>
        <v>69.2</v>
      </c>
      <c r="CB111" s="2442">
        <f>SUM(BW111+CA111)</f>
        <v>207.60000000000002</v>
      </c>
      <c r="CC111" s="2443">
        <f>SUM(BO111)</f>
        <v>23.066666666666666</v>
      </c>
      <c r="CD111" s="2443"/>
      <c r="CE111" s="2443"/>
      <c r="CF111" s="2443"/>
      <c r="CG111" s="2443"/>
      <c r="CH111" s="2443"/>
      <c r="CI111" s="2443"/>
      <c r="CJ111" s="2443"/>
      <c r="CK111" s="2443"/>
      <c r="CL111" s="2443"/>
      <c r="CM111" s="2443">
        <f>SUM(BO111)</f>
        <v>23.066666666666666</v>
      </c>
      <c r="CN111" s="2443">
        <f>SUM(BO111)</f>
        <v>23.066666666666666</v>
      </c>
      <c r="CO111" s="2444">
        <f>SUM(CC111:CN111)</f>
        <v>69.2</v>
      </c>
      <c r="CP111" s="2455">
        <f>SUM(BO111+BP111+BQ111+BS111+BT111+BU111+BX111+BY111+BZ111+CC111+CM111+CN111)</f>
        <v>276.8</v>
      </c>
      <c r="CQ111" s="2456">
        <f>SUM(BR111+BV111+CA111+CO111)</f>
        <v>276.8</v>
      </c>
    </row>
    <row r="112" spans="1:96" ht="18.75" hidden="1">
      <c r="A112" s="3141"/>
      <c r="B112" s="3138"/>
      <c r="C112" s="3138"/>
      <c r="D112" s="3138"/>
      <c r="E112" s="3138"/>
      <c r="F112" s="3138"/>
      <c r="G112" s="3138"/>
      <c r="H112" s="3138"/>
      <c r="I112" s="3138"/>
      <c r="J112" s="3138"/>
      <c r="K112" s="3138"/>
      <c r="L112" s="3138"/>
      <c r="M112" s="3138"/>
      <c r="N112" s="3138"/>
      <c r="O112" s="3138"/>
      <c r="P112" s="3138"/>
      <c r="Q112" s="3138"/>
      <c r="R112" s="3138"/>
      <c r="S112" s="3138"/>
      <c r="T112" s="3138"/>
      <c r="U112" s="3138"/>
      <c r="V112" s="3138"/>
      <c r="W112" s="3138"/>
      <c r="X112" s="3138"/>
      <c r="Y112" s="3138"/>
      <c r="Z112" s="3138"/>
      <c r="AA112" s="3138"/>
      <c r="AB112" s="3138"/>
      <c r="AC112" s="3138"/>
      <c r="AD112" s="3138"/>
      <c r="AE112" s="3138"/>
      <c r="AF112" s="3138"/>
      <c r="AG112" s="3138"/>
      <c r="AH112" s="3142"/>
      <c r="AI112" s="3142"/>
      <c r="AJ112" s="3142"/>
      <c r="AK112" s="3142"/>
      <c r="AL112" s="3142"/>
      <c r="AM112" s="3142"/>
      <c r="AN112" s="3142"/>
      <c r="AO112" s="3142"/>
      <c r="AP112" s="3142"/>
      <c r="AQ112" s="3142"/>
      <c r="AR112" s="3142"/>
      <c r="AS112" s="3142"/>
      <c r="AT112" s="3142"/>
      <c r="AU112" s="3142"/>
      <c r="AV112" s="3142"/>
      <c r="AW112" s="3142"/>
      <c r="AX112" s="3142"/>
      <c r="AY112" s="3142"/>
      <c r="AZ112" s="3142"/>
      <c r="BA112" s="2458"/>
      <c r="BB112" s="2458"/>
      <c r="BC112" s="1396"/>
      <c r="BG112" s="3023"/>
      <c r="BH112" s="3048"/>
      <c r="BI112" s="3024"/>
      <c r="BJ112" s="3133">
        <f t="shared" si="50"/>
        <v>5.6593799999999996</v>
      </c>
      <c r="BK112" s="5564" t="s">
        <v>1564</v>
      </c>
      <c r="BL112" s="5565"/>
      <c r="BM112" s="5565"/>
      <c r="BN112" s="3032">
        <f>SUM(BX52)</f>
        <v>5.6593930635838143</v>
      </c>
      <c r="BO112" s="3031">
        <v>5.468</v>
      </c>
      <c r="BP112" s="3031">
        <f>SUM(BO112)</f>
        <v>5.468</v>
      </c>
      <c r="BQ112" s="3031">
        <f>SUM(BO112)</f>
        <v>5.468</v>
      </c>
      <c r="BR112" s="3032">
        <f>SUM(BO112:BQ112)/3</f>
        <v>5.468</v>
      </c>
      <c r="BS112" s="3031">
        <f>SUM(BO112)</f>
        <v>5.468</v>
      </c>
      <c r="BT112" s="3031">
        <f>SUM(BO112)</f>
        <v>5.468</v>
      </c>
      <c r="BU112" s="3031">
        <f>SUM(BO112)</f>
        <v>5.468</v>
      </c>
      <c r="BV112" s="3032">
        <f>SUM(BS112:BU112)/3</f>
        <v>5.468</v>
      </c>
      <c r="BW112" s="3032">
        <f>SUM(BO112+BP112+BQ112+BS112+BT112+BU112)/6</f>
        <v>5.468</v>
      </c>
      <c r="BX112" s="3031">
        <f>SUM(BU112*1.07)</f>
        <v>5.8507600000000002</v>
      </c>
      <c r="BY112" s="3031">
        <f>SUM(BX112)</f>
        <v>5.8507600000000002</v>
      </c>
      <c r="BZ112" s="3031">
        <f>SUM(BX112)</f>
        <v>5.8507600000000002</v>
      </c>
      <c r="CA112" s="3032">
        <f>SUM(BX112:BZ112)/3</f>
        <v>5.8507600000000002</v>
      </c>
      <c r="CB112" s="3032">
        <f>SUM(BO112+BP112+BQ112+BS112+BT112+BU112+BX112+BY112+BZ112)/9</f>
        <v>5.5955866666666667</v>
      </c>
      <c r="CC112" s="3031">
        <f>SUM(BX112)</f>
        <v>5.8507600000000002</v>
      </c>
      <c r="CD112" s="4050"/>
      <c r="CE112" s="4050"/>
      <c r="CF112" s="4050"/>
      <c r="CG112" s="4050"/>
      <c r="CH112" s="4050"/>
      <c r="CI112" s="4050"/>
      <c r="CJ112" s="4050"/>
      <c r="CK112" s="4050"/>
      <c r="CL112" s="4050"/>
      <c r="CM112" s="3031">
        <f>SUM(BX112)</f>
        <v>5.8507600000000002</v>
      </c>
      <c r="CN112" s="3031">
        <f>SUM(BX112)</f>
        <v>5.8507600000000002</v>
      </c>
      <c r="CO112" s="3033">
        <f>SUM(CC112:CN112)/3</f>
        <v>5.8507600000000002</v>
      </c>
      <c r="CP112" s="2457">
        <f>SUM(BO112+BP112+BQ112+BS112+BT112+BU112+BX112+BY112+BZ112+CC112+CM112+CN112)/12</f>
        <v>5.6593799999999996</v>
      </c>
      <c r="CQ112" s="2458">
        <f>SUM(BR112+BV112+CA112+CO112)/4</f>
        <v>5.6593800000000005</v>
      </c>
    </row>
    <row r="113" spans="1:96" ht="18.75" hidden="1">
      <c r="A113" s="3047"/>
      <c r="B113" s="3138"/>
      <c r="C113" s="3138"/>
      <c r="D113" s="3138"/>
      <c r="E113" s="3138"/>
      <c r="F113" s="3138"/>
      <c r="G113" s="3138"/>
      <c r="H113" s="3138"/>
      <c r="I113" s="3138"/>
      <c r="J113" s="3138"/>
      <c r="K113" s="3138"/>
      <c r="L113" s="3138"/>
      <c r="M113" s="3138"/>
      <c r="N113" s="3138"/>
      <c r="O113" s="3138"/>
      <c r="P113" s="3138"/>
      <c r="Q113" s="3138"/>
      <c r="R113" s="3138"/>
      <c r="S113" s="3138"/>
      <c r="T113" s="3138"/>
      <c r="U113" s="3138"/>
      <c r="V113" s="3138"/>
      <c r="W113" s="3138"/>
      <c r="X113" s="3138"/>
      <c r="Y113" s="3138"/>
      <c r="Z113" s="3138"/>
      <c r="AA113" s="3138"/>
      <c r="AB113" s="3138"/>
      <c r="AC113" s="3138"/>
      <c r="AD113" s="3138"/>
      <c r="AE113" s="3138"/>
      <c r="AF113" s="3138"/>
      <c r="AG113" s="3138"/>
      <c r="AH113" s="3140"/>
      <c r="AI113" s="3140"/>
      <c r="AJ113" s="3140"/>
      <c r="AK113" s="3140"/>
      <c r="AL113" s="3140"/>
      <c r="AM113" s="3140"/>
      <c r="AN113" s="3140"/>
      <c r="AO113" s="3140"/>
      <c r="AP113" s="3140"/>
      <c r="AQ113" s="3140"/>
      <c r="AR113" s="3140"/>
      <c r="AS113" s="3140"/>
      <c r="AT113" s="3140"/>
      <c r="AU113" s="3140"/>
      <c r="AV113" s="3140"/>
      <c r="AW113" s="3140"/>
      <c r="AX113" s="3140"/>
      <c r="AY113" s="3140"/>
      <c r="AZ113" s="3140"/>
      <c r="BA113" s="2456"/>
      <c r="BB113" s="2456"/>
      <c r="BC113" s="1396"/>
      <c r="BG113" s="3023"/>
      <c r="BH113" s="3047"/>
      <c r="BI113" s="3024"/>
      <c r="BJ113" s="3133">
        <f t="shared" si="50"/>
        <v>1566.516384</v>
      </c>
      <c r="BK113" s="5566" t="s">
        <v>1565</v>
      </c>
      <c r="BL113" s="5565"/>
      <c r="BM113" s="5565"/>
      <c r="BN113" s="3035">
        <f>SUM(BN111*BN112)</f>
        <v>1566.52</v>
      </c>
      <c r="BO113" s="3034">
        <f t="shared" ref="BO113:CP113" si="58">SUM(BO111*BO112)</f>
        <v>126.12853333333334</v>
      </c>
      <c r="BP113" s="3034">
        <f t="shared" si="58"/>
        <v>126.12853333333334</v>
      </c>
      <c r="BQ113" s="3034">
        <f t="shared" si="58"/>
        <v>126.12853333333334</v>
      </c>
      <c r="BR113" s="3035">
        <f t="shared" si="58"/>
        <v>378.38560000000001</v>
      </c>
      <c r="BS113" s="3034">
        <f t="shared" si="58"/>
        <v>126.12853333333334</v>
      </c>
      <c r="BT113" s="3034">
        <f t="shared" si="58"/>
        <v>126.12853333333334</v>
      </c>
      <c r="BU113" s="3034">
        <f t="shared" si="58"/>
        <v>126.12853333333334</v>
      </c>
      <c r="BV113" s="3035">
        <f t="shared" si="58"/>
        <v>378.38560000000001</v>
      </c>
      <c r="BW113" s="3035">
        <f t="shared" si="58"/>
        <v>756.77120000000002</v>
      </c>
      <c r="BX113" s="3034">
        <f t="shared" si="58"/>
        <v>134.95753066666666</v>
      </c>
      <c r="BY113" s="3034">
        <f t="shared" si="58"/>
        <v>134.95753066666666</v>
      </c>
      <c r="BZ113" s="3034">
        <f t="shared" si="58"/>
        <v>134.95753066666666</v>
      </c>
      <c r="CA113" s="3035">
        <f t="shared" si="58"/>
        <v>404.87259200000005</v>
      </c>
      <c r="CB113" s="3035">
        <f t="shared" si="58"/>
        <v>1161.6437920000001</v>
      </c>
      <c r="CC113" s="3034">
        <f t="shared" si="58"/>
        <v>134.95753066666666</v>
      </c>
      <c r="CD113" s="4051"/>
      <c r="CE113" s="4051"/>
      <c r="CF113" s="4051"/>
      <c r="CG113" s="4051"/>
      <c r="CH113" s="4051"/>
      <c r="CI113" s="4051"/>
      <c r="CJ113" s="4051"/>
      <c r="CK113" s="4051"/>
      <c r="CL113" s="4051"/>
      <c r="CM113" s="3034">
        <f t="shared" si="58"/>
        <v>134.95753066666666</v>
      </c>
      <c r="CN113" s="3034">
        <f t="shared" si="58"/>
        <v>134.95753066666666</v>
      </c>
      <c r="CO113" s="3036">
        <f t="shared" si="58"/>
        <v>404.87259200000005</v>
      </c>
      <c r="CP113" s="2455">
        <f t="shared" si="58"/>
        <v>1566.516384</v>
      </c>
      <c r="CQ113" s="2456">
        <f>SUM(BR113+BV113+CA113+CO113)</f>
        <v>1566.516384</v>
      </c>
    </row>
    <row r="114" spans="1:96" ht="18.75" hidden="1">
      <c r="A114" s="3047"/>
      <c r="B114" s="3138"/>
      <c r="C114" s="3138"/>
      <c r="D114" s="3138"/>
      <c r="E114" s="3138"/>
      <c r="F114" s="3138"/>
      <c r="G114" s="3138"/>
      <c r="H114" s="3138"/>
      <c r="I114" s="3138"/>
      <c r="J114" s="3138"/>
      <c r="K114" s="3138"/>
      <c r="L114" s="3138"/>
      <c r="M114" s="3138"/>
      <c r="N114" s="3138"/>
      <c r="O114" s="3138"/>
      <c r="P114" s="3138"/>
      <c r="Q114" s="3138"/>
      <c r="R114" s="3138"/>
      <c r="S114" s="3138"/>
      <c r="T114" s="3138"/>
      <c r="U114" s="3138"/>
      <c r="V114" s="3138"/>
      <c r="W114" s="3138"/>
      <c r="X114" s="3138"/>
      <c r="Y114" s="3138"/>
      <c r="Z114" s="3138"/>
      <c r="AA114" s="3138"/>
      <c r="AB114" s="3138"/>
      <c r="AC114" s="3138"/>
      <c r="AD114" s="3138"/>
      <c r="AE114" s="3138"/>
      <c r="AF114" s="3138"/>
      <c r="AG114" s="3138"/>
      <c r="AH114" s="3140"/>
      <c r="AI114" s="3142"/>
      <c r="AJ114" s="3142"/>
      <c r="AK114" s="3142"/>
      <c r="AL114" s="3142"/>
      <c r="AM114" s="3142"/>
      <c r="AN114" s="3142"/>
      <c r="AO114" s="3142"/>
      <c r="AP114" s="3142"/>
      <c r="AQ114" s="3142"/>
      <c r="AR114" s="3142"/>
      <c r="AS114" s="3142"/>
      <c r="AT114" s="3142"/>
      <c r="AU114" s="3142"/>
      <c r="AV114" s="3142"/>
      <c r="AW114" s="3142"/>
      <c r="AX114" s="3142"/>
      <c r="AY114" s="3142"/>
      <c r="AZ114" s="3142"/>
      <c r="BA114" s="3137"/>
      <c r="BB114" s="3137"/>
      <c r="BC114" s="1396"/>
      <c r="BG114" s="3023"/>
      <c r="BH114" s="3047"/>
      <c r="BI114" s="3024"/>
      <c r="BJ114" s="3133">
        <f t="shared" si="50"/>
        <v>0</v>
      </c>
      <c r="BK114" s="5567" t="s">
        <v>1577</v>
      </c>
      <c r="BL114" s="5565"/>
      <c r="BM114" s="5565"/>
      <c r="BN114" s="3032">
        <f>SUM(BZ61)</f>
        <v>8.3986952893878489E-2</v>
      </c>
      <c r="BO114" s="3032">
        <f>SUM(BN114)</f>
        <v>8.3986952893878489E-2</v>
      </c>
      <c r="BP114" s="3032">
        <f>SUM(BN114)</f>
        <v>8.3986952893878489E-2</v>
      </c>
      <c r="BQ114" s="3032">
        <f>SUM(BN114)</f>
        <v>8.3986952893878489E-2</v>
      </c>
      <c r="BR114" s="3032">
        <f>SUM(BN114)</f>
        <v>8.3986952893878489E-2</v>
      </c>
      <c r="BS114" s="3032">
        <f>SUM(BN114)</f>
        <v>8.3986952893878489E-2</v>
      </c>
      <c r="BT114" s="3032">
        <f>SUM(BN114)</f>
        <v>8.3986952893878489E-2</v>
      </c>
      <c r="BU114" s="3032">
        <f>SUM(BN114)</f>
        <v>8.3986952893878489E-2</v>
      </c>
      <c r="BV114" s="3032">
        <f>SUM(BN114)</f>
        <v>8.3986952893878489E-2</v>
      </c>
      <c r="BW114" s="3032">
        <f>SUM(BN114)</f>
        <v>8.3986952893878489E-2</v>
      </c>
      <c r="BX114" s="3032">
        <f>SUM(BN114)</f>
        <v>8.3986952893878489E-2</v>
      </c>
      <c r="BY114" s="3032">
        <f>SUM(BN114)</f>
        <v>8.3986952893878489E-2</v>
      </c>
      <c r="BZ114" s="3032">
        <f>SUM(BN114)</f>
        <v>8.3986952893878489E-2</v>
      </c>
      <c r="CA114" s="3032">
        <f>SUM(BN114)</f>
        <v>8.3986952893878489E-2</v>
      </c>
      <c r="CB114" s="3032">
        <f>SUM(BN114)</f>
        <v>8.3986952893878489E-2</v>
      </c>
      <c r="CC114" s="3032">
        <f>SUM(BN114)</f>
        <v>8.3986952893878489E-2</v>
      </c>
      <c r="CD114" s="4052"/>
      <c r="CE114" s="4052"/>
      <c r="CF114" s="4052"/>
      <c r="CG114" s="4052"/>
      <c r="CH114" s="4052"/>
      <c r="CI114" s="4052"/>
      <c r="CJ114" s="4052"/>
      <c r="CK114" s="4052"/>
      <c r="CL114" s="4052"/>
      <c r="CM114" s="3032">
        <f>SUM(BN114)</f>
        <v>8.3986952893878489E-2</v>
      </c>
      <c r="CN114" s="3032">
        <f>SUM(BN114)</f>
        <v>8.3986952893878489E-2</v>
      </c>
      <c r="CO114" s="3033">
        <f>SUM(BN114)</f>
        <v>8.3986952893878489E-2</v>
      </c>
      <c r="CP114" s="127"/>
      <c r="CQ114" s="127"/>
    </row>
    <row r="115" spans="1:96" ht="18.75" hidden="1">
      <c r="A115" s="3047"/>
      <c r="B115" s="3138"/>
      <c r="C115" s="3138"/>
      <c r="D115" s="3138"/>
      <c r="E115" s="3138"/>
      <c r="F115" s="3138"/>
      <c r="G115" s="3138"/>
      <c r="H115" s="3138"/>
      <c r="I115" s="3138"/>
      <c r="J115" s="3138"/>
      <c r="K115" s="3138"/>
      <c r="L115" s="3138"/>
      <c r="M115" s="3138"/>
      <c r="N115" s="3138"/>
      <c r="O115" s="3138"/>
      <c r="P115" s="3138"/>
      <c r="Q115" s="3138"/>
      <c r="R115" s="3138"/>
      <c r="S115" s="3138"/>
      <c r="T115" s="3138"/>
      <c r="U115" s="3138"/>
      <c r="V115" s="3138"/>
      <c r="W115" s="3138"/>
      <c r="X115" s="3138"/>
      <c r="Y115" s="3138"/>
      <c r="Z115" s="3138"/>
      <c r="AA115" s="3138"/>
      <c r="AB115" s="3138"/>
      <c r="AC115" s="3138"/>
      <c r="AD115" s="3138"/>
      <c r="AE115" s="3138"/>
      <c r="AF115" s="3138"/>
      <c r="AG115" s="3138"/>
      <c r="AH115" s="3140"/>
      <c r="AI115" s="3140"/>
      <c r="AJ115" s="3140"/>
      <c r="AK115" s="3140"/>
      <c r="AL115" s="3140"/>
      <c r="AM115" s="3140"/>
      <c r="AN115" s="3140"/>
      <c r="AO115" s="3140"/>
      <c r="AP115" s="3140"/>
      <c r="AQ115" s="3140"/>
      <c r="AR115" s="3140"/>
      <c r="AS115" s="3140"/>
      <c r="AT115" s="3140"/>
      <c r="AU115" s="3140"/>
      <c r="AV115" s="3140"/>
      <c r="AW115" s="3140"/>
      <c r="AX115" s="3140"/>
      <c r="AY115" s="3140"/>
      <c r="AZ115" s="3140"/>
      <c r="BA115" s="2456"/>
      <c r="BB115" s="2456"/>
      <c r="BC115" s="1396"/>
      <c r="BG115" s="3023"/>
      <c r="BH115" s="3047"/>
      <c r="BI115" s="3024"/>
      <c r="BJ115" s="3133">
        <f t="shared" si="50"/>
        <v>272.86773086550863</v>
      </c>
      <c r="BK115" s="5567" t="s">
        <v>1576</v>
      </c>
      <c r="BL115" s="5565"/>
      <c r="BM115" s="5565"/>
      <c r="BN115" s="3035">
        <f>SUM(BN114*BN118)</f>
        <v>272.86773086550863</v>
      </c>
      <c r="BO115" s="3035">
        <f t="shared" ref="BO115:CO115" si="59">SUM(BO114*BO118)</f>
        <v>23.326746264128047</v>
      </c>
      <c r="BP115" s="3035">
        <f t="shared" si="59"/>
        <v>23.191107335204432</v>
      </c>
      <c r="BQ115" s="3035">
        <f t="shared" si="59"/>
        <v>23.191107335204432</v>
      </c>
      <c r="BR115" s="3035">
        <f t="shared" si="59"/>
        <v>69.708960934536904</v>
      </c>
      <c r="BS115" s="3035">
        <f t="shared" si="59"/>
        <v>23.055468406280813</v>
      </c>
      <c r="BT115" s="3035">
        <f t="shared" si="59"/>
        <v>21.834718045968291</v>
      </c>
      <c r="BU115" s="3035">
        <f t="shared" si="59"/>
        <v>21.834718045968291</v>
      </c>
      <c r="BV115" s="3035">
        <f t="shared" si="59"/>
        <v>66.724904498217398</v>
      </c>
      <c r="BW115" s="3035">
        <f t="shared" si="59"/>
        <v>136.43386543275429</v>
      </c>
      <c r="BX115" s="3035">
        <f t="shared" si="59"/>
        <v>21.834718045968291</v>
      </c>
      <c r="BY115" s="3035">
        <f t="shared" si="59"/>
        <v>21.834718045968291</v>
      </c>
      <c r="BZ115" s="3035">
        <f t="shared" si="59"/>
        <v>23.055468406280813</v>
      </c>
      <c r="CA115" s="3035">
        <f t="shared" si="59"/>
        <v>66.724904498217398</v>
      </c>
      <c r="CB115" s="3035">
        <f t="shared" si="59"/>
        <v>203.15876993097169</v>
      </c>
      <c r="CC115" s="3035">
        <f t="shared" si="59"/>
        <v>23.191107335204432</v>
      </c>
      <c r="CD115" s="4053"/>
      <c r="CE115" s="4053"/>
      <c r="CF115" s="4053"/>
      <c r="CG115" s="4053"/>
      <c r="CH115" s="4053"/>
      <c r="CI115" s="4053"/>
      <c r="CJ115" s="4053"/>
      <c r="CK115" s="4053"/>
      <c r="CL115" s="4053"/>
      <c r="CM115" s="3035">
        <f t="shared" si="59"/>
        <v>23.191107335204432</v>
      </c>
      <c r="CN115" s="3035">
        <f t="shared" si="59"/>
        <v>23.326746264128047</v>
      </c>
      <c r="CO115" s="3036">
        <f t="shared" si="59"/>
        <v>69.708960934536904</v>
      </c>
      <c r="CP115" s="2455">
        <f>SUM(BO115+BP115+BQ115+BS115+BT115+BU115+BX115+BY115+BZ115+CC115+CM115+CN115)</f>
        <v>272.86773086550863</v>
      </c>
      <c r="CQ115" s="2456">
        <f>SUM(BR115+BV115+CA115+CO115)</f>
        <v>272.86773086550863</v>
      </c>
    </row>
    <row r="116" spans="1:96" ht="18.75" hidden="1">
      <c r="A116" s="3047"/>
      <c r="B116" s="3138"/>
      <c r="C116" s="3138"/>
      <c r="D116" s="3138"/>
      <c r="E116" s="3138"/>
      <c r="F116" s="3138"/>
      <c r="G116" s="3138"/>
      <c r="H116" s="3138"/>
      <c r="I116" s="3138"/>
      <c r="J116" s="3138"/>
      <c r="K116" s="3138"/>
      <c r="L116" s="3138"/>
      <c r="M116" s="3138"/>
      <c r="N116" s="3138"/>
      <c r="O116" s="3138"/>
      <c r="P116" s="3138"/>
      <c r="Q116" s="3138"/>
      <c r="R116" s="3138"/>
      <c r="S116" s="3138"/>
      <c r="T116" s="3138"/>
      <c r="U116" s="3138"/>
      <c r="V116" s="3138"/>
      <c r="W116" s="3138"/>
      <c r="X116" s="3138"/>
      <c r="Y116" s="3138"/>
      <c r="Z116" s="3138"/>
      <c r="AA116" s="3138"/>
      <c r="AB116" s="3138"/>
      <c r="AC116" s="3138"/>
      <c r="AD116" s="3138"/>
      <c r="AE116" s="3138"/>
      <c r="AF116" s="3138"/>
      <c r="AG116" s="3138"/>
      <c r="AH116" s="3142"/>
      <c r="AI116" s="3142"/>
      <c r="AJ116" s="3142"/>
      <c r="AK116" s="3142"/>
      <c r="AL116" s="3142"/>
      <c r="AM116" s="3142"/>
      <c r="AN116" s="3142"/>
      <c r="AO116" s="3142"/>
      <c r="AP116" s="3142"/>
      <c r="AQ116" s="3142"/>
      <c r="AR116" s="3142"/>
      <c r="AS116" s="3142"/>
      <c r="AT116" s="3142"/>
      <c r="AU116" s="3142"/>
      <c r="AV116" s="3142"/>
      <c r="AW116" s="3142"/>
      <c r="AX116" s="3142"/>
      <c r="AY116" s="3142"/>
      <c r="AZ116" s="3142"/>
      <c r="BA116" s="2458"/>
      <c r="BB116" s="3136"/>
      <c r="BC116" s="5591"/>
      <c r="BG116" s="3023"/>
      <c r="BH116" s="3047"/>
      <c r="BI116" s="3024"/>
      <c r="BJ116" s="3133">
        <f t="shared" si="50"/>
        <v>5.6602389079720004</v>
      </c>
      <c r="BK116" s="5567" t="s">
        <v>1564</v>
      </c>
      <c r="BL116" s="5565"/>
      <c r="BM116" s="5565"/>
      <c r="BN116" s="3032">
        <f>SUM(BX52)</f>
        <v>5.6593930635838143</v>
      </c>
      <c r="BO116" s="3032">
        <f>SUM(BO112*CQ116)</f>
        <v>5.4697178159439996</v>
      </c>
      <c r="BP116" s="3032">
        <f>SUM(BO116)</f>
        <v>5.4697178159439996</v>
      </c>
      <c r="BQ116" s="3032">
        <f>SUM(BO116)</f>
        <v>5.4697178159439996</v>
      </c>
      <c r="BR116" s="3032">
        <f>SUM(BO116:BQ116)/3</f>
        <v>5.4697178159439988</v>
      </c>
      <c r="BS116" s="3032">
        <f>SUM(BO116)</f>
        <v>5.4697178159439996</v>
      </c>
      <c r="BT116" s="3032">
        <f>SUM(BO116)</f>
        <v>5.4697178159439996</v>
      </c>
      <c r="BU116" s="3032">
        <f>SUM(BO116)</f>
        <v>5.4697178159439996</v>
      </c>
      <c r="BV116" s="3032">
        <f>SUM(BS116:BU116)/3</f>
        <v>5.4697178159439988</v>
      </c>
      <c r="BW116" s="3032">
        <f>SUM(BO116+BP116+BQ116+BS116+BT116+BU116)/6</f>
        <v>5.4697178159440005</v>
      </c>
      <c r="BX116" s="3032">
        <f>SUM(BX112)</f>
        <v>5.8507600000000002</v>
      </c>
      <c r="BY116" s="3032">
        <f>SUM(BX116)</f>
        <v>5.8507600000000002</v>
      </c>
      <c r="BZ116" s="3032">
        <f>SUM(BX116)</f>
        <v>5.8507600000000002</v>
      </c>
      <c r="CA116" s="3032">
        <f>SUM(BX116:BZ116)/3</f>
        <v>5.8507600000000002</v>
      </c>
      <c r="CB116" s="3032">
        <f>SUM(BO116+BP116+BQ116+BS116+BT116+BU116+BX116+BY116+BZ116)/9</f>
        <v>5.5967318772960004</v>
      </c>
      <c r="CC116" s="3032">
        <f>SUM(BX116)</f>
        <v>5.8507600000000002</v>
      </c>
      <c r="CD116" s="4052"/>
      <c r="CE116" s="4052"/>
      <c r="CF116" s="4052"/>
      <c r="CG116" s="4052"/>
      <c r="CH116" s="4052"/>
      <c r="CI116" s="4052"/>
      <c r="CJ116" s="4052"/>
      <c r="CK116" s="4052"/>
      <c r="CL116" s="4052"/>
      <c r="CM116" s="3032">
        <f>SUM(BX116)</f>
        <v>5.8507600000000002</v>
      </c>
      <c r="CN116" s="3032">
        <f>SUM(BX116)</f>
        <v>5.8507600000000002</v>
      </c>
      <c r="CO116" s="3033">
        <f>SUM(CC116:CN116)/3</f>
        <v>5.8507600000000002</v>
      </c>
      <c r="CP116" s="2457">
        <f>SUM(BO116+BP116+BQ116+BS116+BT116+BU116+BX116+BY116+BZ116+CC116+CM116+CN116)/12</f>
        <v>5.6602389079720004</v>
      </c>
      <c r="CQ116" s="2464">
        <v>1.0003141579999999</v>
      </c>
      <c r="CR116" s="5582" t="s">
        <v>1585</v>
      </c>
    </row>
    <row r="117" spans="1:96" ht="18.75" hidden="1">
      <c r="A117" s="3047"/>
      <c r="B117" s="3138"/>
      <c r="C117" s="3138"/>
      <c r="D117" s="3138"/>
      <c r="E117" s="3138"/>
      <c r="F117" s="3138"/>
      <c r="G117" s="3138"/>
      <c r="H117" s="3138"/>
      <c r="I117" s="3138"/>
      <c r="J117" s="3138"/>
      <c r="K117" s="3138"/>
      <c r="L117" s="3138"/>
      <c r="M117" s="3138"/>
      <c r="N117" s="3138"/>
      <c r="O117" s="3138"/>
      <c r="P117" s="3138"/>
      <c r="Q117" s="3138"/>
      <c r="R117" s="3138"/>
      <c r="S117" s="3138"/>
      <c r="T117" s="3138"/>
      <c r="U117" s="3138"/>
      <c r="V117" s="3138"/>
      <c r="W117" s="3138"/>
      <c r="X117" s="3138"/>
      <c r="Y117" s="3138"/>
      <c r="Z117" s="3138"/>
      <c r="AA117" s="3138"/>
      <c r="AB117" s="3138"/>
      <c r="AC117" s="3138"/>
      <c r="AD117" s="3138"/>
      <c r="AE117" s="3138"/>
      <c r="AF117" s="3138"/>
      <c r="AG117" s="3138"/>
      <c r="AH117" s="3140"/>
      <c r="AI117" s="3140"/>
      <c r="AJ117" s="3140"/>
      <c r="AK117" s="3140"/>
      <c r="AL117" s="3140"/>
      <c r="AM117" s="3140"/>
      <c r="AN117" s="3140"/>
      <c r="AO117" s="3140"/>
      <c r="AP117" s="3140"/>
      <c r="AQ117" s="3140"/>
      <c r="AR117" s="3140"/>
      <c r="AS117" s="3140"/>
      <c r="AT117" s="3140"/>
      <c r="AU117" s="3140"/>
      <c r="AV117" s="3140"/>
      <c r="AW117" s="3140"/>
      <c r="AX117" s="3140"/>
      <c r="AY117" s="3140"/>
      <c r="AZ117" s="3140"/>
      <c r="BA117" s="2456"/>
      <c r="BB117" s="3136"/>
      <c r="BC117" s="5591"/>
      <c r="BG117" s="3023"/>
      <c r="BH117" s="3047"/>
      <c r="BI117" s="3024"/>
      <c r="BJ117" s="3133">
        <f t="shared" si="50"/>
        <v>1544.4965469749843</v>
      </c>
      <c r="BK117" s="5567" t="s">
        <v>1567</v>
      </c>
      <c r="BL117" s="5565"/>
      <c r="BM117" s="5565"/>
      <c r="BN117" s="3035">
        <f>SUM(BN115*BN116)</f>
        <v>1544.2657433361146</v>
      </c>
      <c r="BO117" s="3035">
        <f t="shared" ref="BO117:CO117" si="60">SUM(BO115*BO116)</f>
        <v>127.59071962890631</v>
      </c>
      <c r="BP117" s="3035">
        <f t="shared" si="60"/>
        <v>126.84881296283726</v>
      </c>
      <c r="BQ117" s="3035">
        <f t="shared" si="60"/>
        <v>126.84881296283726</v>
      </c>
      <c r="BR117" s="3035">
        <f t="shared" si="60"/>
        <v>381.2883455545807</v>
      </c>
      <c r="BS117" s="3035">
        <f t="shared" si="60"/>
        <v>126.10690629676817</v>
      </c>
      <c r="BT117" s="3035">
        <f t="shared" si="60"/>
        <v>119.42974630214671</v>
      </c>
      <c r="BU117" s="3035">
        <f t="shared" si="60"/>
        <v>119.42974630214671</v>
      </c>
      <c r="BV117" s="3035">
        <f t="shared" si="60"/>
        <v>364.96639890106155</v>
      </c>
      <c r="BW117" s="3035">
        <f t="shared" si="60"/>
        <v>746.25474445564248</v>
      </c>
      <c r="BX117" s="3035">
        <f t="shared" si="60"/>
        <v>127.74969495462945</v>
      </c>
      <c r="BY117" s="3035">
        <f t="shared" si="60"/>
        <v>127.74969495462945</v>
      </c>
      <c r="BZ117" s="3035">
        <f t="shared" si="60"/>
        <v>134.89201233273153</v>
      </c>
      <c r="CA117" s="3035">
        <f t="shared" si="60"/>
        <v>390.39140224199042</v>
      </c>
      <c r="CB117" s="3035">
        <f t="shared" si="60"/>
        <v>1137.0251638249133</v>
      </c>
      <c r="CC117" s="3035">
        <f t="shared" si="60"/>
        <v>135.68560315252068</v>
      </c>
      <c r="CD117" s="4053"/>
      <c r="CE117" s="4053"/>
      <c r="CF117" s="4053"/>
      <c r="CG117" s="4053"/>
      <c r="CH117" s="4053"/>
      <c r="CI117" s="4053"/>
      <c r="CJ117" s="4053"/>
      <c r="CK117" s="4053"/>
      <c r="CL117" s="4053"/>
      <c r="CM117" s="3035">
        <f t="shared" si="60"/>
        <v>135.68560315252068</v>
      </c>
      <c r="CN117" s="3035">
        <f t="shared" si="60"/>
        <v>136.47919397230982</v>
      </c>
      <c r="CO117" s="3036">
        <f t="shared" si="60"/>
        <v>407.85040027735113</v>
      </c>
      <c r="CP117" s="2455">
        <f>SUM(BO117+BP117+BQ117+BS117+BT117+BU117+BX117+BY117+BZ117+CC117+CM117+CN117)</f>
        <v>1544.4965469749843</v>
      </c>
      <c r="CQ117" s="2464">
        <f>SUM(BN117/CP117)</f>
        <v>0.99985056383627291</v>
      </c>
      <c r="CR117" s="5582"/>
    </row>
    <row r="118" spans="1:96" ht="18.75" hidden="1">
      <c r="A118" s="3047"/>
      <c r="B118" s="3138"/>
      <c r="C118" s="3138"/>
      <c r="D118" s="3138"/>
      <c r="E118" s="3138"/>
      <c r="F118" s="3138"/>
      <c r="G118" s="3138"/>
      <c r="H118" s="3138"/>
      <c r="I118" s="3138"/>
      <c r="J118" s="3138"/>
      <c r="K118" s="3138"/>
      <c r="L118" s="3138"/>
      <c r="M118" s="3138"/>
      <c r="N118" s="3138"/>
      <c r="O118" s="3138"/>
      <c r="P118" s="3138"/>
      <c r="Q118" s="3138"/>
      <c r="R118" s="3138"/>
      <c r="S118" s="3138"/>
      <c r="T118" s="3138"/>
      <c r="U118" s="3138"/>
      <c r="V118" s="3138"/>
      <c r="W118" s="3138"/>
      <c r="X118" s="3138"/>
      <c r="Y118" s="3138"/>
      <c r="Z118" s="3138"/>
      <c r="AA118" s="3138"/>
      <c r="AB118" s="3138"/>
      <c r="AC118" s="3138"/>
      <c r="AD118" s="3138"/>
      <c r="AE118" s="3138"/>
      <c r="AF118" s="3138"/>
      <c r="AG118" s="3138"/>
      <c r="AH118" s="3140"/>
      <c r="AI118" s="3140"/>
      <c r="AJ118" s="3140"/>
      <c r="AK118" s="3140"/>
      <c r="AL118" s="3140"/>
      <c r="AM118" s="3140"/>
      <c r="AN118" s="3140"/>
      <c r="AO118" s="3140"/>
      <c r="AP118" s="3140"/>
      <c r="AQ118" s="3140"/>
      <c r="AR118" s="3140"/>
      <c r="AS118" s="3140"/>
      <c r="AT118" s="3140"/>
      <c r="AU118" s="3140"/>
      <c r="AV118" s="3140"/>
      <c r="AW118" s="3140"/>
      <c r="AX118" s="3140"/>
      <c r="AY118" s="3140"/>
      <c r="AZ118" s="3140"/>
      <c r="BA118" s="2456"/>
      <c r="BB118" s="2456"/>
      <c r="BC118" s="1396"/>
      <c r="BG118" s="3023"/>
      <c r="BH118" s="3047"/>
      <c r="BI118" s="3024"/>
      <c r="BJ118" s="3133">
        <f t="shared" si="50"/>
        <v>3248.9299999999994</v>
      </c>
      <c r="BK118" s="5567" t="s">
        <v>1587</v>
      </c>
      <c r="BL118" s="5565"/>
      <c r="BM118" s="5565"/>
      <c r="BN118" s="3035">
        <f>SUM('Произв. прогр. Стоки'!B13)</f>
        <v>3248.93</v>
      </c>
      <c r="BO118" s="3035">
        <f>SUM('Произв. прогр. Стоки'!E13)</f>
        <v>277.74250000000001</v>
      </c>
      <c r="BP118" s="3035">
        <f>SUM('Произв. прогр. Стоки'!F13)</f>
        <v>276.1275</v>
      </c>
      <c r="BQ118" s="3035">
        <f>SUM('Произв. прогр. Стоки'!G13)</f>
        <v>276.1275</v>
      </c>
      <c r="BR118" s="3035">
        <f>SUM(BO118:BQ118)</f>
        <v>829.99749999999995</v>
      </c>
      <c r="BS118" s="3035">
        <f>SUM('Произв. прогр. Стоки'!I13)</f>
        <v>274.51249999999993</v>
      </c>
      <c r="BT118" s="3035">
        <f>SUM('Произв. прогр. Стоки'!J13)</f>
        <v>259.97749999999996</v>
      </c>
      <c r="BU118" s="3035">
        <f>SUM('Произв. прогр. Стоки'!K13)</f>
        <v>259.97749999999996</v>
      </c>
      <c r="BV118" s="3035">
        <f>SUM(BS118:BU118)</f>
        <v>794.46749999999986</v>
      </c>
      <c r="BW118" s="3035">
        <f>SUM(BR118+BV118)</f>
        <v>1624.4649999999997</v>
      </c>
      <c r="BX118" s="3035">
        <f>SUM('Произв. прогр. Стоки'!N13)</f>
        <v>259.97749999999996</v>
      </c>
      <c r="BY118" s="3035">
        <f>SUM('Произв. прогр. Стоки'!O13)</f>
        <v>259.97749999999996</v>
      </c>
      <c r="BZ118" s="3035">
        <f>SUM('Произв. прогр. Стоки'!P13)</f>
        <v>274.51249999999993</v>
      </c>
      <c r="CA118" s="3035">
        <f>SUM(BX118:BZ118)</f>
        <v>794.46749999999986</v>
      </c>
      <c r="CB118" s="3035">
        <f>SUM(BW118+CA118)</f>
        <v>2418.9324999999994</v>
      </c>
      <c r="CC118" s="3035">
        <f>SUM('Произв. прогр. Стоки'!S13)</f>
        <v>276.1275</v>
      </c>
      <c r="CD118" s="4053"/>
      <c r="CE118" s="4053"/>
      <c r="CF118" s="4053"/>
      <c r="CG118" s="4053"/>
      <c r="CH118" s="4053"/>
      <c r="CI118" s="4053"/>
      <c r="CJ118" s="4053"/>
      <c r="CK118" s="4053"/>
      <c r="CL118" s="4053"/>
      <c r="CM118" s="3035">
        <f>SUM('Произв. прогр. Стоки'!T13)</f>
        <v>276.1275</v>
      </c>
      <c r="CN118" s="3035">
        <f>SUM('Произв. прогр. Стоки'!U13)</f>
        <v>277.74250000000001</v>
      </c>
      <c r="CO118" s="3036">
        <f>SUM(CC118:CN118)</f>
        <v>829.99749999999995</v>
      </c>
      <c r="CP118" s="2455">
        <f>SUM(BO118+BP118+BQ118+BS118+BT118+BU118+BX118+BY118+BZ118+CC118+CM118+CN118)</f>
        <v>3248.9299999999994</v>
      </c>
      <c r="CQ118" s="2456">
        <f>SUM(BR118+BV118+CA118+CO118)</f>
        <v>3248.9299999999994</v>
      </c>
    </row>
    <row r="119" spans="1:96" ht="18.75" hidden="1">
      <c r="A119" s="3047"/>
      <c r="B119" s="3138"/>
      <c r="C119" s="3138"/>
      <c r="D119" s="3138"/>
      <c r="E119" s="3138"/>
      <c r="F119" s="3138"/>
      <c r="G119" s="3138"/>
      <c r="H119" s="3138"/>
      <c r="I119" s="3138"/>
      <c r="J119" s="3138"/>
      <c r="K119" s="3138"/>
      <c r="L119" s="3138"/>
      <c r="M119" s="3138"/>
      <c r="N119" s="3138"/>
      <c r="O119" s="3138"/>
      <c r="P119" s="3138"/>
      <c r="Q119" s="3138"/>
      <c r="R119" s="3138"/>
      <c r="S119" s="3138"/>
      <c r="T119" s="3138"/>
      <c r="U119" s="3138"/>
      <c r="V119" s="3138"/>
      <c r="W119" s="3138"/>
      <c r="X119" s="3138"/>
      <c r="Y119" s="3138"/>
      <c r="Z119" s="3138"/>
      <c r="AA119" s="3138"/>
      <c r="AB119" s="3138"/>
      <c r="AC119" s="3138"/>
      <c r="AD119" s="3138"/>
      <c r="AE119" s="3138"/>
      <c r="AF119" s="3138"/>
      <c r="AG119" s="3138"/>
      <c r="AH119" s="3140"/>
      <c r="AI119" s="3140"/>
      <c r="AJ119" s="3140"/>
      <c r="AK119" s="3140"/>
      <c r="AL119" s="3140"/>
      <c r="AM119" s="3140"/>
      <c r="AN119" s="3140"/>
      <c r="AO119" s="3140"/>
      <c r="AP119" s="3140"/>
      <c r="AQ119" s="3140"/>
      <c r="AR119" s="3140"/>
      <c r="AS119" s="3140"/>
      <c r="AT119" s="3140"/>
      <c r="AU119" s="3140"/>
      <c r="AV119" s="3140"/>
      <c r="AW119" s="3140"/>
      <c r="AX119" s="3140"/>
      <c r="AY119" s="3140"/>
      <c r="AZ119" s="3140"/>
      <c r="BA119" s="2456"/>
      <c r="BB119" s="2456"/>
      <c r="BC119" s="1396"/>
      <c r="BG119" s="3023"/>
      <c r="BH119" s="3047"/>
      <c r="BI119" s="3024"/>
      <c r="BJ119" s="3133">
        <f t="shared" si="50"/>
        <v>1384.1999999999998</v>
      </c>
      <c r="BK119" s="5566" t="s">
        <v>1579</v>
      </c>
      <c r="BL119" s="5565"/>
      <c r="BM119" s="5565"/>
      <c r="BN119" s="3035">
        <f>SUM(BY54)</f>
        <v>1384.2</v>
      </c>
      <c r="BO119" s="3049">
        <f>SUM(BN119/12)</f>
        <v>115.35000000000001</v>
      </c>
      <c r="BP119" s="3049">
        <f>SUM(BO119)</f>
        <v>115.35000000000001</v>
      </c>
      <c r="BQ119" s="3049">
        <f>SUM(BO119)</f>
        <v>115.35000000000001</v>
      </c>
      <c r="BR119" s="3035">
        <f>SUM(BO119:BQ119)</f>
        <v>346.05</v>
      </c>
      <c r="BS119" s="3049">
        <f>SUM(BO119)</f>
        <v>115.35000000000001</v>
      </c>
      <c r="BT119" s="3049">
        <f>SUM(BO119)</f>
        <v>115.35000000000001</v>
      </c>
      <c r="BU119" s="3049">
        <f>SUM(BO119)</f>
        <v>115.35000000000001</v>
      </c>
      <c r="BV119" s="3035">
        <f>SUM(BS119:BU119)</f>
        <v>346.05</v>
      </c>
      <c r="BW119" s="3035">
        <f>SUM(BR119+BV119)</f>
        <v>692.1</v>
      </c>
      <c r="BX119" s="3049">
        <f>SUM(BO119)</f>
        <v>115.35000000000001</v>
      </c>
      <c r="BY119" s="3049">
        <f>SUM(BO119)</f>
        <v>115.35000000000001</v>
      </c>
      <c r="BZ119" s="3049">
        <f>SUM(BO119)</f>
        <v>115.35000000000001</v>
      </c>
      <c r="CA119" s="3035">
        <f>SUM(BX119:BZ119)</f>
        <v>346.05</v>
      </c>
      <c r="CB119" s="3035">
        <f>SUM(BW119+CA119)</f>
        <v>1038.1500000000001</v>
      </c>
      <c r="CC119" s="3049">
        <f>SUM(BO119)</f>
        <v>115.35000000000001</v>
      </c>
      <c r="CD119" s="4054"/>
      <c r="CE119" s="4054"/>
      <c r="CF119" s="4054"/>
      <c r="CG119" s="4054"/>
      <c r="CH119" s="4054"/>
      <c r="CI119" s="4054"/>
      <c r="CJ119" s="4054"/>
      <c r="CK119" s="4054"/>
      <c r="CL119" s="4054"/>
      <c r="CM119" s="3049">
        <f>SUM(BO119)</f>
        <v>115.35000000000001</v>
      </c>
      <c r="CN119" s="3049">
        <f>SUM(BO119)</f>
        <v>115.35000000000001</v>
      </c>
      <c r="CO119" s="3036">
        <f>SUM(CC119:CN119)</f>
        <v>346.05</v>
      </c>
      <c r="CP119" s="2455">
        <f>SUM(BO119+BP119+BQ119+BS119+BT119+BU119+BX119+BY119+BZ119+CC119+CM119+CN119)</f>
        <v>1384.1999999999998</v>
      </c>
      <c r="CQ119" s="2456">
        <f>SUM(BR119+BV119+CA119+CO119)</f>
        <v>1384.2</v>
      </c>
    </row>
    <row r="120" spans="1:96" ht="18.75" hidden="1">
      <c r="A120" s="3141"/>
      <c r="B120" s="3138"/>
      <c r="C120" s="3138"/>
      <c r="D120" s="3138"/>
      <c r="E120" s="3138"/>
      <c r="F120" s="3138"/>
      <c r="G120" s="3138"/>
      <c r="H120" s="3138"/>
      <c r="I120" s="3138"/>
      <c r="J120" s="3138"/>
      <c r="K120" s="3138"/>
      <c r="L120" s="3138"/>
      <c r="M120" s="3138"/>
      <c r="N120" s="3138"/>
      <c r="O120" s="3138"/>
      <c r="P120" s="3138"/>
      <c r="Q120" s="3138"/>
      <c r="R120" s="3138"/>
      <c r="S120" s="3138"/>
      <c r="T120" s="3138"/>
      <c r="U120" s="3138"/>
      <c r="V120" s="3138"/>
      <c r="W120" s="3138"/>
      <c r="X120" s="3138"/>
      <c r="Y120" s="3138"/>
      <c r="Z120" s="3138"/>
      <c r="AA120" s="3138"/>
      <c r="AB120" s="3138"/>
      <c r="AC120" s="3138"/>
      <c r="AD120" s="3138"/>
      <c r="AE120" s="3138"/>
      <c r="AF120" s="3138"/>
      <c r="AG120" s="3138"/>
      <c r="AH120" s="3142"/>
      <c r="AI120" s="3142"/>
      <c r="AJ120" s="3142"/>
      <c r="AK120" s="3142"/>
      <c r="AL120" s="3142"/>
      <c r="AM120" s="3142"/>
      <c r="AN120" s="3142"/>
      <c r="AO120" s="3142"/>
      <c r="AP120" s="3142"/>
      <c r="AQ120" s="3142"/>
      <c r="AR120" s="3142"/>
      <c r="AS120" s="3142"/>
      <c r="AT120" s="3142"/>
      <c r="AU120" s="3142"/>
      <c r="AV120" s="3142"/>
      <c r="AW120" s="3142"/>
      <c r="AX120" s="3142"/>
      <c r="AY120" s="3142"/>
      <c r="AZ120" s="3142"/>
      <c r="BA120" s="2458"/>
      <c r="BB120" s="2458"/>
      <c r="BC120" s="1396"/>
      <c r="BG120" s="3023"/>
      <c r="BH120" s="3048"/>
      <c r="BI120" s="3024"/>
      <c r="BJ120" s="3133">
        <f t="shared" si="50"/>
        <v>4.3128967499999993</v>
      </c>
      <c r="BK120" s="5564" t="s">
        <v>1564</v>
      </c>
      <c r="BL120" s="5565"/>
      <c r="BM120" s="5565"/>
      <c r="BN120" s="3032">
        <f>SUM(BX54)</f>
        <v>4.3128955353272644</v>
      </c>
      <c r="BO120" s="3031">
        <v>4.1670499999999997</v>
      </c>
      <c r="BP120" s="3031">
        <f>SUM(BO120)</f>
        <v>4.1670499999999997</v>
      </c>
      <c r="BQ120" s="3031">
        <f>SUM(BO120)</f>
        <v>4.1670499999999997</v>
      </c>
      <c r="BR120" s="3032">
        <f>SUM(BO120:BQ120)/3</f>
        <v>4.1670499999999997</v>
      </c>
      <c r="BS120" s="3031">
        <f>SUM(BO120)</f>
        <v>4.1670499999999997</v>
      </c>
      <c r="BT120" s="3031">
        <f>SUM(BO120)</f>
        <v>4.1670499999999997</v>
      </c>
      <c r="BU120" s="3031">
        <f>SUM(BO120)</f>
        <v>4.1670499999999997</v>
      </c>
      <c r="BV120" s="3032">
        <f>SUM(BS120:BU120)/3</f>
        <v>4.1670499999999997</v>
      </c>
      <c r="BW120" s="3032">
        <f>SUM(BO120+BP120+BQ120+BS120+BT120+BU120)/6</f>
        <v>4.1670499999999997</v>
      </c>
      <c r="BX120" s="3031">
        <f>SUM(BU120*1.07)</f>
        <v>4.4587434999999997</v>
      </c>
      <c r="BY120" s="3031">
        <f>SUM(BX120)</f>
        <v>4.4587434999999997</v>
      </c>
      <c r="BZ120" s="3031">
        <f>SUM(BX120)</f>
        <v>4.4587434999999997</v>
      </c>
      <c r="CA120" s="3032">
        <f>SUM(BX120:BZ120)/3</f>
        <v>4.4587434999999997</v>
      </c>
      <c r="CB120" s="3032">
        <f>SUM(BO120+BP120+BQ120+BS120+BT120+BU120+BX120+BY120+BZ120)/9</f>
        <v>4.2642811666666667</v>
      </c>
      <c r="CC120" s="3031">
        <f>SUM(BX120)</f>
        <v>4.4587434999999997</v>
      </c>
      <c r="CD120" s="4050"/>
      <c r="CE120" s="4050"/>
      <c r="CF120" s="4050"/>
      <c r="CG120" s="4050"/>
      <c r="CH120" s="4050"/>
      <c r="CI120" s="4050"/>
      <c r="CJ120" s="4050"/>
      <c r="CK120" s="4050"/>
      <c r="CL120" s="4050"/>
      <c r="CM120" s="3031">
        <f>SUM(BX120)</f>
        <v>4.4587434999999997</v>
      </c>
      <c r="CN120" s="3031">
        <f>SUM(BX120)</f>
        <v>4.4587434999999997</v>
      </c>
      <c r="CO120" s="3033">
        <f>SUM(CC120:CN120)/3</f>
        <v>4.4587434999999997</v>
      </c>
      <c r="CP120" s="2457">
        <f>SUM(BO120+BP120+BQ120+BS120+BT120+BU120+BX120+BY120+BZ120+CC120+CM120+CN120)/12</f>
        <v>4.3128967499999993</v>
      </c>
      <c r="CQ120" s="2458">
        <f>SUM(BR120+BV120+CA120+CO120)/4</f>
        <v>4.3128967500000002</v>
      </c>
    </row>
    <row r="121" spans="1:96" ht="18.75" hidden="1">
      <c r="A121" s="3047"/>
      <c r="B121" s="3138"/>
      <c r="C121" s="3138"/>
      <c r="D121" s="3138"/>
      <c r="E121" s="3138"/>
      <c r="F121" s="3138"/>
      <c r="G121" s="3138"/>
      <c r="H121" s="3138"/>
      <c r="I121" s="3138"/>
      <c r="J121" s="3138"/>
      <c r="K121" s="3138"/>
      <c r="L121" s="3138"/>
      <c r="M121" s="3138"/>
      <c r="N121" s="3138"/>
      <c r="O121" s="3138"/>
      <c r="P121" s="3138"/>
      <c r="Q121" s="3138"/>
      <c r="R121" s="3138"/>
      <c r="S121" s="3138"/>
      <c r="T121" s="3138"/>
      <c r="U121" s="3138"/>
      <c r="V121" s="3138"/>
      <c r="W121" s="3138"/>
      <c r="X121" s="3138"/>
      <c r="Y121" s="3138"/>
      <c r="Z121" s="3138"/>
      <c r="AA121" s="3138"/>
      <c r="AB121" s="3138"/>
      <c r="AC121" s="3138"/>
      <c r="AD121" s="3138"/>
      <c r="AE121" s="3138"/>
      <c r="AF121" s="3138"/>
      <c r="AG121" s="3138"/>
      <c r="AH121" s="3140"/>
      <c r="AI121" s="3140"/>
      <c r="AJ121" s="3140"/>
      <c r="AK121" s="3140"/>
      <c r="AL121" s="3140"/>
      <c r="AM121" s="3140"/>
      <c r="AN121" s="3140"/>
      <c r="AO121" s="3140"/>
      <c r="AP121" s="3140"/>
      <c r="AQ121" s="3140"/>
      <c r="AR121" s="3140"/>
      <c r="AS121" s="3140"/>
      <c r="AT121" s="3140"/>
      <c r="AU121" s="3140"/>
      <c r="AV121" s="3140"/>
      <c r="AW121" s="3140"/>
      <c r="AX121" s="3140"/>
      <c r="AY121" s="3140"/>
      <c r="AZ121" s="3140"/>
      <c r="BA121" s="2456"/>
      <c r="BB121" s="2456"/>
      <c r="BC121" s="1396"/>
      <c r="BG121" s="3023"/>
      <c r="BH121" s="3047"/>
      <c r="BI121" s="3024"/>
      <c r="BJ121" s="3133">
        <f t="shared" si="50"/>
        <v>5969.9116813499986</v>
      </c>
      <c r="BK121" s="5566" t="s">
        <v>1565</v>
      </c>
      <c r="BL121" s="5565"/>
      <c r="BM121" s="5565"/>
      <c r="BN121" s="3035">
        <f>SUM(BN119*BN120)</f>
        <v>5969.91</v>
      </c>
      <c r="BO121" s="3034">
        <f t="shared" ref="BO121:CP121" si="61">SUM(BO119*BO120)</f>
        <v>480.6692175</v>
      </c>
      <c r="BP121" s="3034">
        <f t="shared" si="61"/>
        <v>480.6692175</v>
      </c>
      <c r="BQ121" s="3034">
        <f t="shared" si="61"/>
        <v>480.6692175</v>
      </c>
      <c r="BR121" s="3035">
        <f t="shared" si="61"/>
        <v>1442.0076524999999</v>
      </c>
      <c r="BS121" s="3034">
        <f t="shared" si="61"/>
        <v>480.6692175</v>
      </c>
      <c r="BT121" s="3034">
        <f t="shared" si="61"/>
        <v>480.6692175</v>
      </c>
      <c r="BU121" s="3034">
        <f t="shared" si="61"/>
        <v>480.6692175</v>
      </c>
      <c r="BV121" s="3035">
        <f t="shared" si="61"/>
        <v>1442.0076524999999</v>
      </c>
      <c r="BW121" s="3035">
        <f t="shared" si="61"/>
        <v>2884.0153049999999</v>
      </c>
      <c r="BX121" s="3034">
        <f t="shared" si="61"/>
        <v>514.31606272500005</v>
      </c>
      <c r="BY121" s="3034">
        <f t="shared" si="61"/>
        <v>514.31606272500005</v>
      </c>
      <c r="BZ121" s="3034">
        <f t="shared" si="61"/>
        <v>514.31606272500005</v>
      </c>
      <c r="CA121" s="3035">
        <f t="shared" si="61"/>
        <v>1542.948188175</v>
      </c>
      <c r="CB121" s="3035">
        <f t="shared" si="61"/>
        <v>4426.9634931750006</v>
      </c>
      <c r="CC121" s="3034">
        <f t="shared" si="61"/>
        <v>514.31606272500005</v>
      </c>
      <c r="CD121" s="4051"/>
      <c r="CE121" s="4051"/>
      <c r="CF121" s="4051"/>
      <c r="CG121" s="4051"/>
      <c r="CH121" s="4051"/>
      <c r="CI121" s="4051"/>
      <c r="CJ121" s="4051"/>
      <c r="CK121" s="4051"/>
      <c r="CL121" s="4051"/>
      <c r="CM121" s="3034">
        <f t="shared" si="61"/>
        <v>514.31606272500005</v>
      </c>
      <c r="CN121" s="3034">
        <f t="shared" si="61"/>
        <v>514.31606272500005</v>
      </c>
      <c r="CO121" s="3036">
        <f t="shared" si="61"/>
        <v>1542.948188175</v>
      </c>
      <c r="CP121" s="2455">
        <f t="shared" si="61"/>
        <v>5969.9116813499986</v>
      </c>
      <c r="CQ121" s="2456">
        <f>SUM(BR121+BV121+CA121+CO121)</f>
        <v>5969.9116813499995</v>
      </c>
    </row>
    <row r="122" spans="1:96" ht="18.75" hidden="1">
      <c r="A122" s="3047"/>
      <c r="B122" s="3138"/>
      <c r="C122" s="3138"/>
      <c r="D122" s="3138"/>
      <c r="E122" s="3138"/>
      <c r="F122" s="3138"/>
      <c r="G122" s="3138"/>
      <c r="H122" s="3138"/>
      <c r="I122" s="3138"/>
      <c r="J122" s="3138"/>
      <c r="K122" s="3138"/>
      <c r="L122" s="3138"/>
      <c r="M122" s="3138"/>
      <c r="N122" s="3138"/>
      <c r="O122" s="3138"/>
      <c r="P122" s="3138"/>
      <c r="Q122" s="3138"/>
      <c r="R122" s="3138"/>
      <c r="S122" s="3138"/>
      <c r="T122" s="3138"/>
      <c r="U122" s="3138"/>
      <c r="V122" s="3138"/>
      <c r="W122" s="3138"/>
      <c r="X122" s="3138"/>
      <c r="Y122" s="3138"/>
      <c r="Z122" s="3138"/>
      <c r="AA122" s="3138"/>
      <c r="AB122" s="3138"/>
      <c r="AC122" s="3138"/>
      <c r="AD122" s="3138"/>
      <c r="AE122" s="3138"/>
      <c r="AF122" s="3138"/>
      <c r="AG122" s="3138"/>
      <c r="AH122" s="3142"/>
      <c r="AI122" s="3142"/>
      <c r="AJ122" s="3142"/>
      <c r="AK122" s="3142"/>
      <c r="AL122" s="3142"/>
      <c r="AM122" s="3142"/>
      <c r="AN122" s="3142"/>
      <c r="AO122" s="3142"/>
      <c r="AP122" s="3142"/>
      <c r="AQ122" s="3142"/>
      <c r="AR122" s="3142"/>
      <c r="AS122" s="3142"/>
      <c r="AT122" s="3142"/>
      <c r="AU122" s="3142"/>
      <c r="AV122" s="3142"/>
      <c r="AW122" s="3142"/>
      <c r="AX122" s="3142"/>
      <c r="AY122" s="3142"/>
      <c r="AZ122" s="3142"/>
      <c r="BA122" s="3137"/>
      <c r="BB122" s="3137"/>
      <c r="BC122" s="1396"/>
      <c r="BG122" s="3023"/>
      <c r="BH122" s="3047"/>
      <c r="BI122" s="3024"/>
      <c r="BJ122" s="3133">
        <f t="shared" si="50"/>
        <v>0</v>
      </c>
      <c r="BK122" s="5567" t="s">
        <v>1580</v>
      </c>
      <c r="BL122" s="5565"/>
      <c r="BM122" s="5565"/>
      <c r="BN122" s="3032">
        <f>SUM(BZ62)</f>
        <v>0.41999544868391109</v>
      </c>
      <c r="BO122" s="3032">
        <f>SUM(BN122)</f>
        <v>0.41999544868391109</v>
      </c>
      <c r="BP122" s="3032">
        <f>SUM(BN122)</f>
        <v>0.41999544868391109</v>
      </c>
      <c r="BQ122" s="3032">
        <f>SUM(BN122)</f>
        <v>0.41999544868391109</v>
      </c>
      <c r="BR122" s="3032">
        <f>SUM(BN122)</f>
        <v>0.41999544868391109</v>
      </c>
      <c r="BS122" s="3032">
        <f>SUM(BN122)</f>
        <v>0.41999544868391109</v>
      </c>
      <c r="BT122" s="3032">
        <f>SUM(BN122)</f>
        <v>0.41999544868391109</v>
      </c>
      <c r="BU122" s="3032">
        <f>SUM(BN122)</f>
        <v>0.41999544868391109</v>
      </c>
      <c r="BV122" s="3032">
        <f>SUM(BN122)</f>
        <v>0.41999544868391109</v>
      </c>
      <c r="BW122" s="3032">
        <f>SUM(BN122)</f>
        <v>0.41999544868391109</v>
      </c>
      <c r="BX122" s="3032">
        <f>SUM(BN122)</f>
        <v>0.41999544868391109</v>
      </c>
      <c r="BY122" s="3032">
        <f>SUM(BN122)</f>
        <v>0.41999544868391109</v>
      </c>
      <c r="BZ122" s="3032">
        <f>SUM(BN122)</f>
        <v>0.41999544868391109</v>
      </c>
      <c r="CA122" s="3032">
        <f>SUM(BN122)</f>
        <v>0.41999544868391109</v>
      </c>
      <c r="CB122" s="3032">
        <f>SUM(BN122)</f>
        <v>0.41999544868391109</v>
      </c>
      <c r="CC122" s="3032">
        <f>SUM(BN122)</f>
        <v>0.41999544868391109</v>
      </c>
      <c r="CD122" s="4052"/>
      <c r="CE122" s="4052"/>
      <c r="CF122" s="4052"/>
      <c r="CG122" s="4052"/>
      <c r="CH122" s="4052"/>
      <c r="CI122" s="4052"/>
      <c r="CJ122" s="4052"/>
      <c r="CK122" s="4052"/>
      <c r="CL122" s="4052"/>
      <c r="CM122" s="3032">
        <f>SUM(BN122)</f>
        <v>0.41999544868391109</v>
      </c>
      <c r="CN122" s="3032">
        <f>SUM(BN122)</f>
        <v>0.41999544868391109</v>
      </c>
      <c r="CO122" s="3033">
        <f>SUM(BN122)</f>
        <v>0.41999544868391109</v>
      </c>
      <c r="CP122" s="127"/>
      <c r="CQ122" s="127"/>
    </row>
    <row r="123" spans="1:96" ht="18.75" hidden="1">
      <c r="A123" s="3047"/>
      <c r="B123" s="3138"/>
      <c r="C123" s="3138"/>
      <c r="D123" s="3138"/>
      <c r="E123" s="3138"/>
      <c r="F123" s="3138"/>
      <c r="G123" s="3138"/>
      <c r="H123" s="3138"/>
      <c r="I123" s="3138"/>
      <c r="J123" s="3138"/>
      <c r="K123" s="3138"/>
      <c r="L123" s="3138"/>
      <c r="M123" s="3138"/>
      <c r="N123" s="3138"/>
      <c r="O123" s="3138"/>
      <c r="P123" s="3138"/>
      <c r="Q123" s="3138"/>
      <c r="R123" s="3138"/>
      <c r="S123" s="3138"/>
      <c r="T123" s="3138"/>
      <c r="U123" s="3138"/>
      <c r="V123" s="3138"/>
      <c r="W123" s="3138"/>
      <c r="X123" s="3138"/>
      <c r="Y123" s="3138"/>
      <c r="Z123" s="3138"/>
      <c r="AA123" s="3138"/>
      <c r="AB123" s="3138"/>
      <c r="AC123" s="3138"/>
      <c r="AD123" s="3138"/>
      <c r="AE123" s="3138"/>
      <c r="AF123" s="3138"/>
      <c r="AG123" s="3138"/>
      <c r="AH123" s="3140"/>
      <c r="AI123" s="3140"/>
      <c r="AJ123" s="3140"/>
      <c r="AK123" s="3140"/>
      <c r="AL123" s="3140"/>
      <c r="AM123" s="3140"/>
      <c r="AN123" s="3140"/>
      <c r="AO123" s="3140"/>
      <c r="AP123" s="3140"/>
      <c r="AQ123" s="3140"/>
      <c r="AR123" s="3140"/>
      <c r="AS123" s="3140"/>
      <c r="AT123" s="3140"/>
      <c r="AU123" s="3140"/>
      <c r="AV123" s="3140"/>
      <c r="AW123" s="3140"/>
      <c r="AX123" s="3140"/>
      <c r="AY123" s="3140"/>
      <c r="AZ123" s="3140"/>
      <c r="BA123" s="2456"/>
      <c r="BB123" s="2456"/>
      <c r="BC123" s="1396"/>
      <c r="BG123" s="3023"/>
      <c r="BH123" s="3047"/>
      <c r="BI123" s="3024"/>
      <c r="BJ123" s="3133">
        <f t="shared" si="50"/>
        <v>1364.535813092619</v>
      </c>
      <c r="BK123" s="5567" t="s">
        <v>1581</v>
      </c>
      <c r="BL123" s="5565"/>
      <c r="BM123" s="5565"/>
      <c r="BN123" s="3035">
        <f>SUM(BN122*BN126)</f>
        <v>1364.5358130926193</v>
      </c>
      <c r="BO123" s="3035">
        <f t="shared" ref="BO123:CO123" si="62">SUM(BO122*BO126)</f>
        <v>116.65058590609118</v>
      </c>
      <c r="BP123" s="3035">
        <f t="shared" si="62"/>
        <v>115.97229325646666</v>
      </c>
      <c r="BQ123" s="3035">
        <f t="shared" si="62"/>
        <v>115.97229325646666</v>
      </c>
      <c r="BR123" s="3035">
        <f t="shared" si="62"/>
        <v>348.59517241902449</v>
      </c>
      <c r="BS123" s="3035">
        <f t="shared" si="62"/>
        <v>115.29400060684212</v>
      </c>
      <c r="BT123" s="3035">
        <f t="shared" si="62"/>
        <v>109.18936676022147</v>
      </c>
      <c r="BU123" s="3035">
        <f t="shared" si="62"/>
        <v>109.18936676022147</v>
      </c>
      <c r="BV123" s="3035">
        <f t="shared" si="62"/>
        <v>333.67273412728508</v>
      </c>
      <c r="BW123" s="3035">
        <f t="shared" si="62"/>
        <v>682.26790654630952</v>
      </c>
      <c r="BX123" s="3035">
        <f t="shared" si="62"/>
        <v>109.18936676022147</v>
      </c>
      <c r="BY123" s="3035">
        <f t="shared" si="62"/>
        <v>109.18936676022147</v>
      </c>
      <c r="BZ123" s="3035">
        <f t="shared" si="62"/>
        <v>115.29400060684212</v>
      </c>
      <c r="CA123" s="3035">
        <f t="shared" si="62"/>
        <v>333.67273412728508</v>
      </c>
      <c r="CB123" s="3035">
        <f t="shared" si="62"/>
        <v>1015.9406406735945</v>
      </c>
      <c r="CC123" s="3035">
        <f t="shared" si="62"/>
        <v>115.97229325646666</v>
      </c>
      <c r="CD123" s="4053"/>
      <c r="CE123" s="4053"/>
      <c r="CF123" s="4053"/>
      <c r="CG123" s="4053"/>
      <c r="CH123" s="4053"/>
      <c r="CI123" s="4053"/>
      <c r="CJ123" s="4053"/>
      <c r="CK123" s="4053"/>
      <c r="CL123" s="4053"/>
      <c r="CM123" s="3035">
        <f t="shared" si="62"/>
        <v>115.97229325646666</v>
      </c>
      <c r="CN123" s="3035">
        <f t="shared" si="62"/>
        <v>116.65058590609118</v>
      </c>
      <c r="CO123" s="3036">
        <f t="shared" si="62"/>
        <v>348.59517241902449</v>
      </c>
      <c r="CP123" s="2455">
        <f>SUM(BO123+BP123+BQ123+BS123+BT123+BU123+BX123+BY123+BZ123+CC123+CM123+CN123)</f>
        <v>1364.535813092619</v>
      </c>
      <c r="CQ123" s="2456">
        <f>SUM(BR123+BV123+CA123+CO123)</f>
        <v>1364.5358130926193</v>
      </c>
    </row>
    <row r="124" spans="1:96" ht="18.75" hidden="1">
      <c r="A124" s="3047"/>
      <c r="B124" s="3138"/>
      <c r="C124" s="3138"/>
      <c r="D124" s="3138"/>
      <c r="E124" s="3138"/>
      <c r="F124" s="3138"/>
      <c r="G124" s="3138"/>
      <c r="H124" s="3138"/>
      <c r="I124" s="3138"/>
      <c r="J124" s="3138"/>
      <c r="K124" s="3138"/>
      <c r="L124" s="3138"/>
      <c r="M124" s="3138"/>
      <c r="N124" s="3138"/>
      <c r="O124" s="3138"/>
      <c r="P124" s="3138"/>
      <c r="Q124" s="3138"/>
      <c r="R124" s="3138"/>
      <c r="S124" s="3138"/>
      <c r="T124" s="3138"/>
      <c r="U124" s="3138"/>
      <c r="V124" s="3138"/>
      <c r="W124" s="3138"/>
      <c r="X124" s="3138"/>
      <c r="Y124" s="3138"/>
      <c r="Z124" s="3138"/>
      <c r="AA124" s="3138"/>
      <c r="AB124" s="3138"/>
      <c r="AC124" s="3138"/>
      <c r="AD124" s="3138"/>
      <c r="AE124" s="3138"/>
      <c r="AF124" s="3138"/>
      <c r="AG124" s="3138"/>
      <c r="AH124" s="3142"/>
      <c r="AI124" s="3142"/>
      <c r="AJ124" s="3142"/>
      <c r="AK124" s="3142"/>
      <c r="AL124" s="3142"/>
      <c r="AM124" s="3142"/>
      <c r="AN124" s="3142"/>
      <c r="AO124" s="3142"/>
      <c r="AP124" s="3142"/>
      <c r="AQ124" s="3142"/>
      <c r="AR124" s="3142"/>
      <c r="AS124" s="3142"/>
      <c r="AT124" s="3142"/>
      <c r="AU124" s="3142"/>
      <c r="AV124" s="3142"/>
      <c r="AW124" s="3142"/>
      <c r="AX124" s="3142"/>
      <c r="AY124" s="3142"/>
      <c r="AZ124" s="3142"/>
      <c r="BA124" s="2458"/>
      <c r="BB124" s="3136"/>
      <c r="BC124" s="5591"/>
      <c r="BG124" s="3023"/>
      <c r="BH124" s="3047"/>
      <c r="BI124" s="3024"/>
      <c r="BJ124" s="3133">
        <f t="shared" si="50"/>
        <v>4.313540184190499</v>
      </c>
      <c r="BK124" s="5567" t="s">
        <v>1564</v>
      </c>
      <c r="BL124" s="5565"/>
      <c r="BM124" s="5565"/>
      <c r="BN124" s="3032">
        <f>SUM(BX54)</f>
        <v>4.3128955353272644</v>
      </c>
      <c r="BO124" s="3032">
        <f>SUM(BO120*CQ124)</f>
        <v>4.168336868381</v>
      </c>
      <c r="BP124" s="3032">
        <f>SUM(BO124)</f>
        <v>4.168336868381</v>
      </c>
      <c r="BQ124" s="3032">
        <f>SUM(BO124)</f>
        <v>4.168336868381</v>
      </c>
      <c r="BR124" s="3032">
        <f>SUM(BO124:BQ124)/3</f>
        <v>4.168336868381</v>
      </c>
      <c r="BS124" s="3032">
        <f>SUM(BO124)</f>
        <v>4.168336868381</v>
      </c>
      <c r="BT124" s="3032">
        <f>SUM(BO124)</f>
        <v>4.168336868381</v>
      </c>
      <c r="BU124" s="3032">
        <f>SUM(BO124)</f>
        <v>4.168336868381</v>
      </c>
      <c r="BV124" s="3032">
        <f>SUM(BS124:BU124)/3</f>
        <v>4.168336868381</v>
      </c>
      <c r="BW124" s="3032">
        <f>SUM(BO124+BP124+BQ124+BS124+BT124+BU124)/6</f>
        <v>4.168336868381</v>
      </c>
      <c r="BX124" s="3032">
        <f>SUM(BX120)</f>
        <v>4.4587434999999997</v>
      </c>
      <c r="BY124" s="3032">
        <f>SUM(BX124)</f>
        <v>4.4587434999999997</v>
      </c>
      <c r="BZ124" s="3032">
        <f>SUM(BX124)</f>
        <v>4.4587434999999997</v>
      </c>
      <c r="CA124" s="3032">
        <f>SUM(BX124:BZ124)/3</f>
        <v>4.4587434999999997</v>
      </c>
      <c r="CB124" s="3032">
        <f>SUM(BO124+BP124+BQ124+BS124+BT124+BU124+BX124+BY124+BZ124)/9</f>
        <v>4.265139078920666</v>
      </c>
      <c r="CC124" s="3032">
        <f>SUM(BX124)</f>
        <v>4.4587434999999997</v>
      </c>
      <c r="CD124" s="4052"/>
      <c r="CE124" s="4052"/>
      <c r="CF124" s="4052"/>
      <c r="CG124" s="4052"/>
      <c r="CH124" s="4052"/>
      <c r="CI124" s="4052"/>
      <c r="CJ124" s="4052"/>
      <c r="CK124" s="4052"/>
      <c r="CL124" s="4052"/>
      <c r="CM124" s="3032">
        <f>SUM(BX124)</f>
        <v>4.4587434999999997</v>
      </c>
      <c r="CN124" s="3032">
        <f>SUM(BX124)</f>
        <v>4.4587434999999997</v>
      </c>
      <c r="CO124" s="3033">
        <f>SUM(CC124:CN124)/3</f>
        <v>4.4587434999999997</v>
      </c>
      <c r="CP124" s="2457">
        <f>SUM(BO124+BP124+BQ124+BS124+BT124+BU124+BX124+BY124+BZ124+CC124+CM124+CN124)/12</f>
        <v>4.313540184190499</v>
      </c>
      <c r="CQ124" s="2464">
        <v>1.0003088200000001</v>
      </c>
      <c r="CR124" s="5582" t="s">
        <v>1585</v>
      </c>
    </row>
    <row r="125" spans="1:96" ht="18.75" hidden="1">
      <c r="A125" s="3047"/>
      <c r="B125" s="3138"/>
      <c r="C125" s="3138"/>
      <c r="D125" s="3138"/>
      <c r="E125" s="3138"/>
      <c r="F125" s="3138"/>
      <c r="G125" s="3138"/>
      <c r="H125" s="3138"/>
      <c r="I125" s="3138"/>
      <c r="J125" s="3138"/>
      <c r="K125" s="3138"/>
      <c r="L125" s="3138"/>
      <c r="M125" s="3138"/>
      <c r="N125" s="3138"/>
      <c r="O125" s="3138"/>
      <c r="P125" s="3138"/>
      <c r="Q125" s="3138"/>
      <c r="R125" s="3138"/>
      <c r="S125" s="3138"/>
      <c r="T125" s="3138"/>
      <c r="U125" s="3138"/>
      <c r="V125" s="3138"/>
      <c r="W125" s="3138"/>
      <c r="X125" s="3138"/>
      <c r="Y125" s="3138"/>
      <c r="Z125" s="3138"/>
      <c r="AA125" s="3138"/>
      <c r="AB125" s="3138"/>
      <c r="AC125" s="3138"/>
      <c r="AD125" s="3138"/>
      <c r="AE125" s="3138"/>
      <c r="AF125" s="3138"/>
      <c r="AG125" s="3138"/>
      <c r="AH125" s="3140"/>
      <c r="AI125" s="3140"/>
      <c r="AJ125" s="3140"/>
      <c r="AK125" s="3140"/>
      <c r="AL125" s="3140"/>
      <c r="AM125" s="3140"/>
      <c r="AN125" s="3140"/>
      <c r="AO125" s="3140"/>
      <c r="AP125" s="3140"/>
      <c r="AQ125" s="3140"/>
      <c r="AR125" s="3140"/>
      <c r="AS125" s="3140"/>
      <c r="AT125" s="3140"/>
      <c r="AU125" s="3140"/>
      <c r="AV125" s="3140"/>
      <c r="AW125" s="3140"/>
      <c r="AX125" s="3140"/>
      <c r="AY125" s="3140"/>
      <c r="AZ125" s="3140"/>
      <c r="BA125" s="2456"/>
      <c r="BB125" s="3136"/>
      <c r="BC125" s="5591"/>
      <c r="BG125" s="3023"/>
      <c r="BH125" s="3047"/>
      <c r="BI125" s="3024"/>
      <c r="BJ125" s="3133">
        <f t="shared" si="50"/>
        <v>5885.9800625420694</v>
      </c>
      <c r="BK125" s="5567" t="s">
        <v>1567</v>
      </c>
      <c r="BL125" s="5565"/>
      <c r="BM125" s="5565"/>
      <c r="BN125" s="3035">
        <f>SUM(BN123*BN124)</f>
        <v>5885.1004160813163</v>
      </c>
      <c r="BO125" s="3035">
        <f t="shared" ref="BO125:CO125" si="63">SUM(BO123*BO124)</f>
        <v>486.23893795060491</v>
      </c>
      <c r="BP125" s="3035">
        <f t="shared" si="63"/>
        <v>483.4115856916232</v>
      </c>
      <c r="BQ125" s="3035">
        <f t="shared" si="63"/>
        <v>483.4115856916232</v>
      </c>
      <c r="BR125" s="3035">
        <f t="shared" si="63"/>
        <v>1453.0621093338514</v>
      </c>
      <c r="BS125" s="3035">
        <f t="shared" si="63"/>
        <v>480.58423343264138</v>
      </c>
      <c r="BT125" s="3035">
        <f t="shared" si="63"/>
        <v>455.13806310180604</v>
      </c>
      <c r="BU125" s="3035">
        <f t="shared" si="63"/>
        <v>455.13806310180604</v>
      </c>
      <c r="BV125" s="3035">
        <f t="shared" si="63"/>
        <v>1390.8603596362536</v>
      </c>
      <c r="BW125" s="3035">
        <f t="shared" si="63"/>
        <v>2843.9224689701045</v>
      </c>
      <c r="BX125" s="3035">
        <f t="shared" si="63"/>
        <v>486.84737931125352</v>
      </c>
      <c r="BY125" s="3035">
        <f t="shared" si="63"/>
        <v>486.84737931125352</v>
      </c>
      <c r="BZ125" s="3035">
        <f t="shared" si="63"/>
        <v>514.0663757947533</v>
      </c>
      <c r="CA125" s="3035">
        <f t="shared" si="63"/>
        <v>1487.7611344172603</v>
      </c>
      <c r="CB125" s="3035">
        <f t="shared" si="63"/>
        <v>4333.1281284006463</v>
      </c>
      <c r="CC125" s="3035">
        <f t="shared" si="63"/>
        <v>517.09070873736448</v>
      </c>
      <c r="CD125" s="4053"/>
      <c r="CE125" s="4053"/>
      <c r="CF125" s="4053"/>
      <c r="CG125" s="4053"/>
      <c r="CH125" s="4053"/>
      <c r="CI125" s="4053"/>
      <c r="CJ125" s="4053"/>
      <c r="CK125" s="4053"/>
      <c r="CL125" s="4053"/>
      <c r="CM125" s="3035">
        <f t="shared" si="63"/>
        <v>517.09070873736448</v>
      </c>
      <c r="CN125" s="3035">
        <f t="shared" si="63"/>
        <v>520.11504167997566</v>
      </c>
      <c r="CO125" s="3036">
        <f t="shared" si="63"/>
        <v>1554.2964591547047</v>
      </c>
      <c r="CP125" s="2455">
        <f>SUM(BO125+BP125+BQ125+BS125+BT125+BU125+BX125+BY125+BZ125+CC125+CM125+CN125)</f>
        <v>5885.9800625420694</v>
      </c>
      <c r="CQ125" s="2464">
        <f>SUM(BN125/CP125)</f>
        <v>0.99985055225274189</v>
      </c>
      <c r="CR125" s="5582"/>
    </row>
    <row r="126" spans="1:96" ht="19.5" hidden="1" thickBot="1">
      <c r="A126" s="3047"/>
      <c r="B126" s="3138"/>
      <c r="C126" s="3138"/>
      <c r="D126" s="3138"/>
      <c r="E126" s="3138"/>
      <c r="F126" s="3138"/>
      <c r="G126" s="3138"/>
      <c r="H126" s="3138"/>
      <c r="I126" s="3138"/>
      <c r="J126" s="3138"/>
      <c r="K126" s="3138"/>
      <c r="L126" s="3138"/>
      <c r="M126" s="3138"/>
      <c r="N126" s="3138"/>
      <c r="O126" s="3138"/>
      <c r="P126" s="3138"/>
      <c r="Q126" s="3138"/>
      <c r="R126" s="3138"/>
      <c r="S126" s="3138"/>
      <c r="T126" s="3138"/>
      <c r="U126" s="3138"/>
      <c r="V126" s="3138"/>
      <c r="W126" s="3138"/>
      <c r="X126" s="3138"/>
      <c r="Y126" s="3138"/>
      <c r="Z126" s="3138"/>
      <c r="AA126" s="3138"/>
      <c r="AB126" s="3138"/>
      <c r="AC126" s="3138"/>
      <c r="AD126" s="3138"/>
      <c r="AE126" s="3138"/>
      <c r="AF126" s="3138"/>
      <c r="AG126" s="3138"/>
      <c r="AH126" s="3140"/>
      <c r="AI126" s="3140"/>
      <c r="AJ126" s="3140"/>
      <c r="AK126" s="3140"/>
      <c r="AL126" s="3140"/>
      <c r="AM126" s="3140"/>
      <c r="AN126" s="3140"/>
      <c r="AO126" s="3140"/>
      <c r="AP126" s="3140"/>
      <c r="AQ126" s="3140"/>
      <c r="AR126" s="3140"/>
      <c r="AS126" s="3140"/>
      <c r="AT126" s="3140"/>
      <c r="AU126" s="3140"/>
      <c r="AV126" s="3140"/>
      <c r="AW126" s="3140"/>
      <c r="AX126" s="3140"/>
      <c r="AY126" s="3140"/>
      <c r="AZ126" s="3140"/>
      <c r="BA126" s="2456"/>
      <c r="BB126" s="2456"/>
      <c r="BC126" s="1396"/>
      <c r="BG126" s="3023"/>
      <c r="BH126" s="3047"/>
      <c r="BI126" s="3024"/>
      <c r="BJ126" s="3133">
        <f t="shared" si="50"/>
        <v>3248.9299999999994</v>
      </c>
      <c r="BK126" s="5568" t="s">
        <v>1578</v>
      </c>
      <c r="BL126" s="5569"/>
      <c r="BM126" s="5569"/>
      <c r="BN126" s="3037">
        <f>SUM(BN118)</f>
        <v>3248.93</v>
      </c>
      <c r="BO126" s="3037">
        <f t="shared" ref="BO126:BU126" si="64">SUM(BO118)</f>
        <v>277.74250000000001</v>
      </c>
      <c r="BP126" s="3037">
        <f t="shared" si="64"/>
        <v>276.1275</v>
      </c>
      <c r="BQ126" s="3037">
        <f t="shared" si="64"/>
        <v>276.1275</v>
      </c>
      <c r="BR126" s="3037">
        <f>SUM(BO126:BQ126)</f>
        <v>829.99749999999995</v>
      </c>
      <c r="BS126" s="3037">
        <f t="shared" si="64"/>
        <v>274.51249999999993</v>
      </c>
      <c r="BT126" s="3037">
        <f t="shared" si="64"/>
        <v>259.97749999999996</v>
      </c>
      <c r="BU126" s="3037">
        <f t="shared" si="64"/>
        <v>259.97749999999996</v>
      </c>
      <c r="BV126" s="3037">
        <f>SUM(BS126:BU126)</f>
        <v>794.46749999999986</v>
      </c>
      <c r="BW126" s="3037">
        <f>SUM(BR126+BV126)</f>
        <v>1624.4649999999997</v>
      </c>
      <c r="BX126" s="3037">
        <f t="shared" ref="BX126:BZ126" si="65">SUM(BX118)</f>
        <v>259.97749999999996</v>
      </c>
      <c r="BY126" s="3037">
        <f t="shared" si="65"/>
        <v>259.97749999999996</v>
      </c>
      <c r="BZ126" s="3037">
        <f t="shared" si="65"/>
        <v>274.51249999999993</v>
      </c>
      <c r="CA126" s="3037">
        <f>SUM(BX126:BZ126)</f>
        <v>794.46749999999986</v>
      </c>
      <c r="CB126" s="3037">
        <f>SUM(BW126+CA126)</f>
        <v>2418.9324999999994</v>
      </c>
      <c r="CC126" s="3037">
        <f t="shared" ref="CC126:CN126" si="66">SUM(CC118)</f>
        <v>276.1275</v>
      </c>
      <c r="CD126" s="4055"/>
      <c r="CE126" s="4055"/>
      <c r="CF126" s="4055"/>
      <c r="CG126" s="4055"/>
      <c r="CH126" s="4055"/>
      <c r="CI126" s="4055"/>
      <c r="CJ126" s="4055"/>
      <c r="CK126" s="4055"/>
      <c r="CL126" s="4055"/>
      <c r="CM126" s="3037">
        <f t="shared" si="66"/>
        <v>276.1275</v>
      </c>
      <c r="CN126" s="3037">
        <f t="shared" si="66"/>
        <v>277.74250000000001</v>
      </c>
      <c r="CO126" s="3044">
        <f>SUM(CC126:CN126)</f>
        <v>829.99749999999995</v>
      </c>
      <c r="CP126" s="2455">
        <f>SUM(BO126+BP126+BQ126+BS126+BT126+BU126+BX126+BY126+BZ126+CC126+CM126+CN126)</f>
        <v>3248.9299999999994</v>
      </c>
      <c r="CQ126" s="2456">
        <f>SUM(BR126+BV126+CA126+CO126)</f>
        <v>3248.9299999999994</v>
      </c>
    </row>
    <row r="127" spans="1:96" ht="19.5" hidden="1" thickBot="1">
      <c r="A127" s="3046"/>
      <c r="B127" s="3139"/>
      <c r="C127" s="3139"/>
      <c r="D127" s="3139"/>
      <c r="E127" s="3139"/>
      <c r="F127" s="3139"/>
      <c r="G127" s="3139"/>
      <c r="H127" s="3139"/>
      <c r="I127" s="3139"/>
      <c r="J127" s="3139"/>
      <c r="K127" s="3139"/>
      <c r="L127" s="3139"/>
      <c r="M127" s="3139"/>
      <c r="N127" s="3139"/>
      <c r="O127" s="3139"/>
      <c r="P127" s="3139"/>
      <c r="Q127" s="3139"/>
      <c r="R127" s="3139"/>
      <c r="S127" s="3139"/>
      <c r="T127" s="3139"/>
      <c r="U127" s="3139"/>
      <c r="V127" s="3139"/>
      <c r="W127" s="3139"/>
      <c r="X127" s="3139"/>
      <c r="Y127" s="3139"/>
      <c r="Z127" s="3139"/>
      <c r="AA127" s="3139"/>
      <c r="AB127" s="3139"/>
      <c r="AC127" s="3139"/>
      <c r="AD127" s="3139"/>
      <c r="AE127" s="3139"/>
      <c r="AF127" s="3139"/>
      <c r="AG127" s="3139"/>
      <c r="AH127" s="3139"/>
      <c r="AI127" s="3139"/>
      <c r="AJ127" s="3139"/>
      <c r="AK127" s="3139"/>
      <c r="AL127" s="3139"/>
      <c r="AM127" s="3139"/>
      <c r="AN127" s="3139"/>
      <c r="AO127" s="3139"/>
      <c r="AP127" s="3139"/>
      <c r="AQ127" s="3139"/>
      <c r="AR127" s="3139"/>
      <c r="AS127" s="3139"/>
      <c r="AT127" s="3139"/>
      <c r="AU127" s="3139"/>
      <c r="AV127" s="3139"/>
      <c r="AW127" s="3139"/>
      <c r="AX127" s="3139"/>
      <c r="AY127" s="3139"/>
      <c r="AZ127" s="3139"/>
      <c r="BA127" s="3137"/>
      <c r="BB127" s="3137"/>
      <c r="BC127" s="1396"/>
      <c r="BG127" s="3023"/>
      <c r="BH127" s="3046"/>
      <c r="BI127" s="3024"/>
      <c r="BJ127" s="3133">
        <f t="shared" si="50"/>
        <v>0</v>
      </c>
      <c r="BK127" s="5535" t="s">
        <v>1582</v>
      </c>
      <c r="BL127" s="5080"/>
      <c r="BM127" s="5080"/>
      <c r="BN127" s="5080"/>
      <c r="BO127" s="5080"/>
      <c r="BP127" s="5080"/>
      <c r="BQ127" s="5080"/>
      <c r="BR127" s="5080"/>
      <c r="BS127" s="5080"/>
      <c r="BT127" s="5080"/>
      <c r="BU127" s="5080"/>
      <c r="BV127" s="5080"/>
      <c r="BW127" s="5080"/>
      <c r="BX127" s="5080"/>
      <c r="BY127" s="5080"/>
      <c r="BZ127" s="5080"/>
      <c r="CA127" s="5080"/>
      <c r="CB127" s="5080"/>
      <c r="CC127" s="5080"/>
      <c r="CD127" s="5080"/>
      <c r="CE127" s="5080"/>
      <c r="CF127" s="5080"/>
      <c r="CG127" s="5080"/>
      <c r="CH127" s="5080"/>
      <c r="CI127" s="5080"/>
      <c r="CJ127" s="5080"/>
      <c r="CK127" s="5080"/>
      <c r="CL127" s="5080"/>
      <c r="CM127" s="5080"/>
      <c r="CN127" s="5080"/>
      <c r="CO127" s="5081"/>
      <c r="CP127" s="127"/>
      <c r="CQ127" s="127"/>
    </row>
    <row r="128" spans="1:96" ht="18.75" hidden="1">
      <c r="A128" s="3047"/>
      <c r="B128" s="3138"/>
      <c r="C128" s="3138"/>
      <c r="D128" s="3138"/>
      <c r="E128" s="3138"/>
      <c r="F128" s="3138"/>
      <c r="G128" s="3138"/>
      <c r="H128" s="3138"/>
      <c r="I128" s="3138"/>
      <c r="J128" s="3138"/>
      <c r="K128" s="3138"/>
      <c r="L128" s="3138"/>
      <c r="M128" s="3138"/>
      <c r="N128" s="3138"/>
      <c r="O128" s="3138"/>
      <c r="P128" s="3138"/>
      <c r="Q128" s="3138"/>
      <c r="R128" s="3138"/>
      <c r="S128" s="3138"/>
      <c r="T128" s="3138"/>
      <c r="U128" s="3138"/>
      <c r="V128" s="3138"/>
      <c r="W128" s="3138"/>
      <c r="X128" s="3138"/>
      <c r="Y128" s="3138"/>
      <c r="Z128" s="3138"/>
      <c r="AA128" s="3138"/>
      <c r="AB128" s="3138"/>
      <c r="AC128" s="3138"/>
      <c r="AD128" s="3138"/>
      <c r="AE128" s="3138"/>
      <c r="AF128" s="3138"/>
      <c r="AG128" s="3138"/>
      <c r="AH128" s="3140"/>
      <c r="AI128" s="3140"/>
      <c r="AJ128" s="3140"/>
      <c r="AK128" s="3140"/>
      <c r="AL128" s="3140"/>
      <c r="AM128" s="3140"/>
      <c r="AN128" s="3140"/>
      <c r="AO128" s="3140"/>
      <c r="AP128" s="3140"/>
      <c r="AQ128" s="3140"/>
      <c r="AR128" s="3140"/>
      <c r="AS128" s="3140"/>
      <c r="AT128" s="3140"/>
      <c r="AU128" s="3140"/>
      <c r="AV128" s="3140"/>
      <c r="AW128" s="3140"/>
      <c r="AX128" s="3140"/>
      <c r="AY128" s="3140"/>
      <c r="AZ128" s="3140"/>
      <c r="BA128" s="2456"/>
      <c r="BB128" s="2456"/>
      <c r="BC128" s="1396"/>
      <c r="BG128" s="3023"/>
      <c r="BH128" s="3047"/>
      <c r="BI128" s="3024"/>
      <c r="BJ128" s="3133">
        <f t="shared" si="50"/>
        <v>1637.4035439581273</v>
      </c>
      <c r="BK128" s="5583" t="s">
        <v>1573</v>
      </c>
      <c r="BL128" s="5590"/>
      <c r="BM128" s="5590"/>
      <c r="BN128" s="2465">
        <f>SUM(BN115+BN123)</f>
        <v>1637.403543958128</v>
      </c>
      <c r="BO128" s="2465">
        <f t="shared" ref="BO128:CO128" si="67">SUM(BO115+BO123)</f>
        <v>139.97733217021923</v>
      </c>
      <c r="BP128" s="2465">
        <f t="shared" si="67"/>
        <v>139.16340059167109</v>
      </c>
      <c r="BQ128" s="2465">
        <f t="shared" si="67"/>
        <v>139.16340059167109</v>
      </c>
      <c r="BR128" s="2465">
        <f t="shared" si="67"/>
        <v>418.30413335356138</v>
      </c>
      <c r="BS128" s="2465">
        <f t="shared" si="67"/>
        <v>138.34946901312293</v>
      </c>
      <c r="BT128" s="2465">
        <f t="shared" si="67"/>
        <v>131.02408480618976</v>
      </c>
      <c r="BU128" s="2465">
        <f t="shared" si="67"/>
        <v>131.02408480618976</v>
      </c>
      <c r="BV128" s="2465">
        <f t="shared" si="67"/>
        <v>400.39763862550251</v>
      </c>
      <c r="BW128" s="2465">
        <f t="shared" si="67"/>
        <v>818.70177197906378</v>
      </c>
      <c r="BX128" s="2465">
        <f t="shared" si="67"/>
        <v>131.02408480618976</v>
      </c>
      <c r="BY128" s="2465">
        <f t="shared" si="67"/>
        <v>131.02408480618976</v>
      </c>
      <c r="BZ128" s="2465">
        <f t="shared" si="67"/>
        <v>138.34946901312293</v>
      </c>
      <c r="CA128" s="2465">
        <f t="shared" si="67"/>
        <v>400.39763862550251</v>
      </c>
      <c r="CB128" s="2465">
        <f t="shared" si="67"/>
        <v>1219.0994106045662</v>
      </c>
      <c r="CC128" s="2465">
        <f t="shared" si="67"/>
        <v>139.16340059167109</v>
      </c>
      <c r="CD128" s="2465"/>
      <c r="CE128" s="2465"/>
      <c r="CF128" s="2465"/>
      <c r="CG128" s="2465"/>
      <c r="CH128" s="2465"/>
      <c r="CI128" s="2465"/>
      <c r="CJ128" s="2465"/>
      <c r="CK128" s="2465"/>
      <c r="CL128" s="2465"/>
      <c r="CM128" s="2465">
        <f t="shared" si="67"/>
        <v>139.16340059167109</v>
      </c>
      <c r="CN128" s="2465">
        <f t="shared" si="67"/>
        <v>139.97733217021923</v>
      </c>
      <c r="CO128" s="2469">
        <f t="shared" si="67"/>
        <v>418.30413335356138</v>
      </c>
      <c r="CP128" s="2455">
        <f>SUM(BO128+BP128+BQ128+BS128+BT128+BU128+BX128+BY128+BZ128+CC128+CM128+CN128)</f>
        <v>1637.4035439581273</v>
      </c>
      <c r="CQ128" s="2456">
        <f>SUM(BR128+BV128+CA128+CO128)</f>
        <v>1637.4035439581278</v>
      </c>
    </row>
    <row r="129" spans="1:95" ht="18.75" hidden="1">
      <c r="A129" s="3141"/>
      <c r="B129" s="3138"/>
      <c r="C129" s="3138"/>
      <c r="D129" s="3138"/>
      <c r="E129" s="3138"/>
      <c r="F129" s="3138"/>
      <c r="G129" s="3138"/>
      <c r="H129" s="3138"/>
      <c r="I129" s="3138"/>
      <c r="J129" s="3138"/>
      <c r="K129" s="3138"/>
      <c r="L129" s="3138"/>
      <c r="M129" s="3138"/>
      <c r="N129" s="3138"/>
      <c r="O129" s="3138"/>
      <c r="P129" s="3138"/>
      <c r="Q129" s="3138"/>
      <c r="R129" s="3138"/>
      <c r="S129" s="3138"/>
      <c r="T129" s="3138"/>
      <c r="U129" s="3138"/>
      <c r="V129" s="3138"/>
      <c r="W129" s="3138"/>
      <c r="X129" s="3138"/>
      <c r="Y129" s="3138"/>
      <c r="Z129" s="3138"/>
      <c r="AA129" s="3138"/>
      <c r="AB129" s="3138"/>
      <c r="AC129" s="3138"/>
      <c r="AD129" s="3138"/>
      <c r="AE129" s="3138"/>
      <c r="AF129" s="3138"/>
      <c r="AG129" s="3138"/>
      <c r="AH129" s="3142"/>
      <c r="AI129" s="3142"/>
      <c r="AJ129" s="3142"/>
      <c r="AK129" s="3142"/>
      <c r="AL129" s="3142"/>
      <c r="AM129" s="3142"/>
      <c r="AN129" s="3142"/>
      <c r="AO129" s="3142"/>
      <c r="AP129" s="3142"/>
      <c r="AQ129" s="3142"/>
      <c r="AR129" s="3142"/>
      <c r="AS129" s="3142"/>
      <c r="AT129" s="3142"/>
      <c r="AU129" s="3142"/>
      <c r="AV129" s="3142"/>
      <c r="AW129" s="3142"/>
      <c r="AX129" s="3142"/>
      <c r="AY129" s="3142"/>
      <c r="AZ129" s="3142"/>
      <c r="BA129" s="2458"/>
      <c r="BB129" s="2458"/>
      <c r="BC129" s="1396"/>
      <c r="BG129" s="3023"/>
      <c r="BH129" s="3048"/>
      <c r="BI129" s="3024"/>
      <c r="BJ129" s="3133">
        <f t="shared" si="50"/>
        <v>4.5379629456250088</v>
      </c>
      <c r="BK129" s="5584" t="s">
        <v>1574</v>
      </c>
      <c r="BL129" s="5565"/>
      <c r="BM129" s="5565"/>
      <c r="BN129" s="3038">
        <f>SUM(BN130/BN128)</f>
        <v>4.5372847682119195</v>
      </c>
      <c r="BO129" s="3038">
        <f t="shared" ref="BO129:CO129" si="68">SUM(BO130/BO128)</f>
        <v>4.385207576560072</v>
      </c>
      <c r="BP129" s="3038">
        <f t="shared" si="68"/>
        <v>4.385207576560072</v>
      </c>
      <c r="BQ129" s="3038">
        <f t="shared" si="68"/>
        <v>4.385207576560072</v>
      </c>
      <c r="BR129" s="3038">
        <f t="shared" si="68"/>
        <v>4.385207576560072</v>
      </c>
      <c r="BS129" s="3038">
        <f t="shared" si="68"/>
        <v>4.385207576560072</v>
      </c>
      <c r="BT129" s="3038">
        <f t="shared" si="68"/>
        <v>4.385207576560072</v>
      </c>
      <c r="BU129" s="3038">
        <f t="shared" si="68"/>
        <v>4.385207576560072</v>
      </c>
      <c r="BV129" s="3038">
        <f t="shared" si="68"/>
        <v>4.3852075765600711</v>
      </c>
      <c r="BW129" s="3038">
        <f t="shared" si="68"/>
        <v>4.385207576560072</v>
      </c>
      <c r="BX129" s="3038">
        <f t="shared" si="68"/>
        <v>4.6907183146899456</v>
      </c>
      <c r="BY129" s="3038">
        <f t="shared" si="68"/>
        <v>4.6907183146899456</v>
      </c>
      <c r="BZ129" s="3038">
        <f t="shared" si="68"/>
        <v>4.6907183146899456</v>
      </c>
      <c r="CA129" s="3038">
        <f t="shared" si="68"/>
        <v>4.6907183146899447</v>
      </c>
      <c r="CB129" s="3038">
        <f t="shared" si="68"/>
        <v>4.487044489270029</v>
      </c>
      <c r="CC129" s="3038">
        <f t="shared" si="68"/>
        <v>4.6907183146899456</v>
      </c>
      <c r="CD129" s="4056"/>
      <c r="CE129" s="4056"/>
      <c r="CF129" s="4056"/>
      <c r="CG129" s="4056"/>
      <c r="CH129" s="4056"/>
      <c r="CI129" s="4056"/>
      <c r="CJ129" s="4056"/>
      <c r="CK129" s="4056"/>
      <c r="CL129" s="4056"/>
      <c r="CM129" s="3038">
        <f t="shared" si="68"/>
        <v>4.6907183146899456</v>
      </c>
      <c r="CN129" s="3038">
        <f t="shared" si="68"/>
        <v>4.6907183146899465</v>
      </c>
      <c r="CO129" s="3039">
        <f t="shared" si="68"/>
        <v>4.6907183146899456</v>
      </c>
      <c r="CP129" s="2457">
        <f>SUM(BO129+BP129+BQ129+BS129+BT129+BU129+BX129+BY129+BZ129+CC129+CM129+CN129)/12</f>
        <v>4.5379629456250088</v>
      </c>
      <c r="CQ129" s="2458">
        <f>SUM(BR129+BV129+CA129+CO129)/4</f>
        <v>4.5379629456250088</v>
      </c>
    </row>
    <row r="130" spans="1:95" ht="19.5" hidden="1" thickBot="1">
      <c r="A130" s="3047"/>
      <c r="B130" s="3138"/>
      <c r="C130" s="3138"/>
      <c r="D130" s="3138"/>
      <c r="E130" s="3138"/>
      <c r="F130" s="3138"/>
      <c r="G130" s="3138"/>
      <c r="H130" s="3138"/>
      <c r="I130" s="3138"/>
      <c r="J130" s="3138"/>
      <c r="K130" s="3138"/>
      <c r="L130" s="3138"/>
      <c r="M130" s="3138"/>
      <c r="N130" s="3138"/>
      <c r="O130" s="3138"/>
      <c r="P130" s="3138"/>
      <c r="Q130" s="3138"/>
      <c r="R130" s="3138"/>
      <c r="S130" s="3138"/>
      <c r="T130" s="3138"/>
      <c r="U130" s="3138"/>
      <c r="V130" s="3138"/>
      <c r="W130" s="3138"/>
      <c r="X130" s="3138"/>
      <c r="Y130" s="3138"/>
      <c r="Z130" s="3138"/>
      <c r="AA130" s="3138"/>
      <c r="AB130" s="3138"/>
      <c r="AC130" s="3138"/>
      <c r="AD130" s="3138"/>
      <c r="AE130" s="3138"/>
      <c r="AF130" s="3138"/>
      <c r="AG130" s="3138"/>
      <c r="AH130" s="3140"/>
      <c r="AI130" s="3140"/>
      <c r="AJ130" s="3140"/>
      <c r="AK130" s="3140"/>
      <c r="AL130" s="3140"/>
      <c r="AM130" s="3140"/>
      <c r="AN130" s="3140"/>
      <c r="AO130" s="3140"/>
      <c r="AP130" s="3140"/>
      <c r="AQ130" s="3140"/>
      <c r="AR130" s="3140"/>
      <c r="AS130" s="3140"/>
      <c r="AT130" s="3140"/>
      <c r="AU130" s="3140"/>
      <c r="AV130" s="3140"/>
      <c r="AW130" s="3140"/>
      <c r="AX130" s="3140"/>
      <c r="AY130" s="3140"/>
      <c r="AZ130" s="3140"/>
      <c r="BA130" s="2456"/>
      <c r="BB130" s="2456"/>
      <c r="BC130" s="1396"/>
      <c r="BG130" s="3023"/>
      <c r="BH130" s="3047"/>
      <c r="BI130" s="3024"/>
      <c r="BJ130" s="3133">
        <f t="shared" si="50"/>
        <v>7430.4766095170535</v>
      </c>
      <c r="BK130" s="5586" t="s">
        <v>1575</v>
      </c>
      <c r="BL130" s="5587"/>
      <c r="BM130" s="5587"/>
      <c r="BN130" s="3042">
        <f>SUM(BN117+BN125)</f>
        <v>7429.3661594174309</v>
      </c>
      <c r="BO130" s="3042">
        <f t="shared" ref="BO130:CO130" si="69">SUM(BO117+BO125)</f>
        <v>613.82965757951126</v>
      </c>
      <c r="BP130" s="3042">
        <f t="shared" si="69"/>
        <v>610.26039865446046</v>
      </c>
      <c r="BQ130" s="3042">
        <f t="shared" si="69"/>
        <v>610.26039865446046</v>
      </c>
      <c r="BR130" s="3042">
        <f t="shared" si="69"/>
        <v>1834.3504548884321</v>
      </c>
      <c r="BS130" s="3042">
        <f t="shared" si="69"/>
        <v>606.69113972940954</v>
      </c>
      <c r="BT130" s="3042">
        <f t="shared" si="69"/>
        <v>574.56780940395277</v>
      </c>
      <c r="BU130" s="3042">
        <f t="shared" si="69"/>
        <v>574.56780940395277</v>
      </c>
      <c r="BV130" s="3042">
        <f t="shared" si="69"/>
        <v>1755.8267585373151</v>
      </c>
      <c r="BW130" s="3042">
        <f t="shared" si="69"/>
        <v>3590.1772134257471</v>
      </c>
      <c r="BX130" s="3042">
        <f t="shared" si="69"/>
        <v>614.59707426588295</v>
      </c>
      <c r="BY130" s="3042">
        <f t="shared" si="69"/>
        <v>614.59707426588295</v>
      </c>
      <c r="BZ130" s="3042">
        <f t="shared" si="69"/>
        <v>648.9583881274848</v>
      </c>
      <c r="CA130" s="3042">
        <f t="shared" si="69"/>
        <v>1878.1525366592507</v>
      </c>
      <c r="CB130" s="3042">
        <f t="shared" si="69"/>
        <v>5470.1532922255592</v>
      </c>
      <c r="CC130" s="3042">
        <f t="shared" si="69"/>
        <v>652.77631188988516</v>
      </c>
      <c r="CD130" s="4058"/>
      <c r="CE130" s="4058"/>
      <c r="CF130" s="4058"/>
      <c r="CG130" s="4058"/>
      <c r="CH130" s="4058"/>
      <c r="CI130" s="4058"/>
      <c r="CJ130" s="4058"/>
      <c r="CK130" s="4058"/>
      <c r="CL130" s="4058"/>
      <c r="CM130" s="3042">
        <f t="shared" si="69"/>
        <v>652.77631188988516</v>
      </c>
      <c r="CN130" s="3042">
        <f t="shared" si="69"/>
        <v>656.59423565228553</v>
      </c>
      <c r="CO130" s="3043">
        <f t="shared" si="69"/>
        <v>1962.1468594320559</v>
      </c>
      <c r="CP130" s="2455">
        <f>SUM(BO130+BP130+BQ130+BS130+BT130+BU130+BX130+BY130+BZ130+CC130+CM130+CN130)</f>
        <v>7430.4766095170535</v>
      </c>
      <c r="CQ130" s="2456">
        <f>SUM(BR130+BV130+CA130+CO130)</f>
        <v>7430.4766095170535</v>
      </c>
    </row>
    <row r="131" spans="1:95" hidden="1">
      <c r="A131" s="1396"/>
      <c r="B131" s="1396"/>
      <c r="C131" s="1396"/>
      <c r="D131" s="1396"/>
      <c r="E131" s="1396"/>
      <c r="F131" s="1396"/>
      <c r="G131" s="1396"/>
      <c r="H131" s="1396"/>
      <c r="I131" s="1396"/>
      <c r="J131" s="1396"/>
      <c r="K131" s="1396"/>
      <c r="L131" s="1396"/>
      <c r="M131" s="1396"/>
      <c r="N131" s="1396"/>
      <c r="O131" s="1396"/>
      <c r="P131" s="1396"/>
      <c r="Q131" s="1396"/>
      <c r="R131" s="1396"/>
      <c r="S131" s="1396"/>
      <c r="T131" s="1396"/>
      <c r="U131" s="1396"/>
      <c r="V131" s="1396"/>
      <c r="W131" s="1396"/>
      <c r="X131" s="1396"/>
      <c r="Y131" s="1396"/>
      <c r="Z131" s="1396"/>
      <c r="AA131" s="1396"/>
      <c r="AB131" s="1396"/>
      <c r="AC131" s="1396"/>
      <c r="AD131" s="1396"/>
      <c r="AE131" s="1396"/>
      <c r="AF131" s="1396"/>
      <c r="AG131" s="1396"/>
      <c r="AH131" s="1396"/>
      <c r="AI131" s="1396"/>
      <c r="AJ131" s="1396"/>
      <c r="AK131" s="1396"/>
      <c r="AL131" s="1396"/>
      <c r="AM131" s="1396"/>
      <c r="AN131" s="1396"/>
      <c r="AO131" s="1396"/>
      <c r="AP131" s="1396"/>
      <c r="AQ131" s="1396"/>
      <c r="AR131" s="1396"/>
      <c r="AS131" s="1396"/>
      <c r="AT131" s="1396"/>
      <c r="AU131" s="1396"/>
      <c r="AV131" s="1396"/>
      <c r="AW131" s="1396"/>
      <c r="AX131" s="1396"/>
      <c r="AY131" s="1396"/>
      <c r="AZ131" s="1396"/>
      <c r="BA131" s="1396"/>
      <c r="BB131" s="1396"/>
      <c r="BC131" s="1396"/>
      <c r="BG131" s="3023"/>
      <c r="BH131" s="3024"/>
      <c r="BI131" s="3024"/>
      <c r="BJ131" s="3024"/>
      <c r="BK131" s="3024"/>
      <c r="BL131" s="3024"/>
      <c r="BM131" s="3024"/>
    </row>
    <row r="132" spans="1:95" hidden="1">
      <c r="A132" s="1396"/>
      <c r="B132" s="1396"/>
      <c r="C132" s="1396"/>
      <c r="D132" s="1396"/>
      <c r="E132" s="1396"/>
      <c r="F132" s="1396"/>
      <c r="G132" s="1396"/>
      <c r="H132" s="1396"/>
      <c r="I132" s="1396"/>
      <c r="J132" s="1396"/>
      <c r="K132" s="1396"/>
      <c r="L132" s="1396"/>
      <c r="M132" s="1396"/>
      <c r="N132" s="1396"/>
      <c r="O132" s="1396"/>
      <c r="P132" s="1396"/>
      <c r="Q132" s="1396"/>
      <c r="R132" s="1396"/>
      <c r="S132" s="1396"/>
      <c r="T132" s="1396"/>
      <c r="U132" s="1396"/>
      <c r="V132" s="1396"/>
      <c r="W132" s="1396"/>
      <c r="X132" s="1396"/>
      <c r="Y132" s="1396"/>
      <c r="Z132" s="1396"/>
      <c r="AA132" s="1396"/>
      <c r="AB132" s="1396"/>
      <c r="AC132" s="1396"/>
      <c r="AD132" s="1396"/>
      <c r="AE132" s="1396"/>
      <c r="AF132" s="1396"/>
      <c r="AG132" s="1396"/>
      <c r="AH132" s="1396"/>
      <c r="AI132" s="1396"/>
      <c r="AJ132" s="1396"/>
      <c r="AK132" s="1396"/>
      <c r="AL132" s="1396"/>
      <c r="AM132" s="1396"/>
      <c r="AN132" s="1396"/>
      <c r="AO132" s="1396"/>
      <c r="AP132" s="1396"/>
      <c r="AQ132" s="1396"/>
      <c r="AR132" s="1396"/>
      <c r="AS132" s="1396"/>
      <c r="AT132" s="1396"/>
      <c r="AU132" s="1396"/>
      <c r="AV132" s="1396"/>
      <c r="AW132" s="1396"/>
      <c r="AX132" s="1396"/>
      <c r="AY132" s="1396"/>
      <c r="AZ132" s="1396"/>
      <c r="BA132" s="1396"/>
      <c r="BB132" s="1396"/>
      <c r="BC132" s="1396"/>
      <c r="BG132" s="3023"/>
      <c r="BH132" s="3024"/>
      <c r="BI132" s="3024"/>
      <c r="BJ132" s="3024"/>
      <c r="BK132" s="3024"/>
      <c r="BL132" s="3024"/>
      <c r="BM132" s="3024"/>
    </row>
    <row r="133" spans="1:95" hidden="1">
      <c r="A133" s="1396"/>
      <c r="B133" s="1396"/>
      <c r="C133" s="1396"/>
      <c r="D133" s="1396"/>
      <c r="E133" s="1396"/>
      <c r="F133" s="1396"/>
      <c r="G133" s="1396"/>
      <c r="H133" s="1396"/>
      <c r="I133" s="1396"/>
      <c r="J133" s="1396"/>
      <c r="K133" s="1396"/>
      <c r="L133" s="1396"/>
      <c r="M133" s="1396"/>
      <c r="N133" s="1396"/>
      <c r="O133" s="1396"/>
      <c r="P133" s="1396"/>
      <c r="Q133" s="1396"/>
      <c r="R133" s="1396"/>
      <c r="S133" s="1396"/>
      <c r="T133" s="1396"/>
      <c r="U133" s="1396"/>
      <c r="V133" s="1396"/>
      <c r="W133" s="1396"/>
      <c r="X133" s="1396"/>
      <c r="Y133" s="1396"/>
      <c r="Z133" s="1396"/>
      <c r="AA133" s="1396"/>
      <c r="AB133" s="1396"/>
      <c r="AC133" s="1396"/>
      <c r="AD133" s="1396"/>
      <c r="AE133" s="1396"/>
      <c r="AF133" s="1396"/>
      <c r="AG133" s="1396"/>
      <c r="AH133" s="1396"/>
      <c r="AI133" s="1396"/>
      <c r="AJ133" s="1396"/>
      <c r="AK133" s="1396"/>
      <c r="AL133" s="1396"/>
      <c r="AM133" s="1396"/>
      <c r="AN133" s="1396"/>
      <c r="AO133" s="1396"/>
      <c r="AP133" s="1396"/>
      <c r="AQ133" s="1396"/>
      <c r="AR133" s="1396"/>
      <c r="AS133" s="1396"/>
      <c r="AT133" s="1396"/>
      <c r="AU133" s="1396"/>
      <c r="AV133" s="1396"/>
      <c r="AW133" s="1396"/>
      <c r="AX133" s="1396"/>
      <c r="AY133" s="1396"/>
      <c r="AZ133" s="1396"/>
      <c r="BA133" s="1396"/>
      <c r="BB133" s="1396"/>
      <c r="BC133" s="1396"/>
      <c r="BH133" s="1399"/>
      <c r="BI133" s="1399"/>
      <c r="BJ133" s="1399"/>
      <c r="BK133" s="1399"/>
      <c r="BL133" s="1399"/>
      <c r="BM133" s="1399"/>
    </row>
    <row r="134" spans="1:95" ht="27" hidden="1" customHeight="1">
      <c r="A134" s="1396"/>
      <c r="B134" s="1396"/>
      <c r="C134" s="1396"/>
      <c r="D134" s="1396"/>
      <c r="E134" s="1396"/>
      <c r="F134" s="1396"/>
      <c r="G134" s="1396"/>
      <c r="H134" s="1396"/>
      <c r="I134" s="1396"/>
      <c r="J134" s="1396"/>
      <c r="K134" s="1396"/>
      <c r="L134" s="1396"/>
      <c r="M134" s="1396"/>
      <c r="N134" s="1396"/>
      <c r="O134" s="1396"/>
      <c r="P134" s="1396"/>
      <c r="Q134" s="1396"/>
      <c r="R134" s="1396"/>
      <c r="S134" s="1396"/>
      <c r="T134" s="1396"/>
      <c r="U134" s="1396"/>
      <c r="V134" s="1396"/>
      <c r="W134" s="1396"/>
      <c r="X134" s="1396"/>
      <c r="Y134" s="1396"/>
      <c r="Z134" s="1396"/>
      <c r="AA134" s="1396"/>
      <c r="AB134" s="1396"/>
      <c r="AC134" s="1396"/>
      <c r="AD134" s="1396"/>
      <c r="AE134" s="1396"/>
      <c r="AF134" s="1396"/>
      <c r="AG134" s="1396"/>
      <c r="AH134" s="1396"/>
      <c r="AI134" s="1396"/>
      <c r="AJ134" s="1396"/>
      <c r="AK134" s="1396"/>
      <c r="AL134" s="1396"/>
      <c r="AM134" s="1396"/>
      <c r="AN134" s="1396"/>
      <c r="AO134" s="1396"/>
      <c r="AP134" s="1396"/>
      <c r="AQ134" s="1396"/>
      <c r="AR134" s="1396"/>
      <c r="AS134" s="3143"/>
      <c r="AT134" s="3143"/>
      <c r="AU134" s="3143"/>
      <c r="AV134" s="3144"/>
      <c r="AW134" s="3144"/>
      <c r="AX134" s="3144"/>
      <c r="AY134" s="1396"/>
      <c r="AZ134" s="1396"/>
      <c r="BA134" s="1396"/>
      <c r="BB134" s="1396"/>
      <c r="BC134" s="1396"/>
      <c r="BH134" s="1399"/>
      <c r="BI134" s="1399"/>
      <c r="BJ134" s="1399"/>
      <c r="BK134" s="1399"/>
      <c r="BL134" s="1399"/>
      <c r="BM134" s="1399"/>
      <c r="BV134" s="3145"/>
      <c r="BY134" s="3145"/>
      <c r="BZ134" s="3147" t="s">
        <v>1762</v>
      </c>
      <c r="CA134" s="3148"/>
      <c r="CB134" s="3146"/>
      <c r="CC134" s="3146">
        <f>SUM((BZ48/2)/(1+(107%*100-100)/2/100))</f>
        <v>1883.6425120772947</v>
      </c>
      <c r="CD134" s="3146"/>
      <c r="CE134" s="3146"/>
      <c r="CF134" s="3146"/>
      <c r="CG134" s="3146"/>
      <c r="CH134" s="3146"/>
      <c r="CI134" s="3146"/>
      <c r="CJ134" s="3146"/>
      <c r="CK134" s="3146"/>
      <c r="CL134" s="3146"/>
      <c r="CM134" s="3149">
        <f>SUM(CC134/(BY48/2))</f>
        <v>5.4535104576644322</v>
      </c>
    </row>
    <row r="135" spans="1:95" ht="19.5" hidden="1" thickBot="1">
      <c r="A135" s="5550" t="s">
        <v>886</v>
      </c>
      <c r="B135" s="5551"/>
      <c r="C135" s="5551"/>
      <c r="D135" s="5551"/>
      <c r="E135" s="5551"/>
      <c r="F135" s="5551"/>
      <c r="G135" s="5551"/>
      <c r="H135" s="5551"/>
      <c r="I135" s="5551"/>
      <c r="J135" s="5551"/>
      <c r="K135" s="5551"/>
      <c r="L135" s="5551"/>
      <c r="M135" s="5551"/>
      <c r="N135" s="5551"/>
      <c r="O135" s="5551"/>
      <c r="P135" s="5551"/>
      <c r="Q135" s="5551"/>
      <c r="R135" s="5551"/>
      <c r="S135" s="5551"/>
      <c r="T135" s="5551"/>
      <c r="U135" s="5551"/>
      <c r="V135" s="5551"/>
      <c r="W135" s="5551"/>
      <c r="X135" s="5551"/>
      <c r="Y135" s="5551"/>
      <c r="Z135" s="5551"/>
      <c r="AA135" s="5551"/>
      <c r="AB135" s="5551"/>
      <c r="AC135" s="5551"/>
      <c r="AD135" s="5551"/>
      <c r="AE135" s="5552"/>
      <c r="AS135" s="375"/>
      <c r="AT135" s="375"/>
      <c r="AU135" s="375"/>
      <c r="AV135" s="375"/>
      <c r="AW135" s="375"/>
      <c r="AX135" s="375"/>
      <c r="BH135" s="1399"/>
      <c r="BI135" s="1399"/>
      <c r="BJ135" s="1399"/>
      <c r="BK135" s="1399"/>
      <c r="BL135" s="1399"/>
      <c r="BM135" s="1399"/>
      <c r="BN135" s="1399"/>
      <c r="BO135" s="1399"/>
      <c r="BP135" s="1399"/>
      <c r="BQ135" s="1399"/>
      <c r="BR135" s="1399"/>
      <c r="BS135" s="1399"/>
      <c r="BT135" s="1399"/>
      <c r="BU135" s="1399"/>
      <c r="BV135" s="1399"/>
      <c r="BW135" s="1399"/>
      <c r="BX135" s="1399"/>
      <c r="BY135" s="1399"/>
      <c r="BZ135" s="1399"/>
      <c r="CA135" s="1399"/>
      <c r="CB135" s="1399"/>
      <c r="CC135" s="1399"/>
      <c r="CD135" s="1399"/>
      <c r="CE135" s="1399"/>
      <c r="CF135" s="1399"/>
      <c r="CG135" s="1399"/>
      <c r="CH135" s="1399"/>
      <c r="CI135" s="1399"/>
      <c r="CJ135" s="1399"/>
      <c r="CK135" s="1399"/>
      <c r="CL135" s="1399"/>
      <c r="CM135" s="1399"/>
      <c r="CN135" s="1399"/>
      <c r="CO135" s="1399"/>
    </row>
    <row r="136" spans="1:95" ht="18.75" hidden="1" customHeight="1">
      <c r="A136" s="5553" t="s">
        <v>1561</v>
      </c>
      <c r="B136" s="5554"/>
      <c r="C136" s="5555"/>
      <c r="D136" s="5559" t="s">
        <v>1704</v>
      </c>
      <c r="E136" s="5561" t="s">
        <v>1560</v>
      </c>
      <c r="F136" s="5562"/>
      <c r="G136" s="5562"/>
      <c r="H136" s="5562"/>
      <c r="I136" s="5562"/>
      <c r="J136" s="5562"/>
      <c r="K136" s="5562"/>
      <c r="L136" s="5562"/>
      <c r="M136" s="5562"/>
      <c r="N136" s="5562"/>
      <c r="O136" s="5562"/>
      <c r="P136" s="5562"/>
      <c r="Q136" s="5562"/>
      <c r="R136" s="5562"/>
      <c r="S136" s="5562"/>
      <c r="T136" s="5562"/>
      <c r="U136" s="5562"/>
      <c r="V136" s="5562"/>
      <c r="W136" s="5562"/>
      <c r="X136" s="5562"/>
      <c r="Y136" s="5562"/>
      <c r="Z136" s="5562"/>
      <c r="AA136" s="5562"/>
      <c r="AB136" s="5562"/>
      <c r="AC136" s="5562"/>
      <c r="AD136" s="5562"/>
      <c r="AE136" s="5563"/>
      <c r="AS136" s="375"/>
      <c r="AT136" s="375"/>
      <c r="AU136" s="375"/>
      <c r="AV136" s="375"/>
      <c r="AW136" s="375"/>
      <c r="AX136" s="375"/>
    </row>
    <row r="137" spans="1:95" ht="21" hidden="1" thickBot="1">
      <c r="A137" s="5556"/>
      <c r="B137" s="5557"/>
      <c r="C137" s="5558"/>
      <c r="D137" s="5560"/>
      <c r="E137" s="3027" t="s">
        <v>586</v>
      </c>
      <c r="F137" s="3027" t="s">
        <v>587</v>
      </c>
      <c r="G137" s="3028" t="s">
        <v>588</v>
      </c>
      <c r="H137" s="3029" t="s">
        <v>600</v>
      </c>
      <c r="I137" s="3027" t="s">
        <v>1562</v>
      </c>
      <c r="J137" s="3027" t="s">
        <v>590</v>
      </c>
      <c r="K137" s="3028" t="s">
        <v>591</v>
      </c>
      <c r="L137" s="3029" t="s">
        <v>599</v>
      </c>
      <c r="M137" s="3029" t="s">
        <v>598</v>
      </c>
      <c r="N137" s="3028" t="s">
        <v>592</v>
      </c>
      <c r="O137" s="3028" t="s">
        <v>593</v>
      </c>
      <c r="P137" s="3027" t="s">
        <v>594</v>
      </c>
      <c r="Q137" s="3029" t="s">
        <v>225</v>
      </c>
      <c r="R137" s="3029" t="s">
        <v>229</v>
      </c>
      <c r="S137" s="3028" t="s">
        <v>595</v>
      </c>
      <c r="T137" s="4049"/>
      <c r="U137" s="4049"/>
      <c r="V137" s="4049"/>
      <c r="W137" s="4049"/>
      <c r="X137" s="4049"/>
      <c r="Y137" s="4049"/>
      <c r="Z137" s="4049"/>
      <c r="AA137" s="4049"/>
      <c r="AB137" s="4049"/>
      <c r="AC137" s="3028" t="s">
        <v>596</v>
      </c>
      <c r="AD137" s="3028" t="s">
        <v>597</v>
      </c>
      <c r="AE137" s="3030" t="s">
        <v>135</v>
      </c>
      <c r="CM137" s="2957"/>
    </row>
    <row r="138" spans="1:95" ht="19.5" hidden="1" thickBot="1">
      <c r="A138" s="5535" t="s">
        <v>401</v>
      </c>
      <c r="B138" s="5536"/>
      <c r="C138" s="5536"/>
      <c r="D138" s="5536"/>
      <c r="E138" s="5536"/>
      <c r="F138" s="5536"/>
      <c r="G138" s="5536"/>
      <c r="H138" s="5536"/>
      <c r="I138" s="5536"/>
      <c r="J138" s="5536"/>
      <c r="K138" s="5536"/>
      <c r="L138" s="5536"/>
      <c r="M138" s="5536"/>
      <c r="N138" s="5536"/>
      <c r="O138" s="5536"/>
      <c r="P138" s="5536"/>
      <c r="Q138" s="5536"/>
      <c r="R138" s="5536"/>
      <c r="S138" s="5536"/>
      <c r="T138" s="5536"/>
      <c r="U138" s="5536"/>
      <c r="V138" s="5536"/>
      <c r="W138" s="5536"/>
      <c r="X138" s="5536"/>
      <c r="Y138" s="5536"/>
      <c r="Z138" s="5536"/>
      <c r="AA138" s="5536"/>
      <c r="AB138" s="5536"/>
      <c r="AC138" s="5536"/>
      <c r="AD138" s="5536"/>
      <c r="AE138" s="5537"/>
    </row>
    <row r="139" spans="1:95" ht="18.75" hidden="1">
      <c r="A139" s="5547" t="s">
        <v>1563</v>
      </c>
      <c r="B139" s="5548"/>
      <c r="C139" s="5549"/>
      <c r="D139" s="2442">
        <v>690.8</v>
      </c>
      <c r="E139" s="2443">
        <f>SUM(D139/12)</f>
        <v>57.566666666666663</v>
      </c>
      <c r="F139" s="2443">
        <f>SUM(E139)</f>
        <v>57.566666666666663</v>
      </c>
      <c r="G139" s="2443">
        <f>SUM(E139)</f>
        <v>57.566666666666663</v>
      </c>
      <c r="H139" s="2442">
        <f>SUM(E139:G139)</f>
        <v>172.7</v>
      </c>
      <c r="I139" s="2443">
        <f>SUM(E139)</f>
        <v>57.566666666666663</v>
      </c>
      <c r="J139" s="2443">
        <f>SUM(E139)</f>
        <v>57.566666666666663</v>
      </c>
      <c r="K139" s="2443">
        <f>SUM(E139)</f>
        <v>57.566666666666663</v>
      </c>
      <c r="L139" s="2442">
        <f>SUM(I139:K139)</f>
        <v>172.7</v>
      </c>
      <c r="M139" s="2442">
        <f>SUM(H139+L139)</f>
        <v>345.4</v>
      </c>
      <c r="N139" s="2443">
        <f>SUM(E139)</f>
        <v>57.566666666666663</v>
      </c>
      <c r="O139" s="2443">
        <f>SUM(E139)</f>
        <v>57.566666666666663</v>
      </c>
      <c r="P139" s="2443">
        <f>SUM(E139)</f>
        <v>57.566666666666663</v>
      </c>
      <c r="Q139" s="2442">
        <f>SUM(N139:P139)</f>
        <v>172.7</v>
      </c>
      <c r="R139" s="2442">
        <f>SUM(M139+Q139)</f>
        <v>518.09999999999991</v>
      </c>
      <c r="S139" s="2443">
        <f>SUM(E139)</f>
        <v>57.566666666666663</v>
      </c>
      <c r="T139" s="2443"/>
      <c r="U139" s="2443"/>
      <c r="V139" s="2443"/>
      <c r="W139" s="2443"/>
      <c r="X139" s="2443"/>
      <c r="Y139" s="2443"/>
      <c r="Z139" s="2443"/>
      <c r="AA139" s="2443"/>
      <c r="AB139" s="2443"/>
      <c r="AC139" s="2443">
        <f>SUM(E139)</f>
        <v>57.566666666666663</v>
      </c>
      <c r="AD139" s="2443">
        <f>SUM(E139)</f>
        <v>57.566666666666663</v>
      </c>
      <c r="AE139" s="2444">
        <f>SUM(S139:AD139)</f>
        <v>172.7</v>
      </c>
    </row>
    <row r="140" spans="1:95" ht="18.75" hidden="1">
      <c r="A140" s="5544" t="s">
        <v>1564</v>
      </c>
      <c r="B140" s="5545"/>
      <c r="C140" s="5546"/>
      <c r="D140" s="3032">
        <f>SUM(N97)</f>
        <v>0</v>
      </c>
      <c r="E140" s="3031">
        <v>5.4535099999999996</v>
      </c>
      <c r="F140" s="3031">
        <f>SUM(E140)</f>
        <v>5.4535099999999996</v>
      </c>
      <c r="G140" s="3031">
        <f>SUM(E140)</f>
        <v>5.4535099999999996</v>
      </c>
      <c r="H140" s="3032">
        <f>SUM(E140:G140)/3</f>
        <v>5.4535099999999987</v>
      </c>
      <c r="I140" s="3031">
        <f>SUM(E140)</f>
        <v>5.4535099999999996</v>
      </c>
      <c r="J140" s="3031">
        <f>SUM(E140)</f>
        <v>5.4535099999999996</v>
      </c>
      <c r="K140" s="3031">
        <f>SUM(E140)</f>
        <v>5.4535099999999996</v>
      </c>
      <c r="L140" s="3032">
        <f>SUM(I140:K140)/3</f>
        <v>5.4535099999999987</v>
      </c>
      <c r="M140" s="3032">
        <f>SUM(E140+F140+G140+I140+J140+K140)/6</f>
        <v>5.4535100000000005</v>
      </c>
      <c r="N140" s="3031">
        <f>SUM(K140*1.07)</f>
        <v>5.8352557000000003</v>
      </c>
      <c r="O140" s="3031">
        <f>SUM(N140)</f>
        <v>5.8352557000000003</v>
      </c>
      <c r="P140" s="3031">
        <f>SUM(N140)</f>
        <v>5.8352557000000003</v>
      </c>
      <c r="Q140" s="3032">
        <f>SUM(N140:P140)/3</f>
        <v>5.8352557000000003</v>
      </c>
      <c r="R140" s="3032">
        <f>SUM(E140+F140+G140+I140+J140+K140+N140+O140+P140)/9</f>
        <v>5.5807585666666659</v>
      </c>
      <c r="S140" s="3031">
        <f>SUM(N140)</f>
        <v>5.8352557000000003</v>
      </c>
      <c r="T140" s="4050"/>
      <c r="U140" s="4050"/>
      <c r="V140" s="4050"/>
      <c r="W140" s="4050"/>
      <c r="X140" s="4050"/>
      <c r="Y140" s="4050"/>
      <c r="Z140" s="4050"/>
      <c r="AA140" s="4050"/>
      <c r="AB140" s="4050"/>
      <c r="AC140" s="3031">
        <f>SUM(N140)</f>
        <v>5.8352557000000003</v>
      </c>
      <c r="AD140" s="3031">
        <f>SUM(N140)</f>
        <v>5.8352557000000003</v>
      </c>
      <c r="AE140" s="3033">
        <f>SUM(S140:AD140)/3</f>
        <v>5.8352557000000003</v>
      </c>
    </row>
    <row r="141" spans="1:95" ht="18.75" hidden="1">
      <c r="A141" s="5526" t="s">
        <v>1565</v>
      </c>
      <c r="B141" s="5527"/>
      <c r="C141" s="5528"/>
      <c r="D141" s="3035">
        <f>SUM(D139*D140)</f>
        <v>0</v>
      </c>
      <c r="E141" s="3034">
        <f t="shared" ref="E141:S141" si="70">SUM(E139*E140)</f>
        <v>313.94039233333331</v>
      </c>
      <c r="F141" s="3034">
        <f t="shared" si="70"/>
        <v>313.94039233333331</v>
      </c>
      <c r="G141" s="3034">
        <f t="shared" si="70"/>
        <v>313.94039233333331</v>
      </c>
      <c r="H141" s="3035">
        <f t="shared" si="70"/>
        <v>941.82117699999969</v>
      </c>
      <c r="I141" s="3034">
        <f t="shared" si="70"/>
        <v>313.94039233333331</v>
      </c>
      <c r="J141" s="3034">
        <f t="shared" si="70"/>
        <v>313.94039233333331</v>
      </c>
      <c r="K141" s="3034">
        <f t="shared" si="70"/>
        <v>313.94039233333331</v>
      </c>
      <c r="L141" s="3035">
        <f t="shared" si="70"/>
        <v>941.82117699999969</v>
      </c>
      <c r="M141" s="3035">
        <f t="shared" si="70"/>
        <v>1883.6423540000001</v>
      </c>
      <c r="N141" s="3034">
        <f t="shared" si="70"/>
        <v>335.91621979666667</v>
      </c>
      <c r="O141" s="3034">
        <f t="shared" si="70"/>
        <v>335.91621979666667</v>
      </c>
      <c r="P141" s="3034">
        <f t="shared" si="70"/>
        <v>335.91621979666667</v>
      </c>
      <c r="Q141" s="3035">
        <f t="shared" si="70"/>
        <v>1007.7486593899999</v>
      </c>
      <c r="R141" s="3035">
        <f t="shared" si="70"/>
        <v>2891.391013389999</v>
      </c>
      <c r="S141" s="3034">
        <f t="shared" si="70"/>
        <v>335.91621979666667</v>
      </c>
      <c r="T141" s="4051"/>
      <c r="U141" s="4051"/>
      <c r="V141" s="4051"/>
      <c r="W141" s="4051"/>
      <c r="X141" s="4051"/>
      <c r="Y141" s="4051"/>
      <c r="Z141" s="4051"/>
      <c r="AA141" s="4051"/>
      <c r="AB141" s="4051"/>
      <c r="AC141" s="3034">
        <f t="shared" ref="AC141:AE141" si="71">SUM(AC139*AC140)</f>
        <v>335.91621979666667</v>
      </c>
      <c r="AD141" s="3034">
        <f t="shared" si="71"/>
        <v>335.91621979666667</v>
      </c>
      <c r="AE141" s="3036">
        <f t="shared" si="71"/>
        <v>1007.7486593899999</v>
      </c>
    </row>
    <row r="142" spans="1:95" ht="18.75" hidden="1">
      <c r="A142" s="5529" t="s">
        <v>1566</v>
      </c>
      <c r="B142" s="5530"/>
      <c r="C142" s="5531"/>
      <c r="D142" s="3032" t="e">
        <f>SUM(D139/D146)</f>
        <v>#REF!</v>
      </c>
      <c r="E142" s="3032" t="e">
        <f>SUM(D142)</f>
        <v>#REF!</v>
      </c>
      <c r="F142" s="3032" t="e">
        <f>SUM(D142)</f>
        <v>#REF!</v>
      </c>
      <c r="G142" s="3032" t="e">
        <f>SUM(D142)</f>
        <v>#REF!</v>
      </c>
      <c r="H142" s="3032" t="e">
        <f>SUM(D142)</f>
        <v>#REF!</v>
      </c>
      <c r="I142" s="3032" t="e">
        <f>SUM(D142)</f>
        <v>#REF!</v>
      </c>
      <c r="J142" s="3032" t="e">
        <f>SUM(D142)</f>
        <v>#REF!</v>
      </c>
      <c r="K142" s="3032" t="e">
        <f>SUM(D142)</f>
        <v>#REF!</v>
      </c>
      <c r="L142" s="3032" t="e">
        <f>SUM(D142)</f>
        <v>#REF!</v>
      </c>
      <c r="M142" s="3032" t="e">
        <f>SUM(D142)</f>
        <v>#REF!</v>
      </c>
      <c r="N142" s="3032" t="e">
        <f>SUM(D142)</f>
        <v>#REF!</v>
      </c>
      <c r="O142" s="3032" t="e">
        <f>SUM(D142)</f>
        <v>#REF!</v>
      </c>
      <c r="P142" s="3032" t="e">
        <f>SUM(D142)</f>
        <v>#REF!</v>
      </c>
      <c r="Q142" s="3032" t="e">
        <f>SUM(D142)</f>
        <v>#REF!</v>
      </c>
      <c r="R142" s="3032" t="e">
        <f>SUM(D142)</f>
        <v>#REF!</v>
      </c>
      <c r="S142" s="3032" t="e">
        <f>SUM(D142)</f>
        <v>#REF!</v>
      </c>
      <c r="T142" s="4052"/>
      <c r="U142" s="4052"/>
      <c r="V142" s="4052"/>
      <c r="W142" s="4052"/>
      <c r="X142" s="4052"/>
      <c r="Y142" s="4052"/>
      <c r="Z142" s="4052"/>
      <c r="AA142" s="4052"/>
      <c r="AB142" s="4052"/>
      <c r="AC142" s="3032" t="e">
        <f>SUM(D142)</f>
        <v>#REF!</v>
      </c>
      <c r="AD142" s="3032" t="e">
        <f>SUM(D142)</f>
        <v>#REF!</v>
      </c>
      <c r="AE142" s="3032" t="e">
        <f>SUM(D142)</f>
        <v>#REF!</v>
      </c>
    </row>
    <row r="143" spans="1:95" ht="18.75" hidden="1">
      <c r="A143" s="5529" t="s">
        <v>1563</v>
      </c>
      <c r="B143" s="5530"/>
      <c r="C143" s="5531"/>
      <c r="D143" s="3035" t="e">
        <f>SUM(D142*D146)</f>
        <v>#REF!</v>
      </c>
      <c r="E143" s="3035" t="e">
        <f t="shared" ref="E143:S143" si="72">SUM(E142*E146)</f>
        <v>#REF!</v>
      </c>
      <c r="F143" s="3035" t="e">
        <f t="shared" si="72"/>
        <v>#REF!</v>
      </c>
      <c r="G143" s="3035" t="e">
        <f t="shared" si="72"/>
        <v>#REF!</v>
      </c>
      <c r="H143" s="3035" t="e">
        <f t="shared" si="72"/>
        <v>#REF!</v>
      </c>
      <c r="I143" s="3035" t="e">
        <f t="shared" si="72"/>
        <v>#REF!</v>
      </c>
      <c r="J143" s="3035" t="e">
        <f t="shared" si="72"/>
        <v>#REF!</v>
      </c>
      <c r="K143" s="3035" t="e">
        <f t="shared" si="72"/>
        <v>#REF!</v>
      </c>
      <c r="L143" s="3035" t="e">
        <f t="shared" si="72"/>
        <v>#REF!</v>
      </c>
      <c r="M143" s="3035" t="e">
        <f t="shared" si="72"/>
        <v>#REF!</v>
      </c>
      <c r="N143" s="3035" t="e">
        <f t="shared" si="72"/>
        <v>#REF!</v>
      </c>
      <c r="O143" s="3035" t="e">
        <f t="shared" si="72"/>
        <v>#REF!</v>
      </c>
      <c r="P143" s="3035" t="e">
        <f t="shared" si="72"/>
        <v>#REF!</v>
      </c>
      <c r="Q143" s="3035" t="e">
        <f t="shared" si="72"/>
        <v>#REF!</v>
      </c>
      <c r="R143" s="3035" t="e">
        <f t="shared" si="72"/>
        <v>#REF!</v>
      </c>
      <c r="S143" s="3035" t="e">
        <f t="shared" si="72"/>
        <v>#REF!</v>
      </c>
      <c r="T143" s="4053"/>
      <c r="U143" s="4053"/>
      <c r="V143" s="4053"/>
      <c r="W143" s="4053"/>
      <c r="X143" s="4053"/>
      <c r="Y143" s="4053"/>
      <c r="Z143" s="4053"/>
      <c r="AA143" s="4053"/>
      <c r="AB143" s="4053"/>
      <c r="AC143" s="3035" t="e">
        <f t="shared" ref="AC143:AE143" si="73">SUM(AC142*AC146)</f>
        <v>#REF!</v>
      </c>
      <c r="AD143" s="3035" t="e">
        <f t="shared" si="73"/>
        <v>#REF!</v>
      </c>
      <c r="AE143" s="3036" t="e">
        <f t="shared" si="73"/>
        <v>#REF!</v>
      </c>
    </row>
    <row r="144" spans="1:95" ht="18.75" hidden="1">
      <c r="A144" s="5529" t="s">
        <v>1564</v>
      </c>
      <c r="B144" s="5530"/>
      <c r="C144" s="5531"/>
      <c r="D144" s="3032">
        <f>SUM(N97)</f>
        <v>0</v>
      </c>
      <c r="E144" s="3032">
        <f>SUM(E140*AG144)</f>
        <v>0</v>
      </c>
      <c r="F144" s="3032">
        <f>SUM(E144)</f>
        <v>0</v>
      </c>
      <c r="G144" s="3032">
        <f>SUM(E144)</f>
        <v>0</v>
      </c>
      <c r="H144" s="3032">
        <f>SUM(E144:G144)/3</f>
        <v>0</v>
      </c>
      <c r="I144" s="3032">
        <f>SUM(E144)</f>
        <v>0</v>
      </c>
      <c r="J144" s="3032">
        <f>SUM(E144)</f>
        <v>0</v>
      </c>
      <c r="K144" s="3032">
        <f>SUM(E144)</f>
        <v>0</v>
      </c>
      <c r="L144" s="3032">
        <f>SUM(I144:K144)/3</f>
        <v>0</v>
      </c>
      <c r="M144" s="3032">
        <f>SUM(E144+F144+G144+I144+J144+K144)/6</f>
        <v>0</v>
      </c>
      <c r="N144" s="3032">
        <f>SUM(N140)</f>
        <v>5.8352557000000003</v>
      </c>
      <c r="O144" s="3032">
        <f>SUM(N144)</f>
        <v>5.8352557000000003</v>
      </c>
      <c r="P144" s="3032">
        <f>SUM(N144)</f>
        <v>5.8352557000000003</v>
      </c>
      <c r="Q144" s="3032">
        <f>SUM(N144:P144)/3</f>
        <v>5.8352557000000003</v>
      </c>
      <c r="R144" s="3032">
        <f>SUM(E144+F144+G144+I144+J144+K144+N144+O144+P144)/9</f>
        <v>1.9450852333333333</v>
      </c>
      <c r="S144" s="3032">
        <f>SUM(N144)</f>
        <v>5.8352557000000003</v>
      </c>
      <c r="T144" s="4052"/>
      <c r="U144" s="4052"/>
      <c r="V144" s="4052"/>
      <c r="W144" s="4052"/>
      <c r="X144" s="4052"/>
      <c r="Y144" s="4052"/>
      <c r="Z144" s="4052"/>
      <c r="AA144" s="4052"/>
      <c r="AB144" s="4052"/>
      <c r="AC144" s="3032">
        <f>SUM(N144)</f>
        <v>5.8352557000000003</v>
      </c>
      <c r="AD144" s="3032">
        <f>SUM(N144)</f>
        <v>5.8352557000000003</v>
      </c>
      <c r="AE144" s="3033">
        <f>SUM(S144:AD144)/3</f>
        <v>5.8352557000000003</v>
      </c>
    </row>
    <row r="145" spans="1:31" ht="18.75" hidden="1">
      <c r="A145" s="5529" t="s">
        <v>1567</v>
      </c>
      <c r="B145" s="5530"/>
      <c r="C145" s="5531"/>
      <c r="D145" s="3035" t="e">
        <f>SUM(D143*D144)</f>
        <v>#REF!</v>
      </c>
      <c r="E145" s="3035" t="e">
        <f t="shared" ref="E145:S145" si="74">SUM(E143*E144)</f>
        <v>#REF!</v>
      </c>
      <c r="F145" s="3035" t="e">
        <f t="shared" si="74"/>
        <v>#REF!</v>
      </c>
      <c r="G145" s="3035" t="e">
        <f t="shared" si="74"/>
        <v>#REF!</v>
      </c>
      <c r="H145" s="3035" t="e">
        <f t="shared" si="74"/>
        <v>#REF!</v>
      </c>
      <c r="I145" s="3035" t="e">
        <f t="shared" si="74"/>
        <v>#REF!</v>
      </c>
      <c r="J145" s="3035" t="e">
        <f t="shared" si="74"/>
        <v>#REF!</v>
      </c>
      <c r="K145" s="3035" t="e">
        <f t="shared" si="74"/>
        <v>#REF!</v>
      </c>
      <c r="L145" s="3035" t="e">
        <f t="shared" si="74"/>
        <v>#REF!</v>
      </c>
      <c r="M145" s="3035" t="e">
        <f t="shared" si="74"/>
        <v>#REF!</v>
      </c>
      <c r="N145" s="3035" t="e">
        <f t="shared" si="74"/>
        <v>#REF!</v>
      </c>
      <c r="O145" s="3035" t="e">
        <f t="shared" si="74"/>
        <v>#REF!</v>
      </c>
      <c r="P145" s="3035" t="e">
        <f t="shared" si="74"/>
        <v>#REF!</v>
      </c>
      <c r="Q145" s="3035" t="e">
        <f t="shared" si="74"/>
        <v>#REF!</v>
      </c>
      <c r="R145" s="3035" t="e">
        <f t="shared" si="74"/>
        <v>#REF!</v>
      </c>
      <c r="S145" s="3035" t="e">
        <f t="shared" si="74"/>
        <v>#REF!</v>
      </c>
      <c r="T145" s="4053"/>
      <c r="U145" s="4053"/>
      <c r="V145" s="4053"/>
      <c r="W145" s="4053"/>
      <c r="X145" s="4053"/>
      <c r="Y145" s="4053"/>
      <c r="Z145" s="4053"/>
      <c r="AA145" s="4053"/>
      <c r="AB145" s="4053"/>
      <c r="AC145" s="3035" t="e">
        <f t="shared" ref="AC145:AE145" si="75">SUM(AC143*AC144)</f>
        <v>#REF!</v>
      </c>
      <c r="AD145" s="3035" t="e">
        <f t="shared" si="75"/>
        <v>#REF!</v>
      </c>
      <c r="AE145" s="3036" t="e">
        <f t="shared" si="75"/>
        <v>#REF!</v>
      </c>
    </row>
    <row r="146" spans="1:31" ht="18.75" hidden="1">
      <c r="A146" s="5529" t="s">
        <v>1568</v>
      </c>
      <c r="B146" s="5530"/>
      <c r="C146" s="5531"/>
      <c r="D146" s="3035" t="e">
        <f>SUM('Произв. прогр. Вода'!#REF!)</f>
        <v>#REF!</v>
      </c>
      <c r="E146" s="3035" t="e">
        <f>SUM('Произв. прогр. Вода'!#REF!)</f>
        <v>#REF!</v>
      </c>
      <c r="F146" s="3035" t="e">
        <f>SUM('Произв. прогр. Вода'!#REF!)</f>
        <v>#REF!</v>
      </c>
      <c r="G146" s="3035" t="e">
        <f>SUM('Произв. прогр. Вода'!#REF!)</f>
        <v>#REF!</v>
      </c>
      <c r="H146" s="3035" t="e">
        <f>SUM(E146:G146)</f>
        <v>#REF!</v>
      </c>
      <c r="I146" s="3035" t="e">
        <f>SUM('Произв. прогр. Вода'!#REF!)</f>
        <v>#REF!</v>
      </c>
      <c r="J146" s="3035" t="e">
        <f>SUM('Произв. прогр. Вода'!#REF!)</f>
        <v>#REF!</v>
      </c>
      <c r="K146" s="3035" t="e">
        <f>SUM('Произв. прогр. Вода'!#REF!)</f>
        <v>#REF!</v>
      </c>
      <c r="L146" s="3035" t="e">
        <f>SUM(I146:K146)</f>
        <v>#REF!</v>
      </c>
      <c r="M146" s="3035" t="e">
        <f>SUM(H146+L146)</f>
        <v>#REF!</v>
      </c>
      <c r="N146" s="3035" t="e">
        <f>SUM('Произв. прогр. Вода'!#REF!)</f>
        <v>#REF!</v>
      </c>
      <c r="O146" s="3035" t="e">
        <f>SUM('Произв. прогр. Вода'!#REF!)</f>
        <v>#REF!</v>
      </c>
      <c r="P146" s="3035" t="e">
        <f>SUM('Произв. прогр. Вода'!#REF!)</f>
        <v>#REF!</v>
      </c>
      <c r="Q146" s="3035" t="e">
        <f>SUM(N146:P146)</f>
        <v>#REF!</v>
      </c>
      <c r="R146" s="3035" t="e">
        <f>SUM(M146+Q146)</f>
        <v>#REF!</v>
      </c>
      <c r="S146" s="3035" t="e">
        <f>SUM('Произв. прогр. Вода'!#REF!)</f>
        <v>#REF!</v>
      </c>
      <c r="T146" s="4053"/>
      <c r="U146" s="4053"/>
      <c r="V146" s="4053"/>
      <c r="W146" s="4053"/>
      <c r="X146" s="4053"/>
      <c r="Y146" s="4053"/>
      <c r="Z146" s="4053"/>
      <c r="AA146" s="4053"/>
      <c r="AB146" s="4053"/>
      <c r="AC146" s="3035" t="e">
        <f>SUM('Произв. прогр. Вода'!#REF!)</f>
        <v>#REF!</v>
      </c>
      <c r="AD146" s="3035" t="e">
        <f>SUM('Произв. прогр. Вода'!#REF!)</f>
        <v>#REF!</v>
      </c>
      <c r="AE146" s="3036" t="e">
        <f>SUM(S146:AD146)</f>
        <v>#REF!</v>
      </c>
    </row>
    <row r="147" spans="1:31" ht="18.75" hidden="1">
      <c r="A147" s="5526" t="s">
        <v>1569</v>
      </c>
      <c r="B147" s="5527"/>
      <c r="C147" s="5528"/>
      <c r="D147" s="3035">
        <f>SUM(O99)</f>
        <v>0</v>
      </c>
      <c r="E147" s="3049">
        <f>SUM(D147/12)</f>
        <v>0</v>
      </c>
      <c r="F147" s="3049">
        <f>SUM(E147)</f>
        <v>0</v>
      </c>
      <c r="G147" s="3049">
        <f>SUM(E147)</f>
        <v>0</v>
      </c>
      <c r="H147" s="3035">
        <f>SUM(E147:G147)</f>
        <v>0</v>
      </c>
      <c r="I147" s="3049">
        <f>SUM(E147)</f>
        <v>0</v>
      </c>
      <c r="J147" s="3049">
        <f>SUM(E147)</f>
        <v>0</v>
      </c>
      <c r="K147" s="3049">
        <f>SUM(E147)</f>
        <v>0</v>
      </c>
      <c r="L147" s="3035">
        <f>SUM(I147:K147)</f>
        <v>0</v>
      </c>
      <c r="M147" s="3035">
        <f>SUM(H147+L147)</f>
        <v>0</v>
      </c>
      <c r="N147" s="3049">
        <f>SUM(E147)</f>
        <v>0</v>
      </c>
      <c r="O147" s="3049">
        <f>SUM(E147)</f>
        <v>0</v>
      </c>
      <c r="P147" s="3049">
        <f>SUM(E147)</f>
        <v>0</v>
      </c>
      <c r="Q147" s="3035">
        <f>SUM(N147:P147)</f>
        <v>0</v>
      </c>
      <c r="R147" s="3035">
        <f>SUM(M147+Q147)</f>
        <v>0</v>
      </c>
      <c r="S147" s="3049">
        <f>SUM(E147)</f>
        <v>0</v>
      </c>
      <c r="T147" s="4054"/>
      <c r="U147" s="4054"/>
      <c r="V147" s="4054"/>
      <c r="W147" s="4054"/>
      <c r="X147" s="4054"/>
      <c r="Y147" s="4054"/>
      <c r="Z147" s="4054"/>
      <c r="AA147" s="4054"/>
      <c r="AB147" s="4054"/>
      <c r="AC147" s="3049">
        <f>SUM(E147)</f>
        <v>0</v>
      </c>
      <c r="AD147" s="3049">
        <f>SUM(E147)</f>
        <v>0</v>
      </c>
      <c r="AE147" s="3036">
        <f>SUM(S147:AD147)</f>
        <v>0</v>
      </c>
    </row>
    <row r="148" spans="1:31" ht="18.75" hidden="1">
      <c r="A148" s="5544" t="s">
        <v>1564</v>
      </c>
      <c r="B148" s="5545"/>
      <c r="C148" s="5546"/>
      <c r="D148" s="3032">
        <f>SUM(N99)</f>
        <v>0</v>
      </c>
      <c r="E148" s="3031">
        <v>4.16587</v>
      </c>
      <c r="F148" s="3031">
        <f>SUM(E148)</f>
        <v>4.16587</v>
      </c>
      <c r="G148" s="3031">
        <f>SUM(E148)</f>
        <v>4.16587</v>
      </c>
      <c r="H148" s="3032">
        <f>SUM(E148:G148)/3</f>
        <v>4.16587</v>
      </c>
      <c r="I148" s="3031">
        <f>SUM(E148)</f>
        <v>4.16587</v>
      </c>
      <c r="J148" s="3031">
        <f>SUM(E148)</f>
        <v>4.16587</v>
      </c>
      <c r="K148" s="3031">
        <f>SUM(E148)</f>
        <v>4.16587</v>
      </c>
      <c r="L148" s="3032">
        <f>SUM(I148:K148)/3</f>
        <v>4.16587</v>
      </c>
      <c r="M148" s="3032">
        <f>SUM(E148+F148+G148+I148+J148+K148)/6</f>
        <v>4.1658699999999991</v>
      </c>
      <c r="N148" s="3031">
        <f>SUM(K148*1.07)</f>
        <v>4.4574809000000002</v>
      </c>
      <c r="O148" s="3031">
        <f>SUM(N148)</f>
        <v>4.4574809000000002</v>
      </c>
      <c r="P148" s="3031">
        <f>SUM(N148)</f>
        <v>4.4574809000000002</v>
      </c>
      <c r="Q148" s="3032">
        <f>SUM(N148:P148)/3</f>
        <v>4.4574809000000002</v>
      </c>
      <c r="R148" s="3032">
        <f>SUM(E148+F148+G148+I148+J148+K148+N148+O148+P148)/9</f>
        <v>4.2630736333333328</v>
      </c>
      <c r="S148" s="3031">
        <f>SUM(N148)</f>
        <v>4.4574809000000002</v>
      </c>
      <c r="T148" s="4050"/>
      <c r="U148" s="4050"/>
      <c r="V148" s="4050"/>
      <c r="W148" s="4050"/>
      <c r="X148" s="4050"/>
      <c r="Y148" s="4050"/>
      <c r="Z148" s="4050"/>
      <c r="AA148" s="4050"/>
      <c r="AB148" s="4050"/>
      <c r="AC148" s="3031">
        <f>SUM(N148)</f>
        <v>4.4574809000000002</v>
      </c>
      <c r="AD148" s="3031">
        <f>SUM(N148)</f>
        <v>4.4574809000000002</v>
      </c>
      <c r="AE148" s="3033">
        <f>SUM(S148:AD148)/3</f>
        <v>4.4574809000000002</v>
      </c>
    </row>
    <row r="149" spans="1:31" ht="18.75" hidden="1">
      <c r="A149" s="5526" t="s">
        <v>1565</v>
      </c>
      <c r="B149" s="5527"/>
      <c r="C149" s="5528"/>
      <c r="D149" s="3035">
        <f>SUM(D147*D148)</f>
        <v>0</v>
      </c>
      <c r="E149" s="3034">
        <f t="shared" ref="E149:S149" si="76">SUM(E147*E148)</f>
        <v>0</v>
      </c>
      <c r="F149" s="3034">
        <f t="shared" si="76"/>
        <v>0</v>
      </c>
      <c r="G149" s="3034">
        <f t="shared" si="76"/>
        <v>0</v>
      </c>
      <c r="H149" s="3035">
        <f t="shared" si="76"/>
        <v>0</v>
      </c>
      <c r="I149" s="3034">
        <f t="shared" si="76"/>
        <v>0</v>
      </c>
      <c r="J149" s="3034">
        <f t="shared" si="76"/>
        <v>0</v>
      </c>
      <c r="K149" s="3034">
        <f t="shared" si="76"/>
        <v>0</v>
      </c>
      <c r="L149" s="3035">
        <f t="shared" si="76"/>
        <v>0</v>
      </c>
      <c r="M149" s="3035">
        <f t="shared" si="76"/>
        <v>0</v>
      </c>
      <c r="N149" s="3034">
        <f t="shared" si="76"/>
        <v>0</v>
      </c>
      <c r="O149" s="3034">
        <f t="shared" si="76"/>
        <v>0</v>
      </c>
      <c r="P149" s="3034">
        <f t="shared" si="76"/>
        <v>0</v>
      </c>
      <c r="Q149" s="3035">
        <f t="shared" si="76"/>
        <v>0</v>
      </c>
      <c r="R149" s="3035">
        <f t="shared" si="76"/>
        <v>0</v>
      </c>
      <c r="S149" s="3034">
        <f t="shared" si="76"/>
        <v>0</v>
      </c>
      <c r="T149" s="4051"/>
      <c r="U149" s="4051"/>
      <c r="V149" s="4051"/>
      <c r="W149" s="4051"/>
      <c r="X149" s="4051"/>
      <c r="Y149" s="4051"/>
      <c r="Z149" s="4051"/>
      <c r="AA149" s="4051"/>
      <c r="AB149" s="4051"/>
      <c r="AC149" s="3034">
        <f t="shared" ref="AC149:AE149" si="77">SUM(AC147*AC148)</f>
        <v>0</v>
      </c>
      <c r="AD149" s="3034">
        <f t="shared" si="77"/>
        <v>0</v>
      </c>
      <c r="AE149" s="3036">
        <f t="shared" si="77"/>
        <v>0</v>
      </c>
    </row>
    <row r="150" spans="1:31" ht="18.75" hidden="1">
      <c r="A150" s="5529" t="s">
        <v>1570</v>
      </c>
      <c r="B150" s="5530"/>
      <c r="C150" s="5531"/>
      <c r="D150" s="3032" t="e">
        <f>SUM(D147/D154)</f>
        <v>#REF!</v>
      </c>
      <c r="E150" s="3032" t="e">
        <f>SUM(D150)</f>
        <v>#REF!</v>
      </c>
      <c r="F150" s="3032" t="e">
        <f>SUM(D150)</f>
        <v>#REF!</v>
      </c>
      <c r="G150" s="3032" t="e">
        <f>SUM(D150)</f>
        <v>#REF!</v>
      </c>
      <c r="H150" s="3032" t="e">
        <f>SUM(D150)</f>
        <v>#REF!</v>
      </c>
      <c r="I150" s="3032" t="e">
        <f>SUM(D150)</f>
        <v>#REF!</v>
      </c>
      <c r="J150" s="3032" t="e">
        <f>SUM(D150)</f>
        <v>#REF!</v>
      </c>
      <c r="K150" s="3032" t="e">
        <f>SUM(D150)</f>
        <v>#REF!</v>
      </c>
      <c r="L150" s="3032" t="e">
        <f>SUM(D150)</f>
        <v>#REF!</v>
      </c>
      <c r="M150" s="3032" t="e">
        <f>SUM(D150)</f>
        <v>#REF!</v>
      </c>
      <c r="N150" s="3032" t="e">
        <f>SUM(D150)</f>
        <v>#REF!</v>
      </c>
      <c r="O150" s="3032" t="e">
        <f>SUM(D150)</f>
        <v>#REF!</v>
      </c>
      <c r="P150" s="3032" t="e">
        <f>SUM(D150)</f>
        <v>#REF!</v>
      </c>
      <c r="Q150" s="3032" t="e">
        <f>SUM(D150)</f>
        <v>#REF!</v>
      </c>
      <c r="R150" s="3032" t="e">
        <f>SUM(D150)</f>
        <v>#REF!</v>
      </c>
      <c r="S150" s="3032" t="e">
        <f>SUM(D150)</f>
        <v>#REF!</v>
      </c>
      <c r="T150" s="4052"/>
      <c r="U150" s="4052"/>
      <c r="V150" s="4052"/>
      <c r="W150" s="4052"/>
      <c r="X150" s="4052"/>
      <c r="Y150" s="4052"/>
      <c r="Z150" s="4052"/>
      <c r="AA150" s="4052"/>
      <c r="AB150" s="4052"/>
      <c r="AC150" s="3032" t="e">
        <f>SUM(D150)</f>
        <v>#REF!</v>
      </c>
      <c r="AD150" s="3032" t="e">
        <f>SUM(D150)</f>
        <v>#REF!</v>
      </c>
      <c r="AE150" s="3032" t="e">
        <f>SUM(D150)</f>
        <v>#REF!</v>
      </c>
    </row>
    <row r="151" spans="1:31" ht="18.75" hidden="1">
      <c r="A151" s="5529" t="s">
        <v>1569</v>
      </c>
      <c r="B151" s="5530"/>
      <c r="C151" s="5531"/>
      <c r="D151" s="3035" t="e">
        <f>SUM(D150*D154)</f>
        <v>#REF!</v>
      </c>
      <c r="E151" s="3035" t="e">
        <f t="shared" ref="E151:S151" si="78">SUM(E150*E154)</f>
        <v>#REF!</v>
      </c>
      <c r="F151" s="3035" t="e">
        <f t="shared" si="78"/>
        <v>#REF!</v>
      </c>
      <c r="G151" s="3035" t="e">
        <f t="shared" si="78"/>
        <v>#REF!</v>
      </c>
      <c r="H151" s="3035" t="e">
        <f t="shared" si="78"/>
        <v>#REF!</v>
      </c>
      <c r="I151" s="3035" t="e">
        <f t="shared" si="78"/>
        <v>#REF!</v>
      </c>
      <c r="J151" s="3035" t="e">
        <f t="shared" si="78"/>
        <v>#REF!</v>
      </c>
      <c r="K151" s="3035" t="e">
        <f t="shared" si="78"/>
        <v>#REF!</v>
      </c>
      <c r="L151" s="3035" t="e">
        <f t="shared" si="78"/>
        <v>#REF!</v>
      </c>
      <c r="M151" s="3035" t="e">
        <f t="shared" si="78"/>
        <v>#REF!</v>
      </c>
      <c r="N151" s="3035" t="e">
        <f t="shared" si="78"/>
        <v>#REF!</v>
      </c>
      <c r="O151" s="3035" t="e">
        <f t="shared" si="78"/>
        <v>#REF!</v>
      </c>
      <c r="P151" s="3035" t="e">
        <f t="shared" si="78"/>
        <v>#REF!</v>
      </c>
      <c r="Q151" s="3035" t="e">
        <f t="shared" si="78"/>
        <v>#REF!</v>
      </c>
      <c r="R151" s="3035" t="e">
        <f t="shared" si="78"/>
        <v>#REF!</v>
      </c>
      <c r="S151" s="3035" t="e">
        <f t="shared" si="78"/>
        <v>#REF!</v>
      </c>
      <c r="T151" s="4053"/>
      <c r="U151" s="4053"/>
      <c r="V151" s="4053"/>
      <c r="W151" s="4053"/>
      <c r="X151" s="4053"/>
      <c r="Y151" s="4053"/>
      <c r="Z151" s="4053"/>
      <c r="AA151" s="4053"/>
      <c r="AB151" s="4053"/>
      <c r="AC151" s="3035" t="e">
        <f t="shared" ref="AC151:AE151" si="79">SUM(AC150*AC154)</f>
        <v>#REF!</v>
      </c>
      <c r="AD151" s="3035" t="e">
        <f t="shared" si="79"/>
        <v>#REF!</v>
      </c>
      <c r="AE151" s="3036" t="e">
        <f t="shared" si="79"/>
        <v>#REF!</v>
      </c>
    </row>
    <row r="152" spans="1:31" ht="18.75" hidden="1">
      <c r="A152" s="5529" t="s">
        <v>1564</v>
      </c>
      <c r="B152" s="5530"/>
      <c r="C152" s="5531"/>
      <c r="D152" s="3032">
        <f>SUM(D148)</f>
        <v>0</v>
      </c>
      <c r="E152" s="3032">
        <f>SUM(E148*AG152)</f>
        <v>0</v>
      </c>
      <c r="F152" s="3032">
        <f>SUM(E152)</f>
        <v>0</v>
      </c>
      <c r="G152" s="3032">
        <f>SUM(E152)</f>
        <v>0</v>
      </c>
      <c r="H152" s="3032">
        <f>SUM(E152:G152)/3</f>
        <v>0</v>
      </c>
      <c r="I152" s="3032">
        <f>SUM(E152)</f>
        <v>0</v>
      </c>
      <c r="J152" s="3032">
        <f>SUM(E152)</f>
        <v>0</v>
      </c>
      <c r="K152" s="3032">
        <f>SUM(E152)</f>
        <v>0</v>
      </c>
      <c r="L152" s="3032">
        <f>SUM(I152:K152)/3</f>
        <v>0</v>
      </c>
      <c r="M152" s="3032">
        <f>SUM(E152+F152+G152+I152+J152+K152)/6</f>
        <v>0</v>
      </c>
      <c r="N152" s="3032">
        <f>SUM(N148)</f>
        <v>4.4574809000000002</v>
      </c>
      <c r="O152" s="3032">
        <f>SUM(N152)</f>
        <v>4.4574809000000002</v>
      </c>
      <c r="P152" s="3032">
        <f>SUM(N152)</f>
        <v>4.4574809000000002</v>
      </c>
      <c r="Q152" s="3032">
        <f>SUM(N152:P152)/3</f>
        <v>4.4574809000000002</v>
      </c>
      <c r="R152" s="3032">
        <f>SUM(E152+F152+G152+I152+J152+K152+N152+O152+P152)/9</f>
        <v>1.4858269666666668</v>
      </c>
      <c r="S152" s="3032">
        <f>SUM(N152)</f>
        <v>4.4574809000000002</v>
      </c>
      <c r="T152" s="4052"/>
      <c r="U152" s="4052"/>
      <c r="V152" s="4052"/>
      <c r="W152" s="4052"/>
      <c r="X152" s="4052"/>
      <c r="Y152" s="4052"/>
      <c r="Z152" s="4052"/>
      <c r="AA152" s="4052"/>
      <c r="AB152" s="4052"/>
      <c r="AC152" s="3032">
        <f>SUM(N152)</f>
        <v>4.4574809000000002</v>
      </c>
      <c r="AD152" s="3032">
        <f>SUM(N152)</f>
        <v>4.4574809000000002</v>
      </c>
      <c r="AE152" s="3033">
        <f>SUM(S152:AD152)/3</f>
        <v>4.4574809000000002</v>
      </c>
    </row>
    <row r="153" spans="1:31" ht="18.75" hidden="1">
      <c r="A153" s="5529" t="s">
        <v>1567</v>
      </c>
      <c r="B153" s="5530"/>
      <c r="C153" s="5531"/>
      <c r="D153" s="3035" t="e">
        <f>SUM(D151*D152)</f>
        <v>#REF!</v>
      </c>
      <c r="E153" s="3035" t="e">
        <f t="shared" ref="E153:S153" si="80">SUM(E151*E152)</f>
        <v>#REF!</v>
      </c>
      <c r="F153" s="3035" t="e">
        <f t="shared" si="80"/>
        <v>#REF!</v>
      </c>
      <c r="G153" s="3035" t="e">
        <f t="shared" si="80"/>
        <v>#REF!</v>
      </c>
      <c r="H153" s="3035" t="e">
        <f t="shared" si="80"/>
        <v>#REF!</v>
      </c>
      <c r="I153" s="3035" t="e">
        <f t="shared" si="80"/>
        <v>#REF!</v>
      </c>
      <c r="J153" s="3035" t="e">
        <f t="shared" si="80"/>
        <v>#REF!</v>
      </c>
      <c r="K153" s="3035" t="e">
        <f t="shared" si="80"/>
        <v>#REF!</v>
      </c>
      <c r="L153" s="3035" t="e">
        <f t="shared" si="80"/>
        <v>#REF!</v>
      </c>
      <c r="M153" s="3035" t="e">
        <f t="shared" si="80"/>
        <v>#REF!</v>
      </c>
      <c r="N153" s="3035" t="e">
        <f t="shared" si="80"/>
        <v>#REF!</v>
      </c>
      <c r="O153" s="3035" t="e">
        <f t="shared" si="80"/>
        <v>#REF!</v>
      </c>
      <c r="P153" s="3035" t="e">
        <f t="shared" si="80"/>
        <v>#REF!</v>
      </c>
      <c r="Q153" s="3035" t="e">
        <f t="shared" si="80"/>
        <v>#REF!</v>
      </c>
      <c r="R153" s="3035" t="e">
        <f t="shared" si="80"/>
        <v>#REF!</v>
      </c>
      <c r="S153" s="3035" t="e">
        <f t="shared" si="80"/>
        <v>#REF!</v>
      </c>
      <c r="T153" s="4053"/>
      <c r="U153" s="4053"/>
      <c r="V153" s="4053"/>
      <c r="W153" s="4053"/>
      <c r="X153" s="4053"/>
      <c r="Y153" s="4053"/>
      <c r="Z153" s="4053"/>
      <c r="AA153" s="4053"/>
      <c r="AB153" s="4053"/>
      <c r="AC153" s="3035" t="e">
        <f t="shared" ref="AC153:AE153" si="81">SUM(AC151*AC152)</f>
        <v>#REF!</v>
      </c>
      <c r="AD153" s="3035" t="e">
        <f t="shared" si="81"/>
        <v>#REF!</v>
      </c>
      <c r="AE153" s="3036" t="e">
        <f t="shared" si="81"/>
        <v>#REF!</v>
      </c>
    </row>
    <row r="154" spans="1:31" ht="19.5" hidden="1" thickBot="1">
      <c r="A154" s="5532" t="s">
        <v>1571</v>
      </c>
      <c r="B154" s="5533"/>
      <c r="C154" s="5534"/>
      <c r="D154" s="3037" t="e">
        <f>SUM('Произв. прогр. Вода'!#REF!)</f>
        <v>#REF!</v>
      </c>
      <c r="E154" s="3037" t="e">
        <f>SUM('Произв. прогр. Вода'!#REF!-('Произв. прогр. Вода'!#REF!/12))</f>
        <v>#REF!</v>
      </c>
      <c r="F154" s="3037" t="e">
        <f>SUM('Произв. прогр. Вода'!#REF!-('Произв. прогр. Вода'!#REF!/12))</f>
        <v>#REF!</v>
      </c>
      <c r="G154" s="3037" t="e">
        <f>SUM('Произв. прогр. Вода'!#REF!-('Произв. прогр. Вода'!#REF!/12))</f>
        <v>#REF!</v>
      </c>
      <c r="H154" s="3037" t="e">
        <f>SUM(E154:G154)</f>
        <v>#REF!</v>
      </c>
      <c r="I154" s="3037" t="e">
        <f>SUM('Произв. прогр. Вода'!#REF!-('Произв. прогр. Вода'!#REF!/12))</f>
        <v>#REF!</v>
      </c>
      <c r="J154" s="3037" t="e">
        <f>SUM('Произв. прогр. Вода'!#REF!-('Произв. прогр. Вода'!#REF!/12))</f>
        <v>#REF!</v>
      </c>
      <c r="K154" s="3037" t="e">
        <f>SUM('Произв. прогр. Вода'!#REF!-('Произв. прогр. Вода'!#REF!/12))</f>
        <v>#REF!</v>
      </c>
      <c r="L154" s="3037" t="e">
        <f>SUM(I154:K154)</f>
        <v>#REF!</v>
      </c>
      <c r="M154" s="3037" t="e">
        <f>SUM(H154+L154)</f>
        <v>#REF!</v>
      </c>
      <c r="N154" s="3037" t="e">
        <f>SUM('Произв. прогр. Вода'!#REF!-('Произв. прогр. Вода'!#REF!/12))</f>
        <v>#REF!</v>
      </c>
      <c r="O154" s="3037" t="e">
        <f>SUM('Произв. прогр. Вода'!#REF!-('Произв. прогр. Вода'!#REF!/12))</f>
        <v>#REF!</v>
      </c>
      <c r="P154" s="3037" t="e">
        <f>SUM('Произв. прогр. Вода'!#REF!-('Произв. прогр. Вода'!#REF!/12))</f>
        <v>#REF!</v>
      </c>
      <c r="Q154" s="3037" t="e">
        <f>SUM(N154:P154)</f>
        <v>#REF!</v>
      </c>
      <c r="R154" s="3037" t="e">
        <f>SUM(M154+Q154)</f>
        <v>#REF!</v>
      </c>
      <c r="S154" s="3037" t="e">
        <f>SUM('Произв. прогр. Вода'!#REF!-('Произв. прогр. Вода'!#REF!/12))</f>
        <v>#REF!</v>
      </c>
      <c r="T154" s="4055"/>
      <c r="U154" s="4055"/>
      <c r="V154" s="4055"/>
      <c r="W154" s="4055"/>
      <c r="X154" s="4055"/>
      <c r="Y154" s="4055"/>
      <c r="Z154" s="4055"/>
      <c r="AA154" s="4055"/>
      <c r="AB154" s="4055"/>
      <c r="AC154" s="3037" t="e">
        <f>SUM('Произв. прогр. Вода'!#REF!-('Произв. прогр. Вода'!#REF!/12))</f>
        <v>#REF!</v>
      </c>
      <c r="AD154" s="3037" t="e">
        <f>SUM('Произв. прогр. Вода'!#REF!-('Произв. прогр. Вода'!#REF!/12))</f>
        <v>#REF!</v>
      </c>
      <c r="AE154" s="3044" t="e">
        <f>SUM(S154:AD154)</f>
        <v>#REF!</v>
      </c>
    </row>
    <row r="155" spans="1:31" ht="19.5" hidden="1" thickBot="1">
      <c r="A155" s="5535" t="s">
        <v>1572</v>
      </c>
      <c r="B155" s="5536"/>
      <c r="C155" s="5536"/>
      <c r="D155" s="5536"/>
      <c r="E155" s="5536"/>
      <c r="F155" s="5536"/>
      <c r="G155" s="5536"/>
      <c r="H155" s="5536"/>
      <c r="I155" s="5536"/>
      <c r="J155" s="5536"/>
      <c r="K155" s="5536"/>
      <c r="L155" s="5536"/>
      <c r="M155" s="5536"/>
      <c r="N155" s="5536"/>
      <c r="O155" s="5536"/>
      <c r="P155" s="5536"/>
      <c r="Q155" s="5536"/>
      <c r="R155" s="5536"/>
      <c r="S155" s="5536"/>
      <c r="T155" s="5536"/>
      <c r="U155" s="5536"/>
      <c r="V155" s="5536"/>
      <c r="W155" s="5536"/>
      <c r="X155" s="5536"/>
      <c r="Y155" s="5536"/>
      <c r="Z155" s="5536"/>
      <c r="AA155" s="5536"/>
      <c r="AB155" s="5536"/>
      <c r="AC155" s="5536"/>
      <c r="AD155" s="5536"/>
      <c r="AE155" s="5537"/>
    </row>
    <row r="156" spans="1:31" ht="18.75" hidden="1">
      <c r="A156" s="5538" t="s">
        <v>1573</v>
      </c>
      <c r="B156" s="5539"/>
      <c r="C156" s="5540"/>
      <c r="D156" s="2465" t="e">
        <f>SUM(D143+D151)</f>
        <v>#REF!</v>
      </c>
      <c r="E156" s="2465" t="e">
        <f t="shared" ref="E156:S156" si="82">SUM(E143+E151)</f>
        <v>#REF!</v>
      </c>
      <c r="F156" s="2465" t="e">
        <f t="shared" si="82"/>
        <v>#REF!</v>
      </c>
      <c r="G156" s="2465" t="e">
        <f t="shared" si="82"/>
        <v>#REF!</v>
      </c>
      <c r="H156" s="2465" t="e">
        <f t="shared" si="82"/>
        <v>#REF!</v>
      </c>
      <c r="I156" s="2465" t="e">
        <f t="shared" si="82"/>
        <v>#REF!</v>
      </c>
      <c r="J156" s="2465" t="e">
        <f t="shared" si="82"/>
        <v>#REF!</v>
      </c>
      <c r="K156" s="2465" t="e">
        <f t="shared" si="82"/>
        <v>#REF!</v>
      </c>
      <c r="L156" s="2465" t="e">
        <f t="shared" si="82"/>
        <v>#REF!</v>
      </c>
      <c r="M156" s="2465" t="e">
        <f t="shared" si="82"/>
        <v>#REF!</v>
      </c>
      <c r="N156" s="2465" t="e">
        <f t="shared" si="82"/>
        <v>#REF!</v>
      </c>
      <c r="O156" s="2465" t="e">
        <f t="shared" si="82"/>
        <v>#REF!</v>
      </c>
      <c r="P156" s="2465" t="e">
        <f t="shared" si="82"/>
        <v>#REF!</v>
      </c>
      <c r="Q156" s="2465" t="e">
        <f t="shared" si="82"/>
        <v>#REF!</v>
      </c>
      <c r="R156" s="2465" t="e">
        <f t="shared" si="82"/>
        <v>#REF!</v>
      </c>
      <c r="S156" s="2465" t="e">
        <f t="shared" si="82"/>
        <v>#REF!</v>
      </c>
      <c r="T156" s="2465"/>
      <c r="U156" s="2465"/>
      <c r="V156" s="2465"/>
      <c r="W156" s="2465"/>
      <c r="X156" s="2465"/>
      <c r="Y156" s="2465"/>
      <c r="Z156" s="2465"/>
      <c r="AA156" s="2465"/>
      <c r="AB156" s="2465"/>
      <c r="AC156" s="2465" t="e">
        <f t="shared" ref="AC156:AE156" si="83">SUM(AC143+AC151)</f>
        <v>#REF!</v>
      </c>
      <c r="AD156" s="2465" t="e">
        <f t="shared" si="83"/>
        <v>#REF!</v>
      </c>
      <c r="AE156" s="2469" t="e">
        <f t="shared" si="83"/>
        <v>#REF!</v>
      </c>
    </row>
    <row r="157" spans="1:31" ht="18.75" hidden="1">
      <c r="A157" s="5541" t="s">
        <v>1574</v>
      </c>
      <c r="B157" s="5542"/>
      <c r="C157" s="5543"/>
      <c r="D157" s="3038" t="e">
        <f>SUM(D158/D156)</f>
        <v>#REF!</v>
      </c>
      <c r="E157" s="3038" t="e">
        <f t="shared" ref="E157:S157" si="84">SUM(E158/E156)</f>
        <v>#REF!</v>
      </c>
      <c r="F157" s="3038" t="e">
        <f t="shared" si="84"/>
        <v>#REF!</v>
      </c>
      <c r="G157" s="3038" t="e">
        <f t="shared" si="84"/>
        <v>#REF!</v>
      </c>
      <c r="H157" s="3038" t="e">
        <f t="shared" si="84"/>
        <v>#REF!</v>
      </c>
      <c r="I157" s="3038" t="e">
        <f t="shared" si="84"/>
        <v>#REF!</v>
      </c>
      <c r="J157" s="3038" t="e">
        <f t="shared" si="84"/>
        <v>#REF!</v>
      </c>
      <c r="K157" s="3038" t="e">
        <f t="shared" si="84"/>
        <v>#REF!</v>
      </c>
      <c r="L157" s="3038" t="e">
        <f t="shared" si="84"/>
        <v>#REF!</v>
      </c>
      <c r="M157" s="3038" t="e">
        <f t="shared" si="84"/>
        <v>#REF!</v>
      </c>
      <c r="N157" s="3038" t="e">
        <f t="shared" si="84"/>
        <v>#REF!</v>
      </c>
      <c r="O157" s="3038" t="e">
        <f t="shared" si="84"/>
        <v>#REF!</v>
      </c>
      <c r="P157" s="3038" t="e">
        <f t="shared" si="84"/>
        <v>#REF!</v>
      </c>
      <c r="Q157" s="3038" t="e">
        <f t="shared" si="84"/>
        <v>#REF!</v>
      </c>
      <c r="R157" s="3038" t="e">
        <f t="shared" si="84"/>
        <v>#REF!</v>
      </c>
      <c r="S157" s="3038" t="e">
        <f t="shared" si="84"/>
        <v>#REF!</v>
      </c>
      <c r="T157" s="4056"/>
      <c r="U157" s="4056"/>
      <c r="V157" s="4056"/>
      <c r="W157" s="4056"/>
      <c r="X157" s="4056"/>
      <c r="Y157" s="4056"/>
      <c r="Z157" s="4056"/>
      <c r="AA157" s="4056"/>
      <c r="AB157" s="4056"/>
      <c r="AC157" s="3038" t="e">
        <f t="shared" ref="AC157:AE157" si="85">SUM(AC158/AC156)</f>
        <v>#REF!</v>
      </c>
      <c r="AD157" s="3038" t="e">
        <f t="shared" si="85"/>
        <v>#REF!</v>
      </c>
      <c r="AE157" s="3039" t="e">
        <f t="shared" si="85"/>
        <v>#REF!</v>
      </c>
    </row>
    <row r="158" spans="1:31" ht="19.5" hidden="1" thickBot="1">
      <c r="A158" s="5523" t="s">
        <v>1575</v>
      </c>
      <c r="B158" s="5524"/>
      <c r="C158" s="5525"/>
      <c r="D158" s="3040" t="e">
        <f>SUM(D145+D153)</f>
        <v>#REF!</v>
      </c>
      <c r="E158" s="3040" t="e">
        <f t="shared" ref="E158:S158" si="86">SUM(E145+E153)</f>
        <v>#REF!</v>
      </c>
      <c r="F158" s="3040" t="e">
        <f t="shared" si="86"/>
        <v>#REF!</v>
      </c>
      <c r="G158" s="3040" t="e">
        <f t="shared" si="86"/>
        <v>#REF!</v>
      </c>
      <c r="H158" s="3040" t="e">
        <f t="shared" si="86"/>
        <v>#REF!</v>
      </c>
      <c r="I158" s="3040" t="e">
        <f t="shared" si="86"/>
        <v>#REF!</v>
      </c>
      <c r="J158" s="3040" t="e">
        <f t="shared" si="86"/>
        <v>#REF!</v>
      </c>
      <c r="K158" s="3040" t="e">
        <f t="shared" si="86"/>
        <v>#REF!</v>
      </c>
      <c r="L158" s="3040" t="e">
        <f t="shared" si="86"/>
        <v>#REF!</v>
      </c>
      <c r="M158" s="3040" t="e">
        <f t="shared" si="86"/>
        <v>#REF!</v>
      </c>
      <c r="N158" s="3040" t="e">
        <f t="shared" si="86"/>
        <v>#REF!</v>
      </c>
      <c r="O158" s="3040" t="e">
        <f t="shared" si="86"/>
        <v>#REF!</v>
      </c>
      <c r="P158" s="3040" t="e">
        <f t="shared" si="86"/>
        <v>#REF!</v>
      </c>
      <c r="Q158" s="3040" t="e">
        <f t="shared" si="86"/>
        <v>#REF!</v>
      </c>
      <c r="R158" s="3040" t="e">
        <f t="shared" si="86"/>
        <v>#REF!</v>
      </c>
      <c r="S158" s="3040" t="e">
        <f t="shared" si="86"/>
        <v>#REF!</v>
      </c>
      <c r="T158" s="4057"/>
      <c r="U158" s="4057"/>
      <c r="V158" s="4057"/>
      <c r="W158" s="4057"/>
      <c r="X158" s="4057"/>
      <c r="Y158" s="4057"/>
      <c r="Z158" s="4057"/>
      <c r="AA158" s="4057"/>
      <c r="AB158" s="4057"/>
      <c r="AC158" s="3040" t="e">
        <f t="shared" ref="AC158:AE158" si="87">SUM(AC145+AC153)</f>
        <v>#REF!</v>
      </c>
      <c r="AD158" s="3040" t="e">
        <f t="shared" si="87"/>
        <v>#REF!</v>
      </c>
      <c r="AE158" s="3041" t="e">
        <f t="shared" si="87"/>
        <v>#REF!</v>
      </c>
    </row>
    <row r="159" spans="1:31" ht="19.5" hidden="1" thickBot="1">
      <c r="A159" s="5535" t="s">
        <v>405</v>
      </c>
      <c r="B159" s="5536"/>
      <c r="C159" s="5536"/>
      <c r="D159" s="5536"/>
      <c r="E159" s="5536"/>
      <c r="F159" s="5536"/>
      <c r="G159" s="5536"/>
      <c r="H159" s="5536"/>
      <c r="I159" s="5536"/>
      <c r="J159" s="5536"/>
      <c r="K159" s="5536"/>
      <c r="L159" s="5536"/>
      <c r="M159" s="5536"/>
      <c r="N159" s="5536"/>
      <c r="O159" s="5536"/>
      <c r="P159" s="5536"/>
      <c r="Q159" s="5536"/>
      <c r="R159" s="5536"/>
      <c r="S159" s="5536"/>
      <c r="T159" s="5536"/>
      <c r="U159" s="5536"/>
      <c r="V159" s="5536"/>
      <c r="W159" s="5536"/>
      <c r="X159" s="5536"/>
      <c r="Y159" s="5536"/>
      <c r="Z159" s="5536"/>
      <c r="AA159" s="5536"/>
      <c r="AB159" s="5536"/>
      <c r="AC159" s="5536"/>
      <c r="AD159" s="5536"/>
      <c r="AE159" s="5537"/>
    </row>
    <row r="160" spans="1:31" ht="18.75" hidden="1">
      <c r="A160" s="5547" t="s">
        <v>1576</v>
      </c>
      <c r="B160" s="5548"/>
      <c r="C160" s="5549"/>
      <c r="D160" s="2442">
        <f>SUM(O101)</f>
        <v>0</v>
      </c>
      <c r="E160" s="2443">
        <f>SUM(D160/12)</f>
        <v>0</v>
      </c>
      <c r="F160" s="2443">
        <f>SUM(E160)</f>
        <v>0</v>
      </c>
      <c r="G160" s="2443">
        <f>SUM(E160)</f>
        <v>0</v>
      </c>
      <c r="H160" s="2442">
        <f>SUM(E160:G160)</f>
        <v>0</v>
      </c>
      <c r="I160" s="2443">
        <f>SUM(E160)</f>
        <v>0</v>
      </c>
      <c r="J160" s="2443">
        <f>SUM(E160)</f>
        <v>0</v>
      </c>
      <c r="K160" s="2443">
        <f>SUM(E160)</f>
        <v>0</v>
      </c>
      <c r="L160" s="2442">
        <f>SUM(I160:K160)</f>
        <v>0</v>
      </c>
      <c r="M160" s="2442">
        <f>SUM(H160+L160)</f>
        <v>0</v>
      </c>
      <c r="N160" s="2443">
        <f>SUM(E160)</f>
        <v>0</v>
      </c>
      <c r="O160" s="2443">
        <f>SUM(E160)</f>
        <v>0</v>
      </c>
      <c r="P160" s="2443">
        <f>SUM(E160)</f>
        <v>0</v>
      </c>
      <c r="Q160" s="2442">
        <f>SUM(N160:P160)</f>
        <v>0</v>
      </c>
      <c r="R160" s="2442">
        <f>SUM(M160+Q160)</f>
        <v>0</v>
      </c>
      <c r="S160" s="2443">
        <f>SUM(E160)</f>
        <v>0</v>
      </c>
      <c r="T160" s="2443"/>
      <c r="U160" s="2443"/>
      <c r="V160" s="2443"/>
      <c r="W160" s="2443"/>
      <c r="X160" s="2443"/>
      <c r="Y160" s="2443"/>
      <c r="Z160" s="2443"/>
      <c r="AA160" s="2443"/>
      <c r="AB160" s="2443"/>
      <c r="AC160" s="2443">
        <f>SUM(E160)</f>
        <v>0</v>
      </c>
      <c r="AD160" s="2443">
        <f>SUM(E160)</f>
        <v>0</v>
      </c>
      <c r="AE160" s="2444">
        <f>SUM(S160:AD160)</f>
        <v>0</v>
      </c>
    </row>
    <row r="161" spans="1:31" ht="18.75" hidden="1">
      <c r="A161" s="5544" t="s">
        <v>1564</v>
      </c>
      <c r="B161" s="5545"/>
      <c r="C161" s="5546"/>
      <c r="D161" s="3032">
        <f>SUM(N101)</f>
        <v>0</v>
      </c>
      <c r="E161" s="3031">
        <v>5.468</v>
      </c>
      <c r="F161" s="3031">
        <f>SUM(E161)</f>
        <v>5.468</v>
      </c>
      <c r="G161" s="3031">
        <f>SUM(E161)</f>
        <v>5.468</v>
      </c>
      <c r="H161" s="3032">
        <f>SUM(E161:G161)/3</f>
        <v>5.468</v>
      </c>
      <c r="I161" s="3031">
        <f>SUM(E161)</f>
        <v>5.468</v>
      </c>
      <c r="J161" s="3031">
        <f>SUM(E161)</f>
        <v>5.468</v>
      </c>
      <c r="K161" s="3031">
        <f>SUM(E161)</f>
        <v>5.468</v>
      </c>
      <c r="L161" s="3032">
        <f>SUM(I161:K161)/3</f>
        <v>5.468</v>
      </c>
      <c r="M161" s="3032">
        <f>SUM(E161+F161+G161+I161+J161+K161)/6</f>
        <v>5.468</v>
      </c>
      <c r="N161" s="3031">
        <f>SUM(K161*1.07)</f>
        <v>5.8507600000000002</v>
      </c>
      <c r="O161" s="3031">
        <f>SUM(N161)</f>
        <v>5.8507600000000002</v>
      </c>
      <c r="P161" s="3031">
        <f>SUM(N161)</f>
        <v>5.8507600000000002</v>
      </c>
      <c r="Q161" s="3032">
        <f>SUM(N161:P161)/3</f>
        <v>5.8507600000000002</v>
      </c>
      <c r="R161" s="3032">
        <f>SUM(E161+F161+G161+I161+J161+K161+N161+O161+P161)/9</f>
        <v>5.5955866666666667</v>
      </c>
      <c r="S161" s="3031">
        <f>SUM(N161)</f>
        <v>5.8507600000000002</v>
      </c>
      <c r="T161" s="4050"/>
      <c r="U161" s="4050"/>
      <c r="V161" s="4050"/>
      <c r="W161" s="4050"/>
      <c r="X161" s="4050"/>
      <c r="Y161" s="4050"/>
      <c r="Z161" s="4050"/>
      <c r="AA161" s="4050"/>
      <c r="AB161" s="4050"/>
      <c r="AC161" s="3031">
        <f>SUM(N161)</f>
        <v>5.8507600000000002</v>
      </c>
      <c r="AD161" s="3031">
        <f>SUM(N161)</f>
        <v>5.8507600000000002</v>
      </c>
      <c r="AE161" s="3033">
        <f>SUM(S161:AD161)/3</f>
        <v>5.8507600000000002</v>
      </c>
    </row>
    <row r="162" spans="1:31" ht="18.75" hidden="1">
      <c r="A162" s="5526" t="s">
        <v>1565</v>
      </c>
      <c r="B162" s="5527"/>
      <c r="C162" s="5528"/>
      <c r="D162" s="3035">
        <f>SUM(D160*D161)</f>
        <v>0</v>
      </c>
      <c r="E162" s="3034">
        <f t="shared" ref="E162:S162" si="88">SUM(E160*E161)</f>
        <v>0</v>
      </c>
      <c r="F162" s="3034">
        <f t="shared" si="88"/>
        <v>0</v>
      </c>
      <c r="G162" s="3034">
        <f t="shared" si="88"/>
        <v>0</v>
      </c>
      <c r="H162" s="3035">
        <f t="shared" si="88"/>
        <v>0</v>
      </c>
      <c r="I162" s="3034">
        <f t="shared" si="88"/>
        <v>0</v>
      </c>
      <c r="J162" s="3034">
        <f t="shared" si="88"/>
        <v>0</v>
      </c>
      <c r="K162" s="3034">
        <f t="shared" si="88"/>
        <v>0</v>
      </c>
      <c r="L162" s="3035">
        <f t="shared" si="88"/>
        <v>0</v>
      </c>
      <c r="M162" s="3035">
        <f t="shared" si="88"/>
        <v>0</v>
      </c>
      <c r="N162" s="3034">
        <f t="shared" si="88"/>
        <v>0</v>
      </c>
      <c r="O162" s="3034">
        <f t="shared" si="88"/>
        <v>0</v>
      </c>
      <c r="P162" s="3034">
        <f t="shared" si="88"/>
        <v>0</v>
      </c>
      <c r="Q162" s="3035">
        <f t="shared" si="88"/>
        <v>0</v>
      </c>
      <c r="R162" s="3035">
        <f t="shared" si="88"/>
        <v>0</v>
      </c>
      <c r="S162" s="3034">
        <f t="shared" si="88"/>
        <v>0</v>
      </c>
      <c r="T162" s="4051"/>
      <c r="U162" s="4051"/>
      <c r="V162" s="4051"/>
      <c r="W162" s="4051"/>
      <c r="X162" s="4051"/>
      <c r="Y162" s="4051"/>
      <c r="Z162" s="4051"/>
      <c r="AA162" s="4051"/>
      <c r="AB162" s="4051"/>
      <c r="AC162" s="3034">
        <f t="shared" ref="AC162:AE162" si="89">SUM(AC160*AC161)</f>
        <v>0</v>
      </c>
      <c r="AD162" s="3034">
        <f t="shared" si="89"/>
        <v>0</v>
      </c>
      <c r="AE162" s="3036">
        <f t="shared" si="89"/>
        <v>0</v>
      </c>
    </row>
    <row r="163" spans="1:31" ht="18.75" hidden="1">
      <c r="A163" s="5529" t="s">
        <v>1577</v>
      </c>
      <c r="B163" s="5530"/>
      <c r="C163" s="5531"/>
      <c r="D163" s="3032">
        <f>SUM(P110)</f>
        <v>0</v>
      </c>
      <c r="E163" s="3032">
        <f>SUM(D163)</f>
        <v>0</v>
      </c>
      <c r="F163" s="3032">
        <f>SUM(D163)</f>
        <v>0</v>
      </c>
      <c r="G163" s="3032">
        <f>SUM(D163)</f>
        <v>0</v>
      </c>
      <c r="H163" s="3032">
        <f>SUM(D163)</f>
        <v>0</v>
      </c>
      <c r="I163" s="3032">
        <f>SUM(D163)</f>
        <v>0</v>
      </c>
      <c r="J163" s="3032">
        <f>SUM(D163)</f>
        <v>0</v>
      </c>
      <c r="K163" s="3032">
        <f>SUM(D163)</f>
        <v>0</v>
      </c>
      <c r="L163" s="3032">
        <f>SUM(D163)</f>
        <v>0</v>
      </c>
      <c r="M163" s="3032">
        <f>SUM(D163)</f>
        <v>0</v>
      </c>
      <c r="N163" s="3032">
        <f>SUM(D163)</f>
        <v>0</v>
      </c>
      <c r="O163" s="3032">
        <f>SUM(D163)</f>
        <v>0</v>
      </c>
      <c r="P163" s="3032">
        <f>SUM(D163)</f>
        <v>0</v>
      </c>
      <c r="Q163" s="3032">
        <f>SUM(D163)</f>
        <v>0</v>
      </c>
      <c r="R163" s="3032">
        <f>SUM(D163)</f>
        <v>0</v>
      </c>
      <c r="S163" s="3032">
        <f>SUM(D163)</f>
        <v>0</v>
      </c>
      <c r="T163" s="4052"/>
      <c r="U163" s="4052"/>
      <c r="V163" s="4052"/>
      <c r="W163" s="4052"/>
      <c r="X163" s="4052"/>
      <c r="Y163" s="4052"/>
      <c r="Z163" s="4052"/>
      <c r="AA163" s="4052"/>
      <c r="AB163" s="4052"/>
      <c r="AC163" s="3032">
        <f>SUM(D163)</f>
        <v>0</v>
      </c>
      <c r="AD163" s="3032">
        <f>SUM(D163)</f>
        <v>0</v>
      </c>
      <c r="AE163" s="3033">
        <f>SUM(D163)</f>
        <v>0</v>
      </c>
    </row>
    <row r="164" spans="1:31" ht="18.75" hidden="1">
      <c r="A164" s="5529" t="s">
        <v>1576</v>
      </c>
      <c r="B164" s="5530"/>
      <c r="C164" s="5531"/>
      <c r="D164" s="3035" t="e">
        <f>SUM(D163*D167)</f>
        <v>#REF!</v>
      </c>
      <c r="E164" s="3035" t="e">
        <f t="shared" ref="E164:S164" si="90">SUM(E163*E167)</f>
        <v>#REF!</v>
      </c>
      <c r="F164" s="3035" t="e">
        <f t="shared" si="90"/>
        <v>#REF!</v>
      </c>
      <c r="G164" s="3035" t="e">
        <f t="shared" si="90"/>
        <v>#REF!</v>
      </c>
      <c r="H164" s="3035" t="e">
        <f t="shared" si="90"/>
        <v>#REF!</v>
      </c>
      <c r="I164" s="3035" t="e">
        <f t="shared" si="90"/>
        <v>#REF!</v>
      </c>
      <c r="J164" s="3035" t="e">
        <f t="shared" si="90"/>
        <v>#REF!</v>
      </c>
      <c r="K164" s="3035" t="e">
        <f t="shared" si="90"/>
        <v>#REF!</v>
      </c>
      <c r="L164" s="3035" t="e">
        <f t="shared" si="90"/>
        <v>#REF!</v>
      </c>
      <c r="M164" s="3035" t="e">
        <f t="shared" si="90"/>
        <v>#REF!</v>
      </c>
      <c r="N164" s="3035" t="e">
        <f t="shared" si="90"/>
        <v>#REF!</v>
      </c>
      <c r="O164" s="3035" t="e">
        <f t="shared" si="90"/>
        <v>#REF!</v>
      </c>
      <c r="P164" s="3035" t="e">
        <f t="shared" si="90"/>
        <v>#REF!</v>
      </c>
      <c r="Q164" s="3035" t="e">
        <f t="shared" si="90"/>
        <v>#REF!</v>
      </c>
      <c r="R164" s="3035" t="e">
        <f t="shared" si="90"/>
        <v>#REF!</v>
      </c>
      <c r="S164" s="3035" t="e">
        <f t="shared" si="90"/>
        <v>#REF!</v>
      </c>
      <c r="T164" s="4053"/>
      <c r="U164" s="4053"/>
      <c r="V164" s="4053"/>
      <c r="W164" s="4053"/>
      <c r="X164" s="4053"/>
      <c r="Y164" s="4053"/>
      <c r="Z164" s="4053"/>
      <c r="AA164" s="4053"/>
      <c r="AB164" s="4053"/>
      <c r="AC164" s="3035" t="e">
        <f t="shared" ref="AC164:AE164" si="91">SUM(AC163*AC167)</f>
        <v>#REF!</v>
      </c>
      <c r="AD164" s="3035" t="e">
        <f t="shared" si="91"/>
        <v>#REF!</v>
      </c>
      <c r="AE164" s="3036" t="e">
        <f t="shared" si="91"/>
        <v>#REF!</v>
      </c>
    </row>
    <row r="165" spans="1:31" ht="18.75" hidden="1">
      <c r="A165" s="5529" t="s">
        <v>1564</v>
      </c>
      <c r="B165" s="5530"/>
      <c r="C165" s="5531"/>
      <c r="D165" s="3032">
        <f>SUM(N101)</f>
        <v>0</v>
      </c>
      <c r="E165" s="3032">
        <f>SUM(E161*AG165)</f>
        <v>0</v>
      </c>
      <c r="F165" s="3032">
        <f>SUM(E165)</f>
        <v>0</v>
      </c>
      <c r="G165" s="3032">
        <f>SUM(E165)</f>
        <v>0</v>
      </c>
      <c r="H165" s="3032">
        <f>SUM(E165:G165)/3</f>
        <v>0</v>
      </c>
      <c r="I165" s="3032">
        <f>SUM(E165)</f>
        <v>0</v>
      </c>
      <c r="J165" s="3032">
        <f>SUM(E165)</f>
        <v>0</v>
      </c>
      <c r="K165" s="3032">
        <f>SUM(E165)</f>
        <v>0</v>
      </c>
      <c r="L165" s="3032">
        <f>SUM(I165:K165)/3</f>
        <v>0</v>
      </c>
      <c r="M165" s="3032">
        <f>SUM(E165+F165+G165+I165+J165+K165)/6</f>
        <v>0</v>
      </c>
      <c r="N165" s="3032">
        <f>SUM(N161)</f>
        <v>5.8507600000000002</v>
      </c>
      <c r="O165" s="3032">
        <f>SUM(N165)</f>
        <v>5.8507600000000002</v>
      </c>
      <c r="P165" s="3032">
        <f>SUM(N165)</f>
        <v>5.8507600000000002</v>
      </c>
      <c r="Q165" s="3032">
        <f>SUM(N165:P165)/3</f>
        <v>5.8507600000000002</v>
      </c>
      <c r="R165" s="3032">
        <f>SUM(E165+F165+G165+I165+J165+K165+N165+O165+P165)/9</f>
        <v>1.9502533333333334</v>
      </c>
      <c r="S165" s="3032">
        <f>SUM(N165)</f>
        <v>5.8507600000000002</v>
      </c>
      <c r="T165" s="4052"/>
      <c r="U165" s="4052"/>
      <c r="V165" s="4052"/>
      <c r="W165" s="4052"/>
      <c r="X165" s="4052"/>
      <c r="Y165" s="4052"/>
      <c r="Z165" s="4052"/>
      <c r="AA165" s="4052"/>
      <c r="AB165" s="4052"/>
      <c r="AC165" s="3032">
        <f>SUM(N165)</f>
        <v>5.8507600000000002</v>
      </c>
      <c r="AD165" s="3032">
        <f>SUM(N165)</f>
        <v>5.8507600000000002</v>
      </c>
      <c r="AE165" s="3033">
        <f>SUM(S165:AD165)/3</f>
        <v>5.8507600000000002</v>
      </c>
    </row>
    <row r="166" spans="1:31" ht="18.75" hidden="1">
      <c r="A166" s="5529" t="s">
        <v>1567</v>
      </c>
      <c r="B166" s="5530"/>
      <c r="C166" s="5531"/>
      <c r="D166" s="3035" t="e">
        <f>SUM(D164*D165)</f>
        <v>#REF!</v>
      </c>
      <c r="E166" s="3035" t="e">
        <f t="shared" ref="E166:S166" si="92">SUM(E164*E165)</f>
        <v>#REF!</v>
      </c>
      <c r="F166" s="3035" t="e">
        <f t="shared" si="92"/>
        <v>#REF!</v>
      </c>
      <c r="G166" s="3035" t="e">
        <f t="shared" si="92"/>
        <v>#REF!</v>
      </c>
      <c r="H166" s="3035" t="e">
        <f t="shared" si="92"/>
        <v>#REF!</v>
      </c>
      <c r="I166" s="3035" t="e">
        <f t="shared" si="92"/>
        <v>#REF!</v>
      </c>
      <c r="J166" s="3035" t="e">
        <f t="shared" si="92"/>
        <v>#REF!</v>
      </c>
      <c r="K166" s="3035" t="e">
        <f t="shared" si="92"/>
        <v>#REF!</v>
      </c>
      <c r="L166" s="3035" t="e">
        <f t="shared" si="92"/>
        <v>#REF!</v>
      </c>
      <c r="M166" s="3035" t="e">
        <f t="shared" si="92"/>
        <v>#REF!</v>
      </c>
      <c r="N166" s="3035" t="e">
        <f t="shared" si="92"/>
        <v>#REF!</v>
      </c>
      <c r="O166" s="3035" t="e">
        <f t="shared" si="92"/>
        <v>#REF!</v>
      </c>
      <c r="P166" s="3035" t="e">
        <f t="shared" si="92"/>
        <v>#REF!</v>
      </c>
      <c r="Q166" s="3035" t="e">
        <f t="shared" si="92"/>
        <v>#REF!</v>
      </c>
      <c r="R166" s="3035" t="e">
        <f t="shared" si="92"/>
        <v>#REF!</v>
      </c>
      <c r="S166" s="3035" t="e">
        <f t="shared" si="92"/>
        <v>#REF!</v>
      </c>
      <c r="T166" s="4053"/>
      <c r="U166" s="4053"/>
      <c r="V166" s="4053"/>
      <c r="W166" s="4053"/>
      <c r="X166" s="4053"/>
      <c r="Y166" s="4053"/>
      <c r="Z166" s="4053"/>
      <c r="AA166" s="4053"/>
      <c r="AB166" s="4053"/>
      <c r="AC166" s="3035" t="e">
        <f t="shared" ref="AC166:AE166" si="93">SUM(AC164*AC165)</f>
        <v>#REF!</v>
      </c>
      <c r="AD166" s="3035" t="e">
        <f t="shared" si="93"/>
        <v>#REF!</v>
      </c>
      <c r="AE166" s="3036" t="e">
        <f t="shared" si="93"/>
        <v>#REF!</v>
      </c>
    </row>
    <row r="167" spans="1:31" ht="18.75" hidden="1">
      <c r="A167" s="5529" t="s">
        <v>1587</v>
      </c>
      <c r="B167" s="5530"/>
      <c r="C167" s="5531"/>
      <c r="D167" s="3035" t="e">
        <f>SUM('Произв. прогр. Стоки'!#REF!)</f>
        <v>#REF!</v>
      </c>
      <c r="E167" s="3035" t="e">
        <f>SUM('Произв. прогр. Стоки'!#REF!)</f>
        <v>#REF!</v>
      </c>
      <c r="F167" s="3035" t="e">
        <f>SUM('Произв. прогр. Стоки'!#REF!)</f>
        <v>#REF!</v>
      </c>
      <c r="G167" s="3035" t="e">
        <f>SUM('Произв. прогр. Стоки'!#REF!)</f>
        <v>#REF!</v>
      </c>
      <c r="H167" s="3035" t="e">
        <f>SUM(E167:G167)</f>
        <v>#REF!</v>
      </c>
      <c r="I167" s="3035" t="e">
        <f>SUM('Произв. прогр. Стоки'!#REF!)</f>
        <v>#REF!</v>
      </c>
      <c r="J167" s="3035" t="e">
        <f>SUM('Произв. прогр. Стоки'!#REF!)</f>
        <v>#REF!</v>
      </c>
      <c r="K167" s="3035" t="e">
        <f>SUM('Произв. прогр. Стоки'!#REF!)</f>
        <v>#REF!</v>
      </c>
      <c r="L167" s="3035" t="e">
        <f>SUM(I167:K167)</f>
        <v>#REF!</v>
      </c>
      <c r="M167" s="3035" t="e">
        <f>SUM(H167+L167)</f>
        <v>#REF!</v>
      </c>
      <c r="N167" s="3035" t="e">
        <f>SUM('Произв. прогр. Стоки'!#REF!)</f>
        <v>#REF!</v>
      </c>
      <c r="O167" s="3035" t="e">
        <f>SUM('Произв. прогр. Стоки'!#REF!)</f>
        <v>#REF!</v>
      </c>
      <c r="P167" s="3035" t="e">
        <f>SUM('Произв. прогр. Стоки'!#REF!)</f>
        <v>#REF!</v>
      </c>
      <c r="Q167" s="3035" t="e">
        <f>SUM(N167:P167)</f>
        <v>#REF!</v>
      </c>
      <c r="R167" s="3035" t="e">
        <f>SUM(M167+Q167)</f>
        <v>#REF!</v>
      </c>
      <c r="S167" s="3035" t="e">
        <f>SUM('Произв. прогр. Стоки'!#REF!)</f>
        <v>#REF!</v>
      </c>
      <c r="T167" s="4053"/>
      <c r="U167" s="4053"/>
      <c r="V167" s="4053"/>
      <c r="W167" s="4053"/>
      <c r="X167" s="4053"/>
      <c r="Y167" s="4053"/>
      <c r="Z167" s="4053"/>
      <c r="AA167" s="4053"/>
      <c r="AB167" s="4053"/>
      <c r="AC167" s="3035" t="e">
        <f>SUM('Произв. прогр. Стоки'!#REF!)</f>
        <v>#REF!</v>
      </c>
      <c r="AD167" s="3035" t="e">
        <f>SUM('Произв. прогр. Стоки'!#REF!)</f>
        <v>#REF!</v>
      </c>
      <c r="AE167" s="3036" t="e">
        <f>SUM(S167:AD167)</f>
        <v>#REF!</v>
      </c>
    </row>
    <row r="168" spans="1:31" ht="18.75" hidden="1">
      <c r="A168" s="5526" t="s">
        <v>1579</v>
      </c>
      <c r="B168" s="5527"/>
      <c r="C168" s="5528"/>
      <c r="D168" s="3035">
        <f>SUM(O103)</f>
        <v>0</v>
      </c>
      <c r="E168" s="3049">
        <f>SUM(D168/12)</f>
        <v>0</v>
      </c>
      <c r="F168" s="3049">
        <f>SUM(E168)</f>
        <v>0</v>
      </c>
      <c r="G168" s="3049">
        <f>SUM(E168)</f>
        <v>0</v>
      </c>
      <c r="H168" s="3035">
        <f>SUM(E168:G168)</f>
        <v>0</v>
      </c>
      <c r="I168" s="3049">
        <f>SUM(E168)</f>
        <v>0</v>
      </c>
      <c r="J168" s="3049">
        <f>SUM(E168)</f>
        <v>0</v>
      </c>
      <c r="K168" s="3049">
        <f>SUM(E168)</f>
        <v>0</v>
      </c>
      <c r="L168" s="3035">
        <f>SUM(I168:K168)</f>
        <v>0</v>
      </c>
      <c r="M168" s="3035">
        <f>SUM(H168+L168)</f>
        <v>0</v>
      </c>
      <c r="N168" s="3049">
        <f>SUM(E168)</f>
        <v>0</v>
      </c>
      <c r="O168" s="3049">
        <f>SUM(E168)</f>
        <v>0</v>
      </c>
      <c r="P168" s="3049">
        <f>SUM(E168)</f>
        <v>0</v>
      </c>
      <c r="Q168" s="3035">
        <f>SUM(N168:P168)</f>
        <v>0</v>
      </c>
      <c r="R168" s="3035">
        <f>SUM(M168+Q168)</f>
        <v>0</v>
      </c>
      <c r="S168" s="3049">
        <f>SUM(E168)</f>
        <v>0</v>
      </c>
      <c r="T168" s="4054"/>
      <c r="U168" s="4054"/>
      <c r="V168" s="4054"/>
      <c r="W168" s="4054"/>
      <c r="X168" s="4054"/>
      <c r="Y168" s="4054"/>
      <c r="Z168" s="4054"/>
      <c r="AA168" s="4054"/>
      <c r="AB168" s="4054"/>
      <c r="AC168" s="3049">
        <f>SUM(E168)</f>
        <v>0</v>
      </c>
      <c r="AD168" s="3049">
        <f>SUM(E168)</f>
        <v>0</v>
      </c>
      <c r="AE168" s="3036">
        <f>SUM(S168:AD168)</f>
        <v>0</v>
      </c>
    </row>
    <row r="169" spans="1:31" ht="18.75" hidden="1">
      <c r="A169" s="5544" t="s">
        <v>1564</v>
      </c>
      <c r="B169" s="5545"/>
      <c r="C169" s="5546"/>
      <c r="D169" s="3032">
        <f>SUM(N103)</f>
        <v>0</v>
      </c>
      <c r="E169" s="3031">
        <v>4.1670499999999997</v>
      </c>
      <c r="F169" s="3031">
        <f>SUM(E169)</f>
        <v>4.1670499999999997</v>
      </c>
      <c r="G169" s="3031">
        <f>SUM(E169)</f>
        <v>4.1670499999999997</v>
      </c>
      <c r="H169" s="3032">
        <f>SUM(E169:G169)/3</f>
        <v>4.1670499999999997</v>
      </c>
      <c r="I169" s="3031">
        <f>SUM(E169)</f>
        <v>4.1670499999999997</v>
      </c>
      <c r="J169" s="3031">
        <f>SUM(E169)</f>
        <v>4.1670499999999997</v>
      </c>
      <c r="K169" s="3031">
        <f>SUM(E169)</f>
        <v>4.1670499999999997</v>
      </c>
      <c r="L169" s="3032">
        <f>SUM(I169:K169)/3</f>
        <v>4.1670499999999997</v>
      </c>
      <c r="M169" s="3032">
        <f>SUM(E169+F169+G169+I169+J169+K169)/6</f>
        <v>4.1670499999999997</v>
      </c>
      <c r="N169" s="3031">
        <f>SUM(K169*1.07)</f>
        <v>4.4587434999999997</v>
      </c>
      <c r="O169" s="3031">
        <f>SUM(N169)</f>
        <v>4.4587434999999997</v>
      </c>
      <c r="P169" s="3031">
        <f>SUM(N169)</f>
        <v>4.4587434999999997</v>
      </c>
      <c r="Q169" s="3032">
        <f>SUM(N169:P169)/3</f>
        <v>4.4587434999999997</v>
      </c>
      <c r="R169" s="3032">
        <f>SUM(E169+F169+G169+I169+J169+K169+N169+O169+P169)/9</f>
        <v>4.2642811666666667</v>
      </c>
      <c r="S169" s="3031">
        <f>SUM(N169)</f>
        <v>4.4587434999999997</v>
      </c>
      <c r="T169" s="4050"/>
      <c r="U169" s="4050"/>
      <c r="V169" s="4050"/>
      <c r="W169" s="4050"/>
      <c r="X169" s="4050"/>
      <c r="Y169" s="4050"/>
      <c r="Z169" s="4050"/>
      <c r="AA169" s="4050"/>
      <c r="AB169" s="4050"/>
      <c r="AC169" s="3031">
        <f>SUM(N169)</f>
        <v>4.4587434999999997</v>
      </c>
      <c r="AD169" s="3031">
        <f>SUM(N169)</f>
        <v>4.4587434999999997</v>
      </c>
      <c r="AE169" s="3033">
        <f>SUM(S169:AD169)/3</f>
        <v>4.4587434999999997</v>
      </c>
    </row>
    <row r="170" spans="1:31" ht="18.75" hidden="1">
      <c r="A170" s="5526" t="s">
        <v>1565</v>
      </c>
      <c r="B170" s="5527"/>
      <c r="C170" s="5528"/>
      <c r="D170" s="3035">
        <f>SUM(D168*D169)</f>
        <v>0</v>
      </c>
      <c r="E170" s="3034">
        <f t="shared" ref="E170:S170" si="94">SUM(E168*E169)</f>
        <v>0</v>
      </c>
      <c r="F170" s="3034">
        <f t="shared" si="94"/>
        <v>0</v>
      </c>
      <c r="G170" s="3034">
        <f t="shared" si="94"/>
        <v>0</v>
      </c>
      <c r="H170" s="3035">
        <f t="shared" si="94"/>
        <v>0</v>
      </c>
      <c r="I170" s="3034">
        <f t="shared" si="94"/>
        <v>0</v>
      </c>
      <c r="J170" s="3034">
        <f t="shared" si="94"/>
        <v>0</v>
      </c>
      <c r="K170" s="3034">
        <f t="shared" si="94"/>
        <v>0</v>
      </c>
      <c r="L170" s="3035">
        <f t="shared" si="94"/>
        <v>0</v>
      </c>
      <c r="M170" s="3035">
        <f t="shared" si="94"/>
        <v>0</v>
      </c>
      <c r="N170" s="3034">
        <f t="shared" si="94"/>
        <v>0</v>
      </c>
      <c r="O170" s="3034">
        <f t="shared" si="94"/>
        <v>0</v>
      </c>
      <c r="P170" s="3034">
        <f t="shared" si="94"/>
        <v>0</v>
      </c>
      <c r="Q170" s="3035">
        <f t="shared" si="94"/>
        <v>0</v>
      </c>
      <c r="R170" s="3035">
        <f t="shared" si="94"/>
        <v>0</v>
      </c>
      <c r="S170" s="3034">
        <f t="shared" si="94"/>
        <v>0</v>
      </c>
      <c r="T170" s="4051"/>
      <c r="U170" s="4051"/>
      <c r="V170" s="4051"/>
      <c r="W170" s="4051"/>
      <c r="X170" s="4051"/>
      <c r="Y170" s="4051"/>
      <c r="Z170" s="4051"/>
      <c r="AA170" s="4051"/>
      <c r="AB170" s="4051"/>
      <c r="AC170" s="3034">
        <f t="shared" ref="AC170:AE170" si="95">SUM(AC168*AC169)</f>
        <v>0</v>
      </c>
      <c r="AD170" s="3034">
        <f t="shared" si="95"/>
        <v>0</v>
      </c>
      <c r="AE170" s="3036">
        <f t="shared" si="95"/>
        <v>0</v>
      </c>
    </row>
    <row r="171" spans="1:31" ht="18.75" hidden="1">
      <c r="A171" s="5529" t="s">
        <v>1580</v>
      </c>
      <c r="B171" s="5530"/>
      <c r="C171" s="5531"/>
      <c r="D171" s="3032">
        <f>SUM(P111)</f>
        <v>0</v>
      </c>
      <c r="E171" s="3032">
        <f>SUM(D171)</f>
        <v>0</v>
      </c>
      <c r="F171" s="3032">
        <f>SUM(D171)</f>
        <v>0</v>
      </c>
      <c r="G171" s="3032">
        <f>SUM(D171)</f>
        <v>0</v>
      </c>
      <c r="H171" s="3032">
        <f>SUM(D171)</f>
        <v>0</v>
      </c>
      <c r="I171" s="3032">
        <f>SUM(D171)</f>
        <v>0</v>
      </c>
      <c r="J171" s="3032">
        <f>SUM(D171)</f>
        <v>0</v>
      </c>
      <c r="K171" s="3032">
        <f>SUM(D171)</f>
        <v>0</v>
      </c>
      <c r="L171" s="3032">
        <f>SUM(D171)</f>
        <v>0</v>
      </c>
      <c r="M171" s="3032">
        <f>SUM(D171)</f>
        <v>0</v>
      </c>
      <c r="N171" s="3032">
        <f>SUM(D171)</f>
        <v>0</v>
      </c>
      <c r="O171" s="3032">
        <f>SUM(D171)</f>
        <v>0</v>
      </c>
      <c r="P171" s="3032">
        <f>SUM(D171)</f>
        <v>0</v>
      </c>
      <c r="Q171" s="3032">
        <f>SUM(D171)</f>
        <v>0</v>
      </c>
      <c r="R171" s="3032">
        <f>SUM(D171)</f>
        <v>0</v>
      </c>
      <c r="S171" s="3032">
        <f>SUM(D171)</f>
        <v>0</v>
      </c>
      <c r="T171" s="4052"/>
      <c r="U171" s="4052"/>
      <c r="V171" s="4052"/>
      <c r="W171" s="4052"/>
      <c r="X171" s="4052"/>
      <c r="Y171" s="4052"/>
      <c r="Z171" s="4052"/>
      <c r="AA171" s="4052"/>
      <c r="AB171" s="4052"/>
      <c r="AC171" s="3032">
        <f>SUM(D171)</f>
        <v>0</v>
      </c>
      <c r="AD171" s="3032">
        <f>SUM(D171)</f>
        <v>0</v>
      </c>
      <c r="AE171" s="3033">
        <f>SUM(D171)</f>
        <v>0</v>
      </c>
    </row>
    <row r="172" spans="1:31" ht="18.75" hidden="1">
      <c r="A172" s="5529" t="s">
        <v>1581</v>
      </c>
      <c r="B172" s="5530"/>
      <c r="C172" s="5531"/>
      <c r="D172" s="3035" t="e">
        <f>SUM(D171*D175)</f>
        <v>#REF!</v>
      </c>
      <c r="E172" s="3035" t="e">
        <f t="shared" ref="E172:S172" si="96">SUM(E171*E175)</f>
        <v>#REF!</v>
      </c>
      <c r="F172" s="3035" t="e">
        <f t="shared" si="96"/>
        <v>#REF!</v>
      </c>
      <c r="G172" s="3035" t="e">
        <f t="shared" si="96"/>
        <v>#REF!</v>
      </c>
      <c r="H172" s="3035" t="e">
        <f t="shared" si="96"/>
        <v>#REF!</v>
      </c>
      <c r="I172" s="3035" t="e">
        <f t="shared" si="96"/>
        <v>#REF!</v>
      </c>
      <c r="J172" s="3035" t="e">
        <f t="shared" si="96"/>
        <v>#REF!</v>
      </c>
      <c r="K172" s="3035" t="e">
        <f t="shared" si="96"/>
        <v>#REF!</v>
      </c>
      <c r="L172" s="3035" t="e">
        <f t="shared" si="96"/>
        <v>#REF!</v>
      </c>
      <c r="M172" s="3035" t="e">
        <f t="shared" si="96"/>
        <v>#REF!</v>
      </c>
      <c r="N172" s="3035" t="e">
        <f t="shared" si="96"/>
        <v>#REF!</v>
      </c>
      <c r="O172" s="3035" t="e">
        <f t="shared" si="96"/>
        <v>#REF!</v>
      </c>
      <c r="P172" s="3035" t="e">
        <f t="shared" si="96"/>
        <v>#REF!</v>
      </c>
      <c r="Q172" s="3035" t="e">
        <f t="shared" si="96"/>
        <v>#REF!</v>
      </c>
      <c r="R172" s="3035" t="e">
        <f t="shared" si="96"/>
        <v>#REF!</v>
      </c>
      <c r="S172" s="3035" t="e">
        <f t="shared" si="96"/>
        <v>#REF!</v>
      </c>
      <c r="T172" s="4053"/>
      <c r="U172" s="4053"/>
      <c r="V172" s="4053"/>
      <c r="W172" s="4053"/>
      <c r="X172" s="4053"/>
      <c r="Y172" s="4053"/>
      <c r="Z172" s="4053"/>
      <c r="AA172" s="4053"/>
      <c r="AB172" s="4053"/>
      <c r="AC172" s="3035" t="e">
        <f t="shared" ref="AC172:AE172" si="97">SUM(AC171*AC175)</f>
        <v>#REF!</v>
      </c>
      <c r="AD172" s="3035" t="e">
        <f t="shared" si="97"/>
        <v>#REF!</v>
      </c>
      <c r="AE172" s="3036" t="e">
        <f t="shared" si="97"/>
        <v>#REF!</v>
      </c>
    </row>
    <row r="173" spans="1:31" ht="18.75" hidden="1">
      <c r="A173" s="5529" t="s">
        <v>1564</v>
      </c>
      <c r="B173" s="5530"/>
      <c r="C173" s="5531"/>
      <c r="D173" s="3032">
        <f>SUM(N103)</f>
        <v>0</v>
      </c>
      <c r="E173" s="3032">
        <f>SUM(E169*AG173)</f>
        <v>0</v>
      </c>
      <c r="F173" s="3032">
        <f>SUM(E173)</f>
        <v>0</v>
      </c>
      <c r="G173" s="3032">
        <f>SUM(E173)</f>
        <v>0</v>
      </c>
      <c r="H173" s="3032">
        <f>SUM(E173:G173)/3</f>
        <v>0</v>
      </c>
      <c r="I173" s="3032">
        <f>SUM(E173)</f>
        <v>0</v>
      </c>
      <c r="J173" s="3032">
        <f>SUM(E173)</f>
        <v>0</v>
      </c>
      <c r="K173" s="3032">
        <f>SUM(E173)</f>
        <v>0</v>
      </c>
      <c r="L173" s="3032">
        <f>SUM(I173:K173)/3</f>
        <v>0</v>
      </c>
      <c r="M173" s="3032">
        <f>SUM(E173+F173+G173+I173+J173+K173)/6</f>
        <v>0</v>
      </c>
      <c r="N173" s="3032">
        <f>SUM(N169)</f>
        <v>4.4587434999999997</v>
      </c>
      <c r="O173" s="3032">
        <f>SUM(N173)</f>
        <v>4.4587434999999997</v>
      </c>
      <c r="P173" s="3032">
        <f>SUM(N173)</f>
        <v>4.4587434999999997</v>
      </c>
      <c r="Q173" s="3032">
        <f>SUM(N173:P173)/3</f>
        <v>4.4587434999999997</v>
      </c>
      <c r="R173" s="3032">
        <f>SUM(E173+F173+G173+I173+J173+K173+N173+O173+P173)/9</f>
        <v>1.4862478333333331</v>
      </c>
      <c r="S173" s="3032">
        <f>SUM(N173)</f>
        <v>4.4587434999999997</v>
      </c>
      <c r="T173" s="4052"/>
      <c r="U173" s="4052"/>
      <c r="V173" s="4052"/>
      <c r="W173" s="4052"/>
      <c r="X173" s="4052"/>
      <c r="Y173" s="4052"/>
      <c r="Z173" s="4052"/>
      <c r="AA173" s="4052"/>
      <c r="AB173" s="4052"/>
      <c r="AC173" s="3032">
        <f>SUM(N173)</f>
        <v>4.4587434999999997</v>
      </c>
      <c r="AD173" s="3032">
        <f>SUM(N173)</f>
        <v>4.4587434999999997</v>
      </c>
      <c r="AE173" s="3033">
        <f>SUM(S173:AD173)/3</f>
        <v>4.4587434999999997</v>
      </c>
    </row>
    <row r="174" spans="1:31" ht="18.75" hidden="1">
      <c r="A174" s="5529" t="s">
        <v>1567</v>
      </c>
      <c r="B174" s="5530"/>
      <c r="C174" s="5531"/>
      <c r="D174" s="3035" t="e">
        <f>SUM(D172*D173)</f>
        <v>#REF!</v>
      </c>
      <c r="E174" s="3035" t="e">
        <f t="shared" ref="E174:S174" si="98">SUM(E172*E173)</f>
        <v>#REF!</v>
      </c>
      <c r="F174" s="3035" t="e">
        <f t="shared" si="98"/>
        <v>#REF!</v>
      </c>
      <c r="G174" s="3035" t="e">
        <f t="shared" si="98"/>
        <v>#REF!</v>
      </c>
      <c r="H174" s="3035" t="e">
        <f t="shared" si="98"/>
        <v>#REF!</v>
      </c>
      <c r="I174" s="3035" t="e">
        <f t="shared" si="98"/>
        <v>#REF!</v>
      </c>
      <c r="J174" s="3035" t="e">
        <f t="shared" si="98"/>
        <v>#REF!</v>
      </c>
      <c r="K174" s="3035" t="e">
        <f t="shared" si="98"/>
        <v>#REF!</v>
      </c>
      <c r="L174" s="3035" t="e">
        <f t="shared" si="98"/>
        <v>#REF!</v>
      </c>
      <c r="M174" s="3035" t="e">
        <f t="shared" si="98"/>
        <v>#REF!</v>
      </c>
      <c r="N174" s="3035" t="e">
        <f t="shared" si="98"/>
        <v>#REF!</v>
      </c>
      <c r="O174" s="3035" t="e">
        <f t="shared" si="98"/>
        <v>#REF!</v>
      </c>
      <c r="P174" s="3035" t="e">
        <f t="shared" si="98"/>
        <v>#REF!</v>
      </c>
      <c r="Q174" s="3035" t="e">
        <f t="shared" si="98"/>
        <v>#REF!</v>
      </c>
      <c r="R174" s="3035" t="e">
        <f t="shared" si="98"/>
        <v>#REF!</v>
      </c>
      <c r="S174" s="3035" t="e">
        <f t="shared" si="98"/>
        <v>#REF!</v>
      </c>
      <c r="T174" s="4053"/>
      <c r="U174" s="4053"/>
      <c r="V174" s="4053"/>
      <c r="W174" s="4053"/>
      <c r="X174" s="4053"/>
      <c r="Y174" s="4053"/>
      <c r="Z174" s="4053"/>
      <c r="AA174" s="4053"/>
      <c r="AB174" s="4053"/>
      <c r="AC174" s="3035" t="e">
        <f t="shared" ref="AC174:AE174" si="99">SUM(AC172*AC173)</f>
        <v>#REF!</v>
      </c>
      <c r="AD174" s="3035" t="e">
        <f t="shared" si="99"/>
        <v>#REF!</v>
      </c>
      <c r="AE174" s="3036" t="e">
        <f t="shared" si="99"/>
        <v>#REF!</v>
      </c>
    </row>
    <row r="175" spans="1:31" ht="19.5" hidden="1" thickBot="1">
      <c r="A175" s="5532" t="s">
        <v>1578</v>
      </c>
      <c r="B175" s="5533"/>
      <c r="C175" s="5534"/>
      <c r="D175" s="3037" t="e">
        <f>SUM(D167)</f>
        <v>#REF!</v>
      </c>
      <c r="E175" s="3037" t="e">
        <f t="shared" ref="E175:G175" si="100">SUM(E167)</f>
        <v>#REF!</v>
      </c>
      <c r="F175" s="3037" t="e">
        <f t="shared" si="100"/>
        <v>#REF!</v>
      </c>
      <c r="G175" s="3037" t="e">
        <f t="shared" si="100"/>
        <v>#REF!</v>
      </c>
      <c r="H175" s="3037" t="e">
        <f>SUM(E175:G175)</f>
        <v>#REF!</v>
      </c>
      <c r="I175" s="3037" t="e">
        <f t="shared" ref="I175:K175" si="101">SUM(I167)</f>
        <v>#REF!</v>
      </c>
      <c r="J175" s="3037" t="e">
        <f t="shared" si="101"/>
        <v>#REF!</v>
      </c>
      <c r="K175" s="3037" t="e">
        <f t="shared" si="101"/>
        <v>#REF!</v>
      </c>
      <c r="L175" s="3037" t="e">
        <f>SUM(I175:K175)</f>
        <v>#REF!</v>
      </c>
      <c r="M175" s="3037" t="e">
        <f>SUM(H175+L175)</f>
        <v>#REF!</v>
      </c>
      <c r="N175" s="3037" t="e">
        <f t="shared" ref="N175:P175" si="102">SUM(N167)</f>
        <v>#REF!</v>
      </c>
      <c r="O175" s="3037" t="e">
        <f t="shared" si="102"/>
        <v>#REF!</v>
      </c>
      <c r="P175" s="3037" t="e">
        <f t="shared" si="102"/>
        <v>#REF!</v>
      </c>
      <c r="Q175" s="3037" t="e">
        <f>SUM(N175:P175)</f>
        <v>#REF!</v>
      </c>
      <c r="R175" s="3037" t="e">
        <f>SUM(M175+Q175)</f>
        <v>#REF!</v>
      </c>
      <c r="S175" s="3037" t="e">
        <f t="shared" ref="S175" si="103">SUM(S167)</f>
        <v>#REF!</v>
      </c>
      <c r="T175" s="4055"/>
      <c r="U175" s="4055"/>
      <c r="V175" s="4055"/>
      <c r="W175" s="4055"/>
      <c r="X175" s="4055"/>
      <c r="Y175" s="4055"/>
      <c r="Z175" s="4055"/>
      <c r="AA175" s="4055"/>
      <c r="AB175" s="4055"/>
      <c r="AC175" s="3037" t="e">
        <f t="shared" ref="AC175:AD175" si="104">SUM(AC167)</f>
        <v>#REF!</v>
      </c>
      <c r="AD175" s="3037" t="e">
        <f t="shared" si="104"/>
        <v>#REF!</v>
      </c>
      <c r="AE175" s="3044" t="e">
        <f>SUM(S175:AD175)</f>
        <v>#REF!</v>
      </c>
    </row>
    <row r="176" spans="1:31" ht="19.5" hidden="1" thickBot="1">
      <c r="A176" s="5535" t="s">
        <v>1582</v>
      </c>
      <c r="B176" s="5536"/>
      <c r="C176" s="5536"/>
      <c r="D176" s="5536"/>
      <c r="E176" s="5536"/>
      <c r="F176" s="5536"/>
      <c r="G176" s="5536"/>
      <c r="H176" s="5536"/>
      <c r="I176" s="5536"/>
      <c r="J176" s="5536"/>
      <c r="K176" s="5536"/>
      <c r="L176" s="5536"/>
      <c r="M176" s="5536"/>
      <c r="N176" s="5536"/>
      <c r="O176" s="5536"/>
      <c r="P176" s="5536"/>
      <c r="Q176" s="5536"/>
      <c r="R176" s="5536"/>
      <c r="S176" s="5536"/>
      <c r="T176" s="5536"/>
      <c r="U176" s="5536"/>
      <c r="V176" s="5536"/>
      <c r="W176" s="5536"/>
      <c r="X176" s="5536"/>
      <c r="Y176" s="5536"/>
      <c r="Z176" s="5536"/>
      <c r="AA176" s="5536"/>
      <c r="AB176" s="5536"/>
      <c r="AC176" s="5536"/>
      <c r="AD176" s="5536"/>
      <c r="AE176" s="5537"/>
    </row>
    <row r="177" spans="1:31" ht="18.75" hidden="1">
      <c r="A177" s="5538" t="s">
        <v>1573</v>
      </c>
      <c r="B177" s="5539"/>
      <c r="C177" s="5540"/>
      <c r="D177" s="2465" t="e">
        <f>SUM(D164+D172)</f>
        <v>#REF!</v>
      </c>
      <c r="E177" s="2465" t="e">
        <f t="shared" ref="E177:S177" si="105">SUM(E164+E172)</f>
        <v>#REF!</v>
      </c>
      <c r="F177" s="2465" t="e">
        <f t="shared" si="105"/>
        <v>#REF!</v>
      </c>
      <c r="G177" s="2465" t="e">
        <f t="shared" si="105"/>
        <v>#REF!</v>
      </c>
      <c r="H177" s="2465" t="e">
        <f t="shared" si="105"/>
        <v>#REF!</v>
      </c>
      <c r="I177" s="2465" t="e">
        <f t="shared" si="105"/>
        <v>#REF!</v>
      </c>
      <c r="J177" s="2465" t="e">
        <f t="shared" si="105"/>
        <v>#REF!</v>
      </c>
      <c r="K177" s="2465" t="e">
        <f t="shared" si="105"/>
        <v>#REF!</v>
      </c>
      <c r="L177" s="2465" t="e">
        <f t="shared" si="105"/>
        <v>#REF!</v>
      </c>
      <c r="M177" s="2465" t="e">
        <f t="shared" si="105"/>
        <v>#REF!</v>
      </c>
      <c r="N177" s="2465" t="e">
        <f t="shared" si="105"/>
        <v>#REF!</v>
      </c>
      <c r="O177" s="2465" t="e">
        <f t="shared" si="105"/>
        <v>#REF!</v>
      </c>
      <c r="P177" s="2465" t="e">
        <f t="shared" si="105"/>
        <v>#REF!</v>
      </c>
      <c r="Q177" s="2465" t="e">
        <f t="shared" si="105"/>
        <v>#REF!</v>
      </c>
      <c r="R177" s="2465" t="e">
        <f t="shared" si="105"/>
        <v>#REF!</v>
      </c>
      <c r="S177" s="2465" t="e">
        <f t="shared" si="105"/>
        <v>#REF!</v>
      </c>
      <c r="T177" s="2465"/>
      <c r="U177" s="2465"/>
      <c r="V177" s="2465"/>
      <c r="W177" s="2465"/>
      <c r="X177" s="2465"/>
      <c r="Y177" s="2465"/>
      <c r="Z177" s="2465"/>
      <c r="AA177" s="2465"/>
      <c r="AB177" s="2465"/>
      <c r="AC177" s="2465" t="e">
        <f t="shared" ref="AC177:AE177" si="106">SUM(AC164+AC172)</f>
        <v>#REF!</v>
      </c>
      <c r="AD177" s="2465" t="e">
        <f t="shared" si="106"/>
        <v>#REF!</v>
      </c>
      <c r="AE177" s="2469" t="e">
        <f t="shared" si="106"/>
        <v>#REF!</v>
      </c>
    </row>
    <row r="178" spans="1:31" ht="18.75" hidden="1">
      <c r="A178" s="5541" t="s">
        <v>1574</v>
      </c>
      <c r="B178" s="5542"/>
      <c r="C178" s="5543"/>
      <c r="D178" s="3038" t="e">
        <f>SUM(D179/D177)</f>
        <v>#REF!</v>
      </c>
      <c r="E178" s="3038" t="e">
        <f t="shared" ref="E178:S178" si="107">SUM(E179/E177)</f>
        <v>#REF!</v>
      </c>
      <c r="F178" s="3038" t="e">
        <f t="shared" si="107"/>
        <v>#REF!</v>
      </c>
      <c r="G178" s="3038" t="e">
        <f t="shared" si="107"/>
        <v>#REF!</v>
      </c>
      <c r="H178" s="3038" t="e">
        <f t="shared" si="107"/>
        <v>#REF!</v>
      </c>
      <c r="I178" s="3038" t="e">
        <f t="shared" si="107"/>
        <v>#REF!</v>
      </c>
      <c r="J178" s="3038" t="e">
        <f t="shared" si="107"/>
        <v>#REF!</v>
      </c>
      <c r="K178" s="3038" t="e">
        <f t="shared" si="107"/>
        <v>#REF!</v>
      </c>
      <c r="L178" s="3038" t="e">
        <f t="shared" si="107"/>
        <v>#REF!</v>
      </c>
      <c r="M178" s="3038" t="e">
        <f t="shared" si="107"/>
        <v>#REF!</v>
      </c>
      <c r="N178" s="3038" t="e">
        <f t="shared" si="107"/>
        <v>#REF!</v>
      </c>
      <c r="O178" s="3038" t="e">
        <f t="shared" si="107"/>
        <v>#REF!</v>
      </c>
      <c r="P178" s="3038" t="e">
        <f t="shared" si="107"/>
        <v>#REF!</v>
      </c>
      <c r="Q178" s="3038" t="e">
        <f t="shared" si="107"/>
        <v>#REF!</v>
      </c>
      <c r="R178" s="3038" t="e">
        <f t="shared" si="107"/>
        <v>#REF!</v>
      </c>
      <c r="S178" s="3038" t="e">
        <f t="shared" si="107"/>
        <v>#REF!</v>
      </c>
      <c r="T178" s="4056"/>
      <c r="U178" s="4056"/>
      <c r="V178" s="4056"/>
      <c r="W178" s="4056"/>
      <c r="X178" s="4056"/>
      <c r="Y178" s="4056"/>
      <c r="Z178" s="4056"/>
      <c r="AA178" s="4056"/>
      <c r="AB178" s="4056"/>
      <c r="AC178" s="3038" t="e">
        <f t="shared" ref="AC178:AE178" si="108">SUM(AC179/AC177)</f>
        <v>#REF!</v>
      </c>
      <c r="AD178" s="3038" t="e">
        <f t="shared" si="108"/>
        <v>#REF!</v>
      </c>
      <c r="AE178" s="3039" t="e">
        <f t="shared" si="108"/>
        <v>#REF!</v>
      </c>
    </row>
    <row r="179" spans="1:31" ht="19.5" hidden="1" thickBot="1">
      <c r="A179" s="5523" t="s">
        <v>1575</v>
      </c>
      <c r="B179" s="5524"/>
      <c r="C179" s="5525"/>
      <c r="D179" s="3042" t="e">
        <f>SUM(D166+D174)</f>
        <v>#REF!</v>
      </c>
      <c r="E179" s="3042" t="e">
        <f t="shared" ref="E179:S179" si="109">SUM(E166+E174)</f>
        <v>#REF!</v>
      </c>
      <c r="F179" s="3042" t="e">
        <f t="shared" si="109"/>
        <v>#REF!</v>
      </c>
      <c r="G179" s="3042" t="e">
        <f t="shared" si="109"/>
        <v>#REF!</v>
      </c>
      <c r="H179" s="3042" t="e">
        <f t="shared" si="109"/>
        <v>#REF!</v>
      </c>
      <c r="I179" s="3042" t="e">
        <f t="shared" si="109"/>
        <v>#REF!</v>
      </c>
      <c r="J179" s="3042" t="e">
        <f t="shared" si="109"/>
        <v>#REF!</v>
      </c>
      <c r="K179" s="3042" t="e">
        <f t="shared" si="109"/>
        <v>#REF!</v>
      </c>
      <c r="L179" s="3042" t="e">
        <f t="shared" si="109"/>
        <v>#REF!</v>
      </c>
      <c r="M179" s="3042" t="e">
        <f t="shared" si="109"/>
        <v>#REF!</v>
      </c>
      <c r="N179" s="3042" t="e">
        <f t="shared" si="109"/>
        <v>#REF!</v>
      </c>
      <c r="O179" s="3042" t="e">
        <f t="shared" si="109"/>
        <v>#REF!</v>
      </c>
      <c r="P179" s="3042" t="e">
        <f t="shared" si="109"/>
        <v>#REF!</v>
      </c>
      <c r="Q179" s="3042" t="e">
        <f t="shared" si="109"/>
        <v>#REF!</v>
      </c>
      <c r="R179" s="3042" t="e">
        <f t="shared" si="109"/>
        <v>#REF!</v>
      </c>
      <c r="S179" s="3042" t="e">
        <f t="shared" si="109"/>
        <v>#REF!</v>
      </c>
      <c r="T179" s="4058"/>
      <c r="U179" s="4058"/>
      <c r="V179" s="4058"/>
      <c r="W179" s="4058"/>
      <c r="X179" s="4058"/>
      <c r="Y179" s="4058"/>
      <c r="Z179" s="4058"/>
      <c r="AA179" s="4058"/>
      <c r="AB179" s="4058"/>
      <c r="AC179" s="3042" t="e">
        <f t="shared" ref="AC179:AE179" si="110">SUM(AC166+AC174)</f>
        <v>#REF!</v>
      </c>
      <c r="AD179" s="3042" t="e">
        <f t="shared" si="110"/>
        <v>#REF!</v>
      </c>
      <c r="AE179" s="3043" t="e">
        <f t="shared" si="110"/>
        <v>#REF!</v>
      </c>
    </row>
  </sheetData>
  <mergeCells count="235">
    <mergeCell ref="CS46:CS47"/>
    <mergeCell ref="AA46:AA47"/>
    <mergeCell ref="CH46:CH47"/>
    <mergeCell ref="CI46:CI47"/>
    <mergeCell ref="CK46:CK47"/>
    <mergeCell ref="CL46:CL47"/>
    <mergeCell ref="CN46:CN47"/>
    <mergeCell ref="CO46:CO47"/>
    <mergeCell ref="CP46:CP47"/>
    <mergeCell ref="CR46:CR47"/>
    <mergeCell ref="BY46:BY47"/>
    <mergeCell ref="BA46:BA47"/>
    <mergeCell ref="BC46:BC47"/>
    <mergeCell ref="BD46:BD47"/>
    <mergeCell ref="BE46:BG46"/>
    <mergeCell ref="BV46:BV47"/>
    <mergeCell ref="BW46:BW47"/>
    <mergeCell ref="BZ46:BZ47"/>
    <mergeCell ref="BL46:BL47"/>
    <mergeCell ref="BM46:BM47"/>
    <mergeCell ref="BO46:BO47"/>
    <mergeCell ref="BP46:BP47"/>
    <mergeCell ref="BR46:BR47"/>
    <mergeCell ref="BS46:BS47"/>
    <mergeCell ref="CF46:CF47"/>
    <mergeCell ref="A3:AL3"/>
    <mergeCell ref="AJ6:AL6"/>
    <mergeCell ref="AJ7:AJ8"/>
    <mergeCell ref="AK7:AK8"/>
    <mergeCell ref="AL7:AL8"/>
    <mergeCell ref="V7:W7"/>
    <mergeCell ref="Z7:AA7"/>
    <mergeCell ref="V6:Y6"/>
    <mergeCell ref="X7:X8"/>
    <mergeCell ref="R7:R8"/>
    <mergeCell ref="P7:P8"/>
    <mergeCell ref="R5:U6"/>
    <mergeCell ref="V5:AO5"/>
    <mergeCell ref="AC7:AC8"/>
    <mergeCell ref="M7:N8"/>
    <mergeCell ref="A5:A8"/>
    <mergeCell ref="H5:J6"/>
    <mergeCell ref="O7:O8"/>
    <mergeCell ref="AD6:AI6"/>
    <mergeCell ref="AD7:AD8"/>
    <mergeCell ref="AH7:AH8"/>
    <mergeCell ref="Y7:Y8"/>
    <mergeCell ref="CE46:CE47"/>
    <mergeCell ref="BC124:BC125"/>
    <mergeCell ref="AI87:AZ87"/>
    <mergeCell ref="AV46:AV47"/>
    <mergeCell ref="AW46:AW47"/>
    <mergeCell ref="A87:A88"/>
    <mergeCell ref="AH87:AH88"/>
    <mergeCell ref="A86:AZ86"/>
    <mergeCell ref="A72:M72"/>
    <mergeCell ref="X68:Z68"/>
    <mergeCell ref="A44:A47"/>
    <mergeCell ref="AJ46:AJ47"/>
    <mergeCell ref="AH44:AW44"/>
    <mergeCell ref="R46:R47"/>
    <mergeCell ref="AD46:AD47"/>
    <mergeCell ref="X45:AA45"/>
    <mergeCell ref="Y46:Y47"/>
    <mergeCell ref="Z46:Z47"/>
    <mergeCell ref="Q46:Q47"/>
    <mergeCell ref="L46:L47"/>
    <mergeCell ref="AO45:AQ45"/>
    <mergeCell ref="AC46:AC47"/>
    <mergeCell ref="K45:N45"/>
    <mergeCell ref="P46:P47"/>
    <mergeCell ref="BK86:CO86"/>
    <mergeCell ref="BK96:BM96"/>
    <mergeCell ref="K44:AG44"/>
    <mergeCell ref="AL45:AN45"/>
    <mergeCell ref="AM46:AM47"/>
    <mergeCell ref="AN46:AN47"/>
    <mergeCell ref="AH45:AK45"/>
    <mergeCell ref="AI46:AI47"/>
    <mergeCell ref="AB45:AD45"/>
    <mergeCell ref="AR45:AT45"/>
    <mergeCell ref="AS46:AS47"/>
    <mergeCell ref="AT46:AT47"/>
    <mergeCell ref="AK46:AK47"/>
    <mergeCell ref="AF46:AF47"/>
    <mergeCell ref="AO46:AQ46"/>
    <mergeCell ref="AX44:BG44"/>
    <mergeCell ref="AX45:BA45"/>
    <mergeCell ref="BB45:BD45"/>
    <mergeCell ref="BE45:BG45"/>
    <mergeCell ref="AY46:AY47"/>
    <mergeCell ref="AZ46:AZ47"/>
    <mergeCell ref="N46:N47"/>
    <mergeCell ref="CA46:CC46"/>
    <mergeCell ref="BU46:BU47"/>
    <mergeCell ref="AM6:AO6"/>
    <mergeCell ref="AM7:AM8"/>
    <mergeCell ref="AN7:AN8"/>
    <mergeCell ref="AO7:AO8"/>
    <mergeCell ref="AB7:AB8"/>
    <mergeCell ref="BT44:CC44"/>
    <mergeCell ref="O5:Q6"/>
    <mergeCell ref="K5:N6"/>
    <mergeCell ref="BH44:BJ45"/>
    <mergeCell ref="Z6:AC6"/>
    <mergeCell ref="BX45:BZ45"/>
    <mergeCell ref="CA45:CC45"/>
    <mergeCell ref="BT45:BW45"/>
    <mergeCell ref="BK44:BS45"/>
    <mergeCell ref="O45:R45"/>
    <mergeCell ref="AI7:AI8"/>
    <mergeCell ref="S45:V46"/>
    <mergeCell ref="M46:M47"/>
    <mergeCell ref="I7:I8"/>
    <mergeCell ref="Q7:Q8"/>
    <mergeCell ref="K7:K8"/>
    <mergeCell ref="L7:L8"/>
    <mergeCell ref="H7:H8"/>
    <mergeCell ref="S7:S8"/>
    <mergeCell ref="T7:T8"/>
    <mergeCell ref="AU45:AW45"/>
    <mergeCell ref="AE45:AG45"/>
    <mergeCell ref="A40:CS40"/>
    <mergeCell ref="A41:CS41"/>
    <mergeCell ref="CM44:CS44"/>
    <mergeCell ref="CM45:CP45"/>
    <mergeCell ref="CQ45:CS45"/>
    <mergeCell ref="CD44:CL44"/>
    <mergeCell ref="CD45:CF45"/>
    <mergeCell ref="CG45:CI45"/>
    <mergeCell ref="CJ45:CL45"/>
    <mergeCell ref="J7:J8"/>
    <mergeCell ref="BK129:BM129"/>
    <mergeCell ref="BK130:BM130"/>
    <mergeCell ref="AG46:AG47"/>
    <mergeCell ref="BI46:BI47"/>
    <mergeCell ref="BJ46:BJ47"/>
    <mergeCell ref="BK128:BM128"/>
    <mergeCell ref="BK111:BM111"/>
    <mergeCell ref="BK112:BM112"/>
    <mergeCell ref="BK113:BM113"/>
    <mergeCell ref="BK114:BM114"/>
    <mergeCell ref="BK115:BM115"/>
    <mergeCell ref="BK116:BM116"/>
    <mergeCell ref="BK117:BM117"/>
    <mergeCell ref="BK118:BM118"/>
    <mergeCell ref="BK119:BM119"/>
    <mergeCell ref="BC95:BC96"/>
    <mergeCell ref="BC103:BC104"/>
    <mergeCell ref="BA88:BB88"/>
    <mergeCell ref="AS64:AW64"/>
    <mergeCell ref="BC116:BC117"/>
    <mergeCell ref="BK103:BM103"/>
    <mergeCell ref="BK104:BM104"/>
    <mergeCell ref="BK97:BM97"/>
    <mergeCell ref="BK98:BM98"/>
    <mergeCell ref="CP88:CQ88"/>
    <mergeCell ref="CR95:CR96"/>
    <mergeCell ref="CR103:CR104"/>
    <mergeCell ref="CR116:CR117"/>
    <mergeCell ref="CR124:CR125"/>
    <mergeCell ref="BK89:CO89"/>
    <mergeCell ref="BK106:CO106"/>
    <mergeCell ref="BK110:CO110"/>
    <mergeCell ref="BK105:BM105"/>
    <mergeCell ref="BK107:BM107"/>
    <mergeCell ref="BK108:BM108"/>
    <mergeCell ref="BK109:BM109"/>
    <mergeCell ref="BK99:BM99"/>
    <mergeCell ref="BK127:CO127"/>
    <mergeCell ref="BK120:BM120"/>
    <mergeCell ref="BK121:BM121"/>
    <mergeCell ref="BK122:BM122"/>
    <mergeCell ref="BK123:BM123"/>
    <mergeCell ref="BK124:BM124"/>
    <mergeCell ref="BK125:BM125"/>
    <mergeCell ref="BK126:BM126"/>
    <mergeCell ref="BK87:BM88"/>
    <mergeCell ref="BK90:BM90"/>
    <mergeCell ref="BK91:BM91"/>
    <mergeCell ref="BK92:BM92"/>
    <mergeCell ref="BK93:BM93"/>
    <mergeCell ref="BK94:BM94"/>
    <mergeCell ref="BK95:BM95"/>
    <mergeCell ref="BN87:BN88"/>
    <mergeCell ref="BK100:BM100"/>
    <mergeCell ref="BK101:BM101"/>
    <mergeCell ref="BK102:BM102"/>
    <mergeCell ref="BO87:CO87"/>
    <mergeCell ref="A135:AE135"/>
    <mergeCell ref="A136:C137"/>
    <mergeCell ref="D136:D137"/>
    <mergeCell ref="E136:AE136"/>
    <mergeCell ref="A138:AE138"/>
    <mergeCell ref="A139:C139"/>
    <mergeCell ref="A140:C140"/>
    <mergeCell ref="A141:C141"/>
    <mergeCell ref="A142:C142"/>
    <mergeCell ref="A143:C143"/>
    <mergeCell ref="A144:C144"/>
    <mergeCell ref="A145:C145"/>
    <mergeCell ref="A146:C146"/>
    <mergeCell ref="A147:C147"/>
    <mergeCell ref="A148:C148"/>
    <mergeCell ref="A149:C149"/>
    <mergeCell ref="A150:C150"/>
    <mergeCell ref="A151:C151"/>
    <mergeCell ref="A152:C152"/>
    <mergeCell ref="A153:C153"/>
    <mergeCell ref="A154:C154"/>
    <mergeCell ref="A155:AE155"/>
    <mergeCell ref="A156:C156"/>
    <mergeCell ref="A157:C157"/>
    <mergeCell ref="A158:C158"/>
    <mergeCell ref="A159:AE159"/>
    <mergeCell ref="A160:C160"/>
    <mergeCell ref="A161:C161"/>
    <mergeCell ref="A162:C162"/>
    <mergeCell ref="A163:C163"/>
    <mergeCell ref="A164:C164"/>
    <mergeCell ref="A165:C165"/>
    <mergeCell ref="A166:C166"/>
    <mergeCell ref="A167:C167"/>
    <mergeCell ref="A168:C168"/>
    <mergeCell ref="A169:C169"/>
    <mergeCell ref="A179:C179"/>
    <mergeCell ref="A170:C170"/>
    <mergeCell ref="A171:C171"/>
    <mergeCell ref="A172:C172"/>
    <mergeCell ref="A173:C173"/>
    <mergeCell ref="A174:C174"/>
    <mergeCell ref="A175:C175"/>
    <mergeCell ref="A176:AE176"/>
    <mergeCell ref="A177:C177"/>
    <mergeCell ref="A178:C178"/>
  </mergeCells>
  <phoneticPr fontId="9" type="noConversion"/>
  <printOptions horizontalCentered="1" verticalCentered="1"/>
  <pageMargins left="0.11811023622047245" right="0.11811023622047245" top="0.15748031496062992" bottom="0.15748031496062992" header="0.31496062992125984" footer="0.31496062992125984"/>
  <pageSetup paperSize="9" scale="4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00B050"/>
  </sheetPr>
  <dimension ref="A1:AH537"/>
  <sheetViews>
    <sheetView zoomScale="70" zoomScaleNormal="70" zoomScalePageLayoutView="90" workbookViewId="0">
      <pane xSplit="1" ySplit="6" topLeftCell="B88" activePane="bottomRight" state="frozen"/>
      <selection pane="topRight" activeCell="B1" sqref="B1"/>
      <selection pane="bottomLeft" activeCell="A7" sqref="A7"/>
      <selection pane="bottomRight" activeCell="J108" sqref="J108"/>
    </sheetView>
  </sheetViews>
  <sheetFormatPr defaultRowHeight="12.75"/>
  <cols>
    <col min="1" max="1" width="54.42578125" customWidth="1"/>
    <col min="2" max="19" width="12.7109375" customWidth="1"/>
    <col min="20" max="20" width="13.7109375" customWidth="1"/>
    <col min="21" max="21" width="13.140625" customWidth="1"/>
    <col min="22" max="27" width="12.7109375" customWidth="1"/>
    <col min="28" max="29" width="14.28515625" customWidth="1"/>
    <col min="30" max="30" width="12.7109375" customWidth="1"/>
  </cols>
  <sheetData>
    <row r="1" spans="1:30" ht="23.25">
      <c r="A1" s="4716" t="s">
        <v>2035</v>
      </c>
      <c r="U1" s="3051"/>
    </row>
    <row r="2" spans="1:30" ht="23.25">
      <c r="A2" s="4716" t="s">
        <v>1981</v>
      </c>
      <c r="U2" s="3051"/>
    </row>
    <row r="3" spans="1:30" ht="19.5" customHeight="1">
      <c r="A3" s="4647"/>
      <c r="B3" s="4647"/>
      <c r="C3" s="4647"/>
      <c r="D3" s="4647"/>
      <c r="E3" s="4648"/>
      <c r="F3" s="4648"/>
      <c r="G3" s="4648"/>
      <c r="H3" s="4648"/>
      <c r="I3" s="4648"/>
      <c r="J3" s="4648"/>
      <c r="K3" s="4648"/>
      <c r="L3" s="4648"/>
      <c r="M3" s="4648"/>
      <c r="N3" s="4648"/>
      <c r="O3" s="4648"/>
      <c r="P3" s="4648"/>
      <c r="Q3" s="4648"/>
      <c r="R3" s="4648"/>
      <c r="S3" s="4648"/>
      <c r="T3" s="4648"/>
      <c r="U3" s="4648"/>
      <c r="V3" s="4648"/>
      <c r="W3" s="4648"/>
      <c r="X3" s="4648"/>
      <c r="Y3" s="4648"/>
    </row>
    <row r="4" spans="1:30" ht="18.75" customHeight="1">
      <c r="A4" s="4769" t="s">
        <v>2026</v>
      </c>
      <c r="B4" s="4770"/>
      <c r="C4" s="4770"/>
      <c r="D4" s="4770"/>
      <c r="E4" s="4771"/>
      <c r="F4" s="4771"/>
      <c r="G4" s="4771"/>
      <c r="H4" s="4771"/>
      <c r="I4" s="4771"/>
      <c r="J4" s="4771"/>
      <c r="K4" s="4771"/>
      <c r="L4" s="4771"/>
      <c r="M4" s="4771"/>
      <c r="N4" s="4771"/>
      <c r="O4" s="4771"/>
      <c r="P4" s="4771"/>
      <c r="Q4" s="4771"/>
      <c r="R4" s="4771"/>
      <c r="S4" s="4771"/>
      <c r="T4" s="4771"/>
      <c r="U4" s="4771"/>
      <c r="V4" s="4771"/>
      <c r="W4" s="4771"/>
      <c r="X4" s="4771"/>
      <c r="Y4" s="4771"/>
      <c r="Z4" s="4772"/>
      <c r="AA4" s="4772"/>
      <c r="AB4" s="4772"/>
      <c r="AC4" s="4772"/>
      <c r="AD4" s="4773"/>
    </row>
    <row r="5" spans="1:30" ht="18.75" customHeight="1">
      <c r="A5" s="4895" t="s">
        <v>545</v>
      </c>
      <c r="B5" s="4918" t="s">
        <v>1983</v>
      </c>
      <c r="C5" s="4919"/>
      <c r="D5" s="4919"/>
      <c r="E5" s="4919"/>
      <c r="F5" s="4920"/>
      <c r="G5" s="4912" t="s">
        <v>1984</v>
      </c>
      <c r="H5" s="4913"/>
      <c r="I5" s="4913"/>
      <c r="J5" s="4913"/>
      <c r="K5" s="4914"/>
      <c r="L5" s="4915" t="s">
        <v>1985</v>
      </c>
      <c r="M5" s="4916"/>
      <c r="N5" s="4916"/>
      <c r="O5" s="4912" t="s">
        <v>1986</v>
      </c>
      <c r="P5" s="4913"/>
      <c r="Q5" s="4913"/>
      <c r="R5" s="4913"/>
      <c r="S5" s="4914"/>
      <c r="T5" s="4915" t="s">
        <v>1987</v>
      </c>
      <c r="U5" s="4916"/>
      <c r="V5" s="4916"/>
      <c r="W5" s="4912" t="s">
        <v>1988</v>
      </c>
      <c r="X5" s="4913"/>
      <c r="Y5" s="4913"/>
      <c r="Z5" s="4913"/>
      <c r="AA5" s="4914"/>
      <c r="AB5" s="4915" t="s">
        <v>887</v>
      </c>
      <c r="AC5" s="4916"/>
      <c r="AD5" s="4917"/>
    </row>
    <row r="6" spans="1:30" ht="25.5" customHeight="1">
      <c r="A6" s="4895"/>
      <c r="B6" s="4650" t="s">
        <v>1989</v>
      </c>
      <c r="C6" s="4650" t="s">
        <v>586</v>
      </c>
      <c r="D6" s="4650" t="s">
        <v>587</v>
      </c>
      <c r="E6" s="4649" t="s">
        <v>588</v>
      </c>
      <c r="F6" s="4649" t="s">
        <v>1990</v>
      </c>
      <c r="G6" s="4774" t="s">
        <v>1989</v>
      </c>
      <c r="H6" s="4774" t="s">
        <v>1562</v>
      </c>
      <c r="I6" s="4774" t="s">
        <v>590</v>
      </c>
      <c r="J6" s="4775" t="s">
        <v>591</v>
      </c>
      <c r="K6" s="4775" t="s">
        <v>1990</v>
      </c>
      <c r="L6" s="4776" t="s">
        <v>1989</v>
      </c>
      <c r="M6" s="4776" t="s">
        <v>1990</v>
      </c>
      <c r="N6" s="4776" t="s">
        <v>1991</v>
      </c>
      <c r="O6" s="4774" t="s">
        <v>1989</v>
      </c>
      <c r="P6" s="4774" t="s">
        <v>592</v>
      </c>
      <c r="Q6" s="4774" t="s">
        <v>593</v>
      </c>
      <c r="R6" s="4775" t="s">
        <v>594</v>
      </c>
      <c r="S6" s="4775" t="s">
        <v>1990</v>
      </c>
      <c r="T6" s="4776" t="s">
        <v>1989</v>
      </c>
      <c r="U6" s="4776" t="s">
        <v>1990</v>
      </c>
      <c r="V6" s="4776" t="s">
        <v>1991</v>
      </c>
      <c r="W6" s="4774" t="s">
        <v>1989</v>
      </c>
      <c r="X6" s="4774" t="s">
        <v>595</v>
      </c>
      <c r="Y6" s="4774" t="s">
        <v>596</v>
      </c>
      <c r="Z6" s="4775" t="s">
        <v>597</v>
      </c>
      <c r="AA6" s="4775" t="s">
        <v>1990</v>
      </c>
      <c r="AB6" s="4776" t="s">
        <v>1989</v>
      </c>
      <c r="AC6" s="4776" t="s">
        <v>1990</v>
      </c>
      <c r="AD6" s="4776" t="s">
        <v>1991</v>
      </c>
    </row>
    <row r="7" spans="1:30" ht="25.5" customHeight="1">
      <c r="A7" s="4777" t="s">
        <v>1751</v>
      </c>
      <c r="B7" s="4861">
        <f>SUM('Произв. прогр. Стоки'!H12)</f>
        <v>1037.4968749999998</v>
      </c>
      <c r="C7" s="4862">
        <v>307.29000000000002</v>
      </c>
      <c r="D7" s="4859">
        <v>251.1</v>
      </c>
      <c r="E7" s="4860">
        <v>279.60000000000002</v>
      </c>
      <c r="F7" s="4863">
        <f>SUM(C7:E7)</f>
        <v>837.99</v>
      </c>
      <c r="G7" s="4861">
        <f>SUM('Произв. прогр. Стоки'!L12)</f>
        <v>993.0843749999998</v>
      </c>
      <c r="H7" s="4862">
        <v>651.75099999999998</v>
      </c>
      <c r="I7" s="4859">
        <v>517.57399999999996</v>
      </c>
      <c r="J7" s="4860">
        <v>491.72199999999998</v>
      </c>
      <c r="K7" s="4780">
        <f>SUM(H7:J7)</f>
        <v>1661.0469999999998</v>
      </c>
      <c r="L7" s="4757">
        <f>SUM(G7+B7)</f>
        <v>2030.5812499999997</v>
      </c>
      <c r="M7" s="4757">
        <f>SUM(K7+F7)</f>
        <v>2499.0369999999998</v>
      </c>
      <c r="N7" s="4757">
        <f>SUM(M7-L7)</f>
        <v>468.45575000000008</v>
      </c>
      <c r="O7" s="4861">
        <f>SUM('Произв. прогр. Стоки'!Q12)</f>
        <v>993.0843749999998</v>
      </c>
      <c r="P7" s="4862"/>
      <c r="Q7" s="4859"/>
      <c r="R7" s="4860"/>
      <c r="S7" s="4780">
        <f>SUM(P7:R7)</f>
        <v>0</v>
      </c>
      <c r="T7" s="4757">
        <f>SUM(L7+O7)</f>
        <v>3023.6656249999996</v>
      </c>
      <c r="U7" s="4757">
        <f>SUM(M7+S7)</f>
        <v>2499.0369999999998</v>
      </c>
      <c r="V7" s="4757">
        <f>SUM(U7-T7)</f>
        <v>-524.62862499999983</v>
      </c>
      <c r="W7" s="4861">
        <f>SUM('Произв. прогр. Стоки'!V12)</f>
        <v>1037.4968749999998</v>
      </c>
      <c r="X7" s="4859"/>
      <c r="Y7" s="4859"/>
      <c r="Z7" s="4860"/>
      <c r="AA7" s="4780">
        <f>SUM(X7:Z7)</f>
        <v>0</v>
      </c>
      <c r="AB7" s="4757">
        <f>SUM(W7+T7)</f>
        <v>4061.1624999999995</v>
      </c>
      <c r="AC7" s="4757">
        <f>SUM(AA7+U7)</f>
        <v>2499.0369999999998</v>
      </c>
      <c r="AD7" s="4757">
        <f>SUM(AC7-AB7)</f>
        <v>-1562.1254999999996</v>
      </c>
    </row>
    <row r="8" spans="1:30" ht="18.75" customHeight="1">
      <c r="A8" s="4781" t="s">
        <v>1752</v>
      </c>
      <c r="B8" s="4778">
        <f>SUM('Произв. прогр. Стоки'!H13)</f>
        <v>829.99749999999995</v>
      </c>
      <c r="C8" s="4782">
        <f>SUM(C9:C11)</f>
        <v>270.68799999999999</v>
      </c>
      <c r="D8" s="4782">
        <f>SUM(D9:D11)</f>
        <v>264.64999999999998</v>
      </c>
      <c r="E8" s="4756">
        <f>SUM(E9:E11)</f>
        <v>261.37</v>
      </c>
      <c r="F8" s="4756">
        <f>SUM(C8:E8)</f>
        <v>796.70799999999997</v>
      </c>
      <c r="G8" s="4778">
        <f>SUM('Произв. прогр. Стоки'!L13)</f>
        <v>794.46749999999986</v>
      </c>
      <c r="H8" s="4782">
        <f>SUM(H9:H11)</f>
        <v>274.02999999999997</v>
      </c>
      <c r="I8" s="4782">
        <f>SUM(I9:I11)</f>
        <v>261.78999999999996</v>
      </c>
      <c r="J8" s="4756">
        <f>SUM(J9:J11)</f>
        <v>281.02999999999997</v>
      </c>
      <c r="K8" s="4756">
        <f>SUM(H8:J8)</f>
        <v>816.84999999999991</v>
      </c>
      <c r="L8" s="4779">
        <f>SUM(G8+B8)</f>
        <v>1624.4649999999997</v>
      </c>
      <c r="M8" s="4779">
        <f>SUM(K8+F8)</f>
        <v>1613.558</v>
      </c>
      <c r="N8" s="4779">
        <f>SUM(M8-L8)</f>
        <v>-10.906999999999698</v>
      </c>
      <c r="O8" s="4778">
        <f>SUM('Произв. прогр. Стоки'!Q13)</f>
        <v>794.46749999999986</v>
      </c>
      <c r="P8" s="4782">
        <f>SUM(P9:P11)</f>
        <v>0</v>
      </c>
      <c r="Q8" s="4782">
        <f>SUM(Q9:Q11)</f>
        <v>0</v>
      </c>
      <c r="R8" s="4783">
        <f>SUM(R9:R11)</f>
        <v>0</v>
      </c>
      <c r="S8" s="4756">
        <f>SUM(P8:R8)</f>
        <v>0</v>
      </c>
      <c r="T8" s="4779">
        <f>SUM(L8+O8)</f>
        <v>2418.9324999999994</v>
      </c>
      <c r="U8" s="4779">
        <f>SUM(M8+S8)</f>
        <v>1613.558</v>
      </c>
      <c r="V8" s="4779">
        <f>SUM(U8-T8)</f>
        <v>-805.37449999999944</v>
      </c>
      <c r="W8" s="4778">
        <f>SUM('Произв. прогр. Стоки'!V13)</f>
        <v>829.99749999999995</v>
      </c>
      <c r="X8" s="4782">
        <f>SUM(X9:X11)</f>
        <v>0</v>
      </c>
      <c r="Y8" s="4782">
        <f>SUM(Y9:Y11)</f>
        <v>0</v>
      </c>
      <c r="Z8" s="4756">
        <f>SUM(Z9:Z11)</f>
        <v>0</v>
      </c>
      <c r="AA8" s="4756">
        <f>SUM(X8:Z8)</f>
        <v>0</v>
      </c>
      <c r="AB8" s="4779">
        <f>SUM(W8+T8)</f>
        <v>3248.9299999999994</v>
      </c>
      <c r="AC8" s="4779">
        <f>SUM(AA8+U8)</f>
        <v>1613.558</v>
      </c>
      <c r="AD8" s="4779">
        <f>SUM(AC8-AB8)</f>
        <v>-1635.3719999999994</v>
      </c>
    </row>
    <row r="9" spans="1:30" ht="18.75" customHeight="1">
      <c r="A9" s="4753" t="s">
        <v>264</v>
      </c>
      <c r="B9" s="4784">
        <f>SUM('Произв. прогр. Стоки'!H14)</f>
        <v>582.54</v>
      </c>
      <c r="C9" s="4785">
        <v>209.85</v>
      </c>
      <c r="D9" s="4785">
        <v>199.96</v>
      </c>
      <c r="E9" s="4754">
        <v>197.46</v>
      </c>
      <c r="F9" s="4743">
        <f t="shared" ref="F9:F11" si="0">SUM(C9:E9)</f>
        <v>607.27</v>
      </c>
      <c r="G9" s="4784">
        <f>SUM('Произв. прогр. Стоки'!L14)</f>
        <v>557.45999999999992</v>
      </c>
      <c r="H9" s="4785">
        <v>206.13</v>
      </c>
      <c r="I9" s="4785">
        <v>199.51</v>
      </c>
      <c r="J9" s="4754">
        <v>213.38</v>
      </c>
      <c r="K9" s="4743">
        <f>SUM(H9:J9)</f>
        <v>619.02</v>
      </c>
      <c r="L9" s="4786">
        <f t="shared" ref="L9:L11" si="1">SUM(G9+B9)</f>
        <v>1140</v>
      </c>
      <c r="M9" s="4786">
        <f>SUM(K9+F9)</f>
        <v>1226.29</v>
      </c>
      <c r="N9" s="4786">
        <f t="shared" ref="N9:N11" si="2">SUM(M9-L9)</f>
        <v>86.289999999999964</v>
      </c>
      <c r="O9" s="4784">
        <f>SUM('Произв. прогр. Стоки'!Q14)</f>
        <v>557.46</v>
      </c>
      <c r="P9" s="4785"/>
      <c r="Q9" s="4785"/>
      <c r="R9" s="4787"/>
      <c r="S9" s="4743">
        <f t="shared" ref="S9:S11" si="3">SUM(P9:R9)</f>
        <v>0</v>
      </c>
      <c r="T9" s="4786">
        <f t="shared" ref="T9:T11" si="4">SUM(L9+O9)</f>
        <v>1697.46</v>
      </c>
      <c r="U9" s="4786">
        <f t="shared" ref="U9:U11" si="5">SUM(M9+S9)</f>
        <v>1226.29</v>
      </c>
      <c r="V9" s="4786">
        <f t="shared" ref="V9:V11" si="6">SUM(U9-T9)</f>
        <v>-471.17000000000007</v>
      </c>
      <c r="W9" s="4784">
        <f>SUM('Произв. прогр. Стоки'!V14)</f>
        <v>582.54000000000008</v>
      </c>
      <c r="X9" s="4785"/>
      <c r="Y9" s="4785"/>
      <c r="Z9" s="4754"/>
      <c r="AA9" s="4743">
        <f t="shared" ref="AA9:AA11" si="7">SUM(X9:Z9)</f>
        <v>0</v>
      </c>
      <c r="AB9" s="4786">
        <f t="shared" ref="AB9:AB11" si="8">SUM(W9+T9)</f>
        <v>2280</v>
      </c>
      <c r="AC9" s="4786">
        <f t="shared" ref="AC9:AC11" si="9">SUM(AA9+U9)</f>
        <v>1226.29</v>
      </c>
      <c r="AD9" s="4786">
        <f t="shared" ref="AD9:AD11" si="10">SUM(AC9-AB9)</f>
        <v>-1053.71</v>
      </c>
    </row>
    <row r="10" spans="1:30" ht="18.75" customHeight="1">
      <c r="A10" s="4753" t="s">
        <v>1753</v>
      </c>
      <c r="B10" s="4784">
        <f>SUM('Произв. прогр. Стоки'!H15)</f>
        <v>4.7324999999999999</v>
      </c>
      <c r="C10" s="4785">
        <v>0.23799999999999999</v>
      </c>
      <c r="D10" s="4785">
        <v>0.19</v>
      </c>
      <c r="E10" s="4754">
        <v>3.68</v>
      </c>
      <c r="F10" s="4743">
        <f t="shared" si="0"/>
        <v>4.1080000000000005</v>
      </c>
      <c r="G10" s="4784">
        <f>SUM('Произв. прогр. Стоки'!L15)</f>
        <v>4.7324999999999999</v>
      </c>
      <c r="H10" s="4785">
        <v>0.26</v>
      </c>
      <c r="I10" s="4785">
        <v>0.59</v>
      </c>
      <c r="J10" s="4754">
        <v>3.75</v>
      </c>
      <c r="K10" s="4743">
        <f t="shared" ref="K10:K11" si="11">SUM(H10:J10)</f>
        <v>4.5999999999999996</v>
      </c>
      <c r="L10" s="4786">
        <f t="shared" si="1"/>
        <v>9.4649999999999999</v>
      </c>
      <c r="M10" s="4786">
        <f t="shared" ref="M10:M11" si="12">SUM(K10+F10)</f>
        <v>8.7080000000000002</v>
      </c>
      <c r="N10" s="4786">
        <f t="shared" si="2"/>
        <v>-0.75699999999999967</v>
      </c>
      <c r="O10" s="4784">
        <f>SUM('Произв. прогр. Стоки'!Q15)</f>
        <v>4.7324999999999999</v>
      </c>
      <c r="P10" s="4785"/>
      <c r="Q10" s="4785"/>
      <c r="R10" s="4787"/>
      <c r="S10" s="4743">
        <f t="shared" si="3"/>
        <v>0</v>
      </c>
      <c r="T10" s="4786">
        <f t="shared" si="4"/>
        <v>14.1975</v>
      </c>
      <c r="U10" s="4786">
        <f t="shared" si="5"/>
        <v>8.7080000000000002</v>
      </c>
      <c r="V10" s="4786">
        <f t="shared" si="6"/>
        <v>-5.4894999999999996</v>
      </c>
      <c r="W10" s="4784">
        <f>SUM('Произв. прогр. Стоки'!V15)</f>
        <v>4.7324999999999999</v>
      </c>
      <c r="X10" s="4785"/>
      <c r="Y10" s="4785"/>
      <c r="Z10" s="4754"/>
      <c r="AA10" s="4743">
        <f t="shared" si="7"/>
        <v>0</v>
      </c>
      <c r="AB10" s="4786">
        <f t="shared" si="8"/>
        <v>18.93</v>
      </c>
      <c r="AC10" s="4786">
        <f t="shared" si="9"/>
        <v>8.7080000000000002</v>
      </c>
      <c r="AD10" s="4786">
        <f t="shared" si="10"/>
        <v>-10.222</v>
      </c>
    </row>
    <row r="11" spans="1:30" ht="18.75" customHeight="1">
      <c r="A11" s="4753" t="s">
        <v>1754</v>
      </c>
      <c r="B11" s="4784">
        <f>SUM('Произв. прогр. Стоки'!H16)</f>
        <v>242.72500000000002</v>
      </c>
      <c r="C11" s="4785">
        <v>60.6</v>
      </c>
      <c r="D11" s="4785">
        <v>64.5</v>
      </c>
      <c r="E11" s="4754">
        <v>60.23</v>
      </c>
      <c r="F11" s="4743">
        <f t="shared" si="0"/>
        <v>185.32999999999998</v>
      </c>
      <c r="G11" s="4784">
        <f>SUM('Произв. прогр. Стоки'!L16)</f>
        <v>232.27499999999998</v>
      </c>
      <c r="H11" s="4785">
        <v>67.64</v>
      </c>
      <c r="I11" s="4785">
        <v>61.69</v>
      </c>
      <c r="J11" s="4754">
        <v>63.9</v>
      </c>
      <c r="K11" s="4743">
        <f t="shared" si="11"/>
        <v>193.23</v>
      </c>
      <c r="L11" s="4786">
        <f t="shared" si="1"/>
        <v>475</v>
      </c>
      <c r="M11" s="4786">
        <f t="shared" si="12"/>
        <v>378.55999999999995</v>
      </c>
      <c r="N11" s="4786">
        <f t="shared" si="2"/>
        <v>-96.440000000000055</v>
      </c>
      <c r="O11" s="4784">
        <f>SUM('Произв. прогр. Стоки'!Q16)</f>
        <v>232.27499999999998</v>
      </c>
      <c r="P11" s="4785"/>
      <c r="Q11" s="4785"/>
      <c r="R11" s="4787"/>
      <c r="S11" s="4743">
        <f t="shared" si="3"/>
        <v>0</v>
      </c>
      <c r="T11" s="4786">
        <f t="shared" si="4"/>
        <v>707.27499999999998</v>
      </c>
      <c r="U11" s="4786">
        <f t="shared" si="5"/>
        <v>378.55999999999995</v>
      </c>
      <c r="V11" s="4786">
        <f t="shared" si="6"/>
        <v>-328.71500000000003</v>
      </c>
      <c r="W11" s="4784">
        <f>SUM('Произв. прогр. Стоки'!V16)</f>
        <v>242.72500000000002</v>
      </c>
      <c r="X11" s="4785"/>
      <c r="Y11" s="4785"/>
      <c r="Z11" s="4754"/>
      <c r="AA11" s="4743">
        <f t="shared" si="7"/>
        <v>0</v>
      </c>
      <c r="AB11" s="4786">
        <f t="shared" si="8"/>
        <v>950</v>
      </c>
      <c r="AC11" s="4786">
        <f t="shared" si="9"/>
        <v>378.55999999999995</v>
      </c>
      <c r="AD11" s="4786">
        <f t="shared" si="10"/>
        <v>-571.44000000000005</v>
      </c>
    </row>
    <row r="12" spans="1:30" ht="18.75" customHeight="1">
      <c r="A12" s="4717" t="s">
        <v>1992</v>
      </c>
      <c r="B12" s="4788"/>
      <c r="C12" s="4788"/>
      <c r="D12" s="4771"/>
      <c r="E12" s="4771"/>
      <c r="F12" s="4771"/>
      <c r="G12" s="4771"/>
      <c r="H12" s="4771"/>
      <c r="I12" s="4771"/>
      <c r="J12" s="4771"/>
      <c r="K12" s="4771"/>
      <c r="L12" s="4771"/>
      <c r="M12" s="4771"/>
      <c r="N12" s="4771"/>
      <c r="O12" s="4771"/>
      <c r="P12" s="4771"/>
      <c r="Q12" s="4771"/>
      <c r="R12" s="4771"/>
      <c r="S12" s="4771"/>
      <c r="T12" s="4771"/>
      <c r="U12" s="4771"/>
      <c r="V12" s="4771"/>
      <c r="W12" s="4771"/>
      <c r="X12" s="4771"/>
      <c r="Y12" s="4771"/>
      <c r="Z12" s="4772"/>
      <c r="AA12" s="4772"/>
      <c r="AB12" s="4772"/>
      <c r="AC12" s="4772"/>
      <c r="AD12" s="4773"/>
    </row>
    <row r="13" spans="1:30" ht="18.75" customHeight="1">
      <c r="A13" s="4895" t="s">
        <v>545</v>
      </c>
      <c r="B13" s="4918" t="s">
        <v>1983</v>
      </c>
      <c r="C13" s="4919"/>
      <c r="D13" s="4919"/>
      <c r="E13" s="4919"/>
      <c r="F13" s="4920"/>
      <c r="G13" s="4912" t="s">
        <v>1984</v>
      </c>
      <c r="H13" s="4913"/>
      <c r="I13" s="4913"/>
      <c r="J13" s="4913"/>
      <c r="K13" s="4914"/>
      <c r="L13" s="4915" t="s">
        <v>1985</v>
      </c>
      <c r="M13" s="4916"/>
      <c r="N13" s="4916"/>
      <c r="O13" s="4912" t="s">
        <v>1986</v>
      </c>
      <c r="P13" s="4913"/>
      <c r="Q13" s="4913"/>
      <c r="R13" s="4913"/>
      <c r="S13" s="4914"/>
      <c r="T13" s="4915" t="s">
        <v>1987</v>
      </c>
      <c r="U13" s="4916"/>
      <c r="V13" s="4916"/>
      <c r="W13" s="4912" t="s">
        <v>1988</v>
      </c>
      <c r="X13" s="4913"/>
      <c r="Y13" s="4913"/>
      <c r="Z13" s="4913"/>
      <c r="AA13" s="4914"/>
      <c r="AB13" s="4915" t="s">
        <v>887</v>
      </c>
      <c r="AC13" s="4916"/>
      <c r="AD13" s="4917"/>
    </row>
    <row r="14" spans="1:30" ht="25.5" customHeight="1">
      <c r="A14" s="4895"/>
      <c r="B14" s="4650" t="s">
        <v>1989</v>
      </c>
      <c r="C14" s="4650" t="s">
        <v>586</v>
      </c>
      <c r="D14" s="4650" t="s">
        <v>587</v>
      </c>
      <c r="E14" s="4649" t="s">
        <v>588</v>
      </c>
      <c r="F14" s="4649" t="s">
        <v>1990</v>
      </c>
      <c r="G14" s="4774" t="s">
        <v>1989</v>
      </c>
      <c r="H14" s="4774" t="s">
        <v>1562</v>
      </c>
      <c r="I14" s="4774" t="s">
        <v>590</v>
      </c>
      <c r="J14" s="4775" t="s">
        <v>591</v>
      </c>
      <c r="K14" s="4775" t="s">
        <v>1990</v>
      </c>
      <c r="L14" s="4776" t="s">
        <v>1989</v>
      </c>
      <c r="M14" s="4776" t="s">
        <v>1990</v>
      </c>
      <c r="N14" s="4776" t="s">
        <v>1991</v>
      </c>
      <c r="O14" s="4774" t="s">
        <v>1989</v>
      </c>
      <c r="P14" s="4774" t="s">
        <v>592</v>
      </c>
      <c r="Q14" s="4774" t="s">
        <v>593</v>
      </c>
      <c r="R14" s="4775" t="s">
        <v>594</v>
      </c>
      <c r="S14" s="4775" t="s">
        <v>1990</v>
      </c>
      <c r="T14" s="4776" t="s">
        <v>1989</v>
      </c>
      <c r="U14" s="4776" t="s">
        <v>1990</v>
      </c>
      <c r="V14" s="4776" t="s">
        <v>1991</v>
      </c>
      <c r="W14" s="4774" t="s">
        <v>1989</v>
      </c>
      <c r="X14" s="4774" t="s">
        <v>595</v>
      </c>
      <c r="Y14" s="4774" t="s">
        <v>596</v>
      </c>
      <c r="Z14" s="4775" t="s">
        <v>597</v>
      </c>
      <c r="AA14" s="4775" t="s">
        <v>1990</v>
      </c>
      <c r="AB14" s="4776" t="s">
        <v>1989</v>
      </c>
      <c r="AC14" s="4776" t="s">
        <v>1990</v>
      </c>
      <c r="AD14" s="4776" t="s">
        <v>1991</v>
      </c>
    </row>
    <row r="15" spans="1:30" ht="18.75" customHeight="1">
      <c r="A15" s="4721" t="s">
        <v>0</v>
      </c>
      <c r="B15" s="4760">
        <f>SUM('Произв. прогр. Стоки'!H34)</f>
        <v>3405.5580790367667</v>
      </c>
      <c r="C15" s="4760">
        <f>SUM(C16:C21)+C23</f>
        <v>1138.4299999999998</v>
      </c>
      <c r="D15" s="4760">
        <f t="shared" ref="D15:E15" si="13">SUM(D16:D21)+D23</f>
        <v>1007.68</v>
      </c>
      <c r="E15" s="4760">
        <f t="shared" si="13"/>
        <v>1019.8399999999999</v>
      </c>
      <c r="F15" s="4760">
        <f>SUM(F16:F21)+F23</f>
        <v>3165.95</v>
      </c>
      <c r="G15" s="4760">
        <f>SUM('Произв. прогр. Стоки'!L34)</f>
        <v>3391.0595455242728</v>
      </c>
      <c r="H15" s="4760">
        <f>SUM(H16:H21)+H23</f>
        <v>1170.3500000000001</v>
      </c>
      <c r="I15" s="4760">
        <f t="shared" ref="I15" si="14">SUM(I16:I21)+I23</f>
        <v>891.7</v>
      </c>
      <c r="J15" s="4760">
        <f>SUM(J16:J21)+J23</f>
        <v>1187.3000000000002</v>
      </c>
      <c r="K15" s="4760">
        <f>SUM(K16:K21)+K23</f>
        <v>3249.3500000000004</v>
      </c>
      <c r="L15" s="4779">
        <f t="shared" ref="L15:L21" si="15">SUM(G15+B15)</f>
        <v>6796.6176245610395</v>
      </c>
      <c r="M15" s="4779">
        <f t="shared" ref="M15:M21" si="16">SUM(K15+F15)</f>
        <v>6415.3</v>
      </c>
      <c r="N15" s="4779">
        <f t="shared" ref="N15:N78" si="17">SUM(M15-L15)</f>
        <v>-381.31762456103934</v>
      </c>
      <c r="O15" s="4760">
        <f>SUM('Произв. прогр. Стоки'!Q34)</f>
        <v>3532.1251004729352</v>
      </c>
      <c r="P15" s="4760">
        <f>SUM(P16:P21)+P23</f>
        <v>0</v>
      </c>
      <c r="Q15" s="4760">
        <f t="shared" ref="Q15" si="18">SUM(Q16:Q21)+Q23</f>
        <v>0</v>
      </c>
      <c r="R15" s="4760">
        <f t="shared" ref="R15" si="19">SUM(R16:R21)+R23</f>
        <v>0</v>
      </c>
      <c r="S15" s="4760">
        <f>SUM(S16:S21)+S23</f>
        <v>0</v>
      </c>
      <c r="T15" s="4779">
        <f t="shared" ref="T15:T21" si="20">SUM(L15+O15)</f>
        <v>10328.742725033975</v>
      </c>
      <c r="U15" s="4779">
        <f t="shared" ref="U15:U21" si="21">SUM(M15+S15)</f>
        <v>6415.3</v>
      </c>
      <c r="V15" s="4779">
        <f t="shared" ref="V15:V78" si="22">SUM(U15-T15)</f>
        <v>-3913.442725033975</v>
      </c>
      <c r="W15" s="4760">
        <f>SUM('Произв. прогр. Стоки'!V34)</f>
        <v>3545.776600426555</v>
      </c>
      <c r="X15" s="4760">
        <f>SUM(X16:X21)+X23</f>
        <v>0</v>
      </c>
      <c r="Y15" s="4760">
        <f t="shared" ref="Y15" si="23">SUM(Y16:Y21)+Y23</f>
        <v>0</v>
      </c>
      <c r="Z15" s="4760">
        <f t="shared" ref="Z15" si="24">SUM(Z16:Z21)+Z23</f>
        <v>0</v>
      </c>
      <c r="AA15" s="4760">
        <f>SUM(AA16:AA21)+AA23</f>
        <v>0</v>
      </c>
      <c r="AB15" s="4779">
        <f t="shared" ref="AB15:AB21" si="25">SUM(W15+T15)</f>
        <v>13874.519325460529</v>
      </c>
      <c r="AC15" s="4779">
        <f t="shared" ref="AC15:AC21" si="26">SUM(AA15+U15)</f>
        <v>6415.3</v>
      </c>
      <c r="AD15" s="4779">
        <f t="shared" ref="AD15:AD78" si="27">SUM(AC15-AB15)</f>
        <v>-7459.219325460529</v>
      </c>
    </row>
    <row r="16" spans="1:30" ht="18.75" customHeight="1">
      <c r="A16" s="4620" t="s">
        <v>1</v>
      </c>
      <c r="B16" s="4737">
        <f>SUM('Произв. прогр. Стоки'!H35)</f>
        <v>407.85379952100004</v>
      </c>
      <c r="C16" s="4738">
        <v>102.03</v>
      </c>
      <c r="D16" s="4738">
        <v>88.66</v>
      </c>
      <c r="E16" s="4738">
        <v>89.85</v>
      </c>
      <c r="F16" s="4743">
        <f>SUM(C16:E16)</f>
        <v>280.53999999999996</v>
      </c>
      <c r="G16" s="4737">
        <f>SUM('Произв. прогр. Стоки'!L35)</f>
        <v>390.39465597299989</v>
      </c>
      <c r="H16" s="4738">
        <v>95.51</v>
      </c>
      <c r="I16" s="4738">
        <v>76.19</v>
      </c>
      <c r="J16" s="4738">
        <v>63.56</v>
      </c>
      <c r="K16" s="4743">
        <f>SUM(H16:J16)</f>
        <v>235.26</v>
      </c>
      <c r="L16" s="4786">
        <f t="shared" si="15"/>
        <v>798.24845549399993</v>
      </c>
      <c r="M16" s="4786">
        <f t="shared" si="16"/>
        <v>515.79999999999995</v>
      </c>
      <c r="N16" s="4786">
        <f t="shared" si="17"/>
        <v>-282.44845549399997</v>
      </c>
      <c r="O16" s="4737">
        <f>SUM('Произв. прогр. Стоки'!Q35)</f>
        <v>417.72228189110996</v>
      </c>
      <c r="P16" s="4738"/>
      <c r="Q16" s="4738"/>
      <c r="R16" s="4738"/>
      <c r="S16" s="4743">
        <f>SUM(P16:R16)</f>
        <v>0</v>
      </c>
      <c r="T16" s="4786">
        <f t="shared" si="20"/>
        <v>1215.9707373851099</v>
      </c>
      <c r="U16" s="4786">
        <f t="shared" si="21"/>
        <v>515.79999999999995</v>
      </c>
      <c r="V16" s="4786">
        <f t="shared" si="22"/>
        <v>-700.17073738510999</v>
      </c>
      <c r="W16" s="4737">
        <f>SUM('Произв. прогр. Стоки'!V35)</f>
        <v>436.40356548747002</v>
      </c>
      <c r="X16" s="4738"/>
      <c r="Y16" s="4738"/>
      <c r="Z16" s="4738"/>
      <c r="AA16" s="4743">
        <f>SUM(X16:Z16)</f>
        <v>0</v>
      </c>
      <c r="AB16" s="4786">
        <f t="shared" si="25"/>
        <v>1652.3743028725798</v>
      </c>
      <c r="AC16" s="4786">
        <f t="shared" si="26"/>
        <v>515.79999999999995</v>
      </c>
      <c r="AD16" s="4786">
        <f t="shared" si="27"/>
        <v>-1136.5743028725799</v>
      </c>
    </row>
    <row r="17" spans="1:30" ht="18.75" customHeight="1">
      <c r="A17" s="4620" t="s">
        <v>2</v>
      </c>
      <c r="B17" s="4737">
        <f>SUM('Произв. прогр. Стоки'!H36)</f>
        <v>124.64749999999999</v>
      </c>
      <c r="C17" s="4738">
        <v>40.020000000000003</v>
      </c>
      <c r="D17" s="4738">
        <v>25.31</v>
      </c>
      <c r="E17" s="4738">
        <v>25.31</v>
      </c>
      <c r="F17" s="4743">
        <f t="shared" ref="F17:F21" si="28">SUM(C17:E17)</f>
        <v>90.64</v>
      </c>
      <c r="G17" s="4737">
        <f>SUM('Произв. прогр. Стоки'!L36)</f>
        <v>124.64749999999999</v>
      </c>
      <c r="H17" s="4738">
        <v>25.31</v>
      </c>
      <c r="I17" s="4738">
        <v>29.72</v>
      </c>
      <c r="J17" s="4738">
        <v>29.7</v>
      </c>
      <c r="K17" s="4743">
        <f t="shared" ref="K17:K21" si="29">SUM(H17:J17)</f>
        <v>84.73</v>
      </c>
      <c r="L17" s="4786">
        <f t="shared" si="15"/>
        <v>249.29499999999999</v>
      </c>
      <c r="M17" s="4786">
        <f t="shared" si="16"/>
        <v>175.37</v>
      </c>
      <c r="N17" s="4786">
        <f t="shared" si="17"/>
        <v>-73.924999999999983</v>
      </c>
      <c r="O17" s="4737">
        <f>SUM('Произв. прогр. Стоки'!Q36)</f>
        <v>124.64749999999999</v>
      </c>
      <c r="P17" s="4738"/>
      <c r="Q17" s="4738"/>
      <c r="R17" s="4738"/>
      <c r="S17" s="4743">
        <f t="shared" ref="S17:S21" si="30">SUM(P17:R17)</f>
        <v>0</v>
      </c>
      <c r="T17" s="4786">
        <f t="shared" si="20"/>
        <v>373.9425</v>
      </c>
      <c r="U17" s="4786">
        <f t="shared" si="21"/>
        <v>175.37</v>
      </c>
      <c r="V17" s="4786">
        <f t="shared" si="22"/>
        <v>-198.57249999999999</v>
      </c>
      <c r="W17" s="4737">
        <f>SUM('Произв. прогр. Стоки'!V36)</f>
        <v>124.64749999999999</v>
      </c>
      <c r="X17" s="4738"/>
      <c r="Y17" s="4738"/>
      <c r="Z17" s="4738"/>
      <c r="AA17" s="4743">
        <f t="shared" ref="AA17:AA21" si="31">SUM(X17:Z17)</f>
        <v>0</v>
      </c>
      <c r="AB17" s="4786">
        <f t="shared" si="25"/>
        <v>498.59</v>
      </c>
      <c r="AC17" s="4786">
        <f t="shared" si="26"/>
        <v>175.37</v>
      </c>
      <c r="AD17" s="4786">
        <f t="shared" si="27"/>
        <v>-323.21999999999997</v>
      </c>
    </row>
    <row r="18" spans="1:30" ht="18.75" customHeight="1">
      <c r="A18" s="4753" t="s">
        <v>2046</v>
      </c>
      <c r="B18" s="4737">
        <f>SUM('Произв. прогр. Стоки'!H37)</f>
        <v>0</v>
      </c>
      <c r="C18" s="4738"/>
      <c r="D18" s="4738"/>
      <c r="E18" s="4738"/>
      <c r="F18" s="4743">
        <f t="shared" si="28"/>
        <v>0</v>
      </c>
      <c r="G18" s="4737">
        <f>SUM('Произв. прогр. Стоки'!L37)</f>
        <v>0</v>
      </c>
      <c r="H18" s="4738"/>
      <c r="I18" s="4738"/>
      <c r="J18" s="4738"/>
      <c r="K18" s="4743">
        <f t="shared" si="29"/>
        <v>0</v>
      </c>
      <c r="L18" s="4786">
        <f t="shared" si="15"/>
        <v>0</v>
      </c>
      <c r="M18" s="4786">
        <f t="shared" si="16"/>
        <v>0</v>
      </c>
      <c r="N18" s="4786">
        <f t="shared" si="17"/>
        <v>0</v>
      </c>
      <c r="O18" s="4737">
        <f>SUM('Произв. прогр. Стоки'!Q37)</f>
        <v>0</v>
      </c>
      <c r="P18" s="4738"/>
      <c r="Q18" s="4738"/>
      <c r="R18" s="4738"/>
      <c r="S18" s="4743">
        <f t="shared" si="30"/>
        <v>0</v>
      </c>
      <c r="T18" s="4786">
        <f t="shared" si="20"/>
        <v>0</v>
      </c>
      <c r="U18" s="4786">
        <f t="shared" si="21"/>
        <v>0</v>
      </c>
      <c r="V18" s="4786">
        <f t="shared" si="22"/>
        <v>0</v>
      </c>
      <c r="W18" s="4737">
        <f>SUM('Произв. прогр. Стоки'!V37)</f>
        <v>0</v>
      </c>
      <c r="X18" s="4738"/>
      <c r="Y18" s="4738"/>
      <c r="Z18" s="4738"/>
      <c r="AA18" s="4743">
        <f t="shared" si="31"/>
        <v>0</v>
      </c>
      <c r="AB18" s="4786">
        <f t="shared" si="25"/>
        <v>0</v>
      </c>
      <c r="AC18" s="4786">
        <f t="shared" si="26"/>
        <v>0</v>
      </c>
      <c r="AD18" s="4786">
        <f t="shared" si="27"/>
        <v>0</v>
      </c>
    </row>
    <row r="19" spans="1:30" ht="18.75" customHeight="1">
      <c r="A19" s="4620" t="s">
        <v>3</v>
      </c>
      <c r="B19" s="4737">
        <f>SUM('Произв. прогр. Стоки'!H38)</f>
        <v>0</v>
      </c>
      <c r="C19" s="4738">
        <v>15.42</v>
      </c>
      <c r="D19" s="4738">
        <v>54.76</v>
      </c>
      <c r="E19" s="4738">
        <v>4.5199999999999996</v>
      </c>
      <c r="F19" s="4743">
        <f t="shared" si="28"/>
        <v>74.699999999999989</v>
      </c>
      <c r="G19" s="4737">
        <f>SUM('Произв. прогр. Стоки'!L38)</f>
        <v>0</v>
      </c>
      <c r="H19" s="4738">
        <v>86.53</v>
      </c>
      <c r="I19" s="4738">
        <v>16.82</v>
      </c>
      <c r="J19" s="4738">
        <v>9.98</v>
      </c>
      <c r="K19" s="4743">
        <f t="shared" si="29"/>
        <v>113.33</v>
      </c>
      <c r="L19" s="4786">
        <f t="shared" si="15"/>
        <v>0</v>
      </c>
      <c r="M19" s="4786">
        <f t="shared" si="16"/>
        <v>188.02999999999997</v>
      </c>
      <c r="N19" s="4786">
        <f t="shared" si="17"/>
        <v>188.02999999999997</v>
      </c>
      <c r="O19" s="4737">
        <f>SUM('Произв. прогр. Стоки'!Q38)</f>
        <v>0</v>
      </c>
      <c r="P19" s="4738"/>
      <c r="Q19" s="4738"/>
      <c r="R19" s="4738"/>
      <c r="S19" s="4743">
        <f t="shared" si="30"/>
        <v>0</v>
      </c>
      <c r="T19" s="4786">
        <f t="shared" si="20"/>
        <v>0</v>
      </c>
      <c r="U19" s="4786">
        <f t="shared" si="21"/>
        <v>188.02999999999997</v>
      </c>
      <c r="V19" s="4786">
        <f t="shared" si="22"/>
        <v>188.02999999999997</v>
      </c>
      <c r="W19" s="4737">
        <f>SUM('Произв. прогр. Стоки'!V38)</f>
        <v>0</v>
      </c>
      <c r="X19" s="4738"/>
      <c r="Y19" s="4738"/>
      <c r="Z19" s="4738"/>
      <c r="AA19" s="4743">
        <f t="shared" si="31"/>
        <v>0</v>
      </c>
      <c r="AB19" s="4786">
        <f t="shared" si="25"/>
        <v>0</v>
      </c>
      <c r="AC19" s="4786">
        <f t="shared" si="26"/>
        <v>188.02999999999997</v>
      </c>
      <c r="AD19" s="4786">
        <f t="shared" si="27"/>
        <v>188.02999999999997</v>
      </c>
    </row>
    <row r="20" spans="1:30" ht="18.75" customHeight="1">
      <c r="A20" s="4620" t="s">
        <v>4</v>
      </c>
      <c r="B20" s="4737">
        <f>SUM('Произв. прогр. Стоки'!H39)</f>
        <v>2149.460182924985</v>
      </c>
      <c r="C20" s="4738">
        <v>762.55</v>
      </c>
      <c r="D20" s="4738">
        <f>62.15+573.71</f>
        <v>635.86</v>
      </c>
      <c r="E20" s="4738">
        <v>685.39</v>
      </c>
      <c r="F20" s="4743">
        <f t="shared" si="28"/>
        <v>2083.7999999999997</v>
      </c>
      <c r="G20" s="4737">
        <f>SUM('Произв. прогр. Стоки'!L39)</f>
        <v>2149.460182924985</v>
      </c>
      <c r="H20" s="4738">
        <v>734.75</v>
      </c>
      <c r="I20" s="4738">
        <v>572.6</v>
      </c>
      <c r="J20" s="4738">
        <v>830.21</v>
      </c>
      <c r="K20" s="4743">
        <f t="shared" si="29"/>
        <v>2137.56</v>
      </c>
      <c r="L20" s="4786">
        <f t="shared" si="15"/>
        <v>4298.92036584997</v>
      </c>
      <c r="M20" s="4786">
        <f t="shared" si="16"/>
        <v>4221.3599999999997</v>
      </c>
      <c r="N20" s="4786">
        <f t="shared" si="17"/>
        <v>-77.560365849970367</v>
      </c>
      <c r="O20" s="4737">
        <f>SUM('Произв. прогр. Стоки'!Q39)</f>
        <v>2235.4385902419845</v>
      </c>
      <c r="P20" s="4738"/>
      <c r="Q20" s="4738"/>
      <c r="R20" s="4738"/>
      <c r="S20" s="4743">
        <f t="shared" si="30"/>
        <v>0</v>
      </c>
      <c r="T20" s="4786">
        <f t="shared" si="20"/>
        <v>6534.3589560919545</v>
      </c>
      <c r="U20" s="4786">
        <f t="shared" si="21"/>
        <v>4221.3599999999997</v>
      </c>
      <c r="V20" s="4786">
        <f t="shared" si="22"/>
        <v>-2312.9989560919548</v>
      </c>
      <c r="W20" s="4737">
        <f>SUM('Произв. прогр. Стоки'!V39)</f>
        <v>2235.4385902419845</v>
      </c>
      <c r="X20" s="4738"/>
      <c r="Y20" s="4738"/>
      <c r="Z20" s="4738"/>
      <c r="AA20" s="4743">
        <f t="shared" si="31"/>
        <v>0</v>
      </c>
      <c r="AB20" s="4786">
        <f t="shared" si="25"/>
        <v>8769.797546333939</v>
      </c>
      <c r="AC20" s="4786">
        <f t="shared" si="26"/>
        <v>4221.3599999999997</v>
      </c>
      <c r="AD20" s="4786">
        <f t="shared" si="27"/>
        <v>-4548.4375463339393</v>
      </c>
    </row>
    <row r="21" spans="1:30" ht="18.75" customHeight="1">
      <c r="A21" s="4620" t="s">
        <v>121</v>
      </c>
      <c r="B21" s="4737">
        <f>SUM('Произв. прогр. Стоки'!H40)</f>
        <v>642.25870265798551</v>
      </c>
      <c r="C21" s="4738">
        <v>215.84</v>
      </c>
      <c r="D21" s="4738">
        <f>18.77+173.01</f>
        <v>191.78</v>
      </c>
      <c r="E21" s="4738">
        <v>206.96</v>
      </c>
      <c r="F21" s="4743">
        <f t="shared" si="28"/>
        <v>614.58000000000004</v>
      </c>
      <c r="G21" s="4737">
        <f>SUM('Произв. прогр. Стоки'!L40)</f>
        <v>642.25870265798551</v>
      </c>
      <c r="H21" s="4738">
        <v>221.02</v>
      </c>
      <c r="I21" s="4738">
        <v>185.56</v>
      </c>
      <c r="J21" s="4738">
        <v>250.68</v>
      </c>
      <c r="K21" s="4743">
        <f t="shared" si="29"/>
        <v>657.26</v>
      </c>
      <c r="L21" s="4786">
        <f t="shared" si="15"/>
        <v>1284.517405315971</v>
      </c>
      <c r="M21" s="4786">
        <f t="shared" si="16"/>
        <v>1271.8400000000001</v>
      </c>
      <c r="N21" s="4786">
        <f t="shared" si="17"/>
        <v>-12.677405315970873</v>
      </c>
      <c r="O21" s="4737">
        <f>SUM('Произв. прогр. Стоки'!Q40)</f>
        <v>667.94905076430507</v>
      </c>
      <c r="P21" s="4738"/>
      <c r="Q21" s="4738"/>
      <c r="R21" s="4738"/>
      <c r="S21" s="4743">
        <f t="shared" si="30"/>
        <v>0</v>
      </c>
      <c r="T21" s="4786">
        <f t="shared" si="20"/>
        <v>1952.4664560802762</v>
      </c>
      <c r="U21" s="4786">
        <f t="shared" si="21"/>
        <v>1271.8400000000001</v>
      </c>
      <c r="V21" s="4786">
        <f t="shared" si="22"/>
        <v>-680.62645608027606</v>
      </c>
      <c r="W21" s="4737">
        <f>SUM('Произв. прогр. Стоки'!V40)</f>
        <v>667.94905076430507</v>
      </c>
      <c r="X21" s="4738"/>
      <c r="Y21" s="4738"/>
      <c r="Z21" s="4738"/>
      <c r="AA21" s="4743">
        <f t="shared" si="31"/>
        <v>0</v>
      </c>
      <c r="AB21" s="4786">
        <f t="shared" si="25"/>
        <v>2620.4155068445812</v>
      </c>
      <c r="AC21" s="4786">
        <f t="shared" si="26"/>
        <v>1271.8400000000001</v>
      </c>
      <c r="AD21" s="4786">
        <f t="shared" si="27"/>
        <v>-1348.575506844581</v>
      </c>
    </row>
    <row r="22" spans="1:30" ht="18.75" customHeight="1">
      <c r="A22" s="4728" t="s">
        <v>321</v>
      </c>
      <c r="B22" s="4740">
        <f>SUM('Произв. прогр. Стоки'!H41)</f>
        <v>0.29880000000000001</v>
      </c>
      <c r="C22" s="4740">
        <f>SUM(C21/C20)</f>
        <v>0.28305029178414531</v>
      </c>
      <c r="D22" s="4740">
        <f t="shared" ref="D22:F22" si="32">SUM(D21/D20)</f>
        <v>0.30160727204101534</v>
      </c>
      <c r="E22" s="4740">
        <f t="shared" si="32"/>
        <v>0.30195946833189863</v>
      </c>
      <c r="F22" s="4740">
        <f t="shared" si="32"/>
        <v>0.29493233515692491</v>
      </c>
      <c r="G22" s="4740">
        <f>SUM('Произв. прогр. Стоки'!L41)</f>
        <v>0.29880000000000001</v>
      </c>
      <c r="H22" s="4740">
        <f>SUM(H21/H20)</f>
        <v>0.30080979925144608</v>
      </c>
      <c r="I22" s="4740">
        <f t="shared" ref="I22:M22" si="33">SUM(I21/I20)</f>
        <v>0.32406566538595877</v>
      </c>
      <c r="J22" s="4740">
        <f t="shared" si="33"/>
        <v>0.30194769997952325</v>
      </c>
      <c r="K22" s="4740">
        <f t="shared" si="33"/>
        <v>0.30748142742192031</v>
      </c>
      <c r="L22" s="4741">
        <f t="shared" si="33"/>
        <v>0.29880000000000001</v>
      </c>
      <c r="M22" s="4741">
        <f t="shared" si="33"/>
        <v>0.30128678909166717</v>
      </c>
      <c r="N22" s="4789">
        <f t="shared" si="17"/>
        <v>2.4867890916671631E-3</v>
      </c>
      <c r="O22" s="4740">
        <f>SUM('Произв. прогр. Стоки'!Q41)</f>
        <v>0.29880000000000007</v>
      </c>
      <c r="P22" s="4740" t="e">
        <f>SUM(P21/P20)</f>
        <v>#DIV/0!</v>
      </c>
      <c r="Q22" s="4740" t="e">
        <f t="shared" ref="Q22:S22" si="34">SUM(Q21/Q20)</f>
        <v>#DIV/0!</v>
      </c>
      <c r="R22" s="4740" t="e">
        <f t="shared" si="34"/>
        <v>#DIV/0!</v>
      </c>
      <c r="S22" s="4740" t="e">
        <f t="shared" si="34"/>
        <v>#DIV/0!</v>
      </c>
      <c r="T22" s="4741">
        <f>SUM(T21/T20)</f>
        <v>0.29880000000000001</v>
      </c>
      <c r="U22" s="4741">
        <f>SUM(U21/U20)</f>
        <v>0.30128678909166717</v>
      </c>
      <c r="V22" s="4789">
        <f t="shared" si="22"/>
        <v>2.4867890916671631E-3</v>
      </c>
      <c r="W22" s="4740">
        <f>SUM('Произв. прогр. Стоки'!V41)</f>
        <v>0.29880000000000007</v>
      </c>
      <c r="X22" s="4740" t="e">
        <f>SUM(X21/X20)</f>
        <v>#DIV/0!</v>
      </c>
      <c r="Y22" s="4740" t="e">
        <f t="shared" ref="Y22:AC22" si="35">SUM(Y21/Y20)</f>
        <v>#DIV/0!</v>
      </c>
      <c r="Z22" s="4740" t="e">
        <f t="shared" si="35"/>
        <v>#DIV/0!</v>
      </c>
      <c r="AA22" s="4740" t="e">
        <f t="shared" si="35"/>
        <v>#DIV/0!</v>
      </c>
      <c r="AB22" s="4741">
        <f t="shared" si="35"/>
        <v>0.29880000000000001</v>
      </c>
      <c r="AC22" s="4741">
        <f t="shared" si="35"/>
        <v>0.30128678909166717</v>
      </c>
      <c r="AD22" s="4789">
        <f t="shared" si="27"/>
        <v>2.4867890916671631E-3</v>
      </c>
    </row>
    <row r="23" spans="1:30" ht="18.75" customHeight="1">
      <c r="A23" s="4597" t="s">
        <v>1723</v>
      </c>
      <c r="B23" s="4760">
        <f>SUM('Произв. прогр. Стоки'!H42)</f>
        <v>81.337893932795495</v>
      </c>
      <c r="C23" s="4760">
        <f>SUM(C24:C29)+C32</f>
        <v>2.57</v>
      </c>
      <c r="D23" s="4760">
        <f>SUM(D24:D29)+D32</f>
        <v>11.309999999999999</v>
      </c>
      <c r="E23" s="4760">
        <f>SUM(E24:E29)+E32</f>
        <v>7.81</v>
      </c>
      <c r="F23" s="4760">
        <f>SUM(F24:F29)+F32</f>
        <v>21.689999999999998</v>
      </c>
      <c r="G23" s="4760">
        <f>SUM('Произв. прогр. Стоки'!L42)</f>
        <v>84.298503968302285</v>
      </c>
      <c r="H23" s="4760">
        <f>SUM(H24:H29)+H32</f>
        <v>7.23</v>
      </c>
      <c r="I23" s="4760">
        <f>SUM(I24:I29)+I32</f>
        <v>10.81</v>
      </c>
      <c r="J23" s="4760">
        <f>SUM(J24:J29)+J32</f>
        <v>3.17</v>
      </c>
      <c r="K23" s="4760">
        <f>SUM(K24:K29)+K32</f>
        <v>21.210000000000004</v>
      </c>
      <c r="L23" s="4779">
        <f t="shared" ref="L23:L41" si="36">SUM(G23+B23)</f>
        <v>165.63639790109778</v>
      </c>
      <c r="M23" s="4779">
        <f t="shared" ref="M23:M41" si="37">SUM(K23+F23)</f>
        <v>42.900000000000006</v>
      </c>
      <c r="N23" s="4779">
        <f t="shared" si="17"/>
        <v>-122.73639790109777</v>
      </c>
      <c r="O23" s="4760">
        <f>SUM('Произв. прогр. Стоки'!Q42)</f>
        <v>86.367677575535595</v>
      </c>
      <c r="P23" s="4760">
        <f>SUM(P24:P29)+P32</f>
        <v>0</v>
      </c>
      <c r="Q23" s="4760">
        <f>SUM(Q24:Q29)+Q32</f>
        <v>0</v>
      </c>
      <c r="R23" s="4760">
        <f>SUM(R24:R29)+R32</f>
        <v>0</v>
      </c>
      <c r="S23" s="4760">
        <f>SUM(S24:S29)+S32</f>
        <v>0</v>
      </c>
      <c r="T23" s="4779">
        <f t="shared" ref="T23:T41" si="38">SUM(L23+O23)</f>
        <v>252.00407547663337</v>
      </c>
      <c r="U23" s="4779">
        <f t="shared" ref="U23:U41" si="39">SUM(M23+S23)</f>
        <v>42.900000000000006</v>
      </c>
      <c r="V23" s="4779">
        <f t="shared" si="22"/>
        <v>-209.10407547663337</v>
      </c>
      <c r="W23" s="4760">
        <f>SUM('Произв. прогр. Стоки'!V42)</f>
        <v>81.337893932795495</v>
      </c>
      <c r="X23" s="4760">
        <f>SUM(X24:X29)+X32</f>
        <v>0</v>
      </c>
      <c r="Y23" s="4760">
        <f>SUM(Y24:Y29)+Y32</f>
        <v>0</v>
      </c>
      <c r="Z23" s="4760">
        <f>SUM(Z24:Z29)+Z32</f>
        <v>0</v>
      </c>
      <c r="AA23" s="4760">
        <f>SUM(AA24:AA29)+AA32</f>
        <v>0</v>
      </c>
      <c r="AB23" s="4779">
        <f t="shared" ref="AB23:AB41" si="40">SUM(W23+T23)</f>
        <v>333.34196940942888</v>
      </c>
      <c r="AC23" s="4779">
        <f t="shared" ref="AC23:AC41" si="41">SUM(AA23+U23)</f>
        <v>42.900000000000006</v>
      </c>
      <c r="AD23" s="4779">
        <f t="shared" si="27"/>
        <v>-290.44196940942891</v>
      </c>
    </row>
    <row r="24" spans="1:30" ht="18.75" customHeight="1">
      <c r="A24" s="4790" t="s">
        <v>72</v>
      </c>
      <c r="B24" s="4737">
        <f>SUM('Произв. прогр. Стоки'!H43)</f>
        <v>0</v>
      </c>
      <c r="C24" s="4738"/>
      <c r="D24" s="4738"/>
      <c r="E24" s="4738"/>
      <c r="F24" s="4743">
        <f t="shared" ref="F24:F41" si="42">SUM(C24:E24)</f>
        <v>0</v>
      </c>
      <c r="G24" s="4737">
        <f>SUM('Произв. прогр. Стоки'!L43)</f>
        <v>0</v>
      </c>
      <c r="H24" s="4738"/>
      <c r="I24" s="4738"/>
      <c r="J24" s="4738"/>
      <c r="K24" s="4743">
        <f t="shared" ref="K24:K28" si="43">SUM(H24:J24)</f>
        <v>0</v>
      </c>
      <c r="L24" s="4786">
        <f t="shared" si="36"/>
        <v>0</v>
      </c>
      <c r="M24" s="4786">
        <f t="shared" si="37"/>
        <v>0</v>
      </c>
      <c r="N24" s="4786">
        <f t="shared" si="17"/>
        <v>0</v>
      </c>
      <c r="O24" s="4737">
        <f>SUM('Произв. прогр. Стоки'!Q43)</f>
        <v>0</v>
      </c>
      <c r="P24" s="4738"/>
      <c r="Q24" s="4738"/>
      <c r="R24" s="4738"/>
      <c r="S24" s="4743">
        <f t="shared" ref="S24:S27" si="44">SUM(P24:R24)</f>
        <v>0</v>
      </c>
      <c r="T24" s="4786">
        <f t="shared" si="38"/>
        <v>0</v>
      </c>
      <c r="U24" s="4786">
        <f t="shared" si="39"/>
        <v>0</v>
      </c>
      <c r="V24" s="4786">
        <f t="shared" si="22"/>
        <v>0</v>
      </c>
      <c r="W24" s="4737">
        <f>SUM('Произв. прогр. Стоки'!V43)</f>
        <v>0</v>
      </c>
      <c r="X24" s="4738"/>
      <c r="Y24" s="4738"/>
      <c r="Z24" s="4738"/>
      <c r="AA24" s="4743">
        <f t="shared" ref="AA24:AA27" si="45">SUM(X24:Z24)</f>
        <v>0</v>
      </c>
      <c r="AB24" s="4786">
        <f t="shared" si="40"/>
        <v>0</v>
      </c>
      <c r="AC24" s="4786">
        <f t="shared" si="41"/>
        <v>0</v>
      </c>
      <c r="AD24" s="4786">
        <f t="shared" si="27"/>
        <v>0</v>
      </c>
    </row>
    <row r="25" spans="1:30" ht="18.75" customHeight="1">
      <c r="A25" s="4790" t="s">
        <v>121</v>
      </c>
      <c r="B25" s="4737">
        <f>SUM('Произв. прогр. Стоки'!H44)</f>
        <v>0</v>
      </c>
      <c r="C25" s="4738"/>
      <c r="D25" s="4738"/>
      <c r="E25" s="4738"/>
      <c r="F25" s="4743">
        <f t="shared" si="42"/>
        <v>0</v>
      </c>
      <c r="G25" s="4737">
        <f>SUM('Произв. прогр. Стоки'!L44)</f>
        <v>0</v>
      </c>
      <c r="H25" s="4738"/>
      <c r="I25" s="4738"/>
      <c r="J25" s="4738"/>
      <c r="K25" s="4743">
        <f t="shared" si="43"/>
        <v>0</v>
      </c>
      <c r="L25" s="4786">
        <f t="shared" si="36"/>
        <v>0</v>
      </c>
      <c r="M25" s="4786">
        <f t="shared" si="37"/>
        <v>0</v>
      </c>
      <c r="N25" s="4786">
        <f t="shared" si="17"/>
        <v>0</v>
      </c>
      <c r="O25" s="4737">
        <f>SUM('Произв. прогр. Стоки'!Q44)</f>
        <v>0</v>
      </c>
      <c r="P25" s="4738"/>
      <c r="Q25" s="4738"/>
      <c r="R25" s="4738"/>
      <c r="S25" s="4743">
        <f t="shared" si="44"/>
        <v>0</v>
      </c>
      <c r="T25" s="4786">
        <f t="shared" si="38"/>
        <v>0</v>
      </c>
      <c r="U25" s="4786">
        <f t="shared" si="39"/>
        <v>0</v>
      </c>
      <c r="V25" s="4786">
        <f t="shared" si="22"/>
        <v>0</v>
      </c>
      <c r="W25" s="4737">
        <f>SUM('Произв. прогр. Стоки'!V44)</f>
        <v>0</v>
      </c>
      <c r="X25" s="4738"/>
      <c r="Y25" s="4738"/>
      <c r="Z25" s="4738"/>
      <c r="AA25" s="4743">
        <f t="shared" si="45"/>
        <v>0</v>
      </c>
      <c r="AB25" s="4786">
        <f t="shared" si="40"/>
        <v>0</v>
      </c>
      <c r="AC25" s="4786">
        <f t="shared" si="41"/>
        <v>0</v>
      </c>
      <c r="AD25" s="4786">
        <f t="shared" si="27"/>
        <v>0</v>
      </c>
    </row>
    <row r="26" spans="1:30" ht="18.75" customHeight="1">
      <c r="A26" s="4790" t="s">
        <v>52</v>
      </c>
      <c r="B26" s="4737">
        <f>SUM('Произв. прогр. Стоки'!H45)</f>
        <v>4.0084371821483815</v>
      </c>
      <c r="C26" s="4738">
        <v>1.33</v>
      </c>
      <c r="D26" s="4738">
        <v>1.27</v>
      </c>
      <c r="E26" s="4738">
        <v>1.37</v>
      </c>
      <c r="F26" s="4743">
        <f t="shared" si="42"/>
        <v>3.97</v>
      </c>
      <c r="G26" s="4737">
        <f>SUM('Произв. прогр. Стоки'!L45)</f>
        <v>4.0084371821483815</v>
      </c>
      <c r="H26" s="4738">
        <v>1.27</v>
      </c>
      <c r="I26" s="4738">
        <v>1.29</v>
      </c>
      <c r="J26" s="4738">
        <v>1.28</v>
      </c>
      <c r="K26" s="4743">
        <f t="shared" si="43"/>
        <v>3.84</v>
      </c>
      <c r="L26" s="4786">
        <f t="shared" si="36"/>
        <v>8.016874364296763</v>
      </c>
      <c r="M26" s="4786">
        <f t="shared" si="37"/>
        <v>7.8100000000000005</v>
      </c>
      <c r="N26" s="4786">
        <f t="shared" si="17"/>
        <v>-0.20687436429676254</v>
      </c>
      <c r="O26" s="4737">
        <f>SUM('Произв. прогр. Стоки'!Q45)</f>
        <v>4.0084371821483815</v>
      </c>
      <c r="P26" s="4738"/>
      <c r="Q26" s="4738"/>
      <c r="R26" s="4738"/>
      <c r="S26" s="4743">
        <f t="shared" si="44"/>
        <v>0</v>
      </c>
      <c r="T26" s="4786">
        <f t="shared" si="38"/>
        <v>12.025311546445145</v>
      </c>
      <c r="U26" s="4786">
        <f t="shared" si="39"/>
        <v>7.8100000000000005</v>
      </c>
      <c r="V26" s="4786">
        <f t="shared" si="22"/>
        <v>-4.2153115464451449</v>
      </c>
      <c r="W26" s="4737">
        <f>SUM('Произв. прогр. Стоки'!V45)</f>
        <v>4.0084371821483815</v>
      </c>
      <c r="X26" s="4738"/>
      <c r="Y26" s="4738"/>
      <c r="Z26" s="4738"/>
      <c r="AA26" s="4743">
        <f t="shared" si="45"/>
        <v>0</v>
      </c>
      <c r="AB26" s="4786">
        <f t="shared" si="40"/>
        <v>16.033748728593526</v>
      </c>
      <c r="AC26" s="4786">
        <f t="shared" si="41"/>
        <v>7.8100000000000005</v>
      </c>
      <c r="AD26" s="4786">
        <f t="shared" si="27"/>
        <v>-8.2237487285935256</v>
      </c>
    </row>
    <row r="27" spans="1:30" ht="18.75" customHeight="1">
      <c r="A27" s="4790" t="s">
        <v>605</v>
      </c>
      <c r="B27" s="4737">
        <f>SUM('Произв. прогр. Стоки'!H46)</f>
        <v>15.742074505360277</v>
      </c>
      <c r="C27" s="4738">
        <v>1.21</v>
      </c>
      <c r="D27" s="4738">
        <v>10.01</v>
      </c>
      <c r="E27" s="4738">
        <v>6.1</v>
      </c>
      <c r="F27" s="4743">
        <f t="shared" si="42"/>
        <v>17.32</v>
      </c>
      <c r="G27" s="4737">
        <f>SUM('Произв. прогр. Стоки'!L46)</f>
        <v>15.742074505360277</v>
      </c>
      <c r="H27" s="4738">
        <v>5.2</v>
      </c>
      <c r="I27" s="4738">
        <v>5.95</v>
      </c>
      <c r="J27" s="4738">
        <v>1.43</v>
      </c>
      <c r="K27" s="4743">
        <f t="shared" si="43"/>
        <v>12.58</v>
      </c>
      <c r="L27" s="4786">
        <f t="shared" si="36"/>
        <v>31.484149010720554</v>
      </c>
      <c r="M27" s="4786">
        <f t="shared" si="37"/>
        <v>29.9</v>
      </c>
      <c r="N27" s="4786">
        <f t="shared" si="17"/>
        <v>-1.5841490107205551</v>
      </c>
      <c r="O27" s="4737">
        <f>SUM('Произв. прогр. Стоки'!Q46)</f>
        <v>15.742074505360277</v>
      </c>
      <c r="P27" s="4738"/>
      <c r="Q27" s="4738"/>
      <c r="R27" s="4738"/>
      <c r="S27" s="4743">
        <f t="shared" si="44"/>
        <v>0</v>
      </c>
      <c r="T27" s="4786">
        <f t="shared" si="38"/>
        <v>47.226223516080829</v>
      </c>
      <c r="U27" s="4786">
        <f t="shared" si="39"/>
        <v>29.9</v>
      </c>
      <c r="V27" s="4786">
        <f t="shared" si="22"/>
        <v>-17.32622351608083</v>
      </c>
      <c r="W27" s="4737">
        <f>SUM('Произв. прогр. Стоки'!V46)</f>
        <v>15.742074505360277</v>
      </c>
      <c r="X27" s="4738"/>
      <c r="Y27" s="4738"/>
      <c r="Z27" s="4738"/>
      <c r="AA27" s="4743">
        <f t="shared" si="45"/>
        <v>0</v>
      </c>
      <c r="AB27" s="4786">
        <f t="shared" si="40"/>
        <v>62.968298021441107</v>
      </c>
      <c r="AC27" s="4786">
        <f t="shared" si="41"/>
        <v>29.9</v>
      </c>
      <c r="AD27" s="4786">
        <f t="shared" si="27"/>
        <v>-33.068298021441109</v>
      </c>
    </row>
    <row r="28" spans="1:30" ht="18.75" customHeight="1">
      <c r="A28" s="4790" t="s">
        <v>1594</v>
      </c>
      <c r="B28" s="4737">
        <f>SUM('Произв. прогр. Стоки'!H47)</f>
        <v>45.676183358326988</v>
      </c>
      <c r="C28" s="4738"/>
      <c r="D28" s="4738"/>
      <c r="E28" s="4738"/>
      <c r="F28" s="4743">
        <f t="shared" ref="F28" si="46">SUM(C28:E28)</f>
        <v>0</v>
      </c>
      <c r="G28" s="4737">
        <f>SUM('Произв. прогр. Стоки'!L47)</f>
        <v>45.676183358326988</v>
      </c>
      <c r="H28" s="4738"/>
      <c r="I28" s="4738"/>
      <c r="J28" s="4738"/>
      <c r="K28" s="4743">
        <f t="shared" si="43"/>
        <v>0</v>
      </c>
      <c r="L28" s="4786">
        <f t="shared" ref="L28" si="47">SUM(G28+B28)</f>
        <v>91.352366716653975</v>
      </c>
      <c r="M28" s="4786">
        <f t="shared" si="37"/>
        <v>0</v>
      </c>
      <c r="N28" s="4786">
        <f t="shared" si="17"/>
        <v>-91.352366716653975</v>
      </c>
      <c r="O28" s="4737">
        <f>SUM('Произв. прогр. Стоки'!Q47)</f>
        <v>45.676183358326988</v>
      </c>
      <c r="P28" s="4738"/>
      <c r="Q28" s="4738"/>
      <c r="R28" s="4738"/>
      <c r="S28" s="4743">
        <f t="shared" ref="S28" si="48">SUM(P28:R28)</f>
        <v>0</v>
      </c>
      <c r="T28" s="4786">
        <f t="shared" ref="T28" si="49">SUM(L28+O28)</f>
        <v>137.02855007498096</v>
      </c>
      <c r="U28" s="4786">
        <f t="shared" si="39"/>
        <v>0</v>
      </c>
      <c r="V28" s="4786">
        <f t="shared" si="22"/>
        <v>-137.02855007498096</v>
      </c>
      <c r="W28" s="4737">
        <f>SUM('Произв. прогр. Стоки'!V47)</f>
        <v>45.676183358326988</v>
      </c>
      <c r="X28" s="4738"/>
      <c r="Y28" s="4738"/>
      <c r="Z28" s="4738"/>
      <c r="AA28" s="4743">
        <f t="shared" ref="AA28" si="50">SUM(X28:Z28)</f>
        <v>0</v>
      </c>
      <c r="AB28" s="4786">
        <f t="shared" ref="AB28" si="51">SUM(W28+T28)</f>
        <v>182.70473343330795</v>
      </c>
      <c r="AC28" s="4786">
        <f t="shared" si="41"/>
        <v>0</v>
      </c>
      <c r="AD28" s="4786">
        <f t="shared" si="27"/>
        <v>-182.70473343330795</v>
      </c>
    </row>
    <row r="29" spans="1:30" ht="18.75" customHeight="1">
      <c r="A29" s="4790" t="s">
        <v>606</v>
      </c>
      <c r="B29" s="4737">
        <f>SUM('Произв. прогр. Стоки'!H48)</f>
        <v>1.641709199341437</v>
      </c>
      <c r="C29" s="4737">
        <f>SUM(C30:C31)</f>
        <v>0.03</v>
      </c>
      <c r="D29" s="4737">
        <f t="shared" ref="D29:F29" si="52">SUM(D30:D31)</f>
        <v>0.03</v>
      </c>
      <c r="E29" s="4737">
        <f t="shared" si="52"/>
        <v>0.34</v>
      </c>
      <c r="F29" s="4737">
        <f t="shared" si="52"/>
        <v>0.4</v>
      </c>
      <c r="G29" s="4737">
        <f>SUM('Произв. прогр. Стоки'!L48)</f>
        <v>1.641709199341437</v>
      </c>
      <c r="H29" s="4737">
        <f>SUM(H30:H31)</f>
        <v>0.76</v>
      </c>
      <c r="I29" s="4737">
        <f t="shared" ref="I29:K29" si="53">SUM(I30:I31)</f>
        <v>0.04</v>
      </c>
      <c r="J29" s="4737">
        <f t="shared" si="53"/>
        <v>0.46</v>
      </c>
      <c r="K29" s="4737">
        <f t="shared" si="53"/>
        <v>1.26</v>
      </c>
      <c r="L29" s="4786">
        <f t="shared" si="36"/>
        <v>3.283418398682874</v>
      </c>
      <c r="M29" s="4786">
        <f t="shared" si="37"/>
        <v>1.6600000000000001</v>
      </c>
      <c r="N29" s="4786">
        <f t="shared" si="17"/>
        <v>-1.6234183986828739</v>
      </c>
      <c r="O29" s="4737">
        <f>SUM('Произв. прогр. Стоки'!Q48)</f>
        <v>1.641709199341437</v>
      </c>
      <c r="P29" s="4737">
        <f>SUM(P30:P31)</f>
        <v>0</v>
      </c>
      <c r="Q29" s="4737">
        <f t="shared" ref="Q29:S29" si="54">SUM(Q30:Q31)</f>
        <v>0</v>
      </c>
      <c r="R29" s="4737">
        <f t="shared" si="54"/>
        <v>0</v>
      </c>
      <c r="S29" s="4737">
        <f t="shared" si="54"/>
        <v>0</v>
      </c>
      <c r="T29" s="4786">
        <f t="shared" si="38"/>
        <v>4.9251275980243108</v>
      </c>
      <c r="U29" s="4786">
        <f t="shared" si="39"/>
        <v>1.6600000000000001</v>
      </c>
      <c r="V29" s="4786">
        <f t="shared" si="22"/>
        <v>-3.2651275980243106</v>
      </c>
      <c r="W29" s="4737">
        <f>SUM('Произв. прогр. Стоки'!V48)</f>
        <v>1.641709199341437</v>
      </c>
      <c r="X29" s="4737">
        <f>SUM(X30:X31)</f>
        <v>0</v>
      </c>
      <c r="Y29" s="4737">
        <f t="shared" ref="Y29:AA29" si="55">SUM(Y30:Y31)</f>
        <v>0</v>
      </c>
      <c r="Z29" s="4737">
        <f t="shared" si="55"/>
        <v>0</v>
      </c>
      <c r="AA29" s="4737">
        <f t="shared" si="55"/>
        <v>0</v>
      </c>
      <c r="AB29" s="4786">
        <f t="shared" si="40"/>
        <v>6.566836797365748</v>
      </c>
      <c r="AC29" s="4786">
        <f t="shared" si="41"/>
        <v>1.6600000000000001</v>
      </c>
      <c r="AD29" s="4786">
        <f t="shared" si="27"/>
        <v>-4.9068367973657478</v>
      </c>
    </row>
    <row r="30" spans="1:30" ht="18.75" customHeight="1">
      <c r="A30" s="4700" t="s">
        <v>564</v>
      </c>
      <c r="B30" s="4752">
        <f>SUM('Произв. прогр. Стоки'!H49)</f>
        <v>1.4833717638719583</v>
      </c>
      <c r="C30" s="4751">
        <v>0.03</v>
      </c>
      <c r="D30" s="4751">
        <v>0.03</v>
      </c>
      <c r="E30" s="4751">
        <v>0.34</v>
      </c>
      <c r="F30" s="4748">
        <f t="shared" si="42"/>
        <v>0.4</v>
      </c>
      <c r="G30" s="4752">
        <f>SUM('Произв. прогр. Стоки'!L49)</f>
        <v>1.4833717638719583</v>
      </c>
      <c r="H30" s="4751">
        <v>0.76</v>
      </c>
      <c r="I30" s="4751">
        <v>0.04</v>
      </c>
      <c r="J30" s="4751">
        <v>0.46</v>
      </c>
      <c r="K30" s="4748">
        <f t="shared" ref="K30:K31" si="56">SUM(H30:J30)</f>
        <v>1.26</v>
      </c>
      <c r="L30" s="4791">
        <f t="shared" si="36"/>
        <v>2.9667435277439167</v>
      </c>
      <c r="M30" s="4791">
        <f t="shared" si="37"/>
        <v>1.6600000000000001</v>
      </c>
      <c r="N30" s="4791">
        <f t="shared" si="17"/>
        <v>-1.3067435277439166</v>
      </c>
      <c r="O30" s="4752">
        <f>SUM('Произв. прогр. Стоки'!Q49)</f>
        <v>1.4833717638719583</v>
      </c>
      <c r="P30" s="4751"/>
      <c r="Q30" s="4751"/>
      <c r="R30" s="4751"/>
      <c r="S30" s="4748">
        <f t="shared" ref="S30:S31" si="57">SUM(P30:R30)</f>
        <v>0</v>
      </c>
      <c r="T30" s="4791">
        <f t="shared" si="38"/>
        <v>4.4501152916158748</v>
      </c>
      <c r="U30" s="4791">
        <f t="shared" si="39"/>
        <v>1.6600000000000001</v>
      </c>
      <c r="V30" s="4791">
        <f t="shared" si="22"/>
        <v>-2.7901152916158747</v>
      </c>
      <c r="W30" s="4752">
        <f>SUM('Произв. прогр. Стоки'!V49)</f>
        <v>1.4833717638719583</v>
      </c>
      <c r="X30" s="4751"/>
      <c r="Y30" s="4751"/>
      <c r="Z30" s="4751"/>
      <c r="AA30" s="4748">
        <f t="shared" ref="AA30:AA31" si="58">SUM(X30:Z30)</f>
        <v>0</v>
      </c>
      <c r="AB30" s="4791">
        <f t="shared" si="40"/>
        <v>5.9334870554878334</v>
      </c>
      <c r="AC30" s="4791">
        <f t="shared" si="41"/>
        <v>1.6600000000000001</v>
      </c>
      <c r="AD30" s="4791">
        <f t="shared" si="27"/>
        <v>-4.2734870554878333</v>
      </c>
    </row>
    <row r="31" spans="1:30" ht="18.75" customHeight="1">
      <c r="A31" s="4700" t="s">
        <v>565</v>
      </c>
      <c r="B31" s="4752">
        <f>SUM('Произв. прогр. Стоки'!H50)</f>
        <v>0.1583374354694787</v>
      </c>
      <c r="C31" s="4751"/>
      <c r="D31" s="4751"/>
      <c r="E31" s="4751"/>
      <c r="F31" s="4748">
        <f t="shared" si="42"/>
        <v>0</v>
      </c>
      <c r="G31" s="4752">
        <f>SUM('Произв. прогр. Стоки'!L50)</f>
        <v>0.1583374354694787</v>
      </c>
      <c r="H31" s="4751"/>
      <c r="I31" s="4751"/>
      <c r="J31" s="4751"/>
      <c r="K31" s="4748">
        <f t="shared" si="56"/>
        <v>0</v>
      </c>
      <c r="L31" s="4791">
        <f t="shared" si="36"/>
        <v>0.31667487093895741</v>
      </c>
      <c r="M31" s="4791">
        <f t="shared" si="37"/>
        <v>0</v>
      </c>
      <c r="N31" s="4791">
        <f t="shared" si="17"/>
        <v>-0.31667487093895741</v>
      </c>
      <c r="O31" s="4752">
        <f>SUM('Произв. прогр. Стоки'!Q50)</f>
        <v>0.1583374354694787</v>
      </c>
      <c r="P31" s="4751"/>
      <c r="Q31" s="4751"/>
      <c r="R31" s="4751"/>
      <c r="S31" s="4748">
        <f t="shared" si="57"/>
        <v>0</v>
      </c>
      <c r="T31" s="4791">
        <f t="shared" si="38"/>
        <v>0.47501230640843611</v>
      </c>
      <c r="U31" s="4791">
        <f t="shared" si="39"/>
        <v>0</v>
      </c>
      <c r="V31" s="4791">
        <f t="shared" si="22"/>
        <v>-0.47501230640843611</v>
      </c>
      <c r="W31" s="4752">
        <f>SUM('Произв. прогр. Стоки'!V50)</f>
        <v>0.1583374354694787</v>
      </c>
      <c r="X31" s="4751"/>
      <c r="Y31" s="4751"/>
      <c r="Z31" s="4751"/>
      <c r="AA31" s="4748">
        <f t="shared" si="58"/>
        <v>0</v>
      </c>
      <c r="AB31" s="4791">
        <f t="shared" si="40"/>
        <v>0.63334974187791482</v>
      </c>
      <c r="AC31" s="4791">
        <f t="shared" si="41"/>
        <v>0</v>
      </c>
      <c r="AD31" s="4791">
        <f t="shared" si="27"/>
        <v>-0.63334974187791482</v>
      </c>
    </row>
    <row r="32" spans="1:30" ht="18.75" customHeight="1">
      <c r="A32" s="4790" t="s">
        <v>609</v>
      </c>
      <c r="B32" s="4737">
        <f>SUM('Произв. прогр. Стоки'!H51)</f>
        <v>14.269489687618407</v>
      </c>
      <c r="C32" s="4737">
        <f>SUM(C33)</f>
        <v>0</v>
      </c>
      <c r="D32" s="4737">
        <f t="shared" ref="D32:F32" si="59">SUM(D33)</f>
        <v>0</v>
      </c>
      <c r="E32" s="4737">
        <f t="shared" si="59"/>
        <v>0</v>
      </c>
      <c r="F32" s="4737">
        <f t="shared" si="59"/>
        <v>0</v>
      </c>
      <c r="G32" s="4737">
        <f>SUM('Произв. прогр. Стоки'!L51)</f>
        <v>17.230099723125189</v>
      </c>
      <c r="H32" s="4737">
        <f>SUM(H33)</f>
        <v>0</v>
      </c>
      <c r="I32" s="4737">
        <f t="shared" ref="I32:K32" si="60">SUM(I33)</f>
        <v>3.53</v>
      </c>
      <c r="J32" s="4737">
        <f t="shared" si="60"/>
        <v>0</v>
      </c>
      <c r="K32" s="4737">
        <f t="shared" si="60"/>
        <v>3.53</v>
      </c>
      <c r="L32" s="4786">
        <f t="shared" si="36"/>
        <v>31.499589410743596</v>
      </c>
      <c r="M32" s="4786">
        <f t="shared" si="37"/>
        <v>3.53</v>
      </c>
      <c r="N32" s="4786">
        <f t="shared" si="17"/>
        <v>-27.969589410743595</v>
      </c>
      <c r="O32" s="4737">
        <f>SUM('Произв. прогр. Стоки'!Q51)</f>
        <v>19.299273330358499</v>
      </c>
      <c r="P32" s="4737">
        <f>SUM(P33)</f>
        <v>0</v>
      </c>
      <c r="Q32" s="4737">
        <f t="shared" ref="Q32:S32" si="61">SUM(Q33)</f>
        <v>0</v>
      </c>
      <c r="R32" s="4737">
        <f t="shared" si="61"/>
        <v>0</v>
      </c>
      <c r="S32" s="4737">
        <f t="shared" si="61"/>
        <v>0</v>
      </c>
      <c r="T32" s="4786">
        <f t="shared" si="38"/>
        <v>50.798862741102099</v>
      </c>
      <c r="U32" s="4786">
        <f t="shared" si="39"/>
        <v>3.53</v>
      </c>
      <c r="V32" s="4786">
        <f t="shared" si="22"/>
        <v>-47.268862741102097</v>
      </c>
      <c r="W32" s="4737">
        <f>SUM('Произв. прогр. Стоки'!V51)</f>
        <v>14.269489687618407</v>
      </c>
      <c r="X32" s="4737">
        <f>SUM(X33)</f>
        <v>0</v>
      </c>
      <c r="Y32" s="4737">
        <f t="shared" ref="Y32:AA32" si="62">SUM(Y33)</f>
        <v>0</v>
      </c>
      <c r="Z32" s="4737">
        <f t="shared" si="62"/>
        <v>0</v>
      </c>
      <c r="AA32" s="4737">
        <f t="shared" si="62"/>
        <v>0</v>
      </c>
      <c r="AB32" s="4786">
        <f t="shared" si="40"/>
        <v>65.068352428720502</v>
      </c>
      <c r="AC32" s="4786">
        <f t="shared" si="41"/>
        <v>3.53</v>
      </c>
      <c r="AD32" s="4786">
        <f t="shared" si="27"/>
        <v>-61.538352428720501</v>
      </c>
    </row>
    <row r="33" spans="1:30" ht="18.75" customHeight="1">
      <c r="A33" s="4700" t="s">
        <v>551</v>
      </c>
      <c r="B33" s="4752">
        <f>SUM('Произв. прогр. Стоки'!H52)</f>
        <v>14.269489687618407</v>
      </c>
      <c r="C33" s="4751"/>
      <c r="D33" s="4751"/>
      <c r="E33" s="4751"/>
      <c r="F33" s="4748">
        <f t="shared" si="42"/>
        <v>0</v>
      </c>
      <c r="G33" s="4752">
        <f>SUM('Произв. прогр. Стоки'!L52)</f>
        <v>17.230099723125189</v>
      </c>
      <c r="H33" s="4751"/>
      <c r="I33" s="4751">
        <v>3.53</v>
      </c>
      <c r="J33" s="4751"/>
      <c r="K33" s="4748">
        <f t="shared" ref="K33" si="63">SUM(H33:J33)</f>
        <v>3.53</v>
      </c>
      <c r="L33" s="4791">
        <f t="shared" si="36"/>
        <v>31.499589410743596</v>
      </c>
      <c r="M33" s="4791">
        <f t="shared" si="37"/>
        <v>3.53</v>
      </c>
      <c r="N33" s="4791">
        <f t="shared" si="17"/>
        <v>-27.969589410743595</v>
      </c>
      <c r="O33" s="4752">
        <f>SUM('Произв. прогр. Стоки'!Q52)</f>
        <v>19.299273330358499</v>
      </c>
      <c r="P33" s="4751"/>
      <c r="Q33" s="4751"/>
      <c r="R33" s="4751"/>
      <c r="S33" s="4748">
        <f t="shared" ref="S33" si="64">SUM(P33:R33)</f>
        <v>0</v>
      </c>
      <c r="T33" s="4791">
        <f t="shared" si="38"/>
        <v>50.798862741102099</v>
      </c>
      <c r="U33" s="4791">
        <f t="shared" si="39"/>
        <v>3.53</v>
      </c>
      <c r="V33" s="4791">
        <f t="shared" si="22"/>
        <v>-47.268862741102097</v>
      </c>
      <c r="W33" s="4752">
        <f>SUM('Произв. прогр. Стоки'!V52)</f>
        <v>14.269489687618407</v>
      </c>
      <c r="X33" s="4751"/>
      <c r="Y33" s="4751"/>
      <c r="Z33" s="4751"/>
      <c r="AA33" s="4748">
        <f t="shared" ref="AA33" si="65">SUM(X33:Z33)</f>
        <v>0</v>
      </c>
      <c r="AB33" s="4791">
        <f t="shared" si="40"/>
        <v>65.068352428720502</v>
      </c>
      <c r="AC33" s="4791">
        <f t="shared" si="41"/>
        <v>3.53</v>
      </c>
      <c r="AD33" s="4791">
        <f t="shared" si="27"/>
        <v>-61.538352428720501</v>
      </c>
    </row>
    <row r="34" spans="1:30" ht="18.75" customHeight="1">
      <c r="A34" s="4721" t="s">
        <v>7</v>
      </c>
      <c r="B34" s="4760">
        <f>SUM('Произв. прогр. Стоки'!H53)</f>
        <v>10043.065970127551</v>
      </c>
      <c r="C34" s="4760">
        <f>SUM(C35:C41)+C43</f>
        <v>3063.5</v>
      </c>
      <c r="D34" s="4760">
        <f t="shared" ref="D34:F34" si="66">SUM(D35:D41)+D43</f>
        <v>2849.89</v>
      </c>
      <c r="E34" s="4760">
        <f t="shared" si="66"/>
        <v>3954.3599999999997</v>
      </c>
      <c r="F34" s="4760">
        <f t="shared" si="66"/>
        <v>9867.75</v>
      </c>
      <c r="G34" s="4760">
        <f>SUM('Произв. прогр. Стоки'!L53)</f>
        <v>9864.9346393921769</v>
      </c>
      <c r="H34" s="4760">
        <f>SUM(H35:H41)+H43</f>
        <v>3432.83</v>
      </c>
      <c r="I34" s="4760">
        <f t="shared" ref="I34" si="67">SUM(I35:I41)+I43</f>
        <v>3506.3299999999995</v>
      </c>
      <c r="J34" s="4760">
        <f>SUM(J35:J41)+J43</f>
        <v>3611.5099999999998</v>
      </c>
      <c r="K34" s="4760">
        <f t="shared" ref="K34" si="68">SUM(K35:K41)+K43</f>
        <v>10550.669999999998</v>
      </c>
      <c r="L34" s="4779">
        <f t="shared" si="36"/>
        <v>19908.000609519728</v>
      </c>
      <c r="M34" s="4779">
        <f t="shared" si="37"/>
        <v>20418.419999999998</v>
      </c>
      <c r="N34" s="4779">
        <f t="shared" si="17"/>
        <v>510.41939048027052</v>
      </c>
      <c r="O34" s="4760">
        <f>SUM('Произв. прогр. Стоки'!Q53)</f>
        <v>10252.083610402742</v>
      </c>
      <c r="P34" s="4760">
        <f>SUM(P35:P41)+P43</f>
        <v>0</v>
      </c>
      <c r="Q34" s="4760">
        <f t="shared" ref="Q34" si="69">SUM(Q35:Q41)+Q43</f>
        <v>0</v>
      </c>
      <c r="R34" s="4760">
        <f t="shared" ref="R34" si="70">SUM(R35:R41)+R43</f>
        <v>0</v>
      </c>
      <c r="S34" s="4760">
        <f t="shared" ref="S34" si="71">SUM(S35:S41)+S43</f>
        <v>0</v>
      </c>
      <c r="T34" s="4779">
        <f t="shared" si="38"/>
        <v>30160.084219922472</v>
      </c>
      <c r="U34" s="4779">
        <f t="shared" si="39"/>
        <v>20418.419999999998</v>
      </c>
      <c r="V34" s="4779">
        <f t="shared" si="22"/>
        <v>-9741.6642199224734</v>
      </c>
      <c r="W34" s="4760">
        <f>SUM('Произв. прогр. Стоки'!V53)</f>
        <v>10439.728656742895</v>
      </c>
      <c r="X34" s="4760">
        <f>SUM(X35:X41)+X43</f>
        <v>0</v>
      </c>
      <c r="Y34" s="4760">
        <f t="shared" ref="Y34" si="72">SUM(Y35:Y41)+Y43</f>
        <v>0</v>
      </c>
      <c r="Z34" s="4760">
        <f t="shared" ref="Z34" si="73">SUM(Z35:Z41)+Z43</f>
        <v>0</v>
      </c>
      <c r="AA34" s="4760">
        <f t="shared" ref="AA34" si="74">SUM(AA35:AA41)+AA43</f>
        <v>0</v>
      </c>
      <c r="AB34" s="4779">
        <f t="shared" si="40"/>
        <v>40599.812876665368</v>
      </c>
      <c r="AC34" s="4779">
        <f t="shared" si="41"/>
        <v>20418.419999999998</v>
      </c>
      <c r="AD34" s="4779">
        <f t="shared" si="27"/>
        <v>-20181.39287666537</v>
      </c>
    </row>
    <row r="35" spans="1:30" ht="18.75" customHeight="1">
      <c r="A35" s="4620" t="s">
        <v>1</v>
      </c>
      <c r="B35" s="4737">
        <f>SUM('Произв. прогр. Стоки'!H54)</f>
        <v>1554.2929093807497</v>
      </c>
      <c r="C35" s="4738">
        <v>898.08</v>
      </c>
      <c r="D35" s="4738">
        <v>850.86</v>
      </c>
      <c r="E35" s="4738">
        <v>923.19</v>
      </c>
      <c r="F35" s="4743">
        <f t="shared" si="42"/>
        <v>2672.13</v>
      </c>
      <c r="G35" s="4737">
        <f>SUM('Произв. прогр. Стоки'!L54)</f>
        <v>1487.7577365997497</v>
      </c>
      <c r="H35" s="4738">
        <v>953.55</v>
      </c>
      <c r="I35" s="4738">
        <v>942.46</v>
      </c>
      <c r="J35" s="4738">
        <v>825.87</v>
      </c>
      <c r="K35" s="4743">
        <f t="shared" ref="K35:K41" si="75">SUM(H35:J35)</f>
        <v>2721.88</v>
      </c>
      <c r="L35" s="4786">
        <f t="shared" si="36"/>
        <v>3042.0506459804992</v>
      </c>
      <c r="M35" s="4786">
        <f t="shared" si="37"/>
        <v>5394.01</v>
      </c>
      <c r="N35" s="4786">
        <f t="shared" si="17"/>
        <v>2351.959354019501</v>
      </c>
      <c r="O35" s="4737">
        <f>SUM('Произв. прогр. Стоки'!Q54)</f>
        <v>1591.9007781617324</v>
      </c>
      <c r="P35" s="4738"/>
      <c r="Q35" s="4738"/>
      <c r="R35" s="4738"/>
      <c r="S35" s="4743">
        <f t="shared" ref="S35:S41" si="76">SUM(P35:R35)</f>
        <v>0</v>
      </c>
      <c r="T35" s="4786">
        <f t="shared" si="38"/>
        <v>4633.9514241422312</v>
      </c>
      <c r="U35" s="4786">
        <f t="shared" si="39"/>
        <v>5394.01</v>
      </c>
      <c r="V35" s="4786">
        <f t="shared" si="22"/>
        <v>760.05857585776903</v>
      </c>
      <c r="W35" s="4737">
        <f>SUM('Произв. прогр. Стоки'!V54)</f>
        <v>1663.0934130374026</v>
      </c>
      <c r="X35" s="4738"/>
      <c r="Y35" s="4738"/>
      <c r="Z35" s="4738"/>
      <c r="AA35" s="4743">
        <f t="shared" ref="AA35:AA41" si="77">SUM(X35:Z35)</f>
        <v>0</v>
      </c>
      <c r="AB35" s="4786">
        <f t="shared" si="40"/>
        <v>6297.0448371796338</v>
      </c>
      <c r="AC35" s="4786">
        <f t="shared" si="41"/>
        <v>5394.01</v>
      </c>
      <c r="AD35" s="4786">
        <f t="shared" si="27"/>
        <v>-903.03483717963354</v>
      </c>
    </row>
    <row r="36" spans="1:30" ht="18.75" customHeight="1">
      <c r="A36" s="4620" t="s">
        <v>8</v>
      </c>
      <c r="B36" s="4737">
        <f>SUM('Произв. прогр. Стоки'!H55)</f>
        <v>81.583359252632391</v>
      </c>
      <c r="C36" s="4738"/>
      <c r="D36" s="4738"/>
      <c r="E36" s="4738"/>
      <c r="F36" s="4743">
        <f t="shared" si="42"/>
        <v>0</v>
      </c>
      <c r="G36" s="4737">
        <f>SUM('Произв. прогр. Стоки'!L55)</f>
        <v>81.583359252632391</v>
      </c>
      <c r="H36" s="4738"/>
      <c r="I36" s="4738">
        <v>9.92</v>
      </c>
      <c r="J36" s="4738"/>
      <c r="K36" s="4743">
        <f t="shared" si="75"/>
        <v>9.92</v>
      </c>
      <c r="L36" s="4786">
        <f t="shared" si="36"/>
        <v>163.16671850526478</v>
      </c>
      <c r="M36" s="4786">
        <f t="shared" si="37"/>
        <v>9.92</v>
      </c>
      <c r="N36" s="4786">
        <f t="shared" si="17"/>
        <v>-153.24671850526479</v>
      </c>
      <c r="O36" s="4737">
        <f>SUM('Произв. прогр. Стоки'!Q55)</f>
        <v>81.583359252632391</v>
      </c>
      <c r="P36" s="4738"/>
      <c r="Q36" s="4738"/>
      <c r="R36" s="4738"/>
      <c r="S36" s="4743">
        <f t="shared" si="76"/>
        <v>0</v>
      </c>
      <c r="T36" s="4786">
        <f t="shared" si="38"/>
        <v>244.75007775789717</v>
      </c>
      <c r="U36" s="4786">
        <f t="shared" si="39"/>
        <v>9.92</v>
      </c>
      <c r="V36" s="4786">
        <f t="shared" si="22"/>
        <v>-234.83007775789719</v>
      </c>
      <c r="W36" s="4737">
        <f>SUM('Произв. прогр. Стоки'!V55)</f>
        <v>81.583359252632391</v>
      </c>
      <c r="X36" s="4738"/>
      <c r="Y36" s="4738"/>
      <c r="Z36" s="4738"/>
      <c r="AA36" s="4743">
        <f t="shared" si="77"/>
        <v>0</v>
      </c>
      <c r="AB36" s="4786">
        <f t="shared" si="40"/>
        <v>326.33343701052956</v>
      </c>
      <c r="AC36" s="4786">
        <f t="shared" si="41"/>
        <v>9.92</v>
      </c>
      <c r="AD36" s="4786">
        <f t="shared" si="27"/>
        <v>-316.41343701052955</v>
      </c>
    </row>
    <row r="37" spans="1:30" ht="18.75" customHeight="1">
      <c r="A37" s="4620" t="s">
        <v>2</v>
      </c>
      <c r="B37" s="4737">
        <f>SUM('Произв. прогр. Стоки'!H56)</f>
        <v>147.11750000000001</v>
      </c>
      <c r="C37" s="4738">
        <v>36.28</v>
      </c>
      <c r="D37" s="4738">
        <v>36.28</v>
      </c>
      <c r="E37" s="4738">
        <v>36.28</v>
      </c>
      <c r="F37" s="4743">
        <f t="shared" si="42"/>
        <v>108.84</v>
      </c>
      <c r="G37" s="4737">
        <f>SUM('Произв. прогр. Стоки'!L56)</f>
        <v>147.11750000000001</v>
      </c>
      <c r="H37" s="4738">
        <v>36.28</v>
      </c>
      <c r="I37" s="4738">
        <v>38.770000000000003</v>
      </c>
      <c r="J37" s="4738">
        <v>39.39</v>
      </c>
      <c r="K37" s="4743">
        <f t="shared" si="75"/>
        <v>114.44000000000001</v>
      </c>
      <c r="L37" s="4786">
        <f t="shared" si="36"/>
        <v>294.23500000000001</v>
      </c>
      <c r="M37" s="4786">
        <f t="shared" si="37"/>
        <v>223.28000000000003</v>
      </c>
      <c r="N37" s="4786">
        <f t="shared" si="17"/>
        <v>-70.954999999999984</v>
      </c>
      <c r="O37" s="4737">
        <f>SUM('Произв. прогр. Стоки'!Q56)</f>
        <v>147.11750000000001</v>
      </c>
      <c r="P37" s="4738"/>
      <c r="Q37" s="4738"/>
      <c r="R37" s="4738"/>
      <c r="S37" s="4743">
        <f t="shared" si="76"/>
        <v>0</v>
      </c>
      <c r="T37" s="4786">
        <f t="shared" si="38"/>
        <v>441.35250000000002</v>
      </c>
      <c r="U37" s="4786">
        <f t="shared" si="39"/>
        <v>223.28000000000003</v>
      </c>
      <c r="V37" s="4786">
        <f t="shared" si="22"/>
        <v>-218.07249999999999</v>
      </c>
      <c r="W37" s="4737">
        <f>SUM('Произв. прогр. Стоки'!V56)</f>
        <v>147.11750000000001</v>
      </c>
      <c r="X37" s="4738"/>
      <c r="Y37" s="4738"/>
      <c r="Z37" s="4738"/>
      <c r="AA37" s="4743">
        <f t="shared" si="77"/>
        <v>0</v>
      </c>
      <c r="AB37" s="4786">
        <f t="shared" si="40"/>
        <v>588.47</v>
      </c>
      <c r="AC37" s="4786">
        <f t="shared" si="41"/>
        <v>223.28000000000003</v>
      </c>
      <c r="AD37" s="4786">
        <f t="shared" si="27"/>
        <v>-365.19</v>
      </c>
    </row>
    <row r="38" spans="1:30" ht="18.75" customHeight="1">
      <c r="A38" s="4753" t="s">
        <v>2046</v>
      </c>
      <c r="B38" s="4737">
        <f>SUM('Произв. прогр. Стоки'!H57)</f>
        <v>0</v>
      </c>
      <c r="C38" s="4738"/>
      <c r="D38" s="4738"/>
      <c r="E38" s="4738"/>
      <c r="F38" s="4743">
        <f t="shared" si="42"/>
        <v>0</v>
      </c>
      <c r="G38" s="4737">
        <f>SUM('Произв. прогр. Стоки'!L57)</f>
        <v>0</v>
      </c>
      <c r="H38" s="4738"/>
      <c r="I38" s="4738"/>
      <c r="J38" s="4738"/>
      <c r="K38" s="4743">
        <f t="shared" si="75"/>
        <v>0</v>
      </c>
      <c r="L38" s="4786">
        <f t="shared" si="36"/>
        <v>0</v>
      </c>
      <c r="M38" s="4786">
        <f t="shared" si="37"/>
        <v>0</v>
      </c>
      <c r="N38" s="4786">
        <f t="shared" si="17"/>
        <v>0</v>
      </c>
      <c r="O38" s="4737">
        <f>SUM('Произв. прогр. Стоки'!Q57)</f>
        <v>0</v>
      </c>
      <c r="P38" s="4738"/>
      <c r="Q38" s="4738"/>
      <c r="R38" s="4738"/>
      <c r="S38" s="4743">
        <f t="shared" si="76"/>
        <v>0</v>
      </c>
      <c r="T38" s="4786">
        <f t="shared" si="38"/>
        <v>0</v>
      </c>
      <c r="U38" s="4786">
        <f t="shared" si="39"/>
        <v>0</v>
      </c>
      <c r="V38" s="4786">
        <f t="shared" si="22"/>
        <v>0</v>
      </c>
      <c r="W38" s="4737">
        <f>SUM('Произв. прогр. Стоки'!V57)</f>
        <v>0</v>
      </c>
      <c r="X38" s="4738"/>
      <c r="Y38" s="4738"/>
      <c r="Z38" s="4738"/>
      <c r="AA38" s="4743">
        <f t="shared" si="77"/>
        <v>0</v>
      </c>
      <c r="AB38" s="4786">
        <f t="shared" si="40"/>
        <v>0</v>
      </c>
      <c r="AC38" s="4786">
        <f t="shared" si="41"/>
        <v>0</v>
      </c>
      <c r="AD38" s="4786">
        <f t="shared" si="27"/>
        <v>0</v>
      </c>
    </row>
    <row r="39" spans="1:30" ht="18.75" customHeight="1">
      <c r="A39" s="4620" t="s">
        <v>3</v>
      </c>
      <c r="B39" s="4737">
        <f>SUM('Произв. прогр. Стоки'!H58)</f>
        <v>0</v>
      </c>
      <c r="C39" s="4738">
        <v>20.9</v>
      </c>
      <c r="D39" s="4738">
        <v>39.43</v>
      </c>
      <c r="E39" s="4738">
        <v>292.07</v>
      </c>
      <c r="F39" s="4743">
        <f t="shared" si="42"/>
        <v>352.4</v>
      </c>
      <c r="G39" s="4737">
        <f>SUM('Произв. прогр. Стоки'!L58)</f>
        <v>0</v>
      </c>
      <c r="H39" s="4738">
        <v>94.69</v>
      </c>
      <c r="I39" s="4738">
        <f>42.07+9.9</f>
        <v>51.97</v>
      </c>
      <c r="J39" s="4738">
        <v>223.92</v>
      </c>
      <c r="K39" s="4743">
        <f t="shared" si="75"/>
        <v>370.58</v>
      </c>
      <c r="L39" s="4786">
        <f t="shared" si="36"/>
        <v>0</v>
      </c>
      <c r="M39" s="4786">
        <f t="shared" si="37"/>
        <v>722.98</v>
      </c>
      <c r="N39" s="4786">
        <f t="shared" si="17"/>
        <v>722.98</v>
      </c>
      <c r="O39" s="4737">
        <f>SUM('Произв. прогр. Стоки'!Q58)</f>
        <v>0</v>
      </c>
      <c r="P39" s="4738"/>
      <c r="Q39" s="4738"/>
      <c r="R39" s="4738"/>
      <c r="S39" s="4743">
        <f t="shared" si="76"/>
        <v>0</v>
      </c>
      <c r="T39" s="4786">
        <f t="shared" si="38"/>
        <v>0</v>
      </c>
      <c r="U39" s="4786">
        <f t="shared" si="39"/>
        <v>722.98</v>
      </c>
      <c r="V39" s="4786">
        <f t="shared" si="22"/>
        <v>722.98</v>
      </c>
      <c r="W39" s="4737">
        <f>SUM('Произв. прогр. Стоки'!V58)</f>
        <v>0</v>
      </c>
      <c r="X39" s="4738"/>
      <c r="Y39" s="4738"/>
      <c r="Z39" s="4738"/>
      <c r="AA39" s="4743">
        <f t="shared" si="77"/>
        <v>0</v>
      </c>
      <c r="AB39" s="4786">
        <f t="shared" si="40"/>
        <v>0</v>
      </c>
      <c r="AC39" s="4786">
        <f t="shared" si="41"/>
        <v>722.98</v>
      </c>
      <c r="AD39" s="4786">
        <f t="shared" si="27"/>
        <v>722.98</v>
      </c>
    </row>
    <row r="40" spans="1:30" ht="18.75" customHeight="1">
      <c r="A40" s="4620" t="s">
        <v>4</v>
      </c>
      <c r="B40" s="4737">
        <f>SUM('Произв. прогр. Стоки'!H59)</f>
        <v>4801.557938423518</v>
      </c>
      <c r="C40" s="4738">
        <v>1156.82</v>
      </c>
      <c r="D40" s="4738">
        <f>106.45+882.03+85.68</f>
        <v>1074.1600000000001</v>
      </c>
      <c r="E40" s="4738">
        <v>1273.8699999999999</v>
      </c>
      <c r="F40" s="4743">
        <f t="shared" si="42"/>
        <v>3504.85</v>
      </c>
      <c r="G40" s="4737">
        <f>SUM('Произв. прогр. Стоки'!L59)</f>
        <v>4801.557938423518</v>
      </c>
      <c r="H40" s="4738">
        <v>1235.71</v>
      </c>
      <c r="I40" s="4738">
        <v>1284.74</v>
      </c>
      <c r="J40" s="4738">
        <v>1338.02</v>
      </c>
      <c r="K40" s="4743">
        <f t="shared" si="75"/>
        <v>3858.47</v>
      </c>
      <c r="L40" s="4786">
        <f t="shared" si="36"/>
        <v>9603.1158768470359</v>
      </c>
      <c r="M40" s="4786">
        <f t="shared" si="37"/>
        <v>7363.32</v>
      </c>
      <c r="N40" s="4786">
        <f t="shared" si="17"/>
        <v>-2239.7958768470362</v>
      </c>
      <c r="O40" s="4737">
        <f>SUM('Произв. прогр. Стоки'!Q59)</f>
        <v>4993.6202559604581</v>
      </c>
      <c r="P40" s="4738"/>
      <c r="Q40" s="4738"/>
      <c r="R40" s="4738"/>
      <c r="S40" s="4743">
        <f t="shared" si="76"/>
        <v>0</v>
      </c>
      <c r="T40" s="4786">
        <f t="shared" si="38"/>
        <v>14596.736132807495</v>
      </c>
      <c r="U40" s="4786">
        <f t="shared" si="39"/>
        <v>7363.32</v>
      </c>
      <c r="V40" s="4786">
        <f t="shared" si="22"/>
        <v>-7233.4161328074952</v>
      </c>
      <c r="W40" s="4737">
        <f>SUM('Произв. прогр. Стоки'!V59)</f>
        <v>4993.6202559604581</v>
      </c>
      <c r="X40" s="4738"/>
      <c r="Y40" s="4738"/>
      <c r="Z40" s="4738"/>
      <c r="AA40" s="4743">
        <f t="shared" si="77"/>
        <v>0</v>
      </c>
      <c r="AB40" s="4786">
        <f t="shared" si="40"/>
        <v>19590.356388767952</v>
      </c>
      <c r="AC40" s="4786">
        <f t="shared" si="41"/>
        <v>7363.32</v>
      </c>
      <c r="AD40" s="4786">
        <f t="shared" si="27"/>
        <v>-12227.036388767952</v>
      </c>
    </row>
    <row r="41" spans="1:30" ht="18.75" customHeight="1">
      <c r="A41" s="4620" t="s">
        <v>121</v>
      </c>
      <c r="B41" s="4737">
        <f>SUM('Произв. прогр. Стоки'!H60)</f>
        <v>1446.2292510531636</v>
      </c>
      <c r="C41" s="4738">
        <v>359.83</v>
      </c>
      <c r="D41" s="4738">
        <f>32.15+264.81+25.2</f>
        <v>322.15999999999997</v>
      </c>
      <c r="E41" s="4738">
        <v>379.29</v>
      </c>
      <c r="F41" s="4743">
        <f t="shared" si="42"/>
        <v>1061.28</v>
      </c>
      <c r="G41" s="4737">
        <f>SUM('Произв. прогр. Стоки'!L60)</f>
        <v>1446.2292510531636</v>
      </c>
      <c r="H41" s="4738">
        <v>372.82</v>
      </c>
      <c r="I41" s="4738">
        <v>380.45</v>
      </c>
      <c r="J41" s="4738">
        <v>404.66</v>
      </c>
      <c r="K41" s="4743">
        <f t="shared" si="75"/>
        <v>1157.93</v>
      </c>
      <c r="L41" s="4786">
        <f t="shared" si="36"/>
        <v>2892.4585021063272</v>
      </c>
      <c r="M41" s="4786">
        <f t="shared" si="37"/>
        <v>2219.21</v>
      </c>
      <c r="N41" s="4786">
        <f t="shared" si="17"/>
        <v>-673.24850210632712</v>
      </c>
      <c r="O41" s="4737">
        <f>SUM('Произв. прогр. Стоки'!Q60)</f>
        <v>1504.07842109529</v>
      </c>
      <c r="P41" s="4738"/>
      <c r="Q41" s="4738"/>
      <c r="R41" s="4738"/>
      <c r="S41" s="4743">
        <f t="shared" si="76"/>
        <v>0</v>
      </c>
      <c r="T41" s="4786">
        <f t="shared" si="38"/>
        <v>4396.5369232016174</v>
      </c>
      <c r="U41" s="4786">
        <f t="shared" si="39"/>
        <v>2219.21</v>
      </c>
      <c r="V41" s="4786">
        <f t="shared" si="22"/>
        <v>-2177.3269232016173</v>
      </c>
      <c r="W41" s="4737">
        <f>SUM('Произв. прогр. Стоки'!V60)</f>
        <v>1504.07842109529</v>
      </c>
      <c r="X41" s="4738"/>
      <c r="Y41" s="4738"/>
      <c r="Z41" s="4738"/>
      <c r="AA41" s="4743">
        <f t="shared" si="77"/>
        <v>0</v>
      </c>
      <c r="AB41" s="4786">
        <f t="shared" si="40"/>
        <v>5900.6153442969071</v>
      </c>
      <c r="AC41" s="4786">
        <f t="shared" si="41"/>
        <v>2219.21</v>
      </c>
      <c r="AD41" s="4786">
        <f t="shared" si="27"/>
        <v>-3681.4053442969071</v>
      </c>
    </row>
    <row r="42" spans="1:30" ht="18.75" customHeight="1">
      <c r="A42" s="4728" t="str">
        <f>A22</f>
        <v>то же в %</v>
      </c>
      <c r="B42" s="4740">
        <f>SUM('Произв. прогр. Стоки'!H61)</f>
        <v>0.30119999999999997</v>
      </c>
      <c r="C42" s="4740">
        <f>SUM(C41/C40)</f>
        <v>0.31105098459570202</v>
      </c>
      <c r="D42" s="4740">
        <f t="shared" ref="D42:F42" si="78">SUM(D41/D40)</f>
        <v>0.29991807551947564</v>
      </c>
      <c r="E42" s="4740">
        <f t="shared" si="78"/>
        <v>0.29774623784216603</v>
      </c>
      <c r="F42" s="4740">
        <f t="shared" si="78"/>
        <v>0.30280325834201177</v>
      </c>
      <c r="G42" s="4740">
        <f>SUM('Произв. прогр. Стоки'!L61)</f>
        <v>0.30119999999999997</v>
      </c>
      <c r="H42" s="4740">
        <f>SUM(H41/H40)</f>
        <v>0.30170509261881834</v>
      </c>
      <c r="I42" s="4740">
        <f t="shared" ref="I42:M42" si="79">SUM(I41/I40)</f>
        <v>0.29612995625574046</v>
      </c>
      <c r="J42" s="4740">
        <f t="shared" si="79"/>
        <v>0.30243195168981035</v>
      </c>
      <c r="K42" s="4740">
        <f t="shared" si="79"/>
        <v>0.3001008171632798</v>
      </c>
      <c r="L42" s="4741">
        <f t="shared" si="79"/>
        <v>0.30119999999999997</v>
      </c>
      <c r="M42" s="4741">
        <f t="shared" si="79"/>
        <v>0.30138714601565597</v>
      </c>
      <c r="N42" s="4789">
        <f t="shared" si="17"/>
        <v>1.8714601565600342E-4</v>
      </c>
      <c r="O42" s="4740">
        <f>SUM('Произв. прогр. Стоки'!Q61)</f>
        <v>0.30120000000000002</v>
      </c>
      <c r="P42" s="4740" t="e">
        <f>SUM(P41/P40)</f>
        <v>#DIV/0!</v>
      </c>
      <c r="Q42" s="4740" t="e">
        <f t="shared" ref="Q42:S42" si="80">SUM(Q41/Q40)</f>
        <v>#DIV/0!</v>
      </c>
      <c r="R42" s="4740" t="e">
        <f t="shared" si="80"/>
        <v>#DIV/0!</v>
      </c>
      <c r="S42" s="4740" t="e">
        <f t="shared" si="80"/>
        <v>#DIV/0!</v>
      </c>
      <c r="T42" s="4741">
        <f>SUM(T41/T40)</f>
        <v>0.30119999999999997</v>
      </c>
      <c r="U42" s="4741">
        <f>SUM(U41/U40)</f>
        <v>0.30138714601565597</v>
      </c>
      <c r="V42" s="4789">
        <f t="shared" si="22"/>
        <v>1.8714601565600342E-4</v>
      </c>
      <c r="W42" s="4740">
        <f>SUM('Произв. прогр. Стоки'!V61)</f>
        <v>0.30120000000000002</v>
      </c>
      <c r="X42" s="4740" t="e">
        <f>SUM(X41/X40)</f>
        <v>#DIV/0!</v>
      </c>
      <c r="Y42" s="4740" t="e">
        <f t="shared" ref="Y42:AC42" si="81">SUM(Y41/Y40)</f>
        <v>#DIV/0!</v>
      </c>
      <c r="Z42" s="4740" t="e">
        <f t="shared" si="81"/>
        <v>#DIV/0!</v>
      </c>
      <c r="AA42" s="4740" t="e">
        <f t="shared" si="81"/>
        <v>#DIV/0!</v>
      </c>
      <c r="AB42" s="4741">
        <f t="shared" si="81"/>
        <v>0.30120000000000002</v>
      </c>
      <c r="AC42" s="4741">
        <f t="shared" si="81"/>
        <v>0.30138714601565597</v>
      </c>
      <c r="AD42" s="4789">
        <f t="shared" si="27"/>
        <v>1.8714601565594791E-4</v>
      </c>
    </row>
    <row r="43" spans="1:30" ht="18.75" customHeight="1">
      <c r="A43" s="4597" t="s">
        <v>1723</v>
      </c>
      <c r="B43" s="4760">
        <f>SUM('Произв. прогр. Стоки'!H62)</f>
        <v>2012.285012017488</v>
      </c>
      <c r="C43" s="4760">
        <f>SUM(C44:C59)+C64</f>
        <v>591.59</v>
      </c>
      <c r="D43" s="4760">
        <f t="shared" ref="D43:F43" si="82">SUM(D44:D59)+D64</f>
        <v>527</v>
      </c>
      <c r="E43" s="4760">
        <f t="shared" si="82"/>
        <v>1049.6600000000001</v>
      </c>
      <c r="F43" s="4760">
        <f t="shared" si="82"/>
        <v>2168.25</v>
      </c>
      <c r="G43" s="4760">
        <f>SUM('Произв. прогр. Стоки'!L62)</f>
        <v>1900.6888540631139</v>
      </c>
      <c r="H43" s="4760">
        <f>SUM(H44:H59)+H64</f>
        <v>739.78</v>
      </c>
      <c r="I43" s="4760">
        <f t="shared" ref="I43" si="83">SUM(I44:I59)+I64</f>
        <v>798.02</v>
      </c>
      <c r="J43" s="4760">
        <f>SUM(J44:J59)+J64</f>
        <v>779.65</v>
      </c>
      <c r="K43" s="4760">
        <f t="shared" ref="K43" si="84">SUM(K44:K59)+K64</f>
        <v>2317.4499999999998</v>
      </c>
      <c r="L43" s="4779">
        <f t="shared" ref="L43:L72" si="85">SUM(G43+B43)</f>
        <v>3912.973866080602</v>
      </c>
      <c r="M43" s="4779">
        <f t="shared" ref="M43:M72" si="86">SUM(K43+F43)</f>
        <v>4485.7</v>
      </c>
      <c r="N43" s="4779">
        <f t="shared" si="17"/>
        <v>572.72613391939785</v>
      </c>
      <c r="O43" s="4760">
        <f>SUM('Произв. прогр. Стоки'!Q62)</f>
        <v>1933.7832959326292</v>
      </c>
      <c r="P43" s="4760">
        <f>SUM(P44:P59)+P64</f>
        <v>0</v>
      </c>
      <c r="Q43" s="4760">
        <f t="shared" ref="Q43" si="87">SUM(Q44:Q59)+Q64</f>
        <v>0</v>
      </c>
      <c r="R43" s="4760">
        <f t="shared" ref="R43" si="88">SUM(R44:R59)+R64</f>
        <v>0</v>
      </c>
      <c r="S43" s="4760">
        <f t="shared" ref="S43" si="89">SUM(S44:S59)+S64</f>
        <v>0</v>
      </c>
      <c r="T43" s="4779">
        <f t="shared" ref="T43:T72" si="90">SUM(L43+O43)</f>
        <v>5846.7571620132312</v>
      </c>
      <c r="U43" s="4779">
        <f t="shared" ref="U43:U72" si="91">SUM(M43+S43)</f>
        <v>4485.7</v>
      </c>
      <c r="V43" s="4779">
        <f t="shared" si="22"/>
        <v>-1361.0571620132314</v>
      </c>
      <c r="W43" s="4760">
        <f>SUM('Произв. прогр. Стоки'!V62)</f>
        <v>2050.235707397112</v>
      </c>
      <c r="X43" s="4760">
        <f>SUM(X44:X59)+X64</f>
        <v>0</v>
      </c>
      <c r="Y43" s="4760">
        <f t="shared" ref="Y43" si="92">SUM(Y44:Y59)+Y64</f>
        <v>0</v>
      </c>
      <c r="Z43" s="4760">
        <f t="shared" ref="Z43" si="93">SUM(Z44:Z59)+Z64</f>
        <v>0</v>
      </c>
      <c r="AA43" s="4760">
        <f t="shared" ref="AA43" si="94">SUM(AA44:AA59)+AA64</f>
        <v>0</v>
      </c>
      <c r="AB43" s="4779">
        <f t="shared" ref="AB43:AB72" si="95">SUM(W43+T43)</f>
        <v>7896.9928694103437</v>
      </c>
      <c r="AC43" s="4779">
        <f t="shared" ref="AC43:AC72" si="96">SUM(AA43+U43)</f>
        <v>4485.7</v>
      </c>
      <c r="AD43" s="4779">
        <f t="shared" si="27"/>
        <v>-3411.2928694103439</v>
      </c>
    </row>
    <row r="44" spans="1:30" ht="18.75" customHeight="1">
      <c r="A44" s="4790" t="s">
        <v>72</v>
      </c>
      <c r="B44" s="4737">
        <f>SUM('Произв. прогр. Стоки'!H63)</f>
        <v>1089.9011482267069</v>
      </c>
      <c r="C44" s="4738">
        <v>326.95999999999998</v>
      </c>
      <c r="D44" s="4738">
        <f>76.62+96.47+89.52</f>
        <v>262.61</v>
      </c>
      <c r="E44" s="4738">
        <v>305.3</v>
      </c>
      <c r="F44" s="4743">
        <f t="shared" ref="F44:F93" si="97">SUM(C44:E44)</f>
        <v>894.86999999999989</v>
      </c>
      <c r="G44" s="4737">
        <f>SUM('Произв. прогр. Стоки'!L63)</f>
        <v>1089.9011482267069</v>
      </c>
      <c r="H44" s="4738">
        <v>308.81</v>
      </c>
      <c r="I44" s="4738">
        <v>323.63</v>
      </c>
      <c r="J44" s="4738">
        <v>293.29000000000002</v>
      </c>
      <c r="K44" s="4743">
        <f t="shared" ref="K44:K58" si="98">SUM(H44:J44)</f>
        <v>925.73</v>
      </c>
      <c r="L44" s="4786">
        <f t="shared" si="85"/>
        <v>2179.8022964534139</v>
      </c>
      <c r="M44" s="4786">
        <f t="shared" si="86"/>
        <v>1820.6</v>
      </c>
      <c r="N44" s="4786">
        <f t="shared" si="17"/>
        <v>-359.20229645341396</v>
      </c>
      <c r="O44" s="4737">
        <f>SUM('Произв. прогр. Стоки'!Q63)</f>
        <v>1133.4971941557751</v>
      </c>
      <c r="P44" s="4738"/>
      <c r="Q44" s="4738"/>
      <c r="R44" s="4738"/>
      <c r="S44" s="4743">
        <f t="shared" ref="S44:S58" si="99">SUM(P44:R44)</f>
        <v>0</v>
      </c>
      <c r="T44" s="4786">
        <f t="shared" si="90"/>
        <v>3313.299490609189</v>
      </c>
      <c r="U44" s="4786">
        <f t="shared" si="91"/>
        <v>1820.6</v>
      </c>
      <c r="V44" s="4786">
        <f t="shared" si="22"/>
        <v>-1492.6994906091891</v>
      </c>
      <c r="W44" s="4737">
        <f>SUM('Произв. прогр. Стоки'!V63)</f>
        <v>1133.4971941557751</v>
      </c>
      <c r="X44" s="4738"/>
      <c r="Y44" s="4738"/>
      <c r="Z44" s="4738"/>
      <c r="AA44" s="4743">
        <f t="shared" ref="AA44:AA58" si="100">SUM(X44:Z44)</f>
        <v>0</v>
      </c>
      <c r="AB44" s="4786">
        <f t="shared" si="95"/>
        <v>4446.7966847649641</v>
      </c>
      <c r="AC44" s="4786">
        <f t="shared" si="96"/>
        <v>1820.6</v>
      </c>
      <c r="AD44" s="4786">
        <f t="shared" si="27"/>
        <v>-2626.1966847649642</v>
      </c>
    </row>
    <row r="45" spans="1:30" ht="18.75" customHeight="1">
      <c r="A45" s="4790" t="s">
        <v>121</v>
      </c>
      <c r="B45" s="4737">
        <f>SUM('Произв. прогр. Стоки'!H64)</f>
        <v>327.29938583757081</v>
      </c>
      <c r="C45" s="4738">
        <v>98.8</v>
      </c>
      <c r="D45" s="4738">
        <f>23.04+29.1+27.04</f>
        <v>79.180000000000007</v>
      </c>
      <c r="E45" s="4738">
        <v>92.16</v>
      </c>
      <c r="F45" s="4743">
        <f t="shared" si="97"/>
        <v>270.14</v>
      </c>
      <c r="G45" s="4737">
        <f>SUM('Произв. прогр. Стоки'!L64)</f>
        <v>327.29938583757081</v>
      </c>
      <c r="H45" s="4738">
        <v>93.22</v>
      </c>
      <c r="I45" s="4738">
        <v>96.58</v>
      </c>
      <c r="J45" s="4738">
        <v>88.53</v>
      </c>
      <c r="K45" s="4743">
        <f t="shared" si="98"/>
        <v>278.33000000000004</v>
      </c>
      <c r="L45" s="4786">
        <f t="shared" si="85"/>
        <v>654.59877167514162</v>
      </c>
      <c r="M45" s="4786">
        <f t="shared" si="86"/>
        <v>548.47</v>
      </c>
      <c r="N45" s="4786">
        <f t="shared" si="17"/>
        <v>-106.12877167514159</v>
      </c>
      <c r="O45" s="4737">
        <f>SUM('Произв. прогр. Стоки'!Q64)</f>
        <v>340.39136127107366</v>
      </c>
      <c r="P45" s="4738"/>
      <c r="Q45" s="4738"/>
      <c r="R45" s="4738"/>
      <c r="S45" s="4743">
        <f t="shared" si="99"/>
        <v>0</v>
      </c>
      <c r="T45" s="4786">
        <f t="shared" si="90"/>
        <v>994.99013294621523</v>
      </c>
      <c r="U45" s="4786">
        <f t="shared" si="91"/>
        <v>548.47</v>
      </c>
      <c r="V45" s="4786">
        <f t="shared" si="22"/>
        <v>-446.5201329462152</v>
      </c>
      <c r="W45" s="4737">
        <f>SUM('Произв. прогр. Стоки'!V64)</f>
        <v>340.39136127107366</v>
      </c>
      <c r="X45" s="4738"/>
      <c r="Y45" s="4738"/>
      <c r="Z45" s="4738"/>
      <c r="AA45" s="4743">
        <f t="shared" si="100"/>
        <v>0</v>
      </c>
      <c r="AB45" s="4786">
        <f t="shared" si="95"/>
        <v>1335.3814942172889</v>
      </c>
      <c r="AC45" s="4786">
        <f t="shared" si="96"/>
        <v>548.47</v>
      </c>
      <c r="AD45" s="4786">
        <f t="shared" si="27"/>
        <v>-786.91149421728892</v>
      </c>
    </row>
    <row r="46" spans="1:30" ht="18.75" customHeight="1">
      <c r="A46" s="4790" t="s">
        <v>52</v>
      </c>
      <c r="B46" s="4737">
        <f>SUM('Произв. прогр. Стоки'!H65)</f>
        <v>5.3304701868519819</v>
      </c>
      <c r="C46" s="4738">
        <v>1.43</v>
      </c>
      <c r="D46" s="4738">
        <v>1.26</v>
      </c>
      <c r="E46" s="4738">
        <v>1.67</v>
      </c>
      <c r="F46" s="4743">
        <f t="shared" si="97"/>
        <v>4.3599999999999994</v>
      </c>
      <c r="G46" s="4737">
        <f>SUM('Произв. прогр. Стоки'!L65)</f>
        <v>5.3304701868519819</v>
      </c>
      <c r="H46" s="4738">
        <v>1.62</v>
      </c>
      <c r="I46" s="4738">
        <v>1.65</v>
      </c>
      <c r="J46" s="4738">
        <v>1.27</v>
      </c>
      <c r="K46" s="4743">
        <f t="shared" si="98"/>
        <v>4.54</v>
      </c>
      <c r="L46" s="4786">
        <f t="shared" si="85"/>
        <v>10.660940373703964</v>
      </c>
      <c r="M46" s="4786">
        <f t="shared" si="86"/>
        <v>8.8999999999999986</v>
      </c>
      <c r="N46" s="4786">
        <f t="shared" si="17"/>
        <v>-1.7609403737039653</v>
      </c>
      <c r="O46" s="4737">
        <f>SUM('Произв. прогр. Стоки'!Q65)</f>
        <v>5.3304701868519819</v>
      </c>
      <c r="P46" s="4738"/>
      <c r="Q46" s="4738"/>
      <c r="R46" s="4738"/>
      <c r="S46" s="4743">
        <f t="shared" si="99"/>
        <v>0</v>
      </c>
      <c r="T46" s="4786">
        <f t="shared" si="90"/>
        <v>15.991410560555945</v>
      </c>
      <c r="U46" s="4786">
        <f t="shared" si="91"/>
        <v>8.8999999999999986</v>
      </c>
      <c r="V46" s="4786">
        <f t="shared" si="22"/>
        <v>-7.0914105605559463</v>
      </c>
      <c r="W46" s="4737">
        <f>SUM('Произв. прогр. Стоки'!V65)</f>
        <v>5.3304701868519819</v>
      </c>
      <c r="X46" s="4738"/>
      <c r="Y46" s="4738"/>
      <c r="Z46" s="4738"/>
      <c r="AA46" s="4743">
        <f t="shared" si="100"/>
        <v>0</v>
      </c>
      <c r="AB46" s="4786">
        <f t="shared" si="95"/>
        <v>21.321880747407928</v>
      </c>
      <c r="AC46" s="4786">
        <f t="shared" si="96"/>
        <v>8.8999999999999986</v>
      </c>
      <c r="AD46" s="4786">
        <f t="shared" si="27"/>
        <v>-12.421880747407929</v>
      </c>
    </row>
    <row r="47" spans="1:30" ht="18.75" customHeight="1">
      <c r="A47" s="4790" t="s">
        <v>637</v>
      </c>
      <c r="B47" s="4737">
        <f>SUM('Произв. прогр. Стоки'!H66)</f>
        <v>8.2918425128808586</v>
      </c>
      <c r="C47" s="4738"/>
      <c r="D47" s="4738"/>
      <c r="E47" s="4738"/>
      <c r="F47" s="4743">
        <f t="shared" si="97"/>
        <v>0</v>
      </c>
      <c r="G47" s="4737">
        <f>SUM('Произв. прогр. Стоки'!L66)</f>
        <v>8.2918425128808586</v>
      </c>
      <c r="H47" s="4738"/>
      <c r="I47" s="4738"/>
      <c r="J47" s="4738"/>
      <c r="K47" s="4743">
        <f t="shared" si="98"/>
        <v>0</v>
      </c>
      <c r="L47" s="4786">
        <f t="shared" si="85"/>
        <v>16.583685025761717</v>
      </c>
      <c r="M47" s="4786">
        <f t="shared" si="86"/>
        <v>0</v>
      </c>
      <c r="N47" s="4786">
        <f t="shared" si="17"/>
        <v>-16.583685025761717</v>
      </c>
      <c r="O47" s="4737">
        <f>SUM('Произв. прогр. Стоки'!Q66)</f>
        <v>8.2918425128808586</v>
      </c>
      <c r="P47" s="4738"/>
      <c r="Q47" s="4738"/>
      <c r="R47" s="4738"/>
      <c r="S47" s="4743">
        <f t="shared" si="99"/>
        <v>0</v>
      </c>
      <c r="T47" s="4786">
        <f t="shared" si="90"/>
        <v>24.875527538642576</v>
      </c>
      <c r="U47" s="4786">
        <f t="shared" si="91"/>
        <v>0</v>
      </c>
      <c r="V47" s="4786">
        <f t="shared" si="22"/>
        <v>-24.875527538642576</v>
      </c>
      <c r="W47" s="4737">
        <f>SUM('Произв. прогр. Стоки'!V66)</f>
        <v>8.2918425128808586</v>
      </c>
      <c r="X47" s="4738"/>
      <c r="Y47" s="4738"/>
      <c r="Z47" s="4738"/>
      <c r="AA47" s="4743">
        <f t="shared" si="100"/>
        <v>0</v>
      </c>
      <c r="AB47" s="4786">
        <f t="shared" si="95"/>
        <v>33.167370051523434</v>
      </c>
      <c r="AC47" s="4786">
        <f t="shared" si="96"/>
        <v>0</v>
      </c>
      <c r="AD47" s="4786">
        <f t="shared" si="27"/>
        <v>-33.167370051523434</v>
      </c>
    </row>
    <row r="48" spans="1:30" ht="18.75" customHeight="1">
      <c r="A48" s="4790" t="s">
        <v>639</v>
      </c>
      <c r="B48" s="4737">
        <f>SUM('Произв. прогр. Стоки'!H67)</f>
        <v>9.8712410867629288</v>
      </c>
      <c r="C48" s="4738">
        <v>2.38</v>
      </c>
      <c r="D48" s="4738">
        <v>2.38</v>
      </c>
      <c r="E48" s="4738">
        <v>2.38</v>
      </c>
      <c r="F48" s="4743">
        <f t="shared" si="97"/>
        <v>7.14</v>
      </c>
      <c r="G48" s="4737">
        <f>SUM('Произв. прогр. Стоки'!L67)</f>
        <v>9.8712410867629288</v>
      </c>
      <c r="H48" s="4738">
        <v>2.37</v>
      </c>
      <c r="I48" s="4738">
        <v>2.37</v>
      </c>
      <c r="J48" s="4738">
        <v>2.38</v>
      </c>
      <c r="K48" s="4743">
        <f t="shared" si="98"/>
        <v>7.12</v>
      </c>
      <c r="L48" s="4786">
        <f t="shared" si="85"/>
        <v>19.742482173525858</v>
      </c>
      <c r="M48" s="4786">
        <f t="shared" si="86"/>
        <v>14.26</v>
      </c>
      <c r="N48" s="4786">
        <f t="shared" si="17"/>
        <v>-5.4824821735258578</v>
      </c>
      <c r="O48" s="4737">
        <f>SUM('Произв. прогр. Стоки'!Q67)</f>
        <v>9.8712410867629288</v>
      </c>
      <c r="P48" s="4738"/>
      <c r="Q48" s="4738"/>
      <c r="R48" s="4738"/>
      <c r="S48" s="4743">
        <f t="shared" si="99"/>
        <v>0</v>
      </c>
      <c r="T48" s="4786">
        <f t="shared" si="90"/>
        <v>29.613723260288786</v>
      </c>
      <c r="U48" s="4786">
        <f t="shared" si="91"/>
        <v>14.26</v>
      </c>
      <c r="V48" s="4786">
        <f t="shared" si="22"/>
        <v>-15.353723260288787</v>
      </c>
      <c r="W48" s="4737">
        <f>SUM('Произв. прогр. Стоки'!V67)</f>
        <v>9.8712410867629288</v>
      </c>
      <c r="X48" s="4738"/>
      <c r="Y48" s="4738"/>
      <c r="Z48" s="4738"/>
      <c r="AA48" s="4743">
        <f t="shared" si="100"/>
        <v>0</v>
      </c>
      <c r="AB48" s="4786">
        <f t="shared" si="95"/>
        <v>39.484964347051715</v>
      </c>
      <c r="AC48" s="4786">
        <f t="shared" si="96"/>
        <v>14.26</v>
      </c>
      <c r="AD48" s="4786">
        <f t="shared" si="27"/>
        <v>-25.224964347051717</v>
      </c>
    </row>
    <row r="49" spans="1:30" ht="18.75" customHeight="1">
      <c r="A49" s="4790" t="s">
        <v>605</v>
      </c>
      <c r="B49" s="4737">
        <f>SUM('Произв. прогр. Стоки'!H68)</f>
        <v>136.02570217559315</v>
      </c>
      <c r="C49" s="4738">
        <v>24.92</v>
      </c>
      <c r="D49" s="4738">
        <f>31.45+0.95</f>
        <v>32.4</v>
      </c>
      <c r="E49" s="4738">
        <v>30.92</v>
      </c>
      <c r="F49" s="4743">
        <f t="shared" si="97"/>
        <v>88.240000000000009</v>
      </c>
      <c r="G49" s="4737">
        <f>SUM('Произв. прогр. Стоки'!L68)</f>
        <v>136.02570217559315</v>
      </c>
      <c r="H49" s="4738">
        <v>24.16</v>
      </c>
      <c r="I49" s="4738">
        <v>21.65</v>
      </c>
      <c r="J49" s="4738">
        <v>23.2</v>
      </c>
      <c r="K49" s="4743">
        <f t="shared" si="98"/>
        <v>69.010000000000005</v>
      </c>
      <c r="L49" s="4786">
        <f t="shared" si="85"/>
        <v>272.05140435118631</v>
      </c>
      <c r="M49" s="4786">
        <f t="shared" si="86"/>
        <v>157.25</v>
      </c>
      <c r="N49" s="4786">
        <f t="shared" si="17"/>
        <v>-114.80140435118631</v>
      </c>
      <c r="O49" s="4737">
        <f>SUM('Произв. прогр. Стоки'!Q68)</f>
        <v>136.02570217559315</v>
      </c>
      <c r="P49" s="4738"/>
      <c r="Q49" s="4738"/>
      <c r="R49" s="4738"/>
      <c r="S49" s="4743">
        <f t="shared" si="99"/>
        <v>0</v>
      </c>
      <c r="T49" s="4786">
        <f t="shared" si="90"/>
        <v>408.07710652677946</v>
      </c>
      <c r="U49" s="4786">
        <f t="shared" si="91"/>
        <v>157.25</v>
      </c>
      <c r="V49" s="4786">
        <f t="shared" si="22"/>
        <v>-250.82710652677946</v>
      </c>
      <c r="W49" s="4737">
        <f>SUM('Произв. прогр. Стоки'!V68)</f>
        <v>136.02570217559315</v>
      </c>
      <c r="X49" s="4738"/>
      <c r="Y49" s="4738"/>
      <c r="Z49" s="4738"/>
      <c r="AA49" s="4743">
        <f t="shared" si="100"/>
        <v>0</v>
      </c>
      <c r="AB49" s="4786">
        <f t="shared" si="95"/>
        <v>544.10280870237261</v>
      </c>
      <c r="AC49" s="4786">
        <f t="shared" si="96"/>
        <v>157.25</v>
      </c>
      <c r="AD49" s="4786">
        <f t="shared" si="27"/>
        <v>-386.85280870237261</v>
      </c>
    </row>
    <row r="50" spans="1:30" ht="18.75" customHeight="1">
      <c r="A50" s="4790" t="s">
        <v>42</v>
      </c>
      <c r="B50" s="4737">
        <f>SUM('Произв. прогр. Стоки'!H69)</f>
        <v>11.450639660644995</v>
      </c>
      <c r="C50" s="4738"/>
      <c r="D50" s="4738"/>
      <c r="E50" s="4738">
        <v>5.29</v>
      </c>
      <c r="F50" s="4743">
        <f t="shared" si="97"/>
        <v>5.29</v>
      </c>
      <c r="G50" s="4737">
        <f>SUM('Произв. прогр. Стоки'!L69)</f>
        <v>11.450639660644995</v>
      </c>
      <c r="H50" s="4738"/>
      <c r="I50" s="4738">
        <v>17.510000000000002</v>
      </c>
      <c r="J50" s="4738"/>
      <c r="K50" s="4743">
        <f t="shared" si="98"/>
        <v>17.510000000000002</v>
      </c>
      <c r="L50" s="4786">
        <f t="shared" si="85"/>
        <v>22.901279321289991</v>
      </c>
      <c r="M50" s="4786">
        <f t="shared" si="86"/>
        <v>22.8</v>
      </c>
      <c r="N50" s="4786">
        <f t="shared" si="17"/>
        <v>-0.10127932128999007</v>
      </c>
      <c r="O50" s="4737">
        <f>SUM('Произв. прогр. Стоки'!Q69)</f>
        <v>11.450639660644995</v>
      </c>
      <c r="P50" s="4738"/>
      <c r="Q50" s="4738"/>
      <c r="R50" s="4738"/>
      <c r="S50" s="4743">
        <f t="shared" si="99"/>
        <v>0</v>
      </c>
      <c r="T50" s="4786">
        <f t="shared" si="90"/>
        <v>34.351918981934986</v>
      </c>
      <c r="U50" s="4786">
        <f t="shared" si="91"/>
        <v>22.8</v>
      </c>
      <c r="V50" s="4786">
        <f t="shared" si="22"/>
        <v>-11.551918981934985</v>
      </c>
      <c r="W50" s="4737">
        <f>SUM('Произв. прогр. Стоки'!V69)</f>
        <v>11.450639660644995</v>
      </c>
      <c r="X50" s="4738"/>
      <c r="Y50" s="4738"/>
      <c r="Z50" s="4738"/>
      <c r="AA50" s="4743">
        <f t="shared" si="100"/>
        <v>0</v>
      </c>
      <c r="AB50" s="4786">
        <f t="shared" si="95"/>
        <v>45.802558642579982</v>
      </c>
      <c r="AC50" s="4786">
        <f t="shared" si="96"/>
        <v>22.8</v>
      </c>
      <c r="AD50" s="4786">
        <f t="shared" si="27"/>
        <v>-23.002558642579981</v>
      </c>
    </row>
    <row r="51" spans="1:30" ht="18.75" customHeight="1">
      <c r="A51" s="4790" t="s">
        <v>38</v>
      </c>
      <c r="B51" s="4737">
        <f>SUM('Произв. прогр. Стоки'!H70)</f>
        <v>6.9098687607340494</v>
      </c>
      <c r="C51" s="4738"/>
      <c r="D51" s="4738"/>
      <c r="E51" s="4738"/>
      <c r="F51" s="4743">
        <f t="shared" ref="F51" si="101">SUM(C51:E51)</f>
        <v>0</v>
      </c>
      <c r="G51" s="4737">
        <f>SUM('Произв. прогр. Стоки'!L70)</f>
        <v>6.9098687607340494</v>
      </c>
      <c r="H51" s="4738"/>
      <c r="I51" s="4738"/>
      <c r="J51" s="4738">
        <v>5.6</v>
      </c>
      <c r="K51" s="4743">
        <f t="shared" si="98"/>
        <v>5.6</v>
      </c>
      <c r="L51" s="4786">
        <f t="shared" ref="L51" si="102">SUM(G51+B51)</f>
        <v>13.819737521468099</v>
      </c>
      <c r="M51" s="4786">
        <f t="shared" si="86"/>
        <v>5.6</v>
      </c>
      <c r="N51" s="4786">
        <f t="shared" si="17"/>
        <v>-8.2197375214680992</v>
      </c>
      <c r="O51" s="4737">
        <f>SUM('Произв. прогр. Стоки'!Q70)</f>
        <v>6.9098687607340494</v>
      </c>
      <c r="P51" s="4738"/>
      <c r="Q51" s="4738"/>
      <c r="R51" s="4738"/>
      <c r="S51" s="4743">
        <f t="shared" ref="S51" si="103">SUM(P51:R51)</f>
        <v>0</v>
      </c>
      <c r="T51" s="4786">
        <f t="shared" ref="T51" si="104">SUM(L51+O51)</f>
        <v>20.729606282202148</v>
      </c>
      <c r="U51" s="4786">
        <f t="shared" si="91"/>
        <v>5.6</v>
      </c>
      <c r="V51" s="4786">
        <f t="shared" si="22"/>
        <v>-15.129606282202149</v>
      </c>
      <c r="W51" s="4737">
        <f>SUM('Произв. прогр. Стоки'!V70)</f>
        <v>6.9098687607340494</v>
      </c>
      <c r="X51" s="4738"/>
      <c r="Y51" s="4738"/>
      <c r="Z51" s="4738"/>
      <c r="AA51" s="4743">
        <f t="shared" ref="AA51" si="105">SUM(X51:Z51)</f>
        <v>0</v>
      </c>
      <c r="AB51" s="4786">
        <f t="shared" ref="AB51" si="106">SUM(W51+T51)</f>
        <v>27.639475042936198</v>
      </c>
      <c r="AC51" s="4786">
        <f t="shared" si="96"/>
        <v>5.6</v>
      </c>
      <c r="AD51" s="4786">
        <f t="shared" si="27"/>
        <v>-22.039475042936196</v>
      </c>
    </row>
    <row r="52" spans="1:30" ht="18.75" customHeight="1">
      <c r="A52" s="4790" t="s">
        <v>607</v>
      </c>
      <c r="B52" s="4737">
        <f>SUM('Произв. прогр. Стоки'!H71)</f>
        <v>17.175959490967493</v>
      </c>
      <c r="C52" s="4738">
        <v>6.93</v>
      </c>
      <c r="D52" s="4738">
        <v>6.93</v>
      </c>
      <c r="E52" s="4738">
        <v>6.93</v>
      </c>
      <c r="F52" s="4743">
        <f t="shared" si="97"/>
        <v>20.79</v>
      </c>
      <c r="G52" s="4737">
        <f>SUM('Произв. прогр. Стоки'!L71)</f>
        <v>17.175959490967493</v>
      </c>
      <c r="H52" s="4738"/>
      <c r="I52" s="4738"/>
      <c r="J52" s="4738"/>
      <c r="K52" s="4743">
        <f t="shared" si="98"/>
        <v>0</v>
      </c>
      <c r="L52" s="4786">
        <f t="shared" si="85"/>
        <v>34.351918981934986</v>
      </c>
      <c r="M52" s="4786">
        <f t="shared" si="86"/>
        <v>20.79</v>
      </c>
      <c r="N52" s="4786">
        <f t="shared" si="17"/>
        <v>-13.561918981934987</v>
      </c>
      <c r="O52" s="4737">
        <f>SUM('Произв. прогр. Стоки'!Q71)</f>
        <v>17.175959490967493</v>
      </c>
      <c r="P52" s="4738"/>
      <c r="Q52" s="4738"/>
      <c r="R52" s="4738"/>
      <c r="S52" s="4743">
        <f t="shared" si="99"/>
        <v>0</v>
      </c>
      <c r="T52" s="4786">
        <f t="shared" si="90"/>
        <v>51.527878472902479</v>
      </c>
      <c r="U52" s="4786">
        <f t="shared" si="91"/>
        <v>20.79</v>
      </c>
      <c r="V52" s="4786">
        <f t="shared" si="22"/>
        <v>-30.73787847290248</v>
      </c>
      <c r="W52" s="4737">
        <f>SUM('Произв. прогр. Стоки'!V71)</f>
        <v>17.175959490967493</v>
      </c>
      <c r="X52" s="4738"/>
      <c r="Y52" s="4738"/>
      <c r="Z52" s="4738"/>
      <c r="AA52" s="4743">
        <f t="shared" si="100"/>
        <v>0</v>
      </c>
      <c r="AB52" s="4786">
        <f t="shared" si="95"/>
        <v>68.703837963869972</v>
      </c>
      <c r="AC52" s="4786">
        <f t="shared" si="96"/>
        <v>20.79</v>
      </c>
      <c r="AD52" s="4786">
        <f t="shared" si="27"/>
        <v>-47.913837963869973</v>
      </c>
    </row>
    <row r="53" spans="1:30" ht="18.75" customHeight="1">
      <c r="A53" s="4790" t="s">
        <v>98</v>
      </c>
      <c r="B53" s="4737">
        <f>SUM('Произв. прогр. Стоки'!H72)</f>
        <v>16.38626020402646</v>
      </c>
      <c r="C53" s="4738"/>
      <c r="D53" s="4738"/>
      <c r="E53" s="4738">
        <v>21.58</v>
      </c>
      <c r="F53" s="4743">
        <f t="shared" si="97"/>
        <v>21.58</v>
      </c>
      <c r="G53" s="4737">
        <f>SUM('Произв. прогр. Стоки'!L72)</f>
        <v>16.38626020402646</v>
      </c>
      <c r="H53" s="4738">
        <v>0.01</v>
      </c>
      <c r="I53" s="4738"/>
      <c r="J53" s="4738">
        <v>21.58</v>
      </c>
      <c r="K53" s="4743">
        <f t="shared" si="98"/>
        <v>21.59</v>
      </c>
      <c r="L53" s="4786">
        <f t="shared" si="85"/>
        <v>32.77252040805292</v>
      </c>
      <c r="M53" s="4786">
        <f t="shared" si="86"/>
        <v>43.17</v>
      </c>
      <c r="N53" s="4786">
        <f t="shared" si="17"/>
        <v>10.397479591947082</v>
      </c>
      <c r="O53" s="4737">
        <f>SUM('Произв. прогр. Стоки'!Q72)</f>
        <v>16.38626020402646</v>
      </c>
      <c r="P53" s="4738"/>
      <c r="Q53" s="4738"/>
      <c r="R53" s="4738"/>
      <c r="S53" s="4743">
        <f t="shared" si="99"/>
        <v>0</v>
      </c>
      <c r="T53" s="4786">
        <f t="shared" si="90"/>
        <v>49.158780612079383</v>
      </c>
      <c r="U53" s="4786">
        <f t="shared" si="91"/>
        <v>43.17</v>
      </c>
      <c r="V53" s="4786">
        <f t="shared" si="22"/>
        <v>-5.9887806120793812</v>
      </c>
      <c r="W53" s="4737">
        <f>SUM('Произв. прогр. Стоки'!V72)</f>
        <v>16.38626020402646</v>
      </c>
      <c r="X53" s="4738"/>
      <c r="Y53" s="4738"/>
      <c r="Z53" s="4738"/>
      <c r="AA53" s="4743">
        <f t="shared" si="100"/>
        <v>0</v>
      </c>
      <c r="AB53" s="4786">
        <f t="shared" si="95"/>
        <v>65.545040816105839</v>
      </c>
      <c r="AC53" s="4786">
        <f t="shared" si="96"/>
        <v>43.17</v>
      </c>
      <c r="AD53" s="4786">
        <f t="shared" si="27"/>
        <v>-22.375040816105837</v>
      </c>
    </row>
    <row r="54" spans="1:30" ht="18.75" customHeight="1">
      <c r="A54" s="4790" t="s">
        <v>608</v>
      </c>
      <c r="B54" s="4737">
        <f>SUM('Произв. прогр. Стоки'!H73)</f>
        <v>16.188835382291202</v>
      </c>
      <c r="C54" s="4738"/>
      <c r="D54" s="4738">
        <v>6.21</v>
      </c>
      <c r="E54" s="4738"/>
      <c r="F54" s="4743">
        <f t="shared" si="97"/>
        <v>6.21</v>
      </c>
      <c r="G54" s="4737">
        <f>SUM('Произв. прогр. Стоки'!L73)</f>
        <v>16.188835382291202</v>
      </c>
      <c r="H54" s="4738"/>
      <c r="I54" s="4738"/>
      <c r="J54" s="4738">
        <v>12.15</v>
      </c>
      <c r="K54" s="4743">
        <f t="shared" si="98"/>
        <v>12.15</v>
      </c>
      <c r="L54" s="4786">
        <f t="shared" si="85"/>
        <v>32.377670764582405</v>
      </c>
      <c r="M54" s="4786">
        <f t="shared" si="86"/>
        <v>18.36</v>
      </c>
      <c r="N54" s="4786">
        <f t="shared" si="17"/>
        <v>-14.017670764582405</v>
      </c>
      <c r="O54" s="4737">
        <f>SUM('Произв. прогр. Стоки'!Q73)</f>
        <v>16.188835382291202</v>
      </c>
      <c r="P54" s="4738"/>
      <c r="Q54" s="4738"/>
      <c r="R54" s="4738"/>
      <c r="S54" s="4743">
        <f t="shared" si="99"/>
        <v>0</v>
      </c>
      <c r="T54" s="4786">
        <f t="shared" si="90"/>
        <v>48.566506146873607</v>
      </c>
      <c r="U54" s="4786">
        <f t="shared" si="91"/>
        <v>18.36</v>
      </c>
      <c r="V54" s="4786">
        <f t="shared" si="22"/>
        <v>-30.206506146873608</v>
      </c>
      <c r="W54" s="4737">
        <f>SUM('Произв. прогр. Стоки'!V73)</f>
        <v>16.188835382291202</v>
      </c>
      <c r="X54" s="4738"/>
      <c r="Y54" s="4738"/>
      <c r="Z54" s="4738"/>
      <c r="AA54" s="4743">
        <f t="shared" si="100"/>
        <v>0</v>
      </c>
      <c r="AB54" s="4786">
        <f t="shared" si="95"/>
        <v>64.755341529164809</v>
      </c>
      <c r="AC54" s="4786">
        <f t="shared" si="96"/>
        <v>18.36</v>
      </c>
      <c r="AD54" s="4786">
        <f t="shared" si="27"/>
        <v>-46.39534152916481</v>
      </c>
    </row>
    <row r="55" spans="1:30" ht="18.75" customHeight="1">
      <c r="A55" s="4790" t="s">
        <v>2027</v>
      </c>
      <c r="B55" s="4737">
        <f>SUM('Произв. прогр. Стоки'!H74)</f>
        <v>25.467802003848355</v>
      </c>
      <c r="C55" s="4738">
        <v>0.35</v>
      </c>
      <c r="D55" s="4738">
        <v>0.35</v>
      </c>
      <c r="E55" s="4738">
        <v>0.35</v>
      </c>
      <c r="F55" s="4743">
        <f t="shared" si="97"/>
        <v>1.0499999999999998</v>
      </c>
      <c r="G55" s="4737">
        <f>SUM('Произв. прогр. Стоки'!L74)</f>
        <v>25.467802003848355</v>
      </c>
      <c r="H55" s="4738">
        <v>0.35</v>
      </c>
      <c r="I55" s="4738">
        <v>0.34</v>
      </c>
      <c r="J55" s="4738">
        <v>2.72</v>
      </c>
      <c r="K55" s="4743">
        <f t="shared" si="98"/>
        <v>3.41</v>
      </c>
      <c r="L55" s="4786">
        <f t="shared" si="85"/>
        <v>50.93560400769671</v>
      </c>
      <c r="M55" s="4786">
        <f t="shared" si="86"/>
        <v>4.46</v>
      </c>
      <c r="N55" s="4786">
        <f t="shared" si="17"/>
        <v>-46.47560400769671</v>
      </c>
      <c r="O55" s="4737">
        <f>SUM('Произв. прогр. Стоки'!Q74)</f>
        <v>25.467802003848355</v>
      </c>
      <c r="P55" s="4738"/>
      <c r="Q55" s="4738"/>
      <c r="R55" s="4738"/>
      <c r="S55" s="4743">
        <f t="shared" si="99"/>
        <v>0</v>
      </c>
      <c r="T55" s="4786">
        <f t="shared" si="90"/>
        <v>76.403406011545059</v>
      </c>
      <c r="U55" s="4786">
        <f t="shared" si="91"/>
        <v>4.46</v>
      </c>
      <c r="V55" s="4786">
        <f t="shared" si="22"/>
        <v>-71.943406011545065</v>
      </c>
      <c r="W55" s="4737">
        <f>SUM('Произв. прогр. Стоки'!V74)</f>
        <v>25.467802003848355</v>
      </c>
      <c r="X55" s="4738"/>
      <c r="Y55" s="4738"/>
      <c r="Z55" s="4738"/>
      <c r="AA55" s="4743">
        <f t="shared" si="100"/>
        <v>0</v>
      </c>
      <c r="AB55" s="4786">
        <f t="shared" si="95"/>
        <v>101.87120801539342</v>
      </c>
      <c r="AC55" s="4786">
        <f t="shared" si="96"/>
        <v>4.46</v>
      </c>
      <c r="AD55" s="4786">
        <f t="shared" si="27"/>
        <v>-97.411208015393427</v>
      </c>
    </row>
    <row r="56" spans="1:30" ht="18.75" customHeight="1">
      <c r="A56" s="4790" t="s">
        <v>615</v>
      </c>
      <c r="B56" s="4737">
        <f>SUM('Произв. прогр. Стоки'!H75)</f>
        <v>0</v>
      </c>
      <c r="C56" s="4738">
        <v>47.35</v>
      </c>
      <c r="D56" s="4738">
        <v>46.36</v>
      </c>
      <c r="E56" s="4738">
        <v>44.73</v>
      </c>
      <c r="F56" s="4743">
        <f t="shared" si="97"/>
        <v>138.44</v>
      </c>
      <c r="G56" s="4737">
        <f>SUM('Произв. прогр. Стоки'!L75)</f>
        <v>0</v>
      </c>
      <c r="H56" s="4738">
        <v>43.1</v>
      </c>
      <c r="I56" s="4738">
        <v>43.47</v>
      </c>
      <c r="J56" s="4738">
        <v>43.31</v>
      </c>
      <c r="K56" s="4743">
        <f t="shared" si="98"/>
        <v>129.88</v>
      </c>
      <c r="L56" s="4786">
        <f t="shared" si="85"/>
        <v>0</v>
      </c>
      <c r="M56" s="4786">
        <f t="shared" si="86"/>
        <v>268.32</v>
      </c>
      <c r="N56" s="4786">
        <f t="shared" si="17"/>
        <v>268.32</v>
      </c>
      <c r="O56" s="4737">
        <f>SUM('Произв. прогр. Стоки'!Q75)</f>
        <v>0</v>
      </c>
      <c r="P56" s="4738"/>
      <c r="Q56" s="4738"/>
      <c r="R56" s="4738"/>
      <c r="S56" s="4743">
        <f t="shared" si="99"/>
        <v>0</v>
      </c>
      <c r="T56" s="4786">
        <f t="shared" si="90"/>
        <v>0</v>
      </c>
      <c r="U56" s="4786">
        <f t="shared" si="91"/>
        <v>268.32</v>
      </c>
      <c r="V56" s="4786">
        <f t="shared" si="22"/>
        <v>268.32</v>
      </c>
      <c r="W56" s="4737">
        <f>SUM('Произв. прогр. Стоки'!V75)</f>
        <v>0</v>
      </c>
      <c r="X56" s="4738"/>
      <c r="Y56" s="4738"/>
      <c r="Z56" s="4738"/>
      <c r="AA56" s="4743">
        <f t="shared" si="100"/>
        <v>0</v>
      </c>
      <c r="AB56" s="4786">
        <f t="shared" si="95"/>
        <v>0</v>
      </c>
      <c r="AC56" s="4786">
        <f t="shared" si="96"/>
        <v>268.32</v>
      </c>
      <c r="AD56" s="4786">
        <f t="shared" si="27"/>
        <v>268.32</v>
      </c>
    </row>
    <row r="57" spans="1:30" ht="18.75" customHeight="1">
      <c r="A57" s="4790" t="s">
        <v>612</v>
      </c>
      <c r="B57" s="4737">
        <f>SUM('Произв. прогр. Стоки'!H76)</f>
        <v>0</v>
      </c>
      <c r="C57" s="4738">
        <v>27.79</v>
      </c>
      <c r="D57" s="4738">
        <v>27.79</v>
      </c>
      <c r="E57" s="4738">
        <v>28.62</v>
      </c>
      <c r="F57" s="4743">
        <f t="shared" si="97"/>
        <v>84.2</v>
      </c>
      <c r="G57" s="4737">
        <f>SUM('Произв. прогр. Стоки'!L76)</f>
        <v>0</v>
      </c>
      <c r="H57" s="4738">
        <v>27.79</v>
      </c>
      <c r="I57" s="4738">
        <v>28.3</v>
      </c>
      <c r="J57" s="4738">
        <v>27.98</v>
      </c>
      <c r="K57" s="4743">
        <f t="shared" si="98"/>
        <v>84.070000000000007</v>
      </c>
      <c r="L57" s="4786">
        <f t="shared" si="85"/>
        <v>0</v>
      </c>
      <c r="M57" s="4786">
        <f t="shared" si="86"/>
        <v>168.27</v>
      </c>
      <c r="N57" s="4786">
        <f t="shared" si="17"/>
        <v>168.27</v>
      </c>
      <c r="O57" s="4737">
        <f>SUM('Произв. прогр. Стоки'!Q76)</f>
        <v>0</v>
      </c>
      <c r="P57" s="4738"/>
      <c r="Q57" s="4738"/>
      <c r="R57" s="4738"/>
      <c r="S57" s="4743">
        <f t="shared" si="99"/>
        <v>0</v>
      </c>
      <c r="T57" s="4786">
        <f t="shared" si="90"/>
        <v>0</v>
      </c>
      <c r="U57" s="4786">
        <f t="shared" si="91"/>
        <v>168.27</v>
      </c>
      <c r="V57" s="4786">
        <f t="shared" si="22"/>
        <v>168.27</v>
      </c>
      <c r="W57" s="4737">
        <f>SUM('Произв. прогр. Стоки'!V76)</f>
        <v>0</v>
      </c>
      <c r="X57" s="4738"/>
      <c r="Y57" s="4738"/>
      <c r="Z57" s="4738"/>
      <c r="AA57" s="4743">
        <f t="shared" si="100"/>
        <v>0</v>
      </c>
      <c r="AB57" s="4786">
        <f t="shared" si="95"/>
        <v>0</v>
      </c>
      <c r="AC57" s="4786">
        <f t="shared" si="96"/>
        <v>168.27</v>
      </c>
      <c r="AD57" s="4786">
        <f t="shared" si="27"/>
        <v>168.27</v>
      </c>
    </row>
    <row r="58" spans="1:30" ht="18.75" customHeight="1">
      <c r="A58" s="4790" t="s">
        <v>32</v>
      </c>
      <c r="B58" s="4737">
        <f>SUM('Произв. прогр. Стоки'!H77)</f>
        <v>0</v>
      </c>
      <c r="C58" s="4738"/>
      <c r="D58" s="4738"/>
      <c r="E58" s="4738"/>
      <c r="F58" s="4743">
        <f t="shared" si="97"/>
        <v>0</v>
      </c>
      <c r="G58" s="4737">
        <f>SUM('Произв. прогр. Стоки'!L77)</f>
        <v>0</v>
      </c>
      <c r="H58" s="4738"/>
      <c r="I58" s="4738"/>
      <c r="J58" s="4738"/>
      <c r="K58" s="4743">
        <f t="shared" si="98"/>
        <v>0</v>
      </c>
      <c r="L58" s="4786">
        <f t="shared" si="85"/>
        <v>0</v>
      </c>
      <c r="M58" s="4786">
        <f t="shared" si="86"/>
        <v>0</v>
      </c>
      <c r="N58" s="4786">
        <f t="shared" si="17"/>
        <v>0</v>
      </c>
      <c r="O58" s="4737">
        <f>SUM('Произв. прогр. Стоки'!Q77)</f>
        <v>0</v>
      </c>
      <c r="P58" s="4738"/>
      <c r="Q58" s="4738"/>
      <c r="R58" s="4738"/>
      <c r="S58" s="4743">
        <f t="shared" si="99"/>
        <v>0</v>
      </c>
      <c r="T58" s="4786">
        <f t="shared" si="90"/>
        <v>0</v>
      </c>
      <c r="U58" s="4786">
        <f t="shared" si="91"/>
        <v>0</v>
      </c>
      <c r="V58" s="4786">
        <f t="shared" si="22"/>
        <v>0</v>
      </c>
      <c r="W58" s="4737">
        <f>SUM('Произв. прогр. Стоки'!V77)</f>
        <v>0</v>
      </c>
      <c r="X58" s="4738"/>
      <c r="Y58" s="4738"/>
      <c r="Z58" s="4738"/>
      <c r="AA58" s="4743">
        <f t="shared" si="100"/>
        <v>0</v>
      </c>
      <c r="AB58" s="4786">
        <f t="shared" si="95"/>
        <v>0</v>
      </c>
      <c r="AC58" s="4786">
        <f t="shared" si="96"/>
        <v>0</v>
      </c>
      <c r="AD58" s="4786">
        <f t="shared" si="27"/>
        <v>0</v>
      </c>
    </row>
    <row r="59" spans="1:30" ht="18.75" customHeight="1">
      <c r="A59" s="4790" t="s">
        <v>606</v>
      </c>
      <c r="B59" s="4737">
        <f>SUM('Произв. прогр. Стоки'!H78)</f>
        <v>185.39654282092852</v>
      </c>
      <c r="C59" s="4737">
        <f>SUM(C60:C63)</f>
        <v>49.89</v>
      </c>
      <c r="D59" s="4737">
        <f t="shared" ref="D59:F59" si="107">SUM(D60:D63)</f>
        <v>61.53</v>
      </c>
      <c r="E59" s="4737">
        <f t="shared" si="107"/>
        <v>109.73</v>
      </c>
      <c r="F59" s="4737">
        <f t="shared" si="107"/>
        <v>221.15</v>
      </c>
      <c r="G59" s="4737">
        <f>SUM('Произв. прогр. Стоки'!L78)</f>
        <v>67.117159801172306</v>
      </c>
      <c r="H59" s="4737">
        <f>SUM(H60:H63)</f>
        <v>45.54</v>
      </c>
      <c r="I59" s="4737">
        <f t="shared" ref="I59:K59" si="108">SUM(I60:I63)</f>
        <v>20.220000000000002</v>
      </c>
      <c r="J59" s="4737">
        <f>SUM(J60:J63)</f>
        <v>3.62</v>
      </c>
      <c r="K59" s="4737">
        <f t="shared" si="108"/>
        <v>69.38</v>
      </c>
      <c r="L59" s="4786">
        <f t="shared" si="85"/>
        <v>252.51370262210082</v>
      </c>
      <c r="M59" s="4786">
        <f t="shared" si="86"/>
        <v>290.52999999999997</v>
      </c>
      <c r="N59" s="4786">
        <f t="shared" si="17"/>
        <v>38.01629737789915</v>
      </c>
      <c r="O59" s="4737">
        <f>SUM('Произв. прогр. Стоки'!Q78)</f>
        <v>38.852666965717702</v>
      </c>
      <c r="P59" s="4737">
        <f>SUM(P60:P63)</f>
        <v>0</v>
      </c>
      <c r="Q59" s="4737">
        <f t="shared" ref="Q59:S59" si="109">SUM(Q60:Q63)</f>
        <v>0</v>
      </c>
      <c r="R59" s="4737">
        <f t="shared" si="109"/>
        <v>0</v>
      </c>
      <c r="S59" s="4737">
        <f t="shared" si="109"/>
        <v>0</v>
      </c>
      <c r="T59" s="4786">
        <f t="shared" si="90"/>
        <v>291.36636958781855</v>
      </c>
      <c r="U59" s="4786">
        <f t="shared" si="91"/>
        <v>290.52999999999997</v>
      </c>
      <c r="V59" s="4786">
        <f t="shared" si="22"/>
        <v>-0.83636958781858084</v>
      </c>
      <c r="W59" s="4737">
        <f>SUM('Произв. прогр. Стоки'!V78)</f>
        <v>166.6592168379814</v>
      </c>
      <c r="X59" s="4737">
        <f>SUM(X60:X63)</f>
        <v>0</v>
      </c>
      <c r="Y59" s="4737">
        <f t="shared" ref="Y59:AA59" si="110">SUM(Y60:Y63)</f>
        <v>0</v>
      </c>
      <c r="Z59" s="4737">
        <f t="shared" si="110"/>
        <v>0</v>
      </c>
      <c r="AA59" s="4737">
        <f t="shared" si="110"/>
        <v>0</v>
      </c>
      <c r="AB59" s="4786">
        <f t="shared" si="95"/>
        <v>458.02558642579993</v>
      </c>
      <c r="AC59" s="4786">
        <f t="shared" si="96"/>
        <v>290.52999999999997</v>
      </c>
      <c r="AD59" s="4786">
        <f t="shared" si="27"/>
        <v>-167.49558642579996</v>
      </c>
    </row>
    <row r="60" spans="1:30" ht="18.75" customHeight="1">
      <c r="A60" s="4700" t="s">
        <v>651</v>
      </c>
      <c r="B60" s="4752">
        <f>SUM('Произв. прогр. Стоки'!H79)</f>
        <v>161.70556421269748</v>
      </c>
      <c r="C60" s="4751">
        <v>47.82</v>
      </c>
      <c r="D60" s="4751">
        <v>56.27</v>
      </c>
      <c r="E60" s="4751">
        <v>51.19</v>
      </c>
      <c r="F60" s="4748">
        <f t="shared" si="97"/>
        <v>155.28</v>
      </c>
      <c r="G60" s="4752">
        <f>SUM('Произв. прогр. Стоки'!L79)</f>
        <v>43.426181192941279</v>
      </c>
      <c r="H60" s="4751">
        <v>38.86</v>
      </c>
      <c r="I60" s="4751">
        <v>13.96</v>
      </c>
      <c r="J60" s="4751"/>
      <c r="K60" s="4748">
        <f t="shared" ref="K60:K63" si="111">SUM(H60:J60)</f>
        <v>52.82</v>
      </c>
      <c r="L60" s="4791">
        <f t="shared" si="85"/>
        <v>205.13174540563875</v>
      </c>
      <c r="M60" s="4791">
        <f t="shared" si="86"/>
        <v>208.1</v>
      </c>
      <c r="N60" s="4791">
        <f t="shared" si="17"/>
        <v>2.9682545943612411</v>
      </c>
      <c r="O60" s="4752">
        <f>SUM('Произв. прогр. Стоки'!Q79)</f>
        <v>15.161688357486671</v>
      </c>
      <c r="P60" s="4751"/>
      <c r="Q60" s="4751"/>
      <c r="R60" s="4751"/>
      <c r="S60" s="4748">
        <f t="shared" ref="S60:S63" si="112">SUM(P60:R60)</f>
        <v>0</v>
      </c>
      <c r="T60" s="4791">
        <f t="shared" si="90"/>
        <v>220.29343376312542</v>
      </c>
      <c r="U60" s="4791">
        <f t="shared" si="91"/>
        <v>208.1</v>
      </c>
      <c r="V60" s="4791">
        <f t="shared" si="22"/>
        <v>-12.193433763125427</v>
      </c>
      <c r="W60" s="4752">
        <f>SUM('Произв. прогр. Стоки'!V79)</f>
        <v>142.96823822975037</v>
      </c>
      <c r="X60" s="4751"/>
      <c r="Y60" s="4751"/>
      <c r="Z60" s="4751"/>
      <c r="AA60" s="4748">
        <f t="shared" ref="AA60:AA63" si="113">SUM(X60:Z60)</f>
        <v>0</v>
      </c>
      <c r="AB60" s="4791">
        <f t="shared" si="95"/>
        <v>363.26167199287579</v>
      </c>
      <c r="AC60" s="4791">
        <f t="shared" si="96"/>
        <v>208.1</v>
      </c>
      <c r="AD60" s="4791">
        <f t="shared" si="27"/>
        <v>-155.1616719928758</v>
      </c>
    </row>
    <row r="61" spans="1:30" ht="18.75" customHeight="1">
      <c r="A61" s="4700" t="s">
        <v>564</v>
      </c>
      <c r="B61" s="4752">
        <f>SUM('Произв. прогр. Стоки'!H80)</f>
        <v>14.609436808409132</v>
      </c>
      <c r="C61" s="4751">
        <v>2.0699999999999998</v>
      </c>
      <c r="D61" s="4751">
        <v>2.85</v>
      </c>
      <c r="E61" s="4751">
        <v>57.4</v>
      </c>
      <c r="F61" s="4748">
        <f t="shared" si="97"/>
        <v>62.32</v>
      </c>
      <c r="G61" s="4752">
        <f>SUM('Произв. прогр. Стоки'!L80)</f>
        <v>14.609436808409132</v>
      </c>
      <c r="H61" s="4751">
        <v>0.85</v>
      </c>
      <c r="I61" s="4751">
        <v>3.71</v>
      </c>
      <c r="J61" s="4751">
        <v>0.57999999999999996</v>
      </c>
      <c r="K61" s="4748">
        <f t="shared" si="111"/>
        <v>5.14</v>
      </c>
      <c r="L61" s="4791">
        <f t="shared" si="85"/>
        <v>29.218873616818264</v>
      </c>
      <c r="M61" s="4791">
        <f t="shared" si="86"/>
        <v>67.459999999999994</v>
      </c>
      <c r="N61" s="4791">
        <f t="shared" si="17"/>
        <v>38.241126383181729</v>
      </c>
      <c r="O61" s="4752">
        <f>SUM('Произв. прогр. Стоки'!Q80)</f>
        <v>14.609436808409132</v>
      </c>
      <c r="P61" s="4751"/>
      <c r="Q61" s="4751"/>
      <c r="R61" s="4751"/>
      <c r="S61" s="4748">
        <f t="shared" si="112"/>
        <v>0</v>
      </c>
      <c r="T61" s="4791">
        <f t="shared" si="90"/>
        <v>43.8283104252274</v>
      </c>
      <c r="U61" s="4791">
        <f t="shared" si="91"/>
        <v>67.459999999999994</v>
      </c>
      <c r="V61" s="4791">
        <f t="shared" si="22"/>
        <v>23.631689574772594</v>
      </c>
      <c r="W61" s="4752">
        <f>SUM('Произв. прогр. Стоки'!V80)</f>
        <v>14.609436808409132</v>
      </c>
      <c r="X61" s="4751"/>
      <c r="Y61" s="4751"/>
      <c r="Z61" s="4751"/>
      <c r="AA61" s="4748">
        <f t="shared" si="113"/>
        <v>0</v>
      </c>
      <c r="AB61" s="4791">
        <f t="shared" si="95"/>
        <v>58.437747233636529</v>
      </c>
      <c r="AC61" s="4791">
        <f t="shared" si="96"/>
        <v>67.459999999999994</v>
      </c>
      <c r="AD61" s="4791">
        <f t="shared" si="27"/>
        <v>9.0222527663634651</v>
      </c>
    </row>
    <row r="62" spans="1:30" ht="18.75" customHeight="1">
      <c r="A62" s="4700" t="s">
        <v>563</v>
      </c>
      <c r="B62" s="4752">
        <f>SUM('Произв. прогр. Стоки'!H81)</f>
        <v>2.1716730390878443</v>
      </c>
      <c r="C62" s="4751"/>
      <c r="D62" s="4751"/>
      <c r="E62" s="4751"/>
      <c r="F62" s="4748">
        <f t="shared" si="97"/>
        <v>0</v>
      </c>
      <c r="G62" s="4752">
        <f>SUM('Произв. прогр. Стоки'!L81)</f>
        <v>2.1716730390878443</v>
      </c>
      <c r="H62" s="4751"/>
      <c r="I62" s="4751"/>
      <c r="J62" s="4751"/>
      <c r="K62" s="4748">
        <f t="shared" si="111"/>
        <v>0</v>
      </c>
      <c r="L62" s="4791">
        <f t="shared" si="85"/>
        <v>4.3433460781756885</v>
      </c>
      <c r="M62" s="4791">
        <f t="shared" si="86"/>
        <v>0</v>
      </c>
      <c r="N62" s="4791">
        <f t="shared" si="17"/>
        <v>-4.3433460781756885</v>
      </c>
      <c r="O62" s="4752">
        <f>SUM('Произв. прогр. Стоки'!Q81)</f>
        <v>2.1716730390878443</v>
      </c>
      <c r="P62" s="4751"/>
      <c r="Q62" s="4751"/>
      <c r="R62" s="4751"/>
      <c r="S62" s="4748">
        <f t="shared" si="112"/>
        <v>0</v>
      </c>
      <c r="T62" s="4791">
        <f t="shared" si="90"/>
        <v>6.5150191172635328</v>
      </c>
      <c r="U62" s="4791">
        <f t="shared" si="91"/>
        <v>0</v>
      </c>
      <c r="V62" s="4791">
        <f t="shared" si="22"/>
        <v>-6.5150191172635328</v>
      </c>
      <c r="W62" s="4752">
        <f>SUM('Произв. прогр. Стоки'!V81)</f>
        <v>2.1716730390878443</v>
      </c>
      <c r="X62" s="4751"/>
      <c r="Y62" s="4751"/>
      <c r="Z62" s="4751"/>
      <c r="AA62" s="4748">
        <f t="shared" si="113"/>
        <v>0</v>
      </c>
      <c r="AB62" s="4791">
        <f t="shared" si="95"/>
        <v>8.686692156351377</v>
      </c>
      <c r="AC62" s="4791">
        <f t="shared" si="96"/>
        <v>0</v>
      </c>
      <c r="AD62" s="4791">
        <f t="shared" si="27"/>
        <v>-8.686692156351377</v>
      </c>
    </row>
    <row r="63" spans="1:30" ht="18.75" customHeight="1">
      <c r="A63" s="4700" t="s">
        <v>565</v>
      </c>
      <c r="B63" s="4752">
        <f>SUM('Произв. прогр. Стоки'!H82)</f>
        <v>6.9098687607340494</v>
      </c>
      <c r="C63" s="4751"/>
      <c r="D63" s="4751">
        <v>2.41</v>
      </c>
      <c r="E63" s="4751">
        <v>1.1399999999999999</v>
      </c>
      <c r="F63" s="4748">
        <f t="shared" si="97"/>
        <v>3.55</v>
      </c>
      <c r="G63" s="4752">
        <f>SUM('Произв. прогр. Стоки'!L82)</f>
        <v>6.9098687607340494</v>
      </c>
      <c r="H63" s="4751">
        <v>5.83</v>
      </c>
      <c r="I63" s="4751">
        <v>2.5499999999999998</v>
      </c>
      <c r="J63" s="4751">
        <v>3.04</v>
      </c>
      <c r="K63" s="4748">
        <f t="shared" si="111"/>
        <v>11.419999999999998</v>
      </c>
      <c r="L63" s="4791">
        <f t="shared" si="85"/>
        <v>13.819737521468099</v>
      </c>
      <c r="M63" s="4791">
        <f t="shared" si="86"/>
        <v>14.969999999999999</v>
      </c>
      <c r="N63" s="4791">
        <f t="shared" si="17"/>
        <v>1.1502624785319</v>
      </c>
      <c r="O63" s="4752">
        <f>SUM('Произв. прогр. Стоки'!Q82)</f>
        <v>6.9098687607340494</v>
      </c>
      <c r="P63" s="4751"/>
      <c r="Q63" s="4751"/>
      <c r="R63" s="4751"/>
      <c r="S63" s="4748">
        <f t="shared" si="112"/>
        <v>0</v>
      </c>
      <c r="T63" s="4791">
        <f t="shared" si="90"/>
        <v>20.729606282202148</v>
      </c>
      <c r="U63" s="4791">
        <f t="shared" si="91"/>
        <v>14.969999999999999</v>
      </c>
      <c r="V63" s="4791">
        <f t="shared" si="22"/>
        <v>-5.7596062822021494</v>
      </c>
      <c r="W63" s="4752">
        <f>SUM('Произв. прогр. Стоки'!V82)</f>
        <v>6.9098687607340494</v>
      </c>
      <c r="X63" s="4751"/>
      <c r="Y63" s="4751"/>
      <c r="Z63" s="4751"/>
      <c r="AA63" s="4748">
        <f t="shared" si="113"/>
        <v>0</v>
      </c>
      <c r="AB63" s="4791">
        <f t="shared" si="95"/>
        <v>27.639475042936198</v>
      </c>
      <c r="AC63" s="4791">
        <f t="shared" si="96"/>
        <v>14.969999999999999</v>
      </c>
      <c r="AD63" s="4791">
        <f t="shared" si="27"/>
        <v>-12.669475042936199</v>
      </c>
    </row>
    <row r="64" spans="1:30" ht="18.75" customHeight="1">
      <c r="A64" s="4790" t="s">
        <v>609</v>
      </c>
      <c r="B64" s="4737">
        <f>SUM('Произв. прогр. Стоки'!H83)</f>
        <v>156.5893136676803</v>
      </c>
      <c r="C64" s="4737">
        <f>SUM(C65:C68)</f>
        <v>4.79</v>
      </c>
      <c r="D64" s="4737">
        <f t="shared" ref="D64:F64" si="114">SUM(D65:D68)</f>
        <v>0</v>
      </c>
      <c r="E64" s="4737">
        <f t="shared" si="114"/>
        <v>400</v>
      </c>
      <c r="F64" s="4737">
        <f t="shared" si="114"/>
        <v>404.79</v>
      </c>
      <c r="G64" s="4737">
        <f>SUM('Произв. прогр. Стоки'!L83)</f>
        <v>163.27253873306228</v>
      </c>
      <c r="H64" s="4737">
        <f>SUM(H65:H68)</f>
        <v>192.81</v>
      </c>
      <c r="I64" s="4737">
        <f t="shared" ref="I64:K64" si="115">SUM(I65:I68)</f>
        <v>242.3</v>
      </c>
      <c r="J64" s="4737">
        <f>SUM(J65:J68)</f>
        <v>254.02</v>
      </c>
      <c r="K64" s="4737">
        <f t="shared" si="115"/>
        <v>689.13</v>
      </c>
      <c r="L64" s="4786">
        <f t="shared" si="85"/>
        <v>319.86185240074258</v>
      </c>
      <c r="M64" s="4786">
        <f t="shared" si="86"/>
        <v>1093.92</v>
      </c>
      <c r="N64" s="4786">
        <f t="shared" si="17"/>
        <v>774.0581475992575</v>
      </c>
      <c r="O64" s="4737">
        <f>SUM('Произв. прогр. Стоки'!Q83)</f>
        <v>167.94345207546112</v>
      </c>
      <c r="P64" s="4737">
        <f>SUM(P65:P68)</f>
        <v>0</v>
      </c>
      <c r="Q64" s="4737">
        <f t="shared" ref="Q64:S64" si="116">SUM(Q65:Q68)</f>
        <v>0</v>
      </c>
      <c r="R64" s="4737">
        <f t="shared" si="116"/>
        <v>0</v>
      </c>
      <c r="S64" s="4737">
        <f t="shared" si="116"/>
        <v>0</v>
      </c>
      <c r="T64" s="4786">
        <f t="shared" si="90"/>
        <v>487.80530447620367</v>
      </c>
      <c r="U64" s="4786">
        <f t="shared" si="91"/>
        <v>1093.92</v>
      </c>
      <c r="V64" s="4786">
        <f t="shared" si="22"/>
        <v>606.1146955237964</v>
      </c>
      <c r="W64" s="4737">
        <f>SUM('Произв. прогр. Стоки'!V83)</f>
        <v>156.5893136676803</v>
      </c>
      <c r="X64" s="4737">
        <f>SUM(X65:X68)</f>
        <v>0</v>
      </c>
      <c r="Y64" s="4737">
        <f t="shared" ref="Y64:AA64" si="117">SUM(Y65:Y68)</f>
        <v>0</v>
      </c>
      <c r="Z64" s="4737">
        <f t="shared" si="117"/>
        <v>0</v>
      </c>
      <c r="AA64" s="4737">
        <f t="shared" si="117"/>
        <v>0</v>
      </c>
      <c r="AB64" s="4786">
        <f t="shared" si="95"/>
        <v>644.39461814388392</v>
      </c>
      <c r="AC64" s="4786">
        <f t="shared" si="96"/>
        <v>1093.92</v>
      </c>
      <c r="AD64" s="4786">
        <f t="shared" si="27"/>
        <v>449.52538185611616</v>
      </c>
    </row>
    <row r="65" spans="1:30" ht="18.75" customHeight="1">
      <c r="A65" s="4700" t="s">
        <v>551</v>
      </c>
      <c r="B65" s="4752">
        <f>SUM('Произв. прогр. Стоки'!H84)</f>
        <v>32.211675974467404</v>
      </c>
      <c r="C65" s="4751"/>
      <c r="D65" s="4751"/>
      <c r="E65" s="4751"/>
      <c r="F65" s="4748">
        <f t="shared" si="97"/>
        <v>0</v>
      </c>
      <c r="G65" s="4752">
        <f>SUM('Произв. прогр. Стоки'!L84)</f>
        <v>38.894901039849373</v>
      </c>
      <c r="H65" s="4751">
        <v>26.03</v>
      </c>
      <c r="I65" s="4751">
        <v>10.44</v>
      </c>
      <c r="J65" s="4751">
        <v>11.74</v>
      </c>
      <c r="K65" s="4748">
        <f t="shared" ref="K65:K68" si="118">SUM(H65:J65)</f>
        <v>48.21</v>
      </c>
      <c r="L65" s="4791">
        <f t="shared" si="85"/>
        <v>71.10657701431677</v>
      </c>
      <c r="M65" s="4791">
        <f t="shared" si="86"/>
        <v>48.21</v>
      </c>
      <c r="N65" s="4791">
        <f t="shared" si="17"/>
        <v>-22.896577014316769</v>
      </c>
      <c r="O65" s="4752">
        <f>SUM('Произв. прогр. Стоки'!Q84)</f>
        <v>43.565814382248206</v>
      </c>
      <c r="P65" s="4751"/>
      <c r="Q65" s="4751"/>
      <c r="R65" s="4751"/>
      <c r="S65" s="4748">
        <f t="shared" ref="S65:S68" si="119">SUM(P65:R65)</f>
        <v>0</v>
      </c>
      <c r="T65" s="4791">
        <f t="shared" si="90"/>
        <v>114.67239139656498</v>
      </c>
      <c r="U65" s="4791">
        <f t="shared" si="91"/>
        <v>48.21</v>
      </c>
      <c r="V65" s="4791">
        <f t="shared" si="22"/>
        <v>-66.462391396564982</v>
      </c>
      <c r="W65" s="4752">
        <f>SUM('Произв. прогр. Стоки'!V84)</f>
        <v>32.211675974467404</v>
      </c>
      <c r="X65" s="4751"/>
      <c r="Y65" s="4751"/>
      <c r="Z65" s="4751"/>
      <c r="AA65" s="4748">
        <f t="shared" ref="AA65:AA68" si="120">SUM(X65:Z65)</f>
        <v>0</v>
      </c>
      <c r="AB65" s="4791">
        <f t="shared" si="95"/>
        <v>146.88406737103239</v>
      </c>
      <c r="AC65" s="4791">
        <f t="shared" si="96"/>
        <v>48.21</v>
      </c>
      <c r="AD65" s="4791">
        <f t="shared" si="27"/>
        <v>-98.674067371032379</v>
      </c>
    </row>
    <row r="66" spans="1:30" ht="18.75" customHeight="1">
      <c r="A66" s="4700" t="s">
        <v>643</v>
      </c>
      <c r="B66" s="4752">
        <f>SUM('Произв. прогр. Стоки'!H85)</f>
        <v>110.16305052827428</v>
      </c>
      <c r="C66" s="4751"/>
      <c r="D66" s="4751"/>
      <c r="E66" s="4751">
        <v>400</v>
      </c>
      <c r="F66" s="4748">
        <f t="shared" si="97"/>
        <v>400</v>
      </c>
      <c r="G66" s="4752">
        <f>SUM('Произв. прогр. Стоки'!L85)</f>
        <v>110.16305052827428</v>
      </c>
      <c r="H66" s="4751">
        <v>166.78</v>
      </c>
      <c r="I66" s="4751">
        <v>231.86</v>
      </c>
      <c r="J66" s="4751">
        <v>242.28</v>
      </c>
      <c r="K66" s="4748">
        <f t="shared" si="118"/>
        <v>640.91999999999996</v>
      </c>
      <c r="L66" s="4791">
        <f t="shared" si="85"/>
        <v>220.32610105654857</v>
      </c>
      <c r="M66" s="4791">
        <f t="shared" si="86"/>
        <v>1040.92</v>
      </c>
      <c r="N66" s="4791">
        <f t="shared" si="17"/>
        <v>820.59389894345145</v>
      </c>
      <c r="O66" s="4752">
        <f>SUM('Произв. прогр. Стоки'!Q85)</f>
        <v>110.16305052827428</v>
      </c>
      <c r="P66" s="4751"/>
      <c r="Q66" s="4751"/>
      <c r="R66" s="4751"/>
      <c r="S66" s="4748">
        <f t="shared" si="119"/>
        <v>0</v>
      </c>
      <c r="T66" s="4791">
        <f t="shared" si="90"/>
        <v>330.48915158482282</v>
      </c>
      <c r="U66" s="4791">
        <f t="shared" si="91"/>
        <v>1040.92</v>
      </c>
      <c r="V66" s="4791">
        <f t="shared" si="22"/>
        <v>710.43084841517725</v>
      </c>
      <c r="W66" s="4752">
        <f>SUM('Произв. прогр. Стоки'!V85)</f>
        <v>110.16305052827428</v>
      </c>
      <c r="X66" s="4751"/>
      <c r="Y66" s="4751"/>
      <c r="Z66" s="4751"/>
      <c r="AA66" s="4748">
        <f t="shared" si="120"/>
        <v>0</v>
      </c>
      <c r="AB66" s="4791">
        <f t="shared" si="95"/>
        <v>440.65220211309713</v>
      </c>
      <c r="AC66" s="4791">
        <f t="shared" si="96"/>
        <v>1040.92</v>
      </c>
      <c r="AD66" s="4791">
        <f t="shared" si="27"/>
        <v>600.26779788690294</v>
      </c>
    </row>
    <row r="67" spans="1:30" ht="18.75" customHeight="1">
      <c r="A67" s="4700" t="s">
        <v>559</v>
      </c>
      <c r="B67" s="4752">
        <f>SUM('Произв. прогр. Стоки'!H86)</f>
        <v>14.214587164938617</v>
      </c>
      <c r="C67" s="4751">
        <v>4.79</v>
      </c>
      <c r="D67" s="4751"/>
      <c r="E67" s="4751"/>
      <c r="F67" s="4748">
        <f t="shared" si="97"/>
        <v>4.79</v>
      </c>
      <c r="G67" s="4752">
        <f>SUM('Произв. прогр. Стоки'!L86)</f>
        <v>14.214587164938617</v>
      </c>
      <c r="H67" s="4751"/>
      <c r="I67" s="4751"/>
      <c r="J67" s="4751"/>
      <c r="K67" s="4748">
        <f t="shared" si="118"/>
        <v>0</v>
      </c>
      <c r="L67" s="4791">
        <f t="shared" si="85"/>
        <v>28.429174329877235</v>
      </c>
      <c r="M67" s="4791">
        <f t="shared" si="86"/>
        <v>4.79</v>
      </c>
      <c r="N67" s="4791">
        <f t="shared" si="17"/>
        <v>-23.639174329877235</v>
      </c>
      <c r="O67" s="4752">
        <f>SUM('Произв. прогр. Стоки'!Q86)</f>
        <v>14.214587164938617</v>
      </c>
      <c r="P67" s="4751"/>
      <c r="Q67" s="4751"/>
      <c r="R67" s="4751"/>
      <c r="S67" s="4748">
        <f t="shared" si="119"/>
        <v>0</v>
      </c>
      <c r="T67" s="4791">
        <f t="shared" si="90"/>
        <v>42.643761494815848</v>
      </c>
      <c r="U67" s="4791">
        <f t="shared" si="91"/>
        <v>4.79</v>
      </c>
      <c r="V67" s="4791">
        <f t="shared" si="22"/>
        <v>-37.853761494815849</v>
      </c>
      <c r="W67" s="4752">
        <f>SUM('Произв. прогр. Стоки'!V86)</f>
        <v>14.214587164938617</v>
      </c>
      <c r="X67" s="4751"/>
      <c r="Y67" s="4751"/>
      <c r="Z67" s="4751"/>
      <c r="AA67" s="4748">
        <f t="shared" si="120"/>
        <v>0</v>
      </c>
      <c r="AB67" s="4791">
        <f t="shared" si="95"/>
        <v>56.858348659754469</v>
      </c>
      <c r="AC67" s="4791">
        <f t="shared" si="96"/>
        <v>4.79</v>
      </c>
      <c r="AD67" s="4791">
        <f t="shared" si="27"/>
        <v>-52.06834865975447</v>
      </c>
    </row>
    <row r="68" spans="1:30" ht="18.75" customHeight="1">
      <c r="A68" s="4700" t="s">
        <v>613</v>
      </c>
      <c r="B68" s="4752">
        <f>SUM('Произв. прогр. Стоки'!H87)</f>
        <v>0</v>
      </c>
      <c r="C68" s="4751"/>
      <c r="D68" s="4751"/>
      <c r="E68" s="4751"/>
      <c r="F68" s="4748">
        <f t="shared" si="97"/>
        <v>0</v>
      </c>
      <c r="G68" s="4752">
        <f>SUM('Произв. прогр. Стоки'!L87)</f>
        <v>0</v>
      </c>
      <c r="H68" s="4751"/>
      <c r="I68" s="4751"/>
      <c r="J68" s="4751"/>
      <c r="K68" s="4748">
        <f t="shared" si="118"/>
        <v>0</v>
      </c>
      <c r="L68" s="4791">
        <f t="shared" si="85"/>
        <v>0</v>
      </c>
      <c r="M68" s="4791">
        <f t="shared" si="86"/>
        <v>0</v>
      </c>
      <c r="N68" s="4791">
        <f t="shared" si="17"/>
        <v>0</v>
      </c>
      <c r="O68" s="4752">
        <f>SUM('Произв. прогр. Стоки'!Q87)</f>
        <v>0</v>
      </c>
      <c r="P68" s="4751"/>
      <c r="Q68" s="4751"/>
      <c r="R68" s="4751"/>
      <c r="S68" s="4748">
        <f t="shared" si="119"/>
        <v>0</v>
      </c>
      <c r="T68" s="4791">
        <f t="shared" si="90"/>
        <v>0</v>
      </c>
      <c r="U68" s="4791">
        <f t="shared" si="91"/>
        <v>0</v>
      </c>
      <c r="V68" s="4791">
        <f t="shared" si="22"/>
        <v>0</v>
      </c>
      <c r="W68" s="4752">
        <f>SUM('Произв. прогр. Стоки'!V87)</f>
        <v>0</v>
      </c>
      <c r="X68" s="4751"/>
      <c r="Y68" s="4751"/>
      <c r="Z68" s="4751"/>
      <c r="AA68" s="4748">
        <f t="shared" si="120"/>
        <v>0</v>
      </c>
      <c r="AB68" s="4791">
        <f t="shared" si="95"/>
        <v>0</v>
      </c>
      <c r="AC68" s="4791">
        <f t="shared" si="96"/>
        <v>0</v>
      </c>
      <c r="AD68" s="4791">
        <f t="shared" si="27"/>
        <v>0</v>
      </c>
    </row>
    <row r="69" spans="1:30" ht="18.75" customHeight="1">
      <c r="A69" s="4721" t="s">
        <v>549</v>
      </c>
      <c r="B69" s="4760">
        <f>SUM('Произв. прогр. Стоки'!H88)</f>
        <v>896.50382522506084</v>
      </c>
      <c r="C69" s="4760">
        <f t="shared" ref="C69:F69" si="121">SUM(C70+C71+C72+C74+C75)</f>
        <v>184.54000000000002</v>
      </c>
      <c r="D69" s="4760">
        <f t="shared" si="121"/>
        <v>188.32999999999998</v>
      </c>
      <c r="E69" s="4760">
        <f t="shared" si="121"/>
        <v>386.01</v>
      </c>
      <c r="F69" s="4760">
        <f t="shared" si="121"/>
        <v>758.88000000000011</v>
      </c>
      <c r="G69" s="4760">
        <f>SUM('Произв. прогр. Стоки'!L88)</f>
        <v>896.50382522506084</v>
      </c>
      <c r="H69" s="4760">
        <f t="shared" ref="H69:K69" si="122">SUM(H70+H71+H72+H74+H75)</f>
        <v>208.44</v>
      </c>
      <c r="I69" s="4760">
        <f t="shared" si="122"/>
        <v>249.37999999999997</v>
      </c>
      <c r="J69" s="4760">
        <f>SUM(J70+J71+J72+J74+J75)</f>
        <v>267.68</v>
      </c>
      <c r="K69" s="4760">
        <f t="shared" si="122"/>
        <v>725.5</v>
      </c>
      <c r="L69" s="4779">
        <f t="shared" si="85"/>
        <v>1793.0076504501217</v>
      </c>
      <c r="M69" s="4779">
        <f t="shared" si="86"/>
        <v>1484.38</v>
      </c>
      <c r="N69" s="4779">
        <f t="shared" si="17"/>
        <v>-308.62765045012156</v>
      </c>
      <c r="O69" s="4760">
        <f>SUM('Произв. прогр. Стоки'!Q88)</f>
        <v>919.96493316745114</v>
      </c>
      <c r="P69" s="4760">
        <f t="shared" ref="P69:S69" si="123">SUM(P70+P71+P72+P74+P75)</f>
        <v>0</v>
      </c>
      <c r="Q69" s="4760">
        <f t="shared" si="123"/>
        <v>0</v>
      </c>
      <c r="R69" s="4760">
        <f t="shared" si="123"/>
        <v>0</v>
      </c>
      <c r="S69" s="4760">
        <f t="shared" si="123"/>
        <v>0</v>
      </c>
      <c r="T69" s="4779">
        <f t="shared" si="90"/>
        <v>2712.972583617573</v>
      </c>
      <c r="U69" s="4779">
        <f t="shared" si="91"/>
        <v>1484.38</v>
      </c>
      <c r="V69" s="4779">
        <f t="shared" si="22"/>
        <v>-1228.5925836175729</v>
      </c>
      <c r="W69" s="4760">
        <f>SUM('Произв. прогр. Стоки'!V88)</f>
        <v>919.96493316745114</v>
      </c>
      <c r="X69" s="4760">
        <f t="shared" ref="X69:AA69" si="124">SUM(X70+X71+X72+X74+X75)</f>
        <v>0</v>
      </c>
      <c r="Y69" s="4760">
        <f t="shared" si="124"/>
        <v>0</v>
      </c>
      <c r="Z69" s="4760">
        <f t="shared" si="124"/>
        <v>0</v>
      </c>
      <c r="AA69" s="4760">
        <f t="shared" si="124"/>
        <v>0</v>
      </c>
      <c r="AB69" s="4779">
        <f t="shared" si="95"/>
        <v>3632.9375167850239</v>
      </c>
      <c r="AC69" s="4779">
        <f t="shared" si="96"/>
        <v>1484.38</v>
      </c>
      <c r="AD69" s="4779">
        <f t="shared" si="27"/>
        <v>-2148.5575167850238</v>
      </c>
    </row>
    <row r="70" spans="1:30" ht="18.75" customHeight="1">
      <c r="A70" s="4620" t="s">
        <v>3</v>
      </c>
      <c r="B70" s="4737">
        <f>SUM('Произв. прогр. Стоки'!H89)</f>
        <v>36.960931353949547</v>
      </c>
      <c r="C70" s="4738">
        <v>0.45</v>
      </c>
      <c r="D70" s="4738">
        <v>2.21</v>
      </c>
      <c r="E70" s="4738">
        <v>100.82</v>
      </c>
      <c r="F70" s="4743">
        <f t="shared" si="97"/>
        <v>103.47999999999999</v>
      </c>
      <c r="G70" s="4737">
        <f>SUM('Произв. прогр. Стоки'!L89)</f>
        <v>36.960931353949547</v>
      </c>
      <c r="H70" s="4738">
        <v>1.02</v>
      </c>
      <c r="I70" s="4738"/>
      <c r="J70" s="4738">
        <v>4.05</v>
      </c>
      <c r="K70" s="4743">
        <f t="shared" ref="K70:K72" si="125">SUM(H70:J70)</f>
        <v>5.07</v>
      </c>
      <c r="L70" s="4786">
        <f t="shared" si="85"/>
        <v>73.921862707899095</v>
      </c>
      <c r="M70" s="4786">
        <f t="shared" si="86"/>
        <v>108.54999999999998</v>
      </c>
      <c r="N70" s="4786">
        <f t="shared" si="17"/>
        <v>34.628137292100888</v>
      </c>
      <c r="O70" s="4737">
        <f>SUM('Произв. прогр. Стоки'!Q89)</f>
        <v>36.960931353949547</v>
      </c>
      <c r="P70" s="4738"/>
      <c r="Q70" s="4738"/>
      <c r="R70" s="4738"/>
      <c r="S70" s="4743">
        <f t="shared" ref="S70:S72" si="126">SUM(P70:R70)</f>
        <v>0</v>
      </c>
      <c r="T70" s="4786">
        <f t="shared" si="90"/>
        <v>110.88279406184864</v>
      </c>
      <c r="U70" s="4786">
        <f t="shared" si="91"/>
        <v>108.54999999999998</v>
      </c>
      <c r="V70" s="4786">
        <f t="shared" si="22"/>
        <v>-2.3327940618486593</v>
      </c>
      <c r="W70" s="4737">
        <f>SUM('Произв. прогр. Стоки'!V89)</f>
        <v>36.960931353949547</v>
      </c>
      <c r="X70" s="4738"/>
      <c r="Y70" s="4738"/>
      <c r="Z70" s="4738"/>
      <c r="AA70" s="4744">
        <f t="shared" ref="AA70:AA72" si="127">SUM(X70:Z70)</f>
        <v>0</v>
      </c>
      <c r="AB70" s="4786">
        <f t="shared" si="95"/>
        <v>147.84372541579819</v>
      </c>
      <c r="AC70" s="4786">
        <f t="shared" si="96"/>
        <v>108.54999999999998</v>
      </c>
      <c r="AD70" s="4786">
        <f t="shared" si="27"/>
        <v>-39.293725415798207</v>
      </c>
    </row>
    <row r="71" spans="1:30" ht="18.75" customHeight="1">
      <c r="A71" s="4620" t="s">
        <v>4</v>
      </c>
      <c r="B71" s="4737">
        <f>SUM('Произв. прогр. Стоки'!H90)</f>
        <v>450.8630168035595</v>
      </c>
      <c r="C71" s="4738">
        <v>81.3</v>
      </c>
      <c r="D71" s="4738">
        <v>82.79</v>
      </c>
      <c r="E71" s="4738">
        <v>130.38999999999999</v>
      </c>
      <c r="F71" s="4743">
        <f t="shared" si="97"/>
        <v>294.48</v>
      </c>
      <c r="G71" s="4737">
        <f>SUM('Произв. прогр. Стоки'!L90)</f>
        <v>450.8630168035595</v>
      </c>
      <c r="H71" s="4738">
        <v>81.59</v>
      </c>
      <c r="I71" s="4738">
        <v>101.22</v>
      </c>
      <c r="J71" s="4738">
        <v>126.66</v>
      </c>
      <c r="K71" s="4743">
        <f t="shared" si="125"/>
        <v>309.47000000000003</v>
      </c>
      <c r="L71" s="4786">
        <f t="shared" si="85"/>
        <v>901.72603360711901</v>
      </c>
      <c r="M71" s="4786">
        <f t="shared" si="86"/>
        <v>603.95000000000005</v>
      </c>
      <c r="N71" s="4786">
        <f t="shared" si="17"/>
        <v>-297.77603360711896</v>
      </c>
      <c r="O71" s="4737">
        <f>SUM('Произв. прогр. Стоки'!Q90)</f>
        <v>468.89753747570194</v>
      </c>
      <c r="P71" s="4738"/>
      <c r="Q71" s="4738"/>
      <c r="R71" s="4738"/>
      <c r="S71" s="4743">
        <f t="shared" si="126"/>
        <v>0</v>
      </c>
      <c r="T71" s="4786">
        <f t="shared" si="90"/>
        <v>1370.6235710828209</v>
      </c>
      <c r="U71" s="4786">
        <f t="shared" si="91"/>
        <v>603.95000000000005</v>
      </c>
      <c r="V71" s="4786">
        <f t="shared" si="22"/>
        <v>-766.6735710828209</v>
      </c>
      <c r="W71" s="4737">
        <f>SUM('Произв. прогр. Стоки'!V90)</f>
        <v>468.89753747570194</v>
      </c>
      <c r="X71" s="4738"/>
      <c r="Y71" s="4738"/>
      <c r="Z71" s="4738"/>
      <c r="AA71" s="4744">
        <f t="shared" si="127"/>
        <v>0</v>
      </c>
      <c r="AB71" s="4786">
        <f t="shared" si="95"/>
        <v>1839.5211085585229</v>
      </c>
      <c r="AC71" s="4786">
        <f t="shared" si="96"/>
        <v>603.95000000000005</v>
      </c>
      <c r="AD71" s="4786">
        <f t="shared" si="27"/>
        <v>-1235.5711085585228</v>
      </c>
    </row>
    <row r="72" spans="1:30" ht="18.75" customHeight="1">
      <c r="A72" s="4620" t="s">
        <v>121</v>
      </c>
      <c r="B72" s="4737">
        <f>SUM('Произв. прогр. Стоки'!H91)</f>
        <v>135.66468175619107</v>
      </c>
      <c r="C72" s="4738">
        <v>24.55</v>
      </c>
      <c r="D72" s="4738">
        <v>25</v>
      </c>
      <c r="E72" s="4738">
        <v>39.380000000000003</v>
      </c>
      <c r="F72" s="4743">
        <f t="shared" si="97"/>
        <v>88.93</v>
      </c>
      <c r="G72" s="4737">
        <f>SUM('Произв. прогр. Стоки'!L91)</f>
        <v>135.66468175619107</v>
      </c>
      <c r="H72" s="4738">
        <v>24.64</v>
      </c>
      <c r="I72" s="4738">
        <v>29.76</v>
      </c>
      <c r="J72" s="4738">
        <v>38.25</v>
      </c>
      <c r="K72" s="4743">
        <f t="shared" si="125"/>
        <v>92.65</v>
      </c>
      <c r="L72" s="4786">
        <f t="shared" si="85"/>
        <v>271.32936351238214</v>
      </c>
      <c r="M72" s="4786">
        <f t="shared" si="86"/>
        <v>181.58</v>
      </c>
      <c r="N72" s="4786">
        <f t="shared" si="17"/>
        <v>-89.749363512382132</v>
      </c>
      <c r="O72" s="4737">
        <f>SUM('Произв. прогр. Стоки'!Q91)</f>
        <v>141.09126902643871</v>
      </c>
      <c r="P72" s="4738"/>
      <c r="Q72" s="4738"/>
      <c r="R72" s="4738"/>
      <c r="S72" s="4743">
        <f t="shared" si="126"/>
        <v>0</v>
      </c>
      <c r="T72" s="4786">
        <f t="shared" si="90"/>
        <v>412.42063253882088</v>
      </c>
      <c r="U72" s="4786">
        <f t="shared" si="91"/>
        <v>181.58</v>
      </c>
      <c r="V72" s="4786">
        <f t="shared" si="22"/>
        <v>-230.84063253882087</v>
      </c>
      <c r="W72" s="4737">
        <f>SUM('Произв. прогр. Стоки'!V91)</f>
        <v>141.09126902643871</v>
      </c>
      <c r="X72" s="4738"/>
      <c r="Y72" s="4738"/>
      <c r="Z72" s="4738"/>
      <c r="AA72" s="4744">
        <f t="shared" si="127"/>
        <v>0</v>
      </c>
      <c r="AB72" s="4786">
        <f t="shared" si="95"/>
        <v>553.51190156525956</v>
      </c>
      <c r="AC72" s="4786">
        <f t="shared" si="96"/>
        <v>181.58</v>
      </c>
      <c r="AD72" s="4786">
        <f t="shared" si="27"/>
        <v>-371.93190156525952</v>
      </c>
    </row>
    <row r="73" spans="1:30" ht="18.75" customHeight="1">
      <c r="A73" s="4728" t="str">
        <f>A42</f>
        <v>то же в %</v>
      </c>
      <c r="B73" s="4740">
        <f>SUM('Произв. прогр. Стоки'!H92)</f>
        <v>0.30090000000000006</v>
      </c>
      <c r="C73" s="4740">
        <f>SUM(C72/C71)</f>
        <v>0.30196801968019682</v>
      </c>
      <c r="D73" s="4740">
        <f t="shared" ref="D73:F73" si="128">SUM(D72/D71)</f>
        <v>0.30196883681604059</v>
      </c>
      <c r="E73" s="4740">
        <f t="shared" si="128"/>
        <v>0.30201702584554035</v>
      </c>
      <c r="F73" s="4740">
        <f t="shared" si="128"/>
        <v>0.30198994838359144</v>
      </c>
      <c r="G73" s="4740">
        <f>SUM('Произв. прогр. Стоки'!L92)</f>
        <v>0.30090000000000006</v>
      </c>
      <c r="H73" s="4740">
        <f>SUM(H72/H71)</f>
        <v>0.3019977938472852</v>
      </c>
      <c r="I73" s="4740">
        <f t="shared" ref="I73:M73" si="129">SUM(I72/I71)</f>
        <v>0.29401304090100772</v>
      </c>
      <c r="J73" s="4740">
        <f t="shared" si="129"/>
        <v>0.30198957839886309</v>
      </c>
      <c r="K73" s="4740">
        <f t="shared" si="129"/>
        <v>0.29938281578182052</v>
      </c>
      <c r="L73" s="4741">
        <f t="shared" si="129"/>
        <v>0.30090000000000006</v>
      </c>
      <c r="M73" s="4741">
        <f t="shared" si="129"/>
        <v>0.30065402765129562</v>
      </c>
      <c r="N73" s="4789">
        <f t="shared" si="17"/>
        <v>-2.459723487044374E-4</v>
      </c>
      <c r="O73" s="4740">
        <f>SUM('Произв. прогр. Стоки'!Q92)</f>
        <v>0.3009</v>
      </c>
      <c r="P73" s="4740" t="e">
        <f>SUM(P72/P71)</f>
        <v>#DIV/0!</v>
      </c>
      <c r="Q73" s="4740" t="e">
        <f t="shared" ref="Q73:S73" si="130">SUM(Q72/Q71)</f>
        <v>#DIV/0!</v>
      </c>
      <c r="R73" s="4740" t="e">
        <f t="shared" si="130"/>
        <v>#DIV/0!</v>
      </c>
      <c r="S73" s="4740" t="e">
        <f t="shared" si="130"/>
        <v>#DIV/0!</v>
      </c>
      <c r="T73" s="4741">
        <f>SUM(T72/T71)</f>
        <v>0.30090000000000006</v>
      </c>
      <c r="U73" s="4741">
        <f>SUM(U72/U71)</f>
        <v>0.30065402765129562</v>
      </c>
      <c r="V73" s="4789">
        <f t="shared" si="22"/>
        <v>-2.459723487044374E-4</v>
      </c>
      <c r="W73" s="4740">
        <f>SUM('Произв. прогр. Стоки'!V92)</f>
        <v>0.3009</v>
      </c>
      <c r="X73" s="4740" t="e">
        <f>SUM(X72/X71)</f>
        <v>#DIV/0!</v>
      </c>
      <c r="Y73" s="4740" t="e">
        <f t="shared" ref="Y73:AC73" si="131">SUM(Y72/Y71)</f>
        <v>#DIV/0!</v>
      </c>
      <c r="Z73" s="4740" t="e">
        <f t="shared" si="131"/>
        <v>#DIV/0!</v>
      </c>
      <c r="AA73" s="4740" t="e">
        <f t="shared" si="131"/>
        <v>#DIV/0!</v>
      </c>
      <c r="AB73" s="4741">
        <f t="shared" si="131"/>
        <v>0.3009</v>
      </c>
      <c r="AC73" s="4741">
        <f t="shared" si="131"/>
        <v>0.30065402765129562</v>
      </c>
      <c r="AD73" s="4789">
        <f t="shared" si="27"/>
        <v>-2.4597234870438189E-4</v>
      </c>
    </row>
    <row r="74" spans="1:30" ht="18.75" customHeight="1">
      <c r="A74" s="4620" t="s">
        <v>2</v>
      </c>
      <c r="B74" s="4737">
        <f>SUM('Произв. прогр. Стоки'!H93)</f>
        <v>9.2349999999999994</v>
      </c>
      <c r="C74" s="4738">
        <v>5.71</v>
      </c>
      <c r="D74" s="4738">
        <v>5.71</v>
      </c>
      <c r="E74" s="4738">
        <v>5.71</v>
      </c>
      <c r="F74" s="4743">
        <f t="shared" si="97"/>
        <v>17.13</v>
      </c>
      <c r="G74" s="4737">
        <f>SUM('Произв. прогр. Стоки'!L93)</f>
        <v>9.2349999999999994</v>
      </c>
      <c r="H74" s="4738">
        <v>5.71</v>
      </c>
      <c r="I74" s="4738">
        <v>5.73</v>
      </c>
      <c r="J74" s="4738">
        <v>5.71</v>
      </c>
      <c r="K74" s="4743">
        <f t="shared" ref="K74" si="132">SUM(H74:J74)</f>
        <v>17.150000000000002</v>
      </c>
      <c r="L74" s="4786">
        <f t="shared" ref="L74:L93" si="133">SUM(G74+B74)</f>
        <v>18.47</v>
      </c>
      <c r="M74" s="4786">
        <f t="shared" ref="M74:M93" si="134">SUM(K74+F74)</f>
        <v>34.28</v>
      </c>
      <c r="N74" s="4786">
        <f t="shared" si="17"/>
        <v>15.810000000000002</v>
      </c>
      <c r="O74" s="4737">
        <f>SUM('Произв. прогр. Стоки'!Q93)</f>
        <v>9.2349999999999994</v>
      </c>
      <c r="P74" s="4738"/>
      <c r="Q74" s="4738"/>
      <c r="R74" s="4738"/>
      <c r="S74" s="4743">
        <f t="shared" ref="S74" si="135">SUM(P74:R74)</f>
        <v>0</v>
      </c>
      <c r="T74" s="4786">
        <f t="shared" ref="T74:T93" si="136">SUM(L74+O74)</f>
        <v>27.704999999999998</v>
      </c>
      <c r="U74" s="4786">
        <f t="shared" ref="U74:U93" si="137">SUM(M74+S74)</f>
        <v>34.28</v>
      </c>
      <c r="V74" s="4786">
        <f t="shared" si="22"/>
        <v>6.5750000000000028</v>
      </c>
      <c r="W74" s="4737">
        <f>SUM('Произв. прогр. Стоки'!V93)</f>
        <v>9.2349999999999994</v>
      </c>
      <c r="X74" s="4738"/>
      <c r="Y74" s="4738"/>
      <c r="Z74" s="4738"/>
      <c r="AA74" s="4743">
        <f t="shared" ref="AA74" si="138">SUM(X74:Z74)</f>
        <v>0</v>
      </c>
      <c r="AB74" s="4786">
        <f t="shared" ref="AB74:AB93" si="139">SUM(W74+T74)</f>
        <v>36.94</v>
      </c>
      <c r="AC74" s="4786">
        <f t="shared" ref="AC74:AC93" si="140">SUM(AA74+U74)</f>
        <v>34.28</v>
      </c>
      <c r="AD74" s="4786">
        <f t="shared" si="27"/>
        <v>-2.6599999999999966</v>
      </c>
    </row>
    <row r="75" spans="1:30" ht="18.75" customHeight="1">
      <c r="A75" s="4597" t="s">
        <v>1723</v>
      </c>
      <c r="B75" s="4760">
        <f>SUM('Произв. прогр. Стоки'!H94)</f>
        <v>263.7801953113609</v>
      </c>
      <c r="C75" s="4760">
        <f>SUM(C76:C84)+C86</f>
        <v>72.530000000000015</v>
      </c>
      <c r="D75" s="4760">
        <f t="shared" ref="D75:F75" si="141">SUM(D76:D84)+D86</f>
        <v>72.62</v>
      </c>
      <c r="E75" s="4760">
        <f t="shared" si="141"/>
        <v>109.71000000000001</v>
      </c>
      <c r="F75" s="4760">
        <f t="shared" si="141"/>
        <v>254.86000000000004</v>
      </c>
      <c r="G75" s="4760">
        <f>SUM('Произв. прогр. Стоки'!L94)</f>
        <v>263.7801953113609</v>
      </c>
      <c r="H75" s="4760">
        <f>SUM(H76:H84)+H86</f>
        <v>95.48</v>
      </c>
      <c r="I75" s="4760">
        <f t="shared" ref="I75" si="142">SUM(I76:I84)+I86</f>
        <v>112.66999999999999</v>
      </c>
      <c r="J75" s="4760">
        <f>SUM(J76:J84)+J86</f>
        <v>93.01</v>
      </c>
      <c r="K75" s="4760">
        <f t="shared" ref="K75" si="143">SUM(K76:K84)+K86</f>
        <v>301.16000000000003</v>
      </c>
      <c r="L75" s="4779">
        <f t="shared" si="133"/>
        <v>527.5603906227218</v>
      </c>
      <c r="M75" s="4779">
        <f t="shared" si="134"/>
        <v>556.0200000000001</v>
      </c>
      <c r="N75" s="4779">
        <f t="shared" si="17"/>
        <v>28.459609377278298</v>
      </c>
      <c r="O75" s="4760">
        <f>SUM('Произв. прогр. Стоки'!Q94)</f>
        <v>263.7801953113609</v>
      </c>
      <c r="P75" s="4760">
        <f>SUM(P76:P84)+P86</f>
        <v>0</v>
      </c>
      <c r="Q75" s="4760">
        <f t="shared" ref="Q75" si="144">SUM(Q76:Q84)+Q86</f>
        <v>0</v>
      </c>
      <c r="R75" s="4760">
        <f t="shared" ref="R75" si="145">SUM(R76:R84)+R86</f>
        <v>0</v>
      </c>
      <c r="S75" s="4760">
        <f t="shared" ref="S75" si="146">SUM(S76:S84)+S86</f>
        <v>0</v>
      </c>
      <c r="T75" s="4779">
        <f t="shared" si="136"/>
        <v>791.3405859340827</v>
      </c>
      <c r="U75" s="4779">
        <f t="shared" si="137"/>
        <v>556.0200000000001</v>
      </c>
      <c r="V75" s="4779">
        <f t="shared" si="22"/>
        <v>-235.3205859340826</v>
      </c>
      <c r="W75" s="4760">
        <f>SUM('Произв. прогр. Стоки'!V94)</f>
        <v>263.7801953113609</v>
      </c>
      <c r="X75" s="4760">
        <f>SUM(X76:X84)+X86</f>
        <v>0</v>
      </c>
      <c r="Y75" s="4760">
        <f t="shared" ref="Y75" si="147">SUM(Y76:Y84)+Y86</f>
        <v>0</v>
      </c>
      <c r="Z75" s="4760">
        <f t="shared" ref="Z75" si="148">SUM(Z76:Z84)+Z86</f>
        <v>0</v>
      </c>
      <c r="AA75" s="4760">
        <f t="shared" ref="AA75" si="149">SUM(AA76:AA84)+AA86</f>
        <v>0</v>
      </c>
      <c r="AB75" s="4779">
        <f t="shared" si="139"/>
        <v>1055.1207812454436</v>
      </c>
      <c r="AC75" s="4779">
        <f t="shared" si="140"/>
        <v>556.0200000000001</v>
      </c>
      <c r="AD75" s="4779">
        <f t="shared" si="27"/>
        <v>-499.1007812454435</v>
      </c>
    </row>
    <row r="76" spans="1:30" ht="18.75" customHeight="1">
      <c r="A76" s="4790" t="s">
        <v>72</v>
      </c>
      <c r="B76" s="4737">
        <f>SUM('Произв. прогр. Стоки'!H95)</f>
        <v>0</v>
      </c>
      <c r="C76" s="4738"/>
      <c r="D76" s="4738"/>
      <c r="E76" s="4738"/>
      <c r="F76" s="4743">
        <f t="shared" si="97"/>
        <v>0</v>
      </c>
      <c r="G76" s="4737">
        <f>SUM('Произв. прогр. Стоки'!L95)</f>
        <v>0</v>
      </c>
      <c r="H76" s="4738"/>
      <c r="I76" s="4738"/>
      <c r="J76" s="4738"/>
      <c r="K76" s="4743">
        <f t="shared" ref="K76:K83" si="150">SUM(H76:J76)</f>
        <v>0</v>
      </c>
      <c r="L76" s="4786">
        <f t="shared" si="133"/>
        <v>0</v>
      </c>
      <c r="M76" s="4786">
        <f t="shared" si="134"/>
        <v>0</v>
      </c>
      <c r="N76" s="4786">
        <f t="shared" si="17"/>
        <v>0</v>
      </c>
      <c r="O76" s="4737">
        <f>SUM('Произв. прогр. Стоки'!Q95)</f>
        <v>0</v>
      </c>
      <c r="P76" s="4738"/>
      <c r="Q76" s="4738"/>
      <c r="R76" s="4738"/>
      <c r="S76" s="4743">
        <f t="shared" ref="S76:S83" si="151">SUM(P76:R76)</f>
        <v>0</v>
      </c>
      <c r="T76" s="4786">
        <f t="shared" si="136"/>
        <v>0</v>
      </c>
      <c r="U76" s="4786">
        <f t="shared" si="137"/>
        <v>0</v>
      </c>
      <c r="V76" s="4786">
        <f t="shared" si="22"/>
        <v>0</v>
      </c>
      <c r="W76" s="4737">
        <f>SUM('Произв. прогр. Стоки'!V95)</f>
        <v>0</v>
      </c>
      <c r="X76" s="4738"/>
      <c r="Y76" s="4738"/>
      <c r="Z76" s="4738"/>
      <c r="AA76" s="4743">
        <f t="shared" ref="AA76:AA83" si="152">SUM(X76:Z76)</f>
        <v>0</v>
      </c>
      <c r="AB76" s="4786">
        <f t="shared" si="139"/>
        <v>0</v>
      </c>
      <c r="AC76" s="4786">
        <f t="shared" si="140"/>
        <v>0</v>
      </c>
      <c r="AD76" s="4786">
        <f t="shared" si="27"/>
        <v>0</v>
      </c>
    </row>
    <row r="77" spans="1:30" ht="18.75" customHeight="1">
      <c r="A77" s="4790" t="s">
        <v>121</v>
      </c>
      <c r="B77" s="4737">
        <f>SUM('Произв. прогр. Стоки'!H96)</f>
        <v>0</v>
      </c>
      <c r="C77" s="4738"/>
      <c r="D77" s="4738"/>
      <c r="E77" s="4738"/>
      <c r="F77" s="4743">
        <f t="shared" si="97"/>
        <v>0</v>
      </c>
      <c r="G77" s="4737">
        <f>SUM('Произв. прогр. Стоки'!L96)</f>
        <v>0</v>
      </c>
      <c r="H77" s="4738"/>
      <c r="I77" s="4738"/>
      <c r="J77" s="4738"/>
      <c r="K77" s="4743">
        <f t="shared" si="150"/>
        <v>0</v>
      </c>
      <c r="L77" s="4786">
        <f t="shared" si="133"/>
        <v>0</v>
      </c>
      <c r="M77" s="4786">
        <f t="shared" si="134"/>
        <v>0</v>
      </c>
      <c r="N77" s="4786">
        <f t="shared" si="17"/>
        <v>0</v>
      </c>
      <c r="O77" s="4737">
        <f>SUM('Произв. прогр. Стоки'!Q96)</f>
        <v>0</v>
      </c>
      <c r="P77" s="4738"/>
      <c r="Q77" s="4738"/>
      <c r="R77" s="4738"/>
      <c r="S77" s="4743">
        <f t="shared" si="151"/>
        <v>0</v>
      </c>
      <c r="T77" s="4786">
        <f t="shared" si="136"/>
        <v>0</v>
      </c>
      <c r="U77" s="4786">
        <f t="shared" si="137"/>
        <v>0</v>
      </c>
      <c r="V77" s="4786">
        <f t="shared" si="22"/>
        <v>0</v>
      </c>
      <c r="W77" s="4737">
        <f>SUM('Произв. прогр. Стоки'!V96)</f>
        <v>0</v>
      </c>
      <c r="X77" s="4738"/>
      <c r="Y77" s="4738"/>
      <c r="Z77" s="4738"/>
      <c r="AA77" s="4743">
        <f t="shared" si="152"/>
        <v>0</v>
      </c>
      <c r="AB77" s="4786">
        <f t="shared" si="139"/>
        <v>0</v>
      </c>
      <c r="AC77" s="4786">
        <f t="shared" si="140"/>
        <v>0</v>
      </c>
      <c r="AD77" s="4786">
        <f t="shared" si="27"/>
        <v>0</v>
      </c>
    </row>
    <row r="78" spans="1:30" ht="18.75" customHeight="1">
      <c r="A78" s="4790" t="s">
        <v>52</v>
      </c>
      <c r="B78" s="4737">
        <f>SUM('Произв. прогр. Стоки'!H97)</f>
        <v>1.0287427617143077</v>
      </c>
      <c r="C78" s="4738">
        <v>0.28999999999999998</v>
      </c>
      <c r="D78" s="4738"/>
      <c r="E78" s="4738">
        <v>0.54</v>
      </c>
      <c r="F78" s="4743">
        <f t="shared" ref="F78" si="153">SUM(C78:E78)</f>
        <v>0.83000000000000007</v>
      </c>
      <c r="G78" s="4737">
        <f>SUM('Произв. прогр. Стоки'!L97)</f>
        <v>1.0287427617143077</v>
      </c>
      <c r="H78" s="4738">
        <v>0.27</v>
      </c>
      <c r="I78" s="4738">
        <v>0.27</v>
      </c>
      <c r="J78" s="4738"/>
      <c r="K78" s="4743">
        <f t="shared" si="150"/>
        <v>0.54</v>
      </c>
      <c r="L78" s="4786">
        <f t="shared" ref="L78" si="154">SUM(G78+B78)</f>
        <v>2.0574855234286153</v>
      </c>
      <c r="M78" s="4786">
        <f t="shared" si="134"/>
        <v>1.37</v>
      </c>
      <c r="N78" s="4786">
        <f t="shared" si="17"/>
        <v>-0.68748552342861524</v>
      </c>
      <c r="O78" s="4737">
        <f>SUM('Произв. прогр. Стоки'!Q97)</f>
        <v>1.0287427617143077</v>
      </c>
      <c r="P78" s="4738"/>
      <c r="Q78" s="4738"/>
      <c r="R78" s="4738"/>
      <c r="S78" s="4743">
        <f t="shared" ref="S78" si="155">SUM(P78:R78)</f>
        <v>0</v>
      </c>
      <c r="T78" s="4786">
        <f t="shared" si="136"/>
        <v>3.0862282851429228</v>
      </c>
      <c r="U78" s="4786">
        <f t="shared" si="137"/>
        <v>1.37</v>
      </c>
      <c r="V78" s="4786">
        <f t="shared" si="22"/>
        <v>-1.7162282851429227</v>
      </c>
      <c r="W78" s="4737">
        <f>SUM('Произв. прогр. Стоки'!V97)</f>
        <v>1.0287427617143077</v>
      </c>
      <c r="X78" s="4738"/>
      <c r="Y78" s="4738"/>
      <c r="Z78" s="4738"/>
      <c r="AA78" s="4743">
        <f t="shared" ref="AA78" si="156">SUM(X78:Z78)</f>
        <v>0</v>
      </c>
      <c r="AB78" s="4786">
        <f t="shared" si="139"/>
        <v>4.1149710468572307</v>
      </c>
      <c r="AC78" s="4786">
        <f t="shared" si="140"/>
        <v>1.37</v>
      </c>
      <c r="AD78" s="4786">
        <f t="shared" si="27"/>
        <v>-2.7449710468572306</v>
      </c>
    </row>
    <row r="79" spans="1:30" ht="18.75" customHeight="1">
      <c r="A79" s="4790" t="s">
        <v>603</v>
      </c>
      <c r="B79" s="4737">
        <f>SUM('Произв. прогр. Стоки'!H98)</f>
        <v>219.46512249905226</v>
      </c>
      <c r="C79" s="4738">
        <v>66.61</v>
      </c>
      <c r="D79" s="4738">
        <v>67.27</v>
      </c>
      <c r="E79" s="4738">
        <v>98.11</v>
      </c>
      <c r="F79" s="4743">
        <f t="shared" si="97"/>
        <v>231.99</v>
      </c>
      <c r="G79" s="4737">
        <f>SUM('Произв. прогр. Стоки'!L98)</f>
        <v>219.46512249905226</v>
      </c>
      <c r="H79" s="4738">
        <v>87.14</v>
      </c>
      <c r="I79" s="4738">
        <v>93.88</v>
      </c>
      <c r="J79" s="4738">
        <v>78.34</v>
      </c>
      <c r="K79" s="4743">
        <f t="shared" si="150"/>
        <v>259.36</v>
      </c>
      <c r="L79" s="4786">
        <f t="shared" si="133"/>
        <v>438.93024499810451</v>
      </c>
      <c r="M79" s="4786">
        <f t="shared" si="134"/>
        <v>491.35</v>
      </c>
      <c r="N79" s="4786">
        <f t="shared" ref="N79:N120" si="157">SUM(M79-L79)</f>
        <v>52.41975500189551</v>
      </c>
      <c r="O79" s="4737">
        <f>SUM('Произв. прогр. Стоки'!Q98)</f>
        <v>219.46512249905226</v>
      </c>
      <c r="P79" s="4738"/>
      <c r="Q79" s="4738"/>
      <c r="R79" s="4738"/>
      <c r="S79" s="4743">
        <f t="shared" si="151"/>
        <v>0</v>
      </c>
      <c r="T79" s="4786">
        <f t="shared" si="136"/>
        <v>658.39536749715671</v>
      </c>
      <c r="U79" s="4786">
        <f t="shared" si="137"/>
        <v>491.35</v>
      </c>
      <c r="V79" s="4786">
        <f t="shared" ref="V79:V120" si="158">SUM(U79-T79)</f>
        <v>-167.04536749715669</v>
      </c>
      <c r="W79" s="4737">
        <f>SUM('Произв. прогр. Стоки'!V98)</f>
        <v>219.46512249905226</v>
      </c>
      <c r="X79" s="4738"/>
      <c r="Y79" s="4738"/>
      <c r="Z79" s="4738"/>
      <c r="AA79" s="4743">
        <f t="shared" si="152"/>
        <v>0</v>
      </c>
      <c r="AB79" s="4786">
        <f t="shared" si="139"/>
        <v>877.86048999620903</v>
      </c>
      <c r="AC79" s="4786">
        <f t="shared" si="140"/>
        <v>491.35</v>
      </c>
      <c r="AD79" s="4786">
        <f t="shared" ref="AD79:AD125" si="159">SUM(AC79-AB79)</f>
        <v>-386.510489996209</v>
      </c>
    </row>
    <row r="80" spans="1:30" ht="18.75" customHeight="1">
      <c r="A80" s="4790" t="s">
        <v>605</v>
      </c>
      <c r="B80" s="4737">
        <f>SUM('Произв. прогр. Стоки'!H99)</f>
        <v>17.172090714769592</v>
      </c>
      <c r="C80" s="4738">
        <v>2.64</v>
      </c>
      <c r="D80" s="4738">
        <v>2.5099999999999998</v>
      </c>
      <c r="E80" s="4738">
        <v>4.22</v>
      </c>
      <c r="F80" s="4743">
        <f t="shared" si="97"/>
        <v>9.370000000000001</v>
      </c>
      <c r="G80" s="4737">
        <f>SUM('Произв. прогр. Стоки'!L99)</f>
        <v>17.172090714769592</v>
      </c>
      <c r="H80" s="4738">
        <v>3.42</v>
      </c>
      <c r="I80" s="4738">
        <v>15.7</v>
      </c>
      <c r="J80" s="4738">
        <v>8.07</v>
      </c>
      <c r="K80" s="4743">
        <f t="shared" si="150"/>
        <v>27.189999999999998</v>
      </c>
      <c r="L80" s="4786">
        <f t="shared" si="133"/>
        <v>34.344181429539184</v>
      </c>
      <c r="M80" s="4786">
        <f t="shared" si="134"/>
        <v>36.56</v>
      </c>
      <c r="N80" s="4786">
        <f t="shared" si="157"/>
        <v>2.2158185704608186</v>
      </c>
      <c r="O80" s="4737">
        <f>SUM('Произв. прогр. Стоки'!Q99)</f>
        <v>17.172090714769592</v>
      </c>
      <c r="P80" s="4738"/>
      <c r="Q80" s="4738"/>
      <c r="R80" s="4738"/>
      <c r="S80" s="4743">
        <f t="shared" si="151"/>
        <v>0</v>
      </c>
      <c r="T80" s="4786">
        <f t="shared" si="136"/>
        <v>51.516272144308772</v>
      </c>
      <c r="U80" s="4786">
        <f t="shared" si="137"/>
        <v>36.56</v>
      </c>
      <c r="V80" s="4786">
        <f t="shared" si="158"/>
        <v>-14.95627214430877</v>
      </c>
      <c r="W80" s="4737">
        <f>SUM('Произв. прогр. Стоки'!V99)</f>
        <v>17.172090714769592</v>
      </c>
      <c r="X80" s="4738"/>
      <c r="Y80" s="4738"/>
      <c r="Z80" s="4738"/>
      <c r="AA80" s="4743">
        <f t="shared" si="152"/>
        <v>0</v>
      </c>
      <c r="AB80" s="4786">
        <f t="shared" si="139"/>
        <v>68.688362859078367</v>
      </c>
      <c r="AC80" s="4786">
        <f t="shared" si="140"/>
        <v>36.56</v>
      </c>
      <c r="AD80" s="4786">
        <f t="shared" si="159"/>
        <v>-32.128362859078365</v>
      </c>
    </row>
    <row r="81" spans="1:30" ht="18.75" customHeight="1">
      <c r="A81" s="4790" t="s">
        <v>604</v>
      </c>
      <c r="B81" s="4737">
        <f>SUM('Произв. прогр. Стоки'!H100)</f>
        <v>9.2059288163664963</v>
      </c>
      <c r="C81" s="4738">
        <v>2.84</v>
      </c>
      <c r="D81" s="4738">
        <f>1.57+1.27</f>
        <v>2.84</v>
      </c>
      <c r="E81" s="4738">
        <v>2.84</v>
      </c>
      <c r="F81" s="4743">
        <f t="shared" si="97"/>
        <v>8.52</v>
      </c>
      <c r="G81" s="4737">
        <f>SUM('Произв. прогр. Стоки'!L100)</f>
        <v>9.2059288163664963</v>
      </c>
      <c r="H81" s="4738">
        <v>2.84</v>
      </c>
      <c r="I81" s="4738">
        <v>2.82</v>
      </c>
      <c r="J81" s="4738">
        <v>2.84</v>
      </c>
      <c r="K81" s="4743">
        <f t="shared" si="150"/>
        <v>8.5</v>
      </c>
      <c r="L81" s="4786">
        <f t="shared" si="133"/>
        <v>18.411857632732993</v>
      </c>
      <c r="M81" s="4786">
        <f t="shared" si="134"/>
        <v>17.02</v>
      </c>
      <c r="N81" s="4786">
        <f t="shared" si="157"/>
        <v>-1.391857632732993</v>
      </c>
      <c r="O81" s="4737">
        <f>SUM('Произв. прогр. Стоки'!Q100)</f>
        <v>9.2059288163664963</v>
      </c>
      <c r="P81" s="4738"/>
      <c r="Q81" s="4738"/>
      <c r="R81" s="4738"/>
      <c r="S81" s="4743">
        <f t="shared" si="151"/>
        <v>0</v>
      </c>
      <c r="T81" s="4786">
        <f t="shared" si="136"/>
        <v>27.617786449099491</v>
      </c>
      <c r="U81" s="4786">
        <f t="shared" si="137"/>
        <v>17.02</v>
      </c>
      <c r="V81" s="4786">
        <f t="shared" si="158"/>
        <v>-10.597786449099491</v>
      </c>
      <c r="W81" s="4737">
        <f>SUM('Произв. прогр. Стоки'!V100)</f>
        <v>9.2059288163664963</v>
      </c>
      <c r="X81" s="4738"/>
      <c r="Y81" s="4738"/>
      <c r="Z81" s="4738"/>
      <c r="AA81" s="4743">
        <f t="shared" si="152"/>
        <v>0</v>
      </c>
      <c r="AB81" s="4786">
        <f t="shared" si="139"/>
        <v>36.823715265465985</v>
      </c>
      <c r="AC81" s="4786">
        <f t="shared" si="140"/>
        <v>17.02</v>
      </c>
      <c r="AD81" s="4786">
        <f t="shared" si="159"/>
        <v>-19.803715265465986</v>
      </c>
    </row>
    <row r="82" spans="1:30" ht="18.75" customHeight="1">
      <c r="A82" s="4790" t="s">
        <v>614</v>
      </c>
      <c r="B82" s="4737">
        <f>SUM('Произв. прогр. Стоки'!H101)</f>
        <v>1.4244130546813489</v>
      </c>
      <c r="C82" s="4738"/>
      <c r="D82" s="4738"/>
      <c r="E82" s="4738"/>
      <c r="F82" s="4743">
        <f t="shared" si="97"/>
        <v>0</v>
      </c>
      <c r="G82" s="4737">
        <f>SUM('Произв. прогр. Стоки'!L101)</f>
        <v>1.4244130546813489</v>
      </c>
      <c r="H82" s="4738"/>
      <c r="I82" s="4738"/>
      <c r="J82" s="4738">
        <v>1.36</v>
      </c>
      <c r="K82" s="4743">
        <f t="shared" si="150"/>
        <v>1.36</v>
      </c>
      <c r="L82" s="4786">
        <f t="shared" si="133"/>
        <v>2.8488261093626979</v>
      </c>
      <c r="M82" s="4786">
        <f t="shared" si="134"/>
        <v>1.36</v>
      </c>
      <c r="N82" s="4786">
        <f t="shared" si="157"/>
        <v>-1.4888261093626978</v>
      </c>
      <c r="O82" s="4737">
        <f>SUM('Произв. прогр. Стоки'!Q101)</f>
        <v>1.4244130546813489</v>
      </c>
      <c r="P82" s="4738"/>
      <c r="Q82" s="4738"/>
      <c r="R82" s="4738"/>
      <c r="S82" s="4743">
        <f t="shared" si="151"/>
        <v>0</v>
      </c>
      <c r="T82" s="4786">
        <f t="shared" si="136"/>
        <v>4.273239164044047</v>
      </c>
      <c r="U82" s="4786">
        <f t="shared" si="137"/>
        <v>1.36</v>
      </c>
      <c r="V82" s="4786">
        <f t="shared" si="158"/>
        <v>-2.9132391640440467</v>
      </c>
      <c r="W82" s="4737">
        <f>SUM('Произв. прогр. Стоки'!V101)</f>
        <v>1.4244130546813489</v>
      </c>
      <c r="X82" s="4738"/>
      <c r="Y82" s="4738"/>
      <c r="Z82" s="4738"/>
      <c r="AA82" s="4743">
        <f t="shared" si="152"/>
        <v>0</v>
      </c>
      <c r="AB82" s="4786">
        <f t="shared" si="139"/>
        <v>5.6976522187253957</v>
      </c>
      <c r="AC82" s="4786">
        <f t="shared" si="140"/>
        <v>1.36</v>
      </c>
      <c r="AD82" s="4786">
        <f t="shared" si="159"/>
        <v>-4.3376522187253954</v>
      </c>
    </row>
    <row r="83" spans="1:30" ht="18.75" customHeight="1">
      <c r="A83" s="4790" t="s">
        <v>32</v>
      </c>
      <c r="B83" s="4737">
        <f>SUM('Произв. прогр. Стоки'!H102)</f>
        <v>5.3811159843517631</v>
      </c>
      <c r="C83" s="4738"/>
      <c r="D83" s="4738"/>
      <c r="E83" s="4738">
        <v>2.4</v>
      </c>
      <c r="F83" s="4743">
        <f t="shared" si="97"/>
        <v>2.4</v>
      </c>
      <c r="G83" s="4737">
        <f>SUM('Произв. прогр. Стоки'!L102)</f>
        <v>5.3811159843517631</v>
      </c>
      <c r="H83" s="4738"/>
      <c r="I83" s="4738"/>
      <c r="J83" s="4738">
        <v>2.4</v>
      </c>
      <c r="K83" s="4743">
        <f t="shared" si="150"/>
        <v>2.4</v>
      </c>
      <c r="L83" s="4786">
        <f t="shared" si="133"/>
        <v>10.762231968703526</v>
      </c>
      <c r="M83" s="4786">
        <f t="shared" si="134"/>
        <v>4.8</v>
      </c>
      <c r="N83" s="4786">
        <f t="shared" si="157"/>
        <v>-5.9622319687035263</v>
      </c>
      <c r="O83" s="4737">
        <f>SUM('Произв. прогр. Стоки'!Q102)</f>
        <v>5.3811159843517631</v>
      </c>
      <c r="P83" s="4738"/>
      <c r="Q83" s="4738"/>
      <c r="R83" s="4738"/>
      <c r="S83" s="4743">
        <f t="shared" si="151"/>
        <v>0</v>
      </c>
      <c r="T83" s="4786">
        <f t="shared" si="136"/>
        <v>16.14334795305529</v>
      </c>
      <c r="U83" s="4786">
        <f t="shared" si="137"/>
        <v>4.8</v>
      </c>
      <c r="V83" s="4786">
        <f t="shared" si="158"/>
        <v>-11.343347953055289</v>
      </c>
      <c r="W83" s="4737">
        <f>SUM('Произв. прогр. Стоки'!V102)</f>
        <v>5.3811159843517631</v>
      </c>
      <c r="X83" s="4738"/>
      <c r="Y83" s="4738"/>
      <c r="Z83" s="4738"/>
      <c r="AA83" s="4743">
        <f t="shared" si="152"/>
        <v>0</v>
      </c>
      <c r="AB83" s="4786">
        <f t="shared" si="139"/>
        <v>21.524463937407052</v>
      </c>
      <c r="AC83" s="4786">
        <f t="shared" si="140"/>
        <v>4.8</v>
      </c>
      <c r="AD83" s="4786">
        <f t="shared" si="159"/>
        <v>-16.724463937407052</v>
      </c>
    </row>
    <row r="84" spans="1:30" ht="18.75" customHeight="1">
      <c r="A84" s="4790" t="s">
        <v>606</v>
      </c>
      <c r="B84" s="4737">
        <f>SUM('Произв. прогр. Стоки'!H103)</f>
        <v>10.102781480425122</v>
      </c>
      <c r="C84" s="4737">
        <f>SUM(C85)</f>
        <v>0.15</v>
      </c>
      <c r="D84" s="4737">
        <f t="shared" ref="D84:F84" si="160">SUM(D85)</f>
        <v>0</v>
      </c>
      <c r="E84" s="4737">
        <f t="shared" si="160"/>
        <v>1.6</v>
      </c>
      <c r="F84" s="4737">
        <f t="shared" si="160"/>
        <v>1.75</v>
      </c>
      <c r="G84" s="4737">
        <f>SUM('Произв. прогр. Стоки'!L103)</f>
        <v>10.102781480425122</v>
      </c>
      <c r="H84" s="4737">
        <f>SUM(H85)</f>
        <v>1.81</v>
      </c>
      <c r="I84" s="4737">
        <f t="shared" ref="I84:K84" si="161">SUM(I85)</f>
        <v>0</v>
      </c>
      <c r="J84" s="4737">
        <f t="shared" si="161"/>
        <v>0</v>
      </c>
      <c r="K84" s="4737">
        <f t="shared" si="161"/>
        <v>1.81</v>
      </c>
      <c r="L84" s="4786">
        <f t="shared" si="133"/>
        <v>20.205562960850244</v>
      </c>
      <c r="M84" s="4786">
        <f t="shared" si="134"/>
        <v>3.56</v>
      </c>
      <c r="N84" s="4786">
        <f t="shared" si="157"/>
        <v>-16.645562960850246</v>
      </c>
      <c r="O84" s="4737">
        <f>SUM('Произв. прогр. Стоки'!Q103)</f>
        <v>10.102781480425122</v>
      </c>
      <c r="P84" s="4737">
        <f>SUM(P85)</f>
        <v>0</v>
      </c>
      <c r="Q84" s="4737">
        <f t="shared" ref="Q84:S84" si="162">SUM(Q85)</f>
        <v>0</v>
      </c>
      <c r="R84" s="4737">
        <f t="shared" si="162"/>
        <v>0</v>
      </c>
      <c r="S84" s="4737">
        <f t="shared" si="162"/>
        <v>0</v>
      </c>
      <c r="T84" s="4786">
        <f t="shared" si="136"/>
        <v>30.308344441275366</v>
      </c>
      <c r="U84" s="4786">
        <f t="shared" si="137"/>
        <v>3.56</v>
      </c>
      <c r="V84" s="4786">
        <f t="shared" si="158"/>
        <v>-26.748344441275368</v>
      </c>
      <c r="W84" s="4737">
        <f>SUM('Произв. прогр. Стоки'!V103)</f>
        <v>10.102781480425122</v>
      </c>
      <c r="X84" s="4737">
        <f>SUM(X85)</f>
        <v>0</v>
      </c>
      <c r="Y84" s="4737">
        <f t="shared" ref="Y84:AA84" si="163">SUM(Y85)</f>
        <v>0</v>
      </c>
      <c r="Z84" s="4737">
        <f t="shared" si="163"/>
        <v>0</v>
      </c>
      <c r="AA84" s="4737">
        <f t="shared" si="163"/>
        <v>0</v>
      </c>
      <c r="AB84" s="4786">
        <f t="shared" si="139"/>
        <v>40.411125921700489</v>
      </c>
      <c r="AC84" s="4786">
        <f t="shared" si="140"/>
        <v>3.56</v>
      </c>
      <c r="AD84" s="4786">
        <f t="shared" si="159"/>
        <v>-36.851125921700486</v>
      </c>
    </row>
    <row r="85" spans="1:30" ht="18.75" customHeight="1">
      <c r="A85" s="4700" t="s">
        <v>564</v>
      </c>
      <c r="B85" s="4752">
        <f>SUM('Произв. прогр. Стоки'!H104)</f>
        <v>10.102781480425122</v>
      </c>
      <c r="C85" s="4751">
        <v>0.15</v>
      </c>
      <c r="D85" s="4751"/>
      <c r="E85" s="4751">
        <v>1.6</v>
      </c>
      <c r="F85" s="4748">
        <f t="shared" si="97"/>
        <v>1.75</v>
      </c>
      <c r="G85" s="4752">
        <f>SUM('Произв. прогр. Стоки'!L104)</f>
        <v>10.102781480425122</v>
      </c>
      <c r="H85" s="4751">
        <v>1.81</v>
      </c>
      <c r="I85" s="4751"/>
      <c r="J85" s="4751"/>
      <c r="K85" s="4748">
        <f t="shared" ref="K85" si="164">SUM(H85:J85)</f>
        <v>1.81</v>
      </c>
      <c r="L85" s="4791">
        <f t="shared" si="133"/>
        <v>20.205562960850244</v>
      </c>
      <c r="M85" s="4882">
        <f t="shared" si="134"/>
        <v>3.56</v>
      </c>
      <c r="N85" s="4791">
        <f t="shared" si="157"/>
        <v>-16.645562960850246</v>
      </c>
      <c r="O85" s="4752">
        <f>SUM('Произв. прогр. Стоки'!Q104)</f>
        <v>10.102781480425122</v>
      </c>
      <c r="P85" s="4751"/>
      <c r="Q85" s="4751"/>
      <c r="R85" s="4751"/>
      <c r="S85" s="4748">
        <f t="shared" ref="S85" si="165">SUM(P85:R85)</f>
        <v>0</v>
      </c>
      <c r="T85" s="4791">
        <f t="shared" si="136"/>
        <v>30.308344441275366</v>
      </c>
      <c r="U85" s="4791">
        <f t="shared" si="137"/>
        <v>3.56</v>
      </c>
      <c r="V85" s="4791">
        <f t="shared" si="158"/>
        <v>-26.748344441275368</v>
      </c>
      <c r="W85" s="4752">
        <f>SUM('Произв. прогр. Стоки'!V104)</f>
        <v>10.102781480425122</v>
      </c>
      <c r="X85" s="4751"/>
      <c r="Y85" s="4751"/>
      <c r="Z85" s="4751"/>
      <c r="AA85" s="4748">
        <f t="shared" ref="AA85" si="166">SUM(X85:Z85)</f>
        <v>0</v>
      </c>
      <c r="AB85" s="4791">
        <f t="shared" si="139"/>
        <v>40.411125921700489</v>
      </c>
      <c r="AC85" s="4791">
        <f t="shared" si="140"/>
        <v>3.56</v>
      </c>
      <c r="AD85" s="4791">
        <f t="shared" si="159"/>
        <v>-36.851125921700486</v>
      </c>
    </row>
    <row r="86" spans="1:30" ht="18.75" customHeight="1">
      <c r="A86" s="4790" t="s">
        <v>609</v>
      </c>
      <c r="B86" s="4737">
        <f>SUM('Произв. прогр. Стоки'!H105)</f>
        <v>0</v>
      </c>
      <c r="C86" s="4737">
        <f>SUM(C87)</f>
        <v>0</v>
      </c>
      <c r="D86" s="4737">
        <f t="shared" ref="D86:F86" si="167">SUM(D87)</f>
        <v>0</v>
      </c>
      <c r="E86" s="4737">
        <f t="shared" si="167"/>
        <v>0</v>
      </c>
      <c r="F86" s="4737">
        <f t="shared" si="167"/>
        <v>0</v>
      </c>
      <c r="G86" s="4737">
        <f>SUM('Произв. прогр. Стоки'!L105)</f>
        <v>0</v>
      </c>
      <c r="H86" s="4737">
        <f>SUM(H87)</f>
        <v>0</v>
      </c>
      <c r="I86" s="4737">
        <f t="shared" ref="I86:K86" si="168">SUM(I87)</f>
        <v>0</v>
      </c>
      <c r="J86" s="4737">
        <f t="shared" si="168"/>
        <v>0</v>
      </c>
      <c r="K86" s="4737">
        <f t="shared" si="168"/>
        <v>0</v>
      </c>
      <c r="L86" s="4786">
        <f t="shared" si="133"/>
        <v>0</v>
      </c>
      <c r="M86" s="4786">
        <f t="shared" si="134"/>
        <v>0</v>
      </c>
      <c r="N86" s="4786">
        <f t="shared" si="157"/>
        <v>0</v>
      </c>
      <c r="O86" s="4737">
        <f>SUM('Произв. прогр. Стоки'!Q105)</f>
        <v>0</v>
      </c>
      <c r="P86" s="4737">
        <f>SUM(P87)</f>
        <v>0</v>
      </c>
      <c r="Q86" s="4737">
        <f t="shared" ref="Q86:S86" si="169">SUM(Q87)</f>
        <v>0</v>
      </c>
      <c r="R86" s="4737">
        <f t="shared" si="169"/>
        <v>0</v>
      </c>
      <c r="S86" s="4737">
        <f t="shared" si="169"/>
        <v>0</v>
      </c>
      <c r="T86" s="4786">
        <f t="shared" si="136"/>
        <v>0</v>
      </c>
      <c r="U86" s="4786">
        <f t="shared" si="137"/>
        <v>0</v>
      </c>
      <c r="V86" s="4786">
        <f t="shared" si="158"/>
        <v>0</v>
      </c>
      <c r="W86" s="4737">
        <f>SUM('Произв. прогр. Стоки'!V105)</f>
        <v>0</v>
      </c>
      <c r="X86" s="4737">
        <f>SUM(X87)</f>
        <v>0</v>
      </c>
      <c r="Y86" s="4737">
        <f t="shared" ref="Y86:AA86" si="170">SUM(Y87)</f>
        <v>0</v>
      </c>
      <c r="Z86" s="4737">
        <f t="shared" si="170"/>
        <v>0</v>
      </c>
      <c r="AA86" s="4737">
        <f t="shared" si="170"/>
        <v>0</v>
      </c>
      <c r="AB86" s="4786">
        <f t="shared" si="139"/>
        <v>0</v>
      </c>
      <c r="AC86" s="4786">
        <f t="shared" si="140"/>
        <v>0</v>
      </c>
      <c r="AD86" s="4786">
        <f t="shared" si="159"/>
        <v>0</v>
      </c>
    </row>
    <row r="87" spans="1:30" ht="18.75" customHeight="1">
      <c r="A87" s="4700" t="s">
        <v>613</v>
      </c>
      <c r="B87" s="4752">
        <f>SUM('Произв. прогр. Стоки'!H106)</f>
        <v>0</v>
      </c>
      <c r="C87" s="4751"/>
      <c r="D87" s="4751"/>
      <c r="E87" s="4751"/>
      <c r="F87" s="4748">
        <f t="shared" si="97"/>
        <v>0</v>
      </c>
      <c r="G87" s="4752">
        <f>SUM('Произв. прогр. Стоки'!L106)</f>
        <v>0</v>
      </c>
      <c r="H87" s="4751"/>
      <c r="I87" s="4751"/>
      <c r="J87" s="4751"/>
      <c r="K87" s="4748">
        <f t="shared" ref="K87" si="171">SUM(H87:J87)</f>
        <v>0</v>
      </c>
      <c r="L87" s="4791">
        <f t="shared" si="133"/>
        <v>0</v>
      </c>
      <c r="M87" s="4791">
        <f t="shared" si="134"/>
        <v>0</v>
      </c>
      <c r="N87" s="4791">
        <f t="shared" si="157"/>
        <v>0</v>
      </c>
      <c r="O87" s="4752">
        <f>SUM('Произв. прогр. Стоки'!Q106)</f>
        <v>0</v>
      </c>
      <c r="P87" s="4751"/>
      <c r="Q87" s="4751"/>
      <c r="R87" s="4751"/>
      <c r="S87" s="4748">
        <f t="shared" ref="S87" si="172">SUM(P87:R87)</f>
        <v>0</v>
      </c>
      <c r="T87" s="4791">
        <f t="shared" si="136"/>
        <v>0</v>
      </c>
      <c r="U87" s="4791">
        <f t="shared" si="137"/>
        <v>0</v>
      </c>
      <c r="V87" s="4791">
        <f t="shared" si="158"/>
        <v>0</v>
      </c>
      <c r="W87" s="4752">
        <f>SUM('Произв. прогр. Стоки'!V106)</f>
        <v>0</v>
      </c>
      <c r="X87" s="4751"/>
      <c r="Y87" s="4751"/>
      <c r="Z87" s="4751"/>
      <c r="AA87" s="4748">
        <f t="shared" ref="AA87" si="173">SUM(X87:Z87)</f>
        <v>0</v>
      </c>
      <c r="AB87" s="4791">
        <f t="shared" si="139"/>
        <v>0</v>
      </c>
      <c r="AC87" s="4791">
        <f t="shared" si="140"/>
        <v>0</v>
      </c>
      <c r="AD87" s="4791">
        <f t="shared" si="159"/>
        <v>0</v>
      </c>
    </row>
    <row r="88" spans="1:30" ht="18.75" customHeight="1">
      <c r="A88" s="4721" t="s">
        <v>541</v>
      </c>
      <c r="B88" s="4760">
        <f>SUM('Произв. прогр. Стоки'!H107)</f>
        <v>3470.714270575832</v>
      </c>
      <c r="C88" s="4760">
        <f>SUM(C89:C93)+C95</f>
        <v>999.27</v>
      </c>
      <c r="D88" s="4760">
        <f t="shared" ref="D88:F88" si="174">SUM(D89:D93)+D95</f>
        <v>1034.42</v>
      </c>
      <c r="E88" s="4760">
        <f t="shared" si="174"/>
        <v>1099.77</v>
      </c>
      <c r="F88" s="4760">
        <f t="shared" si="174"/>
        <v>3133.4600000000005</v>
      </c>
      <c r="G88" s="4760">
        <f>SUM('Произв. прогр. Стоки'!L107)</f>
        <v>3470.9361741996927</v>
      </c>
      <c r="H88" s="4760">
        <f>SUM(H89:H93)+H95</f>
        <v>1092.3600000000001</v>
      </c>
      <c r="I88" s="4760">
        <f t="shared" ref="I88" si="175">SUM(I89:I93)+I95</f>
        <v>1135.69</v>
      </c>
      <c r="J88" s="4760">
        <f>SUM(J89:J93)+J95</f>
        <v>1142.57</v>
      </c>
      <c r="K88" s="4760">
        <f t="shared" ref="K88" si="176">SUM(K89:K93)+K95</f>
        <v>3370.62</v>
      </c>
      <c r="L88" s="4779">
        <f t="shared" si="133"/>
        <v>6941.6504447755251</v>
      </c>
      <c r="M88" s="4779">
        <f t="shared" si="134"/>
        <v>6504.08</v>
      </c>
      <c r="N88" s="4779">
        <f t="shared" si="157"/>
        <v>-437.57044477552517</v>
      </c>
      <c r="O88" s="4760">
        <f>SUM('Произв. прогр. Стоки'!Q107)</f>
        <v>3574.8147947866009</v>
      </c>
      <c r="P88" s="4760">
        <f>SUM(P89:P93)+P95</f>
        <v>0</v>
      </c>
      <c r="Q88" s="4760">
        <f t="shared" ref="Q88" si="177">SUM(Q89:Q93)+Q95</f>
        <v>0</v>
      </c>
      <c r="R88" s="4760">
        <f t="shared" ref="R88" si="178">SUM(R89:R93)+R95</f>
        <v>0</v>
      </c>
      <c r="S88" s="4760">
        <f t="shared" ref="S88" si="179">SUM(S89:S93)+S95</f>
        <v>0</v>
      </c>
      <c r="T88" s="4779">
        <f t="shared" si="136"/>
        <v>10516.465239562127</v>
      </c>
      <c r="U88" s="4779">
        <f t="shared" si="137"/>
        <v>6504.08</v>
      </c>
      <c r="V88" s="4779">
        <f t="shared" si="158"/>
        <v>-4012.385239562127</v>
      </c>
      <c r="W88" s="4760">
        <f>SUM('Произв. прогр. Стоки'!V107)</f>
        <v>3574.4378024761745</v>
      </c>
      <c r="X88" s="4760">
        <f>SUM(X89:X93)+X95</f>
        <v>0</v>
      </c>
      <c r="Y88" s="4760">
        <f t="shared" ref="Y88" si="180">SUM(Y89:Y93)+Y95</f>
        <v>0</v>
      </c>
      <c r="Z88" s="4760">
        <f t="shared" ref="Z88" si="181">SUM(Z89:Z93)+Z95</f>
        <v>0</v>
      </c>
      <c r="AA88" s="4760">
        <f t="shared" ref="AA88" si="182">SUM(AA89:AA93)+AA95</f>
        <v>0</v>
      </c>
      <c r="AB88" s="4779">
        <f t="shared" si="139"/>
        <v>14090.903042038302</v>
      </c>
      <c r="AC88" s="4779">
        <f t="shared" si="140"/>
        <v>6504.08</v>
      </c>
      <c r="AD88" s="4779">
        <f t="shared" si="159"/>
        <v>-7586.8230420383024</v>
      </c>
    </row>
    <row r="89" spans="1:30" ht="18.75" customHeight="1">
      <c r="A89" s="4620" t="s">
        <v>2</v>
      </c>
      <c r="B89" s="4737">
        <f>SUM('Произв. прогр. Стоки'!H108)</f>
        <v>978.22</v>
      </c>
      <c r="C89" s="4738">
        <v>328.12</v>
      </c>
      <c r="D89" s="4738">
        <v>328.12</v>
      </c>
      <c r="E89" s="4738">
        <v>328.12</v>
      </c>
      <c r="F89" s="4743">
        <f t="shared" si="97"/>
        <v>984.36</v>
      </c>
      <c r="G89" s="4737">
        <f>SUM('Произв. прогр. Стоки'!L108)</f>
        <v>978.22</v>
      </c>
      <c r="H89" s="4738">
        <v>328.12</v>
      </c>
      <c r="I89" s="4738">
        <v>328.11</v>
      </c>
      <c r="J89" s="4738">
        <v>328.12</v>
      </c>
      <c r="K89" s="4743">
        <f t="shared" ref="K89:K93" si="183">SUM(H89:J89)</f>
        <v>984.35</v>
      </c>
      <c r="L89" s="4786">
        <f t="shared" si="133"/>
        <v>1956.44</v>
      </c>
      <c r="M89" s="4786">
        <f t="shared" si="134"/>
        <v>1968.71</v>
      </c>
      <c r="N89" s="4786">
        <f t="shared" si="157"/>
        <v>12.269999999999982</v>
      </c>
      <c r="O89" s="4737">
        <f>SUM('Произв. прогр. Стоки'!Q108)</f>
        <v>978.22</v>
      </c>
      <c r="P89" s="4738"/>
      <c r="Q89" s="4738"/>
      <c r="R89" s="4751"/>
      <c r="S89" s="4743">
        <f t="shared" ref="S89:S93" si="184">SUM(P89:R89)</f>
        <v>0</v>
      </c>
      <c r="T89" s="4786">
        <f t="shared" si="136"/>
        <v>2934.66</v>
      </c>
      <c r="U89" s="4786">
        <f t="shared" si="137"/>
        <v>1968.71</v>
      </c>
      <c r="V89" s="4786">
        <f t="shared" si="158"/>
        <v>-965.94999999999982</v>
      </c>
      <c r="W89" s="4737">
        <f>SUM('Произв. прогр. Стоки'!V108)</f>
        <v>978.22</v>
      </c>
      <c r="X89" s="4738"/>
      <c r="Y89" s="4738"/>
      <c r="Z89" s="4738"/>
      <c r="AA89" s="4743">
        <f t="shared" ref="AA89:AA93" si="185">SUM(X89:Z89)</f>
        <v>0</v>
      </c>
      <c r="AB89" s="4786">
        <f t="shared" si="139"/>
        <v>3912.88</v>
      </c>
      <c r="AC89" s="4786">
        <f t="shared" si="140"/>
        <v>1968.71</v>
      </c>
      <c r="AD89" s="4786">
        <f t="shared" si="159"/>
        <v>-1944.17</v>
      </c>
    </row>
    <row r="90" spans="1:30" ht="18.75" customHeight="1">
      <c r="A90" s="4753" t="s">
        <v>2046</v>
      </c>
      <c r="B90" s="4737">
        <f>SUM('Произв. прогр. Стоки'!H109)</f>
        <v>0</v>
      </c>
      <c r="C90" s="4738"/>
      <c r="D90" s="4738"/>
      <c r="E90" s="4738"/>
      <c r="F90" s="4743">
        <f t="shared" si="97"/>
        <v>0</v>
      </c>
      <c r="G90" s="4737">
        <f>SUM('Произв. прогр. Стоки'!L109)</f>
        <v>0</v>
      </c>
      <c r="H90" s="4738"/>
      <c r="I90" s="4738"/>
      <c r="J90" s="4738"/>
      <c r="K90" s="4743">
        <f t="shared" si="183"/>
        <v>0</v>
      </c>
      <c r="L90" s="4786">
        <f t="shared" si="133"/>
        <v>0</v>
      </c>
      <c r="M90" s="4786">
        <f t="shared" si="134"/>
        <v>0</v>
      </c>
      <c r="N90" s="4786">
        <f t="shared" si="157"/>
        <v>0</v>
      </c>
      <c r="O90" s="4737">
        <f>SUM('Произв. прогр. Стоки'!Q109)</f>
        <v>0</v>
      </c>
      <c r="P90" s="4738"/>
      <c r="Q90" s="4738"/>
      <c r="R90" s="4738"/>
      <c r="S90" s="4743">
        <f t="shared" si="184"/>
        <v>0</v>
      </c>
      <c r="T90" s="4786">
        <f t="shared" si="136"/>
        <v>0</v>
      </c>
      <c r="U90" s="4786">
        <f t="shared" si="137"/>
        <v>0</v>
      </c>
      <c r="V90" s="4786">
        <f t="shared" si="158"/>
        <v>0</v>
      </c>
      <c r="W90" s="4737">
        <f>SUM('Произв. прогр. Стоки'!V109)</f>
        <v>0</v>
      </c>
      <c r="X90" s="4738"/>
      <c r="Y90" s="4738"/>
      <c r="Z90" s="4738"/>
      <c r="AA90" s="4743">
        <f t="shared" si="185"/>
        <v>0</v>
      </c>
      <c r="AB90" s="4786">
        <f t="shared" si="139"/>
        <v>0</v>
      </c>
      <c r="AC90" s="4786">
        <f t="shared" si="140"/>
        <v>0</v>
      </c>
      <c r="AD90" s="4786">
        <f t="shared" si="159"/>
        <v>0</v>
      </c>
    </row>
    <row r="91" spans="1:30" ht="18.75" customHeight="1">
      <c r="A91" s="4620" t="s">
        <v>3</v>
      </c>
      <c r="B91" s="4737">
        <f>SUM('Произв. прогр. Стоки'!H110)</f>
        <v>47.10412327850694</v>
      </c>
      <c r="C91" s="4738">
        <v>8.08</v>
      </c>
      <c r="D91" s="4738">
        <v>9.98</v>
      </c>
      <c r="E91" s="4738">
        <v>34.950000000000003</v>
      </c>
      <c r="F91" s="4743">
        <f t="shared" si="97"/>
        <v>53.010000000000005</v>
      </c>
      <c r="G91" s="4737">
        <f>SUM('Произв. прогр. Стоки'!L110)</f>
        <v>47.10412327850694</v>
      </c>
      <c r="H91" s="4738">
        <v>30.75</v>
      </c>
      <c r="I91" s="4738">
        <v>11.78</v>
      </c>
      <c r="J91" s="4738">
        <v>10.95</v>
      </c>
      <c r="K91" s="4743">
        <f t="shared" si="183"/>
        <v>53.480000000000004</v>
      </c>
      <c r="L91" s="4786">
        <f t="shared" si="133"/>
        <v>94.208246557013879</v>
      </c>
      <c r="M91" s="4786">
        <f t="shared" si="134"/>
        <v>106.49000000000001</v>
      </c>
      <c r="N91" s="4786">
        <f t="shared" si="157"/>
        <v>12.28175344298613</v>
      </c>
      <c r="O91" s="4737">
        <f>SUM('Произв. прогр. Стоки'!Q110)</f>
        <v>47.10412327850694</v>
      </c>
      <c r="P91" s="4738"/>
      <c r="Q91" s="4738"/>
      <c r="R91" s="4738"/>
      <c r="S91" s="4743">
        <f t="shared" si="184"/>
        <v>0</v>
      </c>
      <c r="T91" s="4786">
        <f t="shared" si="136"/>
        <v>141.31236983552083</v>
      </c>
      <c r="U91" s="4786">
        <f t="shared" si="137"/>
        <v>106.49000000000001</v>
      </c>
      <c r="V91" s="4786">
        <f t="shared" si="158"/>
        <v>-34.822369835520817</v>
      </c>
      <c r="W91" s="4737">
        <f>SUM('Произв. прогр. Стоки'!V110)</f>
        <v>47.10412327850694</v>
      </c>
      <c r="X91" s="4738"/>
      <c r="Y91" s="4738"/>
      <c r="Z91" s="4738"/>
      <c r="AA91" s="4743">
        <f t="shared" si="185"/>
        <v>0</v>
      </c>
      <c r="AB91" s="4786">
        <f t="shared" si="139"/>
        <v>188.41649311402776</v>
      </c>
      <c r="AC91" s="4786">
        <f t="shared" si="140"/>
        <v>106.49000000000001</v>
      </c>
      <c r="AD91" s="4786">
        <f t="shared" si="159"/>
        <v>-81.92649311402775</v>
      </c>
    </row>
    <row r="92" spans="1:30" ht="18.75" customHeight="1">
      <c r="A92" s="4620" t="s">
        <v>4</v>
      </c>
      <c r="B92" s="4737">
        <f>SUM('Произв. прогр. Стоки'!H111)</f>
        <v>1425.4167247743248</v>
      </c>
      <c r="C92" s="4738">
        <v>311.43</v>
      </c>
      <c r="D92" s="4738">
        <v>353.49</v>
      </c>
      <c r="E92" s="4738">
        <v>391.68</v>
      </c>
      <c r="F92" s="4743">
        <f t="shared" si="97"/>
        <v>1056.6000000000001</v>
      </c>
      <c r="G92" s="4737">
        <f>SUM('Произв. прогр. Стоки'!L111)</f>
        <v>1425.4167247743248</v>
      </c>
      <c r="H92" s="4738">
        <v>365.22</v>
      </c>
      <c r="I92" s="4738">
        <v>372.61</v>
      </c>
      <c r="J92" s="4738">
        <v>405.53</v>
      </c>
      <c r="K92" s="4743">
        <f t="shared" si="183"/>
        <v>1143.3600000000001</v>
      </c>
      <c r="L92" s="4786">
        <f t="shared" si="133"/>
        <v>2850.8334495486497</v>
      </c>
      <c r="M92" s="4786">
        <f t="shared" si="134"/>
        <v>2199.96</v>
      </c>
      <c r="N92" s="4786">
        <f t="shared" si="157"/>
        <v>-650.87344954864966</v>
      </c>
      <c r="O92" s="4737">
        <f>SUM('Произв. прогр. Стоки'!Q111)</f>
        <v>1482.4333937652978</v>
      </c>
      <c r="P92" s="4738"/>
      <c r="Q92" s="4738"/>
      <c r="R92" s="4738"/>
      <c r="S92" s="4743">
        <f t="shared" si="184"/>
        <v>0</v>
      </c>
      <c r="T92" s="4786">
        <f t="shared" si="136"/>
        <v>4333.2668433139479</v>
      </c>
      <c r="U92" s="4786">
        <f t="shared" si="137"/>
        <v>2199.96</v>
      </c>
      <c r="V92" s="4786">
        <f t="shared" si="158"/>
        <v>-2133.3068433139479</v>
      </c>
      <c r="W92" s="4737">
        <f>SUM('Произв. прогр. Стоки'!V111)</f>
        <v>1482.4333937652978</v>
      </c>
      <c r="X92" s="4738"/>
      <c r="Y92" s="4738"/>
      <c r="Z92" s="4738"/>
      <c r="AA92" s="4743">
        <f t="shared" si="185"/>
        <v>0</v>
      </c>
      <c r="AB92" s="4786">
        <f t="shared" si="139"/>
        <v>5815.7002370792452</v>
      </c>
      <c r="AC92" s="4786">
        <f t="shared" si="140"/>
        <v>2199.96</v>
      </c>
      <c r="AD92" s="4786">
        <f t="shared" si="159"/>
        <v>-3615.7402370792452</v>
      </c>
    </row>
    <row r="93" spans="1:30" ht="18.75" customHeight="1">
      <c r="A93" s="4620" t="s">
        <v>121</v>
      </c>
      <c r="B93" s="4737">
        <f>SUM('Произв. прогр. Стоки'!H112)</f>
        <v>425.34435067265861</v>
      </c>
      <c r="C93" s="4738">
        <v>94.48</v>
      </c>
      <c r="D93" s="4738">
        <v>107.21</v>
      </c>
      <c r="E93" s="4738">
        <v>118.15</v>
      </c>
      <c r="F93" s="4743">
        <f t="shared" si="97"/>
        <v>319.84000000000003</v>
      </c>
      <c r="G93" s="4737">
        <f>SUM('Произв. прогр. Стоки'!L112)</f>
        <v>425.34435067265861</v>
      </c>
      <c r="H93" s="4738">
        <v>111.85</v>
      </c>
      <c r="I93" s="4738">
        <v>113.16</v>
      </c>
      <c r="J93" s="4738">
        <v>125.44</v>
      </c>
      <c r="K93" s="4743">
        <f t="shared" si="183"/>
        <v>350.45</v>
      </c>
      <c r="L93" s="4786">
        <f t="shared" si="133"/>
        <v>850.68870134531721</v>
      </c>
      <c r="M93" s="4786">
        <f t="shared" si="134"/>
        <v>670.29</v>
      </c>
      <c r="N93" s="4786">
        <f t="shared" si="157"/>
        <v>-180.39870134531725</v>
      </c>
      <c r="O93" s="4737">
        <f>SUM('Произв. прогр. Стоки'!Q112)</f>
        <v>442.35812469956483</v>
      </c>
      <c r="P93" s="4738"/>
      <c r="Q93" s="4738"/>
      <c r="R93" s="4738"/>
      <c r="S93" s="4743">
        <f t="shared" si="184"/>
        <v>0</v>
      </c>
      <c r="T93" s="4786">
        <f t="shared" si="136"/>
        <v>1293.046826044882</v>
      </c>
      <c r="U93" s="4786">
        <f t="shared" si="137"/>
        <v>670.29</v>
      </c>
      <c r="V93" s="4786">
        <f t="shared" si="158"/>
        <v>-622.75682604488202</v>
      </c>
      <c r="W93" s="4737">
        <f>SUM('Произв. прогр. Стоки'!V112)</f>
        <v>442.35812469956483</v>
      </c>
      <c r="X93" s="4738"/>
      <c r="Y93" s="4738"/>
      <c r="Z93" s="4738"/>
      <c r="AA93" s="4743">
        <f t="shared" si="185"/>
        <v>0</v>
      </c>
      <c r="AB93" s="4786">
        <f t="shared" si="139"/>
        <v>1735.4049507444468</v>
      </c>
      <c r="AC93" s="4786">
        <f t="shared" si="140"/>
        <v>670.29</v>
      </c>
      <c r="AD93" s="4786">
        <f t="shared" si="159"/>
        <v>-1065.1149507444468</v>
      </c>
    </row>
    <row r="94" spans="1:30" ht="18.75" customHeight="1">
      <c r="A94" s="4728" t="str">
        <f>A73</f>
        <v>то же в %</v>
      </c>
      <c r="B94" s="4740">
        <f>SUM('Произв. прогр. Стоки'!H113)</f>
        <v>0.29840000000000005</v>
      </c>
      <c r="C94" s="4740">
        <f>SUM(C93/C92)</f>
        <v>0.30337475516167356</v>
      </c>
      <c r="D94" s="4740">
        <f t="shared" ref="D94:F94" si="186">SUM(D93/D92)</f>
        <v>0.30329005063792469</v>
      </c>
      <c r="E94" s="4740">
        <f t="shared" si="186"/>
        <v>0.30164930555555558</v>
      </c>
      <c r="F94" s="4740">
        <f t="shared" si="186"/>
        <v>0.30270679538141204</v>
      </c>
      <c r="G94" s="4740">
        <f>SUM('Произв. прогр. Стоки'!L113)</f>
        <v>0.29840000000000005</v>
      </c>
      <c r="H94" s="4740">
        <f>SUM(H93/H92)</f>
        <v>0.30625376485406053</v>
      </c>
      <c r="I94" s="4740">
        <f t="shared" ref="I94:M94" si="187">SUM(I93/I92)</f>
        <v>0.30369555299106304</v>
      </c>
      <c r="J94" s="4740">
        <f t="shared" si="187"/>
        <v>0.30932360121322716</v>
      </c>
      <c r="K94" s="4740">
        <f t="shared" si="187"/>
        <v>0.30650888609012028</v>
      </c>
      <c r="L94" s="4741">
        <f t="shared" si="187"/>
        <v>0.29840000000000005</v>
      </c>
      <c r="M94" s="4741">
        <f t="shared" si="187"/>
        <v>0.30468281241477113</v>
      </c>
      <c r="N94" s="4789">
        <f t="shared" si="157"/>
        <v>6.2828124147710773E-3</v>
      </c>
      <c r="O94" s="4740">
        <f>SUM('Произв. прогр. Стоки'!Q113)</f>
        <v>0.2984</v>
      </c>
      <c r="P94" s="4740" t="e">
        <f>SUM(P93/P92)</f>
        <v>#DIV/0!</v>
      </c>
      <c r="Q94" s="4740" t="e">
        <f t="shared" ref="Q94:S94" si="188">SUM(Q93/Q92)</f>
        <v>#DIV/0!</v>
      </c>
      <c r="R94" s="4740" t="e">
        <f t="shared" si="188"/>
        <v>#DIV/0!</v>
      </c>
      <c r="S94" s="4740" t="e">
        <f t="shared" si="188"/>
        <v>#DIV/0!</v>
      </c>
      <c r="T94" s="4741">
        <f>SUM(T93/T92)</f>
        <v>0.2984</v>
      </c>
      <c r="U94" s="4741">
        <f>SUM(U93/U92)</f>
        <v>0.30468281241477113</v>
      </c>
      <c r="V94" s="4789">
        <f t="shared" si="158"/>
        <v>6.2828124147711328E-3</v>
      </c>
      <c r="W94" s="4740">
        <f>SUM('Произв. прогр. Стоки'!V113)</f>
        <v>0.2984</v>
      </c>
      <c r="X94" s="4740" t="e">
        <f>SUM(X93/X92)</f>
        <v>#DIV/0!</v>
      </c>
      <c r="Y94" s="4740" t="e">
        <f t="shared" ref="Y94:AC94" si="189">SUM(Y93/Y92)</f>
        <v>#DIV/0!</v>
      </c>
      <c r="Z94" s="4740" t="e">
        <f t="shared" si="189"/>
        <v>#DIV/0!</v>
      </c>
      <c r="AA94" s="4740" t="e">
        <f t="shared" si="189"/>
        <v>#DIV/0!</v>
      </c>
      <c r="AB94" s="4741">
        <f t="shared" si="189"/>
        <v>0.2984</v>
      </c>
      <c r="AC94" s="4741">
        <f t="shared" si="189"/>
        <v>0.30468281241477113</v>
      </c>
      <c r="AD94" s="4789">
        <f t="shared" si="159"/>
        <v>6.2828124147711328E-3</v>
      </c>
    </row>
    <row r="95" spans="1:30" ht="18.75" customHeight="1">
      <c r="A95" s="4597" t="s">
        <v>1723</v>
      </c>
      <c r="B95" s="4760">
        <f>SUM('Произв. прогр. Стоки'!H114)</f>
        <v>594.62907185034192</v>
      </c>
      <c r="C95" s="4760">
        <f>SUM(C96:C100)+C102</f>
        <v>257.15999999999997</v>
      </c>
      <c r="D95" s="4760">
        <f t="shared" ref="D95:F95" si="190">SUM(D96:D100)+D102</f>
        <v>235.62000000000003</v>
      </c>
      <c r="E95" s="4760">
        <f t="shared" si="190"/>
        <v>226.86999999999998</v>
      </c>
      <c r="F95" s="4760">
        <f t="shared" si="190"/>
        <v>719.65</v>
      </c>
      <c r="G95" s="4760">
        <f>SUM('Произв. прогр. Стоки'!L114)</f>
        <v>594.85097547420207</v>
      </c>
      <c r="H95" s="4760">
        <f>SUM(H96:H100)+H102</f>
        <v>256.42</v>
      </c>
      <c r="I95" s="4760">
        <f t="shared" ref="I95" si="191">SUM(I96:I100)+I102</f>
        <v>310.02999999999997</v>
      </c>
      <c r="J95" s="4760">
        <f>SUM(J96:J100)+J102</f>
        <v>272.53000000000003</v>
      </c>
      <c r="K95" s="4760">
        <f t="shared" ref="K95" si="192">SUM(K96:K100)+K102</f>
        <v>838.98</v>
      </c>
      <c r="L95" s="4779">
        <f t="shared" ref="L95:L120" si="193">SUM(G95+B95)</f>
        <v>1189.4800473245441</v>
      </c>
      <c r="M95" s="4779">
        <f t="shared" ref="M95:M120" si="194">SUM(K95+F95)</f>
        <v>1558.63</v>
      </c>
      <c r="N95" s="4779">
        <f t="shared" si="157"/>
        <v>369.14995267545601</v>
      </c>
      <c r="O95" s="4760">
        <f>SUM('Произв. прогр. Стоки'!Q114)</f>
        <v>624.69915304323149</v>
      </c>
      <c r="P95" s="4760">
        <f>SUM(P96:P100)+P102</f>
        <v>0</v>
      </c>
      <c r="Q95" s="4760">
        <f t="shared" ref="Q95" si="195">SUM(Q96:Q100)+Q102</f>
        <v>0</v>
      </c>
      <c r="R95" s="4760">
        <f t="shared" ref="R95" si="196">SUM(R96:R100)+R102</f>
        <v>0</v>
      </c>
      <c r="S95" s="4760">
        <f t="shared" ref="S95" si="197">SUM(S96:S100)+S102</f>
        <v>0</v>
      </c>
      <c r="T95" s="4779">
        <f t="shared" ref="T95:T119" si="198">SUM(L95+O95)</f>
        <v>1814.1792003677756</v>
      </c>
      <c r="U95" s="4779">
        <f t="shared" ref="U95:U120" si="199">SUM(M95+S95)</f>
        <v>1558.63</v>
      </c>
      <c r="V95" s="4779">
        <f t="shared" si="158"/>
        <v>-255.54920036777548</v>
      </c>
      <c r="W95" s="4760">
        <f>SUM('Произв. прогр. Стоки'!V114)</f>
        <v>624.32216073280529</v>
      </c>
      <c r="X95" s="4760">
        <f>SUM(X96:X100)+X102</f>
        <v>0</v>
      </c>
      <c r="Y95" s="4760">
        <f t="shared" ref="Y95" si="200">SUM(Y96:Y100)+Y102</f>
        <v>0</v>
      </c>
      <c r="Z95" s="4760">
        <f t="shared" ref="Z95" si="201">SUM(Z96:Z100)+Z102</f>
        <v>0</v>
      </c>
      <c r="AA95" s="4760">
        <f t="shared" ref="AA95" si="202">SUM(AA96:AA100)+AA102</f>
        <v>0</v>
      </c>
      <c r="AB95" s="4779">
        <f t="shared" ref="AB95:AB117" si="203">SUM(W95+T95)</f>
        <v>2438.5013611005807</v>
      </c>
      <c r="AC95" s="4779">
        <f t="shared" ref="AC95:AC120" si="204">SUM(AA95+U95)</f>
        <v>1558.63</v>
      </c>
      <c r="AD95" s="4779">
        <f t="shared" si="159"/>
        <v>-879.87136110058054</v>
      </c>
    </row>
    <row r="96" spans="1:30" ht="18.75" customHeight="1">
      <c r="A96" s="4790" t="s">
        <v>72</v>
      </c>
      <c r="B96" s="4737">
        <f>SUM('Произв. прогр. Стоки'!H115)</f>
        <v>378.20856668431327</v>
      </c>
      <c r="C96" s="4738">
        <v>180.84</v>
      </c>
      <c r="D96" s="4738">
        <f>155.83</f>
        <v>155.83000000000001</v>
      </c>
      <c r="E96" s="4738">
        <v>149.19999999999999</v>
      </c>
      <c r="F96" s="4743">
        <f t="shared" ref="F96:F118" si="205">SUM(C96:E96)</f>
        <v>485.87</v>
      </c>
      <c r="G96" s="4737">
        <f>SUM('Произв. прогр. Стоки'!L115)</f>
        <v>378.20856668431327</v>
      </c>
      <c r="H96" s="4738">
        <v>167.29</v>
      </c>
      <c r="I96" s="4738">
        <v>216.78</v>
      </c>
      <c r="J96" s="4738">
        <v>188.46</v>
      </c>
      <c r="K96" s="4743">
        <f t="shared" ref="K96:K99" si="206">SUM(H96:J96)</f>
        <v>572.53</v>
      </c>
      <c r="L96" s="4786">
        <f t="shared" si="193"/>
        <v>756.41713336862654</v>
      </c>
      <c r="M96" s="4786">
        <f t="shared" si="194"/>
        <v>1058.4000000000001</v>
      </c>
      <c r="N96" s="4786">
        <f t="shared" si="157"/>
        <v>301.98286663137355</v>
      </c>
      <c r="O96" s="4737">
        <f>SUM('Произв. прогр. Стоки'!Q115)</f>
        <v>401.01454325537725</v>
      </c>
      <c r="P96" s="4738"/>
      <c r="Q96" s="4738"/>
      <c r="R96" s="4738"/>
      <c r="S96" s="4743">
        <f t="shared" ref="S96:S99" si="207">SUM(P96:R96)</f>
        <v>0</v>
      </c>
      <c r="T96" s="4786">
        <f t="shared" si="198"/>
        <v>1157.4316766240038</v>
      </c>
      <c r="U96" s="4786">
        <f t="shared" si="199"/>
        <v>1058.4000000000001</v>
      </c>
      <c r="V96" s="4786">
        <f t="shared" si="158"/>
        <v>-99.031676624003694</v>
      </c>
      <c r="W96" s="4737">
        <f>SUM('Произв. прогр. Стоки'!V115)</f>
        <v>401.01454325537725</v>
      </c>
      <c r="X96" s="4738"/>
      <c r="Y96" s="4738"/>
      <c r="Z96" s="4738"/>
      <c r="AA96" s="4743">
        <f t="shared" ref="AA96:AA99" si="208">SUM(X96:Z96)</f>
        <v>0</v>
      </c>
      <c r="AB96" s="4786">
        <f t="shared" si="203"/>
        <v>1558.446219879381</v>
      </c>
      <c r="AC96" s="4786">
        <f t="shared" si="204"/>
        <v>1058.4000000000001</v>
      </c>
      <c r="AD96" s="4786">
        <f t="shared" si="159"/>
        <v>-500.04621987938094</v>
      </c>
    </row>
    <row r="97" spans="1:30" ht="18.75" customHeight="1">
      <c r="A97" s="4790" t="s">
        <v>121</v>
      </c>
      <c r="B97" s="4737">
        <f>SUM('Произв. прогр. Стоки'!H116)</f>
        <v>114.21413451740332</v>
      </c>
      <c r="C97" s="4738">
        <v>54.61</v>
      </c>
      <c r="D97" s="4738">
        <v>47.06</v>
      </c>
      <c r="E97" s="4738">
        <v>45.06</v>
      </c>
      <c r="F97" s="4743">
        <f t="shared" si="205"/>
        <v>146.73000000000002</v>
      </c>
      <c r="G97" s="4737">
        <f>SUM('Произв. прогр. Стоки'!L116)</f>
        <v>114.21413451740332</v>
      </c>
      <c r="H97" s="4738">
        <v>50.52</v>
      </c>
      <c r="I97" s="4738">
        <v>65.47</v>
      </c>
      <c r="J97" s="4738">
        <v>56.14</v>
      </c>
      <c r="K97" s="4743">
        <f t="shared" si="206"/>
        <v>172.13</v>
      </c>
      <c r="L97" s="4786">
        <f t="shared" si="193"/>
        <v>228.42826903480665</v>
      </c>
      <c r="M97" s="4786">
        <f t="shared" si="194"/>
        <v>318.86</v>
      </c>
      <c r="N97" s="4786">
        <f t="shared" si="157"/>
        <v>90.431730965193367</v>
      </c>
      <c r="O97" s="4737">
        <f>SUM('Произв. прогр. Стоки'!Q116)</f>
        <v>121.10124682880272</v>
      </c>
      <c r="P97" s="4738"/>
      <c r="Q97" s="4738"/>
      <c r="R97" s="4738"/>
      <c r="S97" s="4743">
        <f t="shared" si="207"/>
        <v>0</v>
      </c>
      <c r="T97" s="4786">
        <f t="shared" si="198"/>
        <v>349.52951586360939</v>
      </c>
      <c r="U97" s="4786">
        <f t="shared" si="199"/>
        <v>318.86</v>
      </c>
      <c r="V97" s="4786">
        <f t="shared" si="158"/>
        <v>-30.669515863609377</v>
      </c>
      <c r="W97" s="4737">
        <f>SUM('Произв. прогр. Стоки'!V116)</f>
        <v>121.10124682880272</v>
      </c>
      <c r="X97" s="4738"/>
      <c r="Y97" s="4738"/>
      <c r="Z97" s="4738"/>
      <c r="AA97" s="4743">
        <f t="shared" si="208"/>
        <v>0</v>
      </c>
      <c r="AB97" s="4786">
        <f t="shared" si="203"/>
        <v>470.63076269241208</v>
      </c>
      <c r="AC97" s="4786">
        <f t="shared" si="204"/>
        <v>318.86</v>
      </c>
      <c r="AD97" s="4786">
        <f t="shared" si="159"/>
        <v>-151.77076269241206</v>
      </c>
    </row>
    <row r="98" spans="1:30" ht="18.75" customHeight="1">
      <c r="A98" s="4790" t="s">
        <v>52</v>
      </c>
      <c r="B98" s="4737">
        <f>SUM('Произв. прогр. Стоки'!H117)</f>
        <v>0.79251294235768865</v>
      </c>
      <c r="C98" s="4738">
        <v>0.26</v>
      </c>
      <c r="D98" s="4738"/>
      <c r="E98" s="4738">
        <v>0.52</v>
      </c>
      <c r="F98" s="4743">
        <f t="shared" si="205"/>
        <v>0.78</v>
      </c>
      <c r="G98" s="4737">
        <f>SUM('Произв. прогр. Стоки'!L117)</f>
        <v>0.79251294235768865</v>
      </c>
      <c r="H98" s="4738">
        <v>0.23</v>
      </c>
      <c r="I98" s="4738">
        <v>0.27</v>
      </c>
      <c r="J98" s="4738">
        <v>25.13</v>
      </c>
      <c r="K98" s="4743">
        <f t="shared" si="206"/>
        <v>25.63</v>
      </c>
      <c r="L98" s="4786">
        <f t="shared" si="193"/>
        <v>1.5850258847153773</v>
      </c>
      <c r="M98" s="4786">
        <f t="shared" si="194"/>
        <v>26.41</v>
      </c>
      <c r="N98" s="4786">
        <f t="shared" si="157"/>
        <v>24.824974115284622</v>
      </c>
      <c r="O98" s="4737">
        <f>SUM('Произв. прогр. Стоки'!Q117)</f>
        <v>0.79251294235768865</v>
      </c>
      <c r="P98" s="4738"/>
      <c r="Q98" s="4738"/>
      <c r="R98" s="4738"/>
      <c r="S98" s="4743">
        <f t="shared" si="207"/>
        <v>0</v>
      </c>
      <c r="T98" s="4786">
        <f t="shared" si="198"/>
        <v>2.377538827073066</v>
      </c>
      <c r="U98" s="4786">
        <f t="shared" si="199"/>
        <v>26.41</v>
      </c>
      <c r="V98" s="4786">
        <f t="shared" si="158"/>
        <v>24.032461172926933</v>
      </c>
      <c r="W98" s="4737">
        <f>SUM('Произв. прогр. Стоки'!V117)</f>
        <v>0.79251294235768865</v>
      </c>
      <c r="X98" s="4738"/>
      <c r="Y98" s="4738"/>
      <c r="Z98" s="4738"/>
      <c r="AA98" s="4743">
        <f t="shared" si="208"/>
        <v>0</v>
      </c>
      <c r="AB98" s="4786">
        <f t="shared" si="203"/>
        <v>3.1700517694307546</v>
      </c>
      <c r="AC98" s="4786">
        <f t="shared" si="204"/>
        <v>26.41</v>
      </c>
      <c r="AD98" s="4786">
        <f t="shared" si="159"/>
        <v>23.239948230569247</v>
      </c>
    </row>
    <row r="99" spans="1:30" ht="18.75" customHeight="1">
      <c r="A99" s="4790" t="s">
        <v>605</v>
      </c>
      <c r="B99" s="4737">
        <f>SUM('Произв. прогр. Стоки'!H118)</f>
        <v>93.333639596124726</v>
      </c>
      <c r="C99" s="4738">
        <v>20.8</v>
      </c>
      <c r="D99" s="4738">
        <v>31.14</v>
      </c>
      <c r="E99" s="4738">
        <v>22.17</v>
      </c>
      <c r="F99" s="4743">
        <f t="shared" si="205"/>
        <v>74.11</v>
      </c>
      <c r="G99" s="4737">
        <f>SUM('Произв. прогр. Стоки'!L118)</f>
        <v>93.333639596124726</v>
      </c>
      <c r="H99" s="4738">
        <v>31.93</v>
      </c>
      <c r="I99" s="4738">
        <v>25.26</v>
      </c>
      <c r="J99" s="4738"/>
      <c r="K99" s="4743">
        <f t="shared" si="206"/>
        <v>57.19</v>
      </c>
      <c r="L99" s="4786">
        <f t="shared" si="193"/>
        <v>186.66727919224945</v>
      </c>
      <c r="M99" s="4786">
        <f t="shared" si="194"/>
        <v>131.30000000000001</v>
      </c>
      <c r="N99" s="4786">
        <f t="shared" si="157"/>
        <v>-55.367279192249441</v>
      </c>
      <c r="O99" s="4737">
        <f>SUM('Произв. прогр. Стоки'!Q118)</f>
        <v>93.333639596124726</v>
      </c>
      <c r="P99" s="4738"/>
      <c r="Q99" s="4738"/>
      <c r="R99" s="4738"/>
      <c r="S99" s="4743">
        <f t="shared" si="207"/>
        <v>0</v>
      </c>
      <c r="T99" s="4786">
        <f t="shared" si="198"/>
        <v>280.00091878837418</v>
      </c>
      <c r="U99" s="4786">
        <f t="shared" si="199"/>
        <v>131.30000000000001</v>
      </c>
      <c r="V99" s="4786">
        <f t="shared" si="158"/>
        <v>-148.70091878837417</v>
      </c>
      <c r="W99" s="4737">
        <f>SUM('Произв. прогр. Стоки'!V118)</f>
        <v>93.333639596124726</v>
      </c>
      <c r="X99" s="4738"/>
      <c r="Y99" s="4738"/>
      <c r="Z99" s="4738"/>
      <c r="AA99" s="4743">
        <f t="shared" si="208"/>
        <v>0</v>
      </c>
      <c r="AB99" s="4786">
        <f t="shared" si="203"/>
        <v>373.33455838449891</v>
      </c>
      <c r="AC99" s="4786">
        <f t="shared" si="204"/>
        <v>131.30000000000001</v>
      </c>
      <c r="AD99" s="4786">
        <f t="shared" si="159"/>
        <v>-242.03455838449889</v>
      </c>
    </row>
    <row r="100" spans="1:30" ht="18.75" customHeight="1">
      <c r="A100" s="4790" t="s">
        <v>606</v>
      </c>
      <c r="B100" s="4737">
        <f>SUM('Произв. прогр. Стоки'!H119)</f>
        <v>7.0106914131641691</v>
      </c>
      <c r="C100" s="4737">
        <f>SUM(C101)</f>
        <v>0.65</v>
      </c>
      <c r="D100" s="4737">
        <f t="shared" ref="D100:F100" si="209">SUM(D101)</f>
        <v>1.59</v>
      </c>
      <c r="E100" s="4737">
        <f t="shared" si="209"/>
        <v>9.92</v>
      </c>
      <c r="F100" s="4737">
        <f t="shared" si="209"/>
        <v>12.16</v>
      </c>
      <c r="G100" s="4737">
        <f>SUM('Произв. прогр. Стоки'!L119)</f>
        <v>7.0106914131641691</v>
      </c>
      <c r="H100" s="4737">
        <f>SUM(H101)</f>
        <v>6.45</v>
      </c>
      <c r="I100" s="4737">
        <f t="shared" ref="I100:K100" si="210">SUM(I101)</f>
        <v>2.25</v>
      </c>
      <c r="J100" s="4737">
        <f t="shared" si="210"/>
        <v>2.8</v>
      </c>
      <c r="K100" s="4737">
        <f t="shared" si="210"/>
        <v>11.5</v>
      </c>
      <c r="L100" s="4786">
        <f t="shared" si="193"/>
        <v>14.021382826328338</v>
      </c>
      <c r="M100" s="4786">
        <f t="shared" si="194"/>
        <v>23.66</v>
      </c>
      <c r="N100" s="4786">
        <f t="shared" si="157"/>
        <v>9.6386171736716619</v>
      </c>
      <c r="O100" s="4737">
        <f>SUM('Произв. прогр. Стоки'!Q119)</f>
        <v>7.0106914131641691</v>
      </c>
      <c r="P100" s="4737">
        <f>SUM(P101)</f>
        <v>0</v>
      </c>
      <c r="Q100" s="4737">
        <f t="shared" ref="Q100:S100" si="211">SUM(Q101)</f>
        <v>0</v>
      </c>
      <c r="R100" s="4737">
        <f t="shared" si="211"/>
        <v>0</v>
      </c>
      <c r="S100" s="4737">
        <f t="shared" si="211"/>
        <v>0</v>
      </c>
      <c r="T100" s="4786">
        <f t="shared" si="198"/>
        <v>21.032074239492509</v>
      </c>
      <c r="U100" s="4786">
        <f t="shared" si="199"/>
        <v>23.66</v>
      </c>
      <c r="V100" s="4786">
        <f t="shared" si="158"/>
        <v>2.627925760507491</v>
      </c>
      <c r="W100" s="4737">
        <f>SUM('Произв. прогр. Стоки'!V119)</f>
        <v>7.0106914131641691</v>
      </c>
      <c r="X100" s="4737">
        <f>SUM(X101)</f>
        <v>0</v>
      </c>
      <c r="Y100" s="4737">
        <f t="shared" ref="Y100:AA100" si="212">SUM(Y101)</f>
        <v>0</v>
      </c>
      <c r="Z100" s="4737">
        <f t="shared" si="212"/>
        <v>0</v>
      </c>
      <c r="AA100" s="4737">
        <f t="shared" si="212"/>
        <v>0</v>
      </c>
      <c r="AB100" s="4786">
        <f t="shared" si="203"/>
        <v>28.042765652656676</v>
      </c>
      <c r="AC100" s="4786">
        <f t="shared" si="204"/>
        <v>23.66</v>
      </c>
      <c r="AD100" s="4786">
        <f t="shared" si="159"/>
        <v>-4.3827656526566763</v>
      </c>
    </row>
    <row r="101" spans="1:30" ht="18.75" customHeight="1">
      <c r="A101" s="4700" t="s">
        <v>564</v>
      </c>
      <c r="B101" s="4752">
        <f>SUM('Произв. прогр. Стоки'!H120)</f>
        <v>7.0106914131641691</v>
      </c>
      <c r="C101" s="4751">
        <v>0.65</v>
      </c>
      <c r="D101" s="4751">
        <v>1.59</v>
      </c>
      <c r="E101" s="4751">
        <v>9.92</v>
      </c>
      <c r="F101" s="4748">
        <f t="shared" si="205"/>
        <v>12.16</v>
      </c>
      <c r="G101" s="4752">
        <f>SUM('Произв. прогр. Стоки'!L120)</f>
        <v>7.0106914131641691</v>
      </c>
      <c r="H101" s="4751">
        <v>6.45</v>
      </c>
      <c r="I101" s="4751">
        <v>2.25</v>
      </c>
      <c r="J101" s="4751">
        <v>2.8</v>
      </c>
      <c r="K101" s="4748">
        <f t="shared" ref="K101" si="213">SUM(H101:J101)</f>
        <v>11.5</v>
      </c>
      <c r="L101" s="4791">
        <f t="shared" si="193"/>
        <v>14.021382826328338</v>
      </c>
      <c r="M101" s="4791">
        <f t="shared" si="194"/>
        <v>23.66</v>
      </c>
      <c r="N101" s="4791">
        <f t="shared" si="157"/>
        <v>9.6386171736716619</v>
      </c>
      <c r="O101" s="4752">
        <f>SUM('Произв. прогр. Стоки'!Q120)</f>
        <v>7.0106914131641691</v>
      </c>
      <c r="P101" s="4751"/>
      <c r="Q101" s="4751"/>
      <c r="R101" s="4751"/>
      <c r="S101" s="4748">
        <f t="shared" ref="S101" si="214">SUM(P101:R101)</f>
        <v>0</v>
      </c>
      <c r="T101" s="4791">
        <f t="shared" si="198"/>
        <v>21.032074239492509</v>
      </c>
      <c r="U101" s="4791">
        <f t="shared" si="199"/>
        <v>23.66</v>
      </c>
      <c r="V101" s="4791">
        <f t="shared" si="158"/>
        <v>2.627925760507491</v>
      </c>
      <c r="W101" s="4752">
        <f>SUM('Произв. прогр. Стоки'!V120)</f>
        <v>7.0106914131641691</v>
      </c>
      <c r="X101" s="4751"/>
      <c r="Y101" s="4751"/>
      <c r="Z101" s="4751"/>
      <c r="AA101" s="4748">
        <f t="shared" ref="AA101" si="215">SUM(X101:Z101)</f>
        <v>0</v>
      </c>
      <c r="AB101" s="4791">
        <f t="shared" si="203"/>
        <v>28.042765652656676</v>
      </c>
      <c r="AC101" s="4791">
        <f t="shared" si="204"/>
        <v>23.66</v>
      </c>
      <c r="AD101" s="4791">
        <f t="shared" si="159"/>
        <v>-4.3827656526566763</v>
      </c>
    </row>
    <row r="102" spans="1:30" ht="18.75" customHeight="1">
      <c r="A102" s="4790" t="s">
        <v>609</v>
      </c>
      <c r="B102" s="4737">
        <f>SUM('Произв. прогр. Стоки'!H121)</f>
        <v>1.0695266969787147</v>
      </c>
      <c r="C102" s="4737">
        <f>SUM(C103:C104)</f>
        <v>0</v>
      </c>
      <c r="D102" s="4737">
        <f t="shared" ref="D102:F102" si="216">SUM(D103:D104)</f>
        <v>0</v>
      </c>
      <c r="E102" s="4737">
        <f t="shared" si="216"/>
        <v>0</v>
      </c>
      <c r="F102" s="4737">
        <f t="shared" si="216"/>
        <v>0</v>
      </c>
      <c r="G102" s="4737">
        <f>SUM('Произв. прогр. Стоки'!L121)</f>
        <v>1.2914303208388676</v>
      </c>
      <c r="H102" s="4737">
        <f>SUM(H103:H104)</f>
        <v>0</v>
      </c>
      <c r="I102" s="4737">
        <f t="shared" ref="I102:K102" si="217">SUM(I103:I104)</f>
        <v>0</v>
      </c>
      <c r="J102" s="4737">
        <f t="shared" si="217"/>
        <v>0</v>
      </c>
      <c r="K102" s="4737">
        <f t="shared" si="217"/>
        <v>0</v>
      </c>
      <c r="L102" s="4786">
        <f t="shared" si="193"/>
        <v>2.360957017817582</v>
      </c>
      <c r="M102" s="4786">
        <f t="shared" si="194"/>
        <v>0</v>
      </c>
      <c r="N102" s="4786">
        <f t="shared" si="157"/>
        <v>-2.360957017817582</v>
      </c>
      <c r="O102" s="4737">
        <f>SUM('Произв. прогр. Стоки'!Q121)</f>
        <v>1.4465190074048644</v>
      </c>
      <c r="P102" s="4737">
        <f>SUM(P103:P104)</f>
        <v>0</v>
      </c>
      <c r="Q102" s="4737">
        <f>SUM(Q103:Q104)</f>
        <v>0</v>
      </c>
      <c r="R102" s="4737">
        <f>SUM(R103:R104)</f>
        <v>0</v>
      </c>
      <c r="S102" s="4737">
        <f>SUM(S103:S104)</f>
        <v>0</v>
      </c>
      <c r="T102" s="4786">
        <f t="shared" si="198"/>
        <v>3.8074760252224467</v>
      </c>
      <c r="U102" s="4786">
        <f t="shared" si="199"/>
        <v>0</v>
      </c>
      <c r="V102" s="4786">
        <f t="shared" si="158"/>
        <v>-3.8074760252224467</v>
      </c>
      <c r="W102" s="4737">
        <f>SUM('Произв. прогр. Стоки'!V121)</f>
        <v>1.0695266969787147</v>
      </c>
      <c r="X102" s="4737">
        <f>SUM(X103:X104)</f>
        <v>0</v>
      </c>
      <c r="Y102" s="4737">
        <f>SUM(Y103:Y104)</f>
        <v>0</v>
      </c>
      <c r="Z102" s="4737">
        <f>SUM(Z103:Z104)</f>
        <v>0</v>
      </c>
      <c r="AA102" s="4737">
        <f t="shared" ref="AA102" si="218">SUM(AA103:AA104)</f>
        <v>0</v>
      </c>
      <c r="AB102" s="4786">
        <f t="shared" si="203"/>
        <v>4.8770027222011612</v>
      </c>
      <c r="AC102" s="4786">
        <f t="shared" si="204"/>
        <v>0</v>
      </c>
      <c r="AD102" s="4786">
        <f t="shared" si="159"/>
        <v>-4.8770027222011612</v>
      </c>
    </row>
    <row r="103" spans="1:30" ht="18.75" customHeight="1">
      <c r="A103" s="4700" t="s">
        <v>551</v>
      </c>
      <c r="B103" s="4752">
        <f>SUM('Произв. прогр. Стоки'!H122)</f>
        <v>1.0695266969787147</v>
      </c>
      <c r="C103" s="4751"/>
      <c r="D103" s="4751"/>
      <c r="E103" s="4751"/>
      <c r="F103" s="4748">
        <f t="shared" si="205"/>
        <v>0</v>
      </c>
      <c r="G103" s="4752">
        <f>SUM('Произв. прогр. Стоки'!L122)</f>
        <v>1.2914303208388676</v>
      </c>
      <c r="H103" s="4751"/>
      <c r="I103" s="4751"/>
      <c r="J103" s="4751"/>
      <c r="K103" s="4748">
        <f t="shared" ref="K103:K104" si="219">SUM(H103:J103)</f>
        <v>0</v>
      </c>
      <c r="L103" s="4791">
        <f t="shared" si="193"/>
        <v>2.360957017817582</v>
      </c>
      <c r="M103" s="4791">
        <f t="shared" si="194"/>
        <v>0</v>
      </c>
      <c r="N103" s="4791">
        <f t="shared" si="157"/>
        <v>-2.360957017817582</v>
      </c>
      <c r="O103" s="4752">
        <f>SUM('Произв. прогр. Стоки'!Q122)</f>
        <v>1.4465190074048644</v>
      </c>
      <c r="P103" s="4751"/>
      <c r="Q103" s="4751"/>
      <c r="R103" s="4751"/>
      <c r="S103" s="4748">
        <f t="shared" ref="S103:S104" si="220">SUM(P103:R103)</f>
        <v>0</v>
      </c>
      <c r="T103" s="4791">
        <f t="shared" si="198"/>
        <v>3.8074760252224467</v>
      </c>
      <c r="U103" s="4791">
        <f t="shared" si="199"/>
        <v>0</v>
      </c>
      <c r="V103" s="4791">
        <f t="shared" si="158"/>
        <v>-3.8074760252224467</v>
      </c>
      <c r="W103" s="4752">
        <f>SUM('Произв. прогр. Стоки'!V122)</f>
        <v>1.0695266969787147</v>
      </c>
      <c r="X103" s="4751"/>
      <c r="Y103" s="4751"/>
      <c r="Z103" s="4751"/>
      <c r="AA103" s="4748">
        <f t="shared" ref="AA103:AA104" si="221">SUM(X103:Z103)</f>
        <v>0</v>
      </c>
      <c r="AB103" s="4791">
        <f t="shared" si="203"/>
        <v>4.8770027222011612</v>
      </c>
      <c r="AC103" s="4791">
        <f t="shared" si="204"/>
        <v>0</v>
      </c>
      <c r="AD103" s="4791">
        <f t="shared" si="159"/>
        <v>-4.8770027222011612</v>
      </c>
    </row>
    <row r="104" spans="1:30" ht="18.75" customHeight="1">
      <c r="A104" s="4700" t="s">
        <v>613</v>
      </c>
      <c r="B104" s="4752">
        <f>SUM('Произв. прогр. Стоки'!H123)</f>
        <v>0</v>
      </c>
      <c r="C104" s="4751"/>
      <c r="D104" s="4751"/>
      <c r="E104" s="4751"/>
      <c r="F104" s="4748">
        <f t="shared" si="205"/>
        <v>0</v>
      </c>
      <c r="G104" s="4752">
        <f>SUM('Произв. прогр. Стоки'!L123)</f>
        <v>0</v>
      </c>
      <c r="H104" s="4751"/>
      <c r="I104" s="4751"/>
      <c r="J104" s="4751"/>
      <c r="K104" s="4748">
        <f t="shared" si="219"/>
        <v>0</v>
      </c>
      <c r="L104" s="4791">
        <f t="shared" si="193"/>
        <v>0</v>
      </c>
      <c r="M104" s="4791">
        <f t="shared" si="194"/>
        <v>0</v>
      </c>
      <c r="N104" s="4791">
        <f t="shared" si="157"/>
        <v>0</v>
      </c>
      <c r="O104" s="4752">
        <f>SUM('Произв. прогр. Стоки'!Q123)</f>
        <v>0</v>
      </c>
      <c r="P104" s="4751"/>
      <c r="Q104" s="4751"/>
      <c r="R104" s="4751"/>
      <c r="S104" s="4748">
        <f t="shared" si="220"/>
        <v>0</v>
      </c>
      <c r="T104" s="4791">
        <f t="shared" si="198"/>
        <v>0</v>
      </c>
      <c r="U104" s="4791">
        <f t="shared" si="199"/>
        <v>0</v>
      </c>
      <c r="V104" s="4791">
        <f t="shared" si="158"/>
        <v>0</v>
      </c>
      <c r="W104" s="4752">
        <f>SUM('Произв. прогр. Стоки'!V123)</f>
        <v>0</v>
      </c>
      <c r="X104" s="4751"/>
      <c r="Y104" s="4751"/>
      <c r="Z104" s="4751"/>
      <c r="AA104" s="4748">
        <f t="shared" si="221"/>
        <v>0</v>
      </c>
      <c r="AB104" s="4791">
        <f t="shared" si="203"/>
        <v>0</v>
      </c>
      <c r="AC104" s="4791">
        <f t="shared" si="204"/>
        <v>0</v>
      </c>
      <c r="AD104" s="4791">
        <f t="shared" si="159"/>
        <v>0</v>
      </c>
    </row>
    <row r="105" spans="1:30" ht="18.75" customHeight="1">
      <c r="A105" s="4597" t="s">
        <v>1724</v>
      </c>
      <c r="B105" s="4760">
        <f>SUM('Произв. прогр. Стоки'!H124)</f>
        <v>378.3660830974635</v>
      </c>
      <c r="C105" s="4760">
        <f>SUM(C106:C108)</f>
        <v>0</v>
      </c>
      <c r="D105" s="4760">
        <f t="shared" ref="D105:F105" si="222">SUM(D106:D108)</f>
        <v>0</v>
      </c>
      <c r="E105" s="4760">
        <f t="shared" si="222"/>
        <v>10.819999999999999</v>
      </c>
      <c r="F105" s="4760">
        <f t="shared" si="222"/>
        <v>10.819999999999999</v>
      </c>
      <c r="G105" s="4760">
        <f>SUM('Произв. прогр. Стоки'!L124)</f>
        <v>378.3660830974635</v>
      </c>
      <c r="H105" s="4760">
        <f>SUM(H106:H108)</f>
        <v>0</v>
      </c>
      <c r="I105" s="4760">
        <f t="shared" ref="I105:K105" si="223">SUM(I106:I108)</f>
        <v>0</v>
      </c>
      <c r="J105" s="4760">
        <f t="shared" si="223"/>
        <v>10.819999999999999</v>
      </c>
      <c r="K105" s="4760">
        <f t="shared" si="223"/>
        <v>10.819999999999999</v>
      </c>
      <c r="L105" s="4779">
        <f t="shared" si="193"/>
        <v>756.732166194927</v>
      </c>
      <c r="M105" s="4779">
        <f t="shared" si="194"/>
        <v>21.639999999999997</v>
      </c>
      <c r="N105" s="4779">
        <f t="shared" si="157"/>
        <v>-735.09216619492702</v>
      </c>
      <c r="O105" s="4760">
        <f>SUM('Произв. прогр. Стоки'!Q124)</f>
        <v>378.3660830974635</v>
      </c>
      <c r="P105" s="4760">
        <f>SUM(P106:P108)</f>
        <v>0</v>
      </c>
      <c r="Q105" s="4760">
        <f t="shared" ref="Q105:S105" si="224">SUM(Q106:Q108)</f>
        <v>0</v>
      </c>
      <c r="R105" s="4760">
        <f t="shared" si="224"/>
        <v>0</v>
      </c>
      <c r="S105" s="4760">
        <f t="shared" si="224"/>
        <v>0</v>
      </c>
      <c r="T105" s="4779">
        <f t="shared" si="198"/>
        <v>1135.0982492923904</v>
      </c>
      <c r="U105" s="4779">
        <f t="shared" si="199"/>
        <v>21.639999999999997</v>
      </c>
      <c r="V105" s="4779">
        <f t="shared" si="158"/>
        <v>-1113.4582492923903</v>
      </c>
      <c r="W105" s="4760">
        <f>SUM('Произв. прогр. Стоки'!V124)</f>
        <v>378.3660830974635</v>
      </c>
      <c r="X105" s="4760">
        <f>SUM(X106:X108)</f>
        <v>0</v>
      </c>
      <c r="Y105" s="4760">
        <f t="shared" ref="Y105:AA105" si="225">SUM(Y106:Y108)</f>
        <v>0</v>
      </c>
      <c r="Z105" s="4760">
        <f t="shared" si="225"/>
        <v>0</v>
      </c>
      <c r="AA105" s="4760">
        <f t="shared" si="225"/>
        <v>0</v>
      </c>
      <c r="AB105" s="4779">
        <f t="shared" si="203"/>
        <v>1513.464332389854</v>
      </c>
      <c r="AC105" s="4779">
        <f t="shared" si="204"/>
        <v>21.639999999999997</v>
      </c>
      <c r="AD105" s="4779">
        <f t="shared" si="159"/>
        <v>-1491.8243323898539</v>
      </c>
    </row>
    <row r="106" spans="1:30" ht="43.5" customHeight="1">
      <c r="A106" s="4728" t="s">
        <v>1756</v>
      </c>
      <c r="B106" s="4732">
        <f>SUM('Произв. прогр. Стоки'!H125)</f>
        <v>38.183583097463476</v>
      </c>
      <c r="C106" s="4685"/>
      <c r="D106" s="4685"/>
      <c r="E106" s="4685">
        <v>0.04</v>
      </c>
      <c r="F106" s="4767">
        <f t="shared" si="205"/>
        <v>0.04</v>
      </c>
      <c r="G106" s="4732">
        <f>SUM('Произв. прогр. Стоки'!L125)</f>
        <v>38.183583097463476</v>
      </c>
      <c r="H106" s="4685"/>
      <c r="I106" s="4685"/>
      <c r="J106" s="4685">
        <v>0.04</v>
      </c>
      <c r="K106" s="4767">
        <f t="shared" ref="K106:K108" si="226">SUM(H106:J106)</f>
        <v>0.04</v>
      </c>
      <c r="L106" s="4791">
        <f t="shared" si="193"/>
        <v>76.367166194926952</v>
      </c>
      <c r="M106" s="4791">
        <f t="shared" si="194"/>
        <v>0.08</v>
      </c>
      <c r="N106" s="4791">
        <f t="shared" si="157"/>
        <v>-76.287166194926954</v>
      </c>
      <c r="O106" s="4732">
        <f>SUM('Произв. прогр. Стоки'!Q125)</f>
        <v>38.183583097463476</v>
      </c>
      <c r="P106" s="4439"/>
      <c r="Q106" s="4439"/>
      <c r="R106" s="4439"/>
      <c r="S106" s="4767">
        <f t="shared" ref="S106:S108" si="227">SUM(P106:R106)</f>
        <v>0</v>
      </c>
      <c r="T106" s="4791">
        <f t="shared" si="198"/>
        <v>114.55074929239044</v>
      </c>
      <c r="U106" s="4791">
        <f t="shared" si="199"/>
        <v>0.08</v>
      </c>
      <c r="V106" s="4791">
        <f t="shared" si="158"/>
        <v>-114.47074929239044</v>
      </c>
      <c r="W106" s="4732">
        <f>SUM('Произв. прогр. Стоки'!V125)</f>
        <v>38.183583097463476</v>
      </c>
      <c r="X106" s="4685"/>
      <c r="Y106" s="4685"/>
      <c r="Z106" s="4685"/>
      <c r="AA106" s="4767">
        <f t="shared" ref="AA106:AA108" si="228">SUM(X106:Z106)</f>
        <v>0</v>
      </c>
      <c r="AB106" s="4791">
        <f t="shared" si="203"/>
        <v>152.7343323898539</v>
      </c>
      <c r="AC106" s="4791">
        <f t="shared" si="204"/>
        <v>0.08</v>
      </c>
      <c r="AD106" s="4791">
        <f t="shared" si="159"/>
        <v>-152.65433238985389</v>
      </c>
    </row>
    <row r="107" spans="1:30" ht="18.75" customHeight="1">
      <c r="A107" s="4728" t="s">
        <v>542</v>
      </c>
      <c r="B107" s="4732">
        <f>SUM('Произв. прогр. Стоки'!H126)</f>
        <v>7.4749999999999996</v>
      </c>
      <c r="C107" s="4685"/>
      <c r="D107" s="4685"/>
      <c r="E107" s="4685">
        <v>10.78</v>
      </c>
      <c r="F107" s="4767">
        <f t="shared" si="205"/>
        <v>10.78</v>
      </c>
      <c r="G107" s="4732">
        <f>SUM('Произв. прогр. Стоки'!L126)</f>
        <v>7.4749999999999996</v>
      </c>
      <c r="H107" s="4685"/>
      <c r="I107" s="4685"/>
      <c r="J107" s="4685">
        <v>10.78</v>
      </c>
      <c r="K107" s="4767">
        <f t="shared" si="226"/>
        <v>10.78</v>
      </c>
      <c r="L107" s="4791">
        <f t="shared" si="193"/>
        <v>14.95</v>
      </c>
      <c r="M107" s="4791">
        <f t="shared" si="194"/>
        <v>21.56</v>
      </c>
      <c r="N107" s="4791">
        <f t="shared" si="157"/>
        <v>6.6099999999999994</v>
      </c>
      <c r="O107" s="4732">
        <f>SUM('Произв. прогр. Стоки'!Q126)</f>
        <v>7.4749999999999996</v>
      </c>
      <c r="P107" s="4439"/>
      <c r="Q107" s="4439"/>
      <c r="R107" s="4439"/>
      <c r="S107" s="4767">
        <f t="shared" si="227"/>
        <v>0</v>
      </c>
      <c r="T107" s="4791">
        <f t="shared" si="198"/>
        <v>22.424999999999997</v>
      </c>
      <c r="U107" s="4791">
        <f t="shared" si="199"/>
        <v>21.56</v>
      </c>
      <c r="V107" s="4791">
        <f t="shared" si="158"/>
        <v>-0.86499999999999844</v>
      </c>
      <c r="W107" s="4732">
        <f>SUM('Произв. прогр. Стоки'!V126)</f>
        <v>7.4749999999999996</v>
      </c>
      <c r="X107" s="4685"/>
      <c r="Y107" s="4685"/>
      <c r="Z107" s="4685"/>
      <c r="AA107" s="4767">
        <f t="shared" si="228"/>
        <v>0</v>
      </c>
      <c r="AB107" s="4791">
        <f t="shared" si="203"/>
        <v>29.9</v>
      </c>
      <c r="AC107" s="4791">
        <f t="shared" si="204"/>
        <v>21.56</v>
      </c>
      <c r="AD107" s="4791">
        <f t="shared" si="159"/>
        <v>-8.34</v>
      </c>
    </row>
    <row r="108" spans="1:30" ht="18.75" customHeight="1">
      <c r="A108" s="4728" t="s">
        <v>544</v>
      </c>
      <c r="B108" s="4732">
        <f>SUM('Произв. прогр. Стоки'!H127)</f>
        <v>332.70750000000004</v>
      </c>
      <c r="C108" s="4685"/>
      <c r="D108" s="4685"/>
      <c r="E108" s="4685"/>
      <c r="F108" s="4767">
        <f t="shared" si="205"/>
        <v>0</v>
      </c>
      <c r="G108" s="4732">
        <f>SUM('Произв. прогр. Стоки'!L127)</f>
        <v>332.70750000000004</v>
      </c>
      <c r="H108" s="4685"/>
      <c r="I108" s="4685"/>
      <c r="J108" s="4685"/>
      <c r="K108" s="4767">
        <f t="shared" si="226"/>
        <v>0</v>
      </c>
      <c r="L108" s="4791">
        <f t="shared" si="193"/>
        <v>665.41500000000008</v>
      </c>
      <c r="M108" s="4791">
        <f t="shared" si="194"/>
        <v>0</v>
      </c>
      <c r="N108" s="4791">
        <f t="shared" si="157"/>
        <v>-665.41500000000008</v>
      </c>
      <c r="O108" s="4732">
        <f>SUM('Произв. прогр. Стоки'!Q127)</f>
        <v>332.70750000000004</v>
      </c>
      <c r="P108" s="4439"/>
      <c r="Q108" s="4439"/>
      <c r="R108" s="4685"/>
      <c r="S108" s="4767">
        <f t="shared" si="227"/>
        <v>0</v>
      </c>
      <c r="T108" s="4791">
        <f t="shared" si="198"/>
        <v>998.12250000000017</v>
      </c>
      <c r="U108" s="4791">
        <f t="shared" si="199"/>
        <v>0</v>
      </c>
      <c r="V108" s="4791">
        <f t="shared" si="158"/>
        <v>-998.12250000000017</v>
      </c>
      <c r="W108" s="4732">
        <f>SUM('Произв. прогр. Стоки'!V127)</f>
        <v>332.70750000000004</v>
      </c>
      <c r="X108" s="4685"/>
      <c r="Y108" s="4685"/>
      <c r="Z108" s="4685"/>
      <c r="AA108" s="4767">
        <f t="shared" si="228"/>
        <v>0</v>
      </c>
      <c r="AB108" s="4791">
        <f t="shared" si="203"/>
        <v>1330.8300000000002</v>
      </c>
      <c r="AC108" s="4791">
        <f t="shared" si="204"/>
        <v>0</v>
      </c>
      <c r="AD108" s="4791">
        <f t="shared" si="159"/>
        <v>-1330.8300000000002</v>
      </c>
    </row>
    <row r="109" spans="1:30" ht="18.75" customHeight="1">
      <c r="A109" s="4597" t="s">
        <v>1726</v>
      </c>
      <c r="B109" s="4760">
        <f>SUM('Произв. прогр. Стоки'!H128)</f>
        <v>3735.876467295132</v>
      </c>
      <c r="C109" s="4760">
        <f>SUM(C110:C115)</f>
        <v>851.24</v>
      </c>
      <c r="D109" s="4760">
        <f t="shared" ref="D109:F109" si="229">SUM(D110:D115)</f>
        <v>777.77</v>
      </c>
      <c r="E109" s="4760">
        <f t="shared" si="229"/>
        <v>1131.07</v>
      </c>
      <c r="F109" s="4760">
        <f t="shared" si="229"/>
        <v>2760.0800000000004</v>
      </c>
      <c r="G109" s="4760">
        <f>SUM('Произв. прогр. Стоки'!L128)</f>
        <v>3735.876467295132</v>
      </c>
      <c r="H109" s="4760">
        <f>SUM(H110:H115)</f>
        <v>833.22</v>
      </c>
      <c r="I109" s="4760">
        <f t="shared" ref="I109:K109" si="230">SUM(I110:I115)</f>
        <v>678</v>
      </c>
      <c r="J109" s="4760">
        <f>SUM(J110:J115)</f>
        <v>880.43000000000006</v>
      </c>
      <c r="K109" s="4760">
        <f t="shared" si="230"/>
        <v>2391.65</v>
      </c>
      <c r="L109" s="4779">
        <f t="shared" si="193"/>
        <v>7471.752934590264</v>
      </c>
      <c r="M109" s="4779">
        <f t="shared" si="194"/>
        <v>5151.7300000000005</v>
      </c>
      <c r="N109" s="4779">
        <f t="shared" si="157"/>
        <v>-2320.0229345902635</v>
      </c>
      <c r="O109" s="4760">
        <f>SUM('Произв. прогр. Стоки'!Q128)</f>
        <v>3871.2116897136334</v>
      </c>
      <c r="P109" s="4760">
        <f>SUM(P110:P115)</f>
        <v>0</v>
      </c>
      <c r="Q109" s="4760">
        <f t="shared" ref="Q109:S109" si="231">SUM(Q110:Q115)</f>
        <v>0</v>
      </c>
      <c r="R109" s="4760">
        <f t="shared" si="231"/>
        <v>0</v>
      </c>
      <c r="S109" s="4760">
        <f t="shared" si="231"/>
        <v>0</v>
      </c>
      <c r="T109" s="4779">
        <f t="shared" si="198"/>
        <v>11342.964624303897</v>
      </c>
      <c r="U109" s="4779">
        <f t="shared" si="199"/>
        <v>5151.7300000000005</v>
      </c>
      <c r="V109" s="4779">
        <f t="shared" si="158"/>
        <v>-6191.2346243038965</v>
      </c>
      <c r="W109" s="4760">
        <f>SUM('Произв. прогр. Стоки'!V128)</f>
        <v>3871.2116897136334</v>
      </c>
      <c r="X109" s="4760">
        <f>SUM(X110:X115)</f>
        <v>0</v>
      </c>
      <c r="Y109" s="4760">
        <f t="shared" ref="Y109:AA109" si="232">SUM(Y110:Y115)</f>
        <v>0</v>
      </c>
      <c r="Z109" s="4760">
        <f t="shared" si="232"/>
        <v>0</v>
      </c>
      <c r="AA109" s="4760">
        <f t="shared" si="232"/>
        <v>0</v>
      </c>
      <c r="AB109" s="4779">
        <f t="shared" si="203"/>
        <v>15214.17631401753</v>
      </c>
      <c r="AC109" s="4779">
        <f t="shared" si="204"/>
        <v>5151.7300000000005</v>
      </c>
      <c r="AD109" s="4779">
        <f t="shared" si="159"/>
        <v>-10062.446314017528</v>
      </c>
    </row>
    <row r="110" spans="1:30" ht="18.75" customHeight="1">
      <c r="A110" s="4700" t="s">
        <v>1727</v>
      </c>
      <c r="B110" s="4752">
        <f>SUM('Произв. прогр. Стоки'!H129)</f>
        <v>2643.6191333241818</v>
      </c>
      <c r="C110" s="4751">
        <v>529.22</v>
      </c>
      <c r="D110" s="4751">
        <v>521.41999999999996</v>
      </c>
      <c r="E110" s="4751">
        <v>570.45000000000005</v>
      </c>
      <c r="F110" s="4748">
        <f t="shared" si="205"/>
        <v>1621.09</v>
      </c>
      <c r="G110" s="4752">
        <f>SUM('Произв. прогр. Стоки'!L129)</f>
        <v>2643.6191333241818</v>
      </c>
      <c r="H110" s="4751">
        <v>517.36</v>
      </c>
      <c r="I110" s="4751">
        <v>454.78</v>
      </c>
      <c r="J110" s="4751">
        <v>605.72</v>
      </c>
      <c r="K110" s="4748">
        <f t="shared" ref="K110:K115" si="233">SUM(H110:J110)</f>
        <v>1577.8600000000001</v>
      </c>
      <c r="L110" s="4791">
        <f t="shared" si="193"/>
        <v>5287.2382666483636</v>
      </c>
      <c r="M110" s="4791">
        <f t="shared" si="194"/>
        <v>3198.95</v>
      </c>
      <c r="N110" s="4791">
        <f t="shared" si="157"/>
        <v>-2088.2882666483638</v>
      </c>
      <c r="O110" s="4752">
        <f>SUM('Произв. прогр. Стоки'!Q129)</f>
        <v>2749.3638986571491</v>
      </c>
      <c r="P110" s="4751"/>
      <c r="Q110" s="4751"/>
      <c r="R110" s="4751"/>
      <c r="S110" s="4748">
        <f t="shared" ref="S110:S115" si="234">SUM(P110:R110)</f>
        <v>0</v>
      </c>
      <c r="T110" s="4791">
        <f t="shared" si="198"/>
        <v>8036.6021653055122</v>
      </c>
      <c r="U110" s="4791">
        <f t="shared" si="199"/>
        <v>3198.95</v>
      </c>
      <c r="V110" s="4791">
        <f t="shared" si="158"/>
        <v>-4837.6521653055124</v>
      </c>
      <c r="W110" s="4752">
        <f>SUM('Произв. прогр. Стоки'!V129)</f>
        <v>2749.3638986571491</v>
      </c>
      <c r="X110" s="4751"/>
      <c r="Y110" s="4751"/>
      <c r="Z110" s="4751"/>
      <c r="AA110" s="4748">
        <f t="shared" ref="AA110:AA115" si="235">SUM(X110:Z110)</f>
        <v>0</v>
      </c>
      <c r="AB110" s="4791">
        <f t="shared" si="203"/>
        <v>10785.966063962662</v>
      </c>
      <c r="AC110" s="4791">
        <f t="shared" si="204"/>
        <v>3198.95</v>
      </c>
      <c r="AD110" s="4791">
        <f t="shared" si="159"/>
        <v>-7587.016063962662</v>
      </c>
    </row>
    <row r="111" spans="1:30" ht="18.75" customHeight="1">
      <c r="A111" s="4700" t="s">
        <v>1728</v>
      </c>
      <c r="B111" s="4752">
        <f>SUM('Произв. прогр. Стоки'!H130)</f>
        <v>739.76142713833258</v>
      </c>
      <c r="C111" s="4751">
        <v>171.87</v>
      </c>
      <c r="D111" s="4751">
        <v>157.02000000000001</v>
      </c>
      <c r="E111" s="4751">
        <v>174.29</v>
      </c>
      <c r="F111" s="4748">
        <f t="shared" si="205"/>
        <v>503.17999999999995</v>
      </c>
      <c r="G111" s="4752">
        <f>SUM('Произв. прогр. Стоки'!L130)</f>
        <v>739.76142713833258</v>
      </c>
      <c r="H111" s="4751">
        <v>154.93</v>
      </c>
      <c r="I111" s="4751">
        <v>149.57</v>
      </c>
      <c r="J111" s="4751">
        <v>183.1</v>
      </c>
      <c r="K111" s="4748">
        <f t="shared" si="233"/>
        <v>487.6</v>
      </c>
      <c r="L111" s="4791">
        <f t="shared" si="193"/>
        <v>1479.5228542766652</v>
      </c>
      <c r="M111" s="4791">
        <f t="shared" si="194"/>
        <v>990.78</v>
      </c>
      <c r="N111" s="4791">
        <f t="shared" si="157"/>
        <v>-488.74285427666518</v>
      </c>
      <c r="O111" s="4752">
        <f>SUM('Произв. прогр. Стоки'!Q130)</f>
        <v>769.35188422386591</v>
      </c>
      <c r="P111" s="4751"/>
      <c r="Q111" s="4751"/>
      <c r="R111" s="4751"/>
      <c r="S111" s="4748">
        <f t="shared" si="234"/>
        <v>0</v>
      </c>
      <c r="T111" s="4791">
        <f t="shared" si="198"/>
        <v>2248.8747385005308</v>
      </c>
      <c r="U111" s="4791">
        <f t="shared" si="199"/>
        <v>990.78</v>
      </c>
      <c r="V111" s="4791">
        <f t="shared" si="158"/>
        <v>-1258.0947385005309</v>
      </c>
      <c r="W111" s="4752">
        <f>SUM('Произв. прогр. Стоки'!V130)</f>
        <v>769.35188422386591</v>
      </c>
      <c r="X111" s="4751"/>
      <c r="Y111" s="4751"/>
      <c r="Z111" s="4751"/>
      <c r="AA111" s="4748">
        <f t="shared" si="235"/>
        <v>0</v>
      </c>
      <c r="AB111" s="4791">
        <f t="shared" si="203"/>
        <v>3018.2266227243967</v>
      </c>
      <c r="AC111" s="4791">
        <f t="shared" si="204"/>
        <v>990.78</v>
      </c>
      <c r="AD111" s="4791">
        <f t="shared" si="159"/>
        <v>-2027.4466227243968</v>
      </c>
    </row>
    <row r="112" spans="1:30" ht="18.75" customHeight="1">
      <c r="A112" s="4700" t="s">
        <v>285</v>
      </c>
      <c r="B112" s="4752"/>
      <c r="C112" s="4751">
        <v>0.09</v>
      </c>
      <c r="D112" s="4751">
        <v>0.08</v>
      </c>
      <c r="E112" s="4751">
        <v>1.86</v>
      </c>
      <c r="F112" s="4748">
        <f t="shared" si="205"/>
        <v>2.0300000000000002</v>
      </c>
      <c r="G112" s="4752"/>
      <c r="H112" s="4751">
        <v>1.82</v>
      </c>
      <c r="I112" s="4751">
        <v>1.85</v>
      </c>
      <c r="J112" s="4751">
        <v>2.1800000000000002</v>
      </c>
      <c r="K112" s="4748">
        <f t="shared" si="233"/>
        <v>5.85</v>
      </c>
      <c r="L112" s="4791"/>
      <c r="M112" s="4791">
        <f t="shared" si="194"/>
        <v>7.88</v>
      </c>
      <c r="N112" s="4791"/>
      <c r="O112" s="4752"/>
      <c r="P112" s="4751"/>
      <c r="Q112" s="4751"/>
      <c r="R112" s="4751"/>
      <c r="S112" s="4748">
        <f t="shared" si="234"/>
        <v>0</v>
      </c>
      <c r="T112" s="4791"/>
      <c r="U112" s="4791">
        <f>SUM(M112+S112)</f>
        <v>7.88</v>
      </c>
      <c r="V112" s="4791"/>
      <c r="W112" s="4752"/>
      <c r="X112" s="4751"/>
      <c r="Y112" s="4751"/>
      <c r="Z112" s="4751"/>
      <c r="AA112" s="4748">
        <f t="shared" si="235"/>
        <v>0</v>
      </c>
      <c r="AB112" s="4791"/>
      <c r="AC112" s="4791">
        <f t="shared" si="204"/>
        <v>7.88</v>
      </c>
      <c r="AD112" s="4791"/>
    </row>
    <row r="113" spans="1:32" ht="18.75" customHeight="1">
      <c r="A113" s="4700" t="s">
        <v>1997</v>
      </c>
      <c r="B113" s="4752"/>
      <c r="C113" s="4751">
        <v>7.03</v>
      </c>
      <c r="D113" s="4751">
        <v>7.45</v>
      </c>
      <c r="E113" s="4751">
        <v>8.15</v>
      </c>
      <c r="F113" s="4748">
        <f t="shared" si="205"/>
        <v>22.630000000000003</v>
      </c>
      <c r="G113" s="4752"/>
      <c r="H113" s="4751">
        <v>5.7</v>
      </c>
      <c r="I113" s="4751">
        <v>1.62</v>
      </c>
      <c r="J113" s="4751"/>
      <c r="K113" s="4748">
        <f t="shared" si="233"/>
        <v>7.32</v>
      </c>
      <c r="L113" s="4791"/>
      <c r="M113" s="4791">
        <f t="shared" si="194"/>
        <v>29.950000000000003</v>
      </c>
      <c r="N113" s="4791"/>
      <c r="O113" s="4752"/>
      <c r="P113" s="4751"/>
      <c r="Q113" s="4751"/>
      <c r="R113" s="4751"/>
      <c r="S113" s="4748">
        <f t="shared" si="234"/>
        <v>0</v>
      </c>
      <c r="T113" s="4791"/>
      <c r="U113" s="4791">
        <f t="shared" si="199"/>
        <v>29.950000000000003</v>
      </c>
      <c r="V113" s="4791"/>
      <c r="W113" s="4752"/>
      <c r="X113" s="4751"/>
      <c r="Y113" s="4751"/>
      <c r="Z113" s="4751"/>
      <c r="AA113" s="4748">
        <f t="shared" si="235"/>
        <v>0</v>
      </c>
      <c r="AB113" s="4791"/>
      <c r="AC113" s="4791">
        <f t="shared" si="204"/>
        <v>29.950000000000003</v>
      </c>
      <c r="AD113" s="4791"/>
    </row>
    <row r="114" spans="1:32" ht="18.75" hidden="1" customHeight="1">
      <c r="A114" s="4700" t="s">
        <v>286</v>
      </c>
      <c r="B114" s="4752"/>
      <c r="C114" s="4751"/>
      <c r="D114" s="4751"/>
      <c r="E114" s="4751"/>
      <c r="F114" s="4748">
        <f t="shared" si="205"/>
        <v>0</v>
      </c>
      <c r="G114" s="4752"/>
      <c r="H114" s="4751"/>
      <c r="I114" s="4751"/>
      <c r="J114" s="4751"/>
      <c r="K114" s="4748">
        <f t="shared" si="233"/>
        <v>0</v>
      </c>
      <c r="L114" s="4791"/>
      <c r="M114" s="4791">
        <f t="shared" si="194"/>
        <v>0</v>
      </c>
      <c r="N114" s="4791"/>
      <c r="O114" s="4752"/>
      <c r="P114" s="4751"/>
      <c r="Q114" s="4751"/>
      <c r="R114" s="4751"/>
      <c r="S114" s="4748">
        <f t="shared" si="234"/>
        <v>0</v>
      </c>
      <c r="T114" s="4791"/>
      <c r="U114" s="4791">
        <f t="shared" si="199"/>
        <v>0</v>
      </c>
      <c r="V114" s="4791"/>
      <c r="W114" s="4752"/>
      <c r="X114" s="4751"/>
      <c r="Y114" s="4751"/>
      <c r="Z114" s="4751"/>
      <c r="AA114" s="4748">
        <f t="shared" si="235"/>
        <v>0</v>
      </c>
      <c r="AB114" s="4791"/>
      <c r="AC114" s="4791">
        <f t="shared" si="204"/>
        <v>0</v>
      </c>
      <c r="AD114" s="4791"/>
    </row>
    <row r="115" spans="1:32" ht="18.75" customHeight="1">
      <c r="A115" s="4700" t="s">
        <v>1729</v>
      </c>
      <c r="B115" s="4752">
        <f>SUM('Произв. прогр. Стоки'!H131)</f>
        <v>352.49590683261818</v>
      </c>
      <c r="C115" s="4751">
        <v>143.03</v>
      </c>
      <c r="D115" s="4751">
        <v>91.8</v>
      </c>
      <c r="E115" s="4751">
        <v>376.32</v>
      </c>
      <c r="F115" s="4748">
        <f t="shared" si="205"/>
        <v>611.15</v>
      </c>
      <c r="G115" s="4752">
        <f>SUM('Произв. прогр. Стоки'!L131)</f>
        <v>352.49590683261818</v>
      </c>
      <c r="H115" s="4751">
        <v>153.41</v>
      </c>
      <c r="I115" s="4751">
        <v>70.180000000000007</v>
      </c>
      <c r="J115" s="4751">
        <v>89.43</v>
      </c>
      <c r="K115" s="4748">
        <f t="shared" si="233"/>
        <v>313.02</v>
      </c>
      <c r="L115" s="4791">
        <f t="shared" si="193"/>
        <v>704.99181366523635</v>
      </c>
      <c r="M115" s="4791">
        <f t="shared" si="194"/>
        <v>924.17</v>
      </c>
      <c r="N115" s="4791">
        <f t="shared" si="157"/>
        <v>219.17818633476361</v>
      </c>
      <c r="O115" s="4752">
        <f>SUM('Произв. прогр. Стоки'!Q131)</f>
        <v>352.49590683261818</v>
      </c>
      <c r="P115" s="4751"/>
      <c r="Q115" s="4751"/>
      <c r="R115" s="4751"/>
      <c r="S115" s="4748">
        <f t="shared" si="234"/>
        <v>0</v>
      </c>
      <c r="T115" s="4791">
        <f t="shared" si="198"/>
        <v>1057.4877204978545</v>
      </c>
      <c r="U115" s="4791">
        <f t="shared" si="199"/>
        <v>924.17</v>
      </c>
      <c r="V115" s="4791">
        <f t="shared" si="158"/>
        <v>-133.31772049785457</v>
      </c>
      <c r="W115" s="4752">
        <f>SUM('Произв. прогр. Стоки'!V131)</f>
        <v>352.49590683261818</v>
      </c>
      <c r="X115" s="4751"/>
      <c r="Y115" s="4751"/>
      <c r="Z115" s="4751"/>
      <c r="AA115" s="4748">
        <f t="shared" si="235"/>
        <v>0</v>
      </c>
      <c r="AB115" s="4791">
        <f t="shared" si="203"/>
        <v>1409.9836273304727</v>
      </c>
      <c r="AC115" s="4791">
        <f t="shared" si="204"/>
        <v>924.17</v>
      </c>
      <c r="AD115" s="4791">
        <f t="shared" si="159"/>
        <v>-485.81362733047274</v>
      </c>
    </row>
    <row r="116" spans="1:32" ht="18.75" customHeight="1">
      <c r="A116" s="4721" t="s">
        <v>1730</v>
      </c>
      <c r="B116" s="4760">
        <f>SUM('Произв. прогр. Стоки'!H132)</f>
        <v>0</v>
      </c>
      <c r="C116" s="4722">
        <f>SUM(C117:C117)</f>
        <v>0</v>
      </c>
      <c r="D116" s="4722">
        <f>SUM(D117:D117)</f>
        <v>0</v>
      </c>
      <c r="E116" s="4722">
        <f>SUM(E117:E117)</f>
        <v>0</v>
      </c>
      <c r="F116" s="4722">
        <f>SUM(F117:F117)</f>
        <v>0</v>
      </c>
      <c r="G116" s="4760">
        <f>SUM('Произв. прогр. Стоки'!L132)</f>
        <v>0</v>
      </c>
      <c r="H116" s="4722">
        <f>SUM(H117:H117)</f>
        <v>0</v>
      </c>
      <c r="I116" s="4722">
        <f>SUM(I117:I117)</f>
        <v>0</v>
      </c>
      <c r="J116" s="4722">
        <f>SUM(J117:J117)</f>
        <v>0</v>
      </c>
      <c r="K116" s="4722">
        <f>SUM(K117:K117)</f>
        <v>0</v>
      </c>
      <c r="L116" s="4779">
        <f t="shared" si="193"/>
        <v>0</v>
      </c>
      <c r="M116" s="4779">
        <f t="shared" si="194"/>
        <v>0</v>
      </c>
      <c r="N116" s="4779">
        <f t="shared" si="157"/>
        <v>0</v>
      </c>
      <c r="O116" s="4760">
        <f>SUM('Произв. прогр. Стоки'!Q132)</f>
        <v>0</v>
      </c>
      <c r="P116" s="4722">
        <f>SUM(P117:P117)</f>
        <v>0</v>
      </c>
      <c r="Q116" s="4722">
        <f>SUM(Q117:Q117)</f>
        <v>0</v>
      </c>
      <c r="R116" s="4722">
        <f>SUM(R117:R117)</f>
        <v>0</v>
      </c>
      <c r="S116" s="4722">
        <f>SUM(S117:S117)</f>
        <v>0</v>
      </c>
      <c r="T116" s="4779">
        <f t="shared" si="198"/>
        <v>0</v>
      </c>
      <c r="U116" s="4779">
        <f t="shared" si="199"/>
        <v>0</v>
      </c>
      <c r="V116" s="4779">
        <f t="shared" si="158"/>
        <v>0</v>
      </c>
      <c r="W116" s="4760">
        <f>SUM('Произв. прогр. Стоки'!V132)</f>
        <v>0</v>
      </c>
      <c r="X116" s="4722">
        <f>SUM(X117:X117)</f>
        <v>0</v>
      </c>
      <c r="Y116" s="4722">
        <f>SUM(Y117:Y117)</f>
        <v>0</v>
      </c>
      <c r="Z116" s="4722">
        <f>SUM(Z117:Z117)</f>
        <v>0</v>
      </c>
      <c r="AA116" s="4722">
        <f>SUM(AA117:AA117)</f>
        <v>0</v>
      </c>
      <c r="AB116" s="4779">
        <f t="shared" si="203"/>
        <v>0</v>
      </c>
      <c r="AC116" s="4779">
        <f t="shared" si="204"/>
        <v>0</v>
      </c>
      <c r="AD116" s="4779">
        <f t="shared" si="159"/>
        <v>0</v>
      </c>
    </row>
    <row r="117" spans="1:32" ht="18.75" hidden="1" customHeight="1">
      <c r="A117" s="4728" t="s">
        <v>286</v>
      </c>
      <c r="B117" s="4752">
        <f>SUM('Произв. прогр. Стоки'!H133)</f>
        <v>0</v>
      </c>
      <c r="C117" s="4751"/>
      <c r="D117" s="4751"/>
      <c r="E117" s="4751"/>
      <c r="F117" s="4748">
        <f t="shared" si="205"/>
        <v>0</v>
      </c>
      <c r="G117" s="4752">
        <f>SUM('Произв. прогр. Стоки'!L133)</f>
        <v>0</v>
      </c>
      <c r="H117" s="4751"/>
      <c r="I117" s="4751"/>
      <c r="J117" s="4751"/>
      <c r="K117" s="4748">
        <f t="shared" ref="K117:K118" si="236">SUM(H117:J117)</f>
        <v>0</v>
      </c>
      <c r="L117" s="4791">
        <f t="shared" si="193"/>
        <v>0</v>
      </c>
      <c r="M117" s="4791">
        <f t="shared" si="194"/>
        <v>0</v>
      </c>
      <c r="N117" s="4791">
        <f t="shared" si="157"/>
        <v>0</v>
      </c>
      <c r="O117" s="4752">
        <f>SUM('Произв. прогр. Стоки'!Q133)</f>
        <v>0</v>
      </c>
      <c r="P117" s="4751"/>
      <c r="Q117" s="4751"/>
      <c r="R117" s="4751"/>
      <c r="S117" s="4748">
        <f t="shared" ref="S117:S118" si="237">SUM(P117:R117)</f>
        <v>0</v>
      </c>
      <c r="T117" s="4791">
        <f t="shared" si="198"/>
        <v>0</v>
      </c>
      <c r="U117" s="4791">
        <f t="shared" si="199"/>
        <v>0</v>
      </c>
      <c r="V117" s="4791">
        <f t="shared" si="158"/>
        <v>0</v>
      </c>
      <c r="W117" s="4752">
        <f>SUM('Произв. прогр. Стоки'!V133)</f>
        <v>0</v>
      </c>
      <c r="X117" s="4751"/>
      <c r="Y117" s="4751"/>
      <c r="Z117" s="4751"/>
      <c r="AA117" s="4748">
        <f t="shared" ref="AA117:AA118" si="238">SUM(X117:Z117)</f>
        <v>0</v>
      </c>
      <c r="AB117" s="4791">
        <f t="shared" si="203"/>
        <v>0</v>
      </c>
      <c r="AC117" s="4791">
        <f t="shared" si="204"/>
        <v>0</v>
      </c>
      <c r="AD117" s="4791">
        <f t="shared" si="159"/>
        <v>0</v>
      </c>
    </row>
    <row r="118" spans="1:32" ht="18.75" customHeight="1">
      <c r="A118" s="4721" t="s">
        <v>1731</v>
      </c>
      <c r="B118" s="4760">
        <f>SUM('Произв. прогр. Стоки'!H134)</f>
        <v>91.342119864841322</v>
      </c>
      <c r="C118" s="4764"/>
      <c r="D118" s="4764"/>
      <c r="E118" s="4764"/>
      <c r="F118" s="4756">
        <f t="shared" si="205"/>
        <v>0</v>
      </c>
      <c r="G118" s="4760">
        <f>SUM('Произв. прогр. Стоки'!L134)</f>
        <v>91.342119864841322</v>
      </c>
      <c r="H118" s="4764"/>
      <c r="I118" s="4764"/>
      <c r="J118" s="4764"/>
      <c r="K118" s="4756">
        <f t="shared" si="236"/>
        <v>0</v>
      </c>
      <c r="L118" s="4779">
        <f t="shared" ref="L118" si="239">SUM(G118+B118)</f>
        <v>182.68423972968264</v>
      </c>
      <c r="M118" s="4779">
        <f t="shared" si="194"/>
        <v>0</v>
      </c>
      <c r="N118" s="4779">
        <f t="shared" si="157"/>
        <v>-182.68423972968264</v>
      </c>
      <c r="O118" s="4760">
        <f>SUM('Произв. прогр. Стоки'!Q134)</f>
        <v>91.342119864841322</v>
      </c>
      <c r="P118" s="4764"/>
      <c r="Q118" s="4764"/>
      <c r="R118" s="4764"/>
      <c r="S118" s="4756">
        <f t="shared" si="237"/>
        <v>0</v>
      </c>
      <c r="T118" s="4779">
        <f t="shared" ref="T118" si="240">SUM(L118+O118)</f>
        <v>274.02635959452397</v>
      </c>
      <c r="U118" s="4779">
        <f t="shared" si="199"/>
        <v>0</v>
      </c>
      <c r="V118" s="4779">
        <f t="shared" ref="V118" si="241">SUM(U118-T118)</f>
        <v>-274.02635959452397</v>
      </c>
      <c r="W118" s="4760">
        <f>SUM('Произв. прогр. Стоки'!V134)</f>
        <v>91.342119864841322</v>
      </c>
      <c r="X118" s="4764"/>
      <c r="Y118" s="4764"/>
      <c r="Z118" s="4764"/>
      <c r="AA118" s="4756">
        <f t="shared" si="238"/>
        <v>0</v>
      </c>
      <c r="AB118" s="4779">
        <f t="shared" ref="AB118" si="242">SUM(W118+T118)</f>
        <v>365.36847945936529</v>
      </c>
      <c r="AC118" s="4779">
        <f t="shared" si="204"/>
        <v>0</v>
      </c>
      <c r="AD118" s="4779">
        <f t="shared" ref="AD118" si="243">SUM(AC118-AB118)</f>
        <v>-365.36847945936529</v>
      </c>
    </row>
    <row r="119" spans="1:32" ht="18.75" customHeight="1">
      <c r="A119" s="4721" t="s">
        <v>12</v>
      </c>
      <c r="B119" s="4756">
        <f t="shared" ref="B119:K119" si="244">SUM(B15+B34+B69+B88+B105+B109+B116+B118)</f>
        <v>22021.42681522265</v>
      </c>
      <c r="C119" s="4756">
        <f t="shared" si="244"/>
        <v>6236.98</v>
      </c>
      <c r="D119" s="4756">
        <f t="shared" si="244"/>
        <v>5858.09</v>
      </c>
      <c r="E119" s="4756">
        <f t="shared" si="244"/>
        <v>7601.869999999999</v>
      </c>
      <c r="F119" s="4756">
        <f t="shared" si="244"/>
        <v>19696.940000000002</v>
      </c>
      <c r="G119" s="4756">
        <f t="shared" si="244"/>
        <v>21829.018854598642</v>
      </c>
      <c r="H119" s="4756">
        <f t="shared" si="244"/>
        <v>6737.2</v>
      </c>
      <c r="I119" s="4756">
        <f t="shared" si="244"/>
        <v>6461.1</v>
      </c>
      <c r="J119" s="4756">
        <f t="shared" si="244"/>
        <v>7100.3099999999995</v>
      </c>
      <c r="K119" s="4756">
        <f t="shared" si="244"/>
        <v>20298.61</v>
      </c>
      <c r="L119" s="4779">
        <f t="shared" si="193"/>
        <v>43850.445669821289</v>
      </c>
      <c r="M119" s="4779">
        <f t="shared" si="194"/>
        <v>39995.550000000003</v>
      </c>
      <c r="N119" s="4779">
        <f t="shared" si="157"/>
        <v>-3854.895669821286</v>
      </c>
      <c r="O119" s="4756">
        <f>SUM(O15+O34+O69+O88+O105+O109+O116+O118)</f>
        <v>22619.908331505667</v>
      </c>
      <c r="P119" s="4756">
        <f>SUM(P15+P34+P69+P88+P105+P109+P116+P118)</f>
        <v>0</v>
      </c>
      <c r="Q119" s="4756">
        <f>SUM(Q15+Q34+Q69+Q88+Q105+Q109+Q116+Q118)</f>
        <v>0</v>
      </c>
      <c r="R119" s="4756">
        <f>SUM(R15+R34+R69+R88+R105+R109+R116+R118)</f>
        <v>0</v>
      </c>
      <c r="S119" s="4756">
        <f>SUM(S15+S34+S69+S88+S105+S109+S116+S118)</f>
        <v>0</v>
      </c>
      <c r="T119" s="4779">
        <f t="shared" si="198"/>
        <v>66470.354001326952</v>
      </c>
      <c r="U119" s="4779">
        <f t="shared" si="199"/>
        <v>39995.550000000003</v>
      </c>
      <c r="V119" s="4779">
        <f t="shared" si="158"/>
        <v>-26474.804001326949</v>
      </c>
      <c r="W119" s="4756">
        <f>SUM(W15+W34+W69+W88+W105+W109+W116+W118)</f>
        <v>22820.827885489016</v>
      </c>
      <c r="X119" s="4756">
        <f>SUM(X15+X34+X69+X88+X105+X109+X116+X118)</f>
        <v>0</v>
      </c>
      <c r="Y119" s="4756">
        <f>SUM(Y15+Y34+Y69+Y88+Y105+Y109+Y116+Y118)</f>
        <v>0</v>
      </c>
      <c r="Z119" s="4756">
        <f>SUM(Z15+Z34+Z69+Z88+Z105+Z109+Z116+Z118)</f>
        <v>0</v>
      </c>
      <c r="AA119" s="4756">
        <f>SUM(AA15+AA34+AA69+AA88+AA105+AA109+AA116+AA118)</f>
        <v>0</v>
      </c>
      <c r="AB119" s="4779">
        <f>SUM(W119+T119)</f>
        <v>89291.181886815961</v>
      </c>
      <c r="AC119" s="4779">
        <f t="shared" si="204"/>
        <v>39995.550000000003</v>
      </c>
      <c r="AD119" s="4779">
        <f t="shared" si="159"/>
        <v>-49295.631886815958</v>
      </c>
    </row>
    <row r="120" spans="1:32" ht="18.75" customHeight="1">
      <c r="A120" s="4721" t="s">
        <v>13</v>
      </c>
      <c r="B120" s="4760">
        <f>SUM(B8)</f>
        <v>829.99749999999995</v>
      </c>
      <c r="C120" s="4760">
        <f>SUM(C8)</f>
        <v>270.68799999999999</v>
      </c>
      <c r="D120" s="4760">
        <f t="shared" ref="D120:F120" si="245">SUM(D8)</f>
        <v>264.64999999999998</v>
      </c>
      <c r="E120" s="4760">
        <f t="shared" si="245"/>
        <v>261.37</v>
      </c>
      <c r="F120" s="4760">
        <f t="shared" si="245"/>
        <v>796.70799999999997</v>
      </c>
      <c r="G120" s="4760">
        <f>SUM(G8)</f>
        <v>794.46749999999986</v>
      </c>
      <c r="H120" s="4760">
        <f>SUM(H8)</f>
        <v>274.02999999999997</v>
      </c>
      <c r="I120" s="4760">
        <f t="shared" ref="I120:K120" si="246">SUM(I8)</f>
        <v>261.78999999999996</v>
      </c>
      <c r="J120" s="4760">
        <f t="shared" si="246"/>
        <v>281.02999999999997</v>
      </c>
      <c r="K120" s="4760">
        <f t="shared" si="246"/>
        <v>816.84999999999991</v>
      </c>
      <c r="L120" s="4779">
        <f t="shared" si="193"/>
        <v>1624.4649999999997</v>
      </c>
      <c r="M120" s="4779">
        <f t="shared" si="194"/>
        <v>1613.558</v>
      </c>
      <c r="N120" s="4779">
        <f t="shared" si="157"/>
        <v>-10.906999999999698</v>
      </c>
      <c r="O120" s="4760">
        <f>SUM(O8)</f>
        <v>794.46749999999986</v>
      </c>
      <c r="P120" s="4760">
        <f>SUM(P8)</f>
        <v>0</v>
      </c>
      <c r="Q120" s="4760">
        <f t="shared" ref="Q120:S120" si="247">SUM(Q8)</f>
        <v>0</v>
      </c>
      <c r="R120" s="4760">
        <f t="shared" si="247"/>
        <v>0</v>
      </c>
      <c r="S120" s="4760">
        <f t="shared" si="247"/>
        <v>0</v>
      </c>
      <c r="T120" s="4779">
        <f t="shared" ref="T120" si="248">SUM(L120+O120)</f>
        <v>2418.9324999999994</v>
      </c>
      <c r="U120" s="4779">
        <f t="shared" si="199"/>
        <v>1613.558</v>
      </c>
      <c r="V120" s="4779">
        <f t="shared" si="158"/>
        <v>-805.37449999999944</v>
      </c>
      <c r="W120" s="4760">
        <f>SUM(W8)</f>
        <v>829.99749999999995</v>
      </c>
      <c r="X120" s="4760">
        <f>SUM(X8)</f>
        <v>0</v>
      </c>
      <c r="Y120" s="4760">
        <f t="shared" ref="Y120:AA120" si="249">SUM(Y8)</f>
        <v>0</v>
      </c>
      <c r="Z120" s="4760">
        <f t="shared" si="249"/>
        <v>0</v>
      </c>
      <c r="AA120" s="4760">
        <f t="shared" si="249"/>
        <v>0</v>
      </c>
      <c r="AB120" s="4779">
        <f>SUM(W120+T120)</f>
        <v>3248.9299999999994</v>
      </c>
      <c r="AC120" s="4779">
        <f t="shared" si="204"/>
        <v>1613.558</v>
      </c>
      <c r="AD120" s="4779">
        <f t="shared" si="159"/>
        <v>-1635.3719999999994</v>
      </c>
    </row>
    <row r="121" spans="1:32" ht="18.75" customHeight="1">
      <c r="A121" s="4721" t="s">
        <v>14</v>
      </c>
      <c r="B121" s="4756">
        <f t="shared" ref="B121:M121" si="250">SUM(B119/B120)</f>
        <v>26.53191945183287</v>
      </c>
      <c r="C121" s="4756">
        <f t="shared" si="250"/>
        <v>23.041213500413761</v>
      </c>
      <c r="D121" s="4756">
        <f t="shared" si="250"/>
        <v>22.135235216323448</v>
      </c>
      <c r="E121" s="4756">
        <f t="shared" si="250"/>
        <v>29.084707502773842</v>
      </c>
      <c r="F121" s="4756">
        <f t="shared" si="250"/>
        <v>24.722909773718857</v>
      </c>
      <c r="G121" s="4756">
        <f t="shared" si="250"/>
        <v>27.476289281309363</v>
      </c>
      <c r="H121" s="4756">
        <f t="shared" si="250"/>
        <v>24.585629310659417</v>
      </c>
      <c r="I121" s="4756">
        <f t="shared" si="250"/>
        <v>24.680469078268846</v>
      </c>
      <c r="J121" s="4756">
        <f t="shared" si="250"/>
        <v>25.265309753407109</v>
      </c>
      <c r="K121" s="4756">
        <f t="shared" si="250"/>
        <v>24.849862275815635</v>
      </c>
      <c r="L121" s="4759">
        <f t="shared" si="250"/>
        <v>26.99377682487545</v>
      </c>
      <c r="M121" s="4759">
        <f t="shared" si="250"/>
        <v>24.787178397057932</v>
      </c>
      <c r="N121" s="4779">
        <f t="shared" ref="N121:N125" si="251">SUM(M121-L121)</f>
        <v>-2.2065984278175179</v>
      </c>
      <c r="O121" s="4756">
        <f t="shared" ref="O121:U121" si="252">SUM(O119/O120)</f>
        <v>28.471785606718552</v>
      </c>
      <c r="P121" s="4756" t="e">
        <f t="shared" si="252"/>
        <v>#DIV/0!</v>
      </c>
      <c r="Q121" s="4756" t="e">
        <f t="shared" si="252"/>
        <v>#DIV/0!</v>
      </c>
      <c r="R121" s="4756" t="e">
        <f t="shared" si="252"/>
        <v>#DIV/0!</v>
      </c>
      <c r="S121" s="4756" t="e">
        <f t="shared" si="252"/>
        <v>#DIV/0!</v>
      </c>
      <c r="T121" s="4759">
        <f t="shared" si="252"/>
        <v>27.479209941297231</v>
      </c>
      <c r="U121" s="4759">
        <f t="shared" si="252"/>
        <v>24.787178397057932</v>
      </c>
      <c r="V121" s="4779">
        <f t="shared" ref="V121:V125" si="253">SUM(U121-T121)</f>
        <v>-2.692031544239299</v>
      </c>
      <c r="W121" s="4756">
        <f t="shared" ref="W121:AC121" si="254">SUM(W119/W120)</f>
        <v>27.495056172445118</v>
      </c>
      <c r="X121" s="4756" t="e">
        <f t="shared" si="254"/>
        <v>#DIV/0!</v>
      </c>
      <c r="Y121" s="4756" t="e">
        <f t="shared" si="254"/>
        <v>#DIV/0!</v>
      </c>
      <c r="Z121" s="4756" t="e">
        <f t="shared" si="254"/>
        <v>#DIV/0!</v>
      </c>
      <c r="AA121" s="4756" t="e">
        <f t="shared" si="254"/>
        <v>#DIV/0!</v>
      </c>
      <c r="AB121" s="4759">
        <f t="shared" si="254"/>
        <v>27.48325814554822</v>
      </c>
      <c r="AC121" s="4759">
        <f t="shared" si="254"/>
        <v>24.787178397057932</v>
      </c>
      <c r="AD121" s="4779">
        <f t="shared" si="159"/>
        <v>-2.6960797484902876</v>
      </c>
    </row>
    <row r="122" spans="1:32" ht="18.75" customHeight="1">
      <c r="A122" s="4721" t="s">
        <v>2028</v>
      </c>
      <c r="B122" s="4760">
        <f>SUM(B123:B124)</f>
        <v>0</v>
      </c>
      <c r="C122" s="4760">
        <f t="shared" ref="C122:F122" si="255">SUM(C123:C124)</f>
        <v>0</v>
      </c>
      <c r="D122" s="4760">
        <f t="shared" si="255"/>
        <v>0</v>
      </c>
      <c r="E122" s="4760">
        <f t="shared" si="255"/>
        <v>0</v>
      </c>
      <c r="F122" s="4760">
        <f t="shared" si="255"/>
        <v>0</v>
      </c>
      <c r="G122" s="4760">
        <f>SUM(G123:G124)</f>
        <v>0</v>
      </c>
      <c r="H122" s="4760">
        <f t="shared" ref="H122:K122" si="256">SUM(H123:H124)</f>
        <v>0</v>
      </c>
      <c r="I122" s="4760">
        <f t="shared" si="256"/>
        <v>0</v>
      </c>
      <c r="J122" s="4760">
        <f t="shared" si="256"/>
        <v>0</v>
      </c>
      <c r="K122" s="4760">
        <f t="shared" si="256"/>
        <v>0</v>
      </c>
      <c r="L122" s="4779">
        <f t="shared" ref="L122:L125" si="257">SUM(G122+B122)</f>
        <v>0</v>
      </c>
      <c r="M122" s="4779">
        <f t="shared" ref="M122:M125" si="258">SUM(K122+F122)</f>
        <v>0</v>
      </c>
      <c r="N122" s="4779">
        <f t="shared" si="251"/>
        <v>0</v>
      </c>
      <c r="O122" s="4760">
        <f>SUM(O123:O124)</f>
        <v>0</v>
      </c>
      <c r="P122" s="4760">
        <f t="shared" ref="P122:S122" si="259">SUM(P123:P124)</f>
        <v>0</v>
      </c>
      <c r="Q122" s="4760">
        <f t="shared" si="259"/>
        <v>0</v>
      </c>
      <c r="R122" s="4760">
        <f t="shared" si="259"/>
        <v>0</v>
      </c>
      <c r="S122" s="4760">
        <f t="shared" si="259"/>
        <v>0</v>
      </c>
      <c r="T122" s="4779">
        <f t="shared" ref="T122:T125" si="260">SUM(L122+O122)</f>
        <v>0</v>
      </c>
      <c r="U122" s="4779">
        <f t="shared" ref="U122:U125" si="261">SUM(M122+S122)</f>
        <v>0</v>
      </c>
      <c r="V122" s="4779">
        <f t="shared" si="253"/>
        <v>0</v>
      </c>
      <c r="W122" s="4760">
        <f>SUM(W123:W124)</f>
        <v>0</v>
      </c>
      <c r="X122" s="4760">
        <f t="shared" ref="X122:AA122" si="262">SUM(X123:X124)</f>
        <v>0</v>
      </c>
      <c r="Y122" s="4760">
        <f t="shared" si="262"/>
        <v>0</v>
      </c>
      <c r="Z122" s="4760">
        <f t="shared" si="262"/>
        <v>0</v>
      </c>
      <c r="AA122" s="4760">
        <f t="shared" si="262"/>
        <v>0</v>
      </c>
      <c r="AB122" s="4779">
        <f t="shared" ref="AB122:AB124" si="263">SUM(W122+T122)</f>
        <v>0</v>
      </c>
      <c r="AC122" s="4779">
        <f t="shared" ref="AC122:AC125" si="264">SUM(AA122+U122)</f>
        <v>0</v>
      </c>
      <c r="AD122" s="4779">
        <f t="shared" si="159"/>
        <v>0</v>
      </c>
    </row>
    <row r="123" spans="1:32" ht="18.75" customHeight="1">
      <c r="A123" s="4728" t="s">
        <v>2000</v>
      </c>
      <c r="B123" s="4752">
        <v>0</v>
      </c>
      <c r="C123" s="4751"/>
      <c r="D123" s="4751"/>
      <c r="E123" s="4751"/>
      <c r="F123" s="4743">
        <f t="shared" ref="F123:F125" si="265">SUM(C123:E123)</f>
        <v>0</v>
      </c>
      <c r="G123" s="4752">
        <v>0</v>
      </c>
      <c r="H123" s="4751"/>
      <c r="I123" s="4751"/>
      <c r="J123" s="4751"/>
      <c r="K123" s="4743">
        <f t="shared" ref="K123:K125" si="266">SUM(H123:J123)</f>
        <v>0</v>
      </c>
      <c r="L123" s="4786">
        <f t="shared" si="257"/>
        <v>0</v>
      </c>
      <c r="M123" s="4786">
        <f t="shared" si="258"/>
        <v>0</v>
      </c>
      <c r="N123" s="4786">
        <f t="shared" si="251"/>
        <v>0</v>
      </c>
      <c r="O123" s="4752">
        <v>0</v>
      </c>
      <c r="P123" s="4751"/>
      <c r="Q123" s="4751"/>
      <c r="R123" s="4751"/>
      <c r="S123" s="4743">
        <f t="shared" ref="S123:S125" si="267">SUM(P123:R123)</f>
        <v>0</v>
      </c>
      <c r="T123" s="4786">
        <f t="shared" si="260"/>
        <v>0</v>
      </c>
      <c r="U123" s="4786">
        <f t="shared" si="261"/>
        <v>0</v>
      </c>
      <c r="V123" s="4786">
        <f t="shared" si="253"/>
        <v>0</v>
      </c>
      <c r="W123" s="4752">
        <v>0</v>
      </c>
      <c r="X123" s="4751"/>
      <c r="Y123" s="4751"/>
      <c r="Z123" s="4751"/>
      <c r="AA123" s="4743">
        <f t="shared" ref="AA123:AA125" si="268">SUM(X123:Z123)</f>
        <v>0</v>
      </c>
      <c r="AB123" s="4786">
        <f t="shared" si="263"/>
        <v>0</v>
      </c>
      <c r="AC123" s="4786">
        <f t="shared" si="264"/>
        <v>0</v>
      </c>
      <c r="AD123" s="4786">
        <f t="shared" si="159"/>
        <v>0</v>
      </c>
      <c r="AE123" s="189"/>
      <c r="AF123" s="189"/>
    </row>
    <row r="124" spans="1:32" ht="18.75" customHeight="1">
      <c r="A124" s="4728" t="s">
        <v>300</v>
      </c>
      <c r="B124" s="4752">
        <v>0</v>
      </c>
      <c r="C124" s="4751"/>
      <c r="D124" s="4751"/>
      <c r="E124" s="4751"/>
      <c r="F124" s="4743">
        <f t="shared" si="265"/>
        <v>0</v>
      </c>
      <c r="G124" s="4752">
        <v>0</v>
      </c>
      <c r="H124" s="4751"/>
      <c r="I124" s="4751"/>
      <c r="J124" s="4751"/>
      <c r="K124" s="4743">
        <f t="shared" si="266"/>
        <v>0</v>
      </c>
      <c r="L124" s="4786">
        <f t="shared" si="257"/>
        <v>0</v>
      </c>
      <c r="M124" s="4786">
        <f t="shared" si="258"/>
        <v>0</v>
      </c>
      <c r="N124" s="4786">
        <f t="shared" si="251"/>
        <v>0</v>
      </c>
      <c r="O124" s="4752">
        <v>0</v>
      </c>
      <c r="P124" s="4751"/>
      <c r="Q124" s="4751"/>
      <c r="R124" s="4751"/>
      <c r="S124" s="4743">
        <f t="shared" si="267"/>
        <v>0</v>
      </c>
      <c r="T124" s="4786">
        <f t="shared" si="260"/>
        <v>0</v>
      </c>
      <c r="U124" s="4786">
        <f t="shared" si="261"/>
        <v>0</v>
      </c>
      <c r="V124" s="4786">
        <f t="shared" si="253"/>
        <v>0</v>
      </c>
      <c r="W124" s="4752">
        <v>0</v>
      </c>
      <c r="X124" s="4751"/>
      <c r="Y124" s="4751"/>
      <c r="Z124" s="4751"/>
      <c r="AA124" s="4743">
        <f t="shared" si="268"/>
        <v>0</v>
      </c>
      <c r="AB124" s="4786">
        <f t="shared" si="263"/>
        <v>0</v>
      </c>
      <c r="AC124" s="4786">
        <f t="shared" si="264"/>
        <v>0</v>
      </c>
      <c r="AD124" s="4786">
        <f t="shared" si="159"/>
        <v>0</v>
      </c>
      <c r="AE124" s="189"/>
      <c r="AF124" s="189"/>
    </row>
    <row r="125" spans="1:32" ht="18.75" customHeight="1">
      <c r="A125" s="4721" t="s">
        <v>2001</v>
      </c>
      <c r="B125" s="4760">
        <f>SUM(B119+B122)</f>
        <v>22021.42681522265</v>
      </c>
      <c r="C125" s="4760">
        <f>SUM(C119+C122)</f>
        <v>6236.98</v>
      </c>
      <c r="D125" s="4760">
        <f>SUM(D119+D122)</f>
        <v>5858.09</v>
      </c>
      <c r="E125" s="4760">
        <f>SUM(E119+E122)</f>
        <v>7601.869999999999</v>
      </c>
      <c r="F125" s="4756">
        <f t="shared" si="265"/>
        <v>19696.939999999999</v>
      </c>
      <c r="G125" s="4760">
        <f>SUM(G119+G122)</f>
        <v>21829.018854598642</v>
      </c>
      <c r="H125" s="4760">
        <f>SUM(H119+H122)</f>
        <v>6737.2</v>
      </c>
      <c r="I125" s="4760">
        <f>SUM(I119+I122)</f>
        <v>6461.1</v>
      </c>
      <c r="J125" s="4760">
        <f>SUM(J119+J122)</f>
        <v>7100.3099999999995</v>
      </c>
      <c r="K125" s="4756">
        <f t="shared" si="266"/>
        <v>20298.61</v>
      </c>
      <c r="L125" s="4779">
        <f t="shared" si="257"/>
        <v>43850.445669821289</v>
      </c>
      <c r="M125" s="4779">
        <f t="shared" si="258"/>
        <v>39995.550000000003</v>
      </c>
      <c r="N125" s="4779">
        <f t="shared" si="251"/>
        <v>-3854.895669821286</v>
      </c>
      <c r="O125" s="4760">
        <f>SUM(O119+O122)</f>
        <v>22619.908331505667</v>
      </c>
      <c r="P125" s="4760">
        <f>SUM(P119+P122)</f>
        <v>0</v>
      </c>
      <c r="Q125" s="4760">
        <f>SUM(Q119+Q122)</f>
        <v>0</v>
      </c>
      <c r="R125" s="4760">
        <f>SUM(R119+R122)</f>
        <v>0</v>
      </c>
      <c r="S125" s="4756">
        <f t="shared" si="267"/>
        <v>0</v>
      </c>
      <c r="T125" s="4779">
        <f t="shared" si="260"/>
        <v>66470.354001326952</v>
      </c>
      <c r="U125" s="4779">
        <f t="shared" si="261"/>
        <v>39995.550000000003</v>
      </c>
      <c r="V125" s="4779">
        <f t="shared" si="253"/>
        <v>-26474.804001326949</v>
      </c>
      <c r="W125" s="4760">
        <f>SUM(W119+W122)</f>
        <v>22820.827885489016</v>
      </c>
      <c r="X125" s="4760">
        <f>SUM(X119+X122)</f>
        <v>0</v>
      </c>
      <c r="Y125" s="4760">
        <f>SUM(Y119+Y122)</f>
        <v>0</v>
      </c>
      <c r="Z125" s="4760">
        <f>SUM(Z119+Z122)</f>
        <v>0</v>
      </c>
      <c r="AA125" s="4756">
        <f t="shared" si="268"/>
        <v>0</v>
      </c>
      <c r="AB125" s="4779">
        <f>SUM(W125+T125)</f>
        <v>89291.181886815961</v>
      </c>
      <c r="AC125" s="4779">
        <f t="shared" si="264"/>
        <v>39995.550000000003</v>
      </c>
      <c r="AD125" s="4779">
        <f t="shared" si="159"/>
        <v>-49295.631886815958</v>
      </c>
    </row>
    <row r="126" spans="1:32" ht="18.75" customHeight="1">
      <c r="A126" s="4792"/>
      <c r="B126" s="618"/>
      <c r="C126" s="618"/>
      <c r="D126" s="618"/>
      <c r="E126" s="618"/>
      <c r="F126" s="618"/>
      <c r="G126" s="618"/>
      <c r="H126" s="618"/>
      <c r="I126" s="618"/>
      <c r="J126" s="618"/>
      <c r="K126" s="618"/>
      <c r="L126" s="618"/>
      <c r="M126" s="618"/>
      <c r="N126" s="618"/>
      <c r="O126" s="618"/>
      <c r="P126" s="618"/>
      <c r="Q126" s="618"/>
      <c r="R126" s="618"/>
      <c r="S126" s="618"/>
      <c r="T126" s="618"/>
      <c r="U126" s="618"/>
      <c r="V126" s="618"/>
      <c r="W126" s="618"/>
      <c r="X126" s="618"/>
      <c r="Y126" s="618"/>
      <c r="Z126" s="618"/>
      <c r="AA126" s="618"/>
      <c r="AB126" s="618"/>
    </row>
    <row r="127" spans="1:32" ht="18.75" customHeight="1">
      <c r="A127" s="4793" t="s">
        <v>2029</v>
      </c>
      <c r="B127" s="618"/>
      <c r="C127" s="618"/>
      <c r="D127" s="618"/>
      <c r="E127" s="618"/>
      <c r="F127" s="618"/>
      <c r="G127" s="618"/>
      <c r="H127" s="618"/>
      <c r="I127" s="618"/>
      <c r="J127" s="618"/>
      <c r="K127" s="618"/>
      <c r="L127" s="618"/>
      <c r="M127" s="618"/>
      <c r="N127" s="618"/>
      <c r="O127" s="618"/>
      <c r="P127" s="618"/>
      <c r="Q127" s="618"/>
      <c r="R127" s="618"/>
      <c r="S127" s="618"/>
      <c r="T127" s="618"/>
      <c r="U127" s="618"/>
      <c r="V127" s="618"/>
      <c r="W127" s="618"/>
      <c r="X127" s="618"/>
      <c r="Y127" s="618"/>
      <c r="Z127" s="618"/>
      <c r="AA127" s="618"/>
      <c r="AB127" s="618"/>
    </row>
    <row r="128" spans="1:32" ht="18.75" customHeight="1">
      <c r="A128" s="4793" t="s">
        <v>2030</v>
      </c>
      <c r="B128" s="618"/>
      <c r="C128" s="618"/>
      <c r="D128" s="618"/>
      <c r="E128" s="618"/>
      <c r="F128" s="618"/>
      <c r="G128" s="618"/>
      <c r="H128" s="618"/>
      <c r="I128" s="618"/>
      <c r="J128" s="618"/>
      <c r="K128" s="618"/>
      <c r="L128" s="618"/>
      <c r="M128" s="618"/>
      <c r="N128" s="618"/>
      <c r="O128" s="618"/>
      <c r="P128" s="618"/>
      <c r="Q128" s="618"/>
      <c r="R128" s="618"/>
      <c r="S128" s="618"/>
      <c r="T128" s="618"/>
      <c r="U128" s="618"/>
      <c r="V128" s="618"/>
      <c r="W128" s="618"/>
      <c r="X128" s="618"/>
      <c r="Y128" s="618"/>
      <c r="Z128" s="618"/>
      <c r="AA128" s="618"/>
      <c r="AB128" s="618"/>
    </row>
    <row r="129" spans="1:30" ht="18.75" customHeight="1"/>
    <row r="130" spans="1:30" ht="18.75" customHeight="1">
      <c r="A130" s="4716" t="s">
        <v>2035</v>
      </c>
    </row>
    <row r="131" spans="1:30" ht="18.75" customHeight="1">
      <c r="A131" s="4716" t="s">
        <v>2002</v>
      </c>
    </row>
    <row r="132" spans="1:30" ht="18.75" customHeight="1"/>
    <row r="133" spans="1:30" ht="18.75" customHeight="1">
      <c r="A133" s="4769" t="s">
        <v>2026</v>
      </c>
      <c r="B133" s="4770"/>
      <c r="C133" s="4770"/>
      <c r="D133" s="4770"/>
      <c r="E133" s="4771"/>
      <c r="F133" s="4771"/>
      <c r="G133" s="4771"/>
      <c r="H133" s="4771"/>
      <c r="I133" s="4771"/>
      <c r="J133" s="4771"/>
      <c r="K133" s="4771"/>
      <c r="L133" s="4771"/>
      <c r="M133" s="4771"/>
      <c r="N133" s="4771"/>
      <c r="O133" s="4771"/>
      <c r="P133" s="4771"/>
      <c r="Q133" s="4771"/>
      <c r="R133" s="4771"/>
      <c r="S133" s="4771"/>
      <c r="T133" s="4771"/>
      <c r="U133" s="4771"/>
      <c r="V133" s="4771"/>
      <c r="W133" s="4771"/>
      <c r="X133" s="4771"/>
      <c r="Y133" s="4771"/>
      <c r="Z133" s="4772"/>
      <c r="AA133" s="4772"/>
      <c r="AB133" s="4772"/>
      <c r="AC133" s="4772"/>
      <c r="AD133" s="4773"/>
    </row>
    <row r="134" spans="1:30" ht="18.75" customHeight="1">
      <c r="A134" s="4895" t="s">
        <v>545</v>
      </c>
      <c r="B134" s="4918" t="s">
        <v>1983</v>
      </c>
      <c r="C134" s="4919"/>
      <c r="D134" s="4919"/>
      <c r="E134" s="4919"/>
      <c r="F134" s="4920"/>
      <c r="G134" s="4912" t="s">
        <v>1984</v>
      </c>
      <c r="H134" s="4913"/>
      <c r="I134" s="4913"/>
      <c r="J134" s="4913"/>
      <c r="K134" s="4914"/>
      <c r="L134" s="4915" t="s">
        <v>1985</v>
      </c>
      <c r="M134" s="4916"/>
      <c r="N134" s="4916"/>
      <c r="O134" s="4912" t="s">
        <v>1986</v>
      </c>
      <c r="P134" s="4913"/>
      <c r="Q134" s="4913"/>
      <c r="R134" s="4913"/>
      <c r="S134" s="4914"/>
      <c r="T134" s="4915" t="s">
        <v>1987</v>
      </c>
      <c r="U134" s="4916"/>
      <c r="V134" s="4916"/>
      <c r="W134" s="4912" t="s">
        <v>1988</v>
      </c>
      <c r="X134" s="4913"/>
      <c r="Y134" s="4913"/>
      <c r="Z134" s="4913"/>
      <c r="AA134" s="4914"/>
      <c r="AB134" s="4915" t="s">
        <v>887</v>
      </c>
      <c r="AC134" s="4916"/>
      <c r="AD134" s="4917"/>
    </row>
    <row r="135" spans="1:30" ht="25.5" customHeight="1">
      <c r="A135" s="4895"/>
      <c r="B135" s="4650" t="s">
        <v>1989</v>
      </c>
      <c r="C135" s="4650" t="s">
        <v>586</v>
      </c>
      <c r="D135" s="4650" t="s">
        <v>587</v>
      </c>
      <c r="E135" s="4649" t="s">
        <v>588</v>
      </c>
      <c r="F135" s="4649" t="s">
        <v>1990</v>
      </c>
      <c r="G135" s="4774" t="s">
        <v>1989</v>
      </c>
      <c r="H135" s="4774" t="s">
        <v>1562</v>
      </c>
      <c r="I135" s="4774" t="s">
        <v>590</v>
      </c>
      <c r="J135" s="4775" t="s">
        <v>591</v>
      </c>
      <c r="K135" s="4775" t="s">
        <v>1990</v>
      </c>
      <c r="L135" s="4776" t="s">
        <v>1989</v>
      </c>
      <c r="M135" s="4776" t="s">
        <v>1990</v>
      </c>
      <c r="N135" s="4776" t="s">
        <v>1991</v>
      </c>
      <c r="O135" s="4774" t="s">
        <v>1989</v>
      </c>
      <c r="P135" s="4774" t="s">
        <v>592</v>
      </c>
      <c r="Q135" s="4774" t="s">
        <v>593</v>
      </c>
      <c r="R135" s="4775" t="s">
        <v>594</v>
      </c>
      <c r="S135" s="4775" t="s">
        <v>1990</v>
      </c>
      <c r="T135" s="4776" t="s">
        <v>1989</v>
      </c>
      <c r="U135" s="4776" t="s">
        <v>1990</v>
      </c>
      <c r="V135" s="4776" t="s">
        <v>1991</v>
      </c>
      <c r="W135" s="4774" t="s">
        <v>1989</v>
      </c>
      <c r="X135" s="4774" t="s">
        <v>595</v>
      </c>
      <c r="Y135" s="4774" t="s">
        <v>596</v>
      </c>
      <c r="Z135" s="4775" t="s">
        <v>597</v>
      </c>
      <c r="AA135" s="4775" t="s">
        <v>1990</v>
      </c>
      <c r="AB135" s="4776" t="s">
        <v>1989</v>
      </c>
      <c r="AC135" s="4776" t="s">
        <v>1990</v>
      </c>
      <c r="AD135" s="4776" t="s">
        <v>1991</v>
      </c>
    </row>
    <row r="136" spans="1:30" ht="18.75" customHeight="1">
      <c r="A136" s="4781" t="s">
        <v>1757</v>
      </c>
      <c r="B136" s="4794">
        <f>SUM(B8)</f>
        <v>829.99749999999995</v>
      </c>
      <c r="C136" s="4794">
        <f t="shared" ref="C136:K136" si="269">SUM(C8)</f>
        <v>270.68799999999999</v>
      </c>
      <c r="D136" s="4794">
        <f t="shared" si="269"/>
        <v>264.64999999999998</v>
      </c>
      <c r="E136" s="4794">
        <f t="shared" si="269"/>
        <v>261.37</v>
      </c>
      <c r="F136" s="4794">
        <f t="shared" si="269"/>
        <v>796.70799999999997</v>
      </c>
      <c r="G136" s="4794">
        <f t="shared" si="269"/>
        <v>794.46749999999986</v>
      </c>
      <c r="H136" s="4794">
        <f t="shared" si="269"/>
        <v>274.02999999999997</v>
      </c>
      <c r="I136" s="4794">
        <f t="shared" si="269"/>
        <v>261.78999999999996</v>
      </c>
      <c r="J136" s="4794">
        <f t="shared" si="269"/>
        <v>281.02999999999997</v>
      </c>
      <c r="K136" s="4794">
        <f t="shared" si="269"/>
        <v>816.84999999999991</v>
      </c>
      <c r="L136" s="4779">
        <f t="shared" ref="L136:L139" si="270">SUM(G136+B136)</f>
        <v>1624.4649999999997</v>
      </c>
      <c r="M136" s="4779">
        <f t="shared" ref="M136:M139" si="271">SUM(K136+F136)</f>
        <v>1613.558</v>
      </c>
      <c r="N136" s="4779">
        <f t="shared" ref="N136:N139" si="272">SUM(M136-L136)</f>
        <v>-10.906999999999698</v>
      </c>
      <c r="O136" s="4794">
        <f t="shared" ref="O136:S139" si="273">SUM(O8)</f>
        <v>794.46749999999986</v>
      </c>
      <c r="P136" s="4794">
        <f t="shared" si="273"/>
        <v>0</v>
      </c>
      <c r="Q136" s="4794">
        <f t="shared" si="273"/>
        <v>0</v>
      </c>
      <c r="R136" s="4794">
        <f t="shared" si="273"/>
        <v>0</v>
      </c>
      <c r="S136" s="4794">
        <f t="shared" si="273"/>
        <v>0</v>
      </c>
      <c r="T136" s="4779">
        <f t="shared" ref="T136:T139" si="274">SUM(L136+O136)</f>
        <v>2418.9324999999994</v>
      </c>
      <c r="U136" s="4779">
        <f t="shared" ref="U136:U139" si="275">SUM(M136+S136)</f>
        <v>1613.558</v>
      </c>
      <c r="V136" s="4779">
        <f t="shared" ref="V136:V139" si="276">SUM(U136-T136)</f>
        <v>-805.37449999999944</v>
      </c>
      <c r="W136" s="4794">
        <f t="shared" ref="W136:AA139" si="277">SUM(W8)</f>
        <v>829.99749999999995</v>
      </c>
      <c r="X136" s="4794">
        <f t="shared" si="277"/>
        <v>0</v>
      </c>
      <c r="Y136" s="4794">
        <f t="shared" si="277"/>
        <v>0</v>
      </c>
      <c r="Z136" s="4794">
        <f t="shared" si="277"/>
        <v>0</v>
      </c>
      <c r="AA136" s="4794">
        <f t="shared" si="277"/>
        <v>0</v>
      </c>
      <c r="AB136" s="4779">
        <f t="shared" ref="AB136:AB139" si="278">SUM(W136+T136)</f>
        <v>3248.9299999999994</v>
      </c>
      <c r="AC136" s="4779">
        <f t="shared" ref="AC136:AC139" si="279">SUM(AA136+U136)</f>
        <v>1613.558</v>
      </c>
      <c r="AD136" s="4779">
        <f t="shared" ref="AD136:AD139" si="280">SUM(AC136-AB136)</f>
        <v>-1635.3719999999994</v>
      </c>
    </row>
    <row r="137" spans="1:30" ht="18.75" customHeight="1">
      <c r="A137" s="4753" t="s">
        <v>264</v>
      </c>
      <c r="B137" s="4795">
        <f t="shared" ref="B137:K139" si="281">SUM(B9)</f>
        <v>582.54</v>
      </c>
      <c r="C137" s="4795">
        <f t="shared" si="281"/>
        <v>209.85</v>
      </c>
      <c r="D137" s="4795">
        <f t="shared" si="281"/>
        <v>199.96</v>
      </c>
      <c r="E137" s="4795">
        <f t="shared" si="281"/>
        <v>197.46</v>
      </c>
      <c r="F137" s="4795">
        <f t="shared" si="281"/>
        <v>607.27</v>
      </c>
      <c r="G137" s="4795">
        <f t="shared" si="281"/>
        <v>557.45999999999992</v>
      </c>
      <c r="H137" s="4795">
        <f t="shared" si="281"/>
        <v>206.13</v>
      </c>
      <c r="I137" s="4795">
        <f t="shared" si="281"/>
        <v>199.51</v>
      </c>
      <c r="J137" s="4795">
        <f t="shared" si="281"/>
        <v>213.38</v>
      </c>
      <c r="K137" s="4795">
        <f t="shared" si="281"/>
        <v>619.02</v>
      </c>
      <c r="L137" s="4786">
        <f t="shared" si="270"/>
        <v>1140</v>
      </c>
      <c r="M137" s="4786">
        <f t="shared" si="271"/>
        <v>1226.29</v>
      </c>
      <c r="N137" s="4786">
        <f t="shared" si="272"/>
        <v>86.289999999999964</v>
      </c>
      <c r="O137" s="4795">
        <f t="shared" si="273"/>
        <v>557.46</v>
      </c>
      <c r="P137" s="4795">
        <f t="shared" si="273"/>
        <v>0</v>
      </c>
      <c r="Q137" s="4795">
        <f t="shared" si="273"/>
        <v>0</v>
      </c>
      <c r="R137" s="4795">
        <f t="shared" si="273"/>
        <v>0</v>
      </c>
      <c r="S137" s="4795">
        <f t="shared" si="273"/>
        <v>0</v>
      </c>
      <c r="T137" s="4786">
        <f t="shared" si="274"/>
        <v>1697.46</v>
      </c>
      <c r="U137" s="4786">
        <f t="shared" si="275"/>
        <v>1226.29</v>
      </c>
      <c r="V137" s="4786">
        <f t="shared" si="276"/>
        <v>-471.17000000000007</v>
      </c>
      <c r="W137" s="4795">
        <f t="shared" si="277"/>
        <v>582.54000000000008</v>
      </c>
      <c r="X137" s="4795">
        <f t="shared" si="277"/>
        <v>0</v>
      </c>
      <c r="Y137" s="4795">
        <f t="shared" si="277"/>
        <v>0</v>
      </c>
      <c r="Z137" s="4795">
        <f t="shared" si="277"/>
        <v>0</v>
      </c>
      <c r="AA137" s="4795">
        <f t="shared" si="277"/>
        <v>0</v>
      </c>
      <c r="AB137" s="4786">
        <f t="shared" si="278"/>
        <v>2280</v>
      </c>
      <c r="AC137" s="4786">
        <f t="shared" si="279"/>
        <v>1226.29</v>
      </c>
      <c r="AD137" s="4786">
        <f t="shared" si="280"/>
        <v>-1053.71</v>
      </c>
    </row>
    <row r="138" spans="1:30" ht="18.75" customHeight="1">
      <c r="A138" s="4753" t="s">
        <v>1753</v>
      </c>
      <c r="B138" s="4795">
        <f t="shared" si="281"/>
        <v>4.7324999999999999</v>
      </c>
      <c r="C138" s="4795">
        <f t="shared" si="281"/>
        <v>0.23799999999999999</v>
      </c>
      <c r="D138" s="4795">
        <f t="shared" si="281"/>
        <v>0.19</v>
      </c>
      <c r="E138" s="4795">
        <f t="shared" si="281"/>
        <v>3.68</v>
      </c>
      <c r="F138" s="4795">
        <f t="shared" si="281"/>
        <v>4.1080000000000005</v>
      </c>
      <c r="G138" s="4795">
        <f t="shared" si="281"/>
        <v>4.7324999999999999</v>
      </c>
      <c r="H138" s="4795">
        <f t="shared" si="281"/>
        <v>0.26</v>
      </c>
      <c r="I138" s="4795">
        <f t="shared" si="281"/>
        <v>0.59</v>
      </c>
      <c r="J138" s="4795">
        <f t="shared" si="281"/>
        <v>3.75</v>
      </c>
      <c r="K138" s="4795">
        <f t="shared" si="281"/>
        <v>4.5999999999999996</v>
      </c>
      <c r="L138" s="4786">
        <f t="shared" si="270"/>
        <v>9.4649999999999999</v>
      </c>
      <c r="M138" s="4786">
        <f t="shared" si="271"/>
        <v>8.7080000000000002</v>
      </c>
      <c r="N138" s="4786">
        <f t="shared" si="272"/>
        <v>-0.75699999999999967</v>
      </c>
      <c r="O138" s="4795">
        <f t="shared" si="273"/>
        <v>4.7324999999999999</v>
      </c>
      <c r="P138" s="4795">
        <f t="shared" si="273"/>
        <v>0</v>
      </c>
      <c r="Q138" s="4795">
        <f t="shared" si="273"/>
        <v>0</v>
      </c>
      <c r="R138" s="4795">
        <f t="shared" si="273"/>
        <v>0</v>
      </c>
      <c r="S138" s="4795">
        <f t="shared" si="273"/>
        <v>0</v>
      </c>
      <c r="T138" s="4786">
        <f t="shared" si="274"/>
        <v>14.1975</v>
      </c>
      <c r="U138" s="4786">
        <f t="shared" si="275"/>
        <v>8.7080000000000002</v>
      </c>
      <c r="V138" s="4786">
        <f t="shared" si="276"/>
        <v>-5.4894999999999996</v>
      </c>
      <c r="W138" s="4795">
        <f t="shared" si="277"/>
        <v>4.7324999999999999</v>
      </c>
      <c r="X138" s="4795">
        <f t="shared" si="277"/>
        <v>0</v>
      </c>
      <c r="Y138" s="4795">
        <f t="shared" si="277"/>
        <v>0</v>
      </c>
      <c r="Z138" s="4795">
        <f t="shared" si="277"/>
        <v>0</v>
      </c>
      <c r="AA138" s="4795">
        <f t="shared" si="277"/>
        <v>0</v>
      </c>
      <c r="AB138" s="4786">
        <f t="shared" si="278"/>
        <v>18.93</v>
      </c>
      <c r="AC138" s="4786">
        <f t="shared" si="279"/>
        <v>8.7080000000000002</v>
      </c>
      <c r="AD138" s="4786">
        <f t="shared" si="280"/>
        <v>-10.222</v>
      </c>
    </row>
    <row r="139" spans="1:30" ht="18.75" customHeight="1">
      <c r="A139" s="4753" t="s">
        <v>1754</v>
      </c>
      <c r="B139" s="4795">
        <f t="shared" si="281"/>
        <v>242.72500000000002</v>
      </c>
      <c r="C139" s="4795">
        <f t="shared" si="281"/>
        <v>60.6</v>
      </c>
      <c r="D139" s="4795">
        <f t="shared" si="281"/>
        <v>64.5</v>
      </c>
      <c r="E139" s="4795">
        <f t="shared" si="281"/>
        <v>60.23</v>
      </c>
      <c r="F139" s="4795">
        <f t="shared" si="281"/>
        <v>185.32999999999998</v>
      </c>
      <c r="G139" s="4795">
        <f t="shared" si="281"/>
        <v>232.27499999999998</v>
      </c>
      <c r="H139" s="4795">
        <f t="shared" si="281"/>
        <v>67.64</v>
      </c>
      <c r="I139" s="4795">
        <f t="shared" si="281"/>
        <v>61.69</v>
      </c>
      <c r="J139" s="4795">
        <f t="shared" si="281"/>
        <v>63.9</v>
      </c>
      <c r="K139" s="4795">
        <f t="shared" si="281"/>
        <v>193.23</v>
      </c>
      <c r="L139" s="4786">
        <f t="shared" si="270"/>
        <v>475</v>
      </c>
      <c r="M139" s="4786">
        <f t="shared" si="271"/>
        <v>378.55999999999995</v>
      </c>
      <c r="N139" s="4786">
        <f t="shared" si="272"/>
        <v>-96.440000000000055</v>
      </c>
      <c r="O139" s="4795">
        <f t="shared" si="273"/>
        <v>232.27499999999998</v>
      </c>
      <c r="P139" s="4795">
        <f t="shared" si="273"/>
        <v>0</v>
      </c>
      <c r="Q139" s="4795">
        <f t="shared" si="273"/>
        <v>0</v>
      </c>
      <c r="R139" s="4795">
        <f t="shared" si="273"/>
        <v>0</v>
      </c>
      <c r="S139" s="4795">
        <f t="shared" si="273"/>
        <v>0</v>
      </c>
      <c r="T139" s="4786">
        <f t="shared" si="274"/>
        <v>707.27499999999998</v>
      </c>
      <c r="U139" s="4786">
        <f t="shared" si="275"/>
        <v>378.55999999999995</v>
      </c>
      <c r="V139" s="4786">
        <f t="shared" si="276"/>
        <v>-328.71500000000003</v>
      </c>
      <c r="W139" s="4795">
        <f t="shared" si="277"/>
        <v>242.72500000000002</v>
      </c>
      <c r="X139" s="4795">
        <f t="shared" si="277"/>
        <v>0</v>
      </c>
      <c r="Y139" s="4795">
        <f t="shared" si="277"/>
        <v>0</v>
      </c>
      <c r="Z139" s="4795">
        <f t="shared" si="277"/>
        <v>0</v>
      </c>
      <c r="AA139" s="4795">
        <f t="shared" si="277"/>
        <v>0</v>
      </c>
      <c r="AB139" s="4786">
        <f t="shared" si="278"/>
        <v>950</v>
      </c>
      <c r="AC139" s="4786">
        <f t="shared" si="279"/>
        <v>378.55999999999995</v>
      </c>
      <c r="AD139" s="4786">
        <f t="shared" si="280"/>
        <v>-571.44000000000005</v>
      </c>
    </row>
    <row r="140" spans="1:30" ht="18.75" customHeight="1">
      <c r="A140" s="4769" t="s">
        <v>1992</v>
      </c>
      <c r="B140" s="4770"/>
      <c r="C140" s="4770"/>
      <c r="D140" s="4770"/>
      <c r="E140" s="4771"/>
      <c r="F140" s="4771"/>
      <c r="G140" s="4771"/>
      <c r="H140" s="4771"/>
      <c r="I140" s="4771"/>
      <c r="J140" s="4771"/>
      <c r="K140" s="4771"/>
      <c r="L140" s="4771"/>
      <c r="M140" s="4771"/>
      <c r="N140" s="4771"/>
      <c r="O140" s="4771"/>
      <c r="P140" s="4771"/>
      <c r="Q140" s="4771"/>
      <c r="R140" s="4771"/>
      <c r="S140" s="4771"/>
      <c r="T140" s="4771"/>
      <c r="U140" s="4771"/>
      <c r="V140" s="4771"/>
      <c r="W140" s="4771"/>
      <c r="X140" s="4771"/>
      <c r="Y140" s="4771"/>
      <c r="Z140" s="4772"/>
      <c r="AA140" s="4772"/>
      <c r="AB140" s="4772"/>
      <c r="AC140" s="4772"/>
      <c r="AD140" s="4773"/>
    </row>
    <row r="141" spans="1:30" ht="18.75" customHeight="1">
      <c r="A141" s="4895" t="s">
        <v>545</v>
      </c>
      <c r="B141" s="4918" t="s">
        <v>1983</v>
      </c>
      <c r="C141" s="4919"/>
      <c r="D141" s="4919"/>
      <c r="E141" s="4919"/>
      <c r="F141" s="4920"/>
      <c r="G141" s="4912" t="s">
        <v>1984</v>
      </c>
      <c r="H141" s="4913"/>
      <c r="I141" s="4913"/>
      <c r="J141" s="4913"/>
      <c r="K141" s="4914"/>
      <c r="L141" s="4915" t="s">
        <v>1985</v>
      </c>
      <c r="M141" s="4916"/>
      <c r="N141" s="4916"/>
      <c r="O141" s="4912" t="s">
        <v>1986</v>
      </c>
      <c r="P141" s="4913"/>
      <c r="Q141" s="4913"/>
      <c r="R141" s="4913"/>
      <c r="S141" s="4914"/>
      <c r="T141" s="4915" t="s">
        <v>1987</v>
      </c>
      <c r="U141" s="4916"/>
      <c r="V141" s="4916"/>
      <c r="W141" s="4912" t="s">
        <v>1988</v>
      </c>
      <c r="X141" s="4913"/>
      <c r="Y141" s="4913"/>
      <c r="Z141" s="4913"/>
      <c r="AA141" s="4914"/>
      <c r="AB141" s="4915" t="s">
        <v>887</v>
      </c>
      <c r="AC141" s="4916"/>
      <c r="AD141" s="4917"/>
    </row>
    <row r="142" spans="1:30" ht="25.5" customHeight="1">
      <c r="A142" s="4895"/>
      <c r="B142" s="4650" t="s">
        <v>1989</v>
      </c>
      <c r="C142" s="4650" t="s">
        <v>586</v>
      </c>
      <c r="D142" s="4650" t="s">
        <v>587</v>
      </c>
      <c r="E142" s="4649" t="s">
        <v>588</v>
      </c>
      <c r="F142" s="4649" t="s">
        <v>1990</v>
      </c>
      <c r="G142" s="4774" t="s">
        <v>1989</v>
      </c>
      <c r="H142" s="4774" t="s">
        <v>1562</v>
      </c>
      <c r="I142" s="4774" t="s">
        <v>590</v>
      </c>
      <c r="J142" s="4775" t="s">
        <v>591</v>
      </c>
      <c r="K142" s="4775" t="s">
        <v>1990</v>
      </c>
      <c r="L142" s="4776" t="s">
        <v>1989</v>
      </c>
      <c r="M142" s="4776" t="s">
        <v>1990</v>
      </c>
      <c r="N142" s="4776" t="s">
        <v>1991</v>
      </c>
      <c r="O142" s="4774" t="s">
        <v>1989</v>
      </c>
      <c r="P142" s="4774" t="s">
        <v>592</v>
      </c>
      <c r="Q142" s="4774" t="s">
        <v>593</v>
      </c>
      <c r="R142" s="4775" t="s">
        <v>594</v>
      </c>
      <c r="S142" s="4775" t="s">
        <v>1990</v>
      </c>
      <c r="T142" s="4776" t="s">
        <v>1989</v>
      </c>
      <c r="U142" s="4776" t="s">
        <v>1990</v>
      </c>
      <c r="V142" s="4776" t="s">
        <v>1991</v>
      </c>
      <c r="W142" s="4774" t="s">
        <v>1989</v>
      </c>
      <c r="X142" s="4774" t="s">
        <v>595</v>
      </c>
      <c r="Y142" s="4774" t="s">
        <v>596</v>
      </c>
      <c r="Z142" s="4775" t="s">
        <v>597</v>
      </c>
      <c r="AA142" s="4775" t="s">
        <v>1990</v>
      </c>
      <c r="AB142" s="4776" t="s">
        <v>1989</v>
      </c>
      <c r="AC142" s="4776" t="s">
        <v>1990</v>
      </c>
      <c r="AD142" s="4776" t="s">
        <v>1991</v>
      </c>
    </row>
    <row r="143" spans="1:30" ht="18.75" customHeight="1">
      <c r="A143" s="4753" t="s">
        <v>1</v>
      </c>
      <c r="B143" s="4737">
        <f t="shared" ref="B143:AD143" si="282">SUM(B16+B35)</f>
        <v>1962.1467089017497</v>
      </c>
      <c r="C143" s="4743">
        <f t="shared" si="282"/>
        <v>1000.11</v>
      </c>
      <c r="D143" s="4743">
        <f t="shared" si="282"/>
        <v>939.52</v>
      </c>
      <c r="E143" s="4743">
        <f t="shared" si="282"/>
        <v>1013.0400000000001</v>
      </c>
      <c r="F143" s="4743">
        <f t="shared" si="282"/>
        <v>2952.67</v>
      </c>
      <c r="G143" s="4743">
        <f t="shared" si="282"/>
        <v>1878.1523925727497</v>
      </c>
      <c r="H143" s="4743">
        <f t="shared" si="282"/>
        <v>1049.06</v>
      </c>
      <c r="I143" s="4743">
        <f t="shared" si="282"/>
        <v>1018.6500000000001</v>
      </c>
      <c r="J143" s="4743">
        <f t="shared" si="282"/>
        <v>889.43000000000006</v>
      </c>
      <c r="K143" s="4743">
        <f t="shared" si="282"/>
        <v>2957.1400000000003</v>
      </c>
      <c r="L143" s="4796">
        <f t="shared" si="282"/>
        <v>3840.2991014744994</v>
      </c>
      <c r="M143" s="4796">
        <f t="shared" si="282"/>
        <v>5909.81</v>
      </c>
      <c r="N143" s="4796">
        <f t="shared" si="282"/>
        <v>2069.510898525501</v>
      </c>
      <c r="O143" s="4743">
        <f t="shared" si="282"/>
        <v>2009.6230600528424</v>
      </c>
      <c r="P143" s="4743">
        <f t="shared" si="282"/>
        <v>0</v>
      </c>
      <c r="Q143" s="4743">
        <f t="shared" si="282"/>
        <v>0</v>
      </c>
      <c r="R143" s="4743">
        <f t="shared" si="282"/>
        <v>0</v>
      </c>
      <c r="S143" s="4743">
        <f t="shared" si="282"/>
        <v>0</v>
      </c>
      <c r="T143" s="4796">
        <f t="shared" si="282"/>
        <v>5849.9221615273409</v>
      </c>
      <c r="U143" s="4796">
        <f t="shared" si="282"/>
        <v>5909.81</v>
      </c>
      <c r="V143" s="4796">
        <f t="shared" si="282"/>
        <v>59.887838472659041</v>
      </c>
      <c r="W143" s="4743">
        <f t="shared" si="282"/>
        <v>2099.4969785248727</v>
      </c>
      <c r="X143" s="4743">
        <f t="shared" si="282"/>
        <v>0</v>
      </c>
      <c r="Y143" s="4743">
        <f t="shared" si="282"/>
        <v>0</v>
      </c>
      <c r="Z143" s="4743">
        <f t="shared" si="282"/>
        <v>0</v>
      </c>
      <c r="AA143" s="4743">
        <f t="shared" si="282"/>
        <v>0</v>
      </c>
      <c r="AB143" s="4796">
        <f t="shared" si="282"/>
        <v>7949.4191400522141</v>
      </c>
      <c r="AC143" s="4796">
        <f t="shared" si="282"/>
        <v>5909.81</v>
      </c>
      <c r="AD143" s="4796">
        <f t="shared" si="282"/>
        <v>-2039.6091400522134</v>
      </c>
    </row>
    <row r="144" spans="1:30" ht="18.75" customHeight="1">
      <c r="A144" s="4753" t="s">
        <v>2</v>
      </c>
      <c r="B144" s="4737">
        <f t="shared" ref="B144:AD144" si="283">SUM(B17+B37+B74+B89)</f>
        <v>1259.22</v>
      </c>
      <c r="C144" s="4743">
        <f t="shared" si="283"/>
        <v>410.13</v>
      </c>
      <c r="D144" s="4743">
        <f t="shared" si="283"/>
        <v>395.42</v>
      </c>
      <c r="E144" s="4743">
        <f t="shared" si="283"/>
        <v>395.42</v>
      </c>
      <c r="F144" s="4743">
        <f t="shared" si="283"/>
        <v>1200.97</v>
      </c>
      <c r="G144" s="4743">
        <f t="shared" si="283"/>
        <v>1259.22</v>
      </c>
      <c r="H144" s="4743">
        <f t="shared" si="283"/>
        <v>395.42</v>
      </c>
      <c r="I144" s="4743">
        <f t="shared" si="283"/>
        <v>402.33000000000004</v>
      </c>
      <c r="J144" s="4743">
        <f t="shared" si="283"/>
        <v>402.92</v>
      </c>
      <c r="K144" s="4743">
        <f t="shared" si="283"/>
        <v>1200.67</v>
      </c>
      <c r="L144" s="4796">
        <f t="shared" si="283"/>
        <v>2518.44</v>
      </c>
      <c r="M144" s="4796">
        <f t="shared" si="283"/>
        <v>2401.6400000000003</v>
      </c>
      <c r="N144" s="4796">
        <f t="shared" si="283"/>
        <v>-116.79999999999998</v>
      </c>
      <c r="O144" s="4743">
        <f t="shared" si="283"/>
        <v>1259.22</v>
      </c>
      <c r="P144" s="4743">
        <f t="shared" si="283"/>
        <v>0</v>
      </c>
      <c r="Q144" s="4743">
        <f t="shared" si="283"/>
        <v>0</v>
      </c>
      <c r="R144" s="4743">
        <f t="shared" si="283"/>
        <v>0</v>
      </c>
      <c r="S144" s="4743">
        <f t="shared" si="283"/>
        <v>0</v>
      </c>
      <c r="T144" s="4796">
        <f t="shared" si="283"/>
        <v>3777.66</v>
      </c>
      <c r="U144" s="4796">
        <f t="shared" si="283"/>
        <v>2401.6400000000003</v>
      </c>
      <c r="V144" s="4796">
        <f t="shared" si="283"/>
        <v>-1376.0199999999998</v>
      </c>
      <c r="W144" s="4743">
        <f t="shared" si="283"/>
        <v>1259.22</v>
      </c>
      <c r="X144" s="4743">
        <f t="shared" si="283"/>
        <v>0</v>
      </c>
      <c r="Y144" s="4743">
        <f t="shared" si="283"/>
        <v>0</v>
      </c>
      <c r="Z144" s="4743">
        <f t="shared" si="283"/>
        <v>0</v>
      </c>
      <c r="AA144" s="4743">
        <f t="shared" si="283"/>
        <v>0</v>
      </c>
      <c r="AB144" s="4796">
        <f t="shared" si="283"/>
        <v>5036.88</v>
      </c>
      <c r="AC144" s="4796">
        <f t="shared" si="283"/>
        <v>2401.6400000000003</v>
      </c>
      <c r="AD144" s="4796">
        <f t="shared" si="283"/>
        <v>-2635.24</v>
      </c>
    </row>
    <row r="145" spans="1:30" ht="18.75" customHeight="1">
      <c r="A145" s="4753" t="s">
        <v>219</v>
      </c>
      <c r="B145" s="4737">
        <f t="shared" ref="B145:AD145" si="284">SUM(B18+B38+B90)</f>
        <v>0</v>
      </c>
      <c r="C145" s="4743">
        <f t="shared" si="284"/>
        <v>0</v>
      </c>
      <c r="D145" s="4743">
        <f t="shared" si="284"/>
        <v>0</v>
      </c>
      <c r="E145" s="4743">
        <f t="shared" si="284"/>
        <v>0</v>
      </c>
      <c r="F145" s="4743">
        <f t="shared" si="284"/>
        <v>0</v>
      </c>
      <c r="G145" s="4743">
        <f t="shared" si="284"/>
        <v>0</v>
      </c>
      <c r="H145" s="4743">
        <f t="shared" si="284"/>
        <v>0</v>
      </c>
      <c r="I145" s="4743">
        <f t="shared" si="284"/>
        <v>0</v>
      </c>
      <c r="J145" s="4743">
        <f t="shared" si="284"/>
        <v>0</v>
      </c>
      <c r="K145" s="4743">
        <f t="shared" si="284"/>
        <v>0</v>
      </c>
      <c r="L145" s="4796">
        <f t="shared" si="284"/>
        <v>0</v>
      </c>
      <c r="M145" s="4796">
        <f t="shared" si="284"/>
        <v>0</v>
      </c>
      <c r="N145" s="4796">
        <f t="shared" si="284"/>
        <v>0</v>
      </c>
      <c r="O145" s="4743">
        <f t="shared" si="284"/>
        <v>0</v>
      </c>
      <c r="P145" s="4743">
        <f t="shared" si="284"/>
        <v>0</v>
      </c>
      <c r="Q145" s="4743">
        <f t="shared" si="284"/>
        <v>0</v>
      </c>
      <c r="R145" s="4743">
        <f t="shared" si="284"/>
        <v>0</v>
      </c>
      <c r="S145" s="4743">
        <f t="shared" si="284"/>
        <v>0</v>
      </c>
      <c r="T145" s="4796">
        <f t="shared" si="284"/>
        <v>0</v>
      </c>
      <c r="U145" s="4796">
        <f t="shared" si="284"/>
        <v>0</v>
      </c>
      <c r="V145" s="4796">
        <f t="shared" si="284"/>
        <v>0</v>
      </c>
      <c r="W145" s="4743">
        <f t="shared" si="284"/>
        <v>0</v>
      </c>
      <c r="X145" s="4743">
        <f t="shared" si="284"/>
        <v>0</v>
      </c>
      <c r="Y145" s="4743">
        <f t="shared" si="284"/>
        <v>0</v>
      </c>
      <c r="Z145" s="4743">
        <f t="shared" si="284"/>
        <v>0</v>
      </c>
      <c r="AA145" s="4743">
        <f t="shared" si="284"/>
        <v>0</v>
      </c>
      <c r="AB145" s="4796">
        <f t="shared" si="284"/>
        <v>0</v>
      </c>
      <c r="AC145" s="4796">
        <f t="shared" si="284"/>
        <v>0</v>
      </c>
      <c r="AD145" s="4796">
        <f t="shared" si="284"/>
        <v>0</v>
      </c>
    </row>
    <row r="146" spans="1:30" ht="18.75" customHeight="1">
      <c r="A146" s="4753" t="s">
        <v>8</v>
      </c>
      <c r="B146" s="4737">
        <f>SUM(B36)</f>
        <v>81.583359252632391</v>
      </c>
      <c r="C146" s="4743">
        <f t="shared" ref="C146:AD146" si="285">SUM(C36)</f>
        <v>0</v>
      </c>
      <c r="D146" s="4743">
        <f t="shared" si="285"/>
        <v>0</v>
      </c>
      <c r="E146" s="4743">
        <f t="shared" si="285"/>
        <v>0</v>
      </c>
      <c r="F146" s="4743">
        <f t="shared" si="285"/>
        <v>0</v>
      </c>
      <c r="G146" s="4743">
        <f t="shared" si="285"/>
        <v>81.583359252632391</v>
      </c>
      <c r="H146" s="4743">
        <f t="shared" si="285"/>
        <v>0</v>
      </c>
      <c r="I146" s="4743">
        <f t="shared" si="285"/>
        <v>9.92</v>
      </c>
      <c r="J146" s="4743">
        <f t="shared" si="285"/>
        <v>0</v>
      </c>
      <c r="K146" s="4743">
        <f t="shared" si="285"/>
        <v>9.92</v>
      </c>
      <c r="L146" s="4796">
        <f t="shared" si="285"/>
        <v>163.16671850526478</v>
      </c>
      <c r="M146" s="4796">
        <f t="shared" si="285"/>
        <v>9.92</v>
      </c>
      <c r="N146" s="4796">
        <f t="shared" si="285"/>
        <v>-153.24671850526479</v>
      </c>
      <c r="O146" s="4743">
        <f t="shared" si="285"/>
        <v>81.583359252632391</v>
      </c>
      <c r="P146" s="4743">
        <f t="shared" si="285"/>
        <v>0</v>
      </c>
      <c r="Q146" s="4743">
        <f t="shared" si="285"/>
        <v>0</v>
      </c>
      <c r="R146" s="4743">
        <f t="shared" si="285"/>
        <v>0</v>
      </c>
      <c r="S146" s="4743">
        <f t="shared" si="285"/>
        <v>0</v>
      </c>
      <c r="T146" s="4796">
        <f t="shared" si="285"/>
        <v>244.75007775789717</v>
      </c>
      <c r="U146" s="4796">
        <f t="shared" si="285"/>
        <v>9.92</v>
      </c>
      <c r="V146" s="4796">
        <f t="shared" si="285"/>
        <v>-234.83007775789719</v>
      </c>
      <c r="W146" s="4743">
        <f t="shared" si="285"/>
        <v>81.583359252632391</v>
      </c>
      <c r="X146" s="4743">
        <f t="shared" si="285"/>
        <v>0</v>
      </c>
      <c r="Y146" s="4743">
        <f t="shared" si="285"/>
        <v>0</v>
      </c>
      <c r="Z146" s="4743">
        <f t="shared" si="285"/>
        <v>0</v>
      </c>
      <c r="AA146" s="4743">
        <f t="shared" si="285"/>
        <v>0</v>
      </c>
      <c r="AB146" s="4796">
        <f t="shared" si="285"/>
        <v>326.33343701052956</v>
      </c>
      <c r="AC146" s="4796">
        <f t="shared" si="285"/>
        <v>9.92</v>
      </c>
      <c r="AD146" s="4796">
        <f t="shared" si="285"/>
        <v>-316.41343701052955</v>
      </c>
    </row>
    <row r="147" spans="1:30" ht="18.75" customHeight="1">
      <c r="A147" s="4753" t="s">
        <v>3</v>
      </c>
      <c r="B147" s="4737">
        <f t="shared" ref="B147:AD149" si="286">SUM(B19+B39+B70+B91)</f>
        <v>84.06505463245648</v>
      </c>
      <c r="C147" s="4743">
        <f t="shared" si="286"/>
        <v>44.85</v>
      </c>
      <c r="D147" s="4743">
        <f t="shared" si="286"/>
        <v>106.38</v>
      </c>
      <c r="E147" s="4743">
        <f t="shared" si="286"/>
        <v>432.35999999999996</v>
      </c>
      <c r="F147" s="4743">
        <f t="shared" si="286"/>
        <v>583.58999999999992</v>
      </c>
      <c r="G147" s="4743">
        <f t="shared" si="286"/>
        <v>84.06505463245648</v>
      </c>
      <c r="H147" s="4743">
        <f t="shared" si="286"/>
        <v>212.99</v>
      </c>
      <c r="I147" s="4743">
        <f t="shared" si="286"/>
        <v>80.569999999999993</v>
      </c>
      <c r="J147" s="4743">
        <f t="shared" si="286"/>
        <v>248.89999999999998</v>
      </c>
      <c r="K147" s="4743">
        <f t="shared" si="286"/>
        <v>542.45999999999992</v>
      </c>
      <c r="L147" s="4796">
        <f t="shared" si="286"/>
        <v>168.13010926491296</v>
      </c>
      <c r="M147" s="4796">
        <f t="shared" si="286"/>
        <v>1126.05</v>
      </c>
      <c r="N147" s="4796">
        <f t="shared" si="286"/>
        <v>957.91989073508694</v>
      </c>
      <c r="O147" s="4743">
        <f t="shared" si="286"/>
        <v>84.06505463245648</v>
      </c>
      <c r="P147" s="4743">
        <f t="shared" si="286"/>
        <v>0</v>
      </c>
      <c r="Q147" s="4743">
        <f t="shared" si="286"/>
        <v>0</v>
      </c>
      <c r="R147" s="4743">
        <f t="shared" si="286"/>
        <v>0</v>
      </c>
      <c r="S147" s="4743">
        <f t="shared" si="286"/>
        <v>0</v>
      </c>
      <c r="T147" s="4796">
        <f t="shared" si="286"/>
        <v>252.19516389736947</v>
      </c>
      <c r="U147" s="4796">
        <f t="shared" si="286"/>
        <v>1126.05</v>
      </c>
      <c r="V147" s="4796">
        <f t="shared" si="286"/>
        <v>873.85483610263054</v>
      </c>
      <c r="W147" s="4743">
        <f t="shared" si="286"/>
        <v>84.06505463245648</v>
      </c>
      <c r="X147" s="4743">
        <f t="shared" si="286"/>
        <v>0</v>
      </c>
      <c r="Y147" s="4743">
        <f t="shared" si="286"/>
        <v>0</v>
      </c>
      <c r="Z147" s="4743">
        <f t="shared" si="286"/>
        <v>0</v>
      </c>
      <c r="AA147" s="4743">
        <f t="shared" si="286"/>
        <v>0</v>
      </c>
      <c r="AB147" s="4796">
        <f t="shared" si="286"/>
        <v>336.26021852982592</v>
      </c>
      <c r="AC147" s="4796">
        <f t="shared" si="286"/>
        <v>1126.05</v>
      </c>
      <c r="AD147" s="4796">
        <f t="shared" si="286"/>
        <v>789.78978147017403</v>
      </c>
    </row>
    <row r="148" spans="1:30" ht="18.75" customHeight="1">
      <c r="A148" s="4753" t="s">
        <v>4</v>
      </c>
      <c r="B148" s="4737">
        <f t="shared" si="286"/>
        <v>8827.2978629263871</v>
      </c>
      <c r="C148" s="4743">
        <f t="shared" si="286"/>
        <v>2312.1</v>
      </c>
      <c r="D148" s="4743">
        <f t="shared" si="286"/>
        <v>2146.3000000000002</v>
      </c>
      <c r="E148" s="4743">
        <f t="shared" si="286"/>
        <v>2481.3299999999995</v>
      </c>
      <c r="F148" s="4743">
        <f t="shared" si="286"/>
        <v>6939.73</v>
      </c>
      <c r="G148" s="4743">
        <f t="shared" si="286"/>
        <v>8827.2978629263871</v>
      </c>
      <c r="H148" s="4743">
        <f t="shared" si="286"/>
        <v>2417.2700000000004</v>
      </c>
      <c r="I148" s="4743">
        <f t="shared" si="286"/>
        <v>2331.17</v>
      </c>
      <c r="J148" s="4743">
        <f t="shared" si="286"/>
        <v>2700.42</v>
      </c>
      <c r="K148" s="4743">
        <f t="shared" si="286"/>
        <v>7448.8600000000006</v>
      </c>
      <c r="L148" s="4796">
        <f t="shared" si="286"/>
        <v>17654.595725852774</v>
      </c>
      <c r="M148" s="4796">
        <f t="shared" si="286"/>
        <v>14388.59</v>
      </c>
      <c r="N148" s="4796">
        <f t="shared" si="286"/>
        <v>-3266.005725852775</v>
      </c>
      <c r="O148" s="4743">
        <f t="shared" si="286"/>
        <v>9180.3897774434427</v>
      </c>
      <c r="P148" s="4743">
        <f t="shared" si="286"/>
        <v>0</v>
      </c>
      <c r="Q148" s="4743">
        <f t="shared" si="286"/>
        <v>0</v>
      </c>
      <c r="R148" s="4743">
        <f t="shared" si="286"/>
        <v>0</v>
      </c>
      <c r="S148" s="4743">
        <f t="shared" si="286"/>
        <v>0</v>
      </c>
      <c r="T148" s="4796">
        <f t="shared" si="286"/>
        <v>26834.985503296219</v>
      </c>
      <c r="U148" s="4796">
        <f t="shared" si="286"/>
        <v>14388.59</v>
      </c>
      <c r="V148" s="4796">
        <f t="shared" si="286"/>
        <v>-12446.395503296219</v>
      </c>
      <c r="W148" s="4743">
        <f t="shared" si="286"/>
        <v>9180.3897774434427</v>
      </c>
      <c r="X148" s="4743">
        <f t="shared" si="286"/>
        <v>0</v>
      </c>
      <c r="Y148" s="4743">
        <f t="shared" si="286"/>
        <v>0</v>
      </c>
      <c r="Z148" s="4743">
        <f t="shared" si="286"/>
        <v>0</v>
      </c>
      <c r="AA148" s="4743">
        <f t="shared" si="286"/>
        <v>0</v>
      </c>
      <c r="AB148" s="4796">
        <f t="shared" si="286"/>
        <v>36015.37528073966</v>
      </c>
      <c r="AC148" s="4796">
        <f t="shared" si="286"/>
        <v>14388.59</v>
      </c>
      <c r="AD148" s="4796">
        <f t="shared" si="286"/>
        <v>-21626.785280739659</v>
      </c>
    </row>
    <row r="149" spans="1:30" ht="18.75" customHeight="1">
      <c r="A149" s="4753" t="s">
        <v>121</v>
      </c>
      <c r="B149" s="4737">
        <f t="shared" si="286"/>
        <v>2649.4969861399986</v>
      </c>
      <c r="C149" s="4743">
        <f t="shared" si="286"/>
        <v>694.69999999999993</v>
      </c>
      <c r="D149" s="4743">
        <f t="shared" si="286"/>
        <v>646.15</v>
      </c>
      <c r="E149" s="4743">
        <f t="shared" si="286"/>
        <v>743.78</v>
      </c>
      <c r="F149" s="4743">
        <f t="shared" si="286"/>
        <v>2084.63</v>
      </c>
      <c r="G149" s="4743">
        <f t="shared" si="286"/>
        <v>2649.4969861399986</v>
      </c>
      <c r="H149" s="4743">
        <f t="shared" si="286"/>
        <v>730.33</v>
      </c>
      <c r="I149" s="4743">
        <f t="shared" si="286"/>
        <v>708.93</v>
      </c>
      <c r="J149" s="4743">
        <f t="shared" si="286"/>
        <v>819.03</v>
      </c>
      <c r="K149" s="4743">
        <f t="shared" si="286"/>
        <v>2258.29</v>
      </c>
      <c r="L149" s="4796">
        <f t="shared" si="286"/>
        <v>5298.9939722799973</v>
      </c>
      <c r="M149" s="4796">
        <f t="shared" si="286"/>
        <v>4342.92</v>
      </c>
      <c r="N149" s="4796">
        <f t="shared" si="286"/>
        <v>-956.07397227999741</v>
      </c>
      <c r="O149" s="4743">
        <f t="shared" si="286"/>
        <v>2755.4768655855987</v>
      </c>
      <c r="P149" s="4743">
        <f t="shared" si="286"/>
        <v>0</v>
      </c>
      <c r="Q149" s="4743">
        <f t="shared" si="286"/>
        <v>0</v>
      </c>
      <c r="R149" s="4743">
        <f t="shared" si="286"/>
        <v>0</v>
      </c>
      <c r="S149" s="4743">
        <f t="shared" si="286"/>
        <v>0</v>
      </c>
      <c r="T149" s="4796">
        <f t="shared" si="286"/>
        <v>8054.470837865596</v>
      </c>
      <c r="U149" s="4796">
        <f t="shared" si="286"/>
        <v>4342.92</v>
      </c>
      <c r="V149" s="4796">
        <f t="shared" si="286"/>
        <v>-3711.5508378655963</v>
      </c>
      <c r="W149" s="4743">
        <f t="shared" si="286"/>
        <v>2755.4768655855987</v>
      </c>
      <c r="X149" s="4743">
        <f t="shared" si="286"/>
        <v>0</v>
      </c>
      <c r="Y149" s="4743">
        <f t="shared" si="286"/>
        <v>0</v>
      </c>
      <c r="Z149" s="4743">
        <f t="shared" si="286"/>
        <v>0</v>
      </c>
      <c r="AA149" s="4743">
        <f t="shared" si="286"/>
        <v>0</v>
      </c>
      <c r="AB149" s="4796">
        <f t="shared" si="286"/>
        <v>10809.947703451195</v>
      </c>
      <c r="AC149" s="4796">
        <f t="shared" si="286"/>
        <v>4342.92</v>
      </c>
      <c r="AD149" s="4796">
        <f t="shared" si="286"/>
        <v>-6467.0277034511955</v>
      </c>
    </row>
    <row r="150" spans="1:30" ht="18.75" customHeight="1">
      <c r="A150" s="4797" t="s">
        <v>321</v>
      </c>
      <c r="B150" s="4740">
        <f>SUM(B149/B148)</f>
        <v>0.30014813448944261</v>
      </c>
      <c r="C150" s="4748">
        <f t="shared" ref="C150:AD150" si="287">SUM(C149/C148)</f>
        <v>0.30046278275161109</v>
      </c>
      <c r="D150" s="4748">
        <f t="shared" si="287"/>
        <v>0.30105297488701482</v>
      </c>
      <c r="E150" s="4748">
        <f t="shared" si="287"/>
        <v>0.29975053701039367</v>
      </c>
      <c r="F150" s="4748">
        <f t="shared" si="287"/>
        <v>0.3003906492039316</v>
      </c>
      <c r="G150" s="4748">
        <f t="shared" si="287"/>
        <v>0.30014813448944261</v>
      </c>
      <c r="H150" s="4748">
        <f t="shared" si="287"/>
        <v>0.30213008890194304</v>
      </c>
      <c r="I150" s="4748">
        <f t="shared" si="287"/>
        <v>0.30410909543276549</v>
      </c>
      <c r="J150" s="4748">
        <f t="shared" si="287"/>
        <v>0.3032972648699091</v>
      </c>
      <c r="K150" s="4748">
        <f t="shared" si="287"/>
        <v>0.30317256600338843</v>
      </c>
      <c r="L150" s="4798">
        <f t="shared" si="287"/>
        <v>0.30014813448944261</v>
      </c>
      <c r="M150" s="4798">
        <f t="shared" si="287"/>
        <v>0.30183082567506614</v>
      </c>
      <c r="N150" s="4798">
        <f t="shared" si="287"/>
        <v>0.29273493451404176</v>
      </c>
      <c r="O150" s="4748">
        <f t="shared" si="287"/>
        <v>0.30014813448944261</v>
      </c>
      <c r="P150" s="4748" t="e">
        <f t="shared" si="287"/>
        <v>#DIV/0!</v>
      </c>
      <c r="Q150" s="4748" t="e">
        <f t="shared" si="287"/>
        <v>#DIV/0!</v>
      </c>
      <c r="R150" s="4748" t="e">
        <f t="shared" si="287"/>
        <v>#DIV/0!</v>
      </c>
      <c r="S150" s="4748" t="e">
        <f t="shared" si="287"/>
        <v>#DIV/0!</v>
      </c>
      <c r="T150" s="4798">
        <f t="shared" si="287"/>
        <v>0.30014813448944261</v>
      </c>
      <c r="U150" s="4798">
        <f t="shared" si="287"/>
        <v>0.30183082567506614</v>
      </c>
      <c r="V150" s="4798">
        <f t="shared" si="287"/>
        <v>0.29820286820249725</v>
      </c>
      <c r="W150" s="4748">
        <f t="shared" si="287"/>
        <v>0.30014813448944261</v>
      </c>
      <c r="X150" s="4748" t="e">
        <f t="shared" si="287"/>
        <v>#DIV/0!</v>
      </c>
      <c r="Y150" s="4748" t="e">
        <f t="shared" si="287"/>
        <v>#DIV/0!</v>
      </c>
      <c r="Z150" s="4748" t="e">
        <f t="shared" si="287"/>
        <v>#DIV/0!</v>
      </c>
      <c r="AA150" s="4748" t="e">
        <f t="shared" si="287"/>
        <v>#DIV/0!</v>
      </c>
      <c r="AB150" s="4798">
        <f t="shared" si="287"/>
        <v>0.30014813448944261</v>
      </c>
      <c r="AC150" s="4798">
        <f t="shared" si="287"/>
        <v>0.30183082567506614</v>
      </c>
      <c r="AD150" s="4798">
        <f t="shared" si="287"/>
        <v>0.29902861749917997</v>
      </c>
    </row>
    <row r="151" spans="1:30" ht="18.75" customHeight="1">
      <c r="A151" s="4736" t="s">
        <v>1745</v>
      </c>
      <c r="B151" s="4737">
        <f t="shared" ref="B151:AD153" si="288">SUM(B23+B43+B75+B95)</f>
        <v>2952.0321731119861</v>
      </c>
      <c r="C151" s="4743">
        <f t="shared" si="288"/>
        <v>923.85</v>
      </c>
      <c r="D151" s="4743">
        <f t="shared" si="288"/>
        <v>846.55</v>
      </c>
      <c r="E151" s="4743">
        <f t="shared" si="288"/>
        <v>1394.05</v>
      </c>
      <c r="F151" s="4743">
        <f t="shared" si="288"/>
        <v>3164.4500000000003</v>
      </c>
      <c r="G151" s="4743">
        <f t="shared" si="288"/>
        <v>2843.6185288169795</v>
      </c>
      <c r="H151" s="4743">
        <f t="shared" si="288"/>
        <v>1098.9100000000001</v>
      </c>
      <c r="I151" s="4743">
        <f t="shared" si="288"/>
        <v>1231.5299999999997</v>
      </c>
      <c r="J151" s="4743">
        <f t="shared" si="288"/>
        <v>1148.3599999999999</v>
      </c>
      <c r="K151" s="4743">
        <f t="shared" si="288"/>
        <v>3478.7999999999997</v>
      </c>
      <c r="L151" s="4796">
        <f t="shared" si="288"/>
        <v>5795.6507019289656</v>
      </c>
      <c r="M151" s="4796">
        <f t="shared" si="288"/>
        <v>6643.25</v>
      </c>
      <c r="N151" s="4796">
        <f t="shared" si="288"/>
        <v>847.59929807103435</v>
      </c>
      <c r="O151" s="4743">
        <f t="shared" si="288"/>
        <v>2908.6303218627572</v>
      </c>
      <c r="P151" s="4743">
        <f t="shared" si="288"/>
        <v>0</v>
      </c>
      <c r="Q151" s="4743">
        <f t="shared" si="288"/>
        <v>0</v>
      </c>
      <c r="R151" s="4743">
        <f t="shared" si="288"/>
        <v>0</v>
      </c>
      <c r="S151" s="4743">
        <f t="shared" si="288"/>
        <v>0</v>
      </c>
      <c r="T151" s="4796">
        <f t="shared" si="288"/>
        <v>8704.281023791722</v>
      </c>
      <c r="U151" s="4796">
        <f t="shared" si="288"/>
        <v>6643.25</v>
      </c>
      <c r="V151" s="4796">
        <f t="shared" si="288"/>
        <v>-2061.0310237917229</v>
      </c>
      <c r="W151" s="4743">
        <f t="shared" si="288"/>
        <v>3019.6759573740737</v>
      </c>
      <c r="X151" s="4743">
        <f t="shared" si="288"/>
        <v>0</v>
      </c>
      <c r="Y151" s="4743">
        <f t="shared" si="288"/>
        <v>0</v>
      </c>
      <c r="Z151" s="4743">
        <f t="shared" si="288"/>
        <v>0</v>
      </c>
      <c r="AA151" s="4743">
        <f t="shared" si="288"/>
        <v>0</v>
      </c>
      <c r="AB151" s="4796">
        <f t="shared" si="288"/>
        <v>11723.956981165797</v>
      </c>
      <c r="AC151" s="4796">
        <f t="shared" si="288"/>
        <v>6643.25</v>
      </c>
      <c r="AD151" s="4796">
        <f t="shared" si="288"/>
        <v>-5080.7069811657966</v>
      </c>
    </row>
    <row r="152" spans="1:30" ht="18.75" customHeight="1">
      <c r="A152" s="4739" t="s">
        <v>1746</v>
      </c>
      <c r="B152" s="4752">
        <f t="shared" si="288"/>
        <v>1468.1097149110201</v>
      </c>
      <c r="C152" s="4748">
        <f t="shared" si="288"/>
        <v>507.79999999999995</v>
      </c>
      <c r="D152" s="4748">
        <f t="shared" si="288"/>
        <v>418.44000000000005</v>
      </c>
      <c r="E152" s="4748">
        <f t="shared" si="288"/>
        <v>454.5</v>
      </c>
      <c r="F152" s="4748">
        <f t="shared" si="288"/>
        <v>1380.7399999999998</v>
      </c>
      <c r="G152" s="4748">
        <f t="shared" si="288"/>
        <v>1468.1097149110201</v>
      </c>
      <c r="H152" s="4748">
        <f t="shared" si="288"/>
        <v>476.1</v>
      </c>
      <c r="I152" s="4748">
        <f t="shared" si="288"/>
        <v>540.41</v>
      </c>
      <c r="J152" s="4748">
        <f t="shared" si="288"/>
        <v>481.75</v>
      </c>
      <c r="K152" s="4748">
        <f t="shared" si="288"/>
        <v>1498.26</v>
      </c>
      <c r="L152" s="4798">
        <f t="shared" si="288"/>
        <v>2936.2194298220402</v>
      </c>
      <c r="M152" s="4798">
        <f t="shared" si="288"/>
        <v>2879</v>
      </c>
      <c r="N152" s="4798">
        <f t="shared" si="288"/>
        <v>-57.219429822040411</v>
      </c>
      <c r="O152" s="4748">
        <f t="shared" si="288"/>
        <v>1534.5117374111524</v>
      </c>
      <c r="P152" s="4748">
        <f t="shared" si="288"/>
        <v>0</v>
      </c>
      <c r="Q152" s="4748">
        <f t="shared" si="288"/>
        <v>0</v>
      </c>
      <c r="R152" s="4748">
        <f t="shared" si="288"/>
        <v>0</v>
      </c>
      <c r="S152" s="4748">
        <f t="shared" si="288"/>
        <v>0</v>
      </c>
      <c r="T152" s="4798">
        <f t="shared" si="288"/>
        <v>4470.7311672331925</v>
      </c>
      <c r="U152" s="4798">
        <f t="shared" si="288"/>
        <v>2879</v>
      </c>
      <c r="V152" s="4798">
        <f t="shared" si="288"/>
        <v>-1591.7311672331928</v>
      </c>
      <c r="W152" s="4748">
        <f t="shared" si="288"/>
        <v>1534.5117374111524</v>
      </c>
      <c r="X152" s="4748">
        <f t="shared" si="288"/>
        <v>0</v>
      </c>
      <c r="Y152" s="4748">
        <f t="shared" si="288"/>
        <v>0</v>
      </c>
      <c r="Z152" s="4748">
        <f t="shared" si="288"/>
        <v>0</v>
      </c>
      <c r="AA152" s="4748">
        <f t="shared" si="288"/>
        <v>0</v>
      </c>
      <c r="AB152" s="4798">
        <f t="shared" si="288"/>
        <v>6005.2429046443449</v>
      </c>
      <c r="AC152" s="4798">
        <f t="shared" si="288"/>
        <v>2879</v>
      </c>
      <c r="AD152" s="4798">
        <f t="shared" si="288"/>
        <v>-3126.2429046443449</v>
      </c>
    </row>
    <row r="153" spans="1:30" ht="18.75" customHeight="1">
      <c r="A153" s="4739" t="s">
        <v>1747</v>
      </c>
      <c r="B153" s="4752">
        <f t="shared" si="288"/>
        <v>441.51352035497416</v>
      </c>
      <c r="C153" s="4748">
        <f t="shared" si="288"/>
        <v>153.41</v>
      </c>
      <c r="D153" s="4748">
        <f t="shared" si="288"/>
        <v>126.24000000000001</v>
      </c>
      <c r="E153" s="4748">
        <f t="shared" si="288"/>
        <v>137.22</v>
      </c>
      <c r="F153" s="4748">
        <f t="shared" si="288"/>
        <v>416.87</v>
      </c>
      <c r="G153" s="4748">
        <f t="shared" si="288"/>
        <v>441.51352035497416</v>
      </c>
      <c r="H153" s="4748">
        <f t="shared" si="288"/>
        <v>143.74</v>
      </c>
      <c r="I153" s="4748">
        <f t="shared" si="288"/>
        <v>162.05000000000001</v>
      </c>
      <c r="J153" s="4748">
        <f t="shared" si="288"/>
        <v>144.67000000000002</v>
      </c>
      <c r="K153" s="4748">
        <f t="shared" si="288"/>
        <v>450.46000000000004</v>
      </c>
      <c r="L153" s="4798">
        <f t="shared" si="288"/>
        <v>883.02704070994832</v>
      </c>
      <c r="M153" s="4798">
        <f t="shared" si="288"/>
        <v>867.33</v>
      </c>
      <c r="N153" s="4798">
        <f t="shared" si="288"/>
        <v>-15.697040709948226</v>
      </c>
      <c r="O153" s="4748">
        <f t="shared" si="288"/>
        <v>461.49260809987641</v>
      </c>
      <c r="P153" s="4748">
        <f t="shared" si="288"/>
        <v>0</v>
      </c>
      <c r="Q153" s="4748">
        <f t="shared" si="288"/>
        <v>0</v>
      </c>
      <c r="R153" s="4748">
        <f t="shared" si="288"/>
        <v>0</v>
      </c>
      <c r="S153" s="4748">
        <f t="shared" si="288"/>
        <v>0</v>
      </c>
      <c r="T153" s="4798">
        <f t="shared" si="288"/>
        <v>1344.5196488098245</v>
      </c>
      <c r="U153" s="4798">
        <f t="shared" si="288"/>
        <v>867.33</v>
      </c>
      <c r="V153" s="4798">
        <f t="shared" si="288"/>
        <v>-477.18964880982458</v>
      </c>
      <c r="W153" s="4748">
        <f t="shared" si="288"/>
        <v>461.49260809987641</v>
      </c>
      <c r="X153" s="4748">
        <f t="shared" si="288"/>
        <v>0</v>
      </c>
      <c r="Y153" s="4748">
        <f t="shared" si="288"/>
        <v>0</v>
      </c>
      <c r="Z153" s="4748">
        <f t="shared" si="288"/>
        <v>0</v>
      </c>
      <c r="AA153" s="4748">
        <f t="shared" si="288"/>
        <v>0</v>
      </c>
      <c r="AB153" s="4798">
        <f t="shared" si="288"/>
        <v>1806.0122569097011</v>
      </c>
      <c r="AC153" s="4798">
        <f t="shared" si="288"/>
        <v>867.33</v>
      </c>
      <c r="AD153" s="4798">
        <f t="shared" si="288"/>
        <v>-938.68225690970098</v>
      </c>
    </row>
    <row r="154" spans="1:30" ht="18.75" customHeight="1">
      <c r="A154" s="4739" t="s">
        <v>31</v>
      </c>
      <c r="B154" s="4752">
        <f>SUM(B79)</f>
        <v>219.46512249905226</v>
      </c>
      <c r="C154" s="4748">
        <f t="shared" ref="C154:AD154" si="289">SUM(C79)</f>
        <v>66.61</v>
      </c>
      <c r="D154" s="4748">
        <f t="shared" si="289"/>
        <v>67.27</v>
      </c>
      <c r="E154" s="4748">
        <f t="shared" si="289"/>
        <v>98.11</v>
      </c>
      <c r="F154" s="4748">
        <f t="shared" si="289"/>
        <v>231.99</v>
      </c>
      <c r="G154" s="4748">
        <f t="shared" si="289"/>
        <v>219.46512249905226</v>
      </c>
      <c r="H154" s="4748">
        <f t="shared" si="289"/>
        <v>87.14</v>
      </c>
      <c r="I154" s="4748">
        <f t="shared" si="289"/>
        <v>93.88</v>
      </c>
      <c r="J154" s="4748">
        <f t="shared" si="289"/>
        <v>78.34</v>
      </c>
      <c r="K154" s="4748">
        <f t="shared" si="289"/>
        <v>259.36</v>
      </c>
      <c r="L154" s="4798">
        <f t="shared" si="289"/>
        <v>438.93024499810451</v>
      </c>
      <c r="M154" s="4798">
        <f t="shared" si="289"/>
        <v>491.35</v>
      </c>
      <c r="N154" s="4798">
        <f t="shared" si="289"/>
        <v>52.41975500189551</v>
      </c>
      <c r="O154" s="4748">
        <f t="shared" si="289"/>
        <v>219.46512249905226</v>
      </c>
      <c r="P154" s="4748">
        <f t="shared" si="289"/>
        <v>0</v>
      </c>
      <c r="Q154" s="4748">
        <f t="shared" si="289"/>
        <v>0</v>
      </c>
      <c r="R154" s="4748">
        <f t="shared" si="289"/>
        <v>0</v>
      </c>
      <c r="S154" s="4748">
        <f t="shared" si="289"/>
        <v>0</v>
      </c>
      <c r="T154" s="4798">
        <f t="shared" si="289"/>
        <v>658.39536749715671</v>
      </c>
      <c r="U154" s="4798">
        <f t="shared" si="289"/>
        <v>491.35</v>
      </c>
      <c r="V154" s="4798">
        <f t="shared" si="289"/>
        <v>-167.04536749715669</v>
      </c>
      <c r="W154" s="4748">
        <f t="shared" si="289"/>
        <v>219.46512249905226</v>
      </c>
      <c r="X154" s="4748">
        <f t="shared" si="289"/>
        <v>0</v>
      </c>
      <c r="Y154" s="4748">
        <f t="shared" si="289"/>
        <v>0</v>
      </c>
      <c r="Z154" s="4748">
        <f t="shared" si="289"/>
        <v>0</v>
      </c>
      <c r="AA154" s="4748">
        <f t="shared" si="289"/>
        <v>0</v>
      </c>
      <c r="AB154" s="4798">
        <f t="shared" si="289"/>
        <v>877.86048999620903</v>
      </c>
      <c r="AC154" s="4798">
        <f t="shared" si="289"/>
        <v>491.35</v>
      </c>
      <c r="AD154" s="4798">
        <f t="shared" si="289"/>
        <v>-386.510489996209</v>
      </c>
    </row>
    <row r="155" spans="1:30" ht="18.75" customHeight="1">
      <c r="A155" s="4739" t="s">
        <v>300</v>
      </c>
      <c r="B155" s="4752">
        <f>SUM(B151-B152-B153-B154)</f>
        <v>822.94381534693957</v>
      </c>
      <c r="C155" s="4748">
        <f t="shared" ref="C155:AD155" si="290">SUM(C151-C152-C153-C154)</f>
        <v>196.03000000000009</v>
      </c>
      <c r="D155" s="4748">
        <f t="shared" si="290"/>
        <v>234.59999999999991</v>
      </c>
      <c r="E155" s="4748">
        <f t="shared" si="290"/>
        <v>704.21999999999991</v>
      </c>
      <c r="F155" s="4748">
        <f t="shared" si="290"/>
        <v>1134.8500000000006</v>
      </c>
      <c r="G155" s="4748">
        <f t="shared" si="290"/>
        <v>714.53017105193294</v>
      </c>
      <c r="H155" s="4748">
        <f t="shared" si="290"/>
        <v>391.93000000000006</v>
      </c>
      <c r="I155" s="4748">
        <f t="shared" si="290"/>
        <v>435.18999999999971</v>
      </c>
      <c r="J155" s="4748">
        <f t="shared" si="290"/>
        <v>443.5999999999998</v>
      </c>
      <c r="K155" s="4748">
        <f t="shared" si="290"/>
        <v>1270.7199999999998</v>
      </c>
      <c r="L155" s="4798">
        <f t="shared" si="290"/>
        <v>1537.4739863988725</v>
      </c>
      <c r="M155" s="4798">
        <f t="shared" si="290"/>
        <v>2405.5700000000002</v>
      </c>
      <c r="N155" s="4798">
        <f t="shared" si="290"/>
        <v>868.09601360112742</v>
      </c>
      <c r="O155" s="4748">
        <f t="shared" si="290"/>
        <v>693.16085385267615</v>
      </c>
      <c r="P155" s="4748">
        <f t="shared" si="290"/>
        <v>0</v>
      </c>
      <c r="Q155" s="4748">
        <f t="shared" si="290"/>
        <v>0</v>
      </c>
      <c r="R155" s="4748">
        <f t="shared" si="290"/>
        <v>0</v>
      </c>
      <c r="S155" s="4748">
        <f t="shared" si="290"/>
        <v>0</v>
      </c>
      <c r="T155" s="4798">
        <f t="shared" si="290"/>
        <v>2230.6348402515482</v>
      </c>
      <c r="U155" s="4798">
        <f t="shared" si="290"/>
        <v>2405.5700000000002</v>
      </c>
      <c r="V155" s="4798">
        <f t="shared" si="290"/>
        <v>174.93515974845116</v>
      </c>
      <c r="W155" s="4748">
        <f t="shared" si="290"/>
        <v>804.20648936399266</v>
      </c>
      <c r="X155" s="4748">
        <f t="shared" si="290"/>
        <v>0</v>
      </c>
      <c r="Y155" s="4748">
        <f t="shared" si="290"/>
        <v>0</v>
      </c>
      <c r="Z155" s="4748">
        <f t="shared" si="290"/>
        <v>0</v>
      </c>
      <c r="AA155" s="4748">
        <f t="shared" si="290"/>
        <v>0</v>
      </c>
      <c r="AB155" s="4798">
        <f t="shared" si="290"/>
        <v>3034.8413296155413</v>
      </c>
      <c r="AC155" s="4798">
        <f t="shared" si="290"/>
        <v>2405.5700000000002</v>
      </c>
      <c r="AD155" s="4798">
        <f t="shared" si="290"/>
        <v>-629.27132961554173</v>
      </c>
    </row>
    <row r="156" spans="1:30" ht="18.75" customHeight="1">
      <c r="A156" s="4736" t="s">
        <v>1724</v>
      </c>
      <c r="B156" s="4737">
        <f t="shared" ref="B156:AD156" si="291">SUM(B105)</f>
        <v>378.3660830974635</v>
      </c>
      <c r="C156" s="4743">
        <f t="shared" si="291"/>
        <v>0</v>
      </c>
      <c r="D156" s="4743">
        <f t="shared" si="291"/>
        <v>0</v>
      </c>
      <c r="E156" s="4743">
        <f t="shared" si="291"/>
        <v>10.819999999999999</v>
      </c>
      <c r="F156" s="4743">
        <f t="shared" si="291"/>
        <v>10.819999999999999</v>
      </c>
      <c r="G156" s="4743">
        <f t="shared" si="291"/>
        <v>378.3660830974635</v>
      </c>
      <c r="H156" s="4743">
        <f t="shared" si="291"/>
        <v>0</v>
      </c>
      <c r="I156" s="4743">
        <f t="shared" si="291"/>
        <v>0</v>
      </c>
      <c r="J156" s="4743">
        <f t="shared" si="291"/>
        <v>10.819999999999999</v>
      </c>
      <c r="K156" s="4743">
        <f t="shared" si="291"/>
        <v>10.819999999999999</v>
      </c>
      <c r="L156" s="4796">
        <f t="shared" si="291"/>
        <v>756.732166194927</v>
      </c>
      <c r="M156" s="4796">
        <f t="shared" si="291"/>
        <v>21.639999999999997</v>
      </c>
      <c r="N156" s="4796">
        <f t="shared" si="291"/>
        <v>-735.09216619492702</v>
      </c>
      <c r="O156" s="4743">
        <f t="shared" si="291"/>
        <v>378.3660830974635</v>
      </c>
      <c r="P156" s="4743">
        <f t="shared" si="291"/>
        <v>0</v>
      </c>
      <c r="Q156" s="4743">
        <f t="shared" si="291"/>
        <v>0</v>
      </c>
      <c r="R156" s="4743">
        <f t="shared" si="291"/>
        <v>0</v>
      </c>
      <c r="S156" s="4743">
        <f t="shared" si="291"/>
        <v>0</v>
      </c>
      <c r="T156" s="4796">
        <f t="shared" si="291"/>
        <v>1135.0982492923904</v>
      </c>
      <c r="U156" s="4796">
        <f t="shared" si="291"/>
        <v>21.639999999999997</v>
      </c>
      <c r="V156" s="4796">
        <f t="shared" si="291"/>
        <v>-1113.4582492923903</v>
      </c>
      <c r="W156" s="4743">
        <f t="shared" si="291"/>
        <v>378.3660830974635</v>
      </c>
      <c r="X156" s="4743">
        <f t="shared" si="291"/>
        <v>0</v>
      </c>
      <c r="Y156" s="4743">
        <f t="shared" si="291"/>
        <v>0</v>
      </c>
      <c r="Z156" s="4743">
        <f t="shared" si="291"/>
        <v>0</v>
      </c>
      <c r="AA156" s="4743">
        <f t="shared" si="291"/>
        <v>0</v>
      </c>
      <c r="AB156" s="4796">
        <f t="shared" si="291"/>
        <v>1513.464332389854</v>
      </c>
      <c r="AC156" s="4796">
        <f t="shared" si="291"/>
        <v>21.639999999999997</v>
      </c>
      <c r="AD156" s="4796">
        <f t="shared" si="291"/>
        <v>-1491.8243323898539</v>
      </c>
    </row>
    <row r="157" spans="1:30" ht="18.75" customHeight="1">
      <c r="A157" s="4797" t="s">
        <v>1756</v>
      </c>
      <c r="B157" s="4752">
        <f t="shared" ref="B157:AD166" si="292">SUM(B106)</f>
        <v>38.183583097463476</v>
      </c>
      <c r="C157" s="4748">
        <f t="shared" si="292"/>
        <v>0</v>
      </c>
      <c r="D157" s="4748">
        <f t="shared" si="292"/>
        <v>0</v>
      </c>
      <c r="E157" s="4748">
        <f t="shared" si="292"/>
        <v>0.04</v>
      </c>
      <c r="F157" s="4748">
        <f t="shared" si="292"/>
        <v>0.04</v>
      </c>
      <c r="G157" s="4748">
        <f t="shared" si="292"/>
        <v>38.183583097463476</v>
      </c>
      <c r="H157" s="4748">
        <f t="shared" si="292"/>
        <v>0</v>
      </c>
      <c r="I157" s="4748">
        <f t="shared" si="292"/>
        <v>0</v>
      </c>
      <c r="J157" s="4748">
        <f t="shared" si="292"/>
        <v>0.04</v>
      </c>
      <c r="K157" s="4748">
        <f t="shared" si="292"/>
        <v>0.04</v>
      </c>
      <c r="L157" s="4798">
        <f t="shared" si="292"/>
        <v>76.367166194926952</v>
      </c>
      <c r="M157" s="4798">
        <f t="shared" si="292"/>
        <v>0.08</v>
      </c>
      <c r="N157" s="4798">
        <f t="shared" si="292"/>
        <v>-76.287166194926954</v>
      </c>
      <c r="O157" s="4748">
        <f t="shared" si="292"/>
        <v>38.183583097463476</v>
      </c>
      <c r="P157" s="4748">
        <f t="shared" si="292"/>
        <v>0</v>
      </c>
      <c r="Q157" s="4748">
        <f t="shared" si="292"/>
        <v>0</v>
      </c>
      <c r="R157" s="4748">
        <f t="shared" si="292"/>
        <v>0</v>
      </c>
      <c r="S157" s="4748">
        <f t="shared" si="292"/>
        <v>0</v>
      </c>
      <c r="T157" s="4798">
        <f t="shared" si="292"/>
        <v>114.55074929239044</v>
      </c>
      <c r="U157" s="4798">
        <f t="shared" si="292"/>
        <v>0.08</v>
      </c>
      <c r="V157" s="4798">
        <f t="shared" si="292"/>
        <v>-114.47074929239044</v>
      </c>
      <c r="W157" s="4748">
        <f t="shared" si="292"/>
        <v>38.183583097463476</v>
      </c>
      <c r="X157" s="4748">
        <f t="shared" si="292"/>
        <v>0</v>
      </c>
      <c r="Y157" s="4748">
        <f t="shared" si="292"/>
        <v>0</v>
      </c>
      <c r="Z157" s="4748">
        <f t="shared" si="292"/>
        <v>0</v>
      </c>
      <c r="AA157" s="4748">
        <f t="shared" si="292"/>
        <v>0</v>
      </c>
      <c r="AB157" s="4798">
        <f t="shared" si="292"/>
        <v>152.7343323898539</v>
      </c>
      <c r="AC157" s="4798">
        <f t="shared" si="292"/>
        <v>0.08</v>
      </c>
      <c r="AD157" s="4798">
        <f t="shared" si="292"/>
        <v>-152.65433238985389</v>
      </c>
    </row>
    <row r="158" spans="1:30" ht="18.75" customHeight="1">
      <c r="A158" s="4797" t="s">
        <v>542</v>
      </c>
      <c r="B158" s="4752">
        <f t="shared" si="292"/>
        <v>7.4749999999999996</v>
      </c>
      <c r="C158" s="4748">
        <f t="shared" si="292"/>
        <v>0</v>
      </c>
      <c r="D158" s="4748">
        <f t="shared" si="292"/>
        <v>0</v>
      </c>
      <c r="E158" s="4748">
        <f t="shared" si="292"/>
        <v>10.78</v>
      </c>
      <c r="F158" s="4748">
        <f t="shared" si="292"/>
        <v>10.78</v>
      </c>
      <c r="G158" s="4748">
        <f t="shared" si="292"/>
        <v>7.4749999999999996</v>
      </c>
      <c r="H158" s="4748">
        <f t="shared" si="292"/>
        <v>0</v>
      </c>
      <c r="I158" s="4748">
        <f t="shared" si="292"/>
        <v>0</v>
      </c>
      <c r="J158" s="4748">
        <f t="shared" si="292"/>
        <v>10.78</v>
      </c>
      <c r="K158" s="4748">
        <f t="shared" si="292"/>
        <v>10.78</v>
      </c>
      <c r="L158" s="4798">
        <f t="shared" si="292"/>
        <v>14.95</v>
      </c>
      <c r="M158" s="4798">
        <f t="shared" si="292"/>
        <v>21.56</v>
      </c>
      <c r="N158" s="4798">
        <f t="shared" si="292"/>
        <v>6.6099999999999994</v>
      </c>
      <c r="O158" s="4748">
        <f t="shared" si="292"/>
        <v>7.4749999999999996</v>
      </c>
      <c r="P158" s="4748">
        <f t="shared" si="292"/>
        <v>0</v>
      </c>
      <c r="Q158" s="4748">
        <f t="shared" si="292"/>
        <v>0</v>
      </c>
      <c r="R158" s="4748">
        <f t="shared" si="292"/>
        <v>0</v>
      </c>
      <c r="S158" s="4748">
        <f t="shared" si="292"/>
        <v>0</v>
      </c>
      <c r="T158" s="4798">
        <f t="shared" si="292"/>
        <v>22.424999999999997</v>
      </c>
      <c r="U158" s="4798">
        <f t="shared" si="292"/>
        <v>21.56</v>
      </c>
      <c r="V158" s="4798">
        <f t="shared" si="292"/>
        <v>-0.86499999999999844</v>
      </c>
      <c r="W158" s="4748">
        <f t="shared" si="292"/>
        <v>7.4749999999999996</v>
      </c>
      <c r="X158" s="4748">
        <f t="shared" si="292"/>
        <v>0</v>
      </c>
      <c r="Y158" s="4748">
        <f t="shared" si="292"/>
        <v>0</v>
      </c>
      <c r="Z158" s="4748">
        <f t="shared" si="292"/>
        <v>0</v>
      </c>
      <c r="AA158" s="4748">
        <f t="shared" si="292"/>
        <v>0</v>
      </c>
      <c r="AB158" s="4798">
        <f t="shared" si="292"/>
        <v>29.9</v>
      </c>
      <c r="AC158" s="4798">
        <f t="shared" si="292"/>
        <v>21.56</v>
      </c>
      <c r="AD158" s="4798">
        <f t="shared" si="292"/>
        <v>-8.34</v>
      </c>
    </row>
    <row r="159" spans="1:30" ht="18.75" customHeight="1">
      <c r="A159" s="4797" t="s">
        <v>544</v>
      </c>
      <c r="B159" s="4752">
        <f t="shared" si="292"/>
        <v>332.70750000000004</v>
      </c>
      <c r="C159" s="4748">
        <f t="shared" si="292"/>
        <v>0</v>
      </c>
      <c r="D159" s="4748">
        <f t="shared" si="292"/>
        <v>0</v>
      </c>
      <c r="E159" s="4748">
        <f t="shared" si="292"/>
        <v>0</v>
      </c>
      <c r="F159" s="4748">
        <f t="shared" si="292"/>
        <v>0</v>
      </c>
      <c r="G159" s="4748">
        <f t="shared" si="292"/>
        <v>332.70750000000004</v>
      </c>
      <c r="H159" s="4748">
        <f t="shared" si="292"/>
        <v>0</v>
      </c>
      <c r="I159" s="4748">
        <f t="shared" si="292"/>
        <v>0</v>
      </c>
      <c r="J159" s="4748">
        <f t="shared" si="292"/>
        <v>0</v>
      </c>
      <c r="K159" s="4748">
        <f t="shared" si="292"/>
        <v>0</v>
      </c>
      <c r="L159" s="4798">
        <f t="shared" si="292"/>
        <v>665.41500000000008</v>
      </c>
      <c r="M159" s="4798">
        <f t="shared" si="292"/>
        <v>0</v>
      </c>
      <c r="N159" s="4798">
        <f t="shared" si="292"/>
        <v>-665.41500000000008</v>
      </c>
      <c r="O159" s="4748">
        <f t="shared" si="292"/>
        <v>332.70750000000004</v>
      </c>
      <c r="P159" s="4748">
        <f t="shared" si="292"/>
        <v>0</v>
      </c>
      <c r="Q159" s="4748">
        <f t="shared" si="292"/>
        <v>0</v>
      </c>
      <c r="R159" s="4748">
        <f t="shared" si="292"/>
        <v>0</v>
      </c>
      <c r="S159" s="4748">
        <f t="shared" si="292"/>
        <v>0</v>
      </c>
      <c r="T159" s="4798">
        <f t="shared" si="292"/>
        <v>998.12250000000017</v>
      </c>
      <c r="U159" s="4798">
        <f t="shared" si="292"/>
        <v>0</v>
      </c>
      <c r="V159" s="4798">
        <f t="shared" si="292"/>
        <v>-998.12250000000017</v>
      </c>
      <c r="W159" s="4748">
        <f t="shared" si="292"/>
        <v>332.70750000000004</v>
      </c>
      <c r="X159" s="4748">
        <f t="shared" si="292"/>
        <v>0</v>
      </c>
      <c r="Y159" s="4748">
        <f t="shared" si="292"/>
        <v>0</v>
      </c>
      <c r="Z159" s="4748">
        <f t="shared" si="292"/>
        <v>0</v>
      </c>
      <c r="AA159" s="4748">
        <f t="shared" si="292"/>
        <v>0</v>
      </c>
      <c r="AB159" s="4798">
        <f t="shared" si="292"/>
        <v>1330.8300000000002</v>
      </c>
      <c r="AC159" s="4798">
        <f t="shared" si="292"/>
        <v>0</v>
      </c>
      <c r="AD159" s="4798">
        <f t="shared" si="292"/>
        <v>-1330.8300000000002</v>
      </c>
    </row>
    <row r="160" spans="1:30" ht="18.75" customHeight="1">
      <c r="A160" s="4736" t="s">
        <v>1748</v>
      </c>
      <c r="B160" s="4737">
        <f>SUM(B109)</f>
        <v>3735.876467295132</v>
      </c>
      <c r="C160" s="4743">
        <f t="shared" si="292"/>
        <v>851.24</v>
      </c>
      <c r="D160" s="4743">
        <f t="shared" si="292"/>
        <v>777.77</v>
      </c>
      <c r="E160" s="4743">
        <f t="shared" si="292"/>
        <v>1131.07</v>
      </c>
      <c r="F160" s="4743">
        <f t="shared" si="292"/>
        <v>2760.0800000000004</v>
      </c>
      <c r="G160" s="4743">
        <f t="shared" si="292"/>
        <v>3735.876467295132</v>
      </c>
      <c r="H160" s="4743">
        <f t="shared" si="292"/>
        <v>833.22</v>
      </c>
      <c r="I160" s="4743">
        <f t="shared" si="292"/>
        <v>678</v>
      </c>
      <c r="J160" s="4743">
        <f t="shared" si="292"/>
        <v>880.43000000000006</v>
      </c>
      <c r="K160" s="4743">
        <f t="shared" si="292"/>
        <v>2391.65</v>
      </c>
      <c r="L160" s="4796">
        <f t="shared" si="292"/>
        <v>7471.752934590264</v>
      </c>
      <c r="M160" s="4796">
        <f t="shared" si="292"/>
        <v>5151.7300000000005</v>
      </c>
      <c r="N160" s="4796">
        <f t="shared" si="292"/>
        <v>-2320.0229345902635</v>
      </c>
      <c r="O160" s="4743">
        <f t="shared" si="292"/>
        <v>3871.2116897136334</v>
      </c>
      <c r="P160" s="4743">
        <f t="shared" si="292"/>
        <v>0</v>
      </c>
      <c r="Q160" s="4743">
        <f t="shared" si="292"/>
        <v>0</v>
      </c>
      <c r="R160" s="4743">
        <f t="shared" si="292"/>
        <v>0</v>
      </c>
      <c r="S160" s="4743">
        <f t="shared" si="292"/>
        <v>0</v>
      </c>
      <c r="T160" s="4796">
        <f t="shared" si="292"/>
        <v>11342.964624303897</v>
      </c>
      <c r="U160" s="4796">
        <f t="shared" si="292"/>
        <v>5151.7300000000005</v>
      </c>
      <c r="V160" s="4796">
        <f t="shared" si="292"/>
        <v>-6191.2346243038965</v>
      </c>
      <c r="W160" s="4743">
        <f t="shared" si="292"/>
        <v>3871.2116897136334</v>
      </c>
      <c r="X160" s="4743">
        <f t="shared" si="292"/>
        <v>0</v>
      </c>
      <c r="Y160" s="4743">
        <f t="shared" si="292"/>
        <v>0</v>
      </c>
      <c r="Z160" s="4743">
        <f t="shared" si="292"/>
        <v>0</v>
      </c>
      <c r="AA160" s="4743">
        <f t="shared" si="292"/>
        <v>0</v>
      </c>
      <c r="AB160" s="4796">
        <f t="shared" si="292"/>
        <v>15214.17631401753</v>
      </c>
      <c r="AC160" s="4796">
        <f t="shared" si="292"/>
        <v>5151.7300000000005</v>
      </c>
      <c r="AD160" s="4796">
        <f t="shared" si="292"/>
        <v>-10062.446314017528</v>
      </c>
    </row>
    <row r="161" spans="1:30" ht="18.75" customHeight="1">
      <c r="A161" s="4700" t="s">
        <v>1727</v>
      </c>
      <c r="B161" s="4752">
        <f>SUM(B110)</f>
        <v>2643.6191333241818</v>
      </c>
      <c r="C161" s="4748">
        <f t="shared" si="292"/>
        <v>529.22</v>
      </c>
      <c r="D161" s="4748">
        <f t="shared" si="292"/>
        <v>521.41999999999996</v>
      </c>
      <c r="E161" s="4748">
        <f t="shared" si="292"/>
        <v>570.45000000000005</v>
      </c>
      <c r="F161" s="4748">
        <f t="shared" si="292"/>
        <v>1621.09</v>
      </c>
      <c r="G161" s="4748">
        <f t="shared" si="292"/>
        <v>2643.6191333241818</v>
      </c>
      <c r="H161" s="4748">
        <f t="shared" si="292"/>
        <v>517.36</v>
      </c>
      <c r="I161" s="4748">
        <f t="shared" si="292"/>
        <v>454.78</v>
      </c>
      <c r="J161" s="4748">
        <f t="shared" si="292"/>
        <v>605.72</v>
      </c>
      <c r="K161" s="4748">
        <f t="shared" si="292"/>
        <v>1577.8600000000001</v>
      </c>
      <c r="L161" s="4798">
        <f t="shared" si="292"/>
        <v>5287.2382666483636</v>
      </c>
      <c r="M161" s="4798">
        <f t="shared" si="292"/>
        <v>3198.95</v>
      </c>
      <c r="N161" s="4798">
        <f t="shared" si="292"/>
        <v>-2088.2882666483638</v>
      </c>
      <c r="O161" s="4748">
        <f t="shared" si="292"/>
        <v>2749.3638986571491</v>
      </c>
      <c r="P161" s="4748">
        <f t="shared" si="292"/>
        <v>0</v>
      </c>
      <c r="Q161" s="4748">
        <f t="shared" si="292"/>
        <v>0</v>
      </c>
      <c r="R161" s="4748">
        <f t="shared" si="292"/>
        <v>0</v>
      </c>
      <c r="S161" s="4748">
        <f t="shared" si="292"/>
        <v>0</v>
      </c>
      <c r="T161" s="4798">
        <f t="shared" si="292"/>
        <v>8036.6021653055122</v>
      </c>
      <c r="U161" s="4798">
        <f t="shared" si="292"/>
        <v>3198.95</v>
      </c>
      <c r="V161" s="4798">
        <f t="shared" si="292"/>
        <v>-4837.6521653055124</v>
      </c>
      <c r="W161" s="4748">
        <f t="shared" si="292"/>
        <v>2749.3638986571491</v>
      </c>
      <c r="X161" s="4748">
        <f t="shared" si="292"/>
        <v>0</v>
      </c>
      <c r="Y161" s="4748">
        <f t="shared" si="292"/>
        <v>0</v>
      </c>
      <c r="Z161" s="4748">
        <f t="shared" si="292"/>
        <v>0</v>
      </c>
      <c r="AA161" s="4748">
        <f t="shared" si="292"/>
        <v>0</v>
      </c>
      <c r="AB161" s="4798">
        <f t="shared" si="292"/>
        <v>10785.966063962662</v>
      </c>
      <c r="AC161" s="4798">
        <f t="shared" si="292"/>
        <v>3198.95</v>
      </c>
      <c r="AD161" s="4798">
        <f t="shared" si="292"/>
        <v>-7587.016063962662</v>
      </c>
    </row>
    <row r="162" spans="1:30" ht="18.75" customHeight="1">
      <c r="A162" s="4700" t="s">
        <v>1728</v>
      </c>
      <c r="B162" s="4752">
        <f>SUM(B111)</f>
        <v>739.76142713833258</v>
      </c>
      <c r="C162" s="4748">
        <f t="shared" si="292"/>
        <v>171.87</v>
      </c>
      <c r="D162" s="4748">
        <f t="shared" si="292"/>
        <v>157.02000000000001</v>
      </c>
      <c r="E162" s="4748">
        <f t="shared" si="292"/>
        <v>174.29</v>
      </c>
      <c r="F162" s="4748">
        <f t="shared" si="292"/>
        <v>503.17999999999995</v>
      </c>
      <c r="G162" s="4748">
        <f t="shared" si="292"/>
        <v>739.76142713833258</v>
      </c>
      <c r="H162" s="4748">
        <f t="shared" si="292"/>
        <v>154.93</v>
      </c>
      <c r="I162" s="4748">
        <f t="shared" si="292"/>
        <v>149.57</v>
      </c>
      <c r="J162" s="4748">
        <f t="shared" si="292"/>
        <v>183.1</v>
      </c>
      <c r="K162" s="4748">
        <f t="shared" si="292"/>
        <v>487.6</v>
      </c>
      <c r="L162" s="4798">
        <f t="shared" si="292"/>
        <v>1479.5228542766652</v>
      </c>
      <c r="M162" s="4798">
        <f t="shared" si="292"/>
        <v>990.78</v>
      </c>
      <c r="N162" s="4798">
        <f t="shared" si="292"/>
        <v>-488.74285427666518</v>
      </c>
      <c r="O162" s="4748">
        <f t="shared" si="292"/>
        <v>769.35188422386591</v>
      </c>
      <c r="P162" s="4748">
        <f t="shared" si="292"/>
        <v>0</v>
      </c>
      <c r="Q162" s="4748">
        <f t="shared" si="292"/>
        <v>0</v>
      </c>
      <c r="R162" s="4748">
        <f t="shared" si="292"/>
        <v>0</v>
      </c>
      <c r="S162" s="4748">
        <f t="shared" si="292"/>
        <v>0</v>
      </c>
      <c r="T162" s="4798">
        <f t="shared" si="292"/>
        <v>2248.8747385005308</v>
      </c>
      <c r="U162" s="4798">
        <f t="shared" si="292"/>
        <v>990.78</v>
      </c>
      <c r="V162" s="4798">
        <f t="shared" si="292"/>
        <v>-1258.0947385005309</v>
      </c>
      <c r="W162" s="4748">
        <f t="shared" si="292"/>
        <v>769.35188422386591</v>
      </c>
      <c r="X162" s="4748">
        <f t="shared" si="292"/>
        <v>0</v>
      </c>
      <c r="Y162" s="4748">
        <f t="shared" si="292"/>
        <v>0</v>
      </c>
      <c r="Z162" s="4748">
        <f t="shared" si="292"/>
        <v>0</v>
      </c>
      <c r="AA162" s="4748">
        <f t="shared" si="292"/>
        <v>0</v>
      </c>
      <c r="AB162" s="4798">
        <f t="shared" si="292"/>
        <v>3018.2266227243967</v>
      </c>
      <c r="AC162" s="4798">
        <f t="shared" si="292"/>
        <v>990.78</v>
      </c>
      <c r="AD162" s="4798">
        <f t="shared" si="292"/>
        <v>-2027.4466227243968</v>
      </c>
    </row>
    <row r="163" spans="1:30" ht="18.75" customHeight="1">
      <c r="A163" s="4700" t="s">
        <v>285</v>
      </c>
      <c r="B163" s="4752"/>
      <c r="C163" s="4748">
        <f t="shared" si="292"/>
        <v>0.09</v>
      </c>
      <c r="D163" s="4748">
        <f t="shared" si="292"/>
        <v>0.08</v>
      </c>
      <c r="E163" s="4748">
        <f t="shared" si="292"/>
        <v>1.86</v>
      </c>
      <c r="F163" s="4748">
        <f t="shared" si="292"/>
        <v>2.0300000000000002</v>
      </c>
      <c r="G163" s="4748"/>
      <c r="H163" s="4748">
        <f t="shared" si="292"/>
        <v>1.82</v>
      </c>
      <c r="I163" s="4748">
        <f t="shared" si="292"/>
        <v>1.85</v>
      </c>
      <c r="J163" s="4748">
        <f t="shared" si="292"/>
        <v>2.1800000000000002</v>
      </c>
      <c r="K163" s="4748">
        <f t="shared" si="292"/>
        <v>5.85</v>
      </c>
      <c r="L163" s="4798"/>
      <c r="M163" s="4798">
        <f t="shared" si="292"/>
        <v>7.88</v>
      </c>
      <c r="N163" s="4798"/>
      <c r="O163" s="4748"/>
      <c r="P163" s="4748">
        <f t="shared" si="292"/>
        <v>0</v>
      </c>
      <c r="Q163" s="4748">
        <f t="shared" si="292"/>
        <v>0</v>
      </c>
      <c r="R163" s="4748">
        <f t="shared" si="292"/>
        <v>0</v>
      </c>
      <c r="S163" s="4748">
        <f t="shared" si="292"/>
        <v>0</v>
      </c>
      <c r="T163" s="4798"/>
      <c r="U163" s="4798">
        <f t="shared" si="292"/>
        <v>7.88</v>
      </c>
      <c r="V163" s="4798"/>
      <c r="W163" s="4748"/>
      <c r="X163" s="4748">
        <f t="shared" si="292"/>
        <v>0</v>
      </c>
      <c r="Y163" s="4748">
        <f t="shared" si="292"/>
        <v>0</v>
      </c>
      <c r="Z163" s="4748">
        <f t="shared" si="292"/>
        <v>0</v>
      </c>
      <c r="AA163" s="4748">
        <f t="shared" si="292"/>
        <v>0</v>
      </c>
      <c r="AB163" s="4798"/>
      <c r="AC163" s="4798">
        <f t="shared" si="292"/>
        <v>7.88</v>
      </c>
      <c r="AD163" s="4798"/>
    </row>
    <row r="164" spans="1:30" ht="18.75" customHeight="1">
      <c r="A164" s="4700" t="s">
        <v>1997</v>
      </c>
      <c r="B164" s="4752"/>
      <c r="C164" s="4748">
        <f t="shared" si="292"/>
        <v>7.03</v>
      </c>
      <c r="D164" s="4748">
        <f t="shared" si="292"/>
        <v>7.45</v>
      </c>
      <c r="E164" s="4748">
        <f t="shared" si="292"/>
        <v>8.15</v>
      </c>
      <c r="F164" s="4748">
        <f t="shared" si="292"/>
        <v>22.630000000000003</v>
      </c>
      <c r="G164" s="4748"/>
      <c r="H164" s="4748">
        <f t="shared" si="292"/>
        <v>5.7</v>
      </c>
      <c r="I164" s="4748">
        <f t="shared" si="292"/>
        <v>1.62</v>
      </c>
      <c r="J164" s="4748">
        <f t="shared" si="292"/>
        <v>0</v>
      </c>
      <c r="K164" s="4748">
        <f t="shared" si="292"/>
        <v>7.32</v>
      </c>
      <c r="L164" s="4798"/>
      <c r="M164" s="4798">
        <f t="shared" si="292"/>
        <v>29.950000000000003</v>
      </c>
      <c r="N164" s="4798"/>
      <c r="O164" s="4748"/>
      <c r="P164" s="4748">
        <f t="shared" si="292"/>
        <v>0</v>
      </c>
      <c r="Q164" s="4748">
        <f t="shared" si="292"/>
        <v>0</v>
      </c>
      <c r="R164" s="4748">
        <f t="shared" si="292"/>
        <v>0</v>
      </c>
      <c r="S164" s="4748">
        <f t="shared" si="292"/>
        <v>0</v>
      </c>
      <c r="T164" s="4798"/>
      <c r="U164" s="4798">
        <f t="shared" si="292"/>
        <v>29.950000000000003</v>
      </c>
      <c r="V164" s="4798"/>
      <c r="W164" s="4748"/>
      <c r="X164" s="4748">
        <f t="shared" si="292"/>
        <v>0</v>
      </c>
      <c r="Y164" s="4748">
        <f t="shared" si="292"/>
        <v>0</v>
      </c>
      <c r="Z164" s="4748">
        <f t="shared" si="292"/>
        <v>0</v>
      </c>
      <c r="AA164" s="4748">
        <f t="shared" si="292"/>
        <v>0</v>
      </c>
      <c r="AB164" s="4798"/>
      <c r="AC164" s="4798">
        <f t="shared" si="292"/>
        <v>29.950000000000003</v>
      </c>
      <c r="AD164" s="4798"/>
    </row>
    <row r="165" spans="1:30" ht="18.75" customHeight="1">
      <c r="A165" s="4700" t="s">
        <v>286</v>
      </c>
      <c r="B165" s="4752"/>
      <c r="C165" s="4748">
        <f t="shared" si="292"/>
        <v>0</v>
      </c>
      <c r="D165" s="4748">
        <f t="shared" si="292"/>
        <v>0</v>
      </c>
      <c r="E165" s="4748">
        <f t="shared" si="292"/>
        <v>0</v>
      </c>
      <c r="F165" s="4748">
        <f t="shared" si="292"/>
        <v>0</v>
      </c>
      <c r="G165" s="4748"/>
      <c r="H165" s="4748">
        <f t="shared" si="292"/>
        <v>0</v>
      </c>
      <c r="I165" s="4748">
        <f t="shared" si="292"/>
        <v>0</v>
      </c>
      <c r="J165" s="4748">
        <f t="shared" si="292"/>
        <v>0</v>
      </c>
      <c r="K165" s="4748">
        <f t="shared" si="292"/>
        <v>0</v>
      </c>
      <c r="L165" s="4798"/>
      <c r="M165" s="4798">
        <f t="shared" si="292"/>
        <v>0</v>
      </c>
      <c r="N165" s="4798"/>
      <c r="O165" s="4748"/>
      <c r="P165" s="4748">
        <f t="shared" si="292"/>
        <v>0</v>
      </c>
      <c r="Q165" s="4748">
        <f t="shared" si="292"/>
        <v>0</v>
      </c>
      <c r="R165" s="4748">
        <f t="shared" si="292"/>
        <v>0</v>
      </c>
      <c r="S165" s="4748">
        <f t="shared" si="292"/>
        <v>0</v>
      </c>
      <c r="T165" s="4798"/>
      <c r="U165" s="4798">
        <f t="shared" si="292"/>
        <v>0</v>
      </c>
      <c r="V165" s="4798"/>
      <c r="W165" s="4748"/>
      <c r="X165" s="4748">
        <f t="shared" si="292"/>
        <v>0</v>
      </c>
      <c r="Y165" s="4748">
        <f t="shared" si="292"/>
        <v>0</v>
      </c>
      <c r="Z165" s="4748">
        <f t="shared" si="292"/>
        <v>0</v>
      </c>
      <c r="AA165" s="4748">
        <f t="shared" si="292"/>
        <v>0</v>
      </c>
      <c r="AB165" s="4798"/>
      <c r="AC165" s="4798">
        <f t="shared" si="292"/>
        <v>0</v>
      </c>
      <c r="AD165" s="4798"/>
    </row>
    <row r="166" spans="1:30" ht="18.75" customHeight="1">
      <c r="A166" s="4739" t="s">
        <v>1729</v>
      </c>
      <c r="B166" s="4752">
        <f>SUM(B115)</f>
        <v>352.49590683261818</v>
      </c>
      <c r="C166" s="4748">
        <f t="shared" si="292"/>
        <v>143.03</v>
      </c>
      <c r="D166" s="4748">
        <f t="shared" si="292"/>
        <v>91.8</v>
      </c>
      <c r="E166" s="4748">
        <f t="shared" si="292"/>
        <v>376.32</v>
      </c>
      <c r="F166" s="4748">
        <f t="shared" si="292"/>
        <v>611.15</v>
      </c>
      <c r="G166" s="4748">
        <f t="shared" si="292"/>
        <v>352.49590683261818</v>
      </c>
      <c r="H166" s="4748">
        <f t="shared" si="292"/>
        <v>153.41</v>
      </c>
      <c r="I166" s="4748">
        <f t="shared" si="292"/>
        <v>70.180000000000007</v>
      </c>
      <c r="J166" s="4748">
        <f t="shared" si="292"/>
        <v>89.43</v>
      </c>
      <c r="K166" s="4748">
        <f t="shared" si="292"/>
        <v>313.02</v>
      </c>
      <c r="L166" s="4798">
        <f t="shared" si="292"/>
        <v>704.99181366523635</v>
      </c>
      <c r="M166" s="4798">
        <f t="shared" si="292"/>
        <v>924.17</v>
      </c>
      <c r="N166" s="4798">
        <f t="shared" si="292"/>
        <v>219.17818633476361</v>
      </c>
      <c r="O166" s="4748">
        <f t="shared" si="292"/>
        <v>352.49590683261818</v>
      </c>
      <c r="P166" s="4748">
        <f t="shared" si="292"/>
        <v>0</v>
      </c>
      <c r="Q166" s="4748">
        <f t="shared" si="292"/>
        <v>0</v>
      </c>
      <c r="R166" s="4748">
        <f t="shared" si="292"/>
        <v>0</v>
      </c>
      <c r="S166" s="4748">
        <f t="shared" si="292"/>
        <v>0</v>
      </c>
      <c r="T166" s="4798">
        <f t="shared" si="292"/>
        <v>1057.4877204978545</v>
      </c>
      <c r="U166" s="4798">
        <f t="shared" si="292"/>
        <v>924.17</v>
      </c>
      <c r="V166" s="4798">
        <f t="shared" si="292"/>
        <v>-133.31772049785457</v>
      </c>
      <c r="W166" s="4748">
        <f t="shared" si="292"/>
        <v>352.49590683261818</v>
      </c>
      <c r="X166" s="4748">
        <f t="shared" si="292"/>
        <v>0</v>
      </c>
      <c r="Y166" s="4748">
        <f t="shared" si="292"/>
        <v>0</v>
      </c>
      <c r="Z166" s="4748">
        <f t="shared" si="292"/>
        <v>0</v>
      </c>
      <c r="AA166" s="4748">
        <f t="shared" si="292"/>
        <v>0</v>
      </c>
      <c r="AB166" s="4798">
        <f t="shared" si="292"/>
        <v>1409.9836273304727</v>
      </c>
      <c r="AC166" s="4798">
        <f t="shared" si="292"/>
        <v>924.17</v>
      </c>
      <c r="AD166" s="4798">
        <f t="shared" ref="AD166" si="293">SUM(AD115)</f>
        <v>-485.81362733047274</v>
      </c>
    </row>
    <row r="167" spans="1:30" ht="18.75" customHeight="1">
      <c r="A167" s="4753" t="s">
        <v>1758</v>
      </c>
      <c r="B167" s="4737">
        <f>SUM(B116)</f>
        <v>0</v>
      </c>
      <c r="C167" s="4743">
        <f t="shared" ref="C167:AD167" si="294">SUM(C116)</f>
        <v>0</v>
      </c>
      <c r="D167" s="4743">
        <f t="shared" si="294"/>
        <v>0</v>
      </c>
      <c r="E167" s="4743">
        <f t="shared" si="294"/>
        <v>0</v>
      </c>
      <c r="F167" s="4743">
        <f t="shared" si="294"/>
        <v>0</v>
      </c>
      <c r="G167" s="4743">
        <f t="shared" si="294"/>
        <v>0</v>
      </c>
      <c r="H167" s="4743">
        <f t="shared" si="294"/>
        <v>0</v>
      </c>
      <c r="I167" s="4743">
        <f t="shared" si="294"/>
        <v>0</v>
      </c>
      <c r="J167" s="4743">
        <f t="shared" si="294"/>
        <v>0</v>
      </c>
      <c r="K167" s="4743">
        <f t="shared" si="294"/>
        <v>0</v>
      </c>
      <c r="L167" s="4796">
        <f t="shared" si="294"/>
        <v>0</v>
      </c>
      <c r="M167" s="4796">
        <f t="shared" si="294"/>
        <v>0</v>
      </c>
      <c r="N167" s="4796">
        <f t="shared" si="294"/>
        <v>0</v>
      </c>
      <c r="O167" s="4743">
        <f t="shared" si="294"/>
        <v>0</v>
      </c>
      <c r="P167" s="4743">
        <f t="shared" si="294"/>
        <v>0</v>
      </c>
      <c r="Q167" s="4743">
        <f t="shared" si="294"/>
        <v>0</v>
      </c>
      <c r="R167" s="4743">
        <f t="shared" si="294"/>
        <v>0</v>
      </c>
      <c r="S167" s="4743">
        <f t="shared" si="294"/>
        <v>0</v>
      </c>
      <c r="T167" s="4796">
        <f t="shared" si="294"/>
        <v>0</v>
      </c>
      <c r="U167" s="4796">
        <f t="shared" si="294"/>
        <v>0</v>
      </c>
      <c r="V167" s="4796">
        <f t="shared" si="294"/>
        <v>0</v>
      </c>
      <c r="W167" s="4743">
        <f t="shared" si="294"/>
        <v>0</v>
      </c>
      <c r="X167" s="4743">
        <f t="shared" si="294"/>
        <v>0</v>
      </c>
      <c r="Y167" s="4743">
        <f t="shared" si="294"/>
        <v>0</v>
      </c>
      <c r="Z167" s="4743">
        <f t="shared" si="294"/>
        <v>0</v>
      </c>
      <c r="AA167" s="4743">
        <f t="shared" si="294"/>
        <v>0</v>
      </c>
      <c r="AB167" s="4796">
        <f t="shared" si="294"/>
        <v>0</v>
      </c>
      <c r="AC167" s="4796">
        <f t="shared" si="294"/>
        <v>0</v>
      </c>
      <c r="AD167" s="4796">
        <f t="shared" si="294"/>
        <v>0</v>
      </c>
    </row>
    <row r="168" spans="1:30" ht="18.75" hidden="1" customHeight="1">
      <c r="A168" s="4728" t="s">
        <v>286</v>
      </c>
      <c r="B168" s="4752">
        <f>SUM(B117)</f>
        <v>0</v>
      </c>
      <c r="C168" s="4752">
        <f t="shared" ref="C168:AD168" si="295">SUM(C117)</f>
        <v>0</v>
      </c>
      <c r="D168" s="4752">
        <f t="shared" si="295"/>
        <v>0</v>
      </c>
      <c r="E168" s="4752">
        <f t="shared" si="295"/>
        <v>0</v>
      </c>
      <c r="F168" s="4752">
        <f t="shared" si="295"/>
        <v>0</v>
      </c>
      <c r="G168" s="4752">
        <f t="shared" si="295"/>
        <v>0</v>
      </c>
      <c r="H168" s="4752">
        <f t="shared" si="295"/>
        <v>0</v>
      </c>
      <c r="I168" s="4752">
        <f t="shared" si="295"/>
        <v>0</v>
      </c>
      <c r="J168" s="4752">
        <f t="shared" si="295"/>
        <v>0</v>
      </c>
      <c r="K168" s="4752">
        <f t="shared" si="295"/>
        <v>0</v>
      </c>
      <c r="L168" s="4799">
        <f t="shared" si="295"/>
        <v>0</v>
      </c>
      <c r="M168" s="4799">
        <f t="shared" si="295"/>
        <v>0</v>
      </c>
      <c r="N168" s="4799">
        <f t="shared" si="295"/>
        <v>0</v>
      </c>
      <c r="O168" s="4752">
        <f t="shared" si="295"/>
        <v>0</v>
      </c>
      <c r="P168" s="4752">
        <f t="shared" si="295"/>
        <v>0</v>
      </c>
      <c r="Q168" s="4752">
        <f t="shared" si="295"/>
        <v>0</v>
      </c>
      <c r="R168" s="4752">
        <f t="shared" si="295"/>
        <v>0</v>
      </c>
      <c r="S168" s="4752">
        <f t="shared" si="295"/>
        <v>0</v>
      </c>
      <c r="T168" s="4799">
        <f t="shared" si="295"/>
        <v>0</v>
      </c>
      <c r="U168" s="4799">
        <f t="shared" si="295"/>
        <v>0</v>
      </c>
      <c r="V168" s="4799">
        <f t="shared" si="295"/>
        <v>0</v>
      </c>
      <c r="W168" s="4752">
        <f t="shared" si="295"/>
        <v>0</v>
      </c>
      <c r="X168" s="4752">
        <f t="shared" si="295"/>
        <v>0</v>
      </c>
      <c r="Y168" s="4752">
        <f t="shared" si="295"/>
        <v>0</v>
      </c>
      <c r="Z168" s="4752">
        <f t="shared" si="295"/>
        <v>0</v>
      </c>
      <c r="AA168" s="4752">
        <f t="shared" si="295"/>
        <v>0</v>
      </c>
      <c r="AB168" s="4799">
        <f t="shared" si="295"/>
        <v>0</v>
      </c>
      <c r="AC168" s="4799">
        <f t="shared" si="295"/>
        <v>0</v>
      </c>
      <c r="AD168" s="4799">
        <f t="shared" si="295"/>
        <v>0</v>
      </c>
    </row>
    <row r="169" spans="1:30" ht="18.75" customHeight="1">
      <c r="A169" s="4620" t="s">
        <v>1731</v>
      </c>
      <c r="B169" s="4737">
        <f t="shared" ref="B169:Q169" si="296">SUM(B118)</f>
        <v>91.342119864841322</v>
      </c>
      <c r="C169" s="4737">
        <f t="shared" si="296"/>
        <v>0</v>
      </c>
      <c r="D169" s="4737">
        <f t="shared" si="296"/>
        <v>0</v>
      </c>
      <c r="E169" s="4737">
        <f t="shared" si="296"/>
        <v>0</v>
      </c>
      <c r="F169" s="4737">
        <f t="shared" si="296"/>
        <v>0</v>
      </c>
      <c r="G169" s="4737">
        <f t="shared" si="296"/>
        <v>91.342119864841322</v>
      </c>
      <c r="H169" s="4737">
        <f t="shared" si="296"/>
        <v>0</v>
      </c>
      <c r="I169" s="4737">
        <f t="shared" si="296"/>
        <v>0</v>
      </c>
      <c r="J169" s="4737">
        <f t="shared" si="296"/>
        <v>0</v>
      </c>
      <c r="K169" s="4737">
        <f t="shared" si="296"/>
        <v>0</v>
      </c>
      <c r="L169" s="4800">
        <f t="shared" si="296"/>
        <v>182.68423972968264</v>
      </c>
      <c r="M169" s="4800">
        <f t="shared" si="296"/>
        <v>0</v>
      </c>
      <c r="N169" s="4800">
        <f t="shared" si="296"/>
        <v>-182.68423972968264</v>
      </c>
      <c r="O169" s="4737">
        <f t="shared" si="296"/>
        <v>91.342119864841322</v>
      </c>
      <c r="P169" s="4737">
        <f t="shared" si="296"/>
        <v>0</v>
      </c>
      <c r="Q169" s="4737">
        <f t="shared" si="296"/>
        <v>0</v>
      </c>
      <c r="R169" s="4737">
        <f t="shared" ref="R169:AD169" si="297">SUM(R118)</f>
        <v>0</v>
      </c>
      <c r="S169" s="4737">
        <f t="shared" si="297"/>
        <v>0</v>
      </c>
      <c r="T169" s="4800">
        <f t="shared" si="297"/>
        <v>274.02635959452397</v>
      </c>
      <c r="U169" s="4800">
        <f t="shared" si="297"/>
        <v>0</v>
      </c>
      <c r="V169" s="4800">
        <f t="shared" si="297"/>
        <v>-274.02635959452397</v>
      </c>
      <c r="W169" s="4737">
        <f t="shared" si="297"/>
        <v>91.342119864841322</v>
      </c>
      <c r="X169" s="4737">
        <f t="shared" si="297"/>
        <v>0</v>
      </c>
      <c r="Y169" s="4737">
        <f t="shared" si="297"/>
        <v>0</v>
      </c>
      <c r="Z169" s="4737">
        <f t="shared" si="297"/>
        <v>0</v>
      </c>
      <c r="AA169" s="4737">
        <f t="shared" si="297"/>
        <v>0</v>
      </c>
      <c r="AB169" s="4800">
        <f t="shared" si="297"/>
        <v>365.36847945936529</v>
      </c>
      <c r="AC169" s="4800">
        <f t="shared" si="297"/>
        <v>0</v>
      </c>
      <c r="AD169" s="4800">
        <f t="shared" si="297"/>
        <v>-365.36847945936529</v>
      </c>
    </row>
    <row r="170" spans="1:30" ht="18.75" customHeight="1">
      <c r="A170" s="4781" t="s">
        <v>12</v>
      </c>
      <c r="B170" s="4760">
        <f>SUM(B143+B144+B145+B146+B147+B148+B149+B151+B156+B160+B167+B169)</f>
        <v>22021.42681522265</v>
      </c>
      <c r="C170" s="4760">
        <f t="shared" ref="C170:AD170" si="298">SUM(C143+C144+C145+C146+C147+C148+C149+C151+C156+C160+C167+C169)</f>
        <v>6236.98</v>
      </c>
      <c r="D170" s="4760">
        <f t="shared" si="298"/>
        <v>5858.09</v>
      </c>
      <c r="E170" s="4760">
        <f t="shared" si="298"/>
        <v>7601.869999999999</v>
      </c>
      <c r="F170" s="4760">
        <f t="shared" si="298"/>
        <v>19696.940000000002</v>
      </c>
      <c r="G170" s="4760">
        <f t="shared" si="298"/>
        <v>21829.018854598642</v>
      </c>
      <c r="H170" s="4760">
        <f t="shared" si="298"/>
        <v>6737.2000000000007</v>
      </c>
      <c r="I170" s="4760">
        <f t="shared" si="298"/>
        <v>6461.1</v>
      </c>
      <c r="J170" s="4760">
        <f t="shared" si="298"/>
        <v>7100.3099999999995</v>
      </c>
      <c r="K170" s="4760">
        <f t="shared" si="298"/>
        <v>20298.61</v>
      </c>
      <c r="L170" s="4761">
        <f t="shared" si="298"/>
        <v>43850.445669821289</v>
      </c>
      <c r="M170" s="4761">
        <f t="shared" si="298"/>
        <v>39995.550000000003</v>
      </c>
      <c r="N170" s="4761">
        <f t="shared" si="298"/>
        <v>-3854.8956698212883</v>
      </c>
      <c r="O170" s="4760">
        <f t="shared" si="298"/>
        <v>22619.908331505667</v>
      </c>
      <c r="P170" s="4760">
        <f t="shared" si="298"/>
        <v>0</v>
      </c>
      <c r="Q170" s="4760">
        <f t="shared" si="298"/>
        <v>0</v>
      </c>
      <c r="R170" s="4760">
        <f t="shared" si="298"/>
        <v>0</v>
      </c>
      <c r="S170" s="4760">
        <f t="shared" si="298"/>
        <v>0</v>
      </c>
      <c r="T170" s="4761">
        <f t="shared" si="298"/>
        <v>66470.354001326967</v>
      </c>
      <c r="U170" s="4761">
        <f t="shared" si="298"/>
        <v>39995.550000000003</v>
      </c>
      <c r="V170" s="4761">
        <f t="shared" si="298"/>
        <v>-26474.804001326956</v>
      </c>
      <c r="W170" s="4760">
        <f t="shared" si="298"/>
        <v>22820.827885489016</v>
      </c>
      <c r="X170" s="4760">
        <f t="shared" si="298"/>
        <v>0</v>
      </c>
      <c r="Y170" s="4760">
        <f t="shared" si="298"/>
        <v>0</v>
      </c>
      <c r="Z170" s="4760">
        <f t="shared" si="298"/>
        <v>0</v>
      </c>
      <c r="AA170" s="4760">
        <f t="shared" si="298"/>
        <v>0</v>
      </c>
      <c r="AB170" s="4761">
        <f t="shared" si="298"/>
        <v>89291.181886815975</v>
      </c>
      <c r="AC170" s="4761">
        <f t="shared" si="298"/>
        <v>39995.550000000003</v>
      </c>
      <c r="AD170" s="4761">
        <f t="shared" si="298"/>
        <v>-49295.631886815972</v>
      </c>
    </row>
    <row r="171" spans="1:30" ht="18.75" customHeight="1">
      <c r="A171" s="4781" t="s">
        <v>13</v>
      </c>
      <c r="B171" s="4760">
        <f>SUM(B136)</f>
        <v>829.99749999999995</v>
      </c>
      <c r="C171" s="4756">
        <f t="shared" ref="C171:AD171" si="299">SUM(C136)</f>
        <v>270.68799999999999</v>
      </c>
      <c r="D171" s="4756">
        <f t="shared" si="299"/>
        <v>264.64999999999998</v>
      </c>
      <c r="E171" s="4756">
        <f t="shared" si="299"/>
        <v>261.37</v>
      </c>
      <c r="F171" s="4756">
        <f t="shared" si="299"/>
        <v>796.70799999999997</v>
      </c>
      <c r="G171" s="4756">
        <f t="shared" si="299"/>
        <v>794.46749999999986</v>
      </c>
      <c r="H171" s="4756">
        <f t="shared" si="299"/>
        <v>274.02999999999997</v>
      </c>
      <c r="I171" s="4756">
        <f t="shared" si="299"/>
        <v>261.78999999999996</v>
      </c>
      <c r="J171" s="4756">
        <f t="shared" si="299"/>
        <v>281.02999999999997</v>
      </c>
      <c r="K171" s="4756">
        <f t="shared" si="299"/>
        <v>816.84999999999991</v>
      </c>
      <c r="L171" s="4759">
        <f t="shared" si="299"/>
        <v>1624.4649999999997</v>
      </c>
      <c r="M171" s="4759">
        <f t="shared" si="299"/>
        <v>1613.558</v>
      </c>
      <c r="N171" s="4759">
        <f t="shared" si="299"/>
        <v>-10.906999999999698</v>
      </c>
      <c r="O171" s="4756">
        <f t="shared" si="299"/>
        <v>794.46749999999986</v>
      </c>
      <c r="P171" s="4756">
        <f t="shared" si="299"/>
        <v>0</v>
      </c>
      <c r="Q171" s="4756">
        <f t="shared" si="299"/>
        <v>0</v>
      </c>
      <c r="R171" s="4756">
        <f t="shared" si="299"/>
        <v>0</v>
      </c>
      <c r="S171" s="4756">
        <f t="shared" si="299"/>
        <v>0</v>
      </c>
      <c r="T171" s="4759">
        <f t="shared" si="299"/>
        <v>2418.9324999999994</v>
      </c>
      <c r="U171" s="4759">
        <f t="shared" si="299"/>
        <v>1613.558</v>
      </c>
      <c r="V171" s="4759">
        <f t="shared" si="299"/>
        <v>-805.37449999999944</v>
      </c>
      <c r="W171" s="4756">
        <f t="shared" si="299"/>
        <v>829.99749999999995</v>
      </c>
      <c r="X171" s="4756">
        <f t="shared" si="299"/>
        <v>0</v>
      </c>
      <c r="Y171" s="4756">
        <f t="shared" si="299"/>
        <v>0</v>
      </c>
      <c r="Z171" s="4756">
        <f t="shared" si="299"/>
        <v>0</v>
      </c>
      <c r="AA171" s="4756">
        <f t="shared" si="299"/>
        <v>0</v>
      </c>
      <c r="AB171" s="4759">
        <f t="shared" si="299"/>
        <v>3248.9299999999994</v>
      </c>
      <c r="AC171" s="4759">
        <f t="shared" si="299"/>
        <v>1613.558</v>
      </c>
      <c r="AD171" s="4759">
        <f t="shared" si="299"/>
        <v>-1635.3719999999994</v>
      </c>
    </row>
    <row r="172" spans="1:30" ht="18.75" customHeight="1">
      <c r="A172" s="4781" t="s">
        <v>14</v>
      </c>
      <c r="B172" s="4760">
        <f>SUM(B170/B171)</f>
        <v>26.53191945183287</v>
      </c>
      <c r="C172" s="4756">
        <f t="shared" ref="C172:AD172" si="300">SUM(C170/C171)</f>
        <v>23.041213500413761</v>
      </c>
      <c r="D172" s="4756">
        <f t="shared" si="300"/>
        <v>22.135235216323448</v>
      </c>
      <c r="E172" s="4756">
        <f t="shared" si="300"/>
        <v>29.084707502773842</v>
      </c>
      <c r="F172" s="4756">
        <f t="shared" si="300"/>
        <v>24.722909773718857</v>
      </c>
      <c r="G172" s="4756">
        <f t="shared" si="300"/>
        <v>27.476289281309363</v>
      </c>
      <c r="H172" s="4756">
        <f t="shared" si="300"/>
        <v>24.585629310659421</v>
      </c>
      <c r="I172" s="4756">
        <f t="shared" si="300"/>
        <v>24.680469078268846</v>
      </c>
      <c r="J172" s="4756">
        <f t="shared" si="300"/>
        <v>25.265309753407109</v>
      </c>
      <c r="K172" s="4756">
        <f t="shared" si="300"/>
        <v>24.849862275815635</v>
      </c>
      <c r="L172" s="4759">
        <f t="shared" si="300"/>
        <v>26.99377682487545</v>
      </c>
      <c r="M172" s="4759">
        <f t="shared" si="300"/>
        <v>24.787178397057932</v>
      </c>
      <c r="N172" s="4759">
        <f t="shared" si="300"/>
        <v>353.43317775936509</v>
      </c>
      <c r="O172" s="4756">
        <f t="shared" si="300"/>
        <v>28.471785606718552</v>
      </c>
      <c r="P172" s="4756" t="e">
        <f t="shared" si="300"/>
        <v>#DIV/0!</v>
      </c>
      <c r="Q172" s="4756" t="e">
        <f t="shared" si="300"/>
        <v>#DIV/0!</v>
      </c>
      <c r="R172" s="4756" t="e">
        <f t="shared" si="300"/>
        <v>#DIV/0!</v>
      </c>
      <c r="S172" s="4756" t="e">
        <f t="shared" si="300"/>
        <v>#DIV/0!</v>
      </c>
      <c r="T172" s="4759">
        <f t="shared" si="300"/>
        <v>27.479209941297238</v>
      </c>
      <c r="U172" s="4759">
        <f t="shared" si="300"/>
        <v>24.787178397057932</v>
      </c>
      <c r="V172" s="4759">
        <f t="shared" si="300"/>
        <v>32.872662346929253</v>
      </c>
      <c r="W172" s="4756">
        <f t="shared" si="300"/>
        <v>27.495056172445118</v>
      </c>
      <c r="X172" s="4756" t="e">
        <f t="shared" si="300"/>
        <v>#DIV/0!</v>
      </c>
      <c r="Y172" s="4756" t="e">
        <f t="shared" si="300"/>
        <v>#DIV/0!</v>
      </c>
      <c r="Z172" s="4756" t="e">
        <f t="shared" si="300"/>
        <v>#DIV/0!</v>
      </c>
      <c r="AA172" s="4756" t="e">
        <f t="shared" si="300"/>
        <v>#DIV/0!</v>
      </c>
      <c r="AB172" s="4759">
        <f t="shared" si="300"/>
        <v>27.483258145548223</v>
      </c>
      <c r="AC172" s="4759">
        <f t="shared" si="300"/>
        <v>24.787178397057932</v>
      </c>
      <c r="AD172" s="4759">
        <f t="shared" si="300"/>
        <v>30.143375260684415</v>
      </c>
    </row>
    <row r="173" spans="1:30" ht="18.75" customHeight="1">
      <c r="A173" s="4721" t="s">
        <v>2028</v>
      </c>
      <c r="B173" s="4760">
        <f>SUM(B174:B175)</f>
        <v>0</v>
      </c>
      <c r="C173" s="4756">
        <f t="shared" ref="C173:AD173" si="301">SUM(C174:C175)</f>
        <v>0</v>
      </c>
      <c r="D173" s="4756">
        <f t="shared" si="301"/>
        <v>0</v>
      </c>
      <c r="E173" s="4756">
        <f t="shared" si="301"/>
        <v>0</v>
      </c>
      <c r="F173" s="4756">
        <f t="shared" si="301"/>
        <v>0</v>
      </c>
      <c r="G173" s="4756">
        <f t="shared" si="301"/>
        <v>0</v>
      </c>
      <c r="H173" s="4756">
        <f t="shared" si="301"/>
        <v>0</v>
      </c>
      <c r="I173" s="4756">
        <f t="shared" si="301"/>
        <v>0</v>
      </c>
      <c r="J173" s="4756">
        <f t="shared" si="301"/>
        <v>0</v>
      </c>
      <c r="K173" s="4756">
        <f t="shared" si="301"/>
        <v>0</v>
      </c>
      <c r="L173" s="4759">
        <f t="shared" si="301"/>
        <v>0</v>
      </c>
      <c r="M173" s="4759">
        <f t="shared" si="301"/>
        <v>0</v>
      </c>
      <c r="N173" s="4759">
        <f t="shared" si="301"/>
        <v>0</v>
      </c>
      <c r="O173" s="4756">
        <f t="shared" si="301"/>
        <v>0</v>
      </c>
      <c r="P173" s="4756">
        <f t="shared" si="301"/>
        <v>0</v>
      </c>
      <c r="Q173" s="4756">
        <f t="shared" si="301"/>
        <v>0</v>
      </c>
      <c r="R173" s="4756">
        <f t="shared" si="301"/>
        <v>0</v>
      </c>
      <c r="S173" s="4756">
        <f t="shared" si="301"/>
        <v>0</v>
      </c>
      <c r="T173" s="4759">
        <f t="shared" si="301"/>
        <v>0</v>
      </c>
      <c r="U173" s="4759">
        <f t="shared" si="301"/>
        <v>0</v>
      </c>
      <c r="V173" s="4759">
        <f t="shared" si="301"/>
        <v>0</v>
      </c>
      <c r="W173" s="4756">
        <f t="shared" si="301"/>
        <v>0</v>
      </c>
      <c r="X173" s="4756">
        <f t="shared" si="301"/>
        <v>0</v>
      </c>
      <c r="Y173" s="4756">
        <f t="shared" si="301"/>
        <v>0</v>
      </c>
      <c r="Z173" s="4756">
        <f t="shared" si="301"/>
        <v>0</v>
      </c>
      <c r="AA173" s="4756">
        <f t="shared" si="301"/>
        <v>0</v>
      </c>
      <c r="AB173" s="4759">
        <f t="shared" si="301"/>
        <v>0</v>
      </c>
      <c r="AC173" s="4759">
        <f t="shared" si="301"/>
        <v>0</v>
      </c>
      <c r="AD173" s="4759">
        <f t="shared" si="301"/>
        <v>0</v>
      </c>
    </row>
    <row r="174" spans="1:30" ht="18.75" customHeight="1">
      <c r="A174" s="4728" t="s">
        <v>2000</v>
      </c>
      <c r="B174" s="4737">
        <f>SUM(B123)</f>
        <v>0</v>
      </c>
      <c r="C174" s="4743">
        <f t="shared" ref="C174:AD176" si="302">SUM(C123)</f>
        <v>0</v>
      </c>
      <c r="D174" s="4743">
        <f t="shared" si="302"/>
        <v>0</v>
      </c>
      <c r="E174" s="4743">
        <f t="shared" si="302"/>
        <v>0</v>
      </c>
      <c r="F174" s="4743">
        <f t="shared" si="302"/>
        <v>0</v>
      </c>
      <c r="G174" s="4743">
        <f t="shared" si="302"/>
        <v>0</v>
      </c>
      <c r="H174" s="4743">
        <f t="shared" si="302"/>
        <v>0</v>
      </c>
      <c r="I174" s="4743">
        <f t="shared" si="302"/>
        <v>0</v>
      </c>
      <c r="J174" s="4743">
        <f t="shared" si="302"/>
        <v>0</v>
      </c>
      <c r="K174" s="4743">
        <f t="shared" si="302"/>
        <v>0</v>
      </c>
      <c r="L174" s="4796">
        <f t="shared" si="302"/>
        <v>0</v>
      </c>
      <c r="M174" s="4796">
        <f t="shared" si="302"/>
        <v>0</v>
      </c>
      <c r="N174" s="4796">
        <f t="shared" si="302"/>
        <v>0</v>
      </c>
      <c r="O174" s="4743">
        <f t="shared" si="302"/>
        <v>0</v>
      </c>
      <c r="P174" s="4743">
        <f t="shared" si="302"/>
        <v>0</v>
      </c>
      <c r="Q174" s="4743">
        <f t="shared" si="302"/>
        <v>0</v>
      </c>
      <c r="R174" s="4743">
        <f t="shared" si="302"/>
        <v>0</v>
      </c>
      <c r="S174" s="4743">
        <f t="shared" si="302"/>
        <v>0</v>
      </c>
      <c r="T174" s="4796">
        <f t="shared" si="302"/>
        <v>0</v>
      </c>
      <c r="U174" s="4796">
        <f t="shared" si="302"/>
        <v>0</v>
      </c>
      <c r="V174" s="4796">
        <f t="shared" si="302"/>
        <v>0</v>
      </c>
      <c r="W174" s="4743">
        <f t="shared" si="302"/>
        <v>0</v>
      </c>
      <c r="X174" s="4743">
        <f t="shared" si="302"/>
        <v>0</v>
      </c>
      <c r="Y174" s="4743">
        <f t="shared" si="302"/>
        <v>0</v>
      </c>
      <c r="Z174" s="4743">
        <f t="shared" si="302"/>
        <v>0</v>
      </c>
      <c r="AA174" s="4743">
        <f t="shared" si="302"/>
        <v>0</v>
      </c>
      <c r="AB174" s="4796">
        <f t="shared" si="302"/>
        <v>0</v>
      </c>
      <c r="AC174" s="4796">
        <f t="shared" si="302"/>
        <v>0</v>
      </c>
      <c r="AD174" s="4796">
        <f t="shared" si="302"/>
        <v>0</v>
      </c>
    </row>
    <row r="175" spans="1:30" ht="18.75" customHeight="1">
      <c r="A175" s="4728" t="s">
        <v>300</v>
      </c>
      <c r="B175" s="4737">
        <f t="shared" ref="B175:F176" si="303">SUM(B124)</f>
        <v>0</v>
      </c>
      <c r="C175" s="4743">
        <f t="shared" si="303"/>
        <v>0</v>
      </c>
      <c r="D175" s="4743">
        <f t="shared" si="303"/>
        <v>0</v>
      </c>
      <c r="E175" s="4743">
        <f t="shared" si="303"/>
        <v>0</v>
      </c>
      <c r="F175" s="4743">
        <f t="shared" si="303"/>
        <v>0</v>
      </c>
      <c r="G175" s="4743">
        <f t="shared" si="302"/>
        <v>0</v>
      </c>
      <c r="H175" s="4743">
        <f t="shared" si="302"/>
        <v>0</v>
      </c>
      <c r="I175" s="4743">
        <f t="shared" si="302"/>
        <v>0</v>
      </c>
      <c r="J175" s="4743">
        <f t="shared" si="302"/>
        <v>0</v>
      </c>
      <c r="K175" s="4743">
        <f t="shared" si="302"/>
        <v>0</v>
      </c>
      <c r="L175" s="4796">
        <f t="shared" si="302"/>
        <v>0</v>
      </c>
      <c r="M175" s="4796">
        <f t="shared" si="302"/>
        <v>0</v>
      </c>
      <c r="N175" s="4796">
        <f t="shared" si="302"/>
        <v>0</v>
      </c>
      <c r="O175" s="4743">
        <f t="shared" si="302"/>
        <v>0</v>
      </c>
      <c r="P175" s="4743">
        <f t="shared" si="302"/>
        <v>0</v>
      </c>
      <c r="Q175" s="4743">
        <f t="shared" si="302"/>
        <v>0</v>
      </c>
      <c r="R175" s="4743">
        <f t="shared" si="302"/>
        <v>0</v>
      </c>
      <c r="S175" s="4743">
        <f t="shared" si="302"/>
        <v>0</v>
      </c>
      <c r="T175" s="4796">
        <f t="shared" si="302"/>
        <v>0</v>
      </c>
      <c r="U175" s="4796">
        <f t="shared" si="302"/>
        <v>0</v>
      </c>
      <c r="V175" s="4796">
        <f t="shared" si="302"/>
        <v>0</v>
      </c>
      <c r="W175" s="4743">
        <f t="shared" si="302"/>
        <v>0</v>
      </c>
      <c r="X175" s="4743">
        <f t="shared" si="302"/>
        <v>0</v>
      </c>
      <c r="Y175" s="4743">
        <f t="shared" si="302"/>
        <v>0</v>
      </c>
      <c r="Z175" s="4743">
        <f t="shared" si="302"/>
        <v>0</v>
      </c>
      <c r="AA175" s="4743">
        <f t="shared" si="302"/>
        <v>0</v>
      </c>
      <c r="AB175" s="4796">
        <f t="shared" si="302"/>
        <v>0</v>
      </c>
      <c r="AC175" s="4796">
        <f t="shared" si="302"/>
        <v>0</v>
      </c>
      <c r="AD175" s="4796">
        <f t="shared" si="302"/>
        <v>0</v>
      </c>
    </row>
    <row r="176" spans="1:30" ht="18.75" customHeight="1">
      <c r="A176" s="4721" t="s">
        <v>2001</v>
      </c>
      <c r="B176" s="4760">
        <f t="shared" si="303"/>
        <v>22021.42681522265</v>
      </c>
      <c r="C176" s="4756">
        <f t="shared" si="302"/>
        <v>6236.98</v>
      </c>
      <c r="D176" s="4756">
        <f t="shared" si="302"/>
        <v>5858.09</v>
      </c>
      <c r="E176" s="4756">
        <f t="shared" si="302"/>
        <v>7601.869999999999</v>
      </c>
      <c r="F176" s="4756">
        <f t="shared" si="302"/>
        <v>19696.939999999999</v>
      </c>
      <c r="G176" s="4756">
        <f t="shared" si="302"/>
        <v>21829.018854598642</v>
      </c>
      <c r="H176" s="4756">
        <f t="shared" si="302"/>
        <v>6737.2</v>
      </c>
      <c r="I176" s="4756">
        <f t="shared" si="302"/>
        <v>6461.1</v>
      </c>
      <c r="J176" s="4756">
        <f t="shared" si="302"/>
        <v>7100.3099999999995</v>
      </c>
      <c r="K176" s="4756">
        <f t="shared" si="302"/>
        <v>20298.61</v>
      </c>
      <c r="L176" s="4759">
        <f t="shared" si="302"/>
        <v>43850.445669821289</v>
      </c>
      <c r="M176" s="4759">
        <f t="shared" si="302"/>
        <v>39995.550000000003</v>
      </c>
      <c r="N176" s="4759">
        <f t="shared" si="302"/>
        <v>-3854.895669821286</v>
      </c>
      <c r="O176" s="4756">
        <f t="shared" si="302"/>
        <v>22619.908331505667</v>
      </c>
      <c r="P176" s="4756">
        <f t="shared" si="302"/>
        <v>0</v>
      </c>
      <c r="Q176" s="4756">
        <f t="shared" si="302"/>
        <v>0</v>
      </c>
      <c r="R176" s="4756">
        <f t="shared" si="302"/>
        <v>0</v>
      </c>
      <c r="S176" s="4756">
        <f t="shared" si="302"/>
        <v>0</v>
      </c>
      <c r="T176" s="4759">
        <f t="shared" si="302"/>
        <v>66470.354001326952</v>
      </c>
      <c r="U176" s="4759">
        <f t="shared" si="302"/>
        <v>39995.550000000003</v>
      </c>
      <c r="V176" s="4759">
        <f t="shared" si="302"/>
        <v>-26474.804001326949</v>
      </c>
      <c r="W176" s="4756">
        <f t="shared" si="302"/>
        <v>22820.827885489016</v>
      </c>
      <c r="X176" s="4756">
        <f t="shared" si="302"/>
        <v>0</v>
      </c>
      <c r="Y176" s="4756">
        <f t="shared" si="302"/>
        <v>0</v>
      </c>
      <c r="Z176" s="4756">
        <f t="shared" si="302"/>
        <v>0</v>
      </c>
      <c r="AA176" s="4756">
        <f t="shared" si="302"/>
        <v>0</v>
      </c>
      <c r="AB176" s="4759">
        <f t="shared" si="302"/>
        <v>89291.181886815961</v>
      </c>
      <c r="AC176" s="4759">
        <f t="shared" si="302"/>
        <v>39995.550000000003</v>
      </c>
      <c r="AD176" s="4759">
        <f t="shared" si="302"/>
        <v>-49295.631886815958</v>
      </c>
    </row>
    <row r="177" spans="1:34" ht="18.75" customHeight="1"/>
    <row r="178" spans="1:34" ht="18.75" customHeight="1">
      <c r="A178" s="4793" t="s">
        <v>2029</v>
      </c>
    </row>
    <row r="179" spans="1:34" ht="18.75" customHeight="1">
      <c r="A179" s="4793" t="s">
        <v>2030</v>
      </c>
    </row>
    <row r="180" spans="1:34" ht="18.75" customHeight="1"/>
    <row r="181" spans="1:34" ht="18.75" customHeight="1">
      <c r="A181" s="4716" t="s">
        <v>2036</v>
      </c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</row>
    <row r="182" spans="1:34" ht="18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</row>
    <row r="183" spans="1:34" ht="18.75" customHeight="1">
      <c r="A183" s="4895" t="s">
        <v>545</v>
      </c>
      <c r="B183" s="4896" t="s">
        <v>1983</v>
      </c>
      <c r="C183" s="4925"/>
      <c r="D183" s="4925"/>
      <c r="E183" s="4925"/>
      <c r="F183" s="4925"/>
      <c r="G183" s="4921" t="s">
        <v>1984</v>
      </c>
      <c r="H183" s="4922"/>
      <c r="I183" s="4922"/>
      <c r="J183" s="4922"/>
      <c r="K183" s="4922"/>
      <c r="L183" s="4923" t="s">
        <v>1985</v>
      </c>
      <c r="M183" s="4924"/>
      <c r="N183" s="4924"/>
      <c r="O183" s="4921" t="s">
        <v>1986</v>
      </c>
      <c r="P183" s="4922"/>
      <c r="Q183" s="4922"/>
      <c r="R183" s="4922"/>
      <c r="S183" s="4922"/>
      <c r="T183" s="4923" t="s">
        <v>1987</v>
      </c>
      <c r="U183" s="4924"/>
      <c r="V183" s="4924"/>
      <c r="W183" s="4921" t="s">
        <v>1988</v>
      </c>
      <c r="X183" s="4922"/>
      <c r="Y183" s="4922"/>
      <c r="Z183" s="4922"/>
      <c r="AA183" s="4922"/>
      <c r="AB183" s="4923" t="s">
        <v>887</v>
      </c>
      <c r="AC183" s="4924"/>
      <c r="AD183" s="4924"/>
      <c r="AE183" s="5"/>
      <c r="AF183" s="5"/>
      <c r="AG183" s="5"/>
      <c r="AH183" s="5"/>
    </row>
    <row r="184" spans="1:34" ht="25.5" customHeight="1">
      <c r="A184" s="4895"/>
      <c r="B184" s="4650" t="s">
        <v>1989</v>
      </c>
      <c r="C184" s="4650" t="s">
        <v>586</v>
      </c>
      <c r="D184" s="4650" t="s">
        <v>587</v>
      </c>
      <c r="E184" s="4649" t="s">
        <v>588</v>
      </c>
      <c r="F184" s="4649" t="s">
        <v>1990</v>
      </c>
      <c r="G184" s="4774" t="s">
        <v>1989</v>
      </c>
      <c r="H184" s="4774" t="s">
        <v>1562</v>
      </c>
      <c r="I184" s="4774" t="s">
        <v>590</v>
      </c>
      <c r="J184" s="4775" t="s">
        <v>591</v>
      </c>
      <c r="K184" s="4775" t="s">
        <v>1990</v>
      </c>
      <c r="L184" s="4776" t="s">
        <v>1989</v>
      </c>
      <c r="M184" s="4776" t="s">
        <v>1990</v>
      </c>
      <c r="N184" s="4776" t="s">
        <v>1991</v>
      </c>
      <c r="O184" s="4774" t="s">
        <v>1989</v>
      </c>
      <c r="P184" s="4774" t="s">
        <v>592</v>
      </c>
      <c r="Q184" s="4774" t="s">
        <v>593</v>
      </c>
      <c r="R184" s="4775" t="s">
        <v>594</v>
      </c>
      <c r="S184" s="4775" t="s">
        <v>1990</v>
      </c>
      <c r="T184" s="4776" t="s">
        <v>1989</v>
      </c>
      <c r="U184" s="4776" t="s">
        <v>1990</v>
      </c>
      <c r="V184" s="4776" t="s">
        <v>1991</v>
      </c>
      <c r="W184" s="4774" t="s">
        <v>1989</v>
      </c>
      <c r="X184" s="4774" t="s">
        <v>595</v>
      </c>
      <c r="Y184" s="4774" t="s">
        <v>596</v>
      </c>
      <c r="Z184" s="4775" t="s">
        <v>597</v>
      </c>
      <c r="AA184" s="4775" t="s">
        <v>1990</v>
      </c>
      <c r="AB184" s="4776" t="s">
        <v>1989</v>
      </c>
      <c r="AC184" s="4776" t="s">
        <v>1990</v>
      </c>
      <c r="AD184" s="4776" t="s">
        <v>1991</v>
      </c>
      <c r="AE184" s="5"/>
      <c r="AF184" s="5"/>
      <c r="AG184" s="5"/>
      <c r="AH184" s="5"/>
    </row>
    <row r="185" spans="1:34" ht="18.75" customHeight="1">
      <c r="A185" s="4790" t="s">
        <v>72</v>
      </c>
      <c r="B185" s="4801">
        <f t="shared" ref="B185:K185" si="304">SUM(B24+B44+B76+B96)</f>
        <v>1468.1097149110201</v>
      </c>
      <c r="C185" s="4801">
        <f t="shared" si="304"/>
        <v>507.79999999999995</v>
      </c>
      <c r="D185" s="4801">
        <f t="shared" si="304"/>
        <v>418.44000000000005</v>
      </c>
      <c r="E185" s="4801">
        <f t="shared" si="304"/>
        <v>454.5</v>
      </c>
      <c r="F185" s="4801">
        <f t="shared" si="304"/>
        <v>1380.7399999999998</v>
      </c>
      <c r="G185" s="4801">
        <f t="shared" si="304"/>
        <v>1468.1097149110201</v>
      </c>
      <c r="H185" s="4801">
        <f t="shared" si="304"/>
        <v>476.1</v>
      </c>
      <c r="I185" s="4801">
        <f t="shared" si="304"/>
        <v>540.41</v>
      </c>
      <c r="J185" s="4801">
        <f t="shared" si="304"/>
        <v>481.75</v>
      </c>
      <c r="K185" s="4801">
        <f t="shared" si="304"/>
        <v>1498.26</v>
      </c>
      <c r="L185" s="4786">
        <f t="shared" ref="L185:L214" si="305">SUM(G185+B185)</f>
        <v>2936.2194298220402</v>
      </c>
      <c r="M185" s="4786">
        <f t="shared" ref="M185:M214" si="306">SUM(K185+F185)</f>
        <v>2879</v>
      </c>
      <c r="N185" s="4786">
        <f t="shared" ref="N185:N214" si="307">SUM(M185-L185)</f>
        <v>-57.219429822040183</v>
      </c>
      <c r="O185" s="4801">
        <f t="shared" ref="O185:S187" si="308">SUM(O24+O44+O76+O96)</f>
        <v>1534.5117374111524</v>
      </c>
      <c r="P185" s="4801">
        <f t="shared" si="308"/>
        <v>0</v>
      </c>
      <c r="Q185" s="4801">
        <f t="shared" si="308"/>
        <v>0</v>
      </c>
      <c r="R185" s="4801">
        <f t="shared" si="308"/>
        <v>0</v>
      </c>
      <c r="S185" s="4801">
        <f t="shared" si="308"/>
        <v>0</v>
      </c>
      <c r="T185" s="4786">
        <f t="shared" ref="T185:T214" si="309">SUM(L185+O185)</f>
        <v>4470.7311672331925</v>
      </c>
      <c r="U185" s="4786">
        <f t="shared" ref="U185:U214" si="310">SUM(M185+S185)</f>
        <v>2879</v>
      </c>
      <c r="V185" s="4786">
        <f t="shared" ref="V185:V214" si="311">SUM(U185-T185)</f>
        <v>-1591.7311672331925</v>
      </c>
      <c r="W185" s="4801">
        <f t="shared" ref="W185:AA187" si="312">SUM(W24+W44+W76+W96)</f>
        <v>1534.5117374111524</v>
      </c>
      <c r="X185" s="4801">
        <f t="shared" si="312"/>
        <v>0</v>
      </c>
      <c r="Y185" s="4801">
        <f t="shared" si="312"/>
        <v>0</v>
      </c>
      <c r="Z185" s="4801">
        <f t="shared" si="312"/>
        <v>0</v>
      </c>
      <c r="AA185" s="4801">
        <f t="shared" si="312"/>
        <v>0</v>
      </c>
      <c r="AB185" s="4786">
        <f t="shared" ref="AB185:AB214" si="313">SUM(W185+T185)</f>
        <v>6005.2429046443449</v>
      </c>
      <c r="AC185" s="4786">
        <f t="shared" ref="AC185:AC214" si="314">SUM(AA185+U185)</f>
        <v>2879</v>
      </c>
      <c r="AD185" s="4786">
        <f t="shared" ref="AD185:AD214" si="315">SUM(AC185-AB185)</f>
        <v>-3126.2429046443449</v>
      </c>
      <c r="AE185" s="430"/>
      <c r="AF185" s="430"/>
      <c r="AG185" s="430"/>
      <c r="AH185" s="5"/>
    </row>
    <row r="186" spans="1:34" ht="18.75" customHeight="1">
      <c r="A186" s="4790" t="s">
        <v>121</v>
      </c>
      <c r="B186" s="4801">
        <f t="shared" ref="B186:K187" si="316">SUM(B25+B45+B77+B97)</f>
        <v>441.51352035497416</v>
      </c>
      <c r="C186" s="4801">
        <f t="shared" si="316"/>
        <v>153.41</v>
      </c>
      <c r="D186" s="4801">
        <f t="shared" si="316"/>
        <v>126.24000000000001</v>
      </c>
      <c r="E186" s="4801">
        <f t="shared" si="316"/>
        <v>137.22</v>
      </c>
      <c r="F186" s="4801">
        <f t="shared" si="316"/>
        <v>416.87</v>
      </c>
      <c r="G186" s="4801">
        <f t="shared" si="316"/>
        <v>441.51352035497416</v>
      </c>
      <c r="H186" s="4801">
        <f t="shared" si="316"/>
        <v>143.74</v>
      </c>
      <c r="I186" s="4801">
        <f t="shared" si="316"/>
        <v>162.05000000000001</v>
      </c>
      <c r="J186" s="4801">
        <f t="shared" si="316"/>
        <v>144.67000000000002</v>
      </c>
      <c r="K186" s="4801">
        <f t="shared" si="316"/>
        <v>450.46000000000004</v>
      </c>
      <c r="L186" s="4786">
        <f t="shared" si="305"/>
        <v>883.02704070994832</v>
      </c>
      <c r="M186" s="4786">
        <f t="shared" si="306"/>
        <v>867.33</v>
      </c>
      <c r="N186" s="4786">
        <f t="shared" si="307"/>
        <v>-15.697040709948283</v>
      </c>
      <c r="O186" s="4801">
        <f t="shared" si="308"/>
        <v>461.49260809987641</v>
      </c>
      <c r="P186" s="4801">
        <f t="shared" si="308"/>
        <v>0</v>
      </c>
      <c r="Q186" s="4801">
        <f t="shared" si="308"/>
        <v>0</v>
      </c>
      <c r="R186" s="4801">
        <f t="shared" si="308"/>
        <v>0</v>
      </c>
      <c r="S186" s="4801">
        <f t="shared" si="308"/>
        <v>0</v>
      </c>
      <c r="T186" s="4786">
        <f t="shared" si="309"/>
        <v>1344.5196488098247</v>
      </c>
      <c r="U186" s="4786">
        <f t="shared" si="310"/>
        <v>867.33</v>
      </c>
      <c r="V186" s="4786">
        <f t="shared" si="311"/>
        <v>-477.18964880982469</v>
      </c>
      <c r="W186" s="4801">
        <f t="shared" si="312"/>
        <v>461.49260809987641</v>
      </c>
      <c r="X186" s="4801">
        <f t="shared" si="312"/>
        <v>0</v>
      </c>
      <c r="Y186" s="4801">
        <f t="shared" si="312"/>
        <v>0</v>
      </c>
      <c r="Z186" s="4801">
        <f t="shared" si="312"/>
        <v>0</v>
      </c>
      <c r="AA186" s="4801">
        <f t="shared" si="312"/>
        <v>0</v>
      </c>
      <c r="AB186" s="4786">
        <f t="shared" si="313"/>
        <v>1806.0122569097011</v>
      </c>
      <c r="AC186" s="4786">
        <f t="shared" si="314"/>
        <v>867.33</v>
      </c>
      <c r="AD186" s="4786">
        <f t="shared" si="315"/>
        <v>-938.6822569097011</v>
      </c>
      <c r="AE186" s="430"/>
      <c r="AF186" s="430"/>
      <c r="AG186" s="430"/>
      <c r="AH186" s="5"/>
    </row>
    <row r="187" spans="1:34" ht="18.75" customHeight="1">
      <c r="A187" s="4790" t="s">
        <v>52</v>
      </c>
      <c r="B187" s="4801">
        <f t="shared" si="316"/>
        <v>11.16016307307236</v>
      </c>
      <c r="C187" s="4801">
        <f t="shared" si="316"/>
        <v>3.3099999999999996</v>
      </c>
      <c r="D187" s="4801">
        <f t="shared" si="316"/>
        <v>2.5300000000000002</v>
      </c>
      <c r="E187" s="4801">
        <f t="shared" si="316"/>
        <v>4.0999999999999996</v>
      </c>
      <c r="F187" s="4801">
        <f t="shared" si="316"/>
        <v>9.94</v>
      </c>
      <c r="G187" s="4801">
        <f t="shared" si="316"/>
        <v>11.16016307307236</v>
      </c>
      <c r="H187" s="4801">
        <f t="shared" si="316"/>
        <v>3.39</v>
      </c>
      <c r="I187" s="4801">
        <f t="shared" si="316"/>
        <v>3.48</v>
      </c>
      <c r="J187" s="4801">
        <f t="shared" si="316"/>
        <v>27.68</v>
      </c>
      <c r="K187" s="4801">
        <f t="shared" si="316"/>
        <v>34.549999999999997</v>
      </c>
      <c r="L187" s="4786">
        <f t="shared" si="305"/>
        <v>22.320326146144719</v>
      </c>
      <c r="M187" s="4786">
        <f t="shared" si="306"/>
        <v>44.489999999999995</v>
      </c>
      <c r="N187" s="4786">
        <f t="shared" si="307"/>
        <v>22.169673853855276</v>
      </c>
      <c r="O187" s="4801">
        <f t="shared" si="308"/>
        <v>11.16016307307236</v>
      </c>
      <c r="P187" s="4801">
        <f t="shared" si="308"/>
        <v>0</v>
      </c>
      <c r="Q187" s="4801">
        <f t="shared" si="308"/>
        <v>0</v>
      </c>
      <c r="R187" s="4801">
        <f t="shared" si="308"/>
        <v>0</v>
      </c>
      <c r="S187" s="4801">
        <f t="shared" si="308"/>
        <v>0</v>
      </c>
      <c r="T187" s="4786">
        <f t="shared" si="309"/>
        <v>33.480489219217077</v>
      </c>
      <c r="U187" s="4786">
        <f t="shared" si="310"/>
        <v>44.489999999999995</v>
      </c>
      <c r="V187" s="4786">
        <f t="shared" si="311"/>
        <v>11.009510780782918</v>
      </c>
      <c r="W187" s="4801">
        <f t="shared" si="312"/>
        <v>11.16016307307236</v>
      </c>
      <c r="X187" s="4801">
        <f t="shared" si="312"/>
        <v>0</v>
      </c>
      <c r="Y187" s="4801">
        <f t="shared" si="312"/>
        <v>0</v>
      </c>
      <c r="Z187" s="4801">
        <f t="shared" si="312"/>
        <v>0</v>
      </c>
      <c r="AA187" s="4801">
        <f t="shared" si="312"/>
        <v>0</v>
      </c>
      <c r="AB187" s="4786">
        <f t="shared" si="313"/>
        <v>44.640652292289438</v>
      </c>
      <c r="AC187" s="4786">
        <f t="shared" si="314"/>
        <v>44.489999999999995</v>
      </c>
      <c r="AD187" s="4786">
        <f t="shared" si="315"/>
        <v>-0.15065229228944332</v>
      </c>
      <c r="AE187" s="430"/>
      <c r="AF187" s="430"/>
      <c r="AG187" s="430"/>
      <c r="AH187" s="5"/>
    </row>
    <row r="188" spans="1:34" ht="18.75" customHeight="1">
      <c r="A188" s="4790" t="s">
        <v>605</v>
      </c>
      <c r="B188" s="4801">
        <f t="shared" ref="B188:K188" si="317">SUM(B27+B49+B80+B99)</f>
        <v>262.27350699184774</v>
      </c>
      <c r="C188" s="4801">
        <f t="shared" si="317"/>
        <v>49.570000000000007</v>
      </c>
      <c r="D188" s="4801">
        <f t="shared" si="317"/>
        <v>76.06</v>
      </c>
      <c r="E188" s="4801">
        <f t="shared" si="317"/>
        <v>63.410000000000004</v>
      </c>
      <c r="F188" s="4801">
        <f t="shared" si="317"/>
        <v>189.04000000000002</v>
      </c>
      <c r="G188" s="4801">
        <f t="shared" si="317"/>
        <v>262.27350699184774</v>
      </c>
      <c r="H188" s="4801">
        <f t="shared" si="317"/>
        <v>64.710000000000008</v>
      </c>
      <c r="I188" s="4801">
        <f t="shared" si="317"/>
        <v>68.56</v>
      </c>
      <c r="J188" s="4801">
        <f t="shared" si="317"/>
        <v>32.700000000000003</v>
      </c>
      <c r="K188" s="4801">
        <f t="shared" si="317"/>
        <v>165.97</v>
      </c>
      <c r="L188" s="4786">
        <f t="shared" si="305"/>
        <v>524.54701398369548</v>
      </c>
      <c r="M188" s="4786">
        <f t="shared" si="306"/>
        <v>355.01</v>
      </c>
      <c r="N188" s="4786">
        <f t="shared" si="307"/>
        <v>-169.53701398369549</v>
      </c>
      <c r="O188" s="4801">
        <f>SUM(O27+O49+O80+O99)</f>
        <v>262.27350699184774</v>
      </c>
      <c r="P188" s="4801">
        <f>SUM(P27+P49+P80+P99)</f>
        <v>0</v>
      </c>
      <c r="Q188" s="4801">
        <f>SUM(Q27+Q49+Q80+Q99)</f>
        <v>0</v>
      </c>
      <c r="R188" s="4801">
        <f>SUM(R27+R49+R80+R99)</f>
        <v>0</v>
      </c>
      <c r="S188" s="4801">
        <f>SUM(S27+S49+S80+S99)</f>
        <v>0</v>
      </c>
      <c r="T188" s="4786">
        <f t="shared" si="309"/>
        <v>786.82052097554322</v>
      </c>
      <c r="U188" s="4786">
        <f t="shared" si="310"/>
        <v>355.01</v>
      </c>
      <c r="V188" s="4786">
        <f t="shared" si="311"/>
        <v>-431.81052097554323</v>
      </c>
      <c r="W188" s="4801">
        <f>SUM(W27+W49+W80+W99)</f>
        <v>262.27350699184774</v>
      </c>
      <c r="X188" s="4801">
        <f>SUM(X27+X49+X80+X99)</f>
        <v>0</v>
      </c>
      <c r="Y188" s="4801">
        <f>SUM(Y27+Y49+Y80+Y99)</f>
        <v>0</v>
      </c>
      <c r="Z188" s="4801">
        <f>SUM(Z27+Z49+Z80+Z99)</f>
        <v>0</v>
      </c>
      <c r="AA188" s="4801">
        <f>SUM(AA27+AA49+AA80+AA99)</f>
        <v>0</v>
      </c>
      <c r="AB188" s="4786">
        <f t="shared" si="313"/>
        <v>1049.094027967391</v>
      </c>
      <c r="AC188" s="4786">
        <f t="shared" si="314"/>
        <v>355.01</v>
      </c>
      <c r="AD188" s="4786">
        <f t="shared" si="315"/>
        <v>-694.08402796739097</v>
      </c>
      <c r="AE188" s="430"/>
      <c r="AF188" s="430"/>
      <c r="AG188" s="430"/>
      <c r="AH188" s="5"/>
    </row>
    <row r="189" spans="1:34" ht="18.75" customHeight="1">
      <c r="A189" s="4790" t="s">
        <v>637</v>
      </c>
      <c r="B189" s="4801">
        <f>SUM(B47)</f>
        <v>8.2918425128808586</v>
      </c>
      <c r="C189" s="4801">
        <f t="shared" ref="C189:K190" si="318">SUM(C47)</f>
        <v>0</v>
      </c>
      <c r="D189" s="4801">
        <f t="shared" si="318"/>
        <v>0</v>
      </c>
      <c r="E189" s="4801">
        <f t="shared" si="318"/>
        <v>0</v>
      </c>
      <c r="F189" s="4801">
        <f t="shared" si="318"/>
        <v>0</v>
      </c>
      <c r="G189" s="4801">
        <f t="shared" si="318"/>
        <v>8.2918425128808586</v>
      </c>
      <c r="H189" s="4801">
        <f t="shared" si="318"/>
        <v>0</v>
      </c>
      <c r="I189" s="4801">
        <f t="shared" si="318"/>
        <v>0</v>
      </c>
      <c r="J189" s="4801">
        <f t="shared" si="318"/>
        <v>0</v>
      </c>
      <c r="K189" s="4801">
        <f t="shared" si="318"/>
        <v>0</v>
      </c>
      <c r="L189" s="4786">
        <f t="shared" si="305"/>
        <v>16.583685025761717</v>
      </c>
      <c r="M189" s="4786">
        <f t="shared" si="306"/>
        <v>0</v>
      </c>
      <c r="N189" s="4786">
        <f t="shared" si="307"/>
        <v>-16.583685025761717</v>
      </c>
      <c r="O189" s="4801">
        <f t="shared" ref="O189:S190" si="319">SUM(O47)</f>
        <v>8.2918425128808586</v>
      </c>
      <c r="P189" s="4801">
        <f t="shared" si="319"/>
        <v>0</v>
      </c>
      <c r="Q189" s="4801">
        <f t="shared" si="319"/>
        <v>0</v>
      </c>
      <c r="R189" s="4801">
        <f t="shared" si="319"/>
        <v>0</v>
      </c>
      <c r="S189" s="4801">
        <f t="shared" si="319"/>
        <v>0</v>
      </c>
      <c r="T189" s="4786">
        <f t="shared" si="309"/>
        <v>24.875527538642576</v>
      </c>
      <c r="U189" s="4786">
        <f t="shared" si="310"/>
        <v>0</v>
      </c>
      <c r="V189" s="4786">
        <f t="shared" si="311"/>
        <v>-24.875527538642576</v>
      </c>
      <c r="W189" s="4801">
        <f t="shared" ref="W189:AA190" si="320">SUM(W47)</f>
        <v>8.2918425128808586</v>
      </c>
      <c r="X189" s="4801">
        <f t="shared" si="320"/>
        <v>0</v>
      </c>
      <c r="Y189" s="4801">
        <f t="shared" si="320"/>
        <v>0</v>
      </c>
      <c r="Z189" s="4801">
        <f t="shared" si="320"/>
        <v>0</v>
      </c>
      <c r="AA189" s="4801">
        <f t="shared" si="320"/>
        <v>0</v>
      </c>
      <c r="AB189" s="4786">
        <f t="shared" si="313"/>
        <v>33.167370051523434</v>
      </c>
      <c r="AC189" s="4786">
        <f t="shared" si="314"/>
        <v>0</v>
      </c>
      <c r="AD189" s="4786">
        <f t="shared" si="315"/>
        <v>-33.167370051523434</v>
      </c>
      <c r="AE189" s="430"/>
      <c r="AF189" s="430"/>
      <c r="AG189" s="430"/>
      <c r="AH189" s="5"/>
    </row>
    <row r="190" spans="1:34" ht="18.75" customHeight="1">
      <c r="A190" s="4790" t="s">
        <v>639</v>
      </c>
      <c r="B190" s="4801">
        <f>SUM(B48)</f>
        <v>9.8712410867629288</v>
      </c>
      <c r="C190" s="4801">
        <f t="shared" si="318"/>
        <v>2.38</v>
      </c>
      <c r="D190" s="4801">
        <f t="shared" si="318"/>
        <v>2.38</v>
      </c>
      <c r="E190" s="4801">
        <f t="shared" si="318"/>
        <v>2.38</v>
      </c>
      <c r="F190" s="4801">
        <f t="shared" si="318"/>
        <v>7.14</v>
      </c>
      <c r="G190" s="4801">
        <f t="shared" si="318"/>
        <v>9.8712410867629288</v>
      </c>
      <c r="H190" s="4801">
        <f t="shared" si="318"/>
        <v>2.37</v>
      </c>
      <c r="I190" s="4801">
        <f t="shared" si="318"/>
        <v>2.37</v>
      </c>
      <c r="J190" s="4801">
        <f t="shared" si="318"/>
        <v>2.38</v>
      </c>
      <c r="K190" s="4801">
        <f t="shared" si="318"/>
        <v>7.12</v>
      </c>
      <c r="L190" s="4786">
        <f t="shared" si="305"/>
        <v>19.742482173525858</v>
      </c>
      <c r="M190" s="4786">
        <f t="shared" si="306"/>
        <v>14.26</v>
      </c>
      <c r="N190" s="4786">
        <f t="shared" si="307"/>
        <v>-5.4824821735258578</v>
      </c>
      <c r="O190" s="4801">
        <f t="shared" si="319"/>
        <v>9.8712410867629288</v>
      </c>
      <c r="P190" s="4801">
        <f t="shared" si="319"/>
        <v>0</v>
      </c>
      <c r="Q190" s="4801">
        <f t="shared" si="319"/>
        <v>0</v>
      </c>
      <c r="R190" s="4801">
        <f t="shared" si="319"/>
        <v>0</v>
      </c>
      <c r="S190" s="4801">
        <f t="shared" si="319"/>
        <v>0</v>
      </c>
      <c r="T190" s="4786">
        <f t="shared" si="309"/>
        <v>29.613723260288786</v>
      </c>
      <c r="U190" s="4786">
        <f t="shared" si="310"/>
        <v>14.26</v>
      </c>
      <c r="V190" s="4786">
        <f t="shared" si="311"/>
        <v>-15.353723260288787</v>
      </c>
      <c r="W190" s="4801">
        <f t="shared" si="320"/>
        <v>9.8712410867629288</v>
      </c>
      <c r="X190" s="4801">
        <f t="shared" si="320"/>
        <v>0</v>
      </c>
      <c r="Y190" s="4801">
        <f t="shared" si="320"/>
        <v>0</v>
      </c>
      <c r="Z190" s="4801">
        <f t="shared" si="320"/>
        <v>0</v>
      </c>
      <c r="AA190" s="4801">
        <f t="shared" si="320"/>
        <v>0</v>
      </c>
      <c r="AB190" s="4786">
        <f t="shared" si="313"/>
        <v>39.484964347051715</v>
      </c>
      <c r="AC190" s="4786">
        <f t="shared" si="314"/>
        <v>14.26</v>
      </c>
      <c r="AD190" s="4786">
        <f t="shared" si="315"/>
        <v>-25.224964347051717</v>
      </c>
      <c r="AE190" s="430"/>
      <c r="AF190" s="430"/>
      <c r="AG190" s="430"/>
      <c r="AH190" s="5"/>
    </row>
    <row r="191" spans="1:34" ht="18.75" customHeight="1">
      <c r="A191" s="4790" t="s">
        <v>42</v>
      </c>
      <c r="B191" s="4801">
        <f>SUM(B50)</f>
        <v>11.450639660644995</v>
      </c>
      <c r="C191" s="4801">
        <f t="shared" ref="C191:K198" si="321">SUM(C50)</f>
        <v>0</v>
      </c>
      <c r="D191" s="4801">
        <f t="shared" si="321"/>
        <v>0</v>
      </c>
      <c r="E191" s="4801">
        <f t="shared" si="321"/>
        <v>5.29</v>
      </c>
      <c r="F191" s="4801">
        <f t="shared" si="321"/>
        <v>5.29</v>
      </c>
      <c r="G191" s="4801">
        <f t="shared" si="321"/>
        <v>11.450639660644995</v>
      </c>
      <c r="H191" s="4801">
        <f t="shared" si="321"/>
        <v>0</v>
      </c>
      <c r="I191" s="4801">
        <f t="shared" si="321"/>
        <v>17.510000000000002</v>
      </c>
      <c r="J191" s="4801">
        <f t="shared" si="321"/>
        <v>0</v>
      </c>
      <c r="K191" s="4801">
        <f t="shared" si="321"/>
        <v>17.510000000000002</v>
      </c>
      <c r="L191" s="4786">
        <f t="shared" si="305"/>
        <v>22.901279321289991</v>
      </c>
      <c r="M191" s="4786">
        <f t="shared" si="306"/>
        <v>22.8</v>
      </c>
      <c r="N191" s="4786">
        <f t="shared" si="307"/>
        <v>-0.10127932128999007</v>
      </c>
      <c r="O191" s="4801">
        <f t="shared" ref="O191:S198" si="322">SUM(O50)</f>
        <v>11.450639660644995</v>
      </c>
      <c r="P191" s="4801">
        <f t="shared" si="322"/>
        <v>0</v>
      </c>
      <c r="Q191" s="4801">
        <f t="shared" si="322"/>
        <v>0</v>
      </c>
      <c r="R191" s="4801">
        <f t="shared" si="322"/>
        <v>0</v>
      </c>
      <c r="S191" s="4801">
        <f t="shared" si="322"/>
        <v>0</v>
      </c>
      <c r="T191" s="4786">
        <f t="shared" si="309"/>
        <v>34.351918981934986</v>
      </c>
      <c r="U191" s="4786">
        <f t="shared" si="310"/>
        <v>22.8</v>
      </c>
      <c r="V191" s="4786">
        <f t="shared" si="311"/>
        <v>-11.551918981934985</v>
      </c>
      <c r="W191" s="4801">
        <f t="shared" ref="W191:AA198" si="323">SUM(W50)</f>
        <v>11.450639660644995</v>
      </c>
      <c r="X191" s="4801">
        <f t="shared" si="323"/>
        <v>0</v>
      </c>
      <c r="Y191" s="4801">
        <f t="shared" si="323"/>
        <v>0</v>
      </c>
      <c r="Z191" s="4801">
        <f t="shared" si="323"/>
        <v>0</v>
      </c>
      <c r="AA191" s="4801">
        <f t="shared" si="323"/>
        <v>0</v>
      </c>
      <c r="AB191" s="4786">
        <f t="shared" si="313"/>
        <v>45.802558642579982</v>
      </c>
      <c r="AC191" s="4786">
        <f t="shared" si="314"/>
        <v>22.8</v>
      </c>
      <c r="AD191" s="4786">
        <f t="shared" si="315"/>
        <v>-23.002558642579981</v>
      </c>
      <c r="AE191" s="430"/>
      <c r="AF191" s="430"/>
      <c r="AG191" s="430"/>
      <c r="AH191" s="5"/>
    </row>
    <row r="192" spans="1:34" ht="18.75" customHeight="1">
      <c r="A192" s="4790" t="s">
        <v>38</v>
      </c>
      <c r="B192" s="4801">
        <f>SUM(B51)</f>
        <v>6.9098687607340494</v>
      </c>
      <c r="C192" s="4801">
        <f t="shared" si="321"/>
        <v>0</v>
      </c>
      <c r="D192" s="4801">
        <f t="shared" si="321"/>
        <v>0</v>
      </c>
      <c r="E192" s="4801">
        <f t="shared" si="321"/>
        <v>0</v>
      </c>
      <c r="F192" s="4801">
        <f t="shared" si="321"/>
        <v>0</v>
      </c>
      <c r="G192" s="4801">
        <f t="shared" si="321"/>
        <v>6.9098687607340494</v>
      </c>
      <c r="H192" s="4801">
        <f t="shared" si="321"/>
        <v>0</v>
      </c>
      <c r="I192" s="4801">
        <f t="shared" si="321"/>
        <v>0</v>
      </c>
      <c r="J192" s="4801">
        <f t="shared" si="321"/>
        <v>5.6</v>
      </c>
      <c r="K192" s="4801">
        <f t="shared" si="321"/>
        <v>5.6</v>
      </c>
      <c r="L192" s="4786">
        <f t="shared" si="305"/>
        <v>13.819737521468099</v>
      </c>
      <c r="M192" s="4786">
        <f t="shared" si="306"/>
        <v>5.6</v>
      </c>
      <c r="N192" s="4786">
        <f t="shared" si="307"/>
        <v>-8.2197375214680992</v>
      </c>
      <c r="O192" s="4801">
        <f t="shared" si="322"/>
        <v>6.9098687607340494</v>
      </c>
      <c r="P192" s="4801">
        <f t="shared" si="322"/>
        <v>0</v>
      </c>
      <c r="Q192" s="4801">
        <f t="shared" si="322"/>
        <v>0</v>
      </c>
      <c r="R192" s="4801">
        <f t="shared" si="322"/>
        <v>0</v>
      </c>
      <c r="S192" s="4801">
        <f t="shared" si="322"/>
        <v>0</v>
      </c>
      <c r="T192" s="4786">
        <f t="shared" ref="T192" si="324">SUM(L192+O192)</f>
        <v>20.729606282202148</v>
      </c>
      <c r="U192" s="4786">
        <f t="shared" si="310"/>
        <v>5.6</v>
      </c>
      <c r="V192" s="4786">
        <f t="shared" si="311"/>
        <v>-15.129606282202149</v>
      </c>
      <c r="W192" s="4801">
        <f t="shared" si="323"/>
        <v>6.9098687607340494</v>
      </c>
      <c r="X192" s="4801">
        <f t="shared" si="323"/>
        <v>0</v>
      </c>
      <c r="Y192" s="4801">
        <f t="shared" si="323"/>
        <v>0</v>
      </c>
      <c r="Z192" s="4801">
        <f t="shared" si="323"/>
        <v>0</v>
      </c>
      <c r="AA192" s="4801">
        <f t="shared" si="323"/>
        <v>0</v>
      </c>
      <c r="AB192" s="4786">
        <f t="shared" ref="AB192" si="325">SUM(W192+T192)</f>
        <v>27.639475042936198</v>
      </c>
      <c r="AC192" s="4786">
        <f t="shared" si="314"/>
        <v>5.6</v>
      </c>
      <c r="AD192" s="4786">
        <f t="shared" si="315"/>
        <v>-22.039475042936196</v>
      </c>
      <c r="AE192" s="430"/>
      <c r="AF192" s="430"/>
      <c r="AG192" s="430"/>
      <c r="AH192" s="5"/>
    </row>
    <row r="193" spans="1:34" ht="18.75" customHeight="1">
      <c r="A193" s="4790" t="s">
        <v>607</v>
      </c>
      <c r="B193" s="4801">
        <f t="shared" ref="B193:B198" si="326">SUM(B52)</f>
        <v>17.175959490967493</v>
      </c>
      <c r="C193" s="4801">
        <f t="shared" si="321"/>
        <v>6.93</v>
      </c>
      <c r="D193" s="4801">
        <f t="shared" si="321"/>
        <v>6.93</v>
      </c>
      <c r="E193" s="4801">
        <f t="shared" si="321"/>
        <v>6.93</v>
      </c>
      <c r="F193" s="4801">
        <f t="shared" si="321"/>
        <v>20.79</v>
      </c>
      <c r="G193" s="4801">
        <f t="shared" si="321"/>
        <v>17.175959490967493</v>
      </c>
      <c r="H193" s="4801">
        <f t="shared" si="321"/>
        <v>0</v>
      </c>
      <c r="I193" s="4801">
        <f t="shared" si="321"/>
        <v>0</v>
      </c>
      <c r="J193" s="4801">
        <f t="shared" si="321"/>
        <v>0</v>
      </c>
      <c r="K193" s="4801">
        <f t="shared" si="321"/>
        <v>0</v>
      </c>
      <c r="L193" s="4786">
        <f t="shared" si="305"/>
        <v>34.351918981934986</v>
      </c>
      <c r="M193" s="4786">
        <f t="shared" si="306"/>
        <v>20.79</v>
      </c>
      <c r="N193" s="4786">
        <f t="shared" si="307"/>
        <v>-13.561918981934987</v>
      </c>
      <c r="O193" s="4801">
        <f t="shared" si="322"/>
        <v>17.175959490967493</v>
      </c>
      <c r="P193" s="4801">
        <f t="shared" si="322"/>
        <v>0</v>
      </c>
      <c r="Q193" s="4801">
        <f t="shared" si="322"/>
        <v>0</v>
      </c>
      <c r="R193" s="4801">
        <f t="shared" si="322"/>
        <v>0</v>
      </c>
      <c r="S193" s="4801">
        <f t="shared" si="322"/>
        <v>0</v>
      </c>
      <c r="T193" s="4786">
        <f t="shared" si="309"/>
        <v>51.527878472902479</v>
      </c>
      <c r="U193" s="4786">
        <f t="shared" si="310"/>
        <v>20.79</v>
      </c>
      <c r="V193" s="4786">
        <f t="shared" si="311"/>
        <v>-30.73787847290248</v>
      </c>
      <c r="W193" s="4801">
        <f t="shared" si="323"/>
        <v>17.175959490967493</v>
      </c>
      <c r="X193" s="4801">
        <f t="shared" si="323"/>
        <v>0</v>
      </c>
      <c r="Y193" s="4801">
        <f t="shared" si="323"/>
        <v>0</v>
      </c>
      <c r="Z193" s="4801">
        <f t="shared" si="323"/>
        <v>0</v>
      </c>
      <c r="AA193" s="4801">
        <f t="shared" si="323"/>
        <v>0</v>
      </c>
      <c r="AB193" s="4786">
        <f t="shared" si="313"/>
        <v>68.703837963869972</v>
      </c>
      <c r="AC193" s="4786">
        <f t="shared" si="314"/>
        <v>20.79</v>
      </c>
      <c r="AD193" s="4786">
        <f t="shared" si="315"/>
        <v>-47.913837963869973</v>
      </c>
      <c r="AE193" s="430"/>
      <c r="AF193" s="430"/>
      <c r="AG193" s="430"/>
      <c r="AH193" s="5"/>
    </row>
    <row r="194" spans="1:34" ht="18.75" customHeight="1">
      <c r="A194" s="4790" t="s">
        <v>98</v>
      </c>
      <c r="B194" s="4801">
        <f t="shared" si="326"/>
        <v>16.38626020402646</v>
      </c>
      <c r="C194" s="4801">
        <f t="shared" si="321"/>
        <v>0</v>
      </c>
      <c r="D194" s="4801">
        <f t="shared" si="321"/>
        <v>0</v>
      </c>
      <c r="E194" s="4801">
        <f t="shared" si="321"/>
        <v>21.58</v>
      </c>
      <c r="F194" s="4801">
        <f t="shared" si="321"/>
        <v>21.58</v>
      </c>
      <c r="G194" s="4801">
        <f t="shared" si="321"/>
        <v>16.38626020402646</v>
      </c>
      <c r="H194" s="4801">
        <f t="shared" si="321"/>
        <v>0.01</v>
      </c>
      <c r="I194" s="4801">
        <f t="shared" si="321"/>
        <v>0</v>
      </c>
      <c r="J194" s="4801">
        <f t="shared" si="321"/>
        <v>21.58</v>
      </c>
      <c r="K194" s="4801">
        <f t="shared" si="321"/>
        <v>21.59</v>
      </c>
      <c r="L194" s="4786">
        <f t="shared" si="305"/>
        <v>32.77252040805292</v>
      </c>
      <c r="M194" s="4786">
        <f t="shared" si="306"/>
        <v>43.17</v>
      </c>
      <c r="N194" s="4786">
        <f t="shared" si="307"/>
        <v>10.397479591947082</v>
      </c>
      <c r="O194" s="4801">
        <f t="shared" si="322"/>
        <v>16.38626020402646</v>
      </c>
      <c r="P194" s="4801">
        <f t="shared" si="322"/>
        <v>0</v>
      </c>
      <c r="Q194" s="4801">
        <f t="shared" si="322"/>
        <v>0</v>
      </c>
      <c r="R194" s="4801">
        <f t="shared" si="322"/>
        <v>0</v>
      </c>
      <c r="S194" s="4801">
        <f t="shared" si="322"/>
        <v>0</v>
      </c>
      <c r="T194" s="4786">
        <f t="shared" si="309"/>
        <v>49.158780612079383</v>
      </c>
      <c r="U194" s="4786">
        <f t="shared" si="310"/>
        <v>43.17</v>
      </c>
      <c r="V194" s="4786">
        <f t="shared" si="311"/>
        <v>-5.9887806120793812</v>
      </c>
      <c r="W194" s="4801">
        <f t="shared" si="323"/>
        <v>16.38626020402646</v>
      </c>
      <c r="X194" s="4801">
        <f t="shared" si="323"/>
        <v>0</v>
      </c>
      <c r="Y194" s="4801">
        <f t="shared" si="323"/>
        <v>0</v>
      </c>
      <c r="Z194" s="4801">
        <f t="shared" si="323"/>
        <v>0</v>
      </c>
      <c r="AA194" s="4801">
        <f t="shared" si="323"/>
        <v>0</v>
      </c>
      <c r="AB194" s="4786">
        <f t="shared" si="313"/>
        <v>65.545040816105839</v>
      </c>
      <c r="AC194" s="4786">
        <f t="shared" si="314"/>
        <v>43.17</v>
      </c>
      <c r="AD194" s="4786">
        <f t="shared" si="315"/>
        <v>-22.375040816105837</v>
      </c>
      <c r="AE194" s="430"/>
      <c r="AF194" s="430"/>
      <c r="AG194" s="430"/>
      <c r="AH194" s="5"/>
    </row>
    <row r="195" spans="1:34" ht="18.75" customHeight="1">
      <c r="A195" s="4790" t="s">
        <v>608</v>
      </c>
      <c r="B195" s="4801">
        <f t="shared" si="326"/>
        <v>16.188835382291202</v>
      </c>
      <c r="C195" s="4801">
        <f t="shared" si="321"/>
        <v>0</v>
      </c>
      <c r="D195" s="4801">
        <f t="shared" si="321"/>
        <v>6.21</v>
      </c>
      <c r="E195" s="4801">
        <f t="shared" si="321"/>
        <v>0</v>
      </c>
      <c r="F195" s="4801">
        <f t="shared" si="321"/>
        <v>6.21</v>
      </c>
      <c r="G195" s="4801">
        <f t="shared" si="321"/>
        <v>16.188835382291202</v>
      </c>
      <c r="H195" s="4801">
        <f t="shared" si="321"/>
        <v>0</v>
      </c>
      <c r="I195" s="4801">
        <f t="shared" si="321"/>
        <v>0</v>
      </c>
      <c r="J195" s="4801">
        <f t="shared" si="321"/>
        <v>12.15</v>
      </c>
      <c r="K195" s="4801">
        <f t="shared" si="321"/>
        <v>12.15</v>
      </c>
      <c r="L195" s="4786">
        <f t="shared" si="305"/>
        <v>32.377670764582405</v>
      </c>
      <c r="M195" s="4786">
        <f t="shared" si="306"/>
        <v>18.36</v>
      </c>
      <c r="N195" s="4786">
        <f t="shared" si="307"/>
        <v>-14.017670764582405</v>
      </c>
      <c r="O195" s="4801">
        <f t="shared" si="322"/>
        <v>16.188835382291202</v>
      </c>
      <c r="P195" s="4801">
        <f t="shared" si="322"/>
        <v>0</v>
      </c>
      <c r="Q195" s="4801">
        <f t="shared" si="322"/>
        <v>0</v>
      </c>
      <c r="R195" s="4801">
        <f t="shared" si="322"/>
        <v>0</v>
      </c>
      <c r="S195" s="4801">
        <f t="shared" si="322"/>
        <v>0</v>
      </c>
      <c r="T195" s="4786">
        <f t="shared" si="309"/>
        <v>48.566506146873607</v>
      </c>
      <c r="U195" s="4786">
        <f t="shared" si="310"/>
        <v>18.36</v>
      </c>
      <c r="V195" s="4786">
        <f t="shared" si="311"/>
        <v>-30.206506146873608</v>
      </c>
      <c r="W195" s="4801">
        <f t="shared" si="323"/>
        <v>16.188835382291202</v>
      </c>
      <c r="X195" s="4801">
        <f t="shared" si="323"/>
        <v>0</v>
      </c>
      <c r="Y195" s="4801">
        <f t="shared" si="323"/>
        <v>0</v>
      </c>
      <c r="Z195" s="4801">
        <f t="shared" si="323"/>
        <v>0</v>
      </c>
      <c r="AA195" s="4801">
        <f t="shared" si="323"/>
        <v>0</v>
      </c>
      <c r="AB195" s="4786">
        <f t="shared" si="313"/>
        <v>64.755341529164809</v>
      </c>
      <c r="AC195" s="4786">
        <f t="shared" si="314"/>
        <v>18.36</v>
      </c>
      <c r="AD195" s="4786">
        <f t="shared" si="315"/>
        <v>-46.39534152916481</v>
      </c>
      <c r="AE195" s="430"/>
      <c r="AF195" s="430"/>
      <c r="AG195" s="430"/>
      <c r="AH195" s="5"/>
    </row>
    <row r="196" spans="1:34" ht="18.75" customHeight="1">
      <c r="A196" s="4790" t="s">
        <v>611</v>
      </c>
      <c r="B196" s="4801">
        <f t="shared" si="326"/>
        <v>25.467802003848355</v>
      </c>
      <c r="C196" s="4801">
        <f t="shared" si="321"/>
        <v>0.35</v>
      </c>
      <c r="D196" s="4801">
        <f t="shared" si="321"/>
        <v>0.35</v>
      </c>
      <c r="E196" s="4801">
        <f t="shared" si="321"/>
        <v>0.35</v>
      </c>
      <c r="F196" s="4801">
        <f t="shared" si="321"/>
        <v>1.0499999999999998</v>
      </c>
      <c r="G196" s="4801">
        <f t="shared" si="321"/>
        <v>25.467802003848355</v>
      </c>
      <c r="H196" s="4801">
        <f t="shared" si="321"/>
        <v>0.35</v>
      </c>
      <c r="I196" s="4801">
        <f t="shared" si="321"/>
        <v>0.34</v>
      </c>
      <c r="J196" s="4801">
        <f t="shared" si="321"/>
        <v>2.72</v>
      </c>
      <c r="K196" s="4801">
        <f t="shared" si="321"/>
        <v>3.41</v>
      </c>
      <c r="L196" s="4786">
        <f t="shared" si="305"/>
        <v>50.93560400769671</v>
      </c>
      <c r="M196" s="4786">
        <f t="shared" si="306"/>
        <v>4.46</v>
      </c>
      <c r="N196" s="4786">
        <f t="shared" si="307"/>
        <v>-46.47560400769671</v>
      </c>
      <c r="O196" s="4801">
        <f t="shared" si="322"/>
        <v>25.467802003848355</v>
      </c>
      <c r="P196" s="4801">
        <f t="shared" si="322"/>
        <v>0</v>
      </c>
      <c r="Q196" s="4801">
        <f t="shared" si="322"/>
        <v>0</v>
      </c>
      <c r="R196" s="4801">
        <f t="shared" si="322"/>
        <v>0</v>
      </c>
      <c r="S196" s="4801">
        <f t="shared" si="322"/>
        <v>0</v>
      </c>
      <c r="T196" s="4786">
        <f t="shared" si="309"/>
        <v>76.403406011545059</v>
      </c>
      <c r="U196" s="4786">
        <f t="shared" si="310"/>
        <v>4.46</v>
      </c>
      <c r="V196" s="4786">
        <f t="shared" si="311"/>
        <v>-71.943406011545065</v>
      </c>
      <c r="W196" s="4801">
        <f t="shared" si="323"/>
        <v>25.467802003848355</v>
      </c>
      <c r="X196" s="4801">
        <f t="shared" si="323"/>
        <v>0</v>
      </c>
      <c r="Y196" s="4801">
        <f t="shared" si="323"/>
        <v>0</v>
      </c>
      <c r="Z196" s="4801">
        <f t="shared" si="323"/>
        <v>0</v>
      </c>
      <c r="AA196" s="4801">
        <f t="shared" si="323"/>
        <v>0</v>
      </c>
      <c r="AB196" s="4786">
        <f t="shared" si="313"/>
        <v>101.87120801539342</v>
      </c>
      <c r="AC196" s="4786">
        <f t="shared" si="314"/>
        <v>4.46</v>
      </c>
      <c r="AD196" s="4786">
        <f t="shared" si="315"/>
        <v>-97.411208015393427</v>
      </c>
      <c r="AE196" s="430"/>
      <c r="AF196" s="430"/>
      <c r="AG196" s="430"/>
      <c r="AH196" s="5"/>
    </row>
    <row r="197" spans="1:34" ht="18.75" customHeight="1">
      <c r="A197" s="4790" t="s">
        <v>615</v>
      </c>
      <c r="B197" s="4801">
        <f t="shared" si="326"/>
        <v>0</v>
      </c>
      <c r="C197" s="4801">
        <f t="shared" si="321"/>
        <v>47.35</v>
      </c>
      <c r="D197" s="4801">
        <f t="shared" si="321"/>
        <v>46.36</v>
      </c>
      <c r="E197" s="4801">
        <f t="shared" si="321"/>
        <v>44.73</v>
      </c>
      <c r="F197" s="4801">
        <f t="shared" si="321"/>
        <v>138.44</v>
      </c>
      <c r="G197" s="4801">
        <f t="shared" si="321"/>
        <v>0</v>
      </c>
      <c r="H197" s="4801">
        <f t="shared" si="321"/>
        <v>43.1</v>
      </c>
      <c r="I197" s="4801">
        <f t="shared" si="321"/>
        <v>43.47</v>
      </c>
      <c r="J197" s="4801">
        <f t="shared" si="321"/>
        <v>43.31</v>
      </c>
      <c r="K197" s="4801">
        <f t="shared" si="321"/>
        <v>129.88</v>
      </c>
      <c r="L197" s="4786">
        <f t="shared" si="305"/>
        <v>0</v>
      </c>
      <c r="M197" s="4786">
        <f t="shared" si="306"/>
        <v>268.32</v>
      </c>
      <c r="N197" s="4786">
        <f t="shared" si="307"/>
        <v>268.32</v>
      </c>
      <c r="O197" s="4801">
        <f t="shared" si="322"/>
        <v>0</v>
      </c>
      <c r="P197" s="4801">
        <f t="shared" si="322"/>
        <v>0</v>
      </c>
      <c r="Q197" s="4801">
        <f t="shared" si="322"/>
        <v>0</v>
      </c>
      <c r="R197" s="4801">
        <f t="shared" si="322"/>
        <v>0</v>
      </c>
      <c r="S197" s="4801">
        <f t="shared" si="322"/>
        <v>0</v>
      </c>
      <c r="T197" s="4786">
        <f t="shared" si="309"/>
        <v>0</v>
      </c>
      <c r="U197" s="4786">
        <f t="shared" si="310"/>
        <v>268.32</v>
      </c>
      <c r="V197" s="4786">
        <f t="shared" si="311"/>
        <v>268.32</v>
      </c>
      <c r="W197" s="4801">
        <f t="shared" si="323"/>
        <v>0</v>
      </c>
      <c r="X197" s="4801">
        <f t="shared" si="323"/>
        <v>0</v>
      </c>
      <c r="Y197" s="4801">
        <f t="shared" si="323"/>
        <v>0</v>
      </c>
      <c r="Z197" s="4801">
        <f t="shared" si="323"/>
        <v>0</v>
      </c>
      <c r="AA197" s="4801">
        <f t="shared" si="323"/>
        <v>0</v>
      </c>
      <c r="AB197" s="4786">
        <f t="shared" si="313"/>
        <v>0</v>
      </c>
      <c r="AC197" s="4786">
        <f t="shared" si="314"/>
        <v>268.32</v>
      </c>
      <c r="AD197" s="4786">
        <f t="shared" si="315"/>
        <v>268.32</v>
      </c>
      <c r="AE197" s="430"/>
      <c r="AF197" s="430"/>
      <c r="AG197" s="430"/>
      <c r="AH197" s="5"/>
    </row>
    <row r="198" spans="1:34" ht="18.75" customHeight="1">
      <c r="A198" s="4790" t="s">
        <v>612</v>
      </c>
      <c r="B198" s="4801">
        <f t="shared" si="326"/>
        <v>0</v>
      </c>
      <c r="C198" s="4801">
        <f t="shared" si="321"/>
        <v>27.79</v>
      </c>
      <c r="D198" s="4801">
        <f t="shared" si="321"/>
        <v>27.79</v>
      </c>
      <c r="E198" s="4801">
        <f t="shared" si="321"/>
        <v>28.62</v>
      </c>
      <c r="F198" s="4801">
        <f t="shared" si="321"/>
        <v>84.2</v>
      </c>
      <c r="G198" s="4801">
        <f t="shared" si="321"/>
        <v>0</v>
      </c>
      <c r="H198" s="4801">
        <f t="shared" si="321"/>
        <v>27.79</v>
      </c>
      <c r="I198" s="4801">
        <f t="shared" si="321"/>
        <v>28.3</v>
      </c>
      <c r="J198" s="4801">
        <f t="shared" si="321"/>
        <v>27.98</v>
      </c>
      <c r="K198" s="4801">
        <f t="shared" si="321"/>
        <v>84.070000000000007</v>
      </c>
      <c r="L198" s="4786">
        <f t="shared" si="305"/>
        <v>0</v>
      </c>
      <c r="M198" s="4786">
        <f t="shared" si="306"/>
        <v>168.27</v>
      </c>
      <c r="N198" s="4786">
        <f t="shared" si="307"/>
        <v>168.27</v>
      </c>
      <c r="O198" s="4801">
        <f t="shared" si="322"/>
        <v>0</v>
      </c>
      <c r="P198" s="4801">
        <f t="shared" si="322"/>
        <v>0</v>
      </c>
      <c r="Q198" s="4801">
        <f t="shared" si="322"/>
        <v>0</v>
      </c>
      <c r="R198" s="4801">
        <f t="shared" si="322"/>
        <v>0</v>
      </c>
      <c r="S198" s="4801">
        <f t="shared" si="322"/>
        <v>0</v>
      </c>
      <c r="T198" s="4786">
        <f t="shared" si="309"/>
        <v>0</v>
      </c>
      <c r="U198" s="4786">
        <f t="shared" si="310"/>
        <v>168.27</v>
      </c>
      <c r="V198" s="4786">
        <f t="shared" si="311"/>
        <v>168.27</v>
      </c>
      <c r="W198" s="4801">
        <f t="shared" si="323"/>
        <v>0</v>
      </c>
      <c r="X198" s="4801">
        <f t="shared" si="323"/>
        <v>0</v>
      </c>
      <c r="Y198" s="4801">
        <f t="shared" si="323"/>
        <v>0</v>
      </c>
      <c r="Z198" s="4801">
        <f t="shared" si="323"/>
        <v>0</v>
      </c>
      <c r="AA198" s="4801">
        <f t="shared" si="323"/>
        <v>0</v>
      </c>
      <c r="AB198" s="4786">
        <f t="shared" si="313"/>
        <v>0</v>
      </c>
      <c r="AC198" s="4786">
        <f t="shared" si="314"/>
        <v>168.27</v>
      </c>
      <c r="AD198" s="4786">
        <f t="shared" si="315"/>
        <v>168.27</v>
      </c>
      <c r="AE198" s="430"/>
      <c r="AF198" s="430"/>
      <c r="AG198" s="430"/>
      <c r="AH198" s="5"/>
    </row>
    <row r="199" spans="1:34" ht="18.75" customHeight="1">
      <c r="A199" s="4790" t="s">
        <v>32</v>
      </c>
      <c r="B199" s="4801">
        <f>SUM(B58+B83)</f>
        <v>5.3811159843517631</v>
      </c>
      <c r="C199" s="4801">
        <f t="shared" ref="C199:K199" si="327">SUM(C58+C83)</f>
        <v>0</v>
      </c>
      <c r="D199" s="4801">
        <f t="shared" si="327"/>
        <v>0</v>
      </c>
      <c r="E199" s="4801">
        <f t="shared" si="327"/>
        <v>2.4</v>
      </c>
      <c r="F199" s="4801">
        <f t="shared" si="327"/>
        <v>2.4</v>
      </c>
      <c r="G199" s="4801">
        <f t="shared" si="327"/>
        <v>5.3811159843517631</v>
      </c>
      <c r="H199" s="4801">
        <f t="shared" si="327"/>
        <v>0</v>
      </c>
      <c r="I199" s="4801">
        <f t="shared" si="327"/>
        <v>0</v>
      </c>
      <c r="J199" s="4801">
        <f t="shared" si="327"/>
        <v>2.4</v>
      </c>
      <c r="K199" s="4801">
        <f t="shared" si="327"/>
        <v>2.4</v>
      </c>
      <c r="L199" s="4786">
        <f t="shared" si="305"/>
        <v>10.762231968703526</v>
      </c>
      <c r="M199" s="4786">
        <f t="shared" si="306"/>
        <v>4.8</v>
      </c>
      <c r="N199" s="4786">
        <f t="shared" si="307"/>
        <v>-5.9622319687035263</v>
      </c>
      <c r="O199" s="4801">
        <f t="shared" ref="O199:S199" si="328">SUM(O58+O83)</f>
        <v>5.3811159843517631</v>
      </c>
      <c r="P199" s="4801">
        <f t="shared" si="328"/>
        <v>0</v>
      </c>
      <c r="Q199" s="4801">
        <f t="shared" si="328"/>
        <v>0</v>
      </c>
      <c r="R199" s="4801">
        <f t="shared" si="328"/>
        <v>0</v>
      </c>
      <c r="S199" s="4801">
        <f t="shared" si="328"/>
        <v>0</v>
      </c>
      <c r="T199" s="4786">
        <f t="shared" si="309"/>
        <v>16.14334795305529</v>
      </c>
      <c r="U199" s="4786">
        <f t="shared" si="310"/>
        <v>4.8</v>
      </c>
      <c r="V199" s="4786">
        <f t="shared" si="311"/>
        <v>-11.343347953055289</v>
      </c>
      <c r="W199" s="4801">
        <f t="shared" ref="W199:AA199" si="329">SUM(W58+W83)</f>
        <v>5.3811159843517631</v>
      </c>
      <c r="X199" s="4801">
        <f t="shared" si="329"/>
        <v>0</v>
      </c>
      <c r="Y199" s="4801">
        <f t="shared" si="329"/>
        <v>0</v>
      </c>
      <c r="Z199" s="4801">
        <f t="shared" si="329"/>
        <v>0</v>
      </c>
      <c r="AA199" s="4801">
        <f t="shared" si="329"/>
        <v>0</v>
      </c>
      <c r="AB199" s="4786">
        <f t="shared" si="313"/>
        <v>21.524463937407052</v>
      </c>
      <c r="AC199" s="4786">
        <f t="shared" si="314"/>
        <v>4.8</v>
      </c>
      <c r="AD199" s="4786">
        <f t="shared" si="315"/>
        <v>-16.724463937407052</v>
      </c>
      <c r="AE199" s="430"/>
      <c r="AF199" s="430"/>
      <c r="AG199" s="430"/>
      <c r="AH199" s="5"/>
    </row>
    <row r="200" spans="1:34" ht="18.75" customHeight="1">
      <c r="A200" s="4485" t="s">
        <v>603</v>
      </c>
      <c r="B200" s="4725">
        <f>SUM(B79)</f>
        <v>219.46512249905226</v>
      </c>
      <c r="C200" s="4725">
        <f t="shared" ref="C200:K200" si="330">SUM(C79)</f>
        <v>66.61</v>
      </c>
      <c r="D200" s="4725">
        <f t="shared" si="330"/>
        <v>67.27</v>
      </c>
      <c r="E200" s="4725">
        <f t="shared" si="330"/>
        <v>98.11</v>
      </c>
      <c r="F200" s="4725">
        <f t="shared" si="330"/>
        <v>231.99</v>
      </c>
      <c r="G200" s="4725">
        <f t="shared" si="330"/>
        <v>219.46512249905226</v>
      </c>
      <c r="H200" s="4725">
        <f t="shared" si="330"/>
        <v>87.14</v>
      </c>
      <c r="I200" s="4725">
        <f t="shared" si="330"/>
        <v>93.88</v>
      </c>
      <c r="J200" s="4725">
        <f t="shared" si="330"/>
        <v>78.34</v>
      </c>
      <c r="K200" s="4725">
        <f t="shared" si="330"/>
        <v>259.36</v>
      </c>
      <c r="L200" s="4786">
        <f t="shared" si="305"/>
        <v>438.93024499810451</v>
      </c>
      <c r="M200" s="4786">
        <f t="shared" si="306"/>
        <v>491.35</v>
      </c>
      <c r="N200" s="4786">
        <f t="shared" si="307"/>
        <v>52.41975500189551</v>
      </c>
      <c r="O200" s="4725">
        <f t="shared" ref="O200:S200" si="331">SUM(O79)</f>
        <v>219.46512249905226</v>
      </c>
      <c r="P200" s="4725">
        <f t="shared" si="331"/>
        <v>0</v>
      </c>
      <c r="Q200" s="4725">
        <f t="shared" si="331"/>
        <v>0</v>
      </c>
      <c r="R200" s="4725">
        <f t="shared" si="331"/>
        <v>0</v>
      </c>
      <c r="S200" s="4725">
        <f t="shared" si="331"/>
        <v>0</v>
      </c>
      <c r="T200" s="4786">
        <f t="shared" si="309"/>
        <v>658.39536749715671</v>
      </c>
      <c r="U200" s="4786">
        <f t="shared" si="310"/>
        <v>491.35</v>
      </c>
      <c r="V200" s="4786">
        <f t="shared" si="311"/>
        <v>-167.04536749715669</v>
      </c>
      <c r="W200" s="4725">
        <f t="shared" ref="W200:AA200" si="332">SUM(W79)</f>
        <v>219.46512249905226</v>
      </c>
      <c r="X200" s="4725">
        <f t="shared" si="332"/>
        <v>0</v>
      </c>
      <c r="Y200" s="4725">
        <f t="shared" si="332"/>
        <v>0</v>
      </c>
      <c r="Z200" s="4725">
        <f t="shared" si="332"/>
        <v>0</v>
      </c>
      <c r="AA200" s="4725">
        <f t="shared" si="332"/>
        <v>0</v>
      </c>
      <c r="AB200" s="4786">
        <f t="shared" si="313"/>
        <v>877.86048999620903</v>
      </c>
      <c r="AC200" s="4786">
        <f t="shared" si="314"/>
        <v>491.35</v>
      </c>
      <c r="AD200" s="4786">
        <f t="shared" si="315"/>
        <v>-386.510489996209</v>
      </c>
      <c r="AE200" s="430"/>
      <c r="AF200" s="430"/>
      <c r="AG200" s="430"/>
      <c r="AH200" s="5"/>
    </row>
    <row r="201" spans="1:34" ht="18.75" customHeight="1">
      <c r="A201" s="4790" t="s">
        <v>604</v>
      </c>
      <c r="B201" s="4801">
        <f>SUM(B81)</f>
        <v>9.2059288163664963</v>
      </c>
      <c r="C201" s="4801">
        <f t="shared" ref="C201:K202" si="333">SUM(C81)</f>
        <v>2.84</v>
      </c>
      <c r="D201" s="4801">
        <f t="shared" si="333"/>
        <v>2.84</v>
      </c>
      <c r="E201" s="4801">
        <f t="shared" si="333"/>
        <v>2.84</v>
      </c>
      <c r="F201" s="4801">
        <f t="shared" si="333"/>
        <v>8.52</v>
      </c>
      <c r="G201" s="4801">
        <f t="shared" si="333"/>
        <v>9.2059288163664963</v>
      </c>
      <c r="H201" s="4801">
        <f t="shared" si="333"/>
        <v>2.84</v>
      </c>
      <c r="I201" s="4801">
        <f t="shared" si="333"/>
        <v>2.82</v>
      </c>
      <c r="J201" s="4801">
        <f t="shared" si="333"/>
        <v>2.84</v>
      </c>
      <c r="K201" s="4801">
        <f t="shared" si="333"/>
        <v>8.5</v>
      </c>
      <c r="L201" s="4786">
        <f t="shared" si="305"/>
        <v>18.411857632732993</v>
      </c>
      <c r="M201" s="4786">
        <f t="shared" si="306"/>
        <v>17.02</v>
      </c>
      <c r="N201" s="4786">
        <f t="shared" si="307"/>
        <v>-1.391857632732993</v>
      </c>
      <c r="O201" s="4801">
        <f t="shared" ref="O201:S202" si="334">SUM(O81)</f>
        <v>9.2059288163664963</v>
      </c>
      <c r="P201" s="4801">
        <f t="shared" si="334"/>
        <v>0</v>
      </c>
      <c r="Q201" s="4801">
        <f t="shared" si="334"/>
        <v>0</v>
      </c>
      <c r="R201" s="4801">
        <f t="shared" si="334"/>
        <v>0</v>
      </c>
      <c r="S201" s="4801">
        <f t="shared" si="334"/>
        <v>0</v>
      </c>
      <c r="T201" s="4786">
        <f t="shared" si="309"/>
        <v>27.617786449099491</v>
      </c>
      <c r="U201" s="4786">
        <f t="shared" si="310"/>
        <v>17.02</v>
      </c>
      <c r="V201" s="4786">
        <f t="shared" si="311"/>
        <v>-10.597786449099491</v>
      </c>
      <c r="W201" s="4801">
        <f t="shared" ref="W201:AA202" si="335">SUM(W81)</f>
        <v>9.2059288163664963</v>
      </c>
      <c r="X201" s="4801">
        <f t="shared" si="335"/>
        <v>0</v>
      </c>
      <c r="Y201" s="4801">
        <f t="shared" si="335"/>
        <v>0</v>
      </c>
      <c r="Z201" s="4801">
        <f t="shared" si="335"/>
        <v>0</v>
      </c>
      <c r="AA201" s="4801">
        <f t="shared" si="335"/>
        <v>0</v>
      </c>
      <c r="AB201" s="4786">
        <f t="shared" si="313"/>
        <v>36.823715265465985</v>
      </c>
      <c r="AC201" s="4786">
        <f t="shared" si="314"/>
        <v>17.02</v>
      </c>
      <c r="AD201" s="4786">
        <f t="shared" si="315"/>
        <v>-19.803715265465986</v>
      </c>
      <c r="AE201" s="430"/>
      <c r="AF201" s="430"/>
      <c r="AG201" s="430"/>
      <c r="AH201" s="5"/>
    </row>
    <row r="202" spans="1:34" ht="18.75" customHeight="1">
      <c r="A202" s="4790" t="s">
        <v>614</v>
      </c>
      <c r="B202" s="4801">
        <f>SUM(B82)</f>
        <v>1.4244130546813489</v>
      </c>
      <c r="C202" s="4801">
        <f t="shared" si="333"/>
        <v>0</v>
      </c>
      <c r="D202" s="4801">
        <f t="shared" si="333"/>
        <v>0</v>
      </c>
      <c r="E202" s="4801">
        <f t="shared" si="333"/>
        <v>0</v>
      </c>
      <c r="F202" s="4801">
        <f t="shared" si="333"/>
        <v>0</v>
      </c>
      <c r="G202" s="4801">
        <f t="shared" si="333"/>
        <v>1.4244130546813489</v>
      </c>
      <c r="H202" s="4801">
        <f t="shared" si="333"/>
        <v>0</v>
      </c>
      <c r="I202" s="4801">
        <f t="shared" si="333"/>
        <v>0</v>
      </c>
      <c r="J202" s="4801">
        <f t="shared" si="333"/>
        <v>1.36</v>
      </c>
      <c r="K202" s="4801">
        <f t="shared" si="333"/>
        <v>1.36</v>
      </c>
      <c r="L202" s="4786">
        <f t="shared" si="305"/>
        <v>2.8488261093626979</v>
      </c>
      <c r="M202" s="4786">
        <f t="shared" si="306"/>
        <v>1.36</v>
      </c>
      <c r="N202" s="4786">
        <f t="shared" si="307"/>
        <v>-1.4888261093626978</v>
      </c>
      <c r="O202" s="4801">
        <f t="shared" si="334"/>
        <v>1.4244130546813489</v>
      </c>
      <c r="P202" s="4801">
        <f t="shared" si="334"/>
        <v>0</v>
      </c>
      <c r="Q202" s="4801">
        <f t="shared" si="334"/>
        <v>0</v>
      </c>
      <c r="R202" s="4801">
        <f t="shared" si="334"/>
        <v>0</v>
      </c>
      <c r="S202" s="4801">
        <f t="shared" si="334"/>
        <v>0</v>
      </c>
      <c r="T202" s="4786">
        <f t="shared" si="309"/>
        <v>4.273239164044047</v>
      </c>
      <c r="U202" s="4786">
        <f t="shared" si="310"/>
        <v>1.36</v>
      </c>
      <c r="V202" s="4786">
        <f t="shared" si="311"/>
        <v>-2.9132391640440467</v>
      </c>
      <c r="W202" s="4801">
        <f t="shared" si="335"/>
        <v>1.4244130546813489</v>
      </c>
      <c r="X202" s="4801">
        <f t="shared" si="335"/>
        <v>0</v>
      </c>
      <c r="Y202" s="4801">
        <f t="shared" si="335"/>
        <v>0</v>
      </c>
      <c r="Z202" s="4801">
        <f t="shared" si="335"/>
        <v>0</v>
      </c>
      <c r="AA202" s="4801">
        <f t="shared" si="335"/>
        <v>0</v>
      </c>
      <c r="AB202" s="4786">
        <f t="shared" si="313"/>
        <v>5.6976522187253957</v>
      </c>
      <c r="AC202" s="4786">
        <f t="shared" si="314"/>
        <v>1.36</v>
      </c>
      <c r="AD202" s="4786">
        <f t="shared" si="315"/>
        <v>-4.3376522187253954</v>
      </c>
      <c r="AE202" s="430"/>
      <c r="AF202" s="430"/>
      <c r="AG202" s="430"/>
      <c r="AH202" s="5"/>
    </row>
    <row r="203" spans="1:34" ht="18.75" customHeight="1">
      <c r="A203" s="4790" t="s">
        <v>1594</v>
      </c>
      <c r="B203" s="4801">
        <f>SUM(B28)</f>
        <v>45.676183358326988</v>
      </c>
      <c r="C203" s="4801">
        <f t="shared" ref="C203:K203" si="336">SUM(C28)</f>
        <v>0</v>
      </c>
      <c r="D203" s="4801">
        <f t="shared" si="336"/>
        <v>0</v>
      </c>
      <c r="E203" s="4801">
        <f t="shared" si="336"/>
        <v>0</v>
      </c>
      <c r="F203" s="4801">
        <f t="shared" si="336"/>
        <v>0</v>
      </c>
      <c r="G203" s="4801">
        <f t="shared" si="336"/>
        <v>45.676183358326988</v>
      </c>
      <c r="H203" s="4801">
        <f t="shared" si="336"/>
        <v>0</v>
      </c>
      <c r="I203" s="4801">
        <f t="shared" si="336"/>
        <v>0</v>
      </c>
      <c r="J203" s="4801">
        <f t="shared" si="336"/>
        <v>0</v>
      </c>
      <c r="K203" s="4801">
        <f t="shared" si="336"/>
        <v>0</v>
      </c>
      <c r="L203" s="4786">
        <f t="shared" ref="L203" si="337">SUM(G203+B203)</f>
        <v>91.352366716653975</v>
      </c>
      <c r="M203" s="4786">
        <f t="shared" si="306"/>
        <v>0</v>
      </c>
      <c r="N203" s="4786">
        <f t="shared" si="307"/>
        <v>-91.352366716653975</v>
      </c>
      <c r="O203" s="4801">
        <f t="shared" ref="O203:S203" si="338">SUM(O28)</f>
        <v>45.676183358326988</v>
      </c>
      <c r="P203" s="4801">
        <f t="shared" si="338"/>
        <v>0</v>
      </c>
      <c r="Q203" s="4801">
        <f t="shared" si="338"/>
        <v>0</v>
      </c>
      <c r="R203" s="4801">
        <f t="shared" si="338"/>
        <v>0</v>
      </c>
      <c r="S203" s="4801">
        <f t="shared" si="338"/>
        <v>0</v>
      </c>
      <c r="T203" s="4786">
        <f t="shared" ref="T203" si="339">SUM(L203+O203)</f>
        <v>137.02855007498096</v>
      </c>
      <c r="U203" s="4786">
        <f t="shared" si="310"/>
        <v>0</v>
      </c>
      <c r="V203" s="4786">
        <f t="shared" si="311"/>
        <v>-137.02855007498096</v>
      </c>
      <c r="W203" s="4801">
        <f t="shared" ref="W203:AA203" si="340">SUM(W28)</f>
        <v>45.676183358326988</v>
      </c>
      <c r="X203" s="4801">
        <f t="shared" si="340"/>
        <v>0</v>
      </c>
      <c r="Y203" s="4801">
        <f t="shared" si="340"/>
        <v>0</v>
      </c>
      <c r="Z203" s="4801">
        <f t="shared" si="340"/>
        <v>0</v>
      </c>
      <c r="AA203" s="4801">
        <f t="shared" si="340"/>
        <v>0</v>
      </c>
      <c r="AB203" s="4786">
        <f t="shared" ref="AB203" si="341">SUM(W203+T203)</f>
        <v>182.70473343330795</v>
      </c>
      <c r="AC203" s="4786">
        <f t="shared" si="314"/>
        <v>0</v>
      </c>
      <c r="AD203" s="4786">
        <f t="shared" si="315"/>
        <v>-182.70473343330795</v>
      </c>
      <c r="AE203" s="430"/>
      <c r="AF203" s="430"/>
      <c r="AG203" s="430"/>
      <c r="AH203" s="5"/>
    </row>
    <row r="204" spans="1:34" ht="18.75" customHeight="1">
      <c r="A204" s="4597" t="s">
        <v>606</v>
      </c>
      <c r="B204" s="4802">
        <f>SUM(B29+B59+B84+B100)</f>
        <v>204.15172491385925</v>
      </c>
      <c r="C204" s="4802">
        <f t="shared" ref="C204:K204" si="342">SUM(C29+C59+C84+C100)</f>
        <v>50.72</v>
      </c>
      <c r="D204" s="4802">
        <f t="shared" si="342"/>
        <v>63.150000000000006</v>
      </c>
      <c r="E204" s="4802">
        <f t="shared" si="342"/>
        <v>121.59</v>
      </c>
      <c r="F204" s="4802">
        <f t="shared" si="342"/>
        <v>235.46</v>
      </c>
      <c r="G204" s="4802">
        <f t="shared" si="342"/>
        <v>85.87234189410303</v>
      </c>
      <c r="H204" s="4802">
        <f t="shared" si="342"/>
        <v>54.56</v>
      </c>
      <c r="I204" s="4802">
        <f t="shared" si="342"/>
        <v>22.51</v>
      </c>
      <c r="J204" s="4802">
        <f t="shared" si="342"/>
        <v>6.88</v>
      </c>
      <c r="K204" s="4802">
        <f t="shared" si="342"/>
        <v>83.95</v>
      </c>
      <c r="L204" s="4779">
        <f t="shared" si="305"/>
        <v>290.0240668079623</v>
      </c>
      <c r="M204" s="4779">
        <f t="shared" si="306"/>
        <v>319.41000000000003</v>
      </c>
      <c r="N204" s="4779">
        <f t="shared" si="307"/>
        <v>29.385933192037726</v>
      </c>
      <c r="O204" s="4802">
        <f t="shared" ref="O204:S204" si="343">SUM(O29+O59+O84+O100)</f>
        <v>57.607849058648426</v>
      </c>
      <c r="P204" s="4802">
        <f t="shared" si="343"/>
        <v>0</v>
      </c>
      <c r="Q204" s="4802">
        <f t="shared" si="343"/>
        <v>0</v>
      </c>
      <c r="R204" s="4802">
        <f t="shared" si="343"/>
        <v>0</v>
      </c>
      <c r="S204" s="4802">
        <f t="shared" si="343"/>
        <v>0</v>
      </c>
      <c r="T204" s="4779">
        <f t="shared" si="309"/>
        <v>347.63191586661071</v>
      </c>
      <c r="U204" s="4779">
        <f t="shared" si="310"/>
        <v>319.41000000000003</v>
      </c>
      <c r="V204" s="4779">
        <f t="shared" si="311"/>
        <v>-28.221915866610686</v>
      </c>
      <c r="W204" s="4802">
        <f t="shared" ref="W204:AA204" si="344">SUM(W29+W59+W84+W100)</f>
        <v>185.41439893091217</v>
      </c>
      <c r="X204" s="4802">
        <f t="shared" si="344"/>
        <v>0</v>
      </c>
      <c r="Y204" s="4802">
        <f t="shared" si="344"/>
        <v>0</v>
      </c>
      <c r="Z204" s="4802">
        <f t="shared" si="344"/>
        <v>0</v>
      </c>
      <c r="AA204" s="4802">
        <f t="shared" si="344"/>
        <v>0</v>
      </c>
      <c r="AB204" s="4779">
        <f t="shared" si="313"/>
        <v>533.04631479752288</v>
      </c>
      <c r="AC204" s="4779">
        <f t="shared" si="314"/>
        <v>319.41000000000003</v>
      </c>
      <c r="AD204" s="4779">
        <f t="shared" si="315"/>
        <v>-213.63631479752286</v>
      </c>
      <c r="AE204" s="430"/>
      <c r="AF204" s="430"/>
      <c r="AG204" s="430"/>
      <c r="AH204" s="5"/>
    </row>
    <row r="205" spans="1:34" ht="18.75" customHeight="1">
      <c r="A205" s="4700" t="s">
        <v>651</v>
      </c>
      <c r="B205" s="4803">
        <f>SUM(B60)</f>
        <v>161.70556421269748</v>
      </c>
      <c r="C205" s="4803">
        <f t="shared" ref="C205:K205" si="345">SUM(C60)</f>
        <v>47.82</v>
      </c>
      <c r="D205" s="4803">
        <f t="shared" si="345"/>
        <v>56.27</v>
      </c>
      <c r="E205" s="4803">
        <f t="shared" si="345"/>
        <v>51.19</v>
      </c>
      <c r="F205" s="4803">
        <f t="shared" si="345"/>
        <v>155.28</v>
      </c>
      <c r="G205" s="4803">
        <f t="shared" si="345"/>
        <v>43.426181192941279</v>
      </c>
      <c r="H205" s="4803">
        <f t="shared" si="345"/>
        <v>38.86</v>
      </c>
      <c r="I205" s="4803">
        <f t="shared" si="345"/>
        <v>13.96</v>
      </c>
      <c r="J205" s="4803">
        <f t="shared" si="345"/>
        <v>0</v>
      </c>
      <c r="K205" s="4803">
        <f t="shared" si="345"/>
        <v>52.82</v>
      </c>
      <c r="L205" s="4791">
        <f t="shared" si="305"/>
        <v>205.13174540563875</v>
      </c>
      <c r="M205" s="4791">
        <f t="shared" si="306"/>
        <v>208.1</v>
      </c>
      <c r="N205" s="4791">
        <f t="shared" si="307"/>
        <v>2.9682545943612411</v>
      </c>
      <c r="O205" s="4803">
        <f t="shared" ref="O205:S205" si="346">SUM(O60)</f>
        <v>15.161688357486671</v>
      </c>
      <c r="P205" s="4803">
        <f t="shared" si="346"/>
        <v>0</v>
      </c>
      <c r="Q205" s="4803">
        <f t="shared" si="346"/>
        <v>0</v>
      </c>
      <c r="R205" s="4803">
        <f t="shared" si="346"/>
        <v>0</v>
      </c>
      <c r="S205" s="4803">
        <f t="shared" si="346"/>
        <v>0</v>
      </c>
      <c r="T205" s="4791">
        <f t="shared" si="309"/>
        <v>220.29343376312542</v>
      </c>
      <c r="U205" s="4791">
        <f t="shared" si="310"/>
        <v>208.1</v>
      </c>
      <c r="V205" s="4791">
        <f t="shared" si="311"/>
        <v>-12.193433763125427</v>
      </c>
      <c r="W205" s="4803">
        <f t="shared" ref="W205:AA205" si="347">SUM(W60)</f>
        <v>142.96823822975037</v>
      </c>
      <c r="X205" s="4803">
        <f t="shared" si="347"/>
        <v>0</v>
      </c>
      <c r="Y205" s="4803">
        <f t="shared" si="347"/>
        <v>0</v>
      </c>
      <c r="Z205" s="4803">
        <f t="shared" si="347"/>
        <v>0</v>
      </c>
      <c r="AA205" s="4803">
        <f t="shared" si="347"/>
        <v>0</v>
      </c>
      <c r="AB205" s="4791">
        <f t="shared" si="313"/>
        <v>363.26167199287579</v>
      </c>
      <c r="AC205" s="4791">
        <f t="shared" si="314"/>
        <v>208.1</v>
      </c>
      <c r="AD205" s="4791">
        <f t="shared" si="315"/>
        <v>-155.1616719928758</v>
      </c>
      <c r="AE205" s="430"/>
      <c r="AF205" s="430"/>
      <c r="AG205" s="430"/>
      <c r="AH205" s="5"/>
    </row>
    <row r="206" spans="1:34" ht="18.75" customHeight="1">
      <c r="A206" s="4700" t="s">
        <v>564</v>
      </c>
      <c r="B206" s="4803">
        <f>SUM(B30+B61+B85+B101)</f>
        <v>33.206281465870383</v>
      </c>
      <c r="C206" s="4803">
        <f t="shared" ref="C206:K206" si="348">SUM(C30+C61+C85+C101)</f>
        <v>2.8999999999999995</v>
      </c>
      <c r="D206" s="4803">
        <f t="shared" si="348"/>
        <v>4.47</v>
      </c>
      <c r="E206" s="4803">
        <f t="shared" si="348"/>
        <v>69.260000000000005</v>
      </c>
      <c r="F206" s="4803">
        <f t="shared" si="348"/>
        <v>76.63</v>
      </c>
      <c r="G206" s="4803">
        <f t="shared" si="348"/>
        <v>33.206281465870383</v>
      </c>
      <c r="H206" s="4803">
        <f t="shared" si="348"/>
        <v>9.870000000000001</v>
      </c>
      <c r="I206" s="4803">
        <f t="shared" si="348"/>
        <v>6</v>
      </c>
      <c r="J206" s="4803">
        <f t="shared" si="348"/>
        <v>3.84</v>
      </c>
      <c r="K206" s="4803">
        <f t="shared" si="348"/>
        <v>19.71</v>
      </c>
      <c r="L206" s="4791">
        <f t="shared" si="305"/>
        <v>66.412562931740766</v>
      </c>
      <c r="M206" s="4791">
        <f t="shared" si="306"/>
        <v>96.34</v>
      </c>
      <c r="N206" s="4791">
        <f t="shared" si="307"/>
        <v>29.927437068259238</v>
      </c>
      <c r="O206" s="4803">
        <f t="shared" ref="O206:S206" si="349">SUM(O30+O61+O85+O101)</f>
        <v>33.206281465870383</v>
      </c>
      <c r="P206" s="4803">
        <f t="shared" si="349"/>
        <v>0</v>
      </c>
      <c r="Q206" s="4803">
        <f t="shared" si="349"/>
        <v>0</v>
      </c>
      <c r="R206" s="4803">
        <f t="shared" si="349"/>
        <v>0</v>
      </c>
      <c r="S206" s="4803">
        <f t="shared" si="349"/>
        <v>0</v>
      </c>
      <c r="T206" s="4791">
        <f t="shared" si="309"/>
        <v>99.618844397611156</v>
      </c>
      <c r="U206" s="4791">
        <f t="shared" si="310"/>
        <v>96.34</v>
      </c>
      <c r="V206" s="4791">
        <f t="shared" si="311"/>
        <v>-3.2788443976111523</v>
      </c>
      <c r="W206" s="4803">
        <f t="shared" ref="W206:AA206" si="350">SUM(W30+W61+W85+W101)</f>
        <v>33.206281465870383</v>
      </c>
      <c r="X206" s="4803">
        <f t="shared" si="350"/>
        <v>0</v>
      </c>
      <c r="Y206" s="4803">
        <f t="shared" si="350"/>
        <v>0</v>
      </c>
      <c r="Z206" s="4803">
        <f t="shared" si="350"/>
        <v>0</v>
      </c>
      <c r="AA206" s="4803">
        <f t="shared" si="350"/>
        <v>0</v>
      </c>
      <c r="AB206" s="4791">
        <f t="shared" si="313"/>
        <v>132.82512586348153</v>
      </c>
      <c r="AC206" s="4791">
        <f t="shared" si="314"/>
        <v>96.34</v>
      </c>
      <c r="AD206" s="4791">
        <f t="shared" si="315"/>
        <v>-36.485125863481528</v>
      </c>
      <c r="AE206" s="430"/>
      <c r="AF206" s="430"/>
      <c r="AG206" s="430"/>
      <c r="AH206" s="5"/>
    </row>
    <row r="207" spans="1:34" ht="18.75" customHeight="1">
      <c r="A207" s="4700" t="s">
        <v>563</v>
      </c>
      <c r="B207" s="4803">
        <f>SUM(B62)</f>
        <v>2.1716730390878443</v>
      </c>
      <c r="C207" s="4803">
        <f t="shared" ref="C207:K207" si="351">SUM(C62)</f>
        <v>0</v>
      </c>
      <c r="D207" s="4803">
        <f t="shared" si="351"/>
        <v>0</v>
      </c>
      <c r="E207" s="4803">
        <f t="shared" si="351"/>
        <v>0</v>
      </c>
      <c r="F207" s="4803">
        <f t="shared" si="351"/>
        <v>0</v>
      </c>
      <c r="G207" s="4803">
        <f t="shared" si="351"/>
        <v>2.1716730390878443</v>
      </c>
      <c r="H207" s="4803">
        <f t="shared" si="351"/>
        <v>0</v>
      </c>
      <c r="I207" s="4803">
        <f t="shared" si="351"/>
        <v>0</v>
      </c>
      <c r="J207" s="4803">
        <f t="shared" si="351"/>
        <v>0</v>
      </c>
      <c r="K207" s="4803">
        <f t="shared" si="351"/>
        <v>0</v>
      </c>
      <c r="L207" s="4791">
        <f t="shared" si="305"/>
        <v>4.3433460781756885</v>
      </c>
      <c r="M207" s="4791">
        <f t="shared" si="306"/>
        <v>0</v>
      </c>
      <c r="N207" s="4791">
        <f t="shared" si="307"/>
        <v>-4.3433460781756885</v>
      </c>
      <c r="O207" s="4803">
        <f t="shared" ref="O207:S207" si="352">SUM(O62)</f>
        <v>2.1716730390878443</v>
      </c>
      <c r="P207" s="4803">
        <f t="shared" si="352"/>
        <v>0</v>
      </c>
      <c r="Q207" s="4803">
        <f t="shared" si="352"/>
        <v>0</v>
      </c>
      <c r="R207" s="4803">
        <f t="shared" si="352"/>
        <v>0</v>
      </c>
      <c r="S207" s="4803">
        <f t="shared" si="352"/>
        <v>0</v>
      </c>
      <c r="T207" s="4791">
        <f t="shared" si="309"/>
        <v>6.5150191172635328</v>
      </c>
      <c r="U207" s="4791">
        <f t="shared" si="310"/>
        <v>0</v>
      </c>
      <c r="V207" s="4791">
        <f t="shared" si="311"/>
        <v>-6.5150191172635328</v>
      </c>
      <c r="W207" s="4803">
        <f t="shared" ref="W207:AA207" si="353">SUM(W62)</f>
        <v>2.1716730390878443</v>
      </c>
      <c r="X207" s="4803">
        <f t="shared" si="353"/>
        <v>0</v>
      </c>
      <c r="Y207" s="4803">
        <f t="shared" si="353"/>
        <v>0</v>
      </c>
      <c r="Z207" s="4803">
        <f t="shared" si="353"/>
        <v>0</v>
      </c>
      <c r="AA207" s="4803">
        <f t="shared" si="353"/>
        <v>0</v>
      </c>
      <c r="AB207" s="4791">
        <f t="shared" si="313"/>
        <v>8.686692156351377</v>
      </c>
      <c r="AC207" s="4791">
        <f t="shared" si="314"/>
        <v>0</v>
      </c>
      <c r="AD207" s="4791">
        <f t="shared" si="315"/>
        <v>-8.686692156351377</v>
      </c>
      <c r="AE207" s="430"/>
      <c r="AF207" s="430"/>
      <c r="AG207" s="430"/>
      <c r="AH207" s="5"/>
    </row>
    <row r="208" spans="1:34" ht="18.75" customHeight="1">
      <c r="A208" s="4700" t="s">
        <v>565</v>
      </c>
      <c r="B208" s="4803">
        <f>SUM(B31+B63)</f>
        <v>7.0682061962035281</v>
      </c>
      <c r="C208" s="4803">
        <f t="shared" ref="C208:K208" si="354">SUM(C31+C63)</f>
        <v>0</v>
      </c>
      <c r="D208" s="4803">
        <f t="shared" si="354"/>
        <v>2.41</v>
      </c>
      <c r="E208" s="4803">
        <f t="shared" si="354"/>
        <v>1.1399999999999999</v>
      </c>
      <c r="F208" s="4803">
        <f t="shared" si="354"/>
        <v>3.55</v>
      </c>
      <c r="G208" s="4803">
        <f t="shared" si="354"/>
        <v>7.0682061962035281</v>
      </c>
      <c r="H208" s="4803">
        <f t="shared" si="354"/>
        <v>5.83</v>
      </c>
      <c r="I208" s="4803">
        <f t="shared" si="354"/>
        <v>2.5499999999999998</v>
      </c>
      <c r="J208" s="4803">
        <f t="shared" si="354"/>
        <v>3.04</v>
      </c>
      <c r="K208" s="4803">
        <f t="shared" si="354"/>
        <v>11.419999999999998</v>
      </c>
      <c r="L208" s="4791">
        <f t="shared" si="305"/>
        <v>14.136412392407056</v>
      </c>
      <c r="M208" s="4791">
        <f t="shared" si="306"/>
        <v>14.969999999999999</v>
      </c>
      <c r="N208" s="4791">
        <f t="shared" si="307"/>
        <v>0.8335876075929427</v>
      </c>
      <c r="O208" s="4803">
        <f t="shared" ref="O208:S208" si="355">SUM(O31+O63)</f>
        <v>7.0682061962035281</v>
      </c>
      <c r="P208" s="4803">
        <f t="shared" si="355"/>
        <v>0</v>
      </c>
      <c r="Q208" s="4803">
        <f t="shared" si="355"/>
        <v>0</v>
      </c>
      <c r="R208" s="4803">
        <f t="shared" si="355"/>
        <v>0</v>
      </c>
      <c r="S208" s="4803">
        <f t="shared" si="355"/>
        <v>0</v>
      </c>
      <c r="T208" s="4791">
        <f t="shared" si="309"/>
        <v>21.204618588610586</v>
      </c>
      <c r="U208" s="4791">
        <f t="shared" si="310"/>
        <v>14.969999999999999</v>
      </c>
      <c r="V208" s="4791">
        <f t="shared" si="311"/>
        <v>-6.2346185886105872</v>
      </c>
      <c r="W208" s="4803">
        <f t="shared" ref="W208:AA208" si="356">SUM(W31+W63)</f>
        <v>7.0682061962035281</v>
      </c>
      <c r="X208" s="4803">
        <f t="shared" si="356"/>
        <v>0</v>
      </c>
      <c r="Y208" s="4803">
        <f t="shared" si="356"/>
        <v>0</v>
      </c>
      <c r="Z208" s="4803">
        <f t="shared" si="356"/>
        <v>0</v>
      </c>
      <c r="AA208" s="4803">
        <f t="shared" si="356"/>
        <v>0</v>
      </c>
      <c r="AB208" s="4791">
        <f t="shared" si="313"/>
        <v>28.272824784814112</v>
      </c>
      <c r="AC208" s="4791">
        <f t="shared" si="314"/>
        <v>14.969999999999999</v>
      </c>
      <c r="AD208" s="4791">
        <f t="shared" si="315"/>
        <v>-13.302824784814113</v>
      </c>
      <c r="AE208" s="430"/>
      <c r="AF208" s="430"/>
      <c r="AG208" s="430"/>
      <c r="AH208" s="5"/>
    </row>
    <row r="209" spans="1:34" ht="18.75" customHeight="1">
      <c r="A209" s="4597" t="s">
        <v>609</v>
      </c>
      <c r="B209" s="4804">
        <f>SUM(B32+B64+B86+B102)</f>
        <v>171.92833005227743</v>
      </c>
      <c r="C209" s="4804">
        <f t="shared" ref="C209:K209" si="357">SUM(C32+C64+C86+C102)</f>
        <v>4.79</v>
      </c>
      <c r="D209" s="4804">
        <f t="shared" si="357"/>
        <v>0</v>
      </c>
      <c r="E209" s="4804">
        <f t="shared" si="357"/>
        <v>400</v>
      </c>
      <c r="F209" s="4804">
        <f t="shared" si="357"/>
        <v>404.79</v>
      </c>
      <c r="G209" s="4804">
        <f t="shared" si="357"/>
        <v>181.79406877702633</v>
      </c>
      <c r="H209" s="4804">
        <f t="shared" si="357"/>
        <v>192.81</v>
      </c>
      <c r="I209" s="4804">
        <f t="shared" si="357"/>
        <v>245.83</v>
      </c>
      <c r="J209" s="4804">
        <f t="shared" si="357"/>
        <v>254.02</v>
      </c>
      <c r="K209" s="4804">
        <f t="shared" si="357"/>
        <v>692.66</v>
      </c>
      <c r="L209" s="4779">
        <f t="shared" si="305"/>
        <v>353.72239882930376</v>
      </c>
      <c r="M209" s="4779">
        <f t="shared" si="306"/>
        <v>1097.45</v>
      </c>
      <c r="N209" s="4779">
        <f t="shared" si="307"/>
        <v>743.72760117069629</v>
      </c>
      <c r="O209" s="4804">
        <f t="shared" ref="O209:S209" si="358">SUM(O32+O64+O86+O102)</f>
        <v>188.68924441322449</v>
      </c>
      <c r="P209" s="4804">
        <f t="shared" si="358"/>
        <v>0</v>
      </c>
      <c r="Q209" s="4804">
        <f t="shared" si="358"/>
        <v>0</v>
      </c>
      <c r="R209" s="4804">
        <f t="shared" si="358"/>
        <v>0</v>
      </c>
      <c r="S209" s="4804">
        <f t="shared" si="358"/>
        <v>0</v>
      </c>
      <c r="T209" s="4779">
        <f t="shared" si="309"/>
        <v>542.41164324252827</v>
      </c>
      <c r="U209" s="4779">
        <f t="shared" si="310"/>
        <v>1097.45</v>
      </c>
      <c r="V209" s="4779">
        <f t="shared" si="311"/>
        <v>555.03835675747177</v>
      </c>
      <c r="W209" s="4804">
        <f t="shared" ref="W209:AA209" si="359">SUM(W32+W64+W86+W102)</f>
        <v>171.92833005227743</v>
      </c>
      <c r="X209" s="4804">
        <f t="shared" si="359"/>
        <v>0</v>
      </c>
      <c r="Y209" s="4804">
        <f t="shared" si="359"/>
        <v>0</v>
      </c>
      <c r="Z209" s="4804">
        <f t="shared" si="359"/>
        <v>0</v>
      </c>
      <c r="AA209" s="4804">
        <f t="shared" si="359"/>
        <v>0</v>
      </c>
      <c r="AB209" s="4779">
        <f t="shared" si="313"/>
        <v>714.33997329480576</v>
      </c>
      <c r="AC209" s="4779">
        <f t="shared" si="314"/>
        <v>1097.45</v>
      </c>
      <c r="AD209" s="4779">
        <f t="shared" si="315"/>
        <v>383.11002670519429</v>
      </c>
      <c r="AE209" s="430"/>
      <c r="AF209" s="430"/>
      <c r="AG209" s="430"/>
      <c r="AH209" s="5"/>
    </row>
    <row r="210" spans="1:34" ht="18.75" customHeight="1">
      <c r="A210" s="4700" t="s">
        <v>551</v>
      </c>
      <c r="B210" s="4803">
        <f>SUM(B33+B65+B103)</f>
        <v>47.550692359064527</v>
      </c>
      <c r="C210" s="4803">
        <f t="shared" ref="C210:K210" si="360">SUM(C33+C65+C103)</f>
        <v>0</v>
      </c>
      <c r="D210" s="4803">
        <f t="shared" si="360"/>
        <v>0</v>
      </c>
      <c r="E210" s="4803">
        <f t="shared" si="360"/>
        <v>0</v>
      </c>
      <c r="F210" s="4803">
        <f t="shared" si="360"/>
        <v>0</v>
      </c>
      <c r="G210" s="4803">
        <f t="shared" si="360"/>
        <v>57.416431083813436</v>
      </c>
      <c r="H210" s="4803">
        <f t="shared" si="360"/>
        <v>26.03</v>
      </c>
      <c r="I210" s="4803">
        <f t="shared" si="360"/>
        <v>13.969999999999999</v>
      </c>
      <c r="J210" s="4803">
        <f t="shared" si="360"/>
        <v>11.74</v>
      </c>
      <c r="K210" s="4803">
        <f t="shared" si="360"/>
        <v>51.74</v>
      </c>
      <c r="L210" s="4791">
        <f t="shared" si="305"/>
        <v>104.96712344287796</v>
      </c>
      <c r="M210" s="4791">
        <f t="shared" si="306"/>
        <v>51.74</v>
      </c>
      <c r="N210" s="4791">
        <f t="shared" si="307"/>
        <v>-53.227123442877961</v>
      </c>
      <c r="O210" s="4803">
        <f t="shared" ref="O210:S210" si="361">SUM(O33+O65+O103)</f>
        <v>64.311606720011568</v>
      </c>
      <c r="P210" s="4803">
        <f t="shared" si="361"/>
        <v>0</v>
      </c>
      <c r="Q210" s="4803">
        <f t="shared" si="361"/>
        <v>0</v>
      </c>
      <c r="R210" s="4803">
        <f t="shared" si="361"/>
        <v>0</v>
      </c>
      <c r="S210" s="4803">
        <f t="shared" si="361"/>
        <v>0</v>
      </c>
      <c r="T210" s="4791">
        <f t="shared" si="309"/>
        <v>169.27873016288953</v>
      </c>
      <c r="U210" s="4791">
        <f t="shared" si="310"/>
        <v>51.74</v>
      </c>
      <c r="V210" s="4791">
        <f t="shared" si="311"/>
        <v>-117.53873016288952</v>
      </c>
      <c r="W210" s="4803">
        <f t="shared" ref="W210:AA210" si="362">SUM(W33+W65+W103)</f>
        <v>47.550692359064527</v>
      </c>
      <c r="X210" s="4803">
        <f t="shared" si="362"/>
        <v>0</v>
      </c>
      <c r="Y210" s="4803">
        <f t="shared" si="362"/>
        <v>0</v>
      </c>
      <c r="Z210" s="4803">
        <f t="shared" si="362"/>
        <v>0</v>
      </c>
      <c r="AA210" s="4803">
        <f t="shared" si="362"/>
        <v>0</v>
      </c>
      <c r="AB210" s="4791">
        <f t="shared" si="313"/>
        <v>216.82942252195406</v>
      </c>
      <c r="AC210" s="4791">
        <f t="shared" si="314"/>
        <v>51.74</v>
      </c>
      <c r="AD210" s="4791">
        <f t="shared" si="315"/>
        <v>-165.08942252195405</v>
      </c>
      <c r="AE210" s="430"/>
      <c r="AF210" s="430"/>
      <c r="AG210" s="430"/>
      <c r="AH210" s="5"/>
    </row>
    <row r="211" spans="1:34" ht="18.75" customHeight="1">
      <c r="A211" s="4700" t="s">
        <v>643</v>
      </c>
      <c r="B211" s="4803">
        <f>SUM(B66)</f>
        <v>110.16305052827428</v>
      </c>
      <c r="C211" s="4803">
        <f t="shared" ref="C211:K212" si="363">SUM(C66)</f>
        <v>0</v>
      </c>
      <c r="D211" s="4803">
        <f t="shared" si="363"/>
        <v>0</v>
      </c>
      <c r="E211" s="4803">
        <f t="shared" si="363"/>
        <v>400</v>
      </c>
      <c r="F211" s="4803">
        <f t="shared" si="363"/>
        <v>400</v>
      </c>
      <c r="G211" s="4803">
        <f t="shared" si="363"/>
        <v>110.16305052827428</v>
      </c>
      <c r="H211" s="4803">
        <f t="shared" si="363"/>
        <v>166.78</v>
      </c>
      <c r="I211" s="4803">
        <f t="shared" si="363"/>
        <v>231.86</v>
      </c>
      <c r="J211" s="4803">
        <f t="shared" si="363"/>
        <v>242.28</v>
      </c>
      <c r="K211" s="4803">
        <f t="shared" si="363"/>
        <v>640.91999999999996</v>
      </c>
      <c r="L211" s="4791">
        <f t="shared" si="305"/>
        <v>220.32610105654857</v>
      </c>
      <c r="M211" s="4791">
        <f t="shared" si="306"/>
        <v>1040.92</v>
      </c>
      <c r="N211" s="4791">
        <f t="shared" si="307"/>
        <v>820.59389894345145</v>
      </c>
      <c r="O211" s="4803">
        <f t="shared" ref="O211:S212" si="364">SUM(O66)</f>
        <v>110.16305052827428</v>
      </c>
      <c r="P211" s="4803">
        <f t="shared" si="364"/>
        <v>0</v>
      </c>
      <c r="Q211" s="4803">
        <f t="shared" si="364"/>
        <v>0</v>
      </c>
      <c r="R211" s="4803">
        <f t="shared" si="364"/>
        <v>0</v>
      </c>
      <c r="S211" s="4803">
        <f t="shared" si="364"/>
        <v>0</v>
      </c>
      <c r="T211" s="4791">
        <f t="shared" si="309"/>
        <v>330.48915158482282</v>
      </c>
      <c r="U211" s="4791">
        <f t="shared" si="310"/>
        <v>1040.92</v>
      </c>
      <c r="V211" s="4791">
        <f t="shared" si="311"/>
        <v>710.43084841517725</v>
      </c>
      <c r="W211" s="4803">
        <f t="shared" ref="W211:AA212" si="365">SUM(W66)</f>
        <v>110.16305052827428</v>
      </c>
      <c r="X211" s="4803">
        <f t="shared" si="365"/>
        <v>0</v>
      </c>
      <c r="Y211" s="4803">
        <f t="shared" si="365"/>
        <v>0</v>
      </c>
      <c r="Z211" s="4803">
        <f t="shared" si="365"/>
        <v>0</v>
      </c>
      <c r="AA211" s="4803">
        <f t="shared" si="365"/>
        <v>0</v>
      </c>
      <c r="AB211" s="4791">
        <f t="shared" si="313"/>
        <v>440.65220211309713</v>
      </c>
      <c r="AC211" s="4791">
        <f t="shared" si="314"/>
        <v>1040.92</v>
      </c>
      <c r="AD211" s="4791">
        <f t="shared" si="315"/>
        <v>600.26779788690294</v>
      </c>
      <c r="AE211" s="430"/>
      <c r="AF211" s="430"/>
      <c r="AG211" s="430"/>
      <c r="AH211" s="5"/>
    </row>
    <row r="212" spans="1:34" ht="18.75" customHeight="1">
      <c r="A212" s="4700" t="s">
        <v>559</v>
      </c>
      <c r="B212" s="4803">
        <f>SUM(B67)</f>
        <v>14.214587164938617</v>
      </c>
      <c r="C212" s="4803">
        <f t="shared" si="363"/>
        <v>4.79</v>
      </c>
      <c r="D212" s="4803">
        <f t="shared" si="363"/>
        <v>0</v>
      </c>
      <c r="E212" s="4803">
        <f t="shared" si="363"/>
        <v>0</v>
      </c>
      <c r="F212" s="4803">
        <f t="shared" si="363"/>
        <v>4.79</v>
      </c>
      <c r="G212" s="4803">
        <f t="shared" si="363"/>
        <v>14.214587164938617</v>
      </c>
      <c r="H212" s="4803">
        <f t="shared" si="363"/>
        <v>0</v>
      </c>
      <c r="I212" s="4803">
        <f t="shared" si="363"/>
        <v>0</v>
      </c>
      <c r="J212" s="4803">
        <f t="shared" si="363"/>
        <v>0</v>
      </c>
      <c r="K212" s="4803">
        <f t="shared" si="363"/>
        <v>0</v>
      </c>
      <c r="L212" s="4791">
        <f t="shared" si="305"/>
        <v>28.429174329877235</v>
      </c>
      <c r="M212" s="4791">
        <f t="shared" si="306"/>
        <v>4.79</v>
      </c>
      <c r="N212" s="4791">
        <f t="shared" si="307"/>
        <v>-23.639174329877235</v>
      </c>
      <c r="O212" s="4803">
        <f t="shared" si="364"/>
        <v>14.214587164938617</v>
      </c>
      <c r="P212" s="4803">
        <f t="shared" si="364"/>
        <v>0</v>
      </c>
      <c r="Q212" s="4803">
        <f t="shared" si="364"/>
        <v>0</v>
      </c>
      <c r="R212" s="4803">
        <f t="shared" si="364"/>
        <v>0</v>
      </c>
      <c r="S212" s="4803">
        <f t="shared" si="364"/>
        <v>0</v>
      </c>
      <c r="T212" s="4791">
        <f t="shared" si="309"/>
        <v>42.643761494815848</v>
      </c>
      <c r="U212" s="4791">
        <f t="shared" si="310"/>
        <v>4.79</v>
      </c>
      <c r="V212" s="4791">
        <f t="shared" si="311"/>
        <v>-37.853761494815849</v>
      </c>
      <c r="W212" s="4803">
        <f t="shared" si="365"/>
        <v>14.214587164938617</v>
      </c>
      <c r="X212" s="4803">
        <f t="shared" si="365"/>
        <v>0</v>
      </c>
      <c r="Y212" s="4803">
        <f t="shared" si="365"/>
        <v>0</v>
      </c>
      <c r="Z212" s="4803">
        <f t="shared" si="365"/>
        <v>0</v>
      </c>
      <c r="AA212" s="4803">
        <f t="shared" si="365"/>
        <v>0</v>
      </c>
      <c r="AB212" s="4791">
        <f t="shared" si="313"/>
        <v>56.858348659754469</v>
      </c>
      <c r="AC212" s="4791">
        <f t="shared" si="314"/>
        <v>4.79</v>
      </c>
      <c r="AD212" s="4791">
        <f t="shared" si="315"/>
        <v>-52.06834865975447</v>
      </c>
      <c r="AE212" s="430"/>
      <c r="AF212" s="430"/>
      <c r="AG212" s="430"/>
      <c r="AH212" s="5"/>
    </row>
    <row r="213" spans="1:34" ht="18.75" customHeight="1">
      <c r="A213" s="4700" t="s">
        <v>613</v>
      </c>
      <c r="B213" s="4803">
        <f>SUM(B68+B87+B104)</f>
        <v>0</v>
      </c>
      <c r="C213" s="4803">
        <f t="shared" ref="C213:K213" si="366">SUM(C68+C87+C104)</f>
        <v>0</v>
      </c>
      <c r="D213" s="4803">
        <f t="shared" si="366"/>
        <v>0</v>
      </c>
      <c r="E213" s="4803">
        <f t="shared" si="366"/>
        <v>0</v>
      </c>
      <c r="F213" s="4803">
        <f t="shared" si="366"/>
        <v>0</v>
      </c>
      <c r="G213" s="4803">
        <f t="shared" si="366"/>
        <v>0</v>
      </c>
      <c r="H213" s="4803">
        <f t="shared" si="366"/>
        <v>0</v>
      </c>
      <c r="I213" s="4803">
        <f t="shared" si="366"/>
        <v>0</v>
      </c>
      <c r="J213" s="4803">
        <f t="shared" si="366"/>
        <v>0</v>
      </c>
      <c r="K213" s="4803">
        <f t="shared" si="366"/>
        <v>0</v>
      </c>
      <c r="L213" s="4791">
        <f t="shared" si="305"/>
        <v>0</v>
      </c>
      <c r="M213" s="4791">
        <f t="shared" si="306"/>
        <v>0</v>
      </c>
      <c r="N213" s="4791">
        <f t="shared" si="307"/>
        <v>0</v>
      </c>
      <c r="O213" s="4803">
        <f t="shared" ref="O213:S213" si="367">SUM(O68+O87+O104)</f>
        <v>0</v>
      </c>
      <c r="P213" s="4803">
        <f t="shared" si="367"/>
        <v>0</v>
      </c>
      <c r="Q213" s="4803">
        <f t="shared" si="367"/>
        <v>0</v>
      </c>
      <c r="R213" s="4803">
        <f t="shared" si="367"/>
        <v>0</v>
      </c>
      <c r="S213" s="4803">
        <f t="shared" si="367"/>
        <v>0</v>
      </c>
      <c r="T213" s="4791">
        <f t="shared" si="309"/>
        <v>0</v>
      </c>
      <c r="U213" s="4791">
        <f t="shared" si="310"/>
        <v>0</v>
      </c>
      <c r="V213" s="4791">
        <f t="shared" si="311"/>
        <v>0</v>
      </c>
      <c r="W213" s="4803">
        <f t="shared" ref="W213:AA213" si="368">SUM(W68+W87+W104)</f>
        <v>0</v>
      </c>
      <c r="X213" s="4803">
        <f t="shared" si="368"/>
        <v>0</v>
      </c>
      <c r="Y213" s="4803">
        <f t="shared" si="368"/>
        <v>0</v>
      </c>
      <c r="Z213" s="4803">
        <f t="shared" si="368"/>
        <v>0</v>
      </c>
      <c r="AA213" s="4803">
        <f t="shared" si="368"/>
        <v>0</v>
      </c>
      <c r="AB213" s="4791">
        <f t="shared" si="313"/>
        <v>0</v>
      </c>
      <c r="AC213" s="4791">
        <f t="shared" si="314"/>
        <v>0</v>
      </c>
      <c r="AD213" s="4791">
        <f t="shared" si="315"/>
        <v>0</v>
      </c>
      <c r="AE213" s="430"/>
      <c r="AF213" s="430"/>
      <c r="AG213" s="430"/>
      <c r="AH213" s="5"/>
    </row>
    <row r="214" spans="1:34" ht="18.75" customHeight="1">
      <c r="A214" s="4805" t="s">
        <v>293</v>
      </c>
      <c r="B214" s="4804">
        <f>SUM(B185:B204)+B209</f>
        <v>2952.0321731119852</v>
      </c>
      <c r="C214" s="4804">
        <f t="shared" ref="C214:K214" si="369">SUM(C185:C204)+C209</f>
        <v>923.84999999999991</v>
      </c>
      <c r="D214" s="4804">
        <f t="shared" si="369"/>
        <v>846.55</v>
      </c>
      <c r="E214" s="4804">
        <f t="shared" si="369"/>
        <v>1394.0500000000002</v>
      </c>
      <c r="F214" s="4804">
        <f t="shared" si="369"/>
        <v>3164.4500000000003</v>
      </c>
      <c r="G214" s="4804">
        <f t="shared" si="369"/>
        <v>2843.6185288169781</v>
      </c>
      <c r="H214" s="4804">
        <f t="shared" si="369"/>
        <v>1098.9100000000001</v>
      </c>
      <c r="I214" s="4804">
        <f t="shared" si="369"/>
        <v>1231.53</v>
      </c>
      <c r="J214" s="4804">
        <f t="shared" si="369"/>
        <v>1148.3600000000004</v>
      </c>
      <c r="K214" s="4804">
        <f t="shared" si="369"/>
        <v>3478.8</v>
      </c>
      <c r="L214" s="4779">
        <f t="shared" si="305"/>
        <v>5795.6507019289638</v>
      </c>
      <c r="M214" s="4779">
        <f t="shared" si="306"/>
        <v>6643.25</v>
      </c>
      <c r="N214" s="4779">
        <f t="shared" si="307"/>
        <v>847.59929807103617</v>
      </c>
      <c r="O214" s="4804">
        <f t="shared" ref="O214:S214" si="370">SUM(O185:O204)+O209</f>
        <v>2908.6303218627559</v>
      </c>
      <c r="P214" s="4804">
        <f t="shared" si="370"/>
        <v>0</v>
      </c>
      <c r="Q214" s="4804">
        <f t="shared" si="370"/>
        <v>0</v>
      </c>
      <c r="R214" s="4804">
        <f t="shared" si="370"/>
        <v>0</v>
      </c>
      <c r="S214" s="4804">
        <f t="shared" si="370"/>
        <v>0</v>
      </c>
      <c r="T214" s="4779">
        <f t="shared" si="309"/>
        <v>8704.2810237917201</v>
      </c>
      <c r="U214" s="4779">
        <f t="shared" si="310"/>
        <v>6643.25</v>
      </c>
      <c r="V214" s="4779">
        <f t="shared" si="311"/>
        <v>-2061.0310237917201</v>
      </c>
      <c r="W214" s="4804">
        <f t="shared" ref="W214:AA214" si="371">SUM(W185:W204)+W209</f>
        <v>3019.6759573740728</v>
      </c>
      <c r="X214" s="4804">
        <f t="shared" si="371"/>
        <v>0</v>
      </c>
      <c r="Y214" s="4804">
        <f t="shared" si="371"/>
        <v>0</v>
      </c>
      <c r="Z214" s="4804">
        <f t="shared" si="371"/>
        <v>0</v>
      </c>
      <c r="AA214" s="4804">
        <f t="shared" si="371"/>
        <v>0</v>
      </c>
      <c r="AB214" s="4779">
        <f t="shared" si="313"/>
        <v>11723.956981165793</v>
      </c>
      <c r="AC214" s="4779">
        <f t="shared" si="314"/>
        <v>6643.25</v>
      </c>
      <c r="AD214" s="4779">
        <f t="shared" si="315"/>
        <v>-5080.706981165793</v>
      </c>
      <c r="AE214" s="430"/>
      <c r="AF214" s="430"/>
      <c r="AG214" s="430"/>
      <c r="AH214" s="5"/>
    </row>
    <row r="215" spans="1:34" ht="18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</row>
    <row r="216" spans="1:34" ht="18.75" customHeight="1">
      <c r="A216" s="4793" t="s">
        <v>2029</v>
      </c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</row>
    <row r="217" spans="1:34" ht="18.75" customHeight="1">
      <c r="A217" s="4793" t="s">
        <v>2031</v>
      </c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</row>
    <row r="218" spans="1:34" ht="18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</row>
    <row r="219" spans="1:34" ht="18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</row>
    <row r="220" spans="1:34" ht="18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</row>
    <row r="221" spans="1:34" ht="18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</row>
    <row r="222" spans="1:34" ht="18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</row>
    <row r="223" spans="1:34" ht="18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</row>
    <row r="224" spans="1:34" ht="18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</row>
    <row r="225" spans="1:34" ht="18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</row>
    <row r="226" spans="1:34" ht="18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</row>
    <row r="227" spans="1:34" ht="18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</row>
    <row r="228" spans="1:34" ht="18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</row>
    <row r="229" spans="1:34" ht="18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</row>
    <row r="230" spans="1:34" ht="18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</row>
    <row r="231" spans="1:34" ht="18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</row>
    <row r="232" spans="1:34" ht="18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</row>
    <row r="233" spans="1:34" ht="18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</row>
    <row r="234" spans="1:34" ht="18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</row>
    <row r="235" spans="1:34" ht="18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</row>
    <row r="236" spans="1:34" ht="18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</row>
    <row r="237" spans="1:34" ht="18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</row>
    <row r="238" spans="1:34" ht="18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</row>
    <row r="239" spans="1:34" ht="18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</row>
    <row r="240" spans="1:34" ht="18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</row>
    <row r="241" spans="1:34" ht="18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</row>
    <row r="242" spans="1:34" ht="18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</row>
    <row r="243" spans="1:34" ht="18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</row>
    <row r="244" spans="1:34" ht="18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</row>
    <row r="245" spans="1:34" ht="18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</row>
    <row r="246" spans="1:34" ht="18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</row>
    <row r="247" spans="1:34" ht="18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</row>
    <row r="248" spans="1:34" ht="18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</row>
    <row r="249" spans="1:34" ht="18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</row>
    <row r="250" spans="1:34" ht="18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</row>
    <row r="251" spans="1:34" ht="18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</row>
    <row r="252" spans="1:34" ht="18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</row>
    <row r="253" spans="1:34" ht="18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</row>
    <row r="254" spans="1:34" ht="18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</row>
    <row r="255" spans="1:34" ht="18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</row>
    <row r="256" spans="1:34" ht="18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</row>
    <row r="257" spans="1:34" ht="18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</row>
    <row r="258" spans="1:34" ht="18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</row>
    <row r="259" spans="1:34" ht="18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</row>
    <row r="260" spans="1:34" ht="18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</row>
    <row r="261" spans="1:34" ht="18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</row>
    <row r="262" spans="1:34" ht="18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</row>
    <row r="263" spans="1:34" ht="18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</row>
    <row r="264" spans="1:34" ht="18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</row>
    <row r="265" spans="1:34" ht="18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</row>
    <row r="266" spans="1:34" ht="18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</row>
    <row r="267" spans="1:34" ht="18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</row>
    <row r="268" spans="1:34" ht="18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</row>
    <row r="269" spans="1:34" ht="18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</row>
    <row r="270" spans="1:34" ht="18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</row>
    <row r="271" spans="1:34" ht="18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</row>
    <row r="272" spans="1:34" ht="18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</row>
    <row r="273" spans="1:34" ht="18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</row>
    <row r="274" spans="1:34" ht="18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</row>
    <row r="275" spans="1:34" ht="18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</row>
    <row r="276" spans="1:34" ht="18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</row>
    <row r="277" spans="1:34" ht="18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</row>
    <row r="278" spans="1:34" ht="18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</row>
    <row r="279" spans="1:34" ht="18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</row>
    <row r="280" spans="1:34" ht="18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</row>
    <row r="281" spans="1:34" ht="18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</row>
    <row r="282" spans="1:34" ht="18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</row>
    <row r="283" spans="1:34" ht="18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</row>
    <row r="284" spans="1:34" ht="18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</row>
    <row r="285" spans="1:34" ht="18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</row>
    <row r="286" spans="1:34" ht="18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</row>
    <row r="287" spans="1:34" ht="18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</row>
    <row r="288" spans="1:34" ht="18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</row>
    <row r="289" spans="1:34" ht="18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</row>
    <row r="290" spans="1:34" ht="18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</row>
    <row r="291" spans="1:34" ht="18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</row>
    <row r="292" spans="1:34" ht="18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</row>
    <row r="293" spans="1:34" ht="18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</row>
    <row r="294" spans="1:34" ht="18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</row>
    <row r="295" spans="1:34" ht="18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</row>
    <row r="296" spans="1:34" ht="18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</row>
    <row r="297" spans="1:34" ht="18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</row>
    <row r="298" spans="1:34" ht="18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</row>
    <row r="299" spans="1:34" ht="18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</row>
    <row r="300" spans="1:34" ht="18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</row>
    <row r="301" spans="1:34" ht="18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</row>
    <row r="302" spans="1:34" ht="18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</row>
    <row r="303" spans="1:34" ht="18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</row>
    <row r="304" spans="1:34" ht="18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</row>
    <row r="305" spans="1:34" ht="18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</row>
    <row r="306" spans="1:34" ht="18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</row>
    <row r="307" spans="1:34" ht="18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</row>
    <row r="308" spans="1:34" ht="18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</row>
    <row r="309" spans="1:34" ht="18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</row>
    <row r="310" spans="1:34" ht="18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</row>
    <row r="311" spans="1:34" ht="18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</row>
    <row r="312" spans="1:34" ht="18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</row>
    <row r="313" spans="1:34" ht="18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</row>
    <row r="314" spans="1:34" ht="18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</row>
    <row r="315" spans="1:34" ht="18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</row>
    <row r="316" spans="1:34" ht="18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</row>
    <row r="317" spans="1:34" ht="18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</row>
    <row r="318" spans="1:34" ht="18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</row>
    <row r="319" spans="1:34" ht="18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</row>
    <row r="320" spans="1:34" ht="18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</row>
    <row r="321" spans="1:34" ht="18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</row>
    <row r="322" spans="1:34" ht="18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</row>
    <row r="323" spans="1:34" ht="18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</row>
    <row r="324" spans="1:34" ht="18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</row>
    <row r="325" spans="1:34" ht="18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</row>
    <row r="326" spans="1:34" ht="18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</row>
    <row r="327" spans="1:34" ht="18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</row>
    <row r="328" spans="1:34" ht="18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</row>
    <row r="329" spans="1:34" ht="18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</row>
    <row r="330" spans="1:34" ht="18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</row>
    <row r="331" spans="1:34" ht="18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</row>
    <row r="332" spans="1:34" ht="18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</row>
    <row r="333" spans="1:34" ht="18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</row>
    <row r="334" spans="1:34" ht="18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</row>
    <row r="335" spans="1:34" ht="18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</row>
    <row r="336" spans="1:34" ht="18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</row>
    <row r="337" spans="1:34" ht="18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</row>
    <row r="338" spans="1:34" ht="18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</row>
    <row r="339" spans="1:34" ht="18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</row>
    <row r="340" spans="1:34" ht="18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</row>
    <row r="341" spans="1:34" ht="18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</row>
    <row r="342" spans="1:34" ht="18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</row>
    <row r="343" spans="1:34" ht="18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</row>
    <row r="344" spans="1:34" ht="18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</row>
    <row r="345" spans="1:34" ht="18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</row>
    <row r="346" spans="1:34" ht="18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</row>
    <row r="347" spans="1:34" ht="18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</row>
    <row r="348" spans="1:34" ht="18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</row>
    <row r="349" spans="1:34" ht="18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</row>
    <row r="350" spans="1:34" ht="18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</row>
    <row r="351" spans="1:34" ht="18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</row>
    <row r="352" spans="1:34" ht="18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</row>
    <row r="353" spans="1:34" ht="18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</row>
    <row r="354" spans="1:34" ht="18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</row>
    <row r="355" spans="1:34" ht="18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</row>
    <row r="356" spans="1:34" ht="18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</row>
    <row r="357" spans="1:34" ht="18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</row>
    <row r="358" spans="1:34" ht="18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</row>
    <row r="359" spans="1:34" ht="18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</row>
    <row r="360" spans="1:34" ht="18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</row>
    <row r="361" spans="1:34" ht="18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</row>
    <row r="362" spans="1:34" ht="18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</row>
    <row r="363" spans="1:34" ht="18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</row>
    <row r="364" spans="1:34" ht="18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</row>
    <row r="365" spans="1:34" ht="18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</row>
    <row r="366" spans="1:34" ht="18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</row>
    <row r="367" spans="1:34" ht="18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</row>
    <row r="368" spans="1:34" ht="18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</row>
    <row r="369" spans="1:34" ht="18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</row>
    <row r="370" spans="1:34" ht="18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</row>
    <row r="371" spans="1:34" ht="18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</row>
    <row r="372" spans="1:34" ht="18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</row>
    <row r="373" spans="1:34" ht="18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</row>
    <row r="374" spans="1:34" ht="18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</row>
    <row r="375" spans="1:34" ht="18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</row>
    <row r="376" spans="1:34" ht="18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</row>
    <row r="377" spans="1:34" ht="18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</row>
    <row r="378" spans="1:34" ht="18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</row>
    <row r="379" spans="1:34" ht="18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</row>
    <row r="380" spans="1:34" ht="18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</row>
    <row r="381" spans="1:34" ht="18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</row>
    <row r="382" spans="1:34" ht="18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</row>
    <row r="383" spans="1:34" ht="18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</row>
    <row r="384" spans="1:34" ht="18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</row>
    <row r="385" spans="1:34" ht="18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</row>
    <row r="386" spans="1:34" ht="18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</row>
    <row r="387" spans="1:34" ht="18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</row>
    <row r="388" spans="1:34" ht="18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</row>
    <row r="389" spans="1:34" ht="18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</row>
    <row r="390" spans="1:34" ht="18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</row>
    <row r="391" spans="1:34" ht="18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</row>
    <row r="392" spans="1:34" ht="18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</row>
    <row r="393" spans="1:34" ht="18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</row>
    <row r="394" spans="1:34" ht="18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</row>
    <row r="395" spans="1:34" ht="18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</row>
    <row r="396" spans="1:34" ht="18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</row>
    <row r="397" spans="1:34" ht="18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</row>
    <row r="398" spans="1:34" ht="18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</row>
    <row r="399" spans="1:34" ht="18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</row>
    <row r="400" spans="1:34" ht="18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</row>
    <row r="401" spans="1:34" ht="18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</row>
    <row r="402" spans="1:34" ht="18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</row>
    <row r="403" spans="1:34" ht="18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</row>
    <row r="404" spans="1:34" ht="18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</row>
    <row r="405" spans="1:34" ht="18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</row>
    <row r="406" spans="1:34" ht="18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</row>
    <row r="407" spans="1:34" ht="18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</row>
    <row r="408" spans="1:34" ht="18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</row>
    <row r="409" spans="1:34" ht="18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</row>
    <row r="410" spans="1:34" ht="18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</row>
    <row r="411" spans="1:34" ht="18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</row>
    <row r="412" spans="1:34" ht="18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</row>
    <row r="413" spans="1:34" ht="18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</row>
    <row r="414" spans="1:34" ht="18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</row>
    <row r="415" spans="1:34" ht="18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</row>
    <row r="416" spans="1:34" ht="18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</row>
    <row r="417" spans="1:34" ht="18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</row>
    <row r="418" spans="1:34" ht="18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</row>
    <row r="419" spans="1:34" ht="18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</row>
    <row r="420" spans="1:34" ht="18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</row>
    <row r="421" spans="1:34" ht="18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</row>
    <row r="422" spans="1:34" ht="18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</row>
    <row r="423" spans="1:34" ht="18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</row>
    <row r="424" spans="1:34" ht="18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</row>
    <row r="425" spans="1:34" ht="18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</row>
    <row r="426" spans="1:34" ht="18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</row>
    <row r="427" spans="1:34" ht="18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</row>
    <row r="428" spans="1:34" ht="18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</row>
    <row r="429" spans="1:34" ht="18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</row>
    <row r="430" spans="1:34" ht="18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</row>
    <row r="431" spans="1:34" ht="18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</row>
    <row r="432" spans="1:34" ht="18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</row>
    <row r="433" spans="1:34" ht="18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</row>
    <row r="434" spans="1:34" ht="18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</row>
    <row r="435" spans="1:34" ht="18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</row>
    <row r="436" spans="1:34" ht="18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</row>
    <row r="437" spans="1:34" ht="18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</row>
    <row r="438" spans="1:34" ht="18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</row>
    <row r="439" spans="1:34" ht="18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</row>
    <row r="440" spans="1:34" ht="18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</row>
    <row r="441" spans="1:34" ht="18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</row>
    <row r="442" spans="1:34" ht="18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</row>
    <row r="443" spans="1:34" ht="18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</row>
    <row r="444" spans="1:34" ht="18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</row>
    <row r="445" spans="1:34" ht="18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</row>
    <row r="446" spans="1:34" ht="18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</row>
    <row r="447" spans="1:34" ht="18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</row>
    <row r="448" spans="1:34" ht="18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</row>
    <row r="449" spans="1:34" ht="18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</row>
    <row r="450" spans="1:34" ht="18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</row>
    <row r="451" spans="1:34" ht="18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</row>
    <row r="452" spans="1:34" ht="18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</row>
    <row r="453" spans="1:34" ht="18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</row>
    <row r="454" spans="1:34" ht="18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</row>
    <row r="455" spans="1:34" ht="18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</row>
    <row r="456" spans="1:34" ht="18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</row>
    <row r="457" spans="1:34" ht="18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</row>
    <row r="458" spans="1:34" ht="18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</row>
    <row r="459" spans="1:34" ht="18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</row>
    <row r="460" spans="1:34" ht="18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</row>
    <row r="461" spans="1:34" ht="18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</row>
    <row r="462" spans="1:34" ht="18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</row>
    <row r="463" spans="1:34" ht="18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</row>
    <row r="464" spans="1:34" ht="18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</row>
    <row r="465" spans="1:34" ht="18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</row>
    <row r="466" spans="1:34" ht="18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</row>
    <row r="467" spans="1:34" ht="18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</row>
    <row r="468" spans="1:34" ht="18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</row>
    <row r="469" spans="1:34" ht="18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</row>
    <row r="470" spans="1:34" ht="18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</row>
    <row r="471" spans="1:34" ht="18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</row>
    <row r="472" spans="1:34" ht="18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</row>
    <row r="473" spans="1:34" ht="18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</row>
    <row r="474" spans="1:34" ht="18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</row>
    <row r="475" spans="1:34" ht="18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</row>
    <row r="476" spans="1:34" ht="18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</row>
    <row r="477" spans="1:34" ht="18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</row>
    <row r="478" spans="1:34" ht="18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</row>
    <row r="479" spans="1:34" ht="18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</row>
    <row r="480" spans="1:34" ht="18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</row>
    <row r="481" spans="1:34" ht="18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</row>
    <row r="482" spans="1:34" ht="18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</row>
    <row r="483" spans="1:34" ht="18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</row>
    <row r="484" spans="1:34" ht="18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</row>
    <row r="485" spans="1:34" ht="18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</row>
    <row r="486" spans="1:34" ht="18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</row>
    <row r="487" spans="1:34" ht="18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</row>
    <row r="488" spans="1:34" ht="18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</row>
    <row r="489" spans="1:34" ht="18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</row>
    <row r="490" spans="1:34" ht="18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</row>
    <row r="491" spans="1:34" ht="18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</row>
    <row r="492" spans="1:34" ht="18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</row>
    <row r="493" spans="1:34" ht="18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</row>
    <row r="494" spans="1:34" ht="18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</row>
    <row r="495" spans="1:34" ht="18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</row>
    <row r="496" spans="1:34" ht="18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</row>
    <row r="497" spans="1:34" ht="18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</row>
    <row r="498" spans="1:34" ht="18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</row>
    <row r="499" spans="1:34" ht="18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</row>
    <row r="500" spans="1:34" ht="18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</row>
    <row r="501" spans="1:34" ht="18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</row>
    <row r="502" spans="1:34" ht="18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</row>
    <row r="503" spans="1:34" ht="18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</row>
    <row r="504" spans="1:34" ht="18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</row>
    <row r="505" spans="1:34" ht="18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</row>
    <row r="506" spans="1:34" ht="18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</row>
    <row r="507" spans="1:34" ht="18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</row>
    <row r="508" spans="1:34" ht="18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</row>
    <row r="509" spans="1:34" ht="18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</row>
    <row r="510" spans="1:34" ht="18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</row>
    <row r="511" spans="1:34" ht="18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</row>
    <row r="512" spans="1:34" ht="18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</row>
    <row r="513" spans="1:34" ht="18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</row>
    <row r="514" spans="1:34" ht="18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</row>
    <row r="515" spans="1:34" ht="18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</row>
    <row r="516" spans="1:34" ht="18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</row>
    <row r="517" spans="1:34" ht="18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</row>
    <row r="518" spans="1:34" ht="18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</row>
    <row r="519" spans="1:34" ht="18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</row>
    <row r="520" spans="1:34" ht="18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</row>
    <row r="521" spans="1:34" ht="18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</row>
    <row r="522" spans="1:34" ht="18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</row>
    <row r="523" spans="1:34" ht="18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</row>
    <row r="524" spans="1:34" ht="18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</row>
    <row r="525" spans="1:34" ht="18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</row>
    <row r="526" spans="1:34" ht="18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</row>
    <row r="527" spans="1:34" ht="18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</row>
    <row r="528" spans="1:34" ht="18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</row>
    <row r="529" spans="1:34" ht="18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</row>
    <row r="530" spans="1:34" ht="18.75" customHeight="1"/>
    <row r="531" spans="1:34" ht="18.75" customHeight="1"/>
    <row r="532" spans="1:34" ht="18.75" customHeight="1"/>
    <row r="533" spans="1:34" ht="18.75" customHeight="1"/>
    <row r="534" spans="1:34" ht="18.75" customHeight="1"/>
    <row r="535" spans="1:34" ht="18.75" customHeight="1"/>
    <row r="536" spans="1:34" ht="18.75" customHeight="1"/>
    <row r="537" spans="1:34" ht="18.75" customHeight="1"/>
  </sheetData>
  <mergeCells count="40">
    <mergeCell ref="W183:AA183"/>
    <mergeCell ref="AB183:AD183"/>
    <mergeCell ref="A183:A184"/>
    <mergeCell ref="B183:F183"/>
    <mergeCell ref="G183:K183"/>
    <mergeCell ref="L183:N183"/>
    <mergeCell ref="O183:S183"/>
    <mergeCell ref="T183:V183"/>
    <mergeCell ref="W134:AA134"/>
    <mergeCell ref="AB134:AD134"/>
    <mergeCell ref="A141:A142"/>
    <mergeCell ref="B141:F141"/>
    <mergeCell ref="G141:K141"/>
    <mergeCell ref="L141:N141"/>
    <mergeCell ref="O141:S141"/>
    <mergeCell ref="T141:V141"/>
    <mergeCell ref="W141:AA141"/>
    <mergeCell ref="AB141:AD141"/>
    <mergeCell ref="A134:A135"/>
    <mergeCell ref="B134:F134"/>
    <mergeCell ref="G134:K134"/>
    <mergeCell ref="L134:N134"/>
    <mergeCell ref="O134:S134"/>
    <mergeCell ref="T134:V134"/>
    <mergeCell ref="W5:AA5"/>
    <mergeCell ref="AB5:AD5"/>
    <mergeCell ref="A13:A14"/>
    <mergeCell ref="B13:F13"/>
    <mergeCell ref="G13:K13"/>
    <mergeCell ref="L13:N13"/>
    <mergeCell ref="O13:S13"/>
    <mergeCell ref="T13:V13"/>
    <mergeCell ref="W13:AA13"/>
    <mergeCell ref="AB13:AD13"/>
    <mergeCell ref="A5:A6"/>
    <mergeCell ref="B5:F5"/>
    <mergeCell ref="G5:K5"/>
    <mergeCell ref="L5:N5"/>
    <mergeCell ref="O5:S5"/>
    <mergeCell ref="T5:V5"/>
  </mergeCells>
  <printOptions horizontalCentered="1"/>
  <pageMargins left="0.59055118110236227" right="0" top="0.78740157480314965" bottom="0.19685039370078741" header="0.51181102362204722" footer="0.51181102362204722"/>
  <pageSetup paperSize="9" scale="63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33CC"/>
    <pageSetUpPr fitToPage="1"/>
  </sheetPr>
  <dimension ref="A1:CD47"/>
  <sheetViews>
    <sheetView topLeftCell="A2" zoomScale="60" zoomScaleNormal="60" zoomScalePageLayoutView="80" workbookViewId="0">
      <selection activeCell="A3" sqref="A3:T47"/>
    </sheetView>
  </sheetViews>
  <sheetFormatPr defaultRowHeight="12.75"/>
  <cols>
    <col min="1" max="1" width="46.140625" customWidth="1"/>
    <col min="2" max="21" width="11.7109375" customWidth="1"/>
    <col min="22" max="22" width="12.85546875" customWidth="1"/>
    <col min="23" max="23" width="14.42578125" customWidth="1"/>
    <col min="24" max="24" width="11.85546875" customWidth="1"/>
    <col min="25" max="25" width="12.85546875" customWidth="1"/>
    <col min="26" max="26" width="12.28515625" customWidth="1"/>
    <col min="27" max="27" width="13.5703125" customWidth="1"/>
    <col min="28" max="28" width="11.140625" customWidth="1"/>
    <col min="29" max="29" width="12.140625" customWidth="1"/>
    <col min="30" max="31" width="11.5703125" customWidth="1"/>
    <col min="32" max="32" width="12.140625" customWidth="1"/>
    <col min="33" max="33" width="13.7109375" customWidth="1"/>
    <col min="34" max="34" width="12.5703125" customWidth="1"/>
    <col min="35" max="35" width="14.28515625" customWidth="1"/>
    <col min="36" max="36" width="13.7109375" customWidth="1"/>
    <col min="37" max="38" width="12.140625" customWidth="1"/>
    <col min="39" max="39" width="13.5703125" customWidth="1"/>
    <col min="40" max="40" width="12.140625" customWidth="1"/>
    <col min="41" max="41" width="13.140625" customWidth="1"/>
    <col min="42" max="42" width="12.42578125" customWidth="1"/>
    <col min="43" max="43" width="13.5703125" customWidth="1"/>
    <col min="44" max="44" width="12" customWidth="1"/>
    <col min="45" max="45" width="14" customWidth="1"/>
    <col min="46" max="47" width="11.5703125" customWidth="1"/>
    <col min="48" max="48" width="12" customWidth="1"/>
    <col min="49" max="49" width="13.7109375" customWidth="1"/>
    <col min="50" max="51" width="12.140625" customWidth="1"/>
    <col min="52" max="70" width="13.7109375" customWidth="1"/>
    <col min="71" max="79" width="13.7109375" hidden="1" customWidth="1"/>
    <col min="80" max="86" width="13.7109375" customWidth="1"/>
  </cols>
  <sheetData>
    <row r="1" spans="1:82" hidden="1">
      <c r="A1" s="5"/>
      <c r="B1" s="5"/>
      <c r="C1" s="5"/>
      <c r="D1" s="5"/>
      <c r="E1" s="5"/>
      <c r="F1" s="5"/>
    </row>
    <row r="2" spans="1:82" ht="27" customHeight="1" thickBot="1">
      <c r="A2" s="1396"/>
      <c r="B2" s="1396"/>
      <c r="C2" s="1396"/>
      <c r="D2" s="1396"/>
      <c r="E2" s="1396"/>
      <c r="F2" s="1396"/>
      <c r="G2" s="1396"/>
      <c r="H2" s="1396"/>
      <c r="I2" s="1396"/>
      <c r="J2" s="1396"/>
      <c r="K2" s="1396"/>
      <c r="L2" s="1396"/>
      <c r="M2" s="1396"/>
      <c r="N2" s="1396"/>
      <c r="O2" s="1396"/>
      <c r="P2" s="1396"/>
      <c r="Q2" s="1396"/>
      <c r="R2" s="1396"/>
      <c r="S2" s="1396"/>
      <c r="T2" s="1396"/>
      <c r="U2" s="1396"/>
      <c r="V2" s="1396"/>
      <c r="W2" s="1396"/>
      <c r="X2" s="1396"/>
      <c r="Y2" s="1396"/>
      <c r="Z2" s="1396"/>
      <c r="AA2" s="1396"/>
      <c r="AB2" s="1396"/>
      <c r="AC2" s="1396"/>
      <c r="AD2" s="1396"/>
      <c r="AE2" s="1396"/>
      <c r="AF2" s="1396"/>
      <c r="AG2" s="1396"/>
      <c r="AH2" s="3143"/>
      <c r="AI2" s="3143"/>
      <c r="AJ2" s="3143"/>
      <c r="AK2" s="3144"/>
      <c r="AL2" s="3144"/>
      <c r="AM2" s="3144"/>
      <c r="AN2" s="1396"/>
      <c r="AO2" s="1396"/>
      <c r="AP2" s="1396"/>
      <c r="AQ2" s="1396"/>
      <c r="AR2" s="1396"/>
      <c r="AW2" s="1399"/>
      <c r="AX2" s="1399"/>
      <c r="AY2" s="1399"/>
      <c r="AZ2" s="1399"/>
      <c r="BA2" s="1399"/>
      <c r="BB2" s="1399"/>
      <c r="BK2" s="3145"/>
      <c r="BN2" s="3145"/>
      <c r="BO2" s="3147" t="s">
        <v>1762</v>
      </c>
      <c r="BP2" s="3148"/>
      <c r="BQ2" s="3146"/>
      <c r="BR2" s="3146" t="e">
        <f>SUM((#REF!/2)/(1+(107%*100-100)/2/100))</f>
        <v>#REF!</v>
      </c>
      <c r="BS2" s="3146"/>
      <c r="BT2" s="3146"/>
      <c r="BU2" s="3146"/>
      <c r="BV2" s="3146"/>
      <c r="BW2" s="3146"/>
      <c r="BX2" s="3146"/>
      <c r="BY2" s="3146"/>
      <c r="BZ2" s="3146"/>
      <c r="CA2" s="3146"/>
      <c r="CB2" s="3149" t="e">
        <f>SUM(BR2/(#REF!/2))</f>
        <v>#REF!</v>
      </c>
    </row>
    <row r="3" spans="1:82" ht="19.5" thickBot="1">
      <c r="A3" s="5550" t="s">
        <v>887</v>
      </c>
      <c r="B3" s="5551"/>
      <c r="C3" s="5551"/>
      <c r="D3" s="5551"/>
      <c r="E3" s="5551"/>
      <c r="F3" s="5551"/>
      <c r="G3" s="5551"/>
      <c r="H3" s="5551"/>
      <c r="I3" s="5551"/>
      <c r="J3" s="5551"/>
      <c r="K3" s="5551"/>
      <c r="L3" s="5551"/>
      <c r="M3" s="5551"/>
      <c r="N3" s="5551"/>
      <c r="O3" s="5551"/>
      <c r="P3" s="5551"/>
      <c r="Q3" s="5551"/>
      <c r="R3" s="5551"/>
      <c r="S3" s="5551"/>
      <c r="T3" s="5551"/>
      <c r="U3" s="5635" t="s">
        <v>1586</v>
      </c>
      <c r="AH3" s="375"/>
      <c r="AI3" s="375"/>
      <c r="AJ3" s="375"/>
      <c r="AK3" s="375"/>
      <c r="AL3" s="375"/>
      <c r="AM3" s="375"/>
      <c r="AW3" s="1399"/>
      <c r="AX3" s="1399"/>
      <c r="AY3" s="1399"/>
      <c r="AZ3" s="1399"/>
      <c r="BA3" s="1399"/>
      <c r="BB3" s="1399"/>
      <c r="BC3" s="1399"/>
      <c r="BD3" s="1399"/>
      <c r="BE3" s="1399"/>
      <c r="BF3" s="1399"/>
      <c r="BG3" s="1399"/>
      <c r="BH3" s="1399"/>
      <c r="BI3" s="1399"/>
      <c r="BJ3" s="1399"/>
      <c r="BK3" s="1399"/>
      <c r="BL3" s="1399"/>
      <c r="BM3" s="1399"/>
      <c r="BN3" s="1399"/>
      <c r="BO3" s="1399"/>
      <c r="BP3" s="1399"/>
      <c r="BQ3" s="1399"/>
      <c r="BR3" s="1399"/>
      <c r="BS3" s="1399"/>
      <c r="BT3" s="1399"/>
      <c r="BU3" s="1399"/>
      <c r="BV3" s="1399"/>
      <c r="BW3" s="1399"/>
      <c r="BX3" s="1399"/>
      <c r="BY3" s="1399"/>
      <c r="BZ3" s="1399"/>
      <c r="CA3" s="1399"/>
      <c r="CB3" s="1399"/>
      <c r="CC3" s="1399"/>
      <c r="CD3" s="1399"/>
    </row>
    <row r="4" spans="1:82" ht="18.75" customHeight="1">
      <c r="A4" s="5553" t="s">
        <v>1561</v>
      </c>
      <c r="B4" s="5559" t="s">
        <v>1964</v>
      </c>
      <c r="C4" s="5561" t="s">
        <v>1560</v>
      </c>
      <c r="D4" s="5562"/>
      <c r="E4" s="5562"/>
      <c r="F4" s="5562"/>
      <c r="G4" s="5562"/>
      <c r="H4" s="5562"/>
      <c r="I4" s="5562"/>
      <c r="J4" s="5562"/>
      <c r="K4" s="5562"/>
      <c r="L4" s="5562"/>
      <c r="M4" s="5562"/>
      <c r="N4" s="5562"/>
      <c r="O4" s="5562"/>
      <c r="P4" s="5562"/>
      <c r="Q4" s="5562"/>
      <c r="R4" s="5562"/>
      <c r="S4" s="5562"/>
      <c r="T4" s="5562"/>
      <c r="U4" s="5636"/>
      <c r="AH4" s="375"/>
      <c r="AI4" s="375"/>
      <c r="AJ4" s="375"/>
      <c r="AK4" s="375"/>
      <c r="AL4" s="375"/>
      <c r="AM4" s="375"/>
    </row>
    <row r="5" spans="1:82" ht="21" thickBot="1">
      <c r="A5" s="5556"/>
      <c r="B5" s="5560"/>
      <c r="C5" s="3027" t="s">
        <v>586</v>
      </c>
      <c r="D5" s="3027" t="s">
        <v>587</v>
      </c>
      <c r="E5" s="3028" t="s">
        <v>588</v>
      </c>
      <c r="F5" s="3029" t="s">
        <v>600</v>
      </c>
      <c r="G5" s="3027" t="s">
        <v>1562</v>
      </c>
      <c r="H5" s="3027" t="s">
        <v>590</v>
      </c>
      <c r="I5" s="3028" t="s">
        <v>591</v>
      </c>
      <c r="J5" s="3029" t="s">
        <v>599</v>
      </c>
      <c r="K5" s="3029" t="s">
        <v>598</v>
      </c>
      <c r="L5" s="3028" t="s">
        <v>592</v>
      </c>
      <c r="M5" s="3028" t="s">
        <v>593</v>
      </c>
      <c r="N5" s="3027" t="s">
        <v>594</v>
      </c>
      <c r="O5" s="3029" t="s">
        <v>225</v>
      </c>
      <c r="P5" s="3029" t="s">
        <v>229</v>
      </c>
      <c r="Q5" s="3028" t="s">
        <v>595</v>
      </c>
      <c r="R5" s="3028" t="s">
        <v>596</v>
      </c>
      <c r="S5" s="3028" t="s">
        <v>597</v>
      </c>
      <c r="T5" s="4580" t="s">
        <v>135</v>
      </c>
      <c r="U5" s="5636"/>
      <c r="CB5" s="2957"/>
    </row>
    <row r="6" spans="1:82" ht="19.5" thickBot="1">
      <c r="A6" s="5535" t="s">
        <v>401</v>
      </c>
      <c r="B6" s="5536"/>
      <c r="C6" s="5536"/>
      <c r="D6" s="5536"/>
      <c r="E6" s="5536"/>
      <c r="F6" s="5536"/>
      <c r="G6" s="5536"/>
      <c r="H6" s="5536"/>
      <c r="I6" s="5536"/>
      <c r="J6" s="5536"/>
      <c r="K6" s="5536"/>
      <c r="L6" s="5536"/>
      <c r="M6" s="5536"/>
      <c r="N6" s="5536"/>
      <c r="O6" s="5536"/>
      <c r="P6" s="5536"/>
      <c r="Q6" s="5536"/>
      <c r="R6" s="5536"/>
      <c r="S6" s="5536"/>
      <c r="T6" s="5536"/>
      <c r="U6" s="4589"/>
    </row>
    <row r="7" spans="1:82" ht="18.75">
      <c r="A7" s="4572" t="s">
        <v>1563</v>
      </c>
      <c r="B7" s="2442">
        <f>SUM(электр!CR48)</f>
        <v>660.458844</v>
      </c>
      <c r="C7" s="2443">
        <f>SUM(B7/12)</f>
        <v>55.038237000000002</v>
      </c>
      <c r="D7" s="2443">
        <f>SUM(C7)</f>
        <v>55.038237000000002</v>
      </c>
      <c r="E7" s="2443">
        <f>SUM(C7)</f>
        <v>55.038237000000002</v>
      </c>
      <c r="F7" s="2442">
        <f>SUM(C7:E7)</f>
        <v>165.114711</v>
      </c>
      <c r="G7" s="2443">
        <f>SUM(C7)</f>
        <v>55.038237000000002</v>
      </c>
      <c r="H7" s="2443">
        <f>SUM(C7)</f>
        <v>55.038237000000002</v>
      </c>
      <c r="I7" s="2443">
        <f>SUM(C7)</f>
        <v>55.038237000000002</v>
      </c>
      <c r="J7" s="2442">
        <f>SUM(G7:I7)</f>
        <v>165.114711</v>
      </c>
      <c r="K7" s="2442">
        <f>SUM(F7+J7)</f>
        <v>330.229422</v>
      </c>
      <c r="L7" s="2443">
        <f>SUM(C7)</f>
        <v>55.038237000000002</v>
      </c>
      <c r="M7" s="2443">
        <f>SUM(C7)</f>
        <v>55.038237000000002</v>
      </c>
      <c r="N7" s="2443">
        <f>SUM(C7)</f>
        <v>55.038237000000002</v>
      </c>
      <c r="O7" s="2442">
        <f>SUM(L7:N7)</f>
        <v>165.114711</v>
      </c>
      <c r="P7" s="2442">
        <f>SUM(K7+O7)</f>
        <v>495.344133</v>
      </c>
      <c r="Q7" s="2443">
        <f>SUM(C7)</f>
        <v>55.038237000000002</v>
      </c>
      <c r="R7" s="2443">
        <f>SUM(C7)</f>
        <v>55.038237000000002</v>
      </c>
      <c r="S7" s="2443">
        <f>SUM(C7)</f>
        <v>55.038237000000002</v>
      </c>
      <c r="T7" s="4581">
        <f>SUM(Q7:S7)</f>
        <v>165.114711</v>
      </c>
      <c r="U7" s="4590">
        <f>SUM(F7+J7+O7+T7)</f>
        <v>660.458844</v>
      </c>
    </row>
    <row r="8" spans="1:82" ht="18.75">
      <c r="A8" s="4573" t="s">
        <v>1564</v>
      </c>
      <c r="B8" s="3032">
        <f>SUM(электр!CQ48)</f>
        <v>6.0397925000000008</v>
      </c>
      <c r="C8" s="3031">
        <v>5.8355483100000001</v>
      </c>
      <c r="D8" s="3031">
        <f>SUM(C8)</f>
        <v>5.8355483100000001</v>
      </c>
      <c r="E8" s="3031">
        <f>SUM(C8)</f>
        <v>5.8355483100000001</v>
      </c>
      <c r="F8" s="3032">
        <f>SUM(C8:E8)/3</f>
        <v>5.8355483100000001</v>
      </c>
      <c r="G8" s="3031">
        <f>SUM(C8)</f>
        <v>5.8355483100000001</v>
      </c>
      <c r="H8" s="3031">
        <f>SUM(C8)</f>
        <v>5.8355483100000001</v>
      </c>
      <c r="I8" s="3031">
        <f>SUM(C8)</f>
        <v>5.8355483100000001</v>
      </c>
      <c r="J8" s="3032">
        <f>SUM(G8:I8)/3</f>
        <v>5.8355483100000001</v>
      </c>
      <c r="K8" s="3032">
        <f>SUM(C8+D8+E8+G8+H8+I8)/6</f>
        <v>5.8355483100000001</v>
      </c>
      <c r="L8" s="3031">
        <f>SUM(I8*1.07)</f>
        <v>6.2440366917000008</v>
      </c>
      <c r="M8" s="3031">
        <f>SUM(L8)</f>
        <v>6.2440366917000008</v>
      </c>
      <c r="N8" s="3031">
        <f>SUM(L8)</f>
        <v>6.2440366917000008</v>
      </c>
      <c r="O8" s="3032">
        <f>SUM(L8:N8)/3</f>
        <v>6.2440366917000008</v>
      </c>
      <c r="P8" s="3032">
        <f>SUM(C8+D8+E8+G8+H8+I8+L8+M8+N8)/9</f>
        <v>5.9717111039000015</v>
      </c>
      <c r="Q8" s="3031">
        <f>SUM(L8)</f>
        <v>6.2440366917000008</v>
      </c>
      <c r="R8" s="3031">
        <f>SUM(L8)</f>
        <v>6.2440366917000008</v>
      </c>
      <c r="S8" s="3031">
        <f>SUM(L8)</f>
        <v>6.2440366917000008</v>
      </c>
      <c r="T8" s="4582">
        <f>SUM(Q8:S8)/3</f>
        <v>6.2440366917000008</v>
      </c>
      <c r="U8" s="4591">
        <f>SUM(C8+D8+E8+G8+H8+I8+L8+M8+N8+Q8+R8+S8)/12</f>
        <v>6.0397925008500017</v>
      </c>
    </row>
    <row r="9" spans="1:82" ht="18.75">
      <c r="A9" s="4574" t="s">
        <v>1565</v>
      </c>
      <c r="B9" s="3035">
        <f>SUM(B7*B8)</f>
        <v>3989.0343725498706</v>
      </c>
      <c r="C9" s="3034">
        <f t="shared" ref="C9:Q9" si="0">SUM(C7*C8)</f>
        <v>321.17829091072952</v>
      </c>
      <c r="D9" s="3034">
        <f t="shared" si="0"/>
        <v>321.17829091072952</v>
      </c>
      <c r="E9" s="3034">
        <f t="shared" si="0"/>
        <v>321.17829091072952</v>
      </c>
      <c r="F9" s="3035">
        <f t="shared" si="0"/>
        <v>963.53487273218843</v>
      </c>
      <c r="G9" s="3034">
        <f t="shared" si="0"/>
        <v>321.17829091072952</v>
      </c>
      <c r="H9" s="3034">
        <f t="shared" si="0"/>
        <v>321.17829091072952</v>
      </c>
      <c r="I9" s="3034">
        <f t="shared" si="0"/>
        <v>321.17829091072952</v>
      </c>
      <c r="J9" s="3035">
        <f t="shared" si="0"/>
        <v>963.53487273218843</v>
      </c>
      <c r="K9" s="3035">
        <f t="shared" si="0"/>
        <v>1927.0697454643769</v>
      </c>
      <c r="L9" s="3034">
        <f t="shared" si="0"/>
        <v>343.66077127448057</v>
      </c>
      <c r="M9" s="3034">
        <f t="shared" si="0"/>
        <v>343.66077127448057</v>
      </c>
      <c r="N9" s="3034">
        <f t="shared" si="0"/>
        <v>343.66077127448057</v>
      </c>
      <c r="O9" s="3035">
        <f t="shared" si="0"/>
        <v>1030.9823138234417</v>
      </c>
      <c r="P9" s="3035">
        <f t="shared" si="0"/>
        <v>2958.0520592878192</v>
      </c>
      <c r="Q9" s="3034">
        <f t="shared" si="0"/>
        <v>343.66077127448057</v>
      </c>
      <c r="R9" s="3034">
        <f t="shared" ref="R9:T9" si="1">SUM(R7*R8)</f>
        <v>343.66077127448057</v>
      </c>
      <c r="S9" s="3034">
        <f t="shared" si="1"/>
        <v>343.66077127448057</v>
      </c>
      <c r="T9" s="4583">
        <f t="shared" si="1"/>
        <v>1030.9823138234417</v>
      </c>
      <c r="U9" s="4590">
        <f>SUM(F9+J9+O9+T9)</f>
        <v>3989.0343731112598</v>
      </c>
    </row>
    <row r="10" spans="1:82" ht="18.75">
      <c r="A10" s="4575" t="s">
        <v>1566</v>
      </c>
      <c r="B10" s="3032">
        <f>SUM(B7/B14)</f>
        <v>0.124</v>
      </c>
      <c r="C10" s="3032">
        <f>SUM(B10)</f>
        <v>0.124</v>
      </c>
      <c r="D10" s="3032">
        <f>SUM(B10)</f>
        <v>0.124</v>
      </c>
      <c r="E10" s="3032">
        <f>SUM(B10)</f>
        <v>0.124</v>
      </c>
      <c r="F10" s="3032">
        <f>SUM(B10)</f>
        <v>0.124</v>
      </c>
      <c r="G10" s="3032">
        <f>SUM(B10)</f>
        <v>0.124</v>
      </c>
      <c r="H10" s="3032">
        <f>SUM(B10)</f>
        <v>0.124</v>
      </c>
      <c r="I10" s="3032">
        <f>SUM(B10)</f>
        <v>0.124</v>
      </c>
      <c r="J10" s="3032">
        <f>SUM(B10)</f>
        <v>0.124</v>
      </c>
      <c r="K10" s="3032">
        <f>SUM(B10)</f>
        <v>0.124</v>
      </c>
      <c r="L10" s="3032">
        <f>SUM(B10)</f>
        <v>0.124</v>
      </c>
      <c r="M10" s="3032">
        <f>SUM(B10)</f>
        <v>0.124</v>
      </c>
      <c r="N10" s="3032">
        <f>SUM(B10)</f>
        <v>0.124</v>
      </c>
      <c r="O10" s="3032">
        <f>SUM(B10)</f>
        <v>0.124</v>
      </c>
      <c r="P10" s="3032">
        <f>SUM(B10)</f>
        <v>0.124</v>
      </c>
      <c r="Q10" s="3032">
        <f>SUM(B10)</f>
        <v>0.124</v>
      </c>
      <c r="R10" s="3032">
        <f>SUM(B10)</f>
        <v>0.124</v>
      </c>
      <c r="S10" s="3032">
        <f>SUM(B10)</f>
        <v>0.124</v>
      </c>
      <c r="T10" s="4582">
        <f>SUM(B10)</f>
        <v>0.124</v>
      </c>
      <c r="U10" s="4590"/>
    </row>
    <row r="11" spans="1:82" ht="18.75">
      <c r="A11" s="4575" t="s">
        <v>1563</v>
      </c>
      <c r="B11" s="3035">
        <f>SUM(B10*B14)</f>
        <v>660.458844</v>
      </c>
      <c r="C11" s="3035">
        <f t="shared" ref="C11:Q11" si="2">SUM(C10*C14)</f>
        <v>56.469231162000014</v>
      </c>
      <c r="D11" s="3035">
        <f t="shared" si="2"/>
        <v>56.139001740000005</v>
      </c>
      <c r="E11" s="3035">
        <f t="shared" si="2"/>
        <v>56.139001740000005</v>
      </c>
      <c r="F11" s="3035">
        <f t="shared" si="2"/>
        <v>168.74723464200002</v>
      </c>
      <c r="G11" s="3035">
        <f t="shared" si="2"/>
        <v>55.808772318000003</v>
      </c>
      <c r="H11" s="3035">
        <f t="shared" si="2"/>
        <v>52.836707520000012</v>
      </c>
      <c r="I11" s="3035">
        <f t="shared" si="2"/>
        <v>52.836707520000012</v>
      </c>
      <c r="J11" s="3035">
        <f t="shared" si="2"/>
        <v>161.482187358</v>
      </c>
      <c r="K11" s="3035">
        <f t="shared" si="2"/>
        <v>330.22942200000006</v>
      </c>
      <c r="L11" s="3035">
        <f t="shared" si="2"/>
        <v>52.836707520000012</v>
      </c>
      <c r="M11" s="3035">
        <f t="shared" si="2"/>
        <v>52.836707520000012</v>
      </c>
      <c r="N11" s="3035">
        <f t="shared" si="2"/>
        <v>55.808772318000003</v>
      </c>
      <c r="O11" s="3035">
        <f t="shared" si="2"/>
        <v>161.48218735800003</v>
      </c>
      <c r="P11" s="3035">
        <f t="shared" si="2"/>
        <v>491.71160935800009</v>
      </c>
      <c r="Q11" s="3035">
        <f t="shared" si="2"/>
        <v>56.139001740000005</v>
      </c>
      <c r="R11" s="3035">
        <f t="shared" ref="R11:T11" si="3">SUM(R10*R14)</f>
        <v>56.139001740000005</v>
      </c>
      <c r="S11" s="3035">
        <f t="shared" si="3"/>
        <v>56.469231162000014</v>
      </c>
      <c r="T11" s="4583">
        <f t="shared" si="3"/>
        <v>168.74723464200002</v>
      </c>
      <c r="U11" s="4590">
        <f>SUM(F11+J11+O11+T11)</f>
        <v>660.458844</v>
      </c>
    </row>
    <row r="12" spans="1:82" ht="18.75">
      <c r="A12" s="4575" t="s">
        <v>1564</v>
      </c>
      <c r="B12" s="3032">
        <f>SUM(B8)</f>
        <v>6.0397925000000008</v>
      </c>
      <c r="C12" s="3032">
        <f>SUM(C8)</f>
        <v>5.8355483100000001</v>
      </c>
      <c r="D12" s="3032">
        <f>SUM(C12)</f>
        <v>5.8355483100000001</v>
      </c>
      <c r="E12" s="3032">
        <f>SUM(C12)</f>
        <v>5.8355483100000001</v>
      </c>
      <c r="F12" s="3032">
        <f>SUM(C12:E12)/3</f>
        <v>5.8355483100000001</v>
      </c>
      <c r="G12" s="3032">
        <f>SUM(C12)</f>
        <v>5.8355483100000001</v>
      </c>
      <c r="H12" s="3032">
        <f>SUM(C12)</f>
        <v>5.8355483100000001</v>
      </c>
      <c r="I12" s="3032">
        <f>SUM(C12)</f>
        <v>5.8355483100000001</v>
      </c>
      <c r="J12" s="3032">
        <f>SUM(G12:I12)/3</f>
        <v>5.8355483100000001</v>
      </c>
      <c r="K12" s="3032">
        <f>SUM(C12+D12+E12+G12+H12+I12)/6</f>
        <v>5.8355483100000001</v>
      </c>
      <c r="L12" s="3032">
        <f>SUM(L8)</f>
        <v>6.2440366917000008</v>
      </c>
      <c r="M12" s="3032">
        <f>SUM(L12)</f>
        <v>6.2440366917000008</v>
      </c>
      <c r="N12" s="3032">
        <f>SUM(L12)</f>
        <v>6.2440366917000008</v>
      </c>
      <c r="O12" s="3032">
        <f>SUM(L12:N12)/3</f>
        <v>6.2440366917000008</v>
      </c>
      <c r="P12" s="3032">
        <f>SUM(C12+D12+E12+G12+H12+I12+L12+M12+N12)/9</f>
        <v>5.9717111039000015</v>
      </c>
      <c r="Q12" s="3032">
        <f>SUM(L12)</f>
        <v>6.2440366917000008</v>
      </c>
      <c r="R12" s="3032">
        <f>SUM(L12)</f>
        <v>6.2440366917000008</v>
      </c>
      <c r="S12" s="3032">
        <f>SUM(L12)</f>
        <v>6.2440366917000008</v>
      </c>
      <c r="T12" s="4582">
        <f>SUM(Q12:S12)/3</f>
        <v>6.2440366917000008</v>
      </c>
      <c r="U12" s="4591">
        <f>SUM(C12+D12+E12+G12+H12+I12+L12+M12+N12+Q12+R12+S12)/12</f>
        <v>6.0397925008500017</v>
      </c>
      <c r="V12" s="5582"/>
    </row>
    <row r="13" spans="1:82" ht="18.75">
      <c r="A13" s="4575" t="s">
        <v>1567</v>
      </c>
      <c r="B13" s="3035">
        <f>SUM(B11*B12)</f>
        <v>3989.0343725498706</v>
      </c>
      <c r="C13" s="3035">
        <f t="shared" ref="C13:Q13" si="4">SUM(C11*C12)</f>
        <v>329.52892647440854</v>
      </c>
      <c r="D13" s="3035">
        <f t="shared" si="4"/>
        <v>327.60185672894409</v>
      </c>
      <c r="E13" s="3035">
        <f t="shared" si="4"/>
        <v>327.60185672894409</v>
      </c>
      <c r="F13" s="3035">
        <f t="shared" si="4"/>
        <v>984.73263993229671</v>
      </c>
      <c r="G13" s="3035">
        <f t="shared" si="4"/>
        <v>325.67478698347969</v>
      </c>
      <c r="H13" s="3035">
        <f t="shared" si="4"/>
        <v>308.33115927430038</v>
      </c>
      <c r="I13" s="3035">
        <f t="shared" si="4"/>
        <v>308.33115927430038</v>
      </c>
      <c r="J13" s="3035">
        <f t="shared" si="4"/>
        <v>942.33710553208027</v>
      </c>
      <c r="K13" s="3035">
        <f t="shared" si="4"/>
        <v>1927.0697454643771</v>
      </c>
      <c r="L13" s="3035">
        <f t="shared" si="4"/>
        <v>329.91434042350141</v>
      </c>
      <c r="M13" s="3035">
        <f t="shared" si="4"/>
        <v>329.91434042350141</v>
      </c>
      <c r="N13" s="3035">
        <f t="shared" si="4"/>
        <v>348.47202207232334</v>
      </c>
      <c r="O13" s="3035">
        <f t="shared" si="4"/>
        <v>1008.3007029193262</v>
      </c>
      <c r="P13" s="3035">
        <f t="shared" si="4"/>
        <v>2936.3596775197088</v>
      </c>
      <c r="Q13" s="3035">
        <f t="shared" si="4"/>
        <v>350.53398669997023</v>
      </c>
      <c r="R13" s="3035">
        <f t="shared" ref="R13:T13" si="5">SUM(R11*R12)</f>
        <v>350.53398669997023</v>
      </c>
      <c r="S13" s="3035">
        <f t="shared" si="5"/>
        <v>352.59595132761717</v>
      </c>
      <c r="T13" s="4583">
        <f t="shared" si="5"/>
        <v>1053.6639247275575</v>
      </c>
      <c r="U13" s="4590">
        <f>SUM(C13+D13+E13+G13+H13+I13+L13+M13+N13+Q13+R13+S13)</f>
        <v>3989.0343731112607</v>
      </c>
      <c r="V13" s="5582"/>
    </row>
    <row r="14" spans="1:82" ht="18.75">
      <c r="A14" s="4575" t="s">
        <v>1568</v>
      </c>
      <c r="B14" s="3035">
        <f>SUM('Произв. прогр. Вода'!B11)</f>
        <v>5326.2809999999999</v>
      </c>
      <c r="C14" s="3035">
        <f>SUM('Произв. прогр. Вода'!E11)</f>
        <v>455.3970255000001</v>
      </c>
      <c r="D14" s="3035">
        <f>SUM('Произв. прогр. Вода'!F11)</f>
        <v>452.73388500000004</v>
      </c>
      <c r="E14" s="3035">
        <f>SUM('Произв. прогр. Вода'!G11)</f>
        <v>452.73388500000004</v>
      </c>
      <c r="F14" s="3035">
        <f>SUM(C14:E14)</f>
        <v>1360.8647955000001</v>
      </c>
      <c r="G14" s="3035">
        <f>SUM('Произв. прогр. Вода'!I11)</f>
        <v>450.07074450000005</v>
      </c>
      <c r="H14" s="3035">
        <f>SUM('Произв. прогр. Вода'!J11)</f>
        <v>426.10248000000007</v>
      </c>
      <c r="I14" s="3035">
        <f>SUM('Произв. прогр. Вода'!K11)</f>
        <v>426.10248000000007</v>
      </c>
      <c r="J14" s="3035">
        <f>SUM(G14:I14)</f>
        <v>1302.2757045000001</v>
      </c>
      <c r="K14" s="3035">
        <f>SUM(F14+J14)</f>
        <v>2663.1405000000004</v>
      </c>
      <c r="L14" s="3035">
        <f>SUM('Произв. прогр. Вода'!N11)</f>
        <v>426.10248000000007</v>
      </c>
      <c r="M14" s="3035">
        <f>SUM('Произв. прогр. Вода'!O11)</f>
        <v>426.10248000000007</v>
      </c>
      <c r="N14" s="3035">
        <f>SUM('Произв. прогр. Вода'!P11)</f>
        <v>450.07074450000005</v>
      </c>
      <c r="O14" s="3035">
        <f>SUM(L14:N14)</f>
        <v>1302.2757045000003</v>
      </c>
      <c r="P14" s="3035">
        <f>SUM(K14+O14)</f>
        <v>3965.4162045000007</v>
      </c>
      <c r="Q14" s="3035">
        <f>SUM('Произв. прогр. Вода'!S11)</f>
        <v>452.73388500000004</v>
      </c>
      <c r="R14" s="3035">
        <f>SUM('Произв. прогр. Вода'!T11)</f>
        <v>452.73388500000004</v>
      </c>
      <c r="S14" s="3035">
        <f>SUM('Произв. прогр. Вода'!U11)</f>
        <v>455.3970255000001</v>
      </c>
      <c r="T14" s="4583">
        <f>SUM(Q14:S14)</f>
        <v>1360.8647955000001</v>
      </c>
      <c r="U14" s="4590">
        <f>SUM(F14+J14+O14+T14)</f>
        <v>5326.2810000000009</v>
      </c>
    </row>
    <row r="15" spans="1:82" ht="18.75">
      <c r="A15" s="4574" t="s">
        <v>1569</v>
      </c>
      <c r="B15" s="3035">
        <f>SUM(электр!CR50)</f>
        <v>1091.3868460000001</v>
      </c>
      <c r="C15" s="3049">
        <f>SUM(B15/12)</f>
        <v>90.948903833333347</v>
      </c>
      <c r="D15" s="3049">
        <f>SUM(C15)</f>
        <v>90.948903833333347</v>
      </c>
      <c r="E15" s="3049">
        <f>SUM(C15)</f>
        <v>90.948903833333347</v>
      </c>
      <c r="F15" s="3035">
        <f>SUM(C15:E15)</f>
        <v>272.84671150000003</v>
      </c>
      <c r="G15" s="3049">
        <f>SUM(C15)</f>
        <v>90.948903833333347</v>
      </c>
      <c r="H15" s="3049">
        <f>SUM(C15)</f>
        <v>90.948903833333347</v>
      </c>
      <c r="I15" s="3049">
        <f>SUM(C15)</f>
        <v>90.948903833333347</v>
      </c>
      <c r="J15" s="3035">
        <f>SUM(G15:I15)</f>
        <v>272.84671150000003</v>
      </c>
      <c r="K15" s="3035">
        <f>SUM(F15+J15)</f>
        <v>545.69342300000005</v>
      </c>
      <c r="L15" s="3049">
        <f>SUM(C15)</f>
        <v>90.948903833333347</v>
      </c>
      <c r="M15" s="3049">
        <f>SUM(C15)</f>
        <v>90.948903833333347</v>
      </c>
      <c r="N15" s="3049">
        <f>SUM(C15)</f>
        <v>90.948903833333347</v>
      </c>
      <c r="O15" s="3035">
        <f>SUM(L15:N15)</f>
        <v>272.84671150000003</v>
      </c>
      <c r="P15" s="3035">
        <f>SUM(K15+O15)</f>
        <v>818.54013450000002</v>
      </c>
      <c r="Q15" s="3049">
        <f>SUM(C15)</f>
        <v>90.948903833333347</v>
      </c>
      <c r="R15" s="3049">
        <f>SUM(C15)</f>
        <v>90.948903833333347</v>
      </c>
      <c r="S15" s="3049">
        <f>SUM(C15)</f>
        <v>90.948903833333347</v>
      </c>
      <c r="T15" s="4583">
        <f>SUM(Q15:S15)</f>
        <v>272.84671150000003</v>
      </c>
      <c r="U15" s="4590">
        <f>SUM(F15+J15+O15+T15)</f>
        <v>1091.3868460000001</v>
      </c>
    </row>
    <row r="16" spans="1:82" ht="18.75">
      <c r="A16" s="4573" t="s">
        <v>1564</v>
      </c>
      <c r="B16" s="3032">
        <f>SUM(электр!CQ50)</f>
        <v>4.6136367000000007</v>
      </c>
      <c r="C16" s="3031">
        <v>4.4576200000000004</v>
      </c>
      <c r="D16" s="3031">
        <f>SUM(C16)</f>
        <v>4.4576200000000004</v>
      </c>
      <c r="E16" s="3031">
        <f>SUM(C16)</f>
        <v>4.4576200000000004</v>
      </c>
      <c r="F16" s="3032">
        <f>SUM(C16:E16)/3</f>
        <v>4.4576200000000004</v>
      </c>
      <c r="G16" s="3031">
        <f>SUM(C16)</f>
        <v>4.4576200000000004</v>
      </c>
      <c r="H16" s="3031">
        <f>SUM(C16)</f>
        <v>4.4576200000000004</v>
      </c>
      <c r="I16" s="3031">
        <f>SUM(C16)</f>
        <v>4.4576200000000004</v>
      </c>
      <c r="J16" s="3032">
        <f>SUM(G16:I16)/3</f>
        <v>4.4576200000000004</v>
      </c>
      <c r="K16" s="3032">
        <f>SUM(C16+D16+E16+G16+H16+I16)/6</f>
        <v>4.4576199999999995</v>
      </c>
      <c r="L16" s="3031">
        <f>SUM(I16*1.07)</f>
        <v>4.769653400000001</v>
      </c>
      <c r="M16" s="3031">
        <f>SUM(L16)</f>
        <v>4.769653400000001</v>
      </c>
      <c r="N16" s="3031">
        <f>SUM(L16)</f>
        <v>4.769653400000001</v>
      </c>
      <c r="O16" s="3032">
        <f>SUM(L16:N16)/3</f>
        <v>4.769653400000001</v>
      </c>
      <c r="P16" s="3032">
        <f>SUM(C16+D16+E16+G16+H16+I16+L16+M16+N16)/9</f>
        <v>4.5616311333333339</v>
      </c>
      <c r="Q16" s="3031">
        <f>SUM(L16)</f>
        <v>4.769653400000001</v>
      </c>
      <c r="R16" s="3031">
        <f>SUM(L16)</f>
        <v>4.769653400000001</v>
      </c>
      <c r="S16" s="3031">
        <f>SUM(L16)</f>
        <v>4.769653400000001</v>
      </c>
      <c r="T16" s="4582">
        <f>SUM(Q16:S16)/3</f>
        <v>4.769653400000001</v>
      </c>
      <c r="U16" s="4591">
        <f>SUM(C16+D16+E16+G16+H16+I16+L16+M16+N16+Q16+R16+S16)/12</f>
        <v>4.6136367000000016</v>
      </c>
    </row>
    <row r="17" spans="1:22" ht="18.75">
      <c r="A17" s="4574" t="s">
        <v>1565</v>
      </c>
      <c r="B17" s="3035">
        <f>SUM(B15*B16)</f>
        <v>5035.2624066028493</v>
      </c>
      <c r="C17" s="3034">
        <f t="shared" ref="C17:Q17" si="6">SUM(C15*C16)</f>
        <v>405.41565270554344</v>
      </c>
      <c r="D17" s="3034">
        <f t="shared" si="6"/>
        <v>405.41565270554344</v>
      </c>
      <c r="E17" s="3034">
        <f t="shared" si="6"/>
        <v>405.41565270554344</v>
      </c>
      <c r="F17" s="3035">
        <f t="shared" si="6"/>
        <v>1216.2469581166301</v>
      </c>
      <c r="G17" s="3034">
        <f t="shared" si="6"/>
        <v>405.41565270554344</v>
      </c>
      <c r="H17" s="3034">
        <f t="shared" si="6"/>
        <v>405.41565270554344</v>
      </c>
      <c r="I17" s="3034">
        <f t="shared" si="6"/>
        <v>405.41565270554344</v>
      </c>
      <c r="J17" s="3035">
        <f t="shared" si="6"/>
        <v>1216.2469581166301</v>
      </c>
      <c r="K17" s="3035">
        <f t="shared" si="6"/>
        <v>2432.4939162332598</v>
      </c>
      <c r="L17" s="3034">
        <f t="shared" si="6"/>
        <v>433.7947483949315</v>
      </c>
      <c r="M17" s="3034">
        <f t="shared" si="6"/>
        <v>433.7947483949315</v>
      </c>
      <c r="N17" s="3034">
        <f t="shared" si="6"/>
        <v>433.7947483949315</v>
      </c>
      <c r="O17" s="3035">
        <f t="shared" si="6"/>
        <v>1301.3842451847945</v>
      </c>
      <c r="P17" s="3035">
        <f t="shared" si="6"/>
        <v>3733.8781614180548</v>
      </c>
      <c r="Q17" s="3034">
        <f t="shared" si="6"/>
        <v>433.7947483949315</v>
      </c>
      <c r="R17" s="3034">
        <f t="shared" ref="R17:T17" si="7">SUM(R15*R16)</f>
        <v>433.7947483949315</v>
      </c>
      <c r="S17" s="3034">
        <f t="shared" si="7"/>
        <v>433.7947483949315</v>
      </c>
      <c r="T17" s="4583">
        <f t="shared" si="7"/>
        <v>1301.3842451847945</v>
      </c>
      <c r="U17" s="4590">
        <f>SUM(F17+J17+O17+T17)</f>
        <v>5035.2624066028493</v>
      </c>
    </row>
    <row r="18" spans="1:22" ht="18.75">
      <c r="A18" s="4575" t="s">
        <v>1570</v>
      </c>
      <c r="B18" s="3032">
        <f>SUM(B15/B22)</f>
        <v>0.24200000000000002</v>
      </c>
      <c r="C18" s="3032">
        <f>SUM(B18)</f>
        <v>0.24200000000000002</v>
      </c>
      <c r="D18" s="3032">
        <f>SUM(B18)</f>
        <v>0.24200000000000002</v>
      </c>
      <c r="E18" s="3032">
        <f>SUM(B18)</f>
        <v>0.24200000000000002</v>
      </c>
      <c r="F18" s="3032">
        <f>SUM(B18)</f>
        <v>0.24200000000000002</v>
      </c>
      <c r="G18" s="3032">
        <f>SUM(B18)</f>
        <v>0.24200000000000002</v>
      </c>
      <c r="H18" s="3032">
        <f>SUM(B18)</f>
        <v>0.24200000000000002</v>
      </c>
      <c r="I18" s="3032">
        <f>SUM(B18)</f>
        <v>0.24200000000000002</v>
      </c>
      <c r="J18" s="3032">
        <f>SUM(B18)</f>
        <v>0.24200000000000002</v>
      </c>
      <c r="K18" s="3032">
        <f>SUM(B18)</f>
        <v>0.24200000000000002</v>
      </c>
      <c r="L18" s="3032">
        <f>SUM(B18)</f>
        <v>0.24200000000000002</v>
      </c>
      <c r="M18" s="3032">
        <f>SUM(B18)</f>
        <v>0.24200000000000002</v>
      </c>
      <c r="N18" s="3032">
        <f>SUM(B18)</f>
        <v>0.24200000000000002</v>
      </c>
      <c r="O18" s="3032">
        <f>SUM(B18)</f>
        <v>0.24200000000000002</v>
      </c>
      <c r="P18" s="3032">
        <f>SUM(B18)</f>
        <v>0.24200000000000002</v>
      </c>
      <c r="Q18" s="3032">
        <f>SUM(B18)</f>
        <v>0.24200000000000002</v>
      </c>
      <c r="R18" s="3032">
        <f>SUM(B18)</f>
        <v>0.24200000000000002</v>
      </c>
      <c r="S18" s="3032">
        <f>SUM(B18)</f>
        <v>0.24200000000000002</v>
      </c>
      <c r="T18" s="4582">
        <f>SUM(B18)</f>
        <v>0.24200000000000002</v>
      </c>
      <c r="U18" s="4590"/>
    </row>
    <row r="19" spans="1:22" ht="18.75">
      <c r="A19" s="4575" t="s">
        <v>1569</v>
      </c>
      <c r="B19" s="3035">
        <f>SUM(B18*B22)</f>
        <v>1091.3868460000001</v>
      </c>
      <c r="C19" s="3035">
        <f t="shared" ref="C19:Q19" si="8">SUM(C18*C22)</f>
        <v>93.741650504333364</v>
      </c>
      <c r="D19" s="3035">
        <f t="shared" si="8"/>
        <v>93.097170503333359</v>
      </c>
      <c r="E19" s="3035">
        <f t="shared" si="8"/>
        <v>93.097170503333359</v>
      </c>
      <c r="F19" s="3035">
        <f t="shared" si="8"/>
        <v>279.93599151100005</v>
      </c>
      <c r="G19" s="3035">
        <f t="shared" si="8"/>
        <v>92.452690502333354</v>
      </c>
      <c r="H19" s="3035">
        <f t="shared" si="8"/>
        <v>86.652370493333365</v>
      </c>
      <c r="I19" s="3035">
        <f t="shared" si="8"/>
        <v>86.652370493333365</v>
      </c>
      <c r="J19" s="3035">
        <f t="shared" si="8"/>
        <v>265.75743148900011</v>
      </c>
      <c r="K19" s="3035">
        <f t="shared" si="8"/>
        <v>545.69342300000017</v>
      </c>
      <c r="L19" s="3035">
        <f t="shared" si="8"/>
        <v>86.652370493333365</v>
      </c>
      <c r="M19" s="3035">
        <f t="shared" si="8"/>
        <v>86.652370493333365</v>
      </c>
      <c r="N19" s="3035">
        <f t="shared" si="8"/>
        <v>92.452690502333354</v>
      </c>
      <c r="O19" s="3035">
        <f t="shared" si="8"/>
        <v>265.75743148900006</v>
      </c>
      <c r="P19" s="3035">
        <f t="shared" si="8"/>
        <v>811.45085448900033</v>
      </c>
      <c r="Q19" s="3035">
        <f t="shared" si="8"/>
        <v>93.097170503333359</v>
      </c>
      <c r="R19" s="3035">
        <f t="shared" ref="R19:T19" si="9">SUM(R18*R22)</f>
        <v>93.097170503333359</v>
      </c>
      <c r="S19" s="3035">
        <f t="shared" si="9"/>
        <v>93.741650504333364</v>
      </c>
      <c r="T19" s="4583">
        <f t="shared" si="9"/>
        <v>279.93599151100005</v>
      </c>
      <c r="U19" s="4590">
        <f>SUM(F19+J19+O19+T19)</f>
        <v>1091.3868460000003</v>
      </c>
    </row>
    <row r="20" spans="1:22" ht="18.75">
      <c r="A20" s="4575" t="s">
        <v>1564</v>
      </c>
      <c r="B20" s="3032">
        <f>SUM(B16)</f>
        <v>4.6136367000000007</v>
      </c>
      <c r="C20" s="3032">
        <f>SUM(C16)</f>
        <v>4.4576200000000004</v>
      </c>
      <c r="D20" s="3032">
        <f>SUM(C20)</f>
        <v>4.4576200000000004</v>
      </c>
      <c r="E20" s="3032">
        <f>SUM(C20)</f>
        <v>4.4576200000000004</v>
      </c>
      <c r="F20" s="3032">
        <f>SUM(C20:E20)/3</f>
        <v>4.4576200000000004</v>
      </c>
      <c r="G20" s="3032">
        <f>SUM(C20)</f>
        <v>4.4576200000000004</v>
      </c>
      <c r="H20" s="3032">
        <f>SUM(C20)</f>
        <v>4.4576200000000004</v>
      </c>
      <c r="I20" s="3032">
        <f>SUM(C20)</f>
        <v>4.4576200000000004</v>
      </c>
      <c r="J20" s="3032">
        <f>SUM(G20:I20)/3</f>
        <v>4.4576200000000004</v>
      </c>
      <c r="K20" s="3032">
        <f>SUM(C20+D20+E20+G20+H20+I20)/6</f>
        <v>4.4576199999999995</v>
      </c>
      <c r="L20" s="3032">
        <f>SUM(L16)</f>
        <v>4.769653400000001</v>
      </c>
      <c r="M20" s="3032">
        <f>SUM(L20)</f>
        <v>4.769653400000001</v>
      </c>
      <c r="N20" s="3032">
        <f>SUM(L20)</f>
        <v>4.769653400000001</v>
      </c>
      <c r="O20" s="3032">
        <f>SUM(L20:N20)/3</f>
        <v>4.769653400000001</v>
      </c>
      <c r="P20" s="3032">
        <f>SUM(C20+D20+E20+G20+H20+I20+L20+M20+N20)/9</f>
        <v>4.5616311333333339</v>
      </c>
      <c r="Q20" s="3032">
        <f>SUM(L20)</f>
        <v>4.769653400000001</v>
      </c>
      <c r="R20" s="3032">
        <f>SUM(L20)</f>
        <v>4.769653400000001</v>
      </c>
      <c r="S20" s="3032">
        <f>SUM(L20)</f>
        <v>4.769653400000001</v>
      </c>
      <c r="T20" s="4582">
        <f>SUM(Q20:S20)/3</f>
        <v>4.769653400000001</v>
      </c>
      <c r="U20" s="4591">
        <f>SUM(C20+D20+E20+G20+H20+I20+L20+M20+N20+Q20+R20+S20)/12</f>
        <v>4.6136367000000016</v>
      </c>
      <c r="V20" s="5582"/>
    </row>
    <row r="21" spans="1:22" ht="18.75">
      <c r="A21" s="4575" t="s">
        <v>1567</v>
      </c>
      <c r="B21" s="3035">
        <f>SUM(B19*B20)</f>
        <v>5035.2624066028493</v>
      </c>
      <c r="C21" s="3035">
        <f t="shared" ref="C21:Q21" si="10">SUM(C19*C20)</f>
        <v>417.86465612112653</v>
      </c>
      <c r="D21" s="3035">
        <f t="shared" si="10"/>
        <v>414.99180917906887</v>
      </c>
      <c r="E21" s="3035">
        <f t="shared" si="10"/>
        <v>414.99180917906887</v>
      </c>
      <c r="F21" s="3035">
        <f t="shared" si="10"/>
        <v>1247.8482744792641</v>
      </c>
      <c r="G21" s="3035">
        <f t="shared" si="10"/>
        <v>412.11896223701126</v>
      </c>
      <c r="H21" s="3035">
        <f t="shared" si="10"/>
        <v>386.26333975849269</v>
      </c>
      <c r="I21" s="3035">
        <f t="shared" si="10"/>
        <v>386.26333975849269</v>
      </c>
      <c r="J21" s="3035">
        <f t="shared" si="10"/>
        <v>1184.6456417539969</v>
      </c>
      <c r="K21" s="3035">
        <f t="shared" si="10"/>
        <v>2432.4939162332603</v>
      </c>
      <c r="L21" s="3035">
        <f t="shared" si="10"/>
        <v>413.30177354158724</v>
      </c>
      <c r="M21" s="3035">
        <f t="shared" si="10"/>
        <v>413.30177354158724</v>
      </c>
      <c r="N21" s="3035">
        <f t="shared" si="10"/>
        <v>440.96728959360206</v>
      </c>
      <c r="O21" s="3035">
        <f t="shared" si="10"/>
        <v>1267.5708366767765</v>
      </c>
      <c r="P21" s="3035">
        <f t="shared" si="10"/>
        <v>3701.5394810069606</v>
      </c>
      <c r="Q21" s="3035">
        <f t="shared" si="10"/>
        <v>444.04123582160378</v>
      </c>
      <c r="R21" s="3035">
        <f t="shared" ref="R21:T21" si="11">SUM(R19*R20)</f>
        <v>444.04123582160378</v>
      </c>
      <c r="S21" s="3035">
        <f t="shared" si="11"/>
        <v>447.11518204960544</v>
      </c>
      <c r="T21" s="4583">
        <f t="shared" si="11"/>
        <v>1335.1976536928128</v>
      </c>
      <c r="U21" s="4590">
        <f>SUM(C21+D21+E21+G21+H21+I21+L21+M21+N21+Q21+R21+S21)</f>
        <v>5035.2624066028502</v>
      </c>
      <c r="V21" s="5582"/>
    </row>
    <row r="22" spans="1:22" ht="19.5" thickBot="1">
      <c r="A22" s="4576" t="s">
        <v>1571</v>
      </c>
      <c r="B22" s="3037">
        <f>SUM('Произв. прогр. Вода'!B14)</f>
        <v>4509.8630000000003</v>
      </c>
      <c r="C22" s="3037">
        <f>SUM('Произв. прогр. Вода'!E14)</f>
        <v>387.36219216666677</v>
      </c>
      <c r="D22" s="3037">
        <f>SUM('Произв. прогр. Вода'!F14)</f>
        <v>384.69905166666672</v>
      </c>
      <c r="E22" s="3037">
        <f>SUM('Произв. прогр. Вода'!G14)</f>
        <v>384.69905166666672</v>
      </c>
      <c r="F22" s="3037">
        <f>SUM(C22:E22)</f>
        <v>1156.7602955000002</v>
      </c>
      <c r="G22" s="3037">
        <f>SUM('Произв. прогр. Вода'!I14)</f>
        <v>382.03591116666672</v>
      </c>
      <c r="H22" s="3037">
        <f>SUM('Произв. прогр. Вода'!J14)</f>
        <v>358.06764666666675</v>
      </c>
      <c r="I22" s="3037">
        <f>SUM('Произв. прогр. Вода'!K14)</f>
        <v>358.06764666666675</v>
      </c>
      <c r="J22" s="3037">
        <f>SUM(G22:I22)</f>
        <v>1098.1712045000004</v>
      </c>
      <c r="K22" s="3037">
        <f>SUM(F22+J22)</f>
        <v>2254.9315000000006</v>
      </c>
      <c r="L22" s="3037">
        <f>SUM('Произв. прогр. Вода'!N14)</f>
        <v>358.06764666666675</v>
      </c>
      <c r="M22" s="3037">
        <f>SUM('Произв. прогр. Вода'!O14)</f>
        <v>358.06764666666675</v>
      </c>
      <c r="N22" s="3037">
        <f>SUM('Произв. прогр. Вода'!P14)</f>
        <v>382.03591116666672</v>
      </c>
      <c r="O22" s="3037">
        <f>SUM(L22:N22)</f>
        <v>1098.1712045000002</v>
      </c>
      <c r="P22" s="3037">
        <f>SUM(K22+O22)</f>
        <v>3353.102704500001</v>
      </c>
      <c r="Q22" s="3037">
        <f>SUM('Произв. прогр. Вода'!S14)</f>
        <v>384.69905166666672</v>
      </c>
      <c r="R22" s="3037">
        <f>SUM('Произв. прогр. Вода'!T14)</f>
        <v>384.69905166666672</v>
      </c>
      <c r="S22" s="3037">
        <f>SUM('Произв. прогр. Вода'!U14)</f>
        <v>387.36219216666677</v>
      </c>
      <c r="T22" s="4584">
        <f>SUM(Q22:S22)</f>
        <v>1156.7602955000002</v>
      </c>
      <c r="U22" s="4590">
        <f>SUM(F22+J22+O22+T22)</f>
        <v>4509.8630000000012</v>
      </c>
    </row>
    <row r="23" spans="1:22" ht="19.5" thickBot="1">
      <c r="A23" s="5535" t="s">
        <v>1572</v>
      </c>
      <c r="B23" s="5536"/>
      <c r="C23" s="5536"/>
      <c r="D23" s="5536"/>
      <c r="E23" s="5536"/>
      <c r="F23" s="5536"/>
      <c r="G23" s="5536"/>
      <c r="H23" s="5536"/>
      <c r="I23" s="5536"/>
      <c r="J23" s="5536"/>
      <c r="K23" s="5536"/>
      <c r="L23" s="5536"/>
      <c r="M23" s="5536"/>
      <c r="N23" s="5536"/>
      <c r="O23" s="5536"/>
      <c r="P23" s="5536"/>
      <c r="Q23" s="5536"/>
      <c r="R23" s="5536"/>
      <c r="S23" s="5536"/>
      <c r="T23" s="5536"/>
      <c r="U23" s="4590"/>
    </row>
    <row r="24" spans="1:22" ht="18.75">
      <c r="A24" s="4577" t="s">
        <v>1573</v>
      </c>
      <c r="B24" s="2465">
        <f>SUM(B11+B19)</f>
        <v>1751.8456900000001</v>
      </c>
      <c r="C24" s="2465">
        <f t="shared" ref="C24:Q24" si="12">SUM(C11+C19)</f>
        <v>150.21088166633336</v>
      </c>
      <c r="D24" s="2465">
        <f t="shared" si="12"/>
        <v>149.23617224333336</v>
      </c>
      <c r="E24" s="2465">
        <f t="shared" si="12"/>
        <v>149.23617224333336</v>
      </c>
      <c r="F24" s="2465">
        <f t="shared" si="12"/>
        <v>448.68322615300008</v>
      </c>
      <c r="G24" s="2465">
        <f t="shared" si="12"/>
        <v>148.26146282033335</v>
      </c>
      <c r="H24" s="2465">
        <f t="shared" si="12"/>
        <v>139.48907801333337</v>
      </c>
      <c r="I24" s="2465">
        <f t="shared" si="12"/>
        <v>139.48907801333337</v>
      </c>
      <c r="J24" s="2465">
        <f t="shared" si="12"/>
        <v>427.23961884700009</v>
      </c>
      <c r="K24" s="2465">
        <f t="shared" si="12"/>
        <v>875.92284500000028</v>
      </c>
      <c r="L24" s="2465">
        <f t="shared" si="12"/>
        <v>139.48907801333337</v>
      </c>
      <c r="M24" s="2465">
        <f t="shared" si="12"/>
        <v>139.48907801333337</v>
      </c>
      <c r="N24" s="2465">
        <f t="shared" si="12"/>
        <v>148.26146282033335</v>
      </c>
      <c r="O24" s="2465">
        <f t="shared" si="12"/>
        <v>427.23961884700009</v>
      </c>
      <c r="P24" s="2465">
        <f t="shared" si="12"/>
        <v>1303.1624638470005</v>
      </c>
      <c r="Q24" s="2465">
        <f t="shared" si="12"/>
        <v>149.23617224333336</v>
      </c>
      <c r="R24" s="2465">
        <f t="shared" ref="R24:T24" si="13">SUM(R11+R19)</f>
        <v>149.23617224333336</v>
      </c>
      <c r="S24" s="2465">
        <f t="shared" si="13"/>
        <v>150.21088166633336</v>
      </c>
      <c r="T24" s="4585">
        <f t="shared" si="13"/>
        <v>448.68322615300008</v>
      </c>
      <c r="U24" s="4590">
        <f>SUM(F24+J24+O24+T24)</f>
        <v>1751.8456900000003</v>
      </c>
    </row>
    <row r="25" spans="1:22" ht="18.75">
      <c r="A25" s="4578" t="s">
        <v>1574</v>
      </c>
      <c r="B25" s="3038">
        <f>SUM(B26/B24)</f>
        <v>5.1513080351002367</v>
      </c>
      <c r="C25" s="3038">
        <f t="shared" ref="C25:Q25" si="14">SUM(C26/C24)</f>
        <v>4.9756287580798331</v>
      </c>
      <c r="D25" s="3038">
        <f t="shared" si="14"/>
        <v>4.9759629635715612</v>
      </c>
      <c r="E25" s="3038">
        <f t="shared" si="14"/>
        <v>4.9759629635715612</v>
      </c>
      <c r="F25" s="3038">
        <f t="shared" si="14"/>
        <v>4.9758510777272864</v>
      </c>
      <c r="G25" s="3038">
        <f t="shared" si="14"/>
        <v>4.9763015633709644</v>
      </c>
      <c r="H25" s="3038">
        <f t="shared" si="14"/>
        <v>4.9795619049571656</v>
      </c>
      <c r="I25" s="3038">
        <f t="shared" si="14"/>
        <v>4.9795619049571656</v>
      </c>
      <c r="J25" s="3038">
        <f t="shared" si="14"/>
        <v>4.9784304953417173</v>
      </c>
      <c r="K25" s="3038">
        <f t="shared" si="14"/>
        <v>4.9771092129668517</v>
      </c>
      <c r="L25" s="3038">
        <f t="shared" si="14"/>
        <v>5.3281312383041683</v>
      </c>
      <c r="M25" s="3038">
        <f t="shared" si="14"/>
        <v>5.3281312383041683</v>
      </c>
      <c r="N25" s="3038">
        <f t="shared" si="14"/>
        <v>5.3246426728069327</v>
      </c>
      <c r="O25" s="3038">
        <f t="shared" si="14"/>
        <v>5.3269206300156373</v>
      </c>
      <c r="P25" s="3038">
        <f t="shared" si="14"/>
        <v>5.0936850490085943</v>
      </c>
      <c r="Q25" s="3038">
        <f t="shared" si="14"/>
        <v>5.3242803710215707</v>
      </c>
      <c r="R25" s="3038">
        <f t="shared" ref="R25:T25" si="15">SUM(R26/R24)</f>
        <v>5.3242803710215707</v>
      </c>
      <c r="S25" s="3038">
        <f t="shared" si="15"/>
        <v>5.3239227711454218</v>
      </c>
      <c r="T25" s="4586">
        <f t="shared" si="15"/>
        <v>5.324160653168196</v>
      </c>
      <c r="U25" s="4591">
        <f>SUM(C25+D25+E25+G25+H25+I25+L25+M25+N25+Q25+R25+S25)/12</f>
        <v>5.1513640600926731</v>
      </c>
    </row>
    <row r="26" spans="1:22" ht="19.5" thickBot="1">
      <c r="A26" s="4579" t="s">
        <v>1575</v>
      </c>
      <c r="B26" s="3040">
        <f>SUM(B13+B21)</f>
        <v>9024.296779152719</v>
      </c>
      <c r="C26" s="3040">
        <f t="shared" ref="C26:Q26" si="16">SUM(C13+C21)</f>
        <v>747.39358259553501</v>
      </c>
      <c r="D26" s="3040">
        <f t="shared" si="16"/>
        <v>742.59366590801301</v>
      </c>
      <c r="E26" s="3040">
        <f t="shared" si="16"/>
        <v>742.59366590801301</v>
      </c>
      <c r="F26" s="3040">
        <f t="shared" si="16"/>
        <v>2232.580914411561</v>
      </c>
      <c r="G26" s="3040">
        <f t="shared" si="16"/>
        <v>737.79374922049101</v>
      </c>
      <c r="H26" s="3040">
        <f t="shared" si="16"/>
        <v>694.59449903279301</v>
      </c>
      <c r="I26" s="3040">
        <f t="shared" si="16"/>
        <v>694.59449903279301</v>
      </c>
      <c r="J26" s="3040">
        <f t="shared" si="16"/>
        <v>2126.982747286077</v>
      </c>
      <c r="K26" s="3040">
        <f t="shared" si="16"/>
        <v>4359.5636616976371</v>
      </c>
      <c r="L26" s="3040">
        <f t="shared" si="16"/>
        <v>743.21611396508865</v>
      </c>
      <c r="M26" s="3040">
        <f t="shared" si="16"/>
        <v>743.21611396508865</v>
      </c>
      <c r="N26" s="3040">
        <f t="shared" si="16"/>
        <v>789.4393116659254</v>
      </c>
      <c r="O26" s="3040">
        <f t="shared" si="16"/>
        <v>2275.8715395961026</v>
      </c>
      <c r="P26" s="3040">
        <f t="shared" si="16"/>
        <v>6637.8991585266695</v>
      </c>
      <c r="Q26" s="3040">
        <f t="shared" si="16"/>
        <v>794.57522252157401</v>
      </c>
      <c r="R26" s="3040">
        <f t="shared" ref="R26:T26" si="17">SUM(R13+R21)</f>
        <v>794.57522252157401</v>
      </c>
      <c r="S26" s="3040">
        <f t="shared" si="17"/>
        <v>799.71113337722261</v>
      </c>
      <c r="T26" s="4587">
        <f t="shared" si="17"/>
        <v>2388.8615784203703</v>
      </c>
      <c r="U26" s="4590">
        <f>SUM(F26+J26+O26+T26)</f>
        <v>9024.29677971411</v>
      </c>
    </row>
    <row r="27" spans="1:22" ht="19.5" thickBot="1">
      <c r="A27" s="5535" t="s">
        <v>405</v>
      </c>
      <c r="B27" s="5536"/>
      <c r="C27" s="5536"/>
      <c r="D27" s="5536"/>
      <c r="E27" s="5536"/>
      <c r="F27" s="5536"/>
      <c r="G27" s="5536"/>
      <c r="H27" s="5536"/>
      <c r="I27" s="5536"/>
      <c r="J27" s="5536"/>
      <c r="K27" s="5536"/>
      <c r="L27" s="5536"/>
      <c r="M27" s="5536"/>
      <c r="N27" s="5536"/>
      <c r="O27" s="5536"/>
      <c r="P27" s="5536"/>
      <c r="Q27" s="5536"/>
      <c r="R27" s="5536"/>
      <c r="S27" s="5536"/>
      <c r="T27" s="5536"/>
      <c r="U27" s="4590"/>
    </row>
    <row r="28" spans="1:22" ht="18.75">
      <c r="A28" s="4572" t="s">
        <v>1576</v>
      </c>
      <c r="B28" s="2442">
        <f>SUM(электр!CR52)</f>
        <v>272.91012000000001</v>
      </c>
      <c r="C28" s="2443">
        <f>SUM(B28/12)</f>
        <v>22.742509999999999</v>
      </c>
      <c r="D28" s="2443">
        <f>SUM(C28)</f>
        <v>22.742509999999999</v>
      </c>
      <c r="E28" s="2443">
        <f>SUM(C28)</f>
        <v>22.742509999999999</v>
      </c>
      <c r="F28" s="2442">
        <f>SUM(C28:E28)</f>
        <v>68.227530000000002</v>
      </c>
      <c r="G28" s="2443">
        <f>SUM(C28)</f>
        <v>22.742509999999999</v>
      </c>
      <c r="H28" s="2443">
        <f>SUM(C28)</f>
        <v>22.742509999999999</v>
      </c>
      <c r="I28" s="2443">
        <f>SUM(C28)</f>
        <v>22.742509999999999</v>
      </c>
      <c r="J28" s="2442">
        <f>SUM(G28:I28)</f>
        <v>68.227530000000002</v>
      </c>
      <c r="K28" s="2442">
        <f>SUM(F28+J28)</f>
        <v>136.45506</v>
      </c>
      <c r="L28" s="2443">
        <f>SUM(C28)</f>
        <v>22.742509999999999</v>
      </c>
      <c r="M28" s="2443">
        <f>SUM(C28)</f>
        <v>22.742509999999999</v>
      </c>
      <c r="N28" s="2443">
        <f>SUM(C28)</f>
        <v>22.742509999999999</v>
      </c>
      <c r="O28" s="2442">
        <f>SUM(L28:N28)</f>
        <v>68.227530000000002</v>
      </c>
      <c r="P28" s="2442">
        <f>SUM(K28+O28)</f>
        <v>204.68259</v>
      </c>
      <c r="Q28" s="2443">
        <f>SUM(C28)</f>
        <v>22.742509999999999</v>
      </c>
      <c r="R28" s="2443">
        <f>SUM(C28)</f>
        <v>22.742509999999999</v>
      </c>
      <c r="S28" s="2443">
        <f>SUM(C28)</f>
        <v>22.742509999999999</v>
      </c>
      <c r="T28" s="4581">
        <f>SUM(Q28:S28)</f>
        <v>68.227530000000002</v>
      </c>
      <c r="U28" s="4590">
        <f>SUM(F28+J28+O28+T28)</f>
        <v>272.91012000000001</v>
      </c>
    </row>
    <row r="29" spans="1:22" ht="18.75">
      <c r="A29" s="4573" t="s">
        <v>1564</v>
      </c>
      <c r="B29" s="3032">
        <f>SUM(электр!CQ52)</f>
        <v>6.0546465000000005</v>
      </c>
      <c r="C29" s="3031">
        <v>5.8498999999999999</v>
      </c>
      <c r="D29" s="3031">
        <f>SUM(C29)</f>
        <v>5.8498999999999999</v>
      </c>
      <c r="E29" s="3031">
        <f>SUM(C29)</f>
        <v>5.8498999999999999</v>
      </c>
      <c r="F29" s="3032">
        <f>SUM(C29:E29)/3</f>
        <v>5.8499000000000008</v>
      </c>
      <c r="G29" s="3031">
        <f>SUM(C29)</f>
        <v>5.8498999999999999</v>
      </c>
      <c r="H29" s="3031">
        <f>SUM(C29)</f>
        <v>5.8498999999999999</v>
      </c>
      <c r="I29" s="3031">
        <f>SUM(C29)</f>
        <v>5.8498999999999999</v>
      </c>
      <c r="J29" s="3032">
        <f>SUM(G29:I29)/3</f>
        <v>5.8499000000000008</v>
      </c>
      <c r="K29" s="3032">
        <f>SUM(C29+D29+E29+G29+H29+I29)/6</f>
        <v>5.849899999999999</v>
      </c>
      <c r="L29" s="3031">
        <f>SUM(I29*1.07)</f>
        <v>6.2593930000000002</v>
      </c>
      <c r="M29" s="3031">
        <f>SUM(L29)</f>
        <v>6.2593930000000002</v>
      </c>
      <c r="N29" s="3031">
        <f>SUM(L29)</f>
        <v>6.2593930000000002</v>
      </c>
      <c r="O29" s="3032">
        <f>SUM(L29:N29)/3</f>
        <v>6.2593930000000002</v>
      </c>
      <c r="P29" s="3032">
        <f>SUM(C29+D29+E29+G29+H29+I29+L29+M29+N29)/9</f>
        <v>5.986397666666667</v>
      </c>
      <c r="Q29" s="3031">
        <f>SUM(L29)</f>
        <v>6.2593930000000002</v>
      </c>
      <c r="R29" s="3031">
        <f>SUM(L29)</f>
        <v>6.2593930000000002</v>
      </c>
      <c r="S29" s="3031">
        <f>SUM(L29)</f>
        <v>6.2593930000000002</v>
      </c>
      <c r="T29" s="4582">
        <f>SUM(Q29:S29)/3</f>
        <v>6.2593930000000002</v>
      </c>
      <c r="U29" s="4591">
        <f>SUM(C29+D29+E29+G29+H29+I29+L29+M29+N29+Q29+R29+S29)/12</f>
        <v>6.0546465000000005</v>
      </c>
    </row>
    <row r="30" spans="1:22" ht="18.75">
      <c r="A30" s="4574" t="s">
        <v>1565</v>
      </c>
      <c r="B30" s="3035">
        <f>SUM(B28*B29)</f>
        <v>1652.3743028725801</v>
      </c>
      <c r="C30" s="3034">
        <f t="shared" ref="C30:Q30" si="18">SUM(C28*C29)</f>
        <v>133.041409249</v>
      </c>
      <c r="D30" s="3034">
        <f t="shared" si="18"/>
        <v>133.041409249</v>
      </c>
      <c r="E30" s="3034">
        <f t="shared" si="18"/>
        <v>133.041409249</v>
      </c>
      <c r="F30" s="3035">
        <f t="shared" si="18"/>
        <v>399.12422774700008</v>
      </c>
      <c r="G30" s="3034">
        <f t="shared" si="18"/>
        <v>133.041409249</v>
      </c>
      <c r="H30" s="3034">
        <f t="shared" si="18"/>
        <v>133.041409249</v>
      </c>
      <c r="I30" s="3034">
        <f t="shared" si="18"/>
        <v>133.041409249</v>
      </c>
      <c r="J30" s="3035">
        <f t="shared" si="18"/>
        <v>399.12422774700008</v>
      </c>
      <c r="K30" s="3035">
        <f t="shared" si="18"/>
        <v>798.24845549399993</v>
      </c>
      <c r="L30" s="3034">
        <f t="shared" si="18"/>
        <v>142.35430789642999</v>
      </c>
      <c r="M30" s="3034">
        <f t="shared" si="18"/>
        <v>142.35430789642999</v>
      </c>
      <c r="N30" s="3034">
        <f t="shared" si="18"/>
        <v>142.35430789642999</v>
      </c>
      <c r="O30" s="3035">
        <f t="shared" si="18"/>
        <v>427.06292368929002</v>
      </c>
      <c r="P30" s="3035">
        <f t="shared" si="18"/>
        <v>1225.31137918329</v>
      </c>
      <c r="Q30" s="3034">
        <f t="shared" si="18"/>
        <v>142.35430789642999</v>
      </c>
      <c r="R30" s="3034">
        <f t="shared" ref="R30:T30" si="19">SUM(R28*R29)</f>
        <v>142.35430789642999</v>
      </c>
      <c r="S30" s="3034">
        <f t="shared" si="19"/>
        <v>142.35430789642999</v>
      </c>
      <c r="T30" s="4583">
        <f t="shared" si="19"/>
        <v>427.06292368929002</v>
      </c>
      <c r="U30" s="4590">
        <f>SUM(F30+J30+O30+T30)</f>
        <v>1652.3743028725803</v>
      </c>
    </row>
    <row r="31" spans="1:22" ht="18.75">
      <c r="A31" s="4575" t="s">
        <v>1577</v>
      </c>
      <c r="B31" s="3032">
        <f>SUM(B28/B35)</f>
        <v>8.4000000000000005E-2</v>
      </c>
      <c r="C31" s="3032">
        <f>SUM(B31)</f>
        <v>8.4000000000000005E-2</v>
      </c>
      <c r="D31" s="3032">
        <f>SUM(B31)</f>
        <v>8.4000000000000005E-2</v>
      </c>
      <c r="E31" s="3032">
        <f>SUM(B31)</f>
        <v>8.4000000000000005E-2</v>
      </c>
      <c r="F31" s="3032">
        <f>SUM(B31)</f>
        <v>8.4000000000000005E-2</v>
      </c>
      <c r="G31" s="3032">
        <f>SUM(B31)</f>
        <v>8.4000000000000005E-2</v>
      </c>
      <c r="H31" s="3032">
        <f>SUM(B31)</f>
        <v>8.4000000000000005E-2</v>
      </c>
      <c r="I31" s="3032">
        <f>SUM(B31)</f>
        <v>8.4000000000000005E-2</v>
      </c>
      <c r="J31" s="3032">
        <f>SUM(B31)</f>
        <v>8.4000000000000005E-2</v>
      </c>
      <c r="K31" s="3032">
        <f>SUM(B31)</f>
        <v>8.4000000000000005E-2</v>
      </c>
      <c r="L31" s="3032">
        <f>SUM(B31)</f>
        <v>8.4000000000000005E-2</v>
      </c>
      <c r="M31" s="3032">
        <f>SUM(B31)</f>
        <v>8.4000000000000005E-2</v>
      </c>
      <c r="N31" s="3032">
        <f>SUM(B31)</f>
        <v>8.4000000000000005E-2</v>
      </c>
      <c r="O31" s="3032">
        <f>SUM(B31)</f>
        <v>8.4000000000000005E-2</v>
      </c>
      <c r="P31" s="3032">
        <f>SUM(B31)</f>
        <v>8.4000000000000005E-2</v>
      </c>
      <c r="Q31" s="3032">
        <f>SUM(B31)</f>
        <v>8.4000000000000005E-2</v>
      </c>
      <c r="R31" s="3032">
        <f>SUM(B31)</f>
        <v>8.4000000000000005E-2</v>
      </c>
      <c r="S31" s="3032">
        <f>SUM(B31)</f>
        <v>8.4000000000000005E-2</v>
      </c>
      <c r="T31" s="4582">
        <f>SUM(B31)</f>
        <v>8.4000000000000005E-2</v>
      </c>
      <c r="U31" s="4590"/>
    </row>
    <row r="32" spans="1:22" ht="18.75">
      <c r="A32" s="4575" t="s">
        <v>1576</v>
      </c>
      <c r="B32" s="3035">
        <f>SUM(B31*B35)</f>
        <v>272.91012000000001</v>
      </c>
      <c r="C32" s="3035">
        <f t="shared" ref="C32:Q32" si="20">SUM(C31*C35)</f>
        <v>23.330370000000002</v>
      </c>
      <c r="D32" s="3035">
        <f t="shared" si="20"/>
        <v>23.194710000000001</v>
      </c>
      <c r="E32" s="3035">
        <f t="shared" si="20"/>
        <v>23.194710000000001</v>
      </c>
      <c r="F32" s="3035">
        <f t="shared" si="20"/>
        <v>69.719790000000003</v>
      </c>
      <c r="G32" s="3035">
        <f t="shared" si="20"/>
        <v>23.059049999999996</v>
      </c>
      <c r="H32" s="3035">
        <f t="shared" si="20"/>
        <v>21.838109999999997</v>
      </c>
      <c r="I32" s="3035">
        <f t="shared" si="20"/>
        <v>21.838109999999997</v>
      </c>
      <c r="J32" s="3035">
        <f t="shared" si="20"/>
        <v>66.735269999999986</v>
      </c>
      <c r="K32" s="3035">
        <f t="shared" si="20"/>
        <v>136.45505999999997</v>
      </c>
      <c r="L32" s="3035">
        <f t="shared" si="20"/>
        <v>21.838109999999997</v>
      </c>
      <c r="M32" s="3035">
        <f t="shared" si="20"/>
        <v>21.838109999999997</v>
      </c>
      <c r="N32" s="3035">
        <f t="shared" si="20"/>
        <v>23.059049999999996</v>
      </c>
      <c r="O32" s="3035">
        <f t="shared" si="20"/>
        <v>66.735269999999986</v>
      </c>
      <c r="P32" s="3035">
        <f t="shared" si="20"/>
        <v>203.19032999999996</v>
      </c>
      <c r="Q32" s="3035">
        <f t="shared" si="20"/>
        <v>23.194710000000001</v>
      </c>
      <c r="R32" s="3035">
        <f t="shared" ref="R32:T32" si="21">SUM(R31*R35)</f>
        <v>23.194710000000001</v>
      </c>
      <c r="S32" s="3035">
        <f t="shared" si="21"/>
        <v>23.330370000000002</v>
      </c>
      <c r="T32" s="4583">
        <f t="shared" si="21"/>
        <v>69.719790000000003</v>
      </c>
      <c r="U32" s="4590">
        <f>SUM(F32+J32+O32+T32)</f>
        <v>272.91012000000001</v>
      </c>
    </row>
    <row r="33" spans="1:22" ht="18.75">
      <c r="A33" s="4575" t="s">
        <v>1564</v>
      </c>
      <c r="B33" s="3032">
        <f>SUM(B29)</f>
        <v>6.0546465000000005</v>
      </c>
      <c r="C33" s="3032">
        <f>SUM(C29)</f>
        <v>5.8498999999999999</v>
      </c>
      <c r="D33" s="3032">
        <f>SUM(C33)</f>
        <v>5.8498999999999999</v>
      </c>
      <c r="E33" s="3032">
        <f>SUM(C33)</f>
        <v>5.8498999999999999</v>
      </c>
      <c r="F33" s="3032">
        <f>SUM(C33:E33)/3</f>
        <v>5.8499000000000008</v>
      </c>
      <c r="G33" s="3032">
        <f>SUM(C33)</f>
        <v>5.8498999999999999</v>
      </c>
      <c r="H33" s="3032">
        <f>SUM(C33)</f>
        <v>5.8498999999999999</v>
      </c>
      <c r="I33" s="3032">
        <f>SUM(C33)</f>
        <v>5.8498999999999999</v>
      </c>
      <c r="J33" s="3032">
        <f>SUM(G33:I33)/3</f>
        <v>5.8499000000000008</v>
      </c>
      <c r="K33" s="3032">
        <f>SUM(C33+D33+E33+G33+H33+I33)/6</f>
        <v>5.849899999999999</v>
      </c>
      <c r="L33" s="3032">
        <f>SUM(L29)</f>
        <v>6.2593930000000002</v>
      </c>
      <c r="M33" s="3032">
        <f>SUM(L33)</f>
        <v>6.2593930000000002</v>
      </c>
      <c r="N33" s="3032">
        <f>SUM(L33)</f>
        <v>6.2593930000000002</v>
      </c>
      <c r="O33" s="3032">
        <f>SUM(L33:N33)/3</f>
        <v>6.2593930000000002</v>
      </c>
      <c r="P33" s="3032">
        <f>SUM(C33+D33+E33+G33+H33+I33+L33+M33+N33)/9</f>
        <v>5.986397666666667</v>
      </c>
      <c r="Q33" s="3032">
        <f>SUM(L33)</f>
        <v>6.2593930000000002</v>
      </c>
      <c r="R33" s="3032">
        <f>SUM(L33)</f>
        <v>6.2593930000000002</v>
      </c>
      <c r="S33" s="3032">
        <f>SUM(L33)</f>
        <v>6.2593930000000002</v>
      </c>
      <c r="T33" s="4582">
        <f>SUM(Q33:S33)/3</f>
        <v>6.2593930000000002</v>
      </c>
      <c r="U33" s="4591">
        <f>SUM(C33+D33+E33+G33+H33+I33+L33+M33+N33+Q33+R33+S33)/12</f>
        <v>6.0546465000000005</v>
      </c>
      <c r="V33" s="5582"/>
    </row>
    <row r="34" spans="1:22" ht="18.75">
      <c r="A34" s="4575" t="s">
        <v>1567</v>
      </c>
      <c r="B34" s="3035">
        <f>SUM(B32*B33)</f>
        <v>1652.3743028725801</v>
      </c>
      <c r="C34" s="3035">
        <f t="shared" ref="C34:Q34" si="22">SUM(C32*C33)</f>
        <v>136.480331463</v>
      </c>
      <c r="D34" s="3035">
        <f t="shared" si="22"/>
        <v>135.68673402900001</v>
      </c>
      <c r="E34" s="3035">
        <f t="shared" si="22"/>
        <v>135.68673402900001</v>
      </c>
      <c r="F34" s="3035">
        <f t="shared" si="22"/>
        <v>407.8537995210001</v>
      </c>
      <c r="G34" s="3035">
        <f t="shared" si="22"/>
        <v>134.89313659499996</v>
      </c>
      <c r="H34" s="3035">
        <f t="shared" si="22"/>
        <v>127.75075968899998</v>
      </c>
      <c r="I34" s="3035">
        <f t="shared" si="22"/>
        <v>127.75075968899998</v>
      </c>
      <c r="J34" s="3035">
        <f t="shared" si="22"/>
        <v>390.39465597299994</v>
      </c>
      <c r="K34" s="3035">
        <f t="shared" si="22"/>
        <v>798.2484554939997</v>
      </c>
      <c r="L34" s="3035">
        <f t="shared" si="22"/>
        <v>136.69331286722999</v>
      </c>
      <c r="M34" s="3035">
        <f t="shared" si="22"/>
        <v>136.69331286722999</v>
      </c>
      <c r="N34" s="3035">
        <f t="shared" si="22"/>
        <v>144.33565615664997</v>
      </c>
      <c r="O34" s="3035">
        <f t="shared" si="22"/>
        <v>417.7222818911099</v>
      </c>
      <c r="P34" s="3035">
        <f t="shared" si="22"/>
        <v>1216.3781174012299</v>
      </c>
      <c r="Q34" s="3035">
        <f t="shared" si="22"/>
        <v>145.18480541103</v>
      </c>
      <c r="R34" s="3035">
        <f t="shared" ref="R34:T34" si="23">SUM(R32*R33)</f>
        <v>145.18480541103</v>
      </c>
      <c r="S34" s="3035">
        <f t="shared" si="23"/>
        <v>146.03395466541002</v>
      </c>
      <c r="T34" s="4583">
        <f t="shared" si="23"/>
        <v>436.40356548747002</v>
      </c>
      <c r="U34" s="4590">
        <f>SUM(C34+D34+E34+G34+H34+I34+L34+M34+N34+Q34+R34+S34)</f>
        <v>1652.3743028725801</v>
      </c>
      <c r="V34" s="5582"/>
    </row>
    <row r="35" spans="1:22" ht="18.75">
      <c r="A35" s="4575" t="s">
        <v>1587</v>
      </c>
      <c r="B35" s="3035">
        <f>SUM('Произв. прогр. Стоки'!B13)</f>
        <v>3248.93</v>
      </c>
      <c r="C35" s="3035">
        <f>SUM('Произв. прогр. Стоки'!E13)</f>
        <v>277.74250000000001</v>
      </c>
      <c r="D35" s="3035">
        <f>SUM('Произв. прогр. Стоки'!F13)</f>
        <v>276.1275</v>
      </c>
      <c r="E35" s="3035">
        <f>SUM('Произв. прогр. Стоки'!G13)</f>
        <v>276.1275</v>
      </c>
      <c r="F35" s="3035">
        <f>SUM(C35:E35)</f>
        <v>829.99749999999995</v>
      </c>
      <c r="G35" s="3035">
        <f>SUM('Произв. прогр. Стоки'!I13)</f>
        <v>274.51249999999993</v>
      </c>
      <c r="H35" s="3035">
        <f>SUM('Произв. прогр. Стоки'!J13)</f>
        <v>259.97749999999996</v>
      </c>
      <c r="I35" s="3035">
        <f>SUM('Произв. прогр. Стоки'!K13)</f>
        <v>259.97749999999996</v>
      </c>
      <c r="J35" s="3035">
        <f>SUM(G35:I35)</f>
        <v>794.46749999999986</v>
      </c>
      <c r="K35" s="3035">
        <f>SUM(F35+J35)</f>
        <v>1624.4649999999997</v>
      </c>
      <c r="L35" s="3035">
        <f>SUM('Произв. прогр. Стоки'!N13)</f>
        <v>259.97749999999996</v>
      </c>
      <c r="M35" s="3035">
        <f>SUM('Произв. прогр. Стоки'!O13)</f>
        <v>259.97749999999996</v>
      </c>
      <c r="N35" s="3035">
        <f>SUM('Произв. прогр. Стоки'!P13)</f>
        <v>274.51249999999993</v>
      </c>
      <c r="O35" s="3035">
        <f>SUM(L35:N35)</f>
        <v>794.46749999999986</v>
      </c>
      <c r="P35" s="3035">
        <f>SUM(K35+O35)</f>
        <v>2418.9324999999994</v>
      </c>
      <c r="Q35" s="3035">
        <f>SUM('Произв. прогр. Стоки'!S13)</f>
        <v>276.1275</v>
      </c>
      <c r="R35" s="3035">
        <f>SUM('Произв. прогр. Стоки'!T13)</f>
        <v>276.1275</v>
      </c>
      <c r="S35" s="3035">
        <f>SUM('Произв. прогр. Стоки'!U13)</f>
        <v>277.74250000000001</v>
      </c>
      <c r="T35" s="4583">
        <f>SUM(Q35:S35)</f>
        <v>829.99749999999995</v>
      </c>
      <c r="U35" s="4590">
        <f>SUM(F35+J35+O35+T35)</f>
        <v>3248.9299999999994</v>
      </c>
    </row>
    <row r="36" spans="1:22" ht="18.75">
      <c r="A36" s="4574" t="s">
        <v>1579</v>
      </c>
      <c r="B36" s="3035">
        <f>SUM(электр!CR54)</f>
        <v>1364.5505999999998</v>
      </c>
      <c r="C36" s="3049">
        <f>SUM(B36/12)</f>
        <v>113.71254999999998</v>
      </c>
      <c r="D36" s="3049">
        <f>SUM(C36)</f>
        <v>113.71254999999998</v>
      </c>
      <c r="E36" s="3049">
        <f>SUM(C36)</f>
        <v>113.71254999999998</v>
      </c>
      <c r="F36" s="3035">
        <f>SUM(C36:E36)</f>
        <v>341.13764999999995</v>
      </c>
      <c r="G36" s="3049">
        <f>SUM(C36)</f>
        <v>113.71254999999998</v>
      </c>
      <c r="H36" s="3049">
        <f>SUM(C36)</f>
        <v>113.71254999999998</v>
      </c>
      <c r="I36" s="3049">
        <f>SUM(C36)</f>
        <v>113.71254999999998</v>
      </c>
      <c r="J36" s="3035">
        <f>SUM(G36:I36)</f>
        <v>341.13764999999995</v>
      </c>
      <c r="K36" s="3035">
        <f>SUM(F36+J36)</f>
        <v>682.2752999999999</v>
      </c>
      <c r="L36" s="3049">
        <f>SUM(C36)</f>
        <v>113.71254999999998</v>
      </c>
      <c r="M36" s="3049">
        <f>SUM(C36)</f>
        <v>113.71254999999998</v>
      </c>
      <c r="N36" s="3049">
        <f>SUM(C36)</f>
        <v>113.71254999999998</v>
      </c>
      <c r="O36" s="3035">
        <f>SUM(L36:N36)</f>
        <v>341.13764999999995</v>
      </c>
      <c r="P36" s="3035">
        <f>SUM(K36+O36)</f>
        <v>1023.4129499999999</v>
      </c>
      <c r="Q36" s="3049">
        <f>SUM(C36)</f>
        <v>113.71254999999998</v>
      </c>
      <c r="R36" s="3049">
        <f>SUM(C36)</f>
        <v>113.71254999999998</v>
      </c>
      <c r="S36" s="3049">
        <f>SUM(C36)</f>
        <v>113.71254999999998</v>
      </c>
      <c r="T36" s="4583">
        <f>SUM(Q36:S36)</f>
        <v>341.13764999999995</v>
      </c>
      <c r="U36" s="4590">
        <f>SUM(F36+J36+O36+T36)</f>
        <v>1364.5505999999998</v>
      </c>
    </row>
    <row r="37" spans="1:22" ht="18.75">
      <c r="A37" s="4573" t="s">
        <v>1564</v>
      </c>
      <c r="B37" s="3032">
        <f>SUM(электр!CQ54)</f>
        <v>4.6147391500000001</v>
      </c>
      <c r="C37" s="3031">
        <v>4.458685</v>
      </c>
      <c r="D37" s="3031">
        <f>SUM(C37)</f>
        <v>4.458685</v>
      </c>
      <c r="E37" s="3031">
        <f>SUM(C37)</f>
        <v>4.458685</v>
      </c>
      <c r="F37" s="3032">
        <f>SUM(C37:E37)/3</f>
        <v>4.458685</v>
      </c>
      <c r="G37" s="3031">
        <f>SUM(C37)</f>
        <v>4.458685</v>
      </c>
      <c r="H37" s="3031">
        <f>SUM(C37)</f>
        <v>4.458685</v>
      </c>
      <c r="I37" s="3031">
        <f>SUM(C37)</f>
        <v>4.458685</v>
      </c>
      <c r="J37" s="3032">
        <f>SUM(G37:I37)/3</f>
        <v>4.458685</v>
      </c>
      <c r="K37" s="3032">
        <f>SUM(C37+D37+E37+G37+H37+I37)/6</f>
        <v>4.458685</v>
      </c>
      <c r="L37" s="3031">
        <f>SUM(I37*1.07)</f>
        <v>4.7707929500000006</v>
      </c>
      <c r="M37" s="3031">
        <f>SUM(L37)</f>
        <v>4.7707929500000006</v>
      </c>
      <c r="N37" s="3031">
        <f>SUM(L37)</f>
        <v>4.7707929500000006</v>
      </c>
      <c r="O37" s="3032">
        <f>SUM(L37:N37)/3</f>
        <v>4.7707929500000006</v>
      </c>
      <c r="P37" s="3032">
        <f>SUM(C37+D37+E37+G37+H37+I37+L37+M37+N37)/9</f>
        <v>4.5627209833333335</v>
      </c>
      <c r="Q37" s="3031">
        <f>SUM(L37)</f>
        <v>4.7707929500000006</v>
      </c>
      <c r="R37" s="3031">
        <f>SUM(L37)</f>
        <v>4.7707929500000006</v>
      </c>
      <c r="S37" s="3031">
        <f>SUM(L37)</f>
        <v>4.7707929500000006</v>
      </c>
      <c r="T37" s="4582">
        <f>SUM(Q37:S37)/3</f>
        <v>4.7707929500000006</v>
      </c>
      <c r="U37" s="4591">
        <f>SUM(C37+D37+E37+G37+H37+I37+L37+M37+N37+Q37+R37+S37)/12</f>
        <v>4.6147389750000007</v>
      </c>
    </row>
    <row r="38" spans="1:22" ht="18.75">
      <c r="A38" s="4574" t="s">
        <v>1565</v>
      </c>
      <c r="B38" s="3035">
        <f>SUM(B36*B37)</f>
        <v>6297.0450759759897</v>
      </c>
      <c r="C38" s="3034">
        <f t="shared" ref="C38:Q38" si="24">SUM(C36*C37)</f>
        <v>507.00844099674993</v>
      </c>
      <c r="D38" s="3034">
        <f t="shared" si="24"/>
        <v>507.00844099674993</v>
      </c>
      <c r="E38" s="3034">
        <f t="shared" si="24"/>
        <v>507.00844099674993</v>
      </c>
      <c r="F38" s="3035">
        <f t="shared" si="24"/>
        <v>1521.0253229902498</v>
      </c>
      <c r="G38" s="3034">
        <f t="shared" si="24"/>
        <v>507.00844099674993</v>
      </c>
      <c r="H38" s="3034">
        <f t="shared" si="24"/>
        <v>507.00844099674993</v>
      </c>
      <c r="I38" s="3034">
        <f t="shared" si="24"/>
        <v>507.00844099674993</v>
      </c>
      <c r="J38" s="3035">
        <f t="shared" si="24"/>
        <v>1521.0253229902498</v>
      </c>
      <c r="K38" s="3035">
        <f t="shared" si="24"/>
        <v>3042.0506459804997</v>
      </c>
      <c r="L38" s="3034">
        <f t="shared" si="24"/>
        <v>542.4990318665225</v>
      </c>
      <c r="M38" s="3034">
        <f t="shared" si="24"/>
        <v>542.4990318665225</v>
      </c>
      <c r="N38" s="3034">
        <f t="shared" si="24"/>
        <v>542.4990318665225</v>
      </c>
      <c r="O38" s="3035">
        <f t="shared" si="24"/>
        <v>1627.4970955995675</v>
      </c>
      <c r="P38" s="3035">
        <f t="shared" si="24"/>
        <v>4669.5477415800669</v>
      </c>
      <c r="Q38" s="3034">
        <f t="shared" si="24"/>
        <v>542.4990318665225</v>
      </c>
      <c r="R38" s="3034">
        <f t="shared" ref="R38:T38" si="25">SUM(R36*R37)</f>
        <v>542.4990318665225</v>
      </c>
      <c r="S38" s="3034">
        <f t="shared" si="25"/>
        <v>542.4990318665225</v>
      </c>
      <c r="T38" s="4583">
        <f t="shared" si="25"/>
        <v>1627.4970955995675</v>
      </c>
      <c r="U38" s="4590">
        <f>SUM(F38+J38+O38+T38)</f>
        <v>6297.0448371796347</v>
      </c>
    </row>
    <row r="39" spans="1:22" ht="18.75">
      <c r="A39" s="4575" t="s">
        <v>1580</v>
      </c>
      <c r="B39" s="3032">
        <f>SUM(B36/B43)</f>
        <v>0.42</v>
      </c>
      <c r="C39" s="3032">
        <f>SUM(B39)</f>
        <v>0.42</v>
      </c>
      <c r="D39" s="3032">
        <f>SUM(B39)</f>
        <v>0.42</v>
      </c>
      <c r="E39" s="3032">
        <f>SUM(B39)</f>
        <v>0.42</v>
      </c>
      <c r="F39" s="3032">
        <f>SUM(B39)</f>
        <v>0.42</v>
      </c>
      <c r="G39" s="3032">
        <f>SUM(B39)</f>
        <v>0.42</v>
      </c>
      <c r="H39" s="3032">
        <f>SUM(B39)</f>
        <v>0.42</v>
      </c>
      <c r="I39" s="3032">
        <f>SUM(B39)</f>
        <v>0.42</v>
      </c>
      <c r="J39" s="3032">
        <f>SUM(B39)</f>
        <v>0.42</v>
      </c>
      <c r="K39" s="3032">
        <f>SUM(B39)</f>
        <v>0.42</v>
      </c>
      <c r="L39" s="3032">
        <f>SUM(B39)</f>
        <v>0.42</v>
      </c>
      <c r="M39" s="3032">
        <f>SUM(B39)</f>
        <v>0.42</v>
      </c>
      <c r="N39" s="3032">
        <f>SUM(B39)</f>
        <v>0.42</v>
      </c>
      <c r="O39" s="3032">
        <f>SUM(B39)</f>
        <v>0.42</v>
      </c>
      <c r="P39" s="3032">
        <f>SUM(B39)</f>
        <v>0.42</v>
      </c>
      <c r="Q39" s="3032">
        <f>SUM(B39)</f>
        <v>0.42</v>
      </c>
      <c r="R39" s="3032">
        <f>SUM(B39)</f>
        <v>0.42</v>
      </c>
      <c r="S39" s="3032">
        <f>SUM(B39)</f>
        <v>0.42</v>
      </c>
      <c r="T39" s="4582">
        <f>SUM(B39)</f>
        <v>0.42</v>
      </c>
      <c r="U39" s="4590"/>
    </row>
    <row r="40" spans="1:22" ht="18.75">
      <c r="A40" s="4575" t="s">
        <v>1581</v>
      </c>
      <c r="B40" s="3035">
        <f>SUM(B39*B43)</f>
        <v>1364.5505999999998</v>
      </c>
      <c r="C40" s="3035">
        <f t="shared" ref="C40:Q40" si="26">SUM(C39*C43)</f>
        <v>116.65185</v>
      </c>
      <c r="D40" s="3035">
        <f t="shared" si="26"/>
        <v>115.97354999999999</v>
      </c>
      <c r="E40" s="3035">
        <f t="shared" si="26"/>
        <v>115.97354999999999</v>
      </c>
      <c r="F40" s="3035">
        <f t="shared" si="26"/>
        <v>348.59894999999995</v>
      </c>
      <c r="G40" s="3035">
        <f t="shared" si="26"/>
        <v>115.29524999999997</v>
      </c>
      <c r="H40" s="3035">
        <f t="shared" si="26"/>
        <v>109.19054999999999</v>
      </c>
      <c r="I40" s="3035">
        <f t="shared" si="26"/>
        <v>109.19054999999999</v>
      </c>
      <c r="J40" s="3035">
        <f t="shared" si="26"/>
        <v>333.67634999999996</v>
      </c>
      <c r="K40" s="3035">
        <f t="shared" si="26"/>
        <v>682.27529999999979</v>
      </c>
      <c r="L40" s="3035">
        <f t="shared" si="26"/>
        <v>109.19054999999999</v>
      </c>
      <c r="M40" s="3035">
        <f t="shared" si="26"/>
        <v>109.19054999999999</v>
      </c>
      <c r="N40" s="3035">
        <f t="shared" si="26"/>
        <v>115.29524999999997</v>
      </c>
      <c r="O40" s="3035">
        <f t="shared" si="26"/>
        <v>333.67634999999996</v>
      </c>
      <c r="P40" s="3035">
        <f t="shared" si="26"/>
        <v>1015.9516499999997</v>
      </c>
      <c r="Q40" s="3035">
        <f t="shared" si="26"/>
        <v>115.97354999999999</v>
      </c>
      <c r="R40" s="3035">
        <f t="shared" ref="R40:T40" si="27">SUM(R39*R43)</f>
        <v>115.97354999999999</v>
      </c>
      <c r="S40" s="3035">
        <f t="shared" si="27"/>
        <v>116.65185</v>
      </c>
      <c r="T40" s="4583">
        <f t="shared" si="27"/>
        <v>348.59894999999995</v>
      </c>
      <c r="U40" s="4590">
        <f>SUM(F40+J40+O40+T40)</f>
        <v>1364.5505999999998</v>
      </c>
    </row>
    <row r="41" spans="1:22" ht="18.75">
      <c r="A41" s="4575" t="s">
        <v>1564</v>
      </c>
      <c r="B41" s="3032">
        <f>SUM(B37)</f>
        <v>4.6147391500000001</v>
      </c>
      <c r="C41" s="3032">
        <f>SUM(C37)</f>
        <v>4.458685</v>
      </c>
      <c r="D41" s="3032">
        <f>SUM(C41)</f>
        <v>4.458685</v>
      </c>
      <c r="E41" s="3032">
        <f>SUM(C41)</f>
        <v>4.458685</v>
      </c>
      <c r="F41" s="3032">
        <f>SUM(C41:E41)/3</f>
        <v>4.458685</v>
      </c>
      <c r="G41" s="3032">
        <f>SUM(C41)</f>
        <v>4.458685</v>
      </c>
      <c r="H41" s="3032">
        <f>SUM(C41)</f>
        <v>4.458685</v>
      </c>
      <c r="I41" s="3032">
        <f>SUM(C41)</f>
        <v>4.458685</v>
      </c>
      <c r="J41" s="3032">
        <f>SUM(G41:I41)/3</f>
        <v>4.458685</v>
      </c>
      <c r="K41" s="3032">
        <f>SUM(C41+D41+E41+G41+H41+I41)/6</f>
        <v>4.458685</v>
      </c>
      <c r="L41" s="3032">
        <f>SUM(L37)</f>
        <v>4.7707929500000006</v>
      </c>
      <c r="M41" s="3032">
        <f>SUM(L41)</f>
        <v>4.7707929500000006</v>
      </c>
      <c r="N41" s="3032">
        <f>SUM(L41)</f>
        <v>4.7707929500000006</v>
      </c>
      <c r="O41" s="3032">
        <f>SUM(L41:N41)/3</f>
        <v>4.7707929500000006</v>
      </c>
      <c r="P41" s="3032">
        <f>SUM(C41+D41+E41+G41+H41+I41+L41+M41+N41)/9</f>
        <v>4.5627209833333335</v>
      </c>
      <c r="Q41" s="3032">
        <f>SUM(L41)</f>
        <v>4.7707929500000006</v>
      </c>
      <c r="R41" s="3032">
        <f>SUM(L41)</f>
        <v>4.7707929500000006</v>
      </c>
      <c r="S41" s="3032">
        <f>SUM(L41)</f>
        <v>4.7707929500000006</v>
      </c>
      <c r="T41" s="4582">
        <f>SUM(Q41:S41)/3</f>
        <v>4.7707929500000006</v>
      </c>
      <c r="U41" s="4591">
        <f>SUM(C41+D41+E41+G41+H41+I41+L41+M41+N41+Q41+R41+S41)/12</f>
        <v>4.6147389750000007</v>
      </c>
      <c r="V41" s="5582"/>
    </row>
    <row r="42" spans="1:22" ht="18.75">
      <c r="A42" s="4575" t="s">
        <v>1567</v>
      </c>
      <c r="B42" s="3035">
        <f>SUM(B40*B41)</f>
        <v>6297.0450759759897</v>
      </c>
      <c r="C42" s="3035">
        <f t="shared" ref="C42:Q42" si="28">SUM(C40*C41)</f>
        <v>520.11385381724995</v>
      </c>
      <c r="D42" s="3035">
        <f t="shared" si="28"/>
        <v>517.08952778175001</v>
      </c>
      <c r="E42" s="3035">
        <f t="shared" si="28"/>
        <v>517.08952778175001</v>
      </c>
      <c r="F42" s="3035">
        <f t="shared" si="28"/>
        <v>1554.2929093807497</v>
      </c>
      <c r="G42" s="3035">
        <f t="shared" si="28"/>
        <v>514.06520174624984</v>
      </c>
      <c r="H42" s="3035">
        <f t="shared" si="28"/>
        <v>486.84626742674993</v>
      </c>
      <c r="I42" s="3035">
        <f t="shared" si="28"/>
        <v>486.84626742674993</v>
      </c>
      <c r="J42" s="3035">
        <f t="shared" si="28"/>
        <v>1487.7577365997497</v>
      </c>
      <c r="K42" s="3035">
        <f t="shared" si="28"/>
        <v>3042.0506459804992</v>
      </c>
      <c r="L42" s="3035">
        <f t="shared" si="28"/>
        <v>520.92550614662252</v>
      </c>
      <c r="M42" s="3035">
        <f t="shared" si="28"/>
        <v>520.92550614662252</v>
      </c>
      <c r="N42" s="3035">
        <f t="shared" si="28"/>
        <v>550.04976586848738</v>
      </c>
      <c r="O42" s="3035">
        <f t="shared" si="28"/>
        <v>1591.9007781617324</v>
      </c>
      <c r="P42" s="3035">
        <f t="shared" si="28"/>
        <v>4635.5039115071213</v>
      </c>
      <c r="Q42" s="3035">
        <f t="shared" si="28"/>
        <v>553.28579472647255</v>
      </c>
      <c r="R42" s="3035">
        <f t="shared" ref="R42:T42" si="29">SUM(R40*R41)</f>
        <v>553.28579472647255</v>
      </c>
      <c r="S42" s="3035">
        <f t="shared" si="29"/>
        <v>556.52182358445759</v>
      </c>
      <c r="T42" s="4583">
        <f t="shared" si="29"/>
        <v>1663.0934130374023</v>
      </c>
      <c r="U42" s="4590">
        <f>SUM(C42+D42+E42+G42+H42+I42+L42+M42+N42+Q42+R42+S42)</f>
        <v>6297.0448371796347</v>
      </c>
      <c r="V42" s="5582"/>
    </row>
    <row r="43" spans="1:22" ht="19.5" thickBot="1">
      <c r="A43" s="4576" t="s">
        <v>1578</v>
      </c>
      <c r="B43" s="3037">
        <f>SUM(B35)</f>
        <v>3248.93</v>
      </c>
      <c r="C43" s="3037">
        <f t="shared" ref="C43:E43" si="30">SUM(C35)</f>
        <v>277.74250000000001</v>
      </c>
      <c r="D43" s="3037">
        <f t="shared" si="30"/>
        <v>276.1275</v>
      </c>
      <c r="E43" s="3037">
        <f t="shared" si="30"/>
        <v>276.1275</v>
      </c>
      <c r="F43" s="3037">
        <f>SUM(C43:E43)</f>
        <v>829.99749999999995</v>
      </c>
      <c r="G43" s="3037">
        <f t="shared" ref="G43:I43" si="31">SUM(G35)</f>
        <v>274.51249999999993</v>
      </c>
      <c r="H43" s="3037">
        <f t="shared" si="31"/>
        <v>259.97749999999996</v>
      </c>
      <c r="I43" s="3037">
        <f t="shared" si="31"/>
        <v>259.97749999999996</v>
      </c>
      <c r="J43" s="3037">
        <f>SUM(G43:I43)</f>
        <v>794.46749999999986</v>
      </c>
      <c r="K43" s="3037">
        <f>SUM(F43+J43)</f>
        <v>1624.4649999999997</v>
      </c>
      <c r="L43" s="3037">
        <f t="shared" ref="L43:N43" si="32">SUM(L35)</f>
        <v>259.97749999999996</v>
      </c>
      <c r="M43" s="3037">
        <f t="shared" si="32"/>
        <v>259.97749999999996</v>
      </c>
      <c r="N43" s="3037">
        <f t="shared" si="32"/>
        <v>274.51249999999993</v>
      </c>
      <c r="O43" s="3037">
        <f>SUM(L43:N43)</f>
        <v>794.46749999999986</v>
      </c>
      <c r="P43" s="3037">
        <f>SUM(K43+O43)</f>
        <v>2418.9324999999994</v>
      </c>
      <c r="Q43" s="3037">
        <f t="shared" ref="Q43" si="33">SUM(Q35)</f>
        <v>276.1275</v>
      </c>
      <c r="R43" s="3037">
        <f t="shared" ref="R43:S43" si="34">SUM(R35)</f>
        <v>276.1275</v>
      </c>
      <c r="S43" s="3037">
        <f t="shared" si="34"/>
        <v>277.74250000000001</v>
      </c>
      <c r="T43" s="4584">
        <f>SUM(Q43:S43)</f>
        <v>829.99749999999995</v>
      </c>
      <c r="U43" s="4590">
        <f>SUM(F43+J43+O43+T43)</f>
        <v>3248.9299999999994</v>
      </c>
    </row>
    <row r="44" spans="1:22" ht="19.5" thickBot="1">
      <c r="A44" s="5535" t="s">
        <v>1582</v>
      </c>
      <c r="B44" s="5536"/>
      <c r="C44" s="5536"/>
      <c r="D44" s="5536"/>
      <c r="E44" s="5536"/>
      <c r="F44" s="5536"/>
      <c r="G44" s="5536"/>
      <c r="H44" s="5536"/>
      <c r="I44" s="5536"/>
      <c r="J44" s="5536"/>
      <c r="K44" s="5536"/>
      <c r="L44" s="5536"/>
      <c r="M44" s="5536"/>
      <c r="N44" s="5536"/>
      <c r="O44" s="5536"/>
      <c r="P44" s="5536"/>
      <c r="Q44" s="5536"/>
      <c r="R44" s="5536"/>
      <c r="S44" s="5536"/>
      <c r="T44" s="5536"/>
      <c r="U44" s="4590"/>
    </row>
    <row r="45" spans="1:22" ht="18.75">
      <c r="A45" s="4577" t="s">
        <v>1573</v>
      </c>
      <c r="B45" s="2465">
        <f>SUM(B32+B40)</f>
        <v>1637.4607199999998</v>
      </c>
      <c r="C45" s="2465">
        <f t="shared" ref="C45:Q45" si="35">SUM(C32+C40)</f>
        <v>139.98221999999998</v>
      </c>
      <c r="D45" s="2465">
        <f t="shared" si="35"/>
        <v>139.16825999999998</v>
      </c>
      <c r="E45" s="2465">
        <f t="shared" si="35"/>
        <v>139.16825999999998</v>
      </c>
      <c r="F45" s="2465">
        <f t="shared" si="35"/>
        <v>418.31873999999993</v>
      </c>
      <c r="G45" s="2465">
        <f t="shared" si="35"/>
        <v>138.35429999999997</v>
      </c>
      <c r="H45" s="2465">
        <f t="shared" si="35"/>
        <v>131.02865999999997</v>
      </c>
      <c r="I45" s="2465">
        <f t="shared" si="35"/>
        <v>131.02865999999997</v>
      </c>
      <c r="J45" s="2465">
        <f t="shared" si="35"/>
        <v>400.41161999999997</v>
      </c>
      <c r="K45" s="2465">
        <f t="shared" si="35"/>
        <v>818.73035999999979</v>
      </c>
      <c r="L45" s="2465">
        <f t="shared" si="35"/>
        <v>131.02865999999997</v>
      </c>
      <c r="M45" s="2465">
        <f t="shared" si="35"/>
        <v>131.02865999999997</v>
      </c>
      <c r="N45" s="2465">
        <f t="shared" si="35"/>
        <v>138.35429999999997</v>
      </c>
      <c r="O45" s="2465">
        <f t="shared" si="35"/>
        <v>400.41161999999997</v>
      </c>
      <c r="P45" s="2465">
        <f t="shared" si="35"/>
        <v>1219.1419799999996</v>
      </c>
      <c r="Q45" s="2465">
        <f t="shared" si="35"/>
        <v>139.16825999999998</v>
      </c>
      <c r="R45" s="2465">
        <f t="shared" ref="R45:T45" si="36">SUM(R32+R40)</f>
        <v>139.16825999999998</v>
      </c>
      <c r="S45" s="2465">
        <f t="shared" si="36"/>
        <v>139.98221999999998</v>
      </c>
      <c r="T45" s="4585">
        <f t="shared" si="36"/>
        <v>418.31873999999993</v>
      </c>
      <c r="U45" s="4590">
        <f>SUM(F45+J45+O45+T45)</f>
        <v>1637.4607199999998</v>
      </c>
    </row>
    <row r="46" spans="1:22" ht="18.75">
      <c r="A46" s="4578" t="s">
        <v>1574</v>
      </c>
      <c r="B46" s="3038">
        <f>SUM(B47/B45)</f>
        <v>4.8547237083333341</v>
      </c>
      <c r="C46" s="3038">
        <f t="shared" ref="C46:Q46" si="37">SUM(C47/C45)</f>
        <v>4.6905541666666668</v>
      </c>
      <c r="D46" s="3038">
        <f t="shared" si="37"/>
        <v>4.6905541666666677</v>
      </c>
      <c r="E46" s="3038">
        <f t="shared" si="37"/>
        <v>4.6905541666666677</v>
      </c>
      <c r="F46" s="3038">
        <f t="shared" si="37"/>
        <v>4.6905541666666668</v>
      </c>
      <c r="G46" s="3038">
        <f t="shared" si="37"/>
        <v>4.6905541666666668</v>
      </c>
      <c r="H46" s="3038">
        <f t="shared" si="37"/>
        <v>4.6905541666666668</v>
      </c>
      <c r="I46" s="3038">
        <f t="shared" si="37"/>
        <v>4.6905541666666668</v>
      </c>
      <c r="J46" s="3038">
        <f t="shared" si="37"/>
        <v>4.6905541666666659</v>
      </c>
      <c r="K46" s="3038">
        <f t="shared" si="37"/>
        <v>4.6905541666666668</v>
      </c>
      <c r="L46" s="3038">
        <f t="shared" si="37"/>
        <v>5.0188929583333346</v>
      </c>
      <c r="M46" s="3038">
        <f t="shared" si="37"/>
        <v>5.0188929583333346</v>
      </c>
      <c r="N46" s="3038">
        <f t="shared" si="37"/>
        <v>5.0188929583333337</v>
      </c>
      <c r="O46" s="3038">
        <f t="shared" si="37"/>
        <v>5.0188929583333337</v>
      </c>
      <c r="P46" s="3038">
        <f t="shared" si="37"/>
        <v>4.8000004305555564</v>
      </c>
      <c r="Q46" s="3038">
        <f t="shared" si="37"/>
        <v>5.0188929583333346</v>
      </c>
      <c r="R46" s="3038">
        <f t="shared" ref="R46:T46" si="38">SUM(R47/R45)</f>
        <v>5.0188929583333346</v>
      </c>
      <c r="S46" s="3038">
        <f t="shared" si="38"/>
        <v>5.0188929583333355</v>
      </c>
      <c r="T46" s="4586">
        <f t="shared" si="38"/>
        <v>5.0188929583333337</v>
      </c>
      <c r="U46" s="4591">
        <f>SUM(C46+D46+E46+G46+H46+I46+L46+M46+N46+Q46+R46+S46)/12</f>
        <v>4.8547235624999994</v>
      </c>
    </row>
    <row r="47" spans="1:22" ht="19.5" thickBot="1">
      <c r="A47" s="4579" t="s">
        <v>1575</v>
      </c>
      <c r="B47" s="3042">
        <f>SUM(B34+B42)</f>
        <v>7949.41937884857</v>
      </c>
      <c r="C47" s="3042">
        <f t="shared" ref="C47:Q47" si="39">SUM(C34+C42)</f>
        <v>656.59418528024992</v>
      </c>
      <c r="D47" s="3042">
        <f t="shared" si="39"/>
        <v>652.77626181075004</v>
      </c>
      <c r="E47" s="3042">
        <f t="shared" si="39"/>
        <v>652.77626181075004</v>
      </c>
      <c r="F47" s="3042">
        <f t="shared" si="39"/>
        <v>1962.1467089017499</v>
      </c>
      <c r="G47" s="3042">
        <f t="shared" si="39"/>
        <v>648.95833834124983</v>
      </c>
      <c r="H47" s="3042">
        <f t="shared" si="39"/>
        <v>614.59702711574994</v>
      </c>
      <c r="I47" s="3042">
        <f t="shared" si="39"/>
        <v>614.59702711574994</v>
      </c>
      <c r="J47" s="3042">
        <f t="shared" si="39"/>
        <v>1878.1523925727497</v>
      </c>
      <c r="K47" s="3042">
        <f t="shared" si="39"/>
        <v>3840.2991014744989</v>
      </c>
      <c r="L47" s="3042">
        <f t="shared" si="39"/>
        <v>657.61881901385254</v>
      </c>
      <c r="M47" s="3042">
        <f t="shared" si="39"/>
        <v>657.61881901385254</v>
      </c>
      <c r="N47" s="3042">
        <f t="shared" si="39"/>
        <v>694.38542202513736</v>
      </c>
      <c r="O47" s="3042">
        <f t="shared" si="39"/>
        <v>2009.6230600528424</v>
      </c>
      <c r="P47" s="3042">
        <f t="shared" si="39"/>
        <v>5851.8820289083515</v>
      </c>
      <c r="Q47" s="3042">
        <f t="shared" si="39"/>
        <v>698.47060013750252</v>
      </c>
      <c r="R47" s="3042">
        <f t="shared" ref="R47:T47" si="40">SUM(R34+R42)</f>
        <v>698.47060013750252</v>
      </c>
      <c r="S47" s="3042">
        <f t="shared" si="40"/>
        <v>702.55577824986767</v>
      </c>
      <c r="T47" s="4588">
        <f t="shared" si="40"/>
        <v>2099.4969785248722</v>
      </c>
      <c r="U47" s="4590">
        <f>SUM(F47+J47+O47+T47)</f>
        <v>7949.4191400522141</v>
      </c>
    </row>
  </sheetData>
  <mergeCells count="13">
    <mergeCell ref="U3:U5"/>
    <mergeCell ref="A3:T3"/>
    <mergeCell ref="A4:A5"/>
    <mergeCell ref="B4:B5"/>
    <mergeCell ref="C4:T4"/>
    <mergeCell ref="A6:T6"/>
    <mergeCell ref="A44:T44"/>
    <mergeCell ref="V12:V13"/>
    <mergeCell ref="V20:V21"/>
    <mergeCell ref="V33:V34"/>
    <mergeCell ref="V41:V42"/>
    <mergeCell ref="A27:T27"/>
    <mergeCell ref="A23:T23"/>
  </mergeCells>
  <printOptions horizontalCentered="1" verticalCentered="1"/>
  <pageMargins left="0.11811023622047245" right="0.11811023622047245" top="0.15748031496062992" bottom="0.15748031496062992" header="0.31496062992125984" footer="0.31496062992125984"/>
  <pageSetup paperSize="9" scale="54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>
  <sheetPr enableFormatConditionsCalculation="0">
    <tabColor rgb="FFFF0000"/>
    <pageSetUpPr fitToPage="1"/>
  </sheetPr>
  <dimension ref="A1:DK79"/>
  <sheetViews>
    <sheetView zoomScale="80" zoomScaleNormal="80" zoomScalePageLayoutView="80" workbookViewId="0">
      <pane xSplit="5" ySplit="28" topLeftCell="CL39" activePane="bottomRight" state="frozen"/>
      <selection pane="topRight" activeCell="F1" sqref="F1"/>
      <selection pane="bottomLeft" activeCell="A28" sqref="A28"/>
      <selection pane="bottomRight" activeCell="DK45" sqref="DK45"/>
    </sheetView>
  </sheetViews>
  <sheetFormatPr defaultRowHeight="12.75" outlineLevelCol="1"/>
  <cols>
    <col min="1" max="1" width="23.7109375" customWidth="1"/>
    <col min="2" max="2" width="7.140625" hidden="1" customWidth="1"/>
    <col min="3" max="3" width="8.42578125" hidden="1" customWidth="1"/>
    <col min="4" max="4" width="9.140625" hidden="1" customWidth="1"/>
    <col min="5" max="5" width="9.28515625" hidden="1" customWidth="1"/>
    <col min="6" max="6" width="10" hidden="1" customWidth="1"/>
    <col min="7" max="7" width="10.85546875" hidden="1" customWidth="1"/>
    <col min="8" max="8" width="10.42578125" hidden="1" customWidth="1"/>
    <col min="9" max="9" width="8" hidden="1" customWidth="1"/>
    <col min="10" max="10" width="10.140625" hidden="1" customWidth="1"/>
    <col min="11" max="11" width="11.140625" hidden="1" customWidth="1"/>
    <col min="12" max="12" width="10.140625" hidden="1" customWidth="1"/>
    <col min="13" max="13" width="10.85546875" hidden="1" customWidth="1"/>
    <col min="14" max="14" width="7.5703125" hidden="1" customWidth="1"/>
    <col min="15" max="15" width="10" hidden="1" customWidth="1"/>
    <col min="16" max="16" width="9.7109375" hidden="1" customWidth="1"/>
    <col min="17" max="17" width="10.140625" hidden="1" customWidth="1"/>
    <col min="18" max="18" width="12.28515625" hidden="1" customWidth="1"/>
    <col min="19" max="19" width="9.7109375" hidden="1" customWidth="1"/>
    <col min="20" max="20" width="8.42578125" hidden="1" customWidth="1"/>
    <col min="21" max="21" width="10.28515625" hidden="1" customWidth="1"/>
    <col min="22" max="22" width="13.5703125" hidden="1" customWidth="1"/>
    <col min="23" max="23" width="10.140625" hidden="1" customWidth="1"/>
    <col min="24" max="25" width="7.42578125" hidden="1" customWidth="1" outlineLevel="1"/>
    <col min="26" max="26" width="7.85546875" hidden="1" customWidth="1" outlineLevel="1"/>
    <col min="27" max="27" width="7.7109375" hidden="1" customWidth="1" outlineLevel="1"/>
    <col min="28" max="29" width="9.140625" hidden="1" customWidth="1" outlineLevel="1"/>
    <col min="30" max="30" width="11.28515625" hidden="1" customWidth="1" outlineLevel="1"/>
    <col min="31" max="31" width="11" hidden="1" customWidth="1" outlineLevel="1"/>
    <col min="32" max="32" width="10.5703125" hidden="1" customWidth="1" outlineLevel="1"/>
    <col min="33" max="33" width="9.28515625" hidden="1" customWidth="1" collapsed="1"/>
    <col min="34" max="34" width="8.85546875" hidden="1" customWidth="1"/>
    <col min="35" max="35" width="9.42578125" hidden="1" customWidth="1"/>
    <col min="36" max="36" width="10" hidden="1" customWidth="1"/>
    <col min="37" max="37" width="9.7109375" hidden="1" customWidth="1"/>
    <col min="39" max="39" width="10.85546875" customWidth="1"/>
    <col min="40" max="40" width="10.140625" customWidth="1"/>
    <col min="41" max="41" width="10.140625" hidden="1" customWidth="1"/>
    <col min="42" max="42" width="9.7109375" customWidth="1"/>
    <col min="43" max="43" width="9.140625" hidden="1" customWidth="1"/>
    <col min="44" max="44" width="10.140625" hidden="1" customWidth="1"/>
    <col min="45" max="45" width="13" hidden="1" customWidth="1"/>
    <col min="46" max="46" width="9.7109375" hidden="1" customWidth="1"/>
    <col min="47" max="47" width="9.140625" hidden="1" customWidth="1"/>
    <col min="48" max="48" width="10.85546875" hidden="1" customWidth="1"/>
    <col min="49" max="49" width="10.42578125" hidden="1" customWidth="1"/>
    <col min="50" max="50" width="9.7109375" hidden="1" customWidth="1"/>
    <col min="51" max="54" width="9.7109375" customWidth="1"/>
    <col min="55" max="55" width="9.140625" customWidth="1"/>
    <col min="56" max="56" width="10.140625" customWidth="1"/>
    <col min="57" max="57" width="10.42578125" customWidth="1"/>
    <col min="58" max="58" width="10.5703125" hidden="1" customWidth="1"/>
    <col min="59" max="59" width="9.7109375" customWidth="1"/>
    <col min="60" max="60" width="9.140625" customWidth="1"/>
    <col min="61" max="61" width="10.85546875" customWidth="1"/>
    <col min="62" max="62" width="11.42578125" customWidth="1"/>
    <col min="63" max="63" width="10.140625" hidden="1" customWidth="1"/>
    <col min="64" max="64" width="9.7109375" customWidth="1"/>
    <col min="65" max="66" width="9.140625" hidden="1" customWidth="1"/>
    <col min="67" max="67" width="7.7109375" hidden="1" customWidth="1"/>
    <col min="68" max="69" width="9.140625" hidden="1" customWidth="1"/>
    <col min="70" max="70" width="11" hidden="1" customWidth="1"/>
    <col min="71" max="71" width="10.42578125" hidden="1" customWidth="1"/>
    <col min="72" max="72" width="9.7109375" hidden="1" customWidth="1"/>
    <col min="73" max="73" width="9.140625" hidden="1" customWidth="1"/>
    <col min="74" max="74" width="11" hidden="1" customWidth="1"/>
    <col min="75" max="75" width="10.42578125" hidden="1" customWidth="1"/>
    <col min="76" max="76" width="9.7109375" hidden="1" customWidth="1"/>
    <col min="77" max="77" width="9.140625" customWidth="1"/>
    <col min="78" max="78" width="11" customWidth="1"/>
    <col min="79" max="79" width="11.85546875" customWidth="1"/>
    <col min="80" max="80" width="9.7109375" customWidth="1"/>
    <col min="81" max="81" width="9.140625" customWidth="1"/>
    <col min="82" max="82" width="11" customWidth="1"/>
    <col min="83" max="83" width="10.42578125" customWidth="1"/>
    <col min="84" max="84" width="9.85546875" hidden="1" customWidth="1"/>
    <col min="87" max="88" width="9.140625" customWidth="1"/>
    <col min="89" max="89" width="9.140625" hidden="1" customWidth="1"/>
    <col min="90" max="90" width="9.7109375" customWidth="1"/>
    <col min="91" max="93" width="9.140625" hidden="1" customWidth="1"/>
    <col min="94" max="94" width="9.140625" customWidth="1"/>
    <col min="95" max="95" width="10.5703125" customWidth="1"/>
    <col min="96" max="96" width="11.140625" customWidth="1"/>
    <col min="97" max="97" width="10.28515625" customWidth="1"/>
    <col min="98" max="98" width="9.140625" customWidth="1"/>
    <col min="99" max="99" width="9.5703125" customWidth="1"/>
    <col min="100" max="100" width="11.140625" customWidth="1"/>
    <col min="101" max="101" width="11.28515625" customWidth="1"/>
    <col min="102" max="102" width="9.140625" customWidth="1"/>
    <col min="103" max="103" width="10.28515625" customWidth="1"/>
    <col min="104" max="104" width="11.140625" customWidth="1"/>
    <col min="105" max="105" width="11.7109375" customWidth="1"/>
    <col min="109" max="109" width="0" hidden="1" customWidth="1"/>
    <col min="110" max="110" width="9.7109375" customWidth="1"/>
    <col min="114" max="114" width="0" hidden="1" customWidth="1"/>
    <col min="115" max="115" width="9.7109375" customWidth="1"/>
  </cols>
  <sheetData>
    <row r="1" spans="1:115">
      <c r="A1" s="5021" t="s">
        <v>1532</v>
      </c>
      <c r="B1" s="5021"/>
      <c r="C1" s="5021"/>
      <c r="D1" s="5021"/>
      <c r="E1" s="5021"/>
      <c r="F1" s="5021"/>
      <c r="G1" s="5021"/>
      <c r="H1" s="5021"/>
      <c r="I1" s="5021"/>
      <c r="J1" s="5021"/>
      <c r="K1" s="5021"/>
      <c r="L1" s="5021"/>
      <c r="M1" s="5021"/>
      <c r="N1" s="5021"/>
      <c r="O1" s="5021"/>
      <c r="P1" s="5021"/>
      <c r="Q1" s="5021"/>
      <c r="R1" s="5021"/>
      <c r="S1" s="5021"/>
      <c r="T1" s="5021"/>
      <c r="U1" s="5021"/>
      <c r="V1" s="5021"/>
      <c r="W1" s="5021"/>
      <c r="X1" s="5021"/>
      <c r="Y1" s="5021"/>
      <c r="Z1" s="5021"/>
      <c r="AA1" s="5021"/>
      <c r="AB1" s="5021"/>
      <c r="AC1" s="5021"/>
      <c r="AD1" s="5021"/>
      <c r="AE1" s="5021"/>
      <c r="AF1" s="5021"/>
      <c r="AG1" s="5021"/>
      <c r="AH1" s="5021"/>
      <c r="AI1" s="5021"/>
      <c r="AJ1" s="5021"/>
      <c r="AK1" s="5021"/>
      <c r="AL1" s="5021"/>
      <c r="AM1" s="5021"/>
      <c r="AN1" s="5021"/>
      <c r="AO1" s="5021"/>
      <c r="AP1" s="5021"/>
      <c r="AQ1" s="5021"/>
      <c r="AR1" s="5021"/>
      <c r="AS1" s="5021"/>
      <c r="AT1" s="5021"/>
      <c r="AU1" s="5021"/>
      <c r="AV1" s="5021"/>
      <c r="AW1" s="5021"/>
      <c r="AX1" s="5021"/>
      <c r="AY1" s="5021"/>
      <c r="AZ1" s="5021"/>
      <c r="BA1" s="5021"/>
      <c r="BB1" s="5021"/>
      <c r="BC1" s="5021"/>
      <c r="BD1" s="5021"/>
      <c r="BE1" s="5021"/>
      <c r="BF1" s="5021"/>
      <c r="BG1" s="5021"/>
      <c r="BH1" s="5021"/>
      <c r="BI1" s="5021"/>
      <c r="BJ1" s="5021"/>
      <c r="BK1" s="5021"/>
      <c r="BL1" s="5021"/>
      <c r="BM1" s="5021"/>
      <c r="BN1" s="5021"/>
      <c r="BO1" s="5021"/>
      <c r="BP1" s="5021"/>
      <c r="BQ1" s="5021"/>
      <c r="BR1" s="5021"/>
      <c r="BS1" s="5021"/>
      <c r="BT1" s="5021"/>
      <c r="BU1" s="5021"/>
      <c r="BV1" s="5021"/>
      <c r="BW1" s="5021"/>
      <c r="BX1" s="5021"/>
      <c r="BY1" s="5021"/>
      <c r="BZ1" s="5021"/>
      <c r="CA1" s="5021"/>
      <c r="CB1" s="5021"/>
      <c r="CC1" s="5021"/>
      <c r="CD1" s="5021"/>
      <c r="CE1" s="5021"/>
      <c r="CF1" s="5021"/>
      <c r="CG1" s="5021"/>
      <c r="CH1" s="5021"/>
      <c r="CI1" s="5021"/>
      <c r="CJ1" s="5021"/>
      <c r="CK1" s="5021"/>
      <c r="CL1" s="5021"/>
      <c r="CM1" s="5021"/>
      <c r="CN1" s="5021"/>
      <c r="CO1" s="5021"/>
      <c r="CP1" s="5021"/>
      <c r="CQ1" s="5021"/>
      <c r="CR1" s="5021"/>
      <c r="CS1" s="5021"/>
      <c r="CT1" s="5021"/>
      <c r="CU1" s="5021"/>
      <c r="CV1" s="5021"/>
      <c r="CW1" s="5021"/>
      <c r="CX1" s="5021"/>
      <c r="CY1" s="5021"/>
      <c r="CZ1" s="5021"/>
      <c r="DA1" s="5021"/>
      <c r="DB1" s="4894"/>
      <c r="DC1" s="4894"/>
      <c r="DD1" s="4894"/>
      <c r="DE1" s="4894"/>
      <c r="DF1" s="4894"/>
      <c r="DG1" s="4894"/>
      <c r="DH1" s="4894"/>
      <c r="DI1" s="4894"/>
      <c r="DJ1" s="4894"/>
      <c r="DK1" s="4894"/>
    </row>
    <row r="2" spans="1:115" ht="26.25">
      <c r="A2" s="5326" t="s">
        <v>364</v>
      </c>
      <c r="B2" s="5326"/>
      <c r="C2" s="5326"/>
      <c r="D2" s="5326"/>
      <c r="E2" s="5326"/>
      <c r="F2" s="5326"/>
      <c r="G2" s="5326"/>
      <c r="H2" s="5326"/>
      <c r="I2" s="5326"/>
      <c r="J2" s="5326"/>
      <c r="K2" s="5326"/>
      <c r="L2" s="5326"/>
      <c r="M2" s="5326"/>
      <c r="N2" s="5326"/>
      <c r="O2" s="5326"/>
      <c r="P2" s="5326"/>
      <c r="Q2" s="5326"/>
      <c r="R2" s="5326"/>
      <c r="S2" s="5326"/>
      <c r="T2" s="5326"/>
      <c r="U2" s="5326"/>
      <c r="V2" s="5326"/>
      <c r="W2" s="5326"/>
      <c r="X2" s="5326"/>
      <c r="Y2" s="5326"/>
      <c r="Z2" s="5326"/>
      <c r="AA2" s="5326"/>
      <c r="AB2" s="5326"/>
      <c r="AC2" s="5326"/>
      <c r="AD2" s="5326"/>
      <c r="AE2" s="5326"/>
      <c r="AF2" s="5326"/>
      <c r="AG2" s="5326"/>
      <c r="AH2" s="5326"/>
      <c r="AI2" s="5326"/>
      <c r="AJ2" s="5326"/>
      <c r="AK2" s="5326"/>
      <c r="AL2" s="5697"/>
      <c r="AM2" s="5697"/>
      <c r="AN2" s="5697"/>
      <c r="AO2" s="5697"/>
      <c r="AP2" s="5697"/>
      <c r="AQ2" s="5697"/>
      <c r="AR2" s="5697"/>
      <c r="AS2" s="5697"/>
      <c r="AT2" s="5697"/>
      <c r="AU2" s="5697"/>
      <c r="AV2" s="5697"/>
      <c r="AW2" s="5697"/>
      <c r="AX2" s="5697"/>
      <c r="AY2" s="5697"/>
      <c r="AZ2" s="5697"/>
      <c r="BA2" s="5697"/>
      <c r="BB2" s="5697"/>
      <c r="BC2" s="5697"/>
      <c r="BD2" s="5697"/>
      <c r="BE2" s="5697"/>
      <c r="BF2" s="5697"/>
      <c r="BG2" s="5697"/>
      <c r="BH2" s="5697"/>
      <c r="BI2" s="5697"/>
      <c r="BJ2" s="5697"/>
      <c r="BK2" s="5697"/>
      <c r="BL2" s="5697"/>
      <c r="BM2" s="5697"/>
      <c r="BN2" s="5697"/>
      <c r="BO2" s="5697"/>
      <c r="BP2" s="4894"/>
      <c r="BQ2" s="4894"/>
      <c r="BR2" s="4894"/>
      <c r="BS2" s="4894"/>
      <c r="BT2" s="4894"/>
      <c r="BU2" s="4894"/>
      <c r="BV2" s="4894"/>
      <c r="BW2" s="4894"/>
      <c r="BX2" s="4894"/>
      <c r="BY2" s="4894"/>
      <c r="BZ2" s="4894"/>
      <c r="CA2" s="4894"/>
      <c r="CB2" s="4894"/>
      <c r="CC2" s="4894"/>
      <c r="CD2" s="4894"/>
      <c r="CE2" s="4894"/>
      <c r="CF2" s="4894"/>
      <c r="CG2" s="4894"/>
      <c r="CH2" s="4894"/>
      <c r="CI2" s="4894"/>
      <c r="CJ2" s="4894"/>
      <c r="CK2" s="4894"/>
      <c r="CL2" s="4894"/>
      <c r="CM2" s="4894"/>
      <c r="CN2" s="4894"/>
      <c r="CO2" s="4894"/>
      <c r="CP2" s="4894"/>
      <c r="CQ2" s="4894"/>
      <c r="CR2" s="4894"/>
      <c r="CS2" s="4894"/>
      <c r="CT2" s="4894"/>
      <c r="CU2" s="4894"/>
      <c r="CV2" s="4894"/>
      <c r="CW2" s="4894"/>
      <c r="CX2" s="4894"/>
      <c r="CY2" s="4894"/>
      <c r="CZ2" s="4894"/>
      <c r="DA2" s="4894"/>
      <c r="DB2" s="4894"/>
      <c r="DC2" s="4894"/>
      <c r="DD2" s="4894"/>
      <c r="DE2" s="4894"/>
      <c r="DF2" s="4894"/>
      <c r="DG2" s="4894"/>
      <c r="DH2" s="4894"/>
      <c r="DI2" s="4894"/>
      <c r="DJ2" s="4894"/>
      <c r="DK2" s="4894"/>
    </row>
    <row r="3" spans="1:115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</row>
    <row r="4" spans="1:115" ht="12.75" hidden="1" customHeight="1">
      <c r="A4" s="5702"/>
      <c r="B4" s="293"/>
      <c r="C4" s="293"/>
      <c r="D4" s="293"/>
      <c r="E4" s="311"/>
      <c r="F4" s="5705" t="s">
        <v>227</v>
      </c>
      <c r="G4" s="5706"/>
      <c r="H4" s="5706"/>
      <c r="I4" s="5706"/>
      <c r="J4" s="5707"/>
      <c r="K4" s="5711" t="s">
        <v>228</v>
      </c>
      <c r="L4" s="5706"/>
      <c r="M4" s="5706"/>
      <c r="N4" s="5706"/>
      <c r="O4" s="5712"/>
      <c r="P4" s="5705" t="s">
        <v>251</v>
      </c>
      <c r="Q4" s="5706"/>
      <c r="R4" s="5706"/>
      <c r="S4" s="5706"/>
      <c r="T4" s="5706"/>
      <c r="U4" s="5706"/>
      <c r="V4" s="5706"/>
      <c r="W4" s="5707"/>
      <c r="X4" s="5655" t="s">
        <v>163</v>
      </c>
      <c r="Y4" s="5656"/>
      <c r="Z4" s="5656"/>
      <c r="AA4" s="5656"/>
      <c r="AB4" s="5656"/>
      <c r="AC4" s="5656"/>
      <c r="AD4" s="5656"/>
      <c r="AE4" s="5656"/>
      <c r="AF4" s="5656"/>
      <c r="AG4" s="5656"/>
      <c r="AH4" s="5656"/>
      <c r="AI4" s="5656"/>
      <c r="AJ4" s="5656"/>
      <c r="AK4" s="5656"/>
      <c r="AL4" s="5656"/>
      <c r="AM4" s="5656"/>
      <c r="AN4" s="5656"/>
      <c r="AO4" s="5656"/>
      <c r="AP4" s="5651" t="s">
        <v>380</v>
      </c>
      <c r="AQ4" s="870"/>
      <c r="AR4" s="870"/>
      <c r="AS4" s="870"/>
      <c r="AT4" s="870"/>
      <c r="AU4" s="870"/>
      <c r="AV4" s="870"/>
      <c r="AW4" s="870"/>
      <c r="AX4" s="870"/>
      <c r="AY4" s="870"/>
      <c r="AZ4" s="870"/>
      <c r="BA4" s="870"/>
      <c r="BB4" s="870"/>
      <c r="BC4" s="870"/>
      <c r="BD4" s="870"/>
      <c r="BE4" s="870"/>
      <c r="BF4" s="870"/>
      <c r="BG4" s="870"/>
      <c r="BH4" s="870"/>
      <c r="BI4" s="870"/>
      <c r="BJ4" s="870"/>
      <c r="BK4" s="870"/>
      <c r="BL4" s="870"/>
      <c r="BM4" s="286"/>
      <c r="BN4" s="286"/>
      <c r="BO4" s="286"/>
      <c r="BP4" s="287"/>
    </row>
    <row r="5" spans="1:115" hidden="1">
      <c r="A5" s="5703"/>
      <c r="B5" s="5463" t="s">
        <v>59</v>
      </c>
      <c r="C5" s="5463"/>
      <c r="D5" s="5463"/>
      <c r="E5" s="5715"/>
      <c r="F5" s="5708"/>
      <c r="G5" s="5709"/>
      <c r="H5" s="5709"/>
      <c r="I5" s="5709"/>
      <c r="J5" s="5710"/>
      <c r="K5" s="5713"/>
      <c r="L5" s="5709"/>
      <c r="M5" s="5709"/>
      <c r="N5" s="5709"/>
      <c r="O5" s="5714"/>
      <c r="P5" s="5708" t="s">
        <v>229</v>
      </c>
      <c r="Q5" s="5709"/>
      <c r="R5" s="5709"/>
      <c r="S5" s="5709"/>
      <c r="T5" s="5709" t="s">
        <v>252</v>
      </c>
      <c r="U5" s="5709"/>
      <c r="V5" s="5709"/>
      <c r="W5" s="5710"/>
      <c r="X5" s="5716" t="s">
        <v>168</v>
      </c>
      <c r="Y5" s="5666"/>
      <c r="Z5" s="5666"/>
      <c r="AA5" s="5666"/>
      <c r="AB5" s="5666"/>
      <c r="AC5" s="849"/>
      <c r="AD5" s="849"/>
      <c r="AE5" s="849"/>
      <c r="AF5" s="849"/>
      <c r="AG5" s="5666" t="s">
        <v>247</v>
      </c>
      <c r="AH5" s="5666"/>
      <c r="AI5" s="5666"/>
      <c r="AJ5" s="5666"/>
      <c r="AK5" s="5666"/>
      <c r="AL5" s="5654" t="s">
        <v>229</v>
      </c>
      <c r="AM5" s="5654"/>
      <c r="AN5" s="5654"/>
      <c r="AO5" s="5654"/>
      <c r="AP5" s="5652"/>
      <c r="AQ5" s="871"/>
      <c r="AR5" s="871"/>
      <c r="AS5" s="871"/>
      <c r="AT5" s="871"/>
      <c r="AU5" s="871"/>
      <c r="AV5" s="871"/>
      <c r="AW5" s="871"/>
      <c r="AX5" s="871"/>
      <c r="AY5" s="2679"/>
      <c r="AZ5" s="2679"/>
      <c r="BA5" s="2679"/>
      <c r="BB5" s="2679"/>
      <c r="BC5" s="871"/>
      <c r="BD5" s="871"/>
      <c r="BE5" s="871"/>
      <c r="BF5" s="871"/>
      <c r="BG5" s="871"/>
      <c r="BH5" s="871"/>
      <c r="BI5" s="871"/>
      <c r="BJ5" s="871"/>
      <c r="BK5" s="871"/>
      <c r="BL5" s="871"/>
      <c r="BM5" s="5654" t="s">
        <v>378</v>
      </c>
      <c r="BN5" s="5654"/>
      <c r="BO5" s="5654"/>
      <c r="BP5" s="5717"/>
    </row>
    <row r="6" spans="1:115" ht="57.75" hidden="1" customHeight="1" thickBot="1">
      <c r="A6" s="5704"/>
      <c r="B6" s="275" t="s">
        <v>100</v>
      </c>
      <c r="C6" s="275" t="s">
        <v>125</v>
      </c>
      <c r="D6" s="275" t="s">
        <v>101</v>
      </c>
      <c r="E6" s="276" t="s">
        <v>102</v>
      </c>
      <c r="F6" s="274" t="s">
        <v>100</v>
      </c>
      <c r="G6" s="275" t="s">
        <v>125</v>
      </c>
      <c r="H6" s="275" t="s">
        <v>101</v>
      </c>
      <c r="I6" s="275" t="s">
        <v>66</v>
      </c>
      <c r="J6" s="273" t="s">
        <v>102</v>
      </c>
      <c r="K6" s="316" t="s">
        <v>100</v>
      </c>
      <c r="L6" s="275" t="s">
        <v>125</v>
      </c>
      <c r="M6" s="275" t="s">
        <v>101</v>
      </c>
      <c r="N6" s="275" t="s">
        <v>112</v>
      </c>
      <c r="O6" s="276" t="s">
        <v>102</v>
      </c>
      <c r="P6" s="274" t="s">
        <v>100</v>
      </c>
      <c r="Q6" s="275" t="s">
        <v>125</v>
      </c>
      <c r="R6" s="275" t="s">
        <v>101</v>
      </c>
      <c r="S6" s="275" t="s">
        <v>102</v>
      </c>
      <c r="T6" s="275" t="s">
        <v>100</v>
      </c>
      <c r="U6" s="275" t="s">
        <v>125</v>
      </c>
      <c r="V6" s="275" t="s">
        <v>101</v>
      </c>
      <c r="W6" s="273" t="s">
        <v>102</v>
      </c>
      <c r="X6" s="274" t="s">
        <v>100</v>
      </c>
      <c r="Y6" s="275" t="s">
        <v>125</v>
      </c>
      <c r="Z6" s="275" t="s">
        <v>101</v>
      </c>
      <c r="AA6" s="275" t="s">
        <v>167</v>
      </c>
      <c r="AB6" s="275" t="s">
        <v>102</v>
      </c>
      <c r="AC6" s="275"/>
      <c r="AD6" s="275"/>
      <c r="AE6" s="275"/>
      <c r="AF6" s="275"/>
      <c r="AG6" s="275" t="s">
        <v>100</v>
      </c>
      <c r="AH6" s="275" t="s">
        <v>131</v>
      </c>
      <c r="AI6" s="275" t="s">
        <v>101</v>
      </c>
      <c r="AJ6" s="275" t="s">
        <v>123</v>
      </c>
      <c r="AK6" s="275" t="s">
        <v>102</v>
      </c>
      <c r="AL6" s="275" t="s">
        <v>100</v>
      </c>
      <c r="AM6" s="275" t="s">
        <v>125</v>
      </c>
      <c r="AN6" s="275" t="s">
        <v>101</v>
      </c>
      <c r="AO6" s="275" t="s">
        <v>102</v>
      </c>
      <c r="AP6" s="5653"/>
      <c r="AQ6" s="678"/>
      <c r="AR6" s="678"/>
      <c r="AS6" s="678"/>
      <c r="AT6" s="678"/>
      <c r="AU6" s="678"/>
      <c r="AV6" s="678"/>
      <c r="AW6" s="678"/>
      <c r="AX6" s="678"/>
      <c r="AY6" s="2680"/>
      <c r="AZ6" s="2680"/>
      <c r="BA6" s="2680"/>
      <c r="BB6" s="2680"/>
      <c r="BC6" s="678"/>
      <c r="BD6" s="678"/>
      <c r="BE6" s="678"/>
      <c r="BF6" s="678"/>
      <c r="BG6" s="678"/>
      <c r="BH6" s="678"/>
      <c r="BI6" s="678"/>
      <c r="BJ6" s="678"/>
      <c r="BK6" s="678"/>
      <c r="BL6" s="678"/>
      <c r="BM6" s="275" t="s">
        <v>100</v>
      </c>
      <c r="BN6" s="275" t="s">
        <v>125</v>
      </c>
      <c r="BO6" s="275" t="s">
        <v>101</v>
      </c>
      <c r="BP6" s="273" t="s">
        <v>102</v>
      </c>
    </row>
    <row r="7" spans="1:115" hidden="1">
      <c r="A7" s="305" t="s">
        <v>103</v>
      </c>
      <c r="B7" s="146">
        <v>12.19</v>
      </c>
      <c r="C7" s="291">
        <f>B7/C16*1000</f>
        <v>1.3791308873276085</v>
      </c>
      <c r="D7" s="306">
        <f t="shared" ref="D7:D12" si="0">E7/B7*1000</f>
        <v>40804.91714520099</v>
      </c>
      <c r="E7" s="279">
        <v>497.41194000000002</v>
      </c>
      <c r="F7" s="324">
        <v>8.9149999999999991</v>
      </c>
      <c r="G7" s="291">
        <f>F7/G16*1000</f>
        <v>1.0058784370804137</v>
      </c>
      <c r="H7" s="306">
        <f>J7/F7*1000</f>
        <v>52361.18900729109</v>
      </c>
      <c r="I7" s="289">
        <f>H7/D7*100</f>
        <v>128.32078256884591</v>
      </c>
      <c r="J7" s="310">
        <v>466.8</v>
      </c>
      <c r="K7" s="317">
        <v>7.5220000000000002</v>
      </c>
      <c r="L7" s="291">
        <f>K7/L16*1000</f>
        <v>0.89837451778953537</v>
      </c>
      <c r="M7" s="306">
        <v>65249</v>
      </c>
      <c r="N7" s="289">
        <f>M7/H7*100</f>
        <v>124.61328941730932</v>
      </c>
      <c r="O7" s="279">
        <f>K7*M7/1000</f>
        <v>490.802978</v>
      </c>
      <c r="P7" s="324">
        <v>6.18</v>
      </c>
      <c r="Q7" s="291" t="e">
        <f>P7/Q16*1000</f>
        <v>#REF!</v>
      </c>
      <c r="R7" s="306">
        <v>71300</v>
      </c>
      <c r="S7" s="291">
        <f>P7*R7/1000</f>
        <v>440.63400000000001</v>
      </c>
      <c r="T7" s="291">
        <v>7.98</v>
      </c>
      <c r="U7" s="307">
        <f>T7/$T$16*1000</f>
        <v>0.87046632124352341</v>
      </c>
      <c r="V7" s="288">
        <v>71.441000000000003</v>
      </c>
      <c r="W7" s="310">
        <f>T7*V7</f>
        <v>570.09918000000005</v>
      </c>
      <c r="X7" s="153">
        <v>50</v>
      </c>
      <c r="Y7" s="20">
        <f>X7/Y16*1000</f>
        <v>7.508522172665975</v>
      </c>
      <c r="Z7" s="146">
        <v>75500</v>
      </c>
      <c r="AA7" s="289">
        <f>Z7/R7*100</f>
        <v>105.89060308555401</v>
      </c>
      <c r="AB7" s="146">
        <f>X7*Z7/1000</f>
        <v>3775</v>
      </c>
      <c r="AC7" s="146"/>
      <c r="AD7" s="146"/>
      <c r="AE7" s="146"/>
      <c r="AF7" s="146"/>
      <c r="AG7" s="291" t="e">
        <f>AH16*AH7/1000</f>
        <v>#REF!</v>
      </c>
      <c r="AH7" s="291">
        <v>6.08</v>
      </c>
      <c r="AI7" s="146">
        <f>R7*1.069</f>
        <v>76219.7</v>
      </c>
      <c r="AJ7" s="308">
        <f>AI7/R7*100</f>
        <v>106.89999999999999</v>
      </c>
      <c r="AK7" s="20" t="e">
        <f>AG7*AI7/1000</f>
        <v>#REF!</v>
      </c>
      <c r="AL7" s="291">
        <v>3.1</v>
      </c>
      <c r="AM7" s="291">
        <f>AL7/AM16*1000</f>
        <v>0.52321558169758142</v>
      </c>
      <c r="AN7" s="290">
        <f>AO7/AL7*1000</f>
        <v>72000</v>
      </c>
      <c r="AO7" s="291">
        <v>223.2</v>
      </c>
      <c r="AP7" s="309">
        <f>(BN7+U7+L7+G7)/4</f>
        <v>0.81842936278323364</v>
      </c>
      <c r="AQ7" s="309"/>
      <c r="AR7" s="309"/>
      <c r="AS7" s="309"/>
      <c r="AT7" s="309"/>
      <c r="AU7" s="309"/>
      <c r="AV7" s="309"/>
      <c r="AW7" s="309"/>
      <c r="AX7" s="309"/>
      <c r="AY7" s="309"/>
      <c r="AZ7" s="309"/>
      <c r="BA7" s="309"/>
      <c r="BB7" s="309"/>
      <c r="BC7" s="309"/>
      <c r="BD7" s="309"/>
      <c r="BE7" s="309"/>
      <c r="BF7" s="309"/>
      <c r="BG7" s="309"/>
      <c r="BH7" s="309"/>
      <c r="BI7" s="309"/>
      <c r="BJ7" s="309"/>
      <c r="BK7" s="309"/>
      <c r="BL7" s="309"/>
      <c r="BM7" s="291">
        <v>3.91</v>
      </c>
      <c r="BN7" s="307">
        <f>BM7/BN16*1000</f>
        <v>0.4989981750194622</v>
      </c>
      <c r="BO7" s="290">
        <f>BP7/BM7*1000</f>
        <v>71994.88491048594</v>
      </c>
      <c r="BP7" s="310">
        <v>281.5</v>
      </c>
    </row>
    <row r="8" spans="1:115" hidden="1">
      <c r="A8" s="263" t="s">
        <v>104</v>
      </c>
      <c r="B8" s="4">
        <v>50.83</v>
      </c>
      <c r="C8" s="15">
        <f>B8/C16*1000</f>
        <v>5.7507155867811592</v>
      </c>
      <c r="D8" s="19">
        <f t="shared" si="0"/>
        <v>33492.557151288609</v>
      </c>
      <c r="E8" s="312">
        <v>1702.42668</v>
      </c>
      <c r="F8" s="278">
        <v>44.95</v>
      </c>
      <c r="G8" s="15">
        <f>F8/G16*1000</f>
        <v>5.0717033927946842</v>
      </c>
      <c r="H8" s="19">
        <f>J8/F8*1000</f>
        <v>39755.283648498327</v>
      </c>
      <c r="I8" s="6">
        <f>H8/D8*100</f>
        <v>118.69886037342707</v>
      </c>
      <c r="J8" s="325">
        <v>1787</v>
      </c>
      <c r="K8" s="318">
        <v>36</v>
      </c>
      <c r="L8" s="23">
        <f>K8/L16*1000</f>
        <v>4.2995855677244448</v>
      </c>
      <c r="M8" s="19">
        <v>52781</v>
      </c>
      <c r="N8" s="6"/>
      <c r="O8" s="312">
        <f>K8*M8/1000</f>
        <v>1900.116</v>
      </c>
      <c r="P8" s="256">
        <v>38.5</v>
      </c>
      <c r="Q8" s="23" t="e">
        <f>P8/Q16*1000</f>
        <v>#REF!</v>
      </c>
      <c r="R8" s="132">
        <v>52490</v>
      </c>
      <c r="S8" s="15">
        <f>P8*R8/1000</f>
        <v>2020.865</v>
      </c>
      <c r="T8" s="15">
        <v>52.12</v>
      </c>
      <c r="U8" s="147">
        <f t="shared" ref="U8:U13" si="1">T8/$T$16*1000</f>
        <v>5.6853013362421594</v>
      </c>
      <c r="V8" s="56">
        <v>52.529000000000003</v>
      </c>
      <c r="W8" s="294">
        <f t="shared" ref="W8:W13" si="2">T8*V8</f>
        <v>2737.8114799999998</v>
      </c>
      <c r="X8" s="43"/>
      <c r="Y8" s="4"/>
      <c r="Z8" s="4"/>
      <c r="AA8" s="6"/>
      <c r="AB8" s="4">
        <f>X8*Z8/1000</f>
        <v>0</v>
      </c>
      <c r="AC8" s="767"/>
      <c r="AD8" s="767"/>
      <c r="AE8" s="767"/>
      <c r="AF8" s="767"/>
      <c r="AG8" s="4"/>
      <c r="AH8" s="6"/>
      <c r="AI8" s="4"/>
      <c r="AJ8" s="7"/>
      <c r="AK8" s="4"/>
      <c r="AL8" s="23">
        <v>41.53</v>
      </c>
      <c r="AM8" s="23">
        <f>AL8/AM16*1000</f>
        <v>7.0094010025485662</v>
      </c>
      <c r="AN8" s="136">
        <f>AO8/AL8*1000</f>
        <v>51507.34408861064</v>
      </c>
      <c r="AO8" s="15">
        <v>2139.1</v>
      </c>
      <c r="AP8" s="172">
        <f>(BN8+U8+L8+G8)/4</f>
        <v>5.3903583785855904</v>
      </c>
      <c r="AQ8" s="872"/>
      <c r="AR8" s="872"/>
      <c r="AS8" s="872"/>
      <c r="AT8" s="872"/>
      <c r="AU8" s="872"/>
      <c r="AV8" s="872"/>
      <c r="AW8" s="872"/>
      <c r="AX8" s="872"/>
      <c r="AY8" s="2681"/>
      <c r="AZ8" s="2681"/>
      <c r="BA8" s="2681"/>
      <c r="BB8" s="2681"/>
      <c r="BC8" s="872"/>
      <c r="BD8" s="872"/>
      <c r="BE8" s="872"/>
      <c r="BF8" s="872"/>
      <c r="BG8" s="872"/>
      <c r="BH8" s="872"/>
      <c r="BI8" s="872"/>
      <c r="BJ8" s="872"/>
      <c r="BK8" s="872"/>
      <c r="BL8" s="872"/>
      <c r="BM8" s="23">
        <v>50.97</v>
      </c>
      <c r="BN8" s="285">
        <f>BM8/BN16*1000</f>
        <v>6.5048432175810706</v>
      </c>
      <c r="BO8" s="136">
        <f>BP8/BM8*1000</f>
        <v>48828.72277810477</v>
      </c>
      <c r="BP8" s="294">
        <v>2488.8000000000002</v>
      </c>
    </row>
    <row r="9" spans="1:115" hidden="1">
      <c r="A9" s="263" t="s">
        <v>109</v>
      </c>
      <c r="B9" s="4">
        <v>419.75</v>
      </c>
      <c r="C9" s="4">
        <f>B9/C16*1000</f>
        <v>47.488940931563874</v>
      </c>
      <c r="D9" s="19">
        <f t="shared" si="0"/>
        <v>7675.7181417510419</v>
      </c>
      <c r="E9" s="312">
        <v>3221.8826899999999</v>
      </c>
      <c r="F9" s="278">
        <v>298.58</v>
      </c>
      <c r="G9" s="15">
        <f>F9/G16*1000</f>
        <v>33.688747475431292</v>
      </c>
      <c r="H9" s="19">
        <f>J9/F9*1000</f>
        <v>4667.4258155268271</v>
      </c>
      <c r="I9" s="6">
        <f>H9/D9*100</f>
        <v>60.807675963751052</v>
      </c>
      <c r="J9" s="294">
        <v>1393.6</v>
      </c>
      <c r="K9" s="319">
        <v>166.65</v>
      </c>
      <c r="L9" s="15">
        <f>K9/L16*1000</f>
        <v>19.903498190591076</v>
      </c>
      <c r="M9" s="19">
        <f>O9/K9*1000</f>
        <v>5759.3759375937589</v>
      </c>
      <c r="N9" s="6">
        <f>M9/H9*100</f>
        <v>123.39512539083988</v>
      </c>
      <c r="O9" s="312">
        <v>959.8</v>
      </c>
      <c r="P9" s="278">
        <v>324.89999999999998</v>
      </c>
      <c r="Q9" s="15" t="e">
        <f>P9/Q16*1000</f>
        <v>#REF!</v>
      </c>
      <c r="R9" s="19">
        <v>6500</v>
      </c>
      <c r="S9" s="15">
        <f>P9*R9/1000</f>
        <v>2111.85</v>
      </c>
      <c r="T9" s="15">
        <v>452.11</v>
      </c>
      <c r="U9" s="147">
        <f t="shared" si="1"/>
        <v>49.316607581128991</v>
      </c>
      <c r="V9" s="56">
        <v>6.774</v>
      </c>
      <c r="W9" s="294">
        <f t="shared" si="2"/>
        <v>3062.5931399999999</v>
      </c>
      <c r="X9" s="43">
        <v>270</v>
      </c>
      <c r="Y9" s="11">
        <f>X9/Y16*1000</f>
        <v>40.546019732396267</v>
      </c>
      <c r="Z9" s="4">
        <v>7500</v>
      </c>
      <c r="AA9" s="6">
        <f>Z9/R9*100</f>
        <v>115.38461538461537</v>
      </c>
      <c r="AB9" s="4">
        <f>X9*Z9/1000</f>
        <v>2025</v>
      </c>
      <c r="AC9" s="767"/>
      <c r="AD9" s="767"/>
      <c r="AE9" s="767"/>
      <c r="AF9" s="767"/>
      <c r="AG9" s="15">
        <v>270</v>
      </c>
      <c r="AH9" s="15">
        <v>33.69</v>
      </c>
      <c r="AI9" s="4">
        <f>R9*1.069</f>
        <v>6948.5</v>
      </c>
      <c r="AJ9" s="7">
        <f>AI9/R9*100</f>
        <v>106.89999999999999</v>
      </c>
      <c r="AK9" s="11">
        <f>AG9*AI9/1000</f>
        <v>1876.095</v>
      </c>
      <c r="AL9" s="15">
        <v>118.52</v>
      </c>
      <c r="AM9" s="15">
        <f>AL9/AM16*1000</f>
        <v>20.003713142837857</v>
      </c>
      <c r="AN9" s="136">
        <f>AO9/AL9*1000</f>
        <v>6582.0114748565647</v>
      </c>
      <c r="AO9" s="15">
        <v>780.1</v>
      </c>
      <c r="AP9" s="172">
        <f>(BN9+U9+L9+G9)/4</f>
        <v>30.576811943690544</v>
      </c>
      <c r="AQ9" s="872"/>
      <c r="AR9" s="872"/>
      <c r="AS9" s="872"/>
      <c r="AT9" s="872"/>
      <c r="AU9" s="872"/>
      <c r="AV9" s="872"/>
      <c r="AW9" s="872"/>
      <c r="AX9" s="872"/>
      <c r="AY9" s="2681"/>
      <c r="AZ9" s="2681"/>
      <c r="BA9" s="2681"/>
      <c r="BB9" s="2681"/>
      <c r="BC9" s="872"/>
      <c r="BD9" s="872"/>
      <c r="BE9" s="872"/>
      <c r="BF9" s="872"/>
      <c r="BG9" s="872"/>
      <c r="BH9" s="872"/>
      <c r="BI9" s="872"/>
      <c r="BJ9" s="872"/>
      <c r="BK9" s="872"/>
      <c r="BL9" s="872"/>
      <c r="BM9" s="15">
        <v>152</v>
      </c>
      <c r="BN9" s="147">
        <f>BM9/BN16*1000</f>
        <v>19.398394527610808</v>
      </c>
      <c r="BO9" s="136">
        <f>BP9/BM9*1000</f>
        <v>6569.0789473684208</v>
      </c>
      <c r="BP9" s="294">
        <v>998.5</v>
      </c>
    </row>
    <row r="10" spans="1:115" hidden="1">
      <c r="A10" s="263" t="s">
        <v>105</v>
      </c>
      <c r="B10" s="4">
        <v>12.07</v>
      </c>
      <c r="C10" s="15">
        <f>B10/C16*1000</f>
        <v>1.3655545373293057</v>
      </c>
      <c r="D10" s="19">
        <f t="shared" si="0"/>
        <v>23595.171499585751</v>
      </c>
      <c r="E10" s="312">
        <v>284.79372000000001</v>
      </c>
      <c r="F10" s="278">
        <v>12.07</v>
      </c>
      <c r="G10" s="15">
        <f>F10/G16*1000</f>
        <v>1.3618567286102743</v>
      </c>
      <c r="H10" s="19">
        <f>J10/F10*1000</f>
        <v>28210.439105219553</v>
      </c>
      <c r="I10" s="6">
        <f>H10/D10*100</f>
        <v>119.56022063969669</v>
      </c>
      <c r="J10" s="294">
        <v>340.5</v>
      </c>
      <c r="K10" s="319">
        <v>7.26</v>
      </c>
      <c r="L10" s="15">
        <f>K10/L16*1000</f>
        <v>0.86708308949109636</v>
      </c>
      <c r="M10" s="19">
        <v>25413</v>
      </c>
      <c r="N10" s="6">
        <f>M10/H10*100</f>
        <v>90.083674008810561</v>
      </c>
      <c r="O10" s="312">
        <f>K10*M10/1000</f>
        <v>184.49838</v>
      </c>
      <c r="P10" s="278">
        <v>18.899999999999999</v>
      </c>
      <c r="Q10" s="15" t="e">
        <f>P10/Q16*1000</f>
        <v>#REF!</v>
      </c>
      <c r="R10" s="19">
        <v>34000</v>
      </c>
      <c r="S10" s="15">
        <f>P10*R10/1000</f>
        <v>642.6</v>
      </c>
      <c r="T10" s="15">
        <v>31.2</v>
      </c>
      <c r="U10" s="147">
        <f t="shared" si="1"/>
        <v>3.4033269702754292</v>
      </c>
      <c r="V10" s="56">
        <v>34.554000000000002</v>
      </c>
      <c r="W10" s="294">
        <f t="shared" si="2"/>
        <v>1078.0848000000001</v>
      </c>
      <c r="X10" s="43">
        <v>11.4</v>
      </c>
      <c r="Y10" s="11">
        <f>X10/Y16*1000</f>
        <v>1.7119430553678425</v>
      </c>
      <c r="Z10" s="4">
        <v>36100</v>
      </c>
      <c r="AA10" s="6">
        <f>Z10/R10*100</f>
        <v>106.17647058823529</v>
      </c>
      <c r="AB10" s="4">
        <f>X10*Z10/1000</f>
        <v>411.54</v>
      </c>
      <c r="AC10" s="767"/>
      <c r="AD10" s="767"/>
      <c r="AE10" s="767"/>
      <c r="AF10" s="767"/>
      <c r="AG10" s="15">
        <v>11.4</v>
      </c>
      <c r="AH10" s="56">
        <v>1.36</v>
      </c>
      <c r="AI10" s="4">
        <f>R10*1.069</f>
        <v>36346</v>
      </c>
      <c r="AJ10" s="7">
        <f>AI10/R10*100</f>
        <v>106.89999999999999</v>
      </c>
      <c r="AK10" s="11">
        <f>AG10*AI10/1000</f>
        <v>414.34440000000001</v>
      </c>
      <c r="AL10" s="15">
        <v>8.02</v>
      </c>
      <c r="AM10" s="15">
        <f>AL10/AM16*1000</f>
        <v>1.3536093436176138</v>
      </c>
      <c r="AN10" s="136">
        <f>AO10/AL10*1000</f>
        <v>32556.109725685794</v>
      </c>
      <c r="AO10" s="15">
        <v>261.10000000000002</v>
      </c>
      <c r="AP10" s="172">
        <f>(BN10+U10+L10+G10)/4</f>
        <v>1.8378304705924196</v>
      </c>
      <c r="AQ10" s="872"/>
      <c r="AR10" s="872"/>
      <c r="AS10" s="872"/>
      <c r="AT10" s="872"/>
      <c r="AU10" s="872"/>
      <c r="AV10" s="872"/>
      <c r="AW10" s="872"/>
      <c r="AX10" s="872"/>
      <c r="AY10" s="2681"/>
      <c r="AZ10" s="2681"/>
      <c r="BA10" s="2681"/>
      <c r="BB10" s="2681"/>
      <c r="BC10" s="872"/>
      <c r="BD10" s="872"/>
      <c r="BE10" s="872"/>
      <c r="BF10" s="872"/>
      <c r="BG10" s="872"/>
      <c r="BH10" s="872"/>
      <c r="BI10" s="872"/>
      <c r="BJ10" s="872"/>
      <c r="BK10" s="872"/>
      <c r="BL10" s="872"/>
      <c r="BM10" s="15">
        <v>13.47</v>
      </c>
      <c r="BN10" s="147">
        <f>BM10/BN16*1000</f>
        <v>1.719055093992879</v>
      </c>
      <c r="BO10" s="136">
        <f>BP10/BM10*1000</f>
        <v>23786.191536748327</v>
      </c>
      <c r="BP10" s="294">
        <v>320.39999999999998</v>
      </c>
    </row>
    <row r="11" spans="1:115" hidden="1">
      <c r="A11" s="263" t="s">
        <v>106</v>
      </c>
      <c r="B11" s="4">
        <v>7.03</v>
      </c>
      <c r="C11" s="15">
        <f>B11/C16*1000</f>
        <v>0.79534783740058146</v>
      </c>
      <c r="D11" s="19">
        <f t="shared" si="0"/>
        <v>19271.075391180657</v>
      </c>
      <c r="E11" s="312">
        <v>135.47566</v>
      </c>
      <c r="F11" s="278">
        <v>12.013999999999999</v>
      </c>
      <c r="G11" s="15">
        <f>F11/G16*1000</f>
        <v>1.3555382549729773</v>
      </c>
      <c r="H11" s="19">
        <f>J11/F11*1000</f>
        <v>19660.396204428169</v>
      </c>
      <c r="I11" s="6">
        <f>H11/D11*100</f>
        <v>102.02023397939529</v>
      </c>
      <c r="J11" s="294">
        <v>236.2</v>
      </c>
      <c r="K11" s="319">
        <v>6.46</v>
      </c>
      <c r="L11" s="15">
        <f>K11/L16*1000</f>
        <v>0.77153674354166424</v>
      </c>
      <c r="M11" s="19">
        <v>19969</v>
      </c>
      <c r="N11" s="6">
        <f>M11/H11*100</f>
        <v>101.56967231160033</v>
      </c>
      <c r="O11" s="312">
        <f>K11*M11/1000</f>
        <v>128.99974</v>
      </c>
      <c r="P11" s="278">
        <v>17.940000000000001</v>
      </c>
      <c r="Q11" s="15" t="e">
        <f>P11/Q16*1000</f>
        <v>#REF!</v>
      </c>
      <c r="R11" s="19">
        <v>19600</v>
      </c>
      <c r="S11" s="15">
        <f>P11*R11/1000</f>
        <v>351.62400000000002</v>
      </c>
      <c r="T11" s="15">
        <v>22.46</v>
      </c>
      <c r="U11" s="147">
        <f t="shared" si="1"/>
        <v>2.449959094627761</v>
      </c>
      <c r="V11" s="56">
        <v>20.271999999999998</v>
      </c>
      <c r="W11" s="294">
        <f t="shared" si="2"/>
        <v>455.30912000000001</v>
      </c>
      <c r="X11" s="43">
        <v>12</v>
      </c>
      <c r="Y11" s="11">
        <f>X11/Y16*1000</f>
        <v>1.8020453214398342</v>
      </c>
      <c r="Z11" s="4">
        <v>23000</v>
      </c>
      <c r="AA11" s="6">
        <f>Z11/R11*100</f>
        <v>117.34693877551021</v>
      </c>
      <c r="AB11" s="4">
        <f>X11*Z11/1000</f>
        <v>276</v>
      </c>
      <c r="AC11" s="767"/>
      <c r="AD11" s="767"/>
      <c r="AE11" s="767"/>
      <c r="AF11" s="767"/>
      <c r="AG11" s="15" t="e">
        <f>AH11*AH16/1000</f>
        <v>#REF!</v>
      </c>
      <c r="AH11" s="15">
        <v>1.36</v>
      </c>
      <c r="AI11" s="15">
        <f>R11*1.069</f>
        <v>20952.399999999998</v>
      </c>
      <c r="AJ11" s="7">
        <f>AI11/R11*100</f>
        <v>106.89999999999999</v>
      </c>
      <c r="AK11" s="11" t="e">
        <f>AG11*AI11/1000</f>
        <v>#REF!</v>
      </c>
      <c r="AL11" s="15">
        <v>8.5660000000000007</v>
      </c>
      <c r="AM11" s="15">
        <f>AL11/AM16*1000</f>
        <v>1.4457627976843492</v>
      </c>
      <c r="AN11" s="136">
        <f>AO11/AL11*1000</f>
        <v>19880.924585570861</v>
      </c>
      <c r="AO11" s="15">
        <v>170.3</v>
      </c>
      <c r="AP11" s="172">
        <f>(BN11+U11+L11+G11)/4</f>
        <v>1.4416154920312136</v>
      </c>
      <c r="AQ11" s="872"/>
      <c r="AR11" s="872"/>
      <c r="AS11" s="872"/>
      <c r="AT11" s="872"/>
      <c r="AU11" s="872"/>
      <c r="AV11" s="872"/>
      <c r="AW11" s="872"/>
      <c r="AX11" s="872"/>
      <c r="AY11" s="2681"/>
      <c r="AZ11" s="2681"/>
      <c r="BA11" s="2681"/>
      <c r="BB11" s="2681"/>
      <c r="BC11" s="872"/>
      <c r="BD11" s="872"/>
      <c r="BE11" s="872"/>
      <c r="BF11" s="872"/>
      <c r="BG11" s="872"/>
      <c r="BH11" s="872"/>
      <c r="BI11" s="872"/>
      <c r="BJ11" s="872"/>
      <c r="BK11" s="872"/>
      <c r="BL11" s="872"/>
      <c r="BM11" s="15">
        <v>9.32</v>
      </c>
      <c r="BN11" s="147">
        <f>BM11/BN16*1000</f>
        <v>1.1894278749824523</v>
      </c>
      <c r="BO11" s="136">
        <f>BP11/BM11*1000</f>
        <v>19978.540772532189</v>
      </c>
      <c r="BP11" s="294">
        <v>186.2</v>
      </c>
    </row>
    <row r="12" spans="1:115" hidden="1">
      <c r="A12" s="263" t="s">
        <v>107</v>
      </c>
      <c r="B12" s="4">
        <v>0.05</v>
      </c>
      <c r="C12" s="4"/>
      <c r="D12" s="19">
        <f t="shared" si="0"/>
        <v>44000</v>
      </c>
      <c r="E12" s="312">
        <v>2.2000000000000002</v>
      </c>
      <c r="F12" s="278"/>
      <c r="G12" s="15"/>
      <c r="H12" s="15"/>
      <c r="I12" s="15"/>
      <c r="J12" s="294"/>
      <c r="K12" s="319"/>
      <c r="L12" s="15"/>
      <c r="M12" s="15"/>
      <c r="N12" s="15"/>
      <c r="O12" s="312"/>
      <c r="P12" s="278"/>
      <c r="Q12" s="15"/>
      <c r="R12" s="15"/>
      <c r="S12" s="15"/>
      <c r="T12" s="15"/>
      <c r="U12" s="147"/>
      <c r="V12" s="56"/>
      <c r="W12" s="294"/>
      <c r="X12" s="263"/>
      <c r="Y12" s="3"/>
      <c r="Z12" s="3"/>
      <c r="AA12" s="3"/>
      <c r="AB12" s="4"/>
      <c r="AC12" s="767"/>
      <c r="AD12" s="767"/>
      <c r="AE12" s="767"/>
      <c r="AF12" s="767"/>
      <c r="AG12" s="4"/>
      <c r="AH12" s="4"/>
      <c r="AI12" s="4"/>
      <c r="AJ12" s="7"/>
      <c r="AK12" s="4"/>
      <c r="AL12" s="15"/>
      <c r="AM12" s="15"/>
      <c r="AN12" s="136"/>
      <c r="AO12" s="15"/>
      <c r="AP12" s="25"/>
      <c r="AQ12" s="672"/>
      <c r="AR12" s="672"/>
      <c r="AS12" s="672"/>
      <c r="AT12" s="672"/>
      <c r="AU12" s="672"/>
      <c r="AV12" s="672"/>
      <c r="AW12" s="672"/>
      <c r="AX12" s="672"/>
      <c r="AY12" s="2682"/>
      <c r="AZ12" s="2682"/>
      <c r="BA12" s="2682"/>
      <c r="BB12" s="2682"/>
      <c r="BC12" s="672"/>
      <c r="BD12" s="672"/>
      <c r="BE12" s="672"/>
      <c r="BF12" s="672"/>
      <c r="BG12" s="672"/>
      <c r="BH12" s="672"/>
      <c r="BI12" s="672"/>
      <c r="BJ12" s="672"/>
      <c r="BK12" s="672"/>
      <c r="BL12" s="672"/>
      <c r="BM12" s="15"/>
      <c r="BN12" s="15"/>
      <c r="BO12" s="136"/>
      <c r="BP12" s="294"/>
    </row>
    <row r="13" spans="1:115" hidden="1">
      <c r="A13" s="263" t="s">
        <v>230</v>
      </c>
      <c r="B13" s="4"/>
      <c r="C13" s="4"/>
      <c r="D13" s="19"/>
      <c r="E13" s="312"/>
      <c r="F13" s="278"/>
      <c r="G13" s="15"/>
      <c r="H13" s="15"/>
      <c r="I13" s="15"/>
      <c r="J13" s="294"/>
      <c r="K13" s="319"/>
      <c r="L13" s="15"/>
      <c r="M13" s="15"/>
      <c r="N13" s="15"/>
      <c r="O13" s="312"/>
      <c r="P13" s="278">
        <v>1</v>
      </c>
      <c r="Q13" s="15" t="e">
        <f>P13/Q16*1000</f>
        <v>#REF!</v>
      </c>
      <c r="R13" s="19">
        <v>44300</v>
      </c>
      <c r="S13" s="15">
        <v>44.3</v>
      </c>
      <c r="T13" s="15">
        <v>1</v>
      </c>
      <c r="U13" s="147">
        <f t="shared" si="1"/>
        <v>0.109080992637033</v>
      </c>
      <c r="V13" s="56">
        <v>44.253</v>
      </c>
      <c r="W13" s="294">
        <f t="shared" si="2"/>
        <v>44.253</v>
      </c>
      <c r="X13" s="263"/>
      <c r="Y13" s="3"/>
      <c r="Z13" s="3"/>
      <c r="AA13" s="3"/>
      <c r="AB13" s="4"/>
      <c r="AC13" s="767"/>
      <c r="AD13" s="767"/>
      <c r="AE13" s="767"/>
      <c r="AF13" s="767"/>
      <c r="AG13" s="4"/>
      <c r="AH13" s="4"/>
      <c r="AI13" s="4"/>
      <c r="AJ13" s="7"/>
      <c r="AK13" s="4"/>
      <c r="AL13" s="15">
        <v>0</v>
      </c>
      <c r="AM13" s="15">
        <f>AL13/AM16*1000</f>
        <v>0</v>
      </c>
      <c r="AN13" s="136">
        <v>0</v>
      </c>
      <c r="AO13" s="15"/>
      <c r="AP13" s="25"/>
      <c r="AQ13" s="672"/>
      <c r="AR13" s="672"/>
      <c r="AS13" s="672"/>
      <c r="AT13" s="672"/>
      <c r="AU13" s="672"/>
      <c r="AV13" s="672"/>
      <c r="AW13" s="672"/>
      <c r="AX13" s="672"/>
      <c r="AY13" s="2682"/>
      <c r="AZ13" s="2682"/>
      <c r="BA13" s="2682"/>
      <c r="BB13" s="2682"/>
      <c r="BC13" s="672"/>
      <c r="BD13" s="672"/>
      <c r="BE13" s="672"/>
      <c r="BF13" s="672"/>
      <c r="BG13" s="672"/>
      <c r="BH13" s="672"/>
      <c r="BI13" s="672"/>
      <c r="BJ13" s="672"/>
      <c r="BK13" s="672"/>
      <c r="BL13" s="672"/>
      <c r="BM13" s="15">
        <v>0</v>
      </c>
      <c r="BN13" s="15">
        <f>BM13/BN16*1000</f>
        <v>0</v>
      </c>
      <c r="BO13" s="136">
        <v>0</v>
      </c>
      <c r="BP13" s="294"/>
    </row>
    <row r="14" spans="1:115" hidden="1">
      <c r="A14" s="263" t="s">
        <v>108</v>
      </c>
      <c r="B14" s="4"/>
      <c r="C14" s="4"/>
      <c r="D14" s="4"/>
      <c r="E14" s="312">
        <v>45.360750000000003</v>
      </c>
      <c r="F14" s="278"/>
      <c r="G14" s="15"/>
      <c r="H14" s="15"/>
      <c r="I14" s="15"/>
      <c r="J14" s="294">
        <v>85</v>
      </c>
      <c r="K14" s="319"/>
      <c r="L14" s="15"/>
      <c r="M14" s="15"/>
      <c r="N14" s="15"/>
      <c r="O14" s="312">
        <v>132.6</v>
      </c>
      <c r="P14" s="278"/>
      <c r="Q14" s="15"/>
      <c r="R14" s="15"/>
      <c r="S14" s="15"/>
      <c r="T14" s="15"/>
      <c r="U14" s="15"/>
      <c r="V14" s="15"/>
      <c r="W14" s="294">
        <v>115.3</v>
      </c>
      <c r="X14" s="263"/>
      <c r="Y14" s="3"/>
      <c r="Z14" s="3"/>
      <c r="AA14" s="3"/>
      <c r="AB14" s="4">
        <v>110.4</v>
      </c>
      <c r="AC14" s="767"/>
      <c r="AD14" s="767"/>
      <c r="AE14" s="767"/>
      <c r="AF14" s="767"/>
      <c r="AG14" s="4"/>
      <c r="AH14" s="4"/>
      <c r="AI14" s="4"/>
      <c r="AJ14" s="7"/>
      <c r="AK14" s="4">
        <v>110.4</v>
      </c>
      <c r="AL14" s="15"/>
      <c r="AM14" s="15"/>
      <c r="AN14" s="136"/>
      <c r="AO14" s="15">
        <v>96.2</v>
      </c>
      <c r="AP14" s="25"/>
      <c r="AQ14" s="672"/>
      <c r="AR14" s="672"/>
      <c r="AS14" s="672"/>
      <c r="AT14" s="672"/>
      <c r="AU14" s="672"/>
      <c r="AV14" s="672"/>
      <c r="AW14" s="672"/>
      <c r="AX14" s="672"/>
      <c r="AY14" s="2682"/>
      <c r="AZ14" s="2682"/>
      <c r="BA14" s="2682"/>
      <c r="BB14" s="2682"/>
      <c r="BC14" s="672"/>
      <c r="BD14" s="672"/>
      <c r="BE14" s="672"/>
      <c r="BF14" s="672"/>
      <c r="BG14" s="672"/>
      <c r="BH14" s="672"/>
      <c r="BI14" s="672"/>
      <c r="BJ14" s="672"/>
      <c r="BK14" s="672"/>
      <c r="BL14" s="672"/>
      <c r="BM14" s="15"/>
      <c r="BN14" s="15"/>
      <c r="BO14" s="136"/>
      <c r="BP14" s="294">
        <v>133</v>
      </c>
    </row>
    <row r="15" spans="1:115" hidden="1">
      <c r="A15" s="264" t="s">
        <v>90</v>
      </c>
      <c r="B15" s="9"/>
      <c r="C15" s="9"/>
      <c r="D15" s="9"/>
      <c r="E15" s="313">
        <f>SUM(E7:E14)</f>
        <v>5889.5514399999993</v>
      </c>
      <c r="F15" s="326"/>
      <c r="G15" s="13"/>
      <c r="H15" s="13"/>
      <c r="I15" s="13"/>
      <c r="J15" s="295">
        <f>SUM(J7:J14)</f>
        <v>4309.1000000000004</v>
      </c>
      <c r="K15" s="320"/>
      <c r="L15" s="13"/>
      <c r="M15" s="13"/>
      <c r="N15" s="13"/>
      <c r="O15" s="313">
        <f>SUM(O7:O14)</f>
        <v>3796.817098</v>
      </c>
      <c r="P15" s="326"/>
      <c r="Q15" s="13"/>
      <c r="R15" s="13"/>
      <c r="S15" s="13">
        <f>SUM(S7:S14)</f>
        <v>5611.8730000000005</v>
      </c>
      <c r="T15" s="13"/>
      <c r="U15" s="13"/>
      <c r="V15" s="13"/>
      <c r="W15" s="295">
        <f>SUM(W7:W14)</f>
        <v>8063.4507200000007</v>
      </c>
      <c r="X15" s="264"/>
      <c r="Y15" s="8"/>
      <c r="Z15" s="8"/>
      <c r="AA15" s="8"/>
      <c r="AB15" s="9">
        <f>SUM(AB7:AB14)</f>
        <v>6597.94</v>
      </c>
      <c r="AC15" s="849"/>
      <c r="AD15" s="849"/>
      <c r="AE15" s="849"/>
      <c r="AF15" s="849"/>
      <c r="AG15" s="4"/>
      <c r="AH15" s="4"/>
      <c r="AI15" s="4"/>
      <c r="AJ15" s="7"/>
      <c r="AK15" s="10" t="e">
        <f>SUM(AK7:AK14)</f>
        <v>#REF!</v>
      </c>
      <c r="AL15" s="13"/>
      <c r="AM15" s="13"/>
      <c r="AN15" s="135"/>
      <c r="AO15" s="13">
        <f>SUM(AO7:AO14)</f>
        <v>3669.9999999999995</v>
      </c>
      <c r="AP15" s="25"/>
      <c r="AQ15" s="672"/>
      <c r="AR15" s="672"/>
      <c r="AS15" s="672"/>
      <c r="AT15" s="672"/>
      <c r="AU15" s="672"/>
      <c r="AV15" s="672"/>
      <c r="AW15" s="672"/>
      <c r="AX15" s="672"/>
      <c r="AY15" s="2682"/>
      <c r="AZ15" s="2682"/>
      <c r="BA15" s="2682"/>
      <c r="BB15" s="2682"/>
      <c r="BC15" s="672"/>
      <c r="BD15" s="672"/>
      <c r="BE15" s="672"/>
      <c r="BF15" s="672"/>
      <c r="BG15" s="672"/>
      <c r="BH15" s="672"/>
      <c r="BI15" s="672"/>
      <c r="BJ15" s="672"/>
      <c r="BK15" s="672"/>
      <c r="BL15" s="672"/>
      <c r="BM15" s="13"/>
      <c r="BN15" s="13"/>
      <c r="BO15" s="135"/>
      <c r="BP15" s="295">
        <f>SUM(BP7:BP14)</f>
        <v>4408.4000000000005</v>
      </c>
    </row>
    <row r="16" spans="1:115" ht="25.5" hidden="1">
      <c r="A16" s="296" t="s">
        <v>132</v>
      </c>
      <c r="B16" s="22"/>
      <c r="C16" s="22">
        <f>объемы!C10</f>
        <v>8838.9000000000015</v>
      </c>
      <c r="D16" s="22"/>
      <c r="E16" s="255"/>
      <c r="F16" s="327"/>
      <c r="G16" s="18">
        <f>объемы!E10</f>
        <v>8862.9</v>
      </c>
      <c r="H16" s="57"/>
      <c r="I16" s="57"/>
      <c r="J16" s="257"/>
      <c r="K16" s="321"/>
      <c r="L16" s="58">
        <f>объемы!F10</f>
        <v>8372.9</v>
      </c>
      <c r="M16" s="57"/>
      <c r="N16" s="57"/>
      <c r="O16" s="255"/>
      <c r="P16" s="327"/>
      <c r="Q16" s="57" t="e">
        <f>объемы!#REF!</f>
        <v>#REF!</v>
      </c>
      <c r="R16" s="57"/>
      <c r="S16" s="57"/>
      <c r="T16" s="57">
        <v>9167.5</v>
      </c>
      <c r="U16" s="57"/>
      <c r="V16" s="57"/>
      <c r="W16" s="257"/>
      <c r="X16" s="265"/>
      <c r="Y16" s="22">
        <f>объемы!K10</f>
        <v>6659.1</v>
      </c>
      <c r="Z16" s="22"/>
      <c r="AA16" s="59"/>
      <c r="AB16" s="22"/>
      <c r="AC16" s="869"/>
      <c r="AD16" s="869"/>
      <c r="AE16" s="869"/>
      <c r="AF16" s="869"/>
      <c r="AG16" s="2"/>
      <c r="AH16" s="22" t="e">
        <f>объемы!#REF!</f>
        <v>#REF!</v>
      </c>
      <c r="AI16" s="2"/>
      <c r="AJ16" s="7"/>
      <c r="AK16" s="18"/>
      <c r="AL16" s="57"/>
      <c r="AM16" s="57">
        <v>5924.9</v>
      </c>
      <c r="AN16" s="134"/>
      <c r="AO16" s="57"/>
      <c r="AP16" s="25"/>
      <c r="AQ16" s="672"/>
      <c r="AR16" s="672"/>
      <c r="AS16" s="672"/>
      <c r="AT16" s="672"/>
      <c r="AU16" s="672"/>
      <c r="AV16" s="672"/>
      <c r="AW16" s="672"/>
      <c r="AX16" s="672"/>
      <c r="AY16" s="2682"/>
      <c r="AZ16" s="2682"/>
      <c r="BA16" s="2682"/>
      <c r="BB16" s="2682"/>
      <c r="BC16" s="672"/>
      <c r="BD16" s="672"/>
      <c r="BE16" s="672"/>
      <c r="BF16" s="672"/>
      <c r="BG16" s="672"/>
      <c r="BH16" s="672"/>
      <c r="BI16" s="672"/>
      <c r="BJ16" s="672"/>
      <c r="BK16" s="672"/>
      <c r="BL16" s="672"/>
      <c r="BM16" s="57"/>
      <c r="BN16" s="57">
        <v>7835.7</v>
      </c>
      <c r="BO16" s="134"/>
      <c r="BP16" s="257"/>
    </row>
    <row r="17" spans="1:115" hidden="1">
      <c r="A17" s="264"/>
      <c r="B17" s="9"/>
      <c r="C17" s="9"/>
      <c r="D17" s="9"/>
      <c r="E17" s="313"/>
      <c r="F17" s="326"/>
      <c r="G17" s="13"/>
      <c r="H17" s="13"/>
      <c r="I17" s="13"/>
      <c r="J17" s="295"/>
      <c r="K17" s="320"/>
      <c r="L17" s="13"/>
      <c r="M17" s="13"/>
      <c r="N17" s="13"/>
      <c r="O17" s="313"/>
      <c r="P17" s="326"/>
      <c r="Q17" s="13"/>
      <c r="R17" s="13"/>
      <c r="S17" s="13"/>
      <c r="T17" s="13"/>
      <c r="U17" s="13"/>
      <c r="V17" s="13"/>
      <c r="W17" s="295"/>
      <c r="X17" s="264"/>
      <c r="Y17" s="8"/>
      <c r="Z17" s="8"/>
      <c r="AA17" s="8"/>
      <c r="AB17" s="9"/>
      <c r="AC17" s="849"/>
      <c r="AD17" s="849"/>
      <c r="AE17" s="849"/>
      <c r="AF17" s="849"/>
      <c r="AG17" s="4"/>
      <c r="AH17" s="4"/>
      <c r="AI17" s="4"/>
      <c r="AJ17" s="7"/>
      <c r="AK17" s="10"/>
      <c r="AL17" s="167"/>
      <c r="AM17" s="167"/>
      <c r="AN17" s="173"/>
      <c r="AO17" s="167"/>
      <c r="AP17" s="25"/>
      <c r="AQ17" s="672"/>
      <c r="AR17" s="672"/>
      <c r="AS17" s="672"/>
      <c r="AT17" s="672"/>
      <c r="AU17" s="672"/>
      <c r="AV17" s="672"/>
      <c r="AW17" s="672"/>
      <c r="AX17" s="672"/>
      <c r="AY17" s="2682"/>
      <c r="AZ17" s="2682"/>
      <c r="BA17" s="2682"/>
      <c r="BB17" s="2682"/>
      <c r="BC17" s="672"/>
      <c r="BD17" s="672"/>
      <c r="BE17" s="672"/>
      <c r="BF17" s="672"/>
      <c r="BG17" s="672"/>
      <c r="BH17" s="672"/>
      <c r="BI17" s="672"/>
      <c r="BJ17" s="672"/>
      <c r="BK17" s="672"/>
      <c r="BL17" s="672"/>
      <c r="BM17" s="167"/>
      <c r="BN17" s="167"/>
      <c r="BO17" s="173"/>
      <c r="BP17" s="297"/>
    </row>
    <row r="18" spans="1:115" hidden="1">
      <c r="A18" s="263" t="s">
        <v>103</v>
      </c>
      <c r="B18" s="3"/>
      <c r="C18" s="3"/>
      <c r="D18" s="3"/>
      <c r="E18" s="78"/>
      <c r="F18" s="43">
        <v>1.6</v>
      </c>
      <c r="G18" s="15">
        <f>F18/G23*1000</f>
        <v>0.36238448994383043</v>
      </c>
      <c r="H18" s="4">
        <v>55444</v>
      </c>
      <c r="I18" s="3"/>
      <c r="J18" s="328">
        <v>88.7</v>
      </c>
      <c r="K18" s="322"/>
      <c r="L18" s="24"/>
      <c r="M18" s="24"/>
      <c r="N18" s="24"/>
      <c r="O18" s="330"/>
      <c r="P18" s="331"/>
      <c r="Q18" s="24"/>
      <c r="R18" s="24"/>
      <c r="S18" s="24"/>
      <c r="T18" s="24"/>
      <c r="U18" s="24"/>
      <c r="V18" s="24"/>
      <c r="W18" s="328"/>
      <c r="X18" s="263"/>
      <c r="Y18" s="3"/>
      <c r="Z18" s="3"/>
      <c r="AA18" s="3"/>
      <c r="AB18" s="4"/>
      <c r="AC18" s="767"/>
      <c r="AD18" s="767"/>
      <c r="AE18" s="767"/>
      <c r="AF18" s="767"/>
      <c r="AG18" s="4"/>
      <c r="AH18" s="4"/>
      <c r="AI18" s="4"/>
      <c r="AJ18" s="7"/>
      <c r="AK18" s="4"/>
      <c r="AL18" s="168"/>
      <c r="AM18" s="168"/>
      <c r="AN18" s="174"/>
      <c r="AO18" s="168"/>
      <c r="AP18" s="25"/>
      <c r="AQ18" s="672"/>
      <c r="AR18" s="672"/>
      <c r="AS18" s="672"/>
      <c r="AT18" s="672"/>
      <c r="AU18" s="672"/>
      <c r="AV18" s="672"/>
      <c r="AW18" s="672"/>
      <c r="AX18" s="672"/>
      <c r="AY18" s="2682"/>
      <c r="AZ18" s="2682"/>
      <c r="BA18" s="2682"/>
      <c r="BB18" s="2682"/>
      <c r="BC18" s="672"/>
      <c r="BD18" s="672"/>
      <c r="BE18" s="672"/>
      <c r="BF18" s="672"/>
      <c r="BG18" s="672"/>
      <c r="BH18" s="672"/>
      <c r="BI18" s="672"/>
      <c r="BJ18" s="672"/>
      <c r="BK18" s="672"/>
      <c r="BL18" s="672"/>
      <c r="BM18" s="168"/>
      <c r="BN18" s="168"/>
      <c r="BO18" s="174"/>
      <c r="BP18" s="298"/>
    </row>
    <row r="19" spans="1:115" hidden="1">
      <c r="A19" s="263" t="s">
        <v>104</v>
      </c>
      <c r="B19" s="3"/>
      <c r="C19" s="3"/>
      <c r="D19" s="3"/>
      <c r="E19" s="78"/>
      <c r="F19" s="43">
        <v>9.9700000000000006</v>
      </c>
      <c r="G19" s="15">
        <f>F19/G23*1000</f>
        <v>2.2581083529624935</v>
      </c>
      <c r="H19" s="4">
        <v>38862</v>
      </c>
      <c r="I19" s="3"/>
      <c r="J19" s="328">
        <v>387.5</v>
      </c>
      <c r="K19" s="322">
        <v>8.76</v>
      </c>
      <c r="L19" s="24">
        <f>K19/L23*1000</f>
        <v>2.1401348578129578</v>
      </c>
      <c r="M19" s="24">
        <v>52540</v>
      </c>
      <c r="N19" s="24"/>
      <c r="O19" s="330">
        <f>K19*M19/1000</f>
        <v>460.25039999999996</v>
      </c>
      <c r="P19" s="331">
        <v>9.6</v>
      </c>
      <c r="Q19" s="24" t="e">
        <f>P19/Q23*1000</f>
        <v>#REF!</v>
      </c>
      <c r="R19" s="131">
        <v>55200</v>
      </c>
      <c r="S19" s="24">
        <f>P19*R19/1000</f>
        <v>529.91999999999996</v>
      </c>
      <c r="T19" s="24">
        <v>6.2</v>
      </c>
      <c r="U19" s="24">
        <v>1.55</v>
      </c>
      <c r="V19" s="24">
        <v>52540</v>
      </c>
      <c r="W19" s="328">
        <v>318.5</v>
      </c>
      <c r="X19" s="43">
        <v>9.6</v>
      </c>
      <c r="Y19" s="15">
        <f>X19/Y23*1000</f>
        <v>2.5981055480378887</v>
      </c>
      <c r="Z19" s="4">
        <v>60720</v>
      </c>
      <c r="AA19" s="6"/>
      <c r="AB19" s="11">
        <f>X19*Z19/1000</f>
        <v>582.91200000000003</v>
      </c>
      <c r="AC19" s="765"/>
      <c r="AD19" s="765"/>
      <c r="AE19" s="765"/>
      <c r="AF19" s="765"/>
      <c r="AG19" s="12" t="e">
        <f>AH19*AH23/1000</f>
        <v>#REF!</v>
      </c>
      <c r="AH19" s="4">
        <v>2.2599999999999998</v>
      </c>
      <c r="AI19" s="4">
        <f>R19*1.069</f>
        <v>59008.799999999996</v>
      </c>
      <c r="AJ19" s="7">
        <f>AI19/R19*100</f>
        <v>106.89999999999999</v>
      </c>
      <c r="AK19" s="11" t="e">
        <f>AG19*AI19/1000</f>
        <v>#REF!</v>
      </c>
      <c r="AL19" s="24">
        <v>4.25</v>
      </c>
      <c r="AM19" s="24">
        <f>AL19/AM23*1000</f>
        <v>1.4685048892574548</v>
      </c>
      <c r="AN19" s="136">
        <f>AO19/AL19*1000</f>
        <v>51882.352941176468</v>
      </c>
      <c r="AO19" s="24">
        <v>220.5</v>
      </c>
      <c r="AP19" s="172">
        <f>(BN19+U19+L19+G19)/4</f>
        <v>2.1283056727349026</v>
      </c>
      <c r="AQ19" s="872"/>
      <c r="AR19" s="872"/>
      <c r="AS19" s="872"/>
      <c r="AT19" s="872"/>
      <c r="AU19" s="872"/>
      <c r="AV19" s="872"/>
      <c r="AW19" s="872"/>
      <c r="AX19" s="872"/>
      <c r="AY19" s="2681"/>
      <c r="AZ19" s="2681"/>
      <c r="BA19" s="2681"/>
      <c r="BB19" s="2681"/>
      <c r="BC19" s="872"/>
      <c r="BD19" s="872"/>
      <c r="BE19" s="872"/>
      <c r="BF19" s="872"/>
      <c r="BG19" s="872"/>
      <c r="BH19" s="872"/>
      <c r="BI19" s="872"/>
      <c r="BJ19" s="872"/>
      <c r="BK19" s="872"/>
      <c r="BL19" s="872"/>
      <c r="BM19" s="24">
        <v>9.75</v>
      </c>
      <c r="BN19" s="24">
        <f>BM19/BN23*1000</f>
        <v>2.5649794801641588</v>
      </c>
      <c r="BO19" s="136">
        <v>47190</v>
      </c>
      <c r="BP19" s="328">
        <v>460.1</v>
      </c>
    </row>
    <row r="20" spans="1:115" hidden="1">
      <c r="A20" s="299" t="s">
        <v>111</v>
      </c>
      <c r="B20" s="3"/>
      <c r="C20" s="3"/>
      <c r="D20" s="3"/>
      <c r="E20" s="78"/>
      <c r="F20" s="43"/>
      <c r="G20" s="4"/>
      <c r="H20" s="4"/>
      <c r="I20" s="3"/>
      <c r="J20" s="328"/>
      <c r="K20" s="322"/>
      <c r="L20" s="24"/>
      <c r="M20" s="24"/>
      <c r="N20" s="24"/>
      <c r="O20" s="330"/>
      <c r="P20" s="331"/>
      <c r="Q20" s="24"/>
      <c r="R20" s="24"/>
      <c r="S20" s="24"/>
      <c r="T20" s="24">
        <v>0.17</v>
      </c>
      <c r="U20" s="24"/>
      <c r="V20" s="24"/>
      <c r="W20" s="328">
        <v>2.2000000000000002</v>
      </c>
      <c r="X20" s="263"/>
      <c r="Y20" s="3"/>
      <c r="Z20" s="3"/>
      <c r="AA20" s="3"/>
      <c r="AB20" s="4"/>
      <c r="AC20" s="767"/>
      <c r="AD20" s="767"/>
      <c r="AE20" s="767"/>
      <c r="AF20" s="767"/>
      <c r="AG20" s="4"/>
      <c r="AH20" s="4"/>
      <c r="AI20" s="4"/>
      <c r="AJ20" s="4"/>
      <c r="AK20" s="4"/>
      <c r="AL20" s="24"/>
      <c r="AM20" s="24"/>
      <c r="AN20" s="24"/>
      <c r="AO20" s="24"/>
      <c r="AP20" s="25"/>
      <c r="AQ20" s="672"/>
      <c r="AR20" s="672"/>
      <c r="AS20" s="672"/>
      <c r="AT20" s="672"/>
      <c r="AU20" s="672"/>
      <c r="AV20" s="672"/>
      <c r="AW20" s="672"/>
      <c r="AX20" s="672"/>
      <c r="AY20" s="2682"/>
      <c r="AZ20" s="2682"/>
      <c r="BA20" s="2682"/>
      <c r="BB20" s="2682"/>
      <c r="BC20" s="672"/>
      <c r="BD20" s="672"/>
      <c r="BE20" s="672"/>
      <c r="BF20" s="672"/>
      <c r="BG20" s="672"/>
      <c r="BH20" s="672"/>
      <c r="BI20" s="672"/>
      <c r="BJ20" s="672"/>
      <c r="BK20" s="672"/>
      <c r="BL20" s="672"/>
      <c r="BM20" s="24"/>
      <c r="BN20" s="24"/>
      <c r="BO20" s="24"/>
      <c r="BP20" s="328"/>
    </row>
    <row r="21" spans="1:115" hidden="1">
      <c r="A21" s="300" t="s">
        <v>108</v>
      </c>
      <c r="B21" s="3"/>
      <c r="C21" s="3"/>
      <c r="D21" s="3"/>
      <c r="E21" s="78"/>
      <c r="F21" s="263"/>
      <c r="G21" s="3"/>
      <c r="H21" s="3"/>
      <c r="I21" s="3"/>
      <c r="J21" s="328">
        <v>2.9</v>
      </c>
      <c r="K21" s="322"/>
      <c r="L21" s="24"/>
      <c r="M21" s="24"/>
      <c r="N21" s="24"/>
      <c r="O21" s="330">
        <v>7.2</v>
      </c>
      <c r="P21" s="331"/>
      <c r="Q21" s="24"/>
      <c r="R21" s="24"/>
      <c r="S21" s="24"/>
      <c r="T21" s="24"/>
      <c r="U21" s="24"/>
      <c r="V21" s="24"/>
      <c r="W21" s="328"/>
      <c r="X21" s="263"/>
      <c r="Y21" s="3"/>
      <c r="Z21" s="3"/>
      <c r="AA21" s="3"/>
      <c r="AB21" s="4">
        <v>8.3000000000000007</v>
      </c>
      <c r="AC21" s="767"/>
      <c r="AD21" s="767"/>
      <c r="AE21" s="767"/>
      <c r="AF21" s="767"/>
      <c r="AG21" s="4"/>
      <c r="AH21" s="4"/>
      <c r="AI21" s="4"/>
      <c r="AJ21" s="4"/>
      <c r="AK21" s="11">
        <v>8.3000000000000007</v>
      </c>
      <c r="AL21" s="24"/>
      <c r="AM21" s="24"/>
      <c r="AN21" s="24"/>
      <c r="AO21" s="24">
        <v>1</v>
      </c>
      <c r="AP21" s="25"/>
      <c r="AQ21" s="672"/>
      <c r="AR21" s="672"/>
      <c r="AS21" s="672"/>
      <c r="AT21" s="672"/>
      <c r="AU21" s="672"/>
      <c r="AV21" s="672"/>
      <c r="AW21" s="672"/>
      <c r="AX21" s="672"/>
      <c r="AY21" s="2682"/>
      <c r="AZ21" s="2682"/>
      <c r="BA21" s="2682"/>
      <c r="BB21" s="2682"/>
      <c r="BC21" s="672"/>
      <c r="BD21" s="672"/>
      <c r="BE21" s="672"/>
      <c r="BF21" s="672"/>
      <c r="BG21" s="672"/>
      <c r="BH21" s="672"/>
      <c r="BI21" s="672"/>
      <c r="BJ21" s="672"/>
      <c r="BK21" s="672"/>
      <c r="BL21" s="672"/>
      <c r="BM21" s="24"/>
      <c r="BN21" s="24"/>
      <c r="BO21" s="24"/>
      <c r="BP21" s="328">
        <v>0.9</v>
      </c>
    </row>
    <row r="22" spans="1:115" hidden="1">
      <c r="A22" s="264" t="s">
        <v>94</v>
      </c>
      <c r="B22" s="8"/>
      <c r="C22" s="8"/>
      <c r="D22" s="8"/>
      <c r="E22" s="314">
        <f>стоки!C19</f>
        <v>481.5</v>
      </c>
      <c r="F22" s="264"/>
      <c r="G22" s="8"/>
      <c r="H22" s="8"/>
      <c r="I22" s="8"/>
      <c r="J22" s="295">
        <f>SUM(J18:J21)</f>
        <v>479.09999999999997</v>
      </c>
      <c r="K22" s="320"/>
      <c r="L22" s="13"/>
      <c r="M22" s="13"/>
      <c r="N22" s="13"/>
      <c r="O22" s="313">
        <f>SUM(O18:O21)</f>
        <v>467.45039999999995</v>
      </c>
      <c r="P22" s="326"/>
      <c r="Q22" s="13"/>
      <c r="R22" s="13"/>
      <c r="S22" s="13"/>
      <c r="T22" s="13"/>
      <c r="U22" s="13"/>
      <c r="V22" s="13"/>
      <c r="W22" s="295">
        <f>W19+W20+W21</f>
        <v>320.7</v>
      </c>
      <c r="X22" s="264"/>
      <c r="Y22" s="8"/>
      <c r="Z22" s="8"/>
      <c r="AA22" s="8"/>
      <c r="AB22" s="10">
        <f>SUM(AB18:AB21)</f>
        <v>591.21199999999999</v>
      </c>
      <c r="AC22" s="850"/>
      <c r="AD22" s="850"/>
      <c r="AE22" s="850"/>
      <c r="AF22" s="850"/>
      <c r="AG22" s="4"/>
      <c r="AH22" s="4"/>
      <c r="AI22" s="4"/>
      <c r="AJ22" s="4"/>
      <c r="AK22" s="10" t="e">
        <f>SUM(AK19:AK21)</f>
        <v>#REF!</v>
      </c>
      <c r="AL22" s="13"/>
      <c r="AM22" s="13"/>
      <c r="AN22" s="13"/>
      <c r="AO22" s="10">
        <f>SUM(AO19:AO21)</f>
        <v>221.5</v>
      </c>
      <c r="AP22" s="25"/>
      <c r="AQ22" s="672"/>
      <c r="AR22" s="672"/>
      <c r="AS22" s="672"/>
      <c r="AT22" s="672"/>
      <c r="AU22" s="672"/>
      <c r="AV22" s="672"/>
      <c r="AW22" s="672"/>
      <c r="AX22" s="672"/>
      <c r="AY22" s="2682"/>
      <c r="AZ22" s="2682"/>
      <c r="BA22" s="2682"/>
      <c r="BB22" s="2682"/>
      <c r="BC22" s="672"/>
      <c r="BD22" s="672"/>
      <c r="BE22" s="672"/>
      <c r="BF22" s="672"/>
      <c r="BG22" s="672"/>
      <c r="BH22" s="672"/>
      <c r="BI22" s="672"/>
      <c r="BJ22" s="672"/>
      <c r="BK22" s="672"/>
      <c r="BL22" s="672"/>
      <c r="BM22" s="13"/>
      <c r="BN22" s="13"/>
      <c r="BO22" s="13"/>
      <c r="BP22" s="301">
        <f>SUM(BP19:BP21)</f>
        <v>461</v>
      </c>
    </row>
    <row r="23" spans="1:115" ht="26.25" hidden="1" thickBot="1">
      <c r="A23" s="302" t="s">
        <v>133</v>
      </c>
      <c r="B23" s="303"/>
      <c r="C23" s="268">
        <f>объемы!C22</f>
        <v>4585.8</v>
      </c>
      <c r="D23" s="268"/>
      <c r="E23" s="315"/>
      <c r="F23" s="266"/>
      <c r="G23" s="268">
        <f>объемы!E22</f>
        <v>4415.2</v>
      </c>
      <c r="H23" s="268"/>
      <c r="I23" s="268"/>
      <c r="J23" s="329"/>
      <c r="K23" s="323"/>
      <c r="L23" s="268">
        <f>объемы!F22</f>
        <v>4093.2000000000003</v>
      </c>
      <c r="M23" s="268"/>
      <c r="N23" s="268"/>
      <c r="O23" s="315"/>
      <c r="P23" s="266"/>
      <c r="Q23" s="268" t="e">
        <f>объемы!#REF!</f>
        <v>#REF!</v>
      </c>
      <c r="R23" s="268"/>
      <c r="S23" s="268"/>
      <c r="T23" s="268">
        <v>4006.6</v>
      </c>
      <c r="U23" s="268"/>
      <c r="V23" s="268"/>
      <c r="W23" s="329"/>
      <c r="X23" s="266"/>
      <c r="Y23" s="268">
        <f>объемы!K22</f>
        <v>3695</v>
      </c>
      <c r="Z23" s="268"/>
      <c r="AA23" s="268"/>
      <c r="AB23" s="268"/>
      <c r="AC23" s="268"/>
      <c r="AD23" s="268"/>
      <c r="AE23" s="268"/>
      <c r="AF23" s="268"/>
      <c r="AG23" s="268"/>
      <c r="AH23" s="268" t="e">
        <f>объемы!#REF!</f>
        <v>#REF!</v>
      </c>
      <c r="AI23" s="268"/>
      <c r="AJ23" s="268"/>
      <c r="AK23" s="268"/>
      <c r="AL23" s="268"/>
      <c r="AM23" s="268">
        <v>2894.1</v>
      </c>
      <c r="AN23" s="268"/>
      <c r="AO23" s="268"/>
      <c r="AP23" s="304"/>
      <c r="AQ23" s="304"/>
      <c r="AR23" s="304"/>
      <c r="AS23" s="304"/>
      <c r="AT23" s="304"/>
      <c r="AU23" s="304"/>
      <c r="AV23" s="304"/>
      <c r="AW23" s="304"/>
      <c r="AX23" s="304"/>
      <c r="AY23" s="2683"/>
      <c r="AZ23" s="2683"/>
      <c r="BA23" s="2683"/>
      <c r="BB23" s="2683"/>
      <c r="BC23" s="304"/>
      <c r="BD23" s="304"/>
      <c r="BE23" s="304"/>
      <c r="BF23" s="304"/>
      <c r="BG23" s="304"/>
      <c r="BH23" s="304"/>
      <c r="BI23" s="304"/>
      <c r="BJ23" s="304"/>
      <c r="BK23" s="304"/>
      <c r="BL23" s="304"/>
      <c r="BM23" s="268"/>
      <c r="BN23" s="268">
        <f>3801.2</f>
        <v>3801.2</v>
      </c>
      <c r="BO23" s="268"/>
      <c r="BP23" s="329"/>
    </row>
    <row r="24" spans="1:115" hidden="1"/>
    <row r="25" spans="1:115" ht="13.5" thickBot="1">
      <c r="AH25" t="s">
        <v>250</v>
      </c>
    </row>
    <row r="26" spans="1:115" ht="21" thickBot="1">
      <c r="A26" s="5644" t="s">
        <v>545</v>
      </c>
      <c r="B26" s="448"/>
      <c r="C26" s="448"/>
      <c r="D26" s="448"/>
      <c r="E26" s="448"/>
      <c r="F26" s="5648" t="s">
        <v>238</v>
      </c>
      <c r="G26" s="5649"/>
      <c r="H26" s="5649"/>
      <c r="I26" s="5649"/>
      <c r="J26" s="5649"/>
      <c r="K26" s="5649"/>
      <c r="L26" s="5649"/>
      <c r="M26" s="5649"/>
      <c r="N26" s="5649"/>
      <c r="O26" s="5649"/>
      <c r="P26" s="5649"/>
      <c r="Q26" s="5649"/>
      <c r="R26" s="5649"/>
      <c r="S26" s="5649"/>
      <c r="T26" s="5649"/>
      <c r="U26" s="5649"/>
      <c r="V26" s="5649"/>
      <c r="W26" s="5649"/>
      <c r="X26" s="5649"/>
      <c r="Y26" s="5649"/>
      <c r="Z26" s="5649"/>
      <c r="AA26" s="5649"/>
      <c r="AB26" s="5649"/>
      <c r="AC26" s="5649"/>
      <c r="AD26" s="5649"/>
      <c r="AE26" s="5649"/>
      <c r="AF26" s="5649"/>
      <c r="AG26" s="5672" t="s">
        <v>379</v>
      </c>
      <c r="AH26" s="5673"/>
      <c r="AI26" s="5673"/>
      <c r="AJ26" s="5673"/>
      <c r="AK26" s="5673"/>
      <c r="AL26" s="5673"/>
      <c r="AM26" s="5673"/>
      <c r="AN26" s="5673"/>
      <c r="AO26" s="5673"/>
      <c r="AP26" s="5673"/>
      <c r="AQ26" s="5673"/>
      <c r="AR26" s="5673"/>
      <c r="AS26" s="5673"/>
      <c r="AT26" s="5673"/>
      <c r="AU26" s="5673"/>
      <c r="AV26" s="5673"/>
      <c r="AW26" s="5673"/>
      <c r="AX26" s="5673"/>
      <c r="AY26" s="5674"/>
      <c r="AZ26" s="5674"/>
      <c r="BA26" s="5674"/>
      <c r="BB26" s="5675"/>
      <c r="BC26" s="5670" t="s">
        <v>832</v>
      </c>
      <c r="BD26" s="5670"/>
      <c r="BE26" s="5670"/>
      <c r="BF26" s="5670"/>
      <c r="BG26" s="5670"/>
      <c r="BH26" s="5670"/>
      <c r="BI26" s="5670"/>
      <c r="BJ26" s="5670"/>
      <c r="BK26" s="5670"/>
      <c r="BL26" s="5670"/>
      <c r="BM26" s="5694" t="s">
        <v>246</v>
      </c>
      <c r="BN26" s="5695"/>
      <c r="BO26" s="5696"/>
      <c r="BP26" s="3495"/>
      <c r="BQ26" s="5245" t="s">
        <v>1658</v>
      </c>
      <c r="BR26" s="5246"/>
      <c r="BS26" s="5246"/>
      <c r="BT26" s="5246"/>
      <c r="BU26" s="5246"/>
      <c r="BV26" s="5246"/>
      <c r="BW26" s="5246"/>
      <c r="BX26" s="5246"/>
      <c r="BY26" s="5246"/>
      <c r="BZ26" s="5246"/>
      <c r="CA26" s="5246"/>
      <c r="CB26" s="5247"/>
      <c r="CC26" s="5701" t="s">
        <v>911</v>
      </c>
      <c r="CD26" s="5701"/>
      <c r="CE26" s="5701"/>
      <c r="CF26" s="5701"/>
      <c r="CG26" s="5701"/>
      <c r="CH26" s="5701"/>
      <c r="CI26" s="5701"/>
      <c r="CJ26" s="5701"/>
      <c r="CK26" s="5701"/>
      <c r="CL26" s="5701"/>
      <c r="CM26" s="5698" t="s">
        <v>246</v>
      </c>
      <c r="CN26" s="5699"/>
      <c r="CO26" s="5700"/>
      <c r="CP26" s="5601" t="s">
        <v>1897</v>
      </c>
      <c r="CQ26" s="5602"/>
      <c r="CR26" s="5602"/>
      <c r="CS26" s="5602"/>
      <c r="CT26" s="5602"/>
      <c r="CU26" s="5602"/>
      <c r="CV26" s="5602"/>
      <c r="CW26" s="5602"/>
      <c r="CX26" s="5602"/>
      <c r="CY26" s="5602"/>
      <c r="CZ26" s="5602"/>
      <c r="DA26" s="5603"/>
      <c r="DB26" s="5670" t="s">
        <v>1849</v>
      </c>
      <c r="DC26" s="5670"/>
      <c r="DD26" s="5670"/>
      <c r="DE26" s="5670"/>
      <c r="DF26" s="5670"/>
      <c r="DG26" s="5670"/>
      <c r="DH26" s="5670"/>
      <c r="DI26" s="5670"/>
      <c r="DJ26" s="5670"/>
      <c r="DK26" s="5670"/>
    </row>
    <row r="27" spans="1:115" ht="16.5" thickBot="1">
      <c r="A27" s="5645"/>
      <c r="B27" s="449"/>
      <c r="C27" s="449"/>
      <c r="D27" s="449"/>
      <c r="E27" s="449"/>
      <c r="F27" s="5642" t="s">
        <v>168</v>
      </c>
      <c r="G27" s="5643"/>
      <c r="H27" s="5643"/>
      <c r="I27" s="5643"/>
      <c r="J27" s="5643"/>
      <c r="K27" s="5647" t="s">
        <v>127</v>
      </c>
      <c r="L27" s="5641"/>
      <c r="M27" s="5641"/>
      <c r="N27" s="5641"/>
      <c r="O27" s="5641"/>
      <c r="P27" s="5640" t="s">
        <v>391</v>
      </c>
      <c r="Q27" s="5641"/>
      <c r="R27" s="5641"/>
      <c r="S27" s="5641"/>
      <c r="T27" s="5640" t="s">
        <v>393</v>
      </c>
      <c r="U27" s="5641"/>
      <c r="V27" s="5641"/>
      <c r="W27" s="5641"/>
      <c r="X27" s="5641"/>
      <c r="Y27" s="5641"/>
      <c r="Z27" s="898"/>
      <c r="AA27" s="898"/>
      <c r="AB27" s="898"/>
      <c r="AC27" s="5640" t="s">
        <v>831</v>
      </c>
      <c r="AD27" s="5650"/>
      <c r="AE27" s="5650"/>
      <c r="AF27" s="5650"/>
      <c r="AG27" s="5692" t="s">
        <v>394</v>
      </c>
      <c r="AH27" s="5693"/>
      <c r="AI27" s="5693"/>
      <c r="AJ27" s="5693"/>
      <c r="AK27" s="5693"/>
      <c r="AL27" s="5671" t="s">
        <v>127</v>
      </c>
      <c r="AM27" s="5668"/>
      <c r="AN27" s="5668"/>
      <c r="AO27" s="5668"/>
      <c r="AP27" s="5668"/>
      <c r="AQ27" s="5667" t="s">
        <v>391</v>
      </c>
      <c r="AR27" s="5668"/>
      <c r="AS27" s="5668"/>
      <c r="AT27" s="5668"/>
      <c r="AU27" s="5667" t="s">
        <v>393</v>
      </c>
      <c r="AV27" s="5668"/>
      <c r="AW27" s="5668"/>
      <c r="AX27" s="5668"/>
      <c r="AY27" s="5667" t="s">
        <v>1632</v>
      </c>
      <c r="AZ27" s="5667"/>
      <c r="BA27" s="5667"/>
      <c r="BB27" s="5676"/>
      <c r="BC27" s="5671" t="s">
        <v>394</v>
      </c>
      <c r="BD27" s="5668"/>
      <c r="BE27" s="5668"/>
      <c r="BF27" s="5668"/>
      <c r="BG27" s="5668"/>
      <c r="BH27" s="5667" t="s">
        <v>127</v>
      </c>
      <c r="BI27" s="5668"/>
      <c r="BJ27" s="5668"/>
      <c r="BK27" s="5668"/>
      <c r="BL27" s="5669"/>
      <c r="BM27" s="5660"/>
      <c r="BN27" s="5661"/>
      <c r="BO27" s="5662"/>
      <c r="BP27" s="3495"/>
      <c r="BQ27" s="5689"/>
      <c r="BR27" s="5690"/>
      <c r="BS27" s="5690"/>
      <c r="BT27" s="5690"/>
      <c r="BU27" s="5690"/>
      <c r="BV27" s="5690"/>
      <c r="BW27" s="5690"/>
      <c r="BX27" s="5690"/>
      <c r="BY27" s="5690"/>
      <c r="BZ27" s="5690"/>
      <c r="CA27" s="5690"/>
      <c r="CB27" s="5691"/>
      <c r="CC27" s="5671" t="s">
        <v>394</v>
      </c>
      <c r="CD27" s="5668"/>
      <c r="CE27" s="5668"/>
      <c r="CF27" s="5668"/>
      <c r="CG27" s="5668"/>
      <c r="CH27" s="5667" t="s">
        <v>127</v>
      </c>
      <c r="CI27" s="5668"/>
      <c r="CJ27" s="5668"/>
      <c r="CK27" s="5668"/>
      <c r="CL27" s="5669"/>
      <c r="CM27" s="5680"/>
      <c r="CN27" s="5681"/>
      <c r="CO27" s="5682"/>
      <c r="CP27" s="5718" t="s">
        <v>598</v>
      </c>
      <c r="CQ27" s="5719"/>
      <c r="CR27" s="5719"/>
      <c r="CS27" s="5719"/>
      <c r="CT27" s="5719" t="s">
        <v>229</v>
      </c>
      <c r="CU27" s="5719"/>
      <c r="CV27" s="5719"/>
      <c r="CW27" s="5719"/>
      <c r="CX27" s="5719" t="s">
        <v>1899</v>
      </c>
      <c r="CY27" s="5719"/>
      <c r="CZ27" s="5719"/>
      <c r="DA27" s="5720"/>
      <c r="DB27" s="5671" t="s">
        <v>394</v>
      </c>
      <c r="DC27" s="5668"/>
      <c r="DD27" s="5668"/>
      <c r="DE27" s="5668"/>
      <c r="DF27" s="5668"/>
      <c r="DG27" s="5667" t="s">
        <v>127</v>
      </c>
      <c r="DH27" s="5668"/>
      <c r="DI27" s="5668"/>
      <c r="DJ27" s="5668"/>
      <c r="DK27" s="5669"/>
    </row>
    <row r="28" spans="1:115" ht="67.5" customHeight="1" thickBot="1">
      <c r="A28" s="5646"/>
      <c r="B28" s="450"/>
      <c r="C28" s="450"/>
      <c r="D28" s="450"/>
      <c r="E28" s="450"/>
      <c r="F28" s="899" t="s">
        <v>100</v>
      </c>
      <c r="G28" s="899" t="s">
        <v>125</v>
      </c>
      <c r="H28" s="899" t="s">
        <v>101</v>
      </c>
      <c r="I28" s="899" t="s">
        <v>167</v>
      </c>
      <c r="J28" s="899" t="s">
        <v>102</v>
      </c>
      <c r="K28" s="900" t="s">
        <v>100</v>
      </c>
      <c r="L28" s="900" t="s">
        <v>131</v>
      </c>
      <c r="M28" s="900" t="s">
        <v>101</v>
      </c>
      <c r="N28" s="900" t="s">
        <v>123</v>
      </c>
      <c r="O28" s="900" t="s">
        <v>102</v>
      </c>
      <c r="P28" s="901" t="s">
        <v>100</v>
      </c>
      <c r="Q28" s="901" t="s">
        <v>131</v>
      </c>
      <c r="R28" s="901" t="s">
        <v>101</v>
      </c>
      <c r="S28" s="901" t="s">
        <v>102</v>
      </c>
      <c r="T28" s="901" t="s">
        <v>100</v>
      </c>
      <c r="U28" s="901" t="s">
        <v>131</v>
      </c>
      <c r="V28" s="901" t="s">
        <v>101</v>
      </c>
      <c r="W28" s="901" t="s">
        <v>102</v>
      </c>
      <c r="X28" s="901" t="s">
        <v>123</v>
      </c>
      <c r="Y28" s="901" t="s">
        <v>102</v>
      </c>
      <c r="Z28" s="902"/>
      <c r="AA28" s="902"/>
      <c r="AB28" s="902"/>
      <c r="AC28" s="901" t="s">
        <v>100</v>
      </c>
      <c r="AD28" s="901" t="s">
        <v>131</v>
      </c>
      <c r="AE28" s="901" t="s">
        <v>101</v>
      </c>
      <c r="AF28" s="901" t="s">
        <v>102</v>
      </c>
      <c r="AG28" s="3496" t="s">
        <v>100</v>
      </c>
      <c r="AH28" s="3497" t="s">
        <v>125</v>
      </c>
      <c r="AI28" s="3497" t="s">
        <v>101</v>
      </c>
      <c r="AJ28" s="3497" t="s">
        <v>835</v>
      </c>
      <c r="AK28" s="3498" t="s">
        <v>102</v>
      </c>
      <c r="AL28" s="3496" t="s">
        <v>100</v>
      </c>
      <c r="AM28" s="3497" t="s">
        <v>131</v>
      </c>
      <c r="AN28" s="3497" t="s">
        <v>101</v>
      </c>
      <c r="AO28" s="3497" t="s">
        <v>835</v>
      </c>
      <c r="AP28" s="3497" t="s">
        <v>102</v>
      </c>
      <c r="AQ28" s="3499" t="s">
        <v>100</v>
      </c>
      <c r="AR28" s="3499" t="s">
        <v>131</v>
      </c>
      <c r="AS28" s="3499" t="s">
        <v>101</v>
      </c>
      <c r="AT28" s="3499" t="s">
        <v>102</v>
      </c>
      <c r="AU28" s="3499" t="s">
        <v>100</v>
      </c>
      <c r="AV28" s="3499" t="s">
        <v>131</v>
      </c>
      <c r="AW28" s="3499" t="s">
        <v>101</v>
      </c>
      <c r="AX28" s="3499" t="s">
        <v>102</v>
      </c>
      <c r="AY28" s="3497" t="s">
        <v>100</v>
      </c>
      <c r="AZ28" s="3497" t="s">
        <v>131</v>
      </c>
      <c r="BA28" s="3497" t="s">
        <v>101</v>
      </c>
      <c r="BB28" s="3498" t="s">
        <v>102</v>
      </c>
      <c r="BC28" s="3496" t="s">
        <v>100</v>
      </c>
      <c r="BD28" s="3497" t="s">
        <v>131</v>
      </c>
      <c r="BE28" s="3497" t="s">
        <v>101</v>
      </c>
      <c r="BF28" s="3497" t="s">
        <v>835</v>
      </c>
      <c r="BG28" s="3497" t="s">
        <v>102</v>
      </c>
      <c r="BH28" s="3497" t="s">
        <v>100</v>
      </c>
      <c r="BI28" s="3497" t="s">
        <v>131</v>
      </c>
      <c r="BJ28" s="3497" t="s">
        <v>101</v>
      </c>
      <c r="BK28" s="3497" t="s">
        <v>835</v>
      </c>
      <c r="BL28" s="3498" t="s">
        <v>102</v>
      </c>
      <c r="BM28" s="5663"/>
      <c r="BN28" s="5664"/>
      <c r="BO28" s="5665"/>
      <c r="BP28" s="3500"/>
      <c r="BQ28" s="3496" t="s">
        <v>100</v>
      </c>
      <c r="BR28" s="3497" t="s">
        <v>131</v>
      </c>
      <c r="BS28" s="3497" t="s">
        <v>101</v>
      </c>
      <c r="BT28" s="3498" t="s">
        <v>102</v>
      </c>
      <c r="BU28" s="3496" t="s">
        <v>100</v>
      </c>
      <c r="BV28" s="3497" t="s">
        <v>131</v>
      </c>
      <c r="BW28" s="3497" t="s">
        <v>101</v>
      </c>
      <c r="BX28" s="3498" t="s">
        <v>102</v>
      </c>
      <c r="BY28" s="3496" t="s">
        <v>100</v>
      </c>
      <c r="BZ28" s="3497" t="s">
        <v>131</v>
      </c>
      <c r="CA28" s="3497" t="s">
        <v>101</v>
      </c>
      <c r="CB28" s="3498" t="s">
        <v>102</v>
      </c>
      <c r="CC28" s="3496" t="s">
        <v>100</v>
      </c>
      <c r="CD28" s="3497" t="s">
        <v>131</v>
      </c>
      <c r="CE28" s="3497" t="s">
        <v>101</v>
      </c>
      <c r="CF28" s="3497" t="s">
        <v>1665</v>
      </c>
      <c r="CG28" s="3497" t="s">
        <v>102</v>
      </c>
      <c r="CH28" s="3497" t="s">
        <v>100</v>
      </c>
      <c r="CI28" s="3497" t="s">
        <v>131</v>
      </c>
      <c r="CJ28" s="3497" t="s">
        <v>101</v>
      </c>
      <c r="CK28" s="3497" t="s">
        <v>1665</v>
      </c>
      <c r="CL28" s="3498" t="s">
        <v>102</v>
      </c>
      <c r="CM28" s="5683"/>
      <c r="CN28" s="5684"/>
      <c r="CO28" s="5685"/>
      <c r="CP28" s="3491" t="s">
        <v>100</v>
      </c>
      <c r="CQ28" s="3492" t="s">
        <v>131</v>
      </c>
      <c r="CR28" s="3492" t="s">
        <v>101</v>
      </c>
      <c r="CS28" s="3492" t="s">
        <v>102</v>
      </c>
      <c r="CT28" s="3492" t="s">
        <v>100</v>
      </c>
      <c r="CU28" s="3492" t="s">
        <v>131</v>
      </c>
      <c r="CV28" s="3492" t="s">
        <v>101</v>
      </c>
      <c r="CW28" s="3492" t="s">
        <v>102</v>
      </c>
      <c r="CX28" s="3492" t="s">
        <v>100</v>
      </c>
      <c r="CY28" s="3492" t="s">
        <v>131</v>
      </c>
      <c r="CZ28" s="3492" t="s">
        <v>101</v>
      </c>
      <c r="DA28" s="3493" t="s">
        <v>102</v>
      </c>
      <c r="DB28" s="3496" t="s">
        <v>100</v>
      </c>
      <c r="DC28" s="3497" t="s">
        <v>131</v>
      </c>
      <c r="DD28" s="3497" t="s">
        <v>101</v>
      </c>
      <c r="DE28" s="3497" t="s">
        <v>1665</v>
      </c>
      <c r="DF28" s="3497" t="s">
        <v>102</v>
      </c>
      <c r="DG28" s="3497" t="s">
        <v>100</v>
      </c>
      <c r="DH28" s="3497" t="s">
        <v>131</v>
      </c>
      <c r="DI28" s="3497" t="s">
        <v>101</v>
      </c>
      <c r="DJ28" s="3497" t="s">
        <v>1665</v>
      </c>
      <c r="DK28" s="3498" t="s">
        <v>102</v>
      </c>
    </row>
    <row r="29" spans="1:115" ht="36.75" customHeight="1">
      <c r="A29" s="873" t="s">
        <v>103</v>
      </c>
      <c r="B29" s="451"/>
      <c r="C29" s="451"/>
      <c r="D29" s="451"/>
      <c r="E29" s="451"/>
      <c r="F29" s="883">
        <v>5.6</v>
      </c>
      <c r="G29" s="884">
        <f>F29/G40*1000</f>
        <v>1.1258544431041415</v>
      </c>
      <c r="H29" s="885">
        <v>83160</v>
      </c>
      <c r="I29" s="886" t="e">
        <f>H29/#REF!*100</f>
        <v>#REF!</v>
      </c>
      <c r="J29" s="887">
        <f>F29*H29/1000</f>
        <v>465.69599999999997</v>
      </c>
      <c r="K29" s="452">
        <f>L40*L29/1000</f>
        <v>34.224646132362579</v>
      </c>
      <c r="L29" s="453">
        <f>AP7+AP8</f>
        <v>6.2087877413688242</v>
      </c>
      <c r="M29" s="454">
        <f>AN7*1.021</f>
        <v>73512</v>
      </c>
      <c r="N29" s="455" t="e">
        <f>M29/#REF!*100</f>
        <v>#REF!</v>
      </c>
      <c r="O29" s="456">
        <f>K29*M29/1000</f>
        <v>2515.922186482238</v>
      </c>
      <c r="P29" s="457">
        <v>1.34</v>
      </c>
      <c r="Q29" s="458">
        <f>P29/Q40*1000</f>
        <v>0.38357764257597332</v>
      </c>
      <c r="R29" s="459">
        <v>72500</v>
      </c>
      <c r="S29" s="460">
        <f>R29*P29/1000</f>
        <v>97.15</v>
      </c>
      <c r="T29" s="457">
        <v>2.74</v>
      </c>
      <c r="U29" s="458">
        <f>SUM(T29/U40*1000)</f>
        <v>0.53121364870104693</v>
      </c>
      <c r="V29" s="459">
        <v>72760</v>
      </c>
      <c r="W29" s="460">
        <f>V29*T29/1000</f>
        <v>199.36240000000004</v>
      </c>
      <c r="X29" s="461" t="e">
        <f>W29/#REF!*100</f>
        <v>#REF!</v>
      </c>
      <c r="Y29" s="460">
        <f>U29*W29/1000</f>
        <v>0.10590402791779761</v>
      </c>
      <c r="Z29" s="451"/>
      <c r="AA29" s="451"/>
      <c r="AB29" s="451"/>
      <c r="AC29" s="457">
        <v>3.03</v>
      </c>
      <c r="AD29" s="458">
        <f>SUM(AC29/AD40*1000)</f>
        <v>0.43734934541937898</v>
      </c>
      <c r="AE29" s="459">
        <v>72706.600000000006</v>
      </c>
      <c r="AF29" s="460">
        <f>AE29*AC29/1000</f>
        <v>220.30099799999999</v>
      </c>
      <c r="AG29" s="3501">
        <v>39.299999999999997</v>
      </c>
      <c r="AH29" s="3502">
        <f>AG29/AH40*1000</f>
        <v>6.8301499852274103</v>
      </c>
      <c r="AI29" s="3503">
        <f>AK29/AG29*1000</f>
        <v>74870.229007633592</v>
      </c>
      <c r="AJ29" s="3504">
        <f>AI29/BO7</f>
        <v>1.0399381720065624</v>
      </c>
      <c r="AK29" s="3505">
        <v>2942.4</v>
      </c>
      <c r="AL29" s="3506">
        <f>AM40*AM29/1000</f>
        <v>34.52949005697117</v>
      </c>
      <c r="AM29" s="3507">
        <f>AP8+AP7</f>
        <v>6.2087877413688242</v>
      </c>
      <c r="AN29" s="3508">
        <f>M53</f>
        <v>77526</v>
      </c>
      <c r="AO29" s="3509">
        <f>AN29/BO7</f>
        <v>1.0768265008880993</v>
      </c>
      <c r="AP29" s="3508">
        <f>AL29*AN29/1000</f>
        <v>2676.9332461567469</v>
      </c>
      <c r="AQ29" s="3510">
        <v>0.61499999999999999</v>
      </c>
      <c r="AR29" s="3502">
        <f>AQ29/AR40*1000</f>
        <v>0.18261233627987492</v>
      </c>
      <c r="AS29" s="3508">
        <v>73000</v>
      </c>
      <c r="AT29" s="3508">
        <f t="shared" ref="AT29:AT35" si="3">AS29*AQ29/1000</f>
        <v>44.895000000000003</v>
      </c>
      <c r="AU29" s="3510"/>
      <c r="AV29" s="3502" t="e">
        <f>SUM(AU29/AV40*1000)</f>
        <v>#DIV/0!</v>
      </c>
      <c r="AW29" s="3508"/>
      <c r="AX29" s="3508">
        <f>AW29*AU29/1000</f>
        <v>0</v>
      </c>
      <c r="AY29" s="3510">
        <v>2.0950000000000002</v>
      </c>
      <c r="AZ29" s="3502">
        <f>AY29/AZ40*1000</f>
        <v>0.31278413714128739</v>
      </c>
      <c r="BA29" s="3508">
        <f>SUM(BB29/AY29)</f>
        <v>73.002386634844868</v>
      </c>
      <c r="BB29" s="3511">
        <v>152.94</v>
      </c>
      <c r="BC29" s="3501">
        <v>3.03</v>
      </c>
      <c r="BD29" s="3502">
        <f>BC29/BD40*1000</f>
        <v>0.52819663557918584</v>
      </c>
      <c r="BE29" s="3503">
        <f>SUM(AN29*1.1)</f>
        <v>85278.6</v>
      </c>
      <c r="BF29" s="3504">
        <f>BE29/AN29</f>
        <v>1.1000000000000001</v>
      </c>
      <c r="BG29" s="3508">
        <f>SUM(BC29*BE29)/1000</f>
        <v>258.394158</v>
      </c>
      <c r="BH29" s="3510">
        <f t="shared" ref="BH29:BH35" si="4">BI29*$BI$40/1000</f>
        <v>2.4729118387436664</v>
      </c>
      <c r="BI29" s="3507">
        <f>AD29</f>
        <v>0.43734934541937898</v>
      </c>
      <c r="BJ29" s="3508">
        <f>M62</f>
        <v>79862</v>
      </c>
      <c r="BK29" s="3509">
        <f>BJ29/AN29</f>
        <v>1.0301318267419963</v>
      </c>
      <c r="BL29" s="3511">
        <f>BH29*BJ29/1000</f>
        <v>197.4916852657467</v>
      </c>
      <c r="BM29" s="5657" t="s">
        <v>904</v>
      </c>
      <c r="BN29" s="5658"/>
      <c r="BO29" s="5659"/>
      <c r="BP29" s="3512"/>
      <c r="BQ29" s="3510">
        <v>3.2879999999999998</v>
      </c>
      <c r="BR29" s="3502">
        <f>BQ29/BR40*1000</f>
        <v>1.0413763397268603</v>
      </c>
      <c r="BS29" s="3508">
        <v>32558.28</v>
      </c>
      <c r="BT29" s="3511">
        <f t="shared" ref="BT29:BT35" si="5">BS29*BQ29/1000</f>
        <v>107.05162464</v>
      </c>
      <c r="BU29" s="3510">
        <v>7.5030000000000001</v>
      </c>
      <c r="BV29" s="3502">
        <f>SUM(BU29/BV40*1000)</f>
        <v>1.6028215469802101</v>
      </c>
      <c r="BW29" s="3508">
        <v>31356.98</v>
      </c>
      <c r="BX29" s="3511">
        <f t="shared" ref="BX29:BX35" si="6">BW29*BU29/1000</f>
        <v>235.27142094000001</v>
      </c>
      <c r="BY29" s="3510">
        <v>9.81</v>
      </c>
      <c r="BZ29" s="3502">
        <f>BY29/BZ40*1000</f>
        <v>1.5498536249354227</v>
      </c>
      <c r="CA29" s="3508">
        <f t="shared" ref="CA29:CA34" si="7">SUM(CB29/BY29*1000)</f>
        <v>30814.4750254842</v>
      </c>
      <c r="CB29" s="3511">
        <v>302.29000000000002</v>
      </c>
      <c r="CC29" s="3506">
        <f t="shared" ref="CC29:CC35" si="8">CD29*$BI$40/1000</f>
        <v>2.4729118387436664</v>
      </c>
      <c r="CD29" s="3586">
        <f>SUM(BI29)</f>
        <v>0.43734934541937898</v>
      </c>
      <c r="CE29" s="3503">
        <f t="shared" ref="CE29:CE35" si="9">SUM(BJ29*1.1)</f>
        <v>87848.200000000012</v>
      </c>
      <c r="CF29" s="3504">
        <f>CE29/BJ29</f>
        <v>1.1000000000000001</v>
      </c>
      <c r="CG29" s="3508">
        <f>SUM(CC29*CE29)/1000</f>
        <v>217.24085379232136</v>
      </c>
      <c r="CH29" s="3510"/>
      <c r="CI29" s="3507"/>
      <c r="CJ29" s="3508"/>
      <c r="CK29" s="3509"/>
      <c r="CL29" s="3511">
        <f>BL29*(1-0.01)*(1+0.071)*(1+0)</f>
        <v>209.39845897041857</v>
      </c>
      <c r="CM29" s="5677" t="s">
        <v>1692</v>
      </c>
      <c r="CN29" s="5678"/>
      <c r="CO29" s="5679"/>
      <c r="CP29" s="4243">
        <v>3.5939999999999999</v>
      </c>
      <c r="CQ29" s="4244">
        <f>CP29/CQ40*1000</f>
        <v>1.1226408611286383</v>
      </c>
      <c r="CR29" s="3590">
        <f t="shared" ref="CR29:CR34" si="10">SUM(CS29/CP29*1000)</f>
        <v>26500</v>
      </c>
      <c r="CS29" s="3590">
        <v>95.241</v>
      </c>
      <c r="CT29" s="3589">
        <v>6.63</v>
      </c>
      <c r="CU29" s="4244">
        <f>CT29/CU40*1000</f>
        <v>1.3172953125745077</v>
      </c>
      <c r="CV29" s="3590">
        <f t="shared" ref="CV29:CV34" si="11">SUM(CW29/CT29*1000)</f>
        <v>26515.837104072401</v>
      </c>
      <c r="CW29" s="3590">
        <v>175.8</v>
      </c>
      <c r="CX29" s="3589">
        <f>SUM(CT29/9*12)</f>
        <v>8.84</v>
      </c>
      <c r="CY29" s="4244">
        <f>CX29/CY40*1000</f>
        <v>1.4157591287636131</v>
      </c>
      <c r="CZ29" s="3590">
        <f>SUM(CR29+((CW29-CS29)/(CT29-CP29))*1000)/2</f>
        <v>26517.292490118576</v>
      </c>
      <c r="DA29" s="3591">
        <f>SUM(CX29*CZ29)/1000</f>
        <v>234.4128656126482</v>
      </c>
      <c r="DB29" s="3506"/>
      <c r="DC29" s="3586"/>
      <c r="DD29" s="4059"/>
      <c r="DE29" s="4229">
        <f t="shared" ref="DE29:DE35" si="12">DD29/BW29</f>
        <v>0</v>
      </c>
      <c r="DF29" s="4060">
        <f>CL29*(1-0.01)*(1+0.058)*(1+0)</f>
        <v>219.32813389479585</v>
      </c>
      <c r="DG29" s="4230"/>
      <c r="DH29" s="3507"/>
      <c r="DI29" s="3508"/>
      <c r="DJ29" s="3509"/>
      <c r="DK29" s="4415">
        <f t="shared" ref="DK29:DK38" si="13">CL29*(1-0.01)*(1+0.04)*(1+0)</f>
        <v>215.59665335594298</v>
      </c>
    </row>
    <row r="30" spans="1:115" ht="36.75" customHeight="1">
      <c r="A30" s="874" t="s">
        <v>104</v>
      </c>
      <c r="B30" s="451"/>
      <c r="C30" s="451"/>
      <c r="D30" s="451"/>
      <c r="E30" s="451"/>
      <c r="F30" s="888">
        <v>36.299999999999997</v>
      </c>
      <c r="G30" s="889"/>
      <c r="H30" s="890">
        <v>64900</v>
      </c>
      <c r="I30" s="891"/>
      <c r="J30" s="892">
        <f>F30*H30/1000</f>
        <v>2355.87</v>
      </c>
      <c r="K30" s="444"/>
      <c r="L30" s="462"/>
      <c r="M30" s="445"/>
      <c r="N30" s="463"/>
      <c r="O30" s="464"/>
      <c r="P30" s="465">
        <v>20.079999999999998</v>
      </c>
      <c r="Q30" s="466">
        <f>SUM(P30/Q40*1000)</f>
        <v>5.7479395991981663</v>
      </c>
      <c r="R30" s="447">
        <v>50390</v>
      </c>
      <c r="S30" s="467">
        <f>R30*P30/1000</f>
        <v>1011.8312</v>
      </c>
      <c r="T30" s="465">
        <v>32.03</v>
      </c>
      <c r="U30" s="466">
        <f>SUM(T30/U40*1000)</f>
        <v>6.2097712291585889</v>
      </c>
      <c r="V30" s="447">
        <v>51390</v>
      </c>
      <c r="W30" s="467">
        <f>V30*T30/1000</f>
        <v>1646.0217</v>
      </c>
      <c r="X30" s="468"/>
      <c r="Y30" s="467"/>
      <c r="Z30" s="451"/>
      <c r="AA30" s="451"/>
      <c r="AB30" s="451"/>
      <c r="AC30" s="465">
        <v>36.33</v>
      </c>
      <c r="AD30" s="466">
        <f>SUM(AC30/AD40*1000)</f>
        <v>5.2438619534937425</v>
      </c>
      <c r="AE30" s="447">
        <v>51794.06</v>
      </c>
      <c r="AF30" s="467">
        <f>AE30*AC30/1000</f>
        <v>1881.6781997999999</v>
      </c>
      <c r="AG30" s="3513">
        <v>0</v>
      </c>
      <c r="AH30" s="3514"/>
      <c r="AI30" s="3515">
        <v>0</v>
      </c>
      <c r="AJ30" s="3516"/>
      <c r="AK30" s="3517">
        <v>0</v>
      </c>
      <c r="AL30" s="3518"/>
      <c r="AM30" s="3519"/>
      <c r="AN30" s="3520"/>
      <c r="AO30" s="3521">
        <f>AN30/BO8</f>
        <v>0</v>
      </c>
      <c r="AP30" s="3520"/>
      <c r="AQ30" s="3522">
        <v>11.95</v>
      </c>
      <c r="AR30" s="3519">
        <f>SUM(AQ30/AR40*1000)</f>
        <v>3.5483210057634231</v>
      </c>
      <c r="AS30" s="3520">
        <v>52763.7</v>
      </c>
      <c r="AT30" s="3520">
        <f t="shared" si="3"/>
        <v>630.52621499999998</v>
      </c>
      <c r="AU30" s="3522"/>
      <c r="AV30" s="3519" t="e">
        <f>SUM(AU30/AV40*1000)</f>
        <v>#DIV/0!</v>
      </c>
      <c r="AW30" s="3520"/>
      <c r="AX30" s="3520">
        <f>AW30*AU30/1000</f>
        <v>0</v>
      </c>
      <c r="AY30" s="3522">
        <v>38.274999999999999</v>
      </c>
      <c r="AZ30" s="3519">
        <f>SUM(AY30/AZ40*1000)</f>
        <v>5.7144691403736383</v>
      </c>
      <c r="BA30" s="3508">
        <f t="shared" ref="BA30:BA35" si="14">SUM(BB30/AY30)</f>
        <v>52.681645983017638</v>
      </c>
      <c r="BB30" s="3523">
        <v>2016.39</v>
      </c>
      <c r="BC30" s="3518">
        <v>36.33</v>
      </c>
      <c r="BD30" s="3524">
        <f>BC30/BD40*1000</f>
        <v>6.3331299572910309</v>
      </c>
      <c r="BE30" s="3503">
        <f>SUM(BE42)</f>
        <v>56285.032518000007</v>
      </c>
      <c r="BF30" s="3504" t="e">
        <f t="shared" ref="BF30:BF33" si="15">BE30/AN30</f>
        <v>#DIV/0!</v>
      </c>
      <c r="BG30" s="3508">
        <f t="shared" ref="BG30:BG33" si="16">SUM(BC30*BE30)/1000</f>
        <v>2044.8352313789401</v>
      </c>
      <c r="BH30" s="3510">
        <f t="shared" si="4"/>
        <v>29.650457789292879</v>
      </c>
      <c r="BI30" s="3507">
        <f t="shared" ref="BI30:BI33" si="17">AD30</f>
        <v>5.2438619534937425</v>
      </c>
      <c r="BJ30" s="3520">
        <f>M61</f>
        <v>43766.393750000003</v>
      </c>
      <c r="BK30" s="3509" t="e">
        <f t="shared" ref="BK30:BK33" si="18">BJ30/AN30</f>
        <v>#DIV/0!</v>
      </c>
      <c r="BL30" s="3511">
        <f t="shared" ref="BL30:BL35" si="19">BH30*BJ30/1000</f>
        <v>1297.6936104739466</v>
      </c>
      <c r="BM30" s="5660"/>
      <c r="BN30" s="5661"/>
      <c r="BO30" s="5662"/>
      <c r="BP30" s="3512"/>
      <c r="BQ30" s="3525">
        <v>13.675000000000001</v>
      </c>
      <c r="BR30" s="3526">
        <f>SUM(BQ30/BR40*1000)</f>
        <v>4.3311500747459908</v>
      </c>
      <c r="BS30" s="3527">
        <v>59436.14</v>
      </c>
      <c r="BT30" s="3528">
        <f t="shared" si="5"/>
        <v>812.78921449999996</v>
      </c>
      <c r="BU30" s="3525">
        <v>29.875</v>
      </c>
      <c r="BV30" s="3526">
        <f>SUM(BU30/BV40*1000)</f>
        <v>6.3820196875961308</v>
      </c>
      <c r="BW30" s="3527">
        <v>62185.13</v>
      </c>
      <c r="BX30" s="3528">
        <f t="shared" si="6"/>
        <v>1857.7807587500001</v>
      </c>
      <c r="BY30" s="3510">
        <v>39.58</v>
      </c>
      <c r="BZ30" s="3526">
        <f>SUM(BY30/BZ40*1000)</f>
        <v>6.2531301197700335</v>
      </c>
      <c r="CA30" s="3508">
        <f t="shared" si="7"/>
        <v>64136.685194542704</v>
      </c>
      <c r="CB30" s="3511">
        <v>2538.5300000000002</v>
      </c>
      <c r="CC30" s="3506">
        <f t="shared" si="8"/>
        <v>32.311420006390051</v>
      </c>
      <c r="CD30" s="3587">
        <f>SUM(AZ30)</f>
        <v>5.7144691403736383</v>
      </c>
      <c r="CE30" s="3503">
        <f t="shared" si="9"/>
        <v>48143.033125000009</v>
      </c>
      <c r="CF30" s="3504">
        <f>CE30/BJ30</f>
        <v>1.1000000000000001</v>
      </c>
      <c r="CG30" s="3508">
        <f t="shared" ref="CG30:CG33" si="20">SUM(CC30*CE30)/1000</f>
        <v>1555.5697636834243</v>
      </c>
      <c r="CH30" s="3510"/>
      <c r="CI30" s="3507"/>
      <c r="CJ30" s="3520"/>
      <c r="CK30" s="3509"/>
      <c r="CL30" s="3511">
        <f t="shared" ref="CL30:CL38" si="21">BL30*(1-0.01)*(1+0.071)*(1+0)</f>
        <v>1375.9315582494207</v>
      </c>
      <c r="CM30" s="5680"/>
      <c r="CN30" s="5681"/>
      <c r="CO30" s="5682"/>
      <c r="CP30" s="2807">
        <v>20.475000000000001</v>
      </c>
      <c r="CQ30" s="4245">
        <f>SUM(CP30/CQ40*1000)</f>
        <v>6.3956793632745876</v>
      </c>
      <c r="CR30" s="2979">
        <f t="shared" si="10"/>
        <v>74052.844932844921</v>
      </c>
      <c r="CS30" s="2979">
        <v>1516.232</v>
      </c>
      <c r="CT30" s="3494">
        <v>37.75</v>
      </c>
      <c r="CU30" s="4245">
        <f>SUM(CT30/CU40*1000)</f>
        <v>7.5004371115667663</v>
      </c>
      <c r="CV30" s="2979">
        <f t="shared" si="11"/>
        <v>73763.97350993377</v>
      </c>
      <c r="CW30" s="4233">
        <v>2784.59</v>
      </c>
      <c r="CX30" s="3494">
        <f t="shared" ref="CX30:CX35" si="22">SUM(CT30/9*12)</f>
        <v>50.333333333333336</v>
      </c>
      <c r="CY30" s="4245">
        <f>SUM(CX30/CY40*1000)</f>
        <v>8.0610719624172553</v>
      </c>
      <c r="CZ30" s="2979">
        <f t="shared" ref="CZ30:CZ34" si="23">SUM(CR30+((CW30-CS30)/(CT30-CP30))*1000)/2</f>
        <v>73737.218414324059</v>
      </c>
      <c r="DA30" s="4234">
        <f t="shared" ref="DA30:DA35" si="24">SUM(CX30*CZ30)/1000</f>
        <v>3711.4399935209781</v>
      </c>
      <c r="DB30" s="3506"/>
      <c r="DC30" s="3587"/>
      <c r="DD30" s="3503"/>
      <c r="DE30" s="3504">
        <f t="shared" si="12"/>
        <v>0</v>
      </c>
      <c r="DF30" s="3520">
        <f t="shared" ref="DF30:DF38" si="25">CL30*(1-0.01)*(1+0.058)*(1+0)</f>
        <v>1441.1782327416083</v>
      </c>
      <c r="DG30" s="3510"/>
      <c r="DH30" s="3507"/>
      <c r="DI30" s="3520"/>
      <c r="DJ30" s="3509"/>
      <c r="DK30" s="4416">
        <f t="shared" si="13"/>
        <v>1416.6591323736036</v>
      </c>
    </row>
    <row r="31" spans="1:115" ht="36.75" customHeight="1">
      <c r="A31" s="874" t="s">
        <v>109</v>
      </c>
      <c r="B31" s="451"/>
      <c r="C31" s="451"/>
      <c r="D31" s="451"/>
      <c r="E31" s="451"/>
      <c r="F31" s="888">
        <v>314.7</v>
      </c>
      <c r="G31" s="889">
        <f>F31/G40*1000</f>
        <v>63.268998793727384</v>
      </c>
      <c r="H31" s="890">
        <v>6949</v>
      </c>
      <c r="I31" s="891" t="e">
        <f>H31/#REF!*100</f>
        <v>#REF!</v>
      </c>
      <c r="J31" s="892">
        <f>F31*H31/1000</f>
        <v>2186.8502999999996</v>
      </c>
      <c r="K31" s="469">
        <f>L40*L31/1000</f>
        <v>169.38168450309814</v>
      </c>
      <c r="L31" s="470">
        <v>30.728000000000002</v>
      </c>
      <c r="M31" s="445">
        <f>AN9*1.021</f>
        <v>6720.2337158285518</v>
      </c>
      <c r="N31" s="463" t="e">
        <f>M31/#REF!*100</f>
        <v>#REF!</v>
      </c>
      <c r="O31" s="464">
        <f>K31*M31/1000</f>
        <v>1138.2845070415547</v>
      </c>
      <c r="P31" s="465">
        <v>135.9</v>
      </c>
      <c r="Q31" s="466">
        <f>SUM(P31/Q40*1000)</f>
        <v>38.901643004533412</v>
      </c>
      <c r="R31" s="447">
        <v>4730</v>
      </c>
      <c r="S31" s="467">
        <f>R31*P31/1000</f>
        <v>642.80700000000002</v>
      </c>
      <c r="T31" s="465">
        <v>235.8</v>
      </c>
      <c r="U31" s="466">
        <f>SUM(T31/U40*1000)</f>
        <v>45.715393563396667</v>
      </c>
      <c r="V31" s="447">
        <v>4550</v>
      </c>
      <c r="W31" s="467">
        <f>V31*T31/1000</f>
        <v>1072.8900000000001</v>
      </c>
      <c r="X31" s="468" t="e">
        <f>W31/#REF!*100</f>
        <v>#REF!</v>
      </c>
      <c r="Y31" s="467">
        <f>U31*W31/1000</f>
        <v>49.04758860023265</v>
      </c>
      <c r="Z31" s="451"/>
      <c r="AA31" s="451"/>
      <c r="AB31" s="451"/>
      <c r="AC31" s="465">
        <v>255.75</v>
      </c>
      <c r="AD31" s="466">
        <f>SUM(AC31/AD40*1000)</f>
        <v>36.91488286831887</v>
      </c>
      <c r="AE31" s="447">
        <v>4532.9799999999996</v>
      </c>
      <c r="AF31" s="467">
        <f>AE31*AC31/1000</f>
        <v>1159.3096349999998</v>
      </c>
      <c r="AG31" s="3513">
        <v>199.3</v>
      </c>
      <c r="AH31" s="3514">
        <f>AG31/AH40*1000</f>
        <v>34.637376388188883</v>
      </c>
      <c r="AI31" s="3515">
        <f>AK31/AG31*1000</f>
        <v>5302.0572002007029</v>
      </c>
      <c r="AJ31" s="3529">
        <f>AI31/BO9</f>
        <v>0.80712337949975654</v>
      </c>
      <c r="AK31" s="3517">
        <v>1056.7</v>
      </c>
      <c r="AL31" s="3530">
        <f>AM40*AM31/1000</f>
        <v>170.04957617552117</v>
      </c>
      <c r="AM31" s="3531">
        <f>AP9</f>
        <v>30.576811943690544</v>
      </c>
      <c r="AN31" s="3520">
        <f>M56</f>
        <v>4544.99892</v>
      </c>
      <c r="AO31" s="3521">
        <f>AN31/BO9</f>
        <v>0.69187765231847775</v>
      </c>
      <c r="AP31" s="3520">
        <f>AL31*AN31/1000</f>
        <v>772.87514006420145</v>
      </c>
      <c r="AQ31" s="3522">
        <v>99.2</v>
      </c>
      <c r="AR31" s="3519">
        <f>SUM(AQ31/AR40*1000)</f>
        <v>29.455518307257876</v>
      </c>
      <c r="AS31" s="3520">
        <v>10766.24</v>
      </c>
      <c r="AT31" s="3520">
        <f t="shared" si="3"/>
        <v>1068.0110079999999</v>
      </c>
      <c r="AU31" s="3522"/>
      <c r="AV31" s="3519" t="e">
        <f>SUM(AU31/AV40*1000)</f>
        <v>#DIV/0!</v>
      </c>
      <c r="AW31" s="3520"/>
      <c r="AX31" s="3520">
        <f>AW31*AU31/1000</f>
        <v>0</v>
      </c>
      <c r="AY31" s="3522">
        <v>179.1</v>
      </c>
      <c r="AZ31" s="3519">
        <f>SUM(AY31/AZ40*1000)</f>
        <v>26.739684468737263</v>
      </c>
      <c r="BA31" s="3508">
        <f t="shared" si="14"/>
        <v>12.323338916806254</v>
      </c>
      <c r="BB31" s="3523">
        <v>2207.11</v>
      </c>
      <c r="BC31" s="3518">
        <v>255.75</v>
      </c>
      <c r="BD31" s="3524">
        <f>BC31/BD40*1000</f>
        <v>44.582933844678813</v>
      </c>
      <c r="BE31" s="3503">
        <v>17200</v>
      </c>
      <c r="BF31" s="3504">
        <f t="shared" si="15"/>
        <v>3.7843793371022407</v>
      </c>
      <c r="BG31" s="3508">
        <f t="shared" si="16"/>
        <v>4398.8999999999996</v>
      </c>
      <c r="BH31" s="3510">
        <f t="shared" si="4"/>
        <v>208.72844975534414</v>
      </c>
      <c r="BI31" s="3507">
        <f t="shared" si="17"/>
        <v>36.91488286831887</v>
      </c>
      <c r="BJ31" s="3520">
        <f>M65</f>
        <v>16644.07</v>
      </c>
      <c r="BK31" s="3509">
        <f t="shared" si="18"/>
        <v>3.6620624763536798</v>
      </c>
      <c r="BL31" s="3511">
        <f t="shared" si="19"/>
        <v>3474.0909287194308</v>
      </c>
      <c r="BM31" s="5660"/>
      <c r="BN31" s="5661"/>
      <c r="BO31" s="5662"/>
      <c r="BP31" s="3512"/>
      <c r="BQ31" s="3525">
        <v>187.63</v>
      </c>
      <c r="BR31" s="3526">
        <f>SUM(BQ31/BR40*1000)</f>
        <v>59.42622950819672</v>
      </c>
      <c r="BS31" s="3527">
        <v>15170.14</v>
      </c>
      <c r="BT31" s="3528">
        <f t="shared" si="5"/>
        <v>2846.3733681999997</v>
      </c>
      <c r="BU31" s="3525">
        <v>257.43</v>
      </c>
      <c r="BV31" s="3526">
        <f>SUM(BU31/BV40*1000)</f>
        <v>54.993249478757221</v>
      </c>
      <c r="BW31" s="3527">
        <v>15526.35</v>
      </c>
      <c r="BX31" s="3528">
        <f t="shared" si="6"/>
        <v>3996.9482805000002</v>
      </c>
      <c r="BY31" s="3510">
        <v>325.39</v>
      </c>
      <c r="BZ31" s="3526">
        <f>SUM(BY31/BZ40*1000)</f>
        <v>51.407428238301449</v>
      </c>
      <c r="CA31" s="3508">
        <f t="shared" si="7"/>
        <v>15095.884938074312</v>
      </c>
      <c r="CB31" s="3511">
        <v>4912.05</v>
      </c>
      <c r="CC31" s="3506">
        <f t="shared" si="8"/>
        <v>208.72844975534414</v>
      </c>
      <c r="CD31" s="3587">
        <f>SUM(BI31)</f>
        <v>36.91488286831887</v>
      </c>
      <c r="CE31" s="3503">
        <f t="shared" si="9"/>
        <v>18308.477000000003</v>
      </c>
      <c r="CF31" s="3504">
        <f t="shared" ref="CF31:CF35" si="26">CE31/BJ31</f>
        <v>1.1000000000000001</v>
      </c>
      <c r="CG31" s="3508">
        <f t="shared" si="20"/>
        <v>3821.5000215913747</v>
      </c>
      <c r="CH31" s="3510"/>
      <c r="CI31" s="3507"/>
      <c r="CJ31" s="3520"/>
      <c r="CK31" s="3509"/>
      <c r="CL31" s="3511">
        <f t="shared" si="21"/>
        <v>3683.543870811925</v>
      </c>
      <c r="CM31" s="5680"/>
      <c r="CN31" s="5681"/>
      <c r="CO31" s="5682"/>
      <c r="CP31" s="2807">
        <v>122.8</v>
      </c>
      <c r="CQ31" s="4245">
        <f>SUM(CP31/CQ40*1000)</f>
        <v>38.358457915024147</v>
      </c>
      <c r="CR31" s="2979">
        <f t="shared" si="10"/>
        <v>17754.234527687295</v>
      </c>
      <c r="CS31" s="2979">
        <v>2180.2199999999998</v>
      </c>
      <c r="CT31" s="3494">
        <v>325</v>
      </c>
      <c r="CU31" s="4245">
        <f>SUM(CT31/CU40*1000)</f>
        <v>64.573299636005274</v>
      </c>
      <c r="CV31" s="2979">
        <f t="shared" si="11"/>
        <v>17754.246153846154</v>
      </c>
      <c r="CW31" s="4233">
        <v>5770.13</v>
      </c>
      <c r="CX31" s="3494">
        <f t="shared" si="22"/>
        <v>433.33333333333337</v>
      </c>
      <c r="CY31" s="4245">
        <f>SUM(CX31/CY40*1000)</f>
        <v>69.39995729233398</v>
      </c>
      <c r="CZ31" s="2979">
        <f t="shared" si="23"/>
        <v>17754.243871163133</v>
      </c>
      <c r="DA31" s="4234">
        <f t="shared" si="24"/>
        <v>7693.5056775040257</v>
      </c>
      <c r="DB31" s="3506"/>
      <c r="DC31" s="3587"/>
      <c r="DD31" s="3503"/>
      <c r="DE31" s="3504">
        <f t="shared" si="12"/>
        <v>0</v>
      </c>
      <c r="DF31" s="3520">
        <f t="shared" si="25"/>
        <v>3858.2175211658264</v>
      </c>
      <c r="DG31" s="3510"/>
      <c r="DH31" s="3507"/>
      <c r="DI31" s="3520"/>
      <c r="DJ31" s="3509"/>
      <c r="DK31" s="4416">
        <f t="shared" si="13"/>
        <v>3792.5767693879579</v>
      </c>
    </row>
    <row r="32" spans="1:115" ht="36.75" customHeight="1">
      <c r="A32" s="874" t="s">
        <v>105</v>
      </c>
      <c r="B32" s="451"/>
      <c r="C32" s="451"/>
      <c r="D32" s="451"/>
      <c r="E32" s="451"/>
      <c r="F32" s="888">
        <v>21.7</v>
      </c>
      <c r="G32" s="889">
        <f>F32/G40*1000</f>
        <v>4.3626859670285478</v>
      </c>
      <c r="H32" s="890">
        <v>36346</v>
      </c>
      <c r="I32" s="891" t="e">
        <f>H32/#REF!*100</f>
        <v>#REF!</v>
      </c>
      <c r="J32" s="892">
        <f>F32*H32/1000</f>
        <v>788.70819999999992</v>
      </c>
      <c r="K32" s="469">
        <f>L32*L40/1000</f>
        <v>9.624460464150264</v>
      </c>
      <c r="L32" s="470">
        <v>1.746</v>
      </c>
      <c r="M32" s="445">
        <f>AN10*1.021</f>
        <v>33239.788029925192</v>
      </c>
      <c r="N32" s="463" t="e">
        <f>M32/#REF!*100</f>
        <v>#REF!</v>
      </c>
      <c r="O32" s="464">
        <f>K32*M32/1000</f>
        <v>319.91502573075019</v>
      </c>
      <c r="P32" s="465">
        <v>8.52</v>
      </c>
      <c r="Q32" s="466">
        <f>SUM(P32/Q40*1000)</f>
        <v>2.4388668020502178</v>
      </c>
      <c r="R32" s="447">
        <v>19830</v>
      </c>
      <c r="S32" s="467">
        <f>R32*P32/1000</f>
        <v>168.95160000000001</v>
      </c>
      <c r="T32" s="465">
        <v>14.53</v>
      </c>
      <c r="U32" s="466">
        <f>SUM(T32/U40*1000)</f>
        <v>2.8169833268708802</v>
      </c>
      <c r="V32" s="447">
        <v>20380</v>
      </c>
      <c r="W32" s="467">
        <f>V32*T32/1000</f>
        <v>296.12139999999994</v>
      </c>
      <c r="X32" s="468" t="e">
        <f>W32/#REF!*100</f>
        <v>#REF!</v>
      </c>
      <c r="Y32" s="467">
        <f>U32*W32/1000</f>
        <v>0.83416904652966251</v>
      </c>
      <c r="Z32" s="451"/>
      <c r="AA32" s="451"/>
      <c r="AB32" s="451"/>
      <c r="AC32" s="465">
        <v>16.03</v>
      </c>
      <c r="AD32" s="466">
        <f>SUM(AC32/AD40*1000)</f>
        <v>2.3137656789018632</v>
      </c>
      <c r="AE32" s="447">
        <v>20247.09</v>
      </c>
      <c r="AF32" s="467">
        <f>AE32*AC32/1000</f>
        <v>324.56085270000005</v>
      </c>
      <c r="AG32" s="3513">
        <v>14.8</v>
      </c>
      <c r="AH32" s="3514">
        <f>AG32/AH40*1000</f>
        <v>2.5721684422739362</v>
      </c>
      <c r="AI32" s="3515">
        <f>AK32/AG32*1000</f>
        <v>34141.891891891886</v>
      </c>
      <c r="AJ32" s="3532">
        <f>AI32/BO10</f>
        <v>1.4353660542565037</v>
      </c>
      <c r="AK32" s="3517">
        <v>505.3</v>
      </c>
      <c r="AL32" s="3530">
        <f>AM32*AM40/1000</f>
        <v>10.220892000847977</v>
      </c>
      <c r="AM32" s="3531">
        <f>AP10</f>
        <v>1.8378304705924196</v>
      </c>
      <c r="AN32" s="3520">
        <f>M55</f>
        <v>25193.815380000004</v>
      </c>
      <c r="AO32" s="3521">
        <f>AN32/BO10</f>
        <v>1.0591781934101125</v>
      </c>
      <c r="AP32" s="3520">
        <f>AL32*AN32/1000</f>
        <v>257.50326608828277</v>
      </c>
      <c r="AQ32" s="3522">
        <v>3.51</v>
      </c>
      <c r="AR32" s="3519">
        <f>SUM(AQ32/AR40*1000)</f>
        <v>1.0422265046217252</v>
      </c>
      <c r="AS32" s="3520">
        <v>20196.64</v>
      </c>
      <c r="AT32" s="3520">
        <f t="shared" si="3"/>
        <v>70.890206399999997</v>
      </c>
      <c r="AU32" s="3522"/>
      <c r="AV32" s="3519" t="e">
        <f>SUM(AU32/AV40*1000)</f>
        <v>#DIV/0!</v>
      </c>
      <c r="AW32" s="3520"/>
      <c r="AX32" s="3520">
        <f>AW32*AU32/1000</f>
        <v>0</v>
      </c>
      <c r="AY32" s="3522">
        <v>8.5150000000000006</v>
      </c>
      <c r="AZ32" s="3519">
        <f>SUM(AY32/AZ40*1000)</f>
        <v>1.2712920896219868</v>
      </c>
      <c r="BA32" s="3508">
        <f t="shared" si="14"/>
        <v>20.263065179095712</v>
      </c>
      <c r="BB32" s="3523">
        <v>172.54</v>
      </c>
      <c r="BC32" s="3518">
        <v>16.03</v>
      </c>
      <c r="BD32" s="3524">
        <f>BC32/BD40*1000</f>
        <v>2.7943868212324592</v>
      </c>
      <c r="BE32" s="3503">
        <f>SUM(AN32*1.1)</f>
        <v>27713.196918000005</v>
      </c>
      <c r="BF32" s="3504">
        <f t="shared" si="15"/>
        <v>1.1000000000000001</v>
      </c>
      <c r="BG32" s="3508">
        <f t="shared" si="16"/>
        <v>444.24254659554015</v>
      </c>
      <c r="BH32" s="3510">
        <f t="shared" si="4"/>
        <v>13.082764612231347</v>
      </c>
      <c r="BI32" s="3507">
        <f t="shared" si="17"/>
        <v>2.3137656789018632</v>
      </c>
      <c r="BJ32" s="3520">
        <f>M64</f>
        <v>28813.56</v>
      </c>
      <c r="BK32" s="3509">
        <f t="shared" si="18"/>
        <v>1.1436759206735123</v>
      </c>
      <c r="BL32" s="3511">
        <f t="shared" si="19"/>
        <v>376.96102312040466</v>
      </c>
      <c r="BM32" s="5660"/>
      <c r="BN32" s="5661"/>
      <c r="BO32" s="5662"/>
      <c r="BP32" s="3512"/>
      <c r="BQ32" s="3525">
        <v>10.315</v>
      </c>
      <c r="BR32" s="3526">
        <f>SUM(BQ32/BR40*1000)</f>
        <v>3.2669698735652566</v>
      </c>
      <c r="BS32" s="3527">
        <v>25809.55</v>
      </c>
      <c r="BT32" s="3528">
        <f t="shared" si="5"/>
        <v>266.22550824999996</v>
      </c>
      <c r="BU32" s="3525">
        <v>14.04</v>
      </c>
      <c r="BV32" s="3526">
        <f>SUM(BU32/BV40*1000)</f>
        <v>2.9992822230577296</v>
      </c>
      <c r="BW32" s="3527">
        <v>27921.65</v>
      </c>
      <c r="BX32" s="3528">
        <f t="shared" si="6"/>
        <v>392.01996600000001</v>
      </c>
      <c r="BY32" s="3510">
        <v>16.07</v>
      </c>
      <c r="BZ32" s="3526">
        <f>SUM(BY32/BZ40*1000)</f>
        <v>2.5388529819278536</v>
      </c>
      <c r="CA32" s="3508">
        <f t="shared" si="7"/>
        <v>29577.473553204731</v>
      </c>
      <c r="CB32" s="3511">
        <v>475.31</v>
      </c>
      <c r="CC32" s="3506">
        <f t="shared" si="8"/>
        <v>13.082764612231347</v>
      </c>
      <c r="CD32" s="3587">
        <f>SUM(BI32)</f>
        <v>2.3137656789018632</v>
      </c>
      <c r="CE32" s="3503">
        <f t="shared" si="9"/>
        <v>31694.916000000005</v>
      </c>
      <c r="CF32" s="3504">
        <f t="shared" si="26"/>
        <v>1.1000000000000001</v>
      </c>
      <c r="CG32" s="3508">
        <f t="shared" si="20"/>
        <v>414.65712543244518</v>
      </c>
      <c r="CH32" s="3510"/>
      <c r="CI32" s="3507"/>
      <c r="CJ32" s="3520"/>
      <c r="CK32" s="3509"/>
      <c r="CL32" s="3511">
        <f t="shared" si="21"/>
        <v>399.68800320433382</v>
      </c>
      <c r="CM32" s="5680"/>
      <c r="CN32" s="5681"/>
      <c r="CO32" s="5682"/>
      <c r="CP32" s="2807">
        <v>7</v>
      </c>
      <c r="CQ32" s="4245">
        <f>SUM(CP32/CQ40*1000)</f>
        <v>2.1865570472733631</v>
      </c>
      <c r="CR32" s="2979">
        <f t="shared" si="10"/>
        <v>36017</v>
      </c>
      <c r="CS32" s="2979">
        <v>252.119</v>
      </c>
      <c r="CT32" s="3494">
        <v>13.5</v>
      </c>
      <c r="CU32" s="4245">
        <f>SUM(CT32/CU40*1000)</f>
        <v>2.6822755233417577</v>
      </c>
      <c r="CV32" s="2979">
        <f t="shared" si="11"/>
        <v>36017.037037037036</v>
      </c>
      <c r="CW32" s="4233">
        <v>486.23</v>
      </c>
      <c r="CX32" s="3494">
        <f t="shared" si="22"/>
        <v>18</v>
      </c>
      <c r="CY32" s="4245">
        <f>SUM(CX32/CY40*1000)</f>
        <v>2.8827674567584882</v>
      </c>
      <c r="CZ32" s="2979">
        <f t="shared" si="23"/>
        <v>36017.038461538468</v>
      </c>
      <c r="DA32" s="4234">
        <f t="shared" si="24"/>
        <v>648.30669230769251</v>
      </c>
      <c r="DB32" s="3506"/>
      <c r="DC32" s="3587"/>
      <c r="DD32" s="3503"/>
      <c r="DE32" s="3504">
        <f t="shared" si="12"/>
        <v>0</v>
      </c>
      <c r="DF32" s="3520">
        <f t="shared" si="25"/>
        <v>418.64120831628333</v>
      </c>
      <c r="DG32" s="3510"/>
      <c r="DH32" s="3507"/>
      <c r="DI32" s="3520"/>
      <c r="DJ32" s="3509"/>
      <c r="DK32" s="4416">
        <f t="shared" si="13"/>
        <v>411.51876809918213</v>
      </c>
    </row>
    <row r="33" spans="1:115" ht="36.75" customHeight="1">
      <c r="A33" s="874" t="s">
        <v>106</v>
      </c>
      <c r="B33" s="451"/>
      <c r="C33" s="451"/>
      <c r="D33" s="451"/>
      <c r="E33" s="451"/>
      <c r="F33" s="888">
        <v>15.6</v>
      </c>
      <c r="G33" s="889">
        <f>F33/G40*1000</f>
        <v>3.1363088057901085</v>
      </c>
      <c r="H33" s="890">
        <v>20952</v>
      </c>
      <c r="I33" s="891" t="e">
        <f>H33/#REF!*100</f>
        <v>#REF!</v>
      </c>
      <c r="J33" s="892">
        <f>F33*H33/1000</f>
        <v>326.85120000000001</v>
      </c>
      <c r="K33" s="469">
        <f>L40*L33/1000</f>
        <v>8.3015105721708462</v>
      </c>
      <c r="L33" s="470">
        <v>1.506</v>
      </c>
      <c r="M33" s="445">
        <f>AN11*1.021</f>
        <v>20298.424001867847</v>
      </c>
      <c r="N33" s="463" t="e">
        <f>M33/#REF!*100</f>
        <v>#REF!</v>
      </c>
      <c r="O33" s="464">
        <f>K33*M33/1000</f>
        <v>168.50758144991241</v>
      </c>
      <c r="P33" s="465">
        <v>12.34</v>
      </c>
      <c r="Q33" s="466">
        <f>SUM(P33/Q40*1000)</f>
        <v>3.5323493353638136</v>
      </c>
      <c r="R33" s="447">
        <v>16360</v>
      </c>
      <c r="S33" s="467">
        <f>R33*P33/1000</f>
        <v>201.88239999999999</v>
      </c>
      <c r="T33" s="465">
        <v>16.59</v>
      </c>
      <c r="U33" s="466">
        <f>SUM(T33/U40*1000)</f>
        <v>3.2163629313687476</v>
      </c>
      <c r="V33" s="447">
        <v>16560</v>
      </c>
      <c r="W33" s="467">
        <f>V33*T33/1000</f>
        <v>274.73040000000003</v>
      </c>
      <c r="X33" s="468" t="e">
        <f>W33/#REF!*100</f>
        <v>#REF!</v>
      </c>
      <c r="Y33" s="467">
        <f>U33*W33/1000</f>
        <v>0.88363267468010875</v>
      </c>
      <c r="Z33" s="451"/>
      <c r="AA33" s="451"/>
      <c r="AB33" s="451"/>
      <c r="AC33" s="465">
        <v>20.84</v>
      </c>
      <c r="AD33" s="466">
        <f>SUM(AC33/AD40*1000)</f>
        <v>3.0080397222903827</v>
      </c>
      <c r="AE33" s="447">
        <v>13955.84</v>
      </c>
      <c r="AF33" s="467">
        <f>AE33*AC33/1000</f>
        <v>290.8397056</v>
      </c>
      <c r="AG33" s="3513">
        <v>10.6</v>
      </c>
      <c r="AH33" s="3514">
        <f>AG33/AH40*1000</f>
        <v>1.8422287491961975</v>
      </c>
      <c r="AI33" s="3515">
        <f>AK33/AG33*1000</f>
        <v>25518.867924528302</v>
      </c>
      <c r="AJ33" s="3532">
        <f>AI33/BO11</f>
        <v>1.2773139047078612</v>
      </c>
      <c r="AK33" s="3517">
        <v>270.5</v>
      </c>
      <c r="AL33" s="3530">
        <f>AM40*AM33/1000</f>
        <v>8.0173859812274717</v>
      </c>
      <c r="AM33" s="3531">
        <f>AP11</f>
        <v>1.4416154920312136</v>
      </c>
      <c r="AN33" s="3520">
        <f>M54</f>
        <v>17586.72</v>
      </c>
      <c r="AO33" s="3521">
        <f>AN33/BO11</f>
        <v>0.8802805069817401</v>
      </c>
      <c r="AP33" s="3520">
        <f>AL33*AN33/1000</f>
        <v>140.99952238377278</v>
      </c>
      <c r="AQ33" s="3522">
        <v>7.6</v>
      </c>
      <c r="AR33" s="3519">
        <f>SUM(AQ33/AR40*1000)</f>
        <v>2.2566727735399179</v>
      </c>
      <c r="AS33" s="3520">
        <v>18606.32</v>
      </c>
      <c r="AT33" s="3520">
        <f t="shared" si="3"/>
        <v>141.40803199999999</v>
      </c>
      <c r="AU33" s="3522"/>
      <c r="AV33" s="3519" t="e">
        <f>SUM(AU33/AV40*1000)</f>
        <v>#DIV/0!</v>
      </c>
      <c r="AW33" s="3520"/>
      <c r="AX33" s="3520">
        <f>AW33*AU33/1000</f>
        <v>0</v>
      </c>
      <c r="AY33" s="3522">
        <v>9.125</v>
      </c>
      <c r="AZ33" s="3519">
        <f>SUM(AY33/AZ40*1000)</f>
        <v>1.3623652751380655</v>
      </c>
      <c r="BA33" s="3508">
        <f t="shared" si="14"/>
        <v>18.830684931506852</v>
      </c>
      <c r="BB33" s="3523">
        <v>171.83</v>
      </c>
      <c r="BC33" s="3518">
        <v>20.84</v>
      </c>
      <c r="BD33" s="3524">
        <f>BC33/BD40*1000</f>
        <v>3.6328771899241699</v>
      </c>
      <c r="BE33" s="3503">
        <f>SUM(AN33*1.1)</f>
        <v>19345.392000000003</v>
      </c>
      <c r="BF33" s="3504">
        <f t="shared" si="15"/>
        <v>1.1000000000000001</v>
      </c>
      <c r="BG33" s="3508">
        <f t="shared" si="16"/>
        <v>403.15796928000009</v>
      </c>
      <c r="BH33" s="3510">
        <f t="shared" si="4"/>
        <v>17.008410138421791</v>
      </c>
      <c r="BI33" s="3507">
        <f t="shared" si="17"/>
        <v>3.0080397222903827</v>
      </c>
      <c r="BJ33" s="3520">
        <f>M63</f>
        <v>14833.89608</v>
      </c>
      <c r="BK33" s="3509">
        <f t="shared" si="18"/>
        <v>0.84347144208812097</v>
      </c>
      <c r="BL33" s="3511">
        <f t="shared" si="19"/>
        <v>252.30098847936728</v>
      </c>
      <c r="BM33" s="5660"/>
      <c r="BN33" s="5661"/>
      <c r="BO33" s="5662"/>
      <c r="BP33" s="3512"/>
      <c r="BQ33" s="3525">
        <v>18.55</v>
      </c>
      <c r="BR33" s="3526">
        <f>SUM(BQ33/BR40*1000)</f>
        <v>5.8751615273519651</v>
      </c>
      <c r="BS33" s="3527">
        <v>18124.89</v>
      </c>
      <c r="BT33" s="3528">
        <f t="shared" si="5"/>
        <v>336.21670949999998</v>
      </c>
      <c r="BU33" s="3525">
        <v>19.25</v>
      </c>
      <c r="BV33" s="3526">
        <f>SUM(BU33/BV40*1000)</f>
        <v>4.1122637317565029</v>
      </c>
      <c r="BW33" s="3527">
        <v>18112.96</v>
      </c>
      <c r="BX33" s="3528">
        <f t="shared" si="6"/>
        <v>348.67447999999996</v>
      </c>
      <c r="BY33" s="3510">
        <v>20.25</v>
      </c>
      <c r="BZ33" s="3526">
        <f>SUM(BY33/BZ40*1000)</f>
        <v>3.1992391340410102</v>
      </c>
      <c r="CA33" s="3508">
        <f t="shared" si="7"/>
        <v>18097.283950617286</v>
      </c>
      <c r="CB33" s="3511">
        <v>366.47</v>
      </c>
      <c r="CC33" s="3506">
        <f t="shared" si="8"/>
        <v>17.008410138421791</v>
      </c>
      <c r="CD33" s="3587">
        <f>SUM(BI33)</f>
        <v>3.0080397222903827</v>
      </c>
      <c r="CE33" s="3503">
        <f t="shared" si="9"/>
        <v>16317.285688000002</v>
      </c>
      <c r="CF33" s="3504">
        <f t="shared" si="26"/>
        <v>1.1000000000000001</v>
      </c>
      <c r="CG33" s="3508">
        <f t="shared" si="20"/>
        <v>277.53108732730402</v>
      </c>
      <c r="CH33" s="3510"/>
      <c r="CI33" s="3507"/>
      <c r="CJ33" s="3520"/>
      <c r="CK33" s="3509"/>
      <c r="CL33" s="3511">
        <f t="shared" si="21"/>
        <v>267.51221507478829</v>
      </c>
      <c r="CM33" s="5680"/>
      <c r="CN33" s="5681"/>
      <c r="CO33" s="5682"/>
      <c r="CP33" s="2807">
        <v>16.8</v>
      </c>
      <c r="CQ33" s="4245">
        <f>SUM(CP33/CQ40*1000)</f>
        <v>5.2477369134560723</v>
      </c>
      <c r="CR33" s="2979">
        <f t="shared" si="10"/>
        <v>22881.369047619046</v>
      </c>
      <c r="CS33" s="2979">
        <v>384.40699999999998</v>
      </c>
      <c r="CT33" s="3494">
        <v>26.8</v>
      </c>
      <c r="CU33" s="4245">
        <f>SUM(CT33/CU40*1000)</f>
        <v>5.3248136315228969</v>
      </c>
      <c r="CV33" s="2979">
        <f t="shared" si="11"/>
        <v>22881.343283582089</v>
      </c>
      <c r="CW33" s="4233">
        <v>613.22</v>
      </c>
      <c r="CX33" s="3494">
        <f t="shared" si="22"/>
        <v>35.733333333333334</v>
      </c>
      <c r="CY33" s="4245">
        <f>SUM(CX33/CY40*1000)</f>
        <v>5.7228272474909252</v>
      </c>
      <c r="CZ33" s="2979">
        <f t="shared" si="23"/>
        <v>22881.334523809524</v>
      </c>
      <c r="DA33" s="4234">
        <f t="shared" si="24"/>
        <v>817.6263536507937</v>
      </c>
      <c r="DB33" s="3506"/>
      <c r="DC33" s="3587"/>
      <c r="DD33" s="3503"/>
      <c r="DE33" s="3504">
        <f t="shared" si="12"/>
        <v>0</v>
      </c>
      <c r="DF33" s="3520">
        <f t="shared" si="25"/>
        <v>280.19764431363478</v>
      </c>
      <c r="DG33" s="3510"/>
      <c r="DH33" s="3507"/>
      <c r="DI33" s="3520"/>
      <c r="DJ33" s="3509"/>
      <c r="DK33" s="4416">
        <f t="shared" si="13"/>
        <v>275.43057664100201</v>
      </c>
    </row>
    <row r="34" spans="1:115" ht="36.75" customHeight="1">
      <c r="A34" s="1825" t="s">
        <v>905</v>
      </c>
      <c r="B34" s="451"/>
      <c r="C34" s="451"/>
      <c r="D34" s="451"/>
      <c r="E34" s="451"/>
      <c r="F34" s="1826"/>
      <c r="G34" s="1827"/>
      <c r="H34" s="1828"/>
      <c r="I34" s="1829"/>
      <c r="J34" s="1830"/>
      <c r="K34" s="1831"/>
      <c r="L34" s="1832"/>
      <c r="M34" s="1833"/>
      <c r="N34" s="1834"/>
      <c r="O34" s="1835"/>
      <c r="P34" s="1836"/>
      <c r="Q34" s="1837"/>
      <c r="R34" s="1838"/>
      <c r="S34" s="1839"/>
      <c r="T34" s="1836"/>
      <c r="U34" s="1837"/>
      <c r="V34" s="1838"/>
      <c r="W34" s="1839"/>
      <c r="X34" s="1840"/>
      <c r="Y34" s="1839"/>
      <c r="Z34" s="451"/>
      <c r="AA34" s="451"/>
      <c r="AB34" s="451"/>
      <c r="AC34" s="1836"/>
      <c r="AD34" s="1837"/>
      <c r="AE34" s="1838"/>
      <c r="AF34" s="1839"/>
      <c r="AG34" s="3533"/>
      <c r="AH34" s="3534"/>
      <c r="AI34" s="3535"/>
      <c r="AJ34" s="3536"/>
      <c r="AK34" s="3537"/>
      <c r="AL34" s="3530"/>
      <c r="AM34" s="3531"/>
      <c r="AN34" s="3520"/>
      <c r="AO34" s="3521"/>
      <c r="AP34" s="3520"/>
      <c r="AQ34" s="3522">
        <v>0.185</v>
      </c>
      <c r="AR34" s="3519">
        <v>5.4899999999999997E-2</v>
      </c>
      <c r="AS34" s="3520">
        <v>283530</v>
      </c>
      <c r="AT34" s="3520">
        <f t="shared" si="3"/>
        <v>52.453050000000005</v>
      </c>
      <c r="AU34" s="3522"/>
      <c r="AV34" s="3519"/>
      <c r="AW34" s="3520"/>
      <c r="AX34" s="3520"/>
      <c r="AY34" s="3522">
        <v>0.375</v>
      </c>
      <c r="AZ34" s="3519">
        <v>5.4899999999999997E-2</v>
      </c>
      <c r="BA34" s="3508">
        <f t="shared" si="14"/>
        <v>274.58666666666664</v>
      </c>
      <c r="BB34" s="3523">
        <v>102.97</v>
      </c>
      <c r="BC34" s="3518"/>
      <c r="BD34" s="3524"/>
      <c r="BE34" s="3503"/>
      <c r="BF34" s="3504"/>
      <c r="BG34" s="3508"/>
      <c r="BH34" s="3510">
        <f t="shared" si="4"/>
        <v>0.31042200329999997</v>
      </c>
      <c r="BI34" s="3507">
        <f>AR34</f>
        <v>5.4899999999999997E-2</v>
      </c>
      <c r="BJ34" s="3520">
        <f>AS34*1.088</f>
        <v>308480.64000000001</v>
      </c>
      <c r="BK34" s="3509"/>
      <c r="BL34" s="3511">
        <f t="shared" si="19"/>
        <v>95.759178248066107</v>
      </c>
      <c r="BM34" s="5660"/>
      <c r="BN34" s="5661"/>
      <c r="BO34" s="5662"/>
      <c r="BP34" s="3512"/>
      <c r="BQ34" s="3538">
        <v>0.3</v>
      </c>
      <c r="BR34" s="3526">
        <f>SUM(BQ34/BR40*1000)</f>
        <v>9.5016089391136899E-2</v>
      </c>
      <c r="BS34" s="3539">
        <v>328333.33</v>
      </c>
      <c r="BT34" s="3540">
        <f t="shared" si="5"/>
        <v>98.499999000000003</v>
      </c>
      <c r="BU34" s="3538">
        <v>0.3</v>
      </c>
      <c r="BV34" s="3526">
        <f>SUM(BU34/BV40*1000)</f>
        <v>6.4087226988413015E-2</v>
      </c>
      <c r="BW34" s="3539">
        <v>328333.3</v>
      </c>
      <c r="BX34" s="3540">
        <f t="shared" si="6"/>
        <v>98.499989999999997</v>
      </c>
      <c r="BY34" s="3510">
        <f t="shared" ref="BY34" si="27">SUM(BU34/9*12)</f>
        <v>0.4</v>
      </c>
      <c r="BZ34" s="3541">
        <v>5.4899999999999997E-2</v>
      </c>
      <c r="CA34" s="3508">
        <f t="shared" si="7"/>
        <v>327500</v>
      </c>
      <c r="CB34" s="3511">
        <v>131</v>
      </c>
      <c r="CC34" s="3506">
        <f t="shared" si="8"/>
        <v>0.31042200329999997</v>
      </c>
      <c r="CD34" s="3524">
        <f>SUM(BI34)</f>
        <v>5.4899999999999997E-2</v>
      </c>
      <c r="CE34" s="3503">
        <f t="shared" si="9"/>
        <v>339328.70400000003</v>
      </c>
      <c r="CF34" s="3504">
        <f t="shared" si="26"/>
        <v>1.1000000000000001</v>
      </c>
      <c r="CG34" s="3508">
        <f t="shared" ref="CG34:CG35" si="28">SUM(CC34*CE34)/1000</f>
        <v>105.33509607287272</v>
      </c>
      <c r="CH34" s="3510"/>
      <c r="CI34" s="3507"/>
      <c r="CJ34" s="3520"/>
      <c r="CK34" s="3509"/>
      <c r="CL34" s="3511">
        <f t="shared" si="21"/>
        <v>101.532499104642</v>
      </c>
      <c r="CM34" s="5680"/>
      <c r="CN34" s="5681"/>
      <c r="CO34" s="5682"/>
      <c r="CP34" s="2807">
        <v>0.15</v>
      </c>
      <c r="CQ34" s="4245">
        <f>SUM(CP34/CQ40*1000)</f>
        <v>4.6854793870143491E-2</v>
      </c>
      <c r="CR34" s="2979">
        <f t="shared" si="10"/>
        <v>294666.66666666669</v>
      </c>
      <c r="CS34" s="2979">
        <v>44.2</v>
      </c>
      <c r="CT34" s="3494">
        <v>0.32500000000000001</v>
      </c>
      <c r="CU34" s="4245">
        <f>SUM(CT34/CU40*1000)</f>
        <v>6.4573299636005277E-2</v>
      </c>
      <c r="CV34" s="2979">
        <f t="shared" si="11"/>
        <v>287846.15384615381</v>
      </c>
      <c r="CW34" s="4233">
        <v>93.55</v>
      </c>
      <c r="CX34" s="3494">
        <f t="shared" si="22"/>
        <v>0.43333333333333335</v>
      </c>
      <c r="CY34" s="4245">
        <f>SUM(CX34/CY40*1000)</f>
        <v>6.9399957292333975E-2</v>
      </c>
      <c r="CZ34" s="2979">
        <f t="shared" si="23"/>
        <v>288333.33333333331</v>
      </c>
      <c r="DA34" s="4234">
        <f t="shared" si="24"/>
        <v>124.94444444444444</v>
      </c>
      <c r="DB34" s="3506"/>
      <c r="DC34" s="3524"/>
      <c r="DD34" s="3503"/>
      <c r="DE34" s="3504">
        <f t="shared" si="12"/>
        <v>0</v>
      </c>
      <c r="DF34" s="3520">
        <f t="shared" si="25"/>
        <v>106.34717021218412</v>
      </c>
      <c r="DG34" s="3510"/>
      <c r="DH34" s="3507"/>
      <c r="DI34" s="3520"/>
      <c r="DJ34" s="3509"/>
      <c r="DK34" s="4416">
        <f t="shared" si="13"/>
        <v>104.5378610781394</v>
      </c>
    </row>
    <row r="35" spans="1:115" ht="36.75" customHeight="1">
      <c r="A35" s="1825" t="s">
        <v>906</v>
      </c>
      <c r="B35" s="451"/>
      <c r="C35" s="451"/>
      <c r="D35" s="451"/>
      <c r="E35" s="451"/>
      <c r="F35" s="1826"/>
      <c r="G35" s="1827"/>
      <c r="H35" s="1828"/>
      <c r="I35" s="1829"/>
      <c r="J35" s="1830"/>
      <c r="K35" s="1831"/>
      <c r="L35" s="1832"/>
      <c r="M35" s="1833"/>
      <c r="N35" s="1834"/>
      <c r="O35" s="1835"/>
      <c r="P35" s="1836"/>
      <c r="Q35" s="1837"/>
      <c r="R35" s="1838"/>
      <c r="S35" s="1839"/>
      <c r="T35" s="1836"/>
      <c r="U35" s="1837"/>
      <c r="V35" s="1838"/>
      <c r="W35" s="1839"/>
      <c r="X35" s="1840"/>
      <c r="Y35" s="1839"/>
      <c r="Z35" s="451"/>
      <c r="AA35" s="451"/>
      <c r="AB35" s="451"/>
      <c r="AC35" s="1836"/>
      <c r="AD35" s="1837"/>
      <c r="AE35" s="1838"/>
      <c r="AF35" s="1839"/>
      <c r="AG35" s="3533"/>
      <c r="AH35" s="3534"/>
      <c r="AI35" s="3535"/>
      <c r="AJ35" s="3536"/>
      <c r="AK35" s="3537"/>
      <c r="AL35" s="3530"/>
      <c r="AM35" s="3531"/>
      <c r="AN35" s="3520"/>
      <c r="AO35" s="3521"/>
      <c r="AP35" s="3520"/>
      <c r="AQ35" s="3522">
        <v>39</v>
      </c>
      <c r="AR35" s="3519">
        <v>11.580299999999999</v>
      </c>
      <c r="AS35" s="3520">
        <v>14901.63</v>
      </c>
      <c r="AT35" s="3520">
        <f t="shared" si="3"/>
        <v>581.16356999999994</v>
      </c>
      <c r="AU35" s="3522"/>
      <c r="AV35" s="3519"/>
      <c r="AW35" s="3520"/>
      <c r="AX35" s="3520"/>
      <c r="AY35" s="3522">
        <v>51</v>
      </c>
      <c r="AZ35" s="3519">
        <v>11.580299999999999</v>
      </c>
      <c r="BA35" s="3508">
        <f t="shared" si="14"/>
        <v>15.042156862745097</v>
      </c>
      <c r="BB35" s="3523">
        <v>767.15</v>
      </c>
      <c r="BC35" s="3518"/>
      <c r="BD35" s="3524"/>
      <c r="BE35" s="3503"/>
      <c r="BF35" s="3504"/>
      <c r="BG35" s="3508"/>
      <c r="BH35" s="3510">
        <f t="shared" si="4"/>
        <v>65.47868715509999</v>
      </c>
      <c r="BI35" s="3507">
        <f>AR35</f>
        <v>11.580299999999999</v>
      </c>
      <c r="BJ35" s="3520">
        <f>AS35*1.088</f>
        <v>16212.97344</v>
      </c>
      <c r="BK35" s="3509"/>
      <c r="BL35" s="3511">
        <f t="shared" si="19"/>
        <v>1061.6042157317054</v>
      </c>
      <c r="BM35" s="5660"/>
      <c r="BN35" s="5661"/>
      <c r="BO35" s="5662"/>
      <c r="BP35" s="3512"/>
      <c r="BQ35" s="3538">
        <v>0</v>
      </c>
      <c r="BR35" s="3541">
        <v>0</v>
      </c>
      <c r="BS35" s="3542">
        <v>0</v>
      </c>
      <c r="BT35" s="3540">
        <f t="shared" si="5"/>
        <v>0</v>
      </c>
      <c r="BU35" s="3538">
        <v>0</v>
      </c>
      <c r="BV35" s="3526">
        <v>0</v>
      </c>
      <c r="BW35" s="3542">
        <v>0</v>
      </c>
      <c r="BX35" s="3540">
        <f t="shared" si="6"/>
        <v>0</v>
      </c>
      <c r="BY35" s="3538">
        <v>0</v>
      </c>
      <c r="BZ35" s="3541">
        <v>0</v>
      </c>
      <c r="CA35" s="3508">
        <v>0</v>
      </c>
      <c r="CB35" s="3540">
        <v>0</v>
      </c>
      <c r="CC35" s="3506">
        <f t="shared" si="8"/>
        <v>65.47868715509999</v>
      </c>
      <c r="CD35" s="3524">
        <f>SUM(BI35)</f>
        <v>11.580299999999999</v>
      </c>
      <c r="CE35" s="3503">
        <f t="shared" si="9"/>
        <v>17834.270784</v>
      </c>
      <c r="CF35" s="3504">
        <f t="shared" si="26"/>
        <v>1.1000000000000001</v>
      </c>
      <c r="CG35" s="3508">
        <f t="shared" si="28"/>
        <v>1167.7646373048758</v>
      </c>
      <c r="CH35" s="3510"/>
      <c r="CI35" s="3507"/>
      <c r="CJ35" s="3520"/>
      <c r="CK35" s="3509"/>
      <c r="CL35" s="3511">
        <f t="shared" si="21"/>
        <v>1125.6083338981698</v>
      </c>
      <c r="CM35" s="5680"/>
      <c r="CN35" s="5681"/>
      <c r="CO35" s="5682"/>
      <c r="CP35" s="4246">
        <v>0</v>
      </c>
      <c r="CQ35" s="4245">
        <v>0</v>
      </c>
      <c r="CR35" s="2979">
        <v>0</v>
      </c>
      <c r="CS35" s="4233">
        <v>0</v>
      </c>
      <c r="CT35" s="3494">
        <v>0</v>
      </c>
      <c r="CU35" s="4245">
        <v>0</v>
      </c>
      <c r="CV35" s="2979">
        <v>0</v>
      </c>
      <c r="CW35" s="4233">
        <v>0</v>
      </c>
      <c r="CX35" s="3494">
        <f t="shared" si="22"/>
        <v>0</v>
      </c>
      <c r="CY35" s="4245">
        <v>0</v>
      </c>
      <c r="CZ35" s="2979">
        <v>0</v>
      </c>
      <c r="DA35" s="4234">
        <f t="shared" si="24"/>
        <v>0</v>
      </c>
      <c r="DB35" s="3506"/>
      <c r="DC35" s="3524"/>
      <c r="DD35" s="3503"/>
      <c r="DE35" s="3504" t="e">
        <f t="shared" si="12"/>
        <v>#DIV/0!</v>
      </c>
      <c r="DF35" s="3520">
        <f t="shared" si="25"/>
        <v>1178.984681091621</v>
      </c>
      <c r="DG35" s="3510"/>
      <c r="DH35" s="3507"/>
      <c r="DI35" s="3520"/>
      <c r="DJ35" s="3509"/>
      <c r="DK35" s="4416">
        <f t="shared" si="13"/>
        <v>1158.9263405815557</v>
      </c>
    </row>
    <row r="36" spans="1:115" ht="36.75" customHeight="1">
      <c r="A36" s="874" t="s">
        <v>107</v>
      </c>
      <c r="B36" s="451"/>
      <c r="C36" s="451"/>
      <c r="D36" s="451"/>
      <c r="E36" s="451"/>
      <c r="F36" s="893"/>
      <c r="G36" s="894"/>
      <c r="H36" s="894"/>
      <c r="I36" s="894"/>
      <c r="J36" s="895"/>
      <c r="K36" s="444"/>
      <c r="L36" s="444"/>
      <c r="M36" s="445"/>
      <c r="N36" s="463"/>
      <c r="O36" s="464"/>
      <c r="P36" s="446"/>
      <c r="Q36" s="446"/>
      <c r="R36" s="447"/>
      <c r="S36" s="467"/>
      <c r="T36" s="446"/>
      <c r="U36" s="446"/>
      <c r="V36" s="447"/>
      <c r="W36" s="467"/>
      <c r="X36" s="468"/>
      <c r="Y36" s="467"/>
      <c r="Z36" s="451"/>
      <c r="AA36" s="451"/>
      <c r="AB36" s="451"/>
      <c r="AC36" s="446"/>
      <c r="AD36" s="446"/>
      <c r="AE36" s="447"/>
      <c r="AF36" s="467"/>
      <c r="AG36" s="3543"/>
      <c r="AH36" s="3544"/>
      <c r="AI36" s="3544"/>
      <c r="AJ36" s="3544"/>
      <c r="AK36" s="3545"/>
      <c r="AL36" s="3518"/>
      <c r="AM36" s="3269"/>
      <c r="AN36" s="3520"/>
      <c r="AO36" s="3546"/>
      <c r="AP36" s="3520"/>
      <c r="AQ36" s="3269"/>
      <c r="AR36" s="3269"/>
      <c r="AS36" s="3520"/>
      <c r="AT36" s="3520"/>
      <c r="AU36" s="3269"/>
      <c r="AV36" s="3269"/>
      <c r="AW36" s="3520"/>
      <c r="AX36" s="3520"/>
      <c r="AY36" s="3269"/>
      <c r="AZ36" s="3269"/>
      <c r="BA36" s="3520"/>
      <c r="BB36" s="3523"/>
      <c r="BC36" s="3264"/>
      <c r="BD36" s="3272"/>
      <c r="BE36" s="3272"/>
      <c r="BF36" s="3272"/>
      <c r="BG36" s="3269"/>
      <c r="BH36" s="3269"/>
      <c r="BI36" s="3269"/>
      <c r="BJ36" s="3520"/>
      <c r="BK36" s="3546"/>
      <c r="BL36" s="3523"/>
      <c r="BM36" s="5660"/>
      <c r="BN36" s="5661"/>
      <c r="BO36" s="5662"/>
      <c r="BP36" s="3512"/>
      <c r="BQ36" s="3547"/>
      <c r="BR36" s="3547"/>
      <c r="BS36" s="3527"/>
      <c r="BT36" s="3528"/>
      <c r="BU36" s="3547"/>
      <c r="BV36" s="3547"/>
      <c r="BW36" s="3527"/>
      <c r="BX36" s="3528"/>
      <c r="BY36" s="3547"/>
      <c r="BZ36" s="3547"/>
      <c r="CA36" s="3527"/>
      <c r="CB36" s="3528"/>
      <c r="CC36" s="3264"/>
      <c r="CD36" s="3272"/>
      <c r="CE36" s="3272"/>
      <c r="CF36" s="3272"/>
      <c r="CG36" s="3269"/>
      <c r="CH36" s="3269"/>
      <c r="CI36" s="3269"/>
      <c r="CJ36" s="3520"/>
      <c r="CK36" s="3546"/>
      <c r="CL36" s="3511">
        <f t="shared" si="21"/>
        <v>0</v>
      </c>
      <c r="CM36" s="5680"/>
      <c r="CN36" s="5681"/>
      <c r="CO36" s="5682"/>
      <c r="CP36" s="4247"/>
      <c r="CQ36" s="4242"/>
      <c r="CR36" s="4233"/>
      <c r="CS36" s="4233"/>
      <c r="CT36" s="4235"/>
      <c r="CU36" s="4235"/>
      <c r="CV36" s="4235"/>
      <c r="CW36" s="4233">
        <f t="shared" ref="CW36:CW37" si="29">CD36*(1-0.01)*(1+0.058)*(1+0)</f>
        <v>0</v>
      </c>
      <c r="CX36" s="4235"/>
      <c r="CY36" s="4235"/>
      <c r="CZ36" s="4235"/>
      <c r="DA36" s="4234">
        <f t="shared" ref="DA36:DA37" si="30">CH36*(1-0.01)*(1+0.058)*(1+0)</f>
        <v>0</v>
      </c>
      <c r="DB36" s="3264"/>
      <c r="DC36" s="3272"/>
      <c r="DD36" s="3272"/>
      <c r="DE36" s="3272"/>
      <c r="DF36" s="3520">
        <f t="shared" si="25"/>
        <v>0</v>
      </c>
      <c r="DG36" s="3269"/>
      <c r="DH36" s="3269"/>
      <c r="DI36" s="3520"/>
      <c r="DJ36" s="3546"/>
      <c r="DK36" s="4416">
        <f t="shared" si="13"/>
        <v>0</v>
      </c>
    </row>
    <row r="37" spans="1:115" ht="36.75" customHeight="1">
      <c r="A37" s="874" t="s">
        <v>230</v>
      </c>
      <c r="B37" s="451"/>
      <c r="C37" s="451"/>
      <c r="D37" s="451"/>
      <c r="E37" s="451"/>
      <c r="F37" s="893"/>
      <c r="G37" s="894"/>
      <c r="H37" s="894"/>
      <c r="I37" s="894"/>
      <c r="J37" s="895"/>
      <c r="K37" s="444"/>
      <c r="L37" s="444"/>
      <c r="M37" s="445"/>
      <c r="N37" s="463"/>
      <c r="O37" s="464"/>
      <c r="P37" s="446"/>
      <c r="Q37" s="446"/>
      <c r="R37" s="447"/>
      <c r="S37" s="467"/>
      <c r="T37" s="446"/>
      <c r="U37" s="446"/>
      <c r="V37" s="447"/>
      <c r="W37" s="467"/>
      <c r="X37" s="468"/>
      <c r="Y37" s="467"/>
      <c r="Z37" s="451"/>
      <c r="AA37" s="451"/>
      <c r="AB37" s="451"/>
      <c r="AC37" s="446"/>
      <c r="AD37" s="446"/>
      <c r="AE37" s="447"/>
      <c r="AF37" s="467"/>
      <c r="AG37" s="3543"/>
      <c r="AH37" s="3544"/>
      <c r="AI37" s="3544"/>
      <c r="AJ37" s="3544"/>
      <c r="AK37" s="3545"/>
      <c r="AL37" s="3518"/>
      <c r="AM37" s="3269"/>
      <c r="AN37" s="3520"/>
      <c r="AO37" s="3546"/>
      <c r="AP37" s="3520"/>
      <c r="AQ37" s="3269"/>
      <c r="AR37" s="3269"/>
      <c r="AS37" s="3520"/>
      <c r="AT37" s="3520"/>
      <c r="AU37" s="3269"/>
      <c r="AV37" s="3269"/>
      <c r="AW37" s="3520"/>
      <c r="AX37" s="3520"/>
      <c r="AY37" s="3269"/>
      <c r="AZ37" s="3269"/>
      <c r="BA37" s="3520"/>
      <c r="BB37" s="3523"/>
      <c r="BC37" s="3264"/>
      <c r="BD37" s="3272"/>
      <c r="BE37" s="3272"/>
      <c r="BF37" s="3272"/>
      <c r="BG37" s="3269"/>
      <c r="BH37" s="3269"/>
      <c r="BI37" s="3269"/>
      <c r="BJ37" s="3520"/>
      <c r="BK37" s="3546"/>
      <c r="BL37" s="3523"/>
      <c r="BM37" s="5660"/>
      <c r="BN37" s="5661"/>
      <c r="BO37" s="5662"/>
      <c r="BP37" s="3512"/>
      <c r="BQ37" s="3547"/>
      <c r="BR37" s="3547"/>
      <c r="BS37" s="3527"/>
      <c r="BT37" s="3528"/>
      <c r="BU37" s="3547"/>
      <c r="BV37" s="3547"/>
      <c r="BW37" s="3527"/>
      <c r="BX37" s="3528"/>
      <c r="BY37" s="3547"/>
      <c r="BZ37" s="3547"/>
      <c r="CA37" s="3527"/>
      <c r="CB37" s="3528"/>
      <c r="CC37" s="3264"/>
      <c r="CD37" s="3272"/>
      <c r="CE37" s="3272"/>
      <c r="CF37" s="3272"/>
      <c r="CG37" s="3269"/>
      <c r="CH37" s="3269"/>
      <c r="CI37" s="3269"/>
      <c r="CJ37" s="3520"/>
      <c r="CK37" s="3546"/>
      <c r="CL37" s="3511">
        <f t="shared" si="21"/>
        <v>0</v>
      </c>
      <c r="CM37" s="5680"/>
      <c r="CN37" s="5681"/>
      <c r="CO37" s="5682"/>
      <c r="CP37" s="4247"/>
      <c r="CQ37" s="4242"/>
      <c r="CR37" s="4233"/>
      <c r="CS37" s="4233"/>
      <c r="CT37" s="4235"/>
      <c r="CU37" s="4235"/>
      <c r="CV37" s="4235"/>
      <c r="CW37" s="4233">
        <f t="shared" si="29"/>
        <v>0</v>
      </c>
      <c r="CX37" s="4235"/>
      <c r="CY37" s="4235"/>
      <c r="CZ37" s="4235"/>
      <c r="DA37" s="4234">
        <f t="shared" si="30"/>
        <v>0</v>
      </c>
      <c r="DB37" s="3264"/>
      <c r="DC37" s="3272"/>
      <c r="DD37" s="3272"/>
      <c r="DE37" s="3272"/>
      <c r="DF37" s="3520">
        <f t="shared" si="25"/>
        <v>0</v>
      </c>
      <c r="DG37" s="3269"/>
      <c r="DH37" s="3269"/>
      <c r="DI37" s="3520"/>
      <c r="DJ37" s="3546"/>
      <c r="DK37" s="4416">
        <f t="shared" si="13"/>
        <v>0</v>
      </c>
    </row>
    <row r="38" spans="1:115" ht="36.75" customHeight="1" thickBot="1">
      <c r="A38" s="903" t="s">
        <v>108</v>
      </c>
      <c r="B38" s="451"/>
      <c r="C38" s="451"/>
      <c r="D38" s="451"/>
      <c r="E38" s="451"/>
      <c r="F38" s="904"/>
      <c r="G38" s="905"/>
      <c r="H38" s="905"/>
      <c r="I38" s="905"/>
      <c r="J38" s="906">
        <v>110.4</v>
      </c>
      <c r="K38" s="907"/>
      <c r="L38" s="907"/>
      <c r="M38" s="908"/>
      <c r="N38" s="909"/>
      <c r="O38" s="910">
        <v>110.4</v>
      </c>
      <c r="P38" s="911"/>
      <c r="Q38" s="911"/>
      <c r="R38" s="912"/>
      <c r="S38" s="913">
        <v>63.405999999999999</v>
      </c>
      <c r="T38" s="911"/>
      <c r="U38" s="911"/>
      <c r="V38" s="912"/>
      <c r="W38" s="913">
        <v>120.18</v>
      </c>
      <c r="X38" s="914"/>
      <c r="Y38" s="913">
        <v>110.4</v>
      </c>
      <c r="Z38" s="451"/>
      <c r="AA38" s="451"/>
      <c r="AB38" s="451"/>
      <c r="AC38" s="911"/>
      <c r="AD38" s="911"/>
      <c r="AE38" s="912"/>
      <c r="AF38" s="913">
        <v>210.65</v>
      </c>
      <c r="AG38" s="3548"/>
      <c r="AH38" s="3549"/>
      <c r="AI38" s="3549"/>
      <c r="AJ38" s="3549"/>
      <c r="AK38" s="3550">
        <v>120</v>
      </c>
      <c r="AL38" s="3551"/>
      <c r="AM38" s="3267"/>
      <c r="AN38" s="3552"/>
      <c r="AO38" s="3553"/>
      <c r="AP38" s="3552">
        <f>AK38</f>
        <v>120</v>
      </c>
      <c r="AQ38" s="3267"/>
      <c r="AR38" s="3267"/>
      <c r="AS38" s="3552"/>
      <c r="AT38" s="3552">
        <v>50.73</v>
      </c>
      <c r="AU38" s="3267"/>
      <c r="AV38" s="3267"/>
      <c r="AW38" s="3552"/>
      <c r="AX38" s="3552"/>
      <c r="AY38" s="3267"/>
      <c r="AZ38" s="3267"/>
      <c r="BA38" s="3552"/>
      <c r="BB38" s="3554">
        <v>116.22</v>
      </c>
      <c r="BC38" s="3555"/>
      <c r="BD38" s="3268"/>
      <c r="BE38" s="3268"/>
      <c r="BF38" s="3268"/>
      <c r="BG38" s="3267">
        <f>SUM(AF38*1.1)</f>
        <v>231.71500000000003</v>
      </c>
      <c r="BH38" s="3267"/>
      <c r="BI38" s="3267"/>
      <c r="BJ38" s="3552"/>
      <c r="BK38" s="3553"/>
      <c r="BL38" s="3554">
        <f>AF38*1.062*1.026</f>
        <v>229.52676780000002</v>
      </c>
      <c r="BM38" s="5660"/>
      <c r="BN38" s="5661"/>
      <c r="BO38" s="5662"/>
      <c r="BP38" s="3512"/>
      <c r="BQ38" s="3556"/>
      <c r="BR38" s="3556"/>
      <c r="BS38" s="3557"/>
      <c r="BT38" s="3558">
        <v>48.052999999999997</v>
      </c>
      <c r="BU38" s="3556"/>
      <c r="BV38" s="3556"/>
      <c r="BW38" s="3557"/>
      <c r="BX38" s="3558">
        <v>132.66</v>
      </c>
      <c r="BY38" s="3556"/>
      <c r="BZ38" s="3556"/>
      <c r="CA38" s="3557"/>
      <c r="CB38" s="3558">
        <v>151.71</v>
      </c>
      <c r="CC38" s="3555"/>
      <c r="CD38" s="3268"/>
      <c r="CE38" s="3268"/>
      <c r="CF38" s="3268"/>
      <c r="CG38" s="3588">
        <f>SUM(BB38*1.1)</f>
        <v>127.84200000000001</v>
      </c>
      <c r="CH38" s="3267"/>
      <c r="CI38" s="3267"/>
      <c r="CJ38" s="3552"/>
      <c r="CK38" s="3553"/>
      <c r="CL38" s="3511">
        <f t="shared" si="21"/>
        <v>243.36493663066199</v>
      </c>
      <c r="CM38" s="5680"/>
      <c r="CN38" s="5681"/>
      <c r="CO38" s="5682"/>
      <c r="CP38" s="4248"/>
      <c r="CQ38" s="4249"/>
      <c r="CR38" s="4250"/>
      <c r="CS38" s="4250">
        <v>96.248999999999995</v>
      </c>
      <c r="CT38" s="4236"/>
      <c r="CU38" s="4236"/>
      <c r="CV38" s="4236"/>
      <c r="CW38" s="4237">
        <v>164.41</v>
      </c>
      <c r="CX38" s="4236"/>
      <c r="CY38" s="4236"/>
      <c r="CZ38" s="4236"/>
      <c r="DA38" s="4238">
        <f>SUM(CW38/9*12)</f>
        <v>219.21333333333331</v>
      </c>
      <c r="DB38" s="3555"/>
      <c r="DC38" s="3268"/>
      <c r="DD38" s="3268"/>
      <c r="DE38" s="3268"/>
      <c r="DF38" s="4231">
        <f t="shared" si="25"/>
        <v>254.90530192568801</v>
      </c>
      <c r="DG38" s="3267"/>
      <c r="DH38" s="3267"/>
      <c r="DI38" s="3552"/>
      <c r="DJ38" s="3553"/>
      <c r="DK38" s="4417">
        <f t="shared" si="13"/>
        <v>250.56853875492959</v>
      </c>
    </row>
    <row r="39" spans="1:115" ht="36.75" customHeight="1" thickBot="1">
      <c r="A39" s="917" t="s">
        <v>90</v>
      </c>
      <c r="B39" s="918"/>
      <c r="C39" s="918"/>
      <c r="D39" s="918"/>
      <c r="E39" s="918"/>
      <c r="F39" s="919"/>
      <c r="G39" s="920"/>
      <c r="H39" s="920"/>
      <c r="I39" s="920"/>
      <c r="J39" s="921">
        <f>SUM(J29:J38)</f>
        <v>6234.3756999999987</v>
      </c>
      <c r="K39" s="922"/>
      <c r="L39" s="922"/>
      <c r="M39" s="923"/>
      <c r="N39" s="924"/>
      <c r="O39" s="925">
        <f>SUM(O29:O38)</f>
        <v>4253.0293007044547</v>
      </c>
      <c r="P39" s="926"/>
      <c r="Q39" s="926"/>
      <c r="R39" s="927"/>
      <c r="S39" s="928">
        <f>SUM(S29:S38)</f>
        <v>2186.0282000000002</v>
      </c>
      <c r="T39" s="926"/>
      <c r="U39" s="926"/>
      <c r="V39" s="927"/>
      <c r="W39" s="928">
        <f>SUM(W29:W38)</f>
        <v>3609.3058999999998</v>
      </c>
      <c r="X39" s="929"/>
      <c r="Y39" s="928">
        <f>SUM(Y29:Y38)</f>
        <v>161.27129434936023</v>
      </c>
      <c r="Z39" s="918"/>
      <c r="AA39" s="918"/>
      <c r="AB39" s="918"/>
      <c r="AC39" s="926"/>
      <c r="AD39" s="926"/>
      <c r="AE39" s="927"/>
      <c r="AF39" s="928">
        <f>SUM(AF29:AF38)</f>
        <v>4087.3393910999998</v>
      </c>
      <c r="AG39" s="3559"/>
      <c r="AH39" s="3560"/>
      <c r="AI39" s="3560"/>
      <c r="AJ39" s="3560"/>
      <c r="AK39" s="3561">
        <f>SUM(AK29:AK38)</f>
        <v>4894.9000000000005</v>
      </c>
      <c r="AL39" s="3562"/>
      <c r="AM39" s="3563"/>
      <c r="AN39" s="3564"/>
      <c r="AO39" s="3565"/>
      <c r="AP39" s="3566">
        <f>SUM(AP29:AP38)</f>
        <v>3968.311174693004</v>
      </c>
      <c r="AQ39" s="3563"/>
      <c r="AR39" s="3563"/>
      <c r="AS39" s="3564"/>
      <c r="AT39" s="3566">
        <f>SUM(AT29:AT38)</f>
        <v>2640.0770813999998</v>
      </c>
      <c r="AU39" s="3563"/>
      <c r="AV39" s="3563"/>
      <c r="AW39" s="3564"/>
      <c r="AX39" s="3566">
        <f>SUM(AX29:AX38)</f>
        <v>0</v>
      </c>
      <c r="AY39" s="3563"/>
      <c r="AZ39" s="3563"/>
      <c r="BA39" s="3564"/>
      <c r="BB39" s="3567">
        <f>SUM(BB29:BB38)</f>
        <v>5707.1500000000005</v>
      </c>
      <c r="BC39" s="3559"/>
      <c r="BD39" s="3560"/>
      <c r="BE39" s="3560"/>
      <c r="BF39" s="3560"/>
      <c r="BG39" s="3568">
        <f>SUM(BG29:BG38)</f>
        <v>7781.2449052544798</v>
      </c>
      <c r="BH39" s="3563"/>
      <c r="BI39" s="3563"/>
      <c r="BJ39" s="3564"/>
      <c r="BK39" s="3565"/>
      <c r="BL39" s="3567">
        <f>SUM(BL29:BL38)</f>
        <v>6985.4283978386675</v>
      </c>
      <c r="BM39" s="5663"/>
      <c r="BN39" s="5664"/>
      <c r="BO39" s="5665"/>
      <c r="BP39" s="3569"/>
      <c r="BQ39" s="3563"/>
      <c r="BR39" s="3563"/>
      <c r="BS39" s="3564"/>
      <c r="BT39" s="3567">
        <f>SUM(BT29:BT38)</f>
        <v>4515.2094240899987</v>
      </c>
      <c r="BU39" s="3563"/>
      <c r="BV39" s="3563"/>
      <c r="BW39" s="3564"/>
      <c r="BX39" s="3567">
        <f>SUM(BX29:BX38)</f>
        <v>7061.8548961899996</v>
      </c>
      <c r="BY39" s="3563"/>
      <c r="BZ39" s="3563"/>
      <c r="CA39" s="3564"/>
      <c r="CB39" s="3567">
        <f>SUM(CB29:CB38)</f>
        <v>8877.3599999999988</v>
      </c>
      <c r="CC39" s="3559"/>
      <c r="CD39" s="3560"/>
      <c r="CE39" s="3560"/>
      <c r="CF39" s="3560"/>
      <c r="CG39" s="3568">
        <f>SUM(CG29:CG38)</f>
        <v>7687.4405852046175</v>
      </c>
      <c r="CH39" s="3563"/>
      <c r="CI39" s="3563"/>
      <c r="CJ39" s="3564"/>
      <c r="CK39" s="3565"/>
      <c r="CL39" s="3567">
        <f>SUM(CL29:CL38)</f>
        <v>7406.5798759443596</v>
      </c>
      <c r="CM39" s="5683"/>
      <c r="CN39" s="5684"/>
      <c r="CO39" s="5685"/>
      <c r="CP39" s="4251"/>
      <c r="CQ39" s="2980"/>
      <c r="CR39" s="2981"/>
      <c r="CS39" s="2809">
        <f>SUM(CS29:CS38)</f>
        <v>4568.6679999999997</v>
      </c>
      <c r="CT39" s="2808"/>
      <c r="CU39" s="2808"/>
      <c r="CV39" s="2808"/>
      <c r="CW39" s="2809">
        <f>SUM(CW29:CW38)</f>
        <v>10087.929999999998</v>
      </c>
      <c r="CX39" s="2808"/>
      <c r="CY39" s="2808"/>
      <c r="CZ39" s="2808"/>
      <c r="DA39" s="2982">
        <f>SUM(DA29:DA38)</f>
        <v>13449.449360373917</v>
      </c>
      <c r="DB39" s="3559"/>
      <c r="DC39" s="3560"/>
      <c r="DD39" s="3560"/>
      <c r="DE39" s="3560"/>
      <c r="DF39" s="3566">
        <f>SUM(DF29:DF38)</f>
        <v>7757.7998936616423</v>
      </c>
      <c r="DG39" s="3563"/>
      <c r="DH39" s="3563"/>
      <c r="DI39" s="3564"/>
      <c r="DJ39" s="3565"/>
      <c r="DK39" s="4418">
        <f>SUM(DK29:DK38)</f>
        <v>7625.8146402723114</v>
      </c>
    </row>
    <row r="40" spans="1:115" ht="36.75" customHeight="1" thickBot="1">
      <c r="A40" s="917" t="s">
        <v>132</v>
      </c>
      <c r="B40" s="918"/>
      <c r="C40" s="918"/>
      <c r="D40" s="918"/>
      <c r="E40" s="918"/>
      <c r="F40" s="919"/>
      <c r="G40" s="944">
        <f>объемы!E44-объемы!E51</f>
        <v>4974</v>
      </c>
      <c r="H40" s="921"/>
      <c r="I40" s="920"/>
      <c r="J40" s="921"/>
      <c r="K40" s="922"/>
      <c r="L40" s="945">
        <f>объемы!F39-объемы!F51</f>
        <v>5512.2912165809075</v>
      </c>
      <c r="M40" s="923"/>
      <c r="N40" s="924"/>
      <c r="O40" s="925"/>
      <c r="P40" s="926"/>
      <c r="Q40" s="946">
        <f>[25]объемы!H37</f>
        <v>3493.4257142857145</v>
      </c>
      <c r="R40" s="927"/>
      <c r="S40" s="928"/>
      <c r="T40" s="926"/>
      <c r="U40" s="946">
        <v>5158</v>
      </c>
      <c r="V40" s="927"/>
      <c r="W40" s="928"/>
      <c r="X40" s="929"/>
      <c r="Y40" s="928"/>
      <c r="Z40" s="918"/>
      <c r="AA40" s="918"/>
      <c r="AB40" s="918"/>
      <c r="AC40" s="926"/>
      <c r="AD40" s="946">
        <f>SUM(объемы!I40)</f>
        <v>6928.1</v>
      </c>
      <c r="AE40" s="927"/>
      <c r="AF40" s="928"/>
      <c r="AG40" s="3559"/>
      <c r="AH40" s="3566">
        <f>SUM(объемы!J40)</f>
        <v>5753.9</v>
      </c>
      <c r="AI40" s="3568"/>
      <c r="AJ40" s="3560"/>
      <c r="AK40" s="3561"/>
      <c r="AL40" s="3562"/>
      <c r="AM40" s="3566">
        <f>SUM(объемы!K40)</f>
        <v>5561.39</v>
      </c>
      <c r="AN40" s="3564"/>
      <c r="AO40" s="3565"/>
      <c r="AP40" s="3566"/>
      <c r="AQ40" s="3563"/>
      <c r="AR40" s="3566">
        <f>SUM(объемы!N40)</f>
        <v>3367.79</v>
      </c>
      <c r="AS40" s="3564"/>
      <c r="AT40" s="3566"/>
      <c r="AU40" s="3563"/>
      <c r="AV40" s="3566">
        <f>SUM(объемы!Q40)</f>
        <v>0</v>
      </c>
      <c r="AW40" s="3564"/>
      <c r="AX40" s="3566"/>
      <c r="AY40" s="3563"/>
      <c r="AZ40" s="3566">
        <f>SUM(объемы!R40)</f>
        <v>6697.91</v>
      </c>
      <c r="BA40" s="3564"/>
      <c r="BB40" s="3567"/>
      <c r="BC40" s="3559"/>
      <c r="BD40" s="3566">
        <f>SUM(объемы!T40)</f>
        <v>5736.5</v>
      </c>
      <c r="BE40" s="3568"/>
      <c r="BF40" s="3560"/>
      <c r="BG40" s="3568"/>
      <c r="BH40" s="3563"/>
      <c r="BI40" s="3566">
        <f>SUM(объемы!U40)</f>
        <v>5654.317</v>
      </c>
      <c r="BJ40" s="3564"/>
      <c r="BK40" s="3565"/>
      <c r="BL40" s="3567"/>
      <c r="BM40" s="5657"/>
      <c r="BN40" s="5658"/>
      <c r="BO40" s="5659"/>
      <c r="BP40" s="3570"/>
      <c r="BQ40" s="3563"/>
      <c r="BR40" s="3566">
        <f>SUM(объемы!AA40)</f>
        <v>3157.36</v>
      </c>
      <c r="BS40" s="3564"/>
      <c r="BT40" s="3567"/>
      <c r="BU40" s="3563"/>
      <c r="BV40" s="3566">
        <f>SUM(объемы!AB40)</f>
        <v>4681.12</v>
      </c>
      <c r="BW40" s="3564"/>
      <c r="BX40" s="3567"/>
      <c r="BY40" s="3563"/>
      <c r="BZ40" s="3566">
        <f>SUM(объемы!AC40)</f>
        <v>6329.63</v>
      </c>
      <c r="CA40" s="3564"/>
      <c r="CB40" s="3567"/>
      <c r="CC40" s="3559"/>
      <c r="CD40" s="3566">
        <f>SUM(объемы!AD40)</f>
        <v>5618.05</v>
      </c>
      <c r="CE40" s="3568"/>
      <c r="CF40" s="3560"/>
      <c r="CG40" s="3568"/>
      <c r="CH40" s="3563"/>
      <c r="CI40" s="3566"/>
      <c r="CJ40" s="3564"/>
      <c r="CK40" s="3565"/>
      <c r="CL40" s="3567"/>
      <c r="CM40" s="5677"/>
      <c r="CN40" s="5678"/>
      <c r="CO40" s="5679"/>
      <c r="CP40" s="4251"/>
      <c r="CQ40" s="2809">
        <f>SUM(объемы!AF40)</f>
        <v>3201.38</v>
      </c>
      <c r="CR40" s="2981"/>
      <c r="CS40" s="2809"/>
      <c r="CT40" s="2808"/>
      <c r="CU40" s="2809">
        <f>SUM(объемы!AG40)</f>
        <v>5033.04</v>
      </c>
      <c r="CV40" s="4107"/>
      <c r="CW40" s="2809"/>
      <c r="CX40" s="2808"/>
      <c r="CY40" s="2809">
        <f>SUM(объемы!AH40)</f>
        <v>6244</v>
      </c>
      <c r="CZ40" s="4107"/>
      <c r="DA40" s="2982"/>
      <c r="DB40" s="3559"/>
      <c r="DC40" s="3566"/>
      <c r="DD40" s="4106"/>
      <c r="DE40" s="3560"/>
      <c r="DF40" s="3566"/>
      <c r="DG40" s="3563"/>
      <c r="DH40" s="3566"/>
      <c r="DI40" s="3564"/>
      <c r="DJ40" s="3565"/>
      <c r="DK40" s="4418"/>
    </row>
    <row r="41" spans="1:115" ht="36.75" customHeight="1">
      <c r="A41" s="873" t="s">
        <v>103</v>
      </c>
      <c r="B41" s="451"/>
      <c r="C41" s="451"/>
      <c r="D41" s="451"/>
      <c r="E41" s="451"/>
      <c r="F41" s="941"/>
      <c r="G41" s="942"/>
      <c r="H41" s="942"/>
      <c r="I41" s="942"/>
      <c r="J41" s="943"/>
      <c r="K41" s="915"/>
      <c r="L41" s="915"/>
      <c r="M41" s="454"/>
      <c r="N41" s="455"/>
      <c r="O41" s="456"/>
      <c r="P41" s="916">
        <v>1</v>
      </c>
      <c r="Q41" s="916"/>
      <c r="R41" s="459">
        <v>47970</v>
      </c>
      <c r="S41" s="460">
        <f>R41*P41/1000</f>
        <v>47.97</v>
      </c>
      <c r="T41" s="916">
        <v>1</v>
      </c>
      <c r="U41" s="458">
        <f>SUM(T41/U46*1000)</f>
        <v>0.3841425937307929</v>
      </c>
      <c r="V41" s="459">
        <v>47970</v>
      </c>
      <c r="W41" s="460">
        <f>V41*T41/1000</f>
        <v>47.97</v>
      </c>
      <c r="X41" s="461"/>
      <c r="Y41" s="460"/>
      <c r="Z41" s="451"/>
      <c r="AA41" s="451"/>
      <c r="AB41" s="451"/>
      <c r="AC41" s="916">
        <v>1</v>
      </c>
      <c r="AD41" s="458">
        <f>SUM(AC41/AD46*1000)</f>
        <v>0.22761414849547051</v>
      </c>
      <c r="AE41" s="459">
        <v>47970</v>
      </c>
      <c r="AF41" s="460">
        <f>AE41*AC41/1000</f>
        <v>47.97</v>
      </c>
      <c r="AG41" s="3243"/>
      <c r="AH41" s="3571"/>
      <c r="AI41" s="3571"/>
      <c r="AJ41" s="3571"/>
      <c r="AK41" s="3572"/>
      <c r="AL41" s="3501"/>
      <c r="AM41" s="3244"/>
      <c r="AN41" s="3508"/>
      <c r="AO41" s="3573"/>
      <c r="AP41" s="3508"/>
      <c r="AQ41" s="3244"/>
      <c r="AR41" s="3502">
        <f>SUM(AQ41/AR46*1000)</f>
        <v>0</v>
      </c>
      <c r="AS41" s="3508"/>
      <c r="AT41" s="3508">
        <f>AS41*AQ41/1000</f>
        <v>0</v>
      </c>
      <c r="AU41" s="3244"/>
      <c r="AV41" s="3502">
        <f>SUM(AU41/AV46*1000)</f>
        <v>0</v>
      </c>
      <c r="AW41" s="3508"/>
      <c r="AX41" s="3508">
        <f>AW41*AU41/1000</f>
        <v>0</v>
      </c>
      <c r="AY41" s="3244"/>
      <c r="AZ41" s="3502">
        <f>SUM(AY41/AZ46*1000)</f>
        <v>0</v>
      </c>
      <c r="BA41" s="3508"/>
      <c r="BB41" s="3511">
        <f>BA41*AY41/1000</f>
        <v>0</v>
      </c>
      <c r="BC41" s="3501">
        <v>1</v>
      </c>
      <c r="BD41" s="3510">
        <f>SUM(BC41/BD46)*1000</f>
        <v>0.28868915875979134</v>
      </c>
      <c r="BE41" s="3503">
        <f>SUM(BE29)</f>
        <v>85278.6</v>
      </c>
      <c r="BF41" s="3504" t="e">
        <f t="shared" ref="BF41:BF43" si="31">BE41/AN41</f>
        <v>#DIV/0!</v>
      </c>
      <c r="BG41" s="3574">
        <f>BC41*BE41/1000</f>
        <v>85.278600000000012</v>
      </c>
      <c r="BH41" s="3244">
        <f>BI46*BI41/1000</f>
        <v>0.78413074156689599</v>
      </c>
      <c r="BI41" s="3507">
        <f>AD41</f>
        <v>0.22761414849547051</v>
      </c>
      <c r="BJ41" s="3508">
        <f>BJ29</f>
        <v>79862</v>
      </c>
      <c r="BK41" s="3509" t="e">
        <f t="shared" ref="BK41:BK43" si="32">BJ41/AN41</f>
        <v>#DIV/0!</v>
      </c>
      <c r="BL41" s="3511">
        <f>BH41*BJ41/1000</f>
        <v>62.622249283015449</v>
      </c>
      <c r="BM41" s="5660"/>
      <c r="BN41" s="5661"/>
      <c r="BO41" s="5662"/>
      <c r="BP41" s="3512"/>
      <c r="BQ41" s="3244"/>
      <c r="BR41" s="3502">
        <f>SUM(BQ41/BR46*1000)</f>
        <v>0</v>
      </c>
      <c r="BS41" s="3508"/>
      <c r="BT41" s="3511">
        <f>BS41*BQ41/1000</f>
        <v>0</v>
      </c>
      <c r="BU41" s="3244"/>
      <c r="BV41" s="3502">
        <f>SUM(BU41/BV46*1000)</f>
        <v>0</v>
      </c>
      <c r="BW41" s="3508"/>
      <c r="BX41" s="3511">
        <f>BW41*BU41/1000</f>
        <v>0</v>
      </c>
      <c r="BY41" s="3244"/>
      <c r="BZ41" s="3502">
        <f>SUM(BY41/BZ46*1000)</f>
        <v>0</v>
      </c>
      <c r="CA41" s="3508"/>
      <c r="CB41" s="3511">
        <f>CA41*BY41/1000</f>
        <v>0</v>
      </c>
      <c r="CC41" s="3501">
        <f>CD46*CD41/1000</f>
        <v>0.73360040060090148</v>
      </c>
      <c r="CD41" s="3586">
        <f>SUM(BI41)</f>
        <v>0.22761414849547051</v>
      </c>
      <c r="CE41" s="3503">
        <f>SUM(BJ41*1.1)</f>
        <v>87848.200000000012</v>
      </c>
      <c r="CF41" s="3504">
        <f t="shared" ref="CF41:CF43" si="33">CE41/BJ41</f>
        <v>1.1000000000000001</v>
      </c>
      <c r="CG41" s="3574">
        <f>CC41*CE41/1000</f>
        <v>64.445474712068119</v>
      </c>
      <c r="CH41" s="3244"/>
      <c r="CI41" s="3507"/>
      <c r="CJ41" s="3508"/>
      <c r="CK41" s="3509"/>
      <c r="CL41" s="3511">
        <f t="shared" ref="CL41:CL44" si="34">BL41*(1-0.01)*(1+0.071)*(1+0)</f>
        <v>66.397744692288455</v>
      </c>
      <c r="CM41" s="5680"/>
      <c r="CN41" s="5681"/>
      <c r="CO41" s="5682"/>
      <c r="CP41" s="4252">
        <v>0</v>
      </c>
      <c r="CQ41" s="4240">
        <f>SUM(CP41/CQ46*1000)</f>
        <v>0</v>
      </c>
      <c r="CR41" s="2979"/>
      <c r="CS41" s="2979">
        <v>0</v>
      </c>
      <c r="CT41" s="4239">
        <v>0</v>
      </c>
      <c r="CU41" s="4232">
        <f>SUM(CT41/CU46*1000)</f>
        <v>0</v>
      </c>
      <c r="CV41" s="2979"/>
      <c r="CW41" s="4233">
        <v>0</v>
      </c>
      <c r="CX41" s="3494">
        <f t="shared" ref="CX41:CX43" si="35">SUM(CT41/9*12)</f>
        <v>0</v>
      </c>
      <c r="CY41" s="4232">
        <f>SUM(CX41/CY46*1000)</f>
        <v>0</v>
      </c>
      <c r="CZ41" s="2979"/>
      <c r="DA41" s="4234">
        <v>0</v>
      </c>
      <c r="DB41" s="3501"/>
      <c r="DC41" s="3586"/>
      <c r="DD41" s="3503"/>
      <c r="DE41" s="3504" t="e">
        <f>DD41/BW41</f>
        <v>#DIV/0!</v>
      </c>
      <c r="DF41" s="3520">
        <f t="shared" ref="DF41:DF44" si="36">CL41*(1-0.01)*(1+0.058)*(1+0)</f>
        <v>69.546325745596775</v>
      </c>
      <c r="DG41" s="3244"/>
      <c r="DH41" s="3507"/>
      <c r="DI41" s="3508"/>
      <c r="DJ41" s="3509"/>
      <c r="DK41" s="4416">
        <f>CL41*(1-0.01)*(1+0.058)*(1+0)*1.005</f>
        <v>69.894057374324746</v>
      </c>
    </row>
    <row r="42" spans="1:115" ht="36.75" customHeight="1">
      <c r="A42" s="874" t="s">
        <v>104</v>
      </c>
      <c r="B42" s="451"/>
      <c r="C42" s="451"/>
      <c r="D42" s="451"/>
      <c r="E42" s="451"/>
      <c r="F42" s="888">
        <v>9.08</v>
      </c>
      <c r="G42" s="896">
        <v>2.2599999999999998</v>
      </c>
      <c r="H42" s="890">
        <v>64910</v>
      </c>
      <c r="I42" s="891"/>
      <c r="J42" s="897">
        <f>F42*H42/1000</f>
        <v>589.38280000000009</v>
      </c>
      <c r="K42" s="472">
        <f>F42</f>
        <v>9.08</v>
      </c>
      <c r="L42" s="473">
        <f>AP19</f>
        <v>2.1283056727349026</v>
      </c>
      <c r="M42" s="445">
        <f>AN19*1.021</f>
        <v>52971.882352941167</v>
      </c>
      <c r="N42" s="463" t="e">
        <f>M42/#REF!*100</f>
        <v>#REF!</v>
      </c>
      <c r="O42" s="464">
        <f>K42*M42/1000</f>
        <v>480.98469176470581</v>
      </c>
      <c r="P42" s="474">
        <v>2.6</v>
      </c>
      <c r="Q42" s="471">
        <v>0</v>
      </c>
      <c r="R42" s="447">
        <v>49880</v>
      </c>
      <c r="S42" s="467">
        <f>R42*P42/1000</f>
        <v>129.68799999999999</v>
      </c>
      <c r="T42" s="474">
        <v>4.3499999999999996</v>
      </c>
      <c r="U42" s="471">
        <f>SUM(T42/U46*1000)</f>
        <v>1.6710202827289491</v>
      </c>
      <c r="V42" s="447">
        <v>51050</v>
      </c>
      <c r="W42" s="467">
        <f>V42*T42/1000</f>
        <v>222.06749999999997</v>
      </c>
      <c r="X42" s="468" t="e">
        <f>W42/#REF!*100</f>
        <v>#REF!</v>
      </c>
      <c r="Y42" s="467">
        <f>U42*W42/1000</f>
        <v>0.37107929663491085</v>
      </c>
      <c r="Z42" s="451"/>
      <c r="AA42" s="451"/>
      <c r="AB42" s="451"/>
      <c r="AC42" s="465">
        <v>6.65</v>
      </c>
      <c r="AD42" s="471">
        <f>SUM(AC42/AD46*1000)</f>
        <v>1.513634087494879</v>
      </c>
      <c r="AE42" s="447">
        <v>47870</v>
      </c>
      <c r="AF42" s="467">
        <f>AE42*AC42/1000</f>
        <v>318.33550000000002</v>
      </c>
      <c r="AG42" s="3513">
        <v>9.08</v>
      </c>
      <c r="AH42" s="3525">
        <v>2.2599999999999998</v>
      </c>
      <c r="AI42" s="3515">
        <v>56150</v>
      </c>
      <c r="AJ42" s="3532">
        <f>AI42/BO19</f>
        <v>1.1898707353252809</v>
      </c>
      <c r="AK42" s="3575">
        <f>AG42*AI42/1000</f>
        <v>509.84199999999998</v>
      </c>
      <c r="AL42" s="3530">
        <f>AM42*AM46/1000</f>
        <v>7.7570356854168985</v>
      </c>
      <c r="AM42" s="3524">
        <f>AP19</f>
        <v>2.1283056727349026</v>
      </c>
      <c r="AN42" s="3520">
        <f>BO19*1.021*1.062</f>
        <v>51168.211380000001</v>
      </c>
      <c r="AO42" s="3521">
        <f>AN42/BO19</f>
        <v>1.0843020000000001</v>
      </c>
      <c r="AP42" s="3520">
        <f>AL42*AN42/1000</f>
        <v>396.9136416336151</v>
      </c>
      <c r="AQ42" s="3576"/>
      <c r="AR42" s="3524">
        <f>SUM(AQ42/AR46*1000)</f>
        <v>0</v>
      </c>
      <c r="AS42" s="3520"/>
      <c r="AT42" s="3520">
        <f>AS42*AQ42/1000</f>
        <v>0</v>
      </c>
      <c r="AU42" s="3576"/>
      <c r="AV42" s="3524">
        <f>SUM(AU42/AV46*1000)</f>
        <v>0</v>
      </c>
      <c r="AW42" s="3520"/>
      <c r="AX42" s="3520">
        <f>AW42*AU42/1000</f>
        <v>0</v>
      </c>
      <c r="AY42" s="3576">
        <v>6.85</v>
      </c>
      <c r="AZ42" s="3524">
        <f>SUM(AY42/AZ46*1000)</f>
        <v>2.1339896260066356</v>
      </c>
      <c r="BA42" s="3508">
        <f t="shared" ref="BA42:BA43" si="37">SUM(BB42/AY42)</f>
        <v>49.925547445255475</v>
      </c>
      <c r="BB42" s="3523">
        <v>341.99</v>
      </c>
      <c r="BC42" s="3518">
        <v>6.65</v>
      </c>
      <c r="BD42" s="3522">
        <f>SUM(BC42/BD46)*1000</f>
        <v>1.9197829057526128</v>
      </c>
      <c r="BE42" s="3503">
        <f>SUM(AN42*1.1)</f>
        <v>56285.032518000007</v>
      </c>
      <c r="BF42" s="3504">
        <f t="shared" si="31"/>
        <v>1.1000000000000001</v>
      </c>
      <c r="BG42" s="3576">
        <f>BC42*BE42/1000</f>
        <v>374.29546624470009</v>
      </c>
      <c r="BH42" s="3522">
        <f>BI42*BI46/1000</f>
        <v>5.2144694314198583</v>
      </c>
      <c r="BI42" s="3507">
        <f>AD42</f>
        <v>1.513634087494879</v>
      </c>
      <c r="BJ42" s="3520">
        <f>BJ30</f>
        <v>43766.393750000003</v>
      </c>
      <c r="BK42" s="3509">
        <f t="shared" si="32"/>
        <v>0.85534343627862031</v>
      </c>
      <c r="BL42" s="3523">
        <f>BH42*BJ42/1000</f>
        <v>228.21852233286015</v>
      </c>
      <c r="BM42" s="5660"/>
      <c r="BN42" s="5661"/>
      <c r="BO42" s="5662"/>
      <c r="BP42" s="3512"/>
      <c r="BQ42" s="3577">
        <v>5</v>
      </c>
      <c r="BR42" s="3514">
        <f>SUM(BQ42/BR46*1000)</f>
        <v>3.1691502240589204</v>
      </c>
      <c r="BS42" s="3527">
        <v>53113.27</v>
      </c>
      <c r="BT42" s="3528">
        <f>BS42*BQ42/1000</f>
        <v>265.56635</v>
      </c>
      <c r="BU42" s="3577">
        <v>7.85</v>
      </c>
      <c r="BV42" s="3514">
        <f>SUM(BU42/BV46*1000)</f>
        <v>3.4058467759430071</v>
      </c>
      <c r="BW42" s="3527">
        <v>56111.54</v>
      </c>
      <c r="BX42" s="3528">
        <f>BW42*BU42/1000</f>
        <v>440.47558899999996</v>
      </c>
      <c r="BY42" s="3510">
        <v>10.85</v>
      </c>
      <c r="BZ42" s="3578">
        <f>SUM(BY42/BZ46*1000)</f>
        <v>3.5440259481494301</v>
      </c>
      <c r="CA42" s="3508">
        <f>SUM(CB42/BY42*1000)</f>
        <v>57860.829493087556</v>
      </c>
      <c r="CB42" s="3511">
        <v>627.79</v>
      </c>
      <c r="CC42" s="3530">
        <f>CD42*CD46/1000</f>
        <v>6.877848564619387</v>
      </c>
      <c r="CD42" s="3524">
        <f>SUM(AZ42)</f>
        <v>2.1339896260066356</v>
      </c>
      <c r="CE42" s="3503">
        <f>SUM(BJ42*1.1)</f>
        <v>48143.033125000009</v>
      </c>
      <c r="CF42" s="3504">
        <f t="shared" si="33"/>
        <v>1.1000000000000001</v>
      </c>
      <c r="CG42" s="3576">
        <f>CC42*CE42/1000</f>
        <v>331.12049127520493</v>
      </c>
      <c r="CH42" s="3522"/>
      <c r="CI42" s="3507"/>
      <c r="CJ42" s="3520"/>
      <c r="CK42" s="3509"/>
      <c r="CL42" s="3511">
        <f t="shared" si="34"/>
        <v>241.97781704430827</v>
      </c>
      <c r="CM42" s="5680"/>
      <c r="CN42" s="5681"/>
      <c r="CO42" s="5682"/>
      <c r="CP42" s="2807">
        <v>3.55</v>
      </c>
      <c r="CQ42" s="4253">
        <f>SUM(CP42/CQ46*1000)</f>
        <v>2.2161875331647782</v>
      </c>
      <c r="CR42" s="2979">
        <f>SUM(CS42/CP42*1000)</f>
        <v>67118.309859154935</v>
      </c>
      <c r="CS42" s="2979">
        <v>238.27</v>
      </c>
      <c r="CT42" s="4241">
        <v>5.4</v>
      </c>
      <c r="CU42" s="4254">
        <f>SUM(CT42/CU46*1000)</f>
        <v>2.3085999623783713</v>
      </c>
      <c r="CV42" s="2979">
        <f>SUM(CW42/CT42*1000)</f>
        <v>68937.037037037036</v>
      </c>
      <c r="CW42" s="4233">
        <v>372.26</v>
      </c>
      <c r="CX42" s="3494">
        <f t="shared" si="35"/>
        <v>7.2000000000000011</v>
      </c>
      <c r="CY42" s="4254">
        <f>SUM(CX42/CY46*1000)</f>
        <v>2.3225806451612905</v>
      </c>
      <c r="CZ42" s="2979">
        <f>SUM(DA42/CX42*1000)</f>
        <v>51702.777777777766</v>
      </c>
      <c r="DA42" s="4234">
        <v>372.26</v>
      </c>
      <c r="DB42" s="3530"/>
      <c r="DC42" s="3524"/>
      <c r="DD42" s="3503"/>
      <c r="DE42" s="3504">
        <f>DD42/BW42</f>
        <v>0</v>
      </c>
      <c r="DF42" s="3520">
        <f t="shared" si="36"/>
        <v>253.45240512854937</v>
      </c>
      <c r="DG42" s="3522"/>
      <c r="DH42" s="3507"/>
      <c r="DI42" s="3520"/>
      <c r="DJ42" s="3509"/>
      <c r="DK42" s="4416">
        <f>CL42*(1-0.01)*(1+0.058)*(1+0)*1.005</f>
        <v>254.71966715419208</v>
      </c>
    </row>
    <row r="43" spans="1:115" ht="36.75" customHeight="1">
      <c r="A43" s="875" t="s">
        <v>836</v>
      </c>
      <c r="B43" s="451"/>
      <c r="C43" s="451"/>
      <c r="D43" s="451"/>
      <c r="E43" s="451"/>
      <c r="F43" s="893"/>
      <c r="G43" s="894"/>
      <c r="H43" s="894"/>
      <c r="I43" s="894"/>
      <c r="J43" s="895"/>
      <c r="K43" s="444"/>
      <c r="L43" s="444"/>
      <c r="M43" s="445"/>
      <c r="N43" s="445"/>
      <c r="O43" s="464"/>
      <c r="P43" s="446">
        <v>0.03</v>
      </c>
      <c r="Q43" s="446"/>
      <c r="R43" s="447">
        <v>45760</v>
      </c>
      <c r="S43" s="467">
        <f>R43*P43/1000</f>
        <v>1.3728</v>
      </c>
      <c r="T43" s="446">
        <v>2.5000000000000001E-2</v>
      </c>
      <c r="U43" s="471">
        <f>SUM(T43/U46*1000)</f>
        <v>9.6035648432698222E-3</v>
      </c>
      <c r="V43" s="447">
        <v>45760</v>
      </c>
      <c r="W43" s="467">
        <f>V43*T43/1000</f>
        <v>1.1439999999999999</v>
      </c>
      <c r="X43" s="447"/>
      <c r="Y43" s="467"/>
      <c r="Z43" s="451"/>
      <c r="AA43" s="451"/>
      <c r="AB43" s="451"/>
      <c r="AC43" s="446">
        <v>2.5000000000000001E-2</v>
      </c>
      <c r="AD43" s="471">
        <f>SUM(AC43/AD46*1000)</f>
        <v>5.6903537123867629E-3</v>
      </c>
      <c r="AE43" s="447">
        <v>45760</v>
      </c>
      <c r="AF43" s="467">
        <f>AE43*AC43/1000</f>
        <v>1.1439999999999999</v>
      </c>
      <c r="AG43" s="3543"/>
      <c r="AH43" s="3544"/>
      <c r="AI43" s="3544"/>
      <c r="AJ43" s="3544"/>
      <c r="AK43" s="3545"/>
      <c r="AL43" s="3518"/>
      <c r="AM43" s="3269"/>
      <c r="AN43" s="3520"/>
      <c r="AO43" s="3520"/>
      <c r="AP43" s="3520"/>
      <c r="AQ43" s="3269"/>
      <c r="AR43" s="3524">
        <f>SUM(AQ43/AR46*1000)</f>
        <v>0</v>
      </c>
      <c r="AS43" s="3520"/>
      <c r="AT43" s="3520">
        <f>AS43*AQ43/1000</f>
        <v>0</v>
      </c>
      <c r="AU43" s="3269"/>
      <c r="AV43" s="3524">
        <f>SUM(AU43/AV46*1000)</f>
        <v>0</v>
      </c>
      <c r="AW43" s="3520"/>
      <c r="AX43" s="3520">
        <f>AW43*AU43/1000</f>
        <v>0</v>
      </c>
      <c r="AY43" s="3269">
        <v>0.05</v>
      </c>
      <c r="AZ43" s="3524">
        <f>SUM(AY43/AZ46*1000)</f>
        <v>1.5576566613187123E-2</v>
      </c>
      <c r="BA43" s="3508">
        <f t="shared" si="37"/>
        <v>55.999999999999993</v>
      </c>
      <c r="BB43" s="3523">
        <v>2.8</v>
      </c>
      <c r="BC43" s="3264">
        <v>2.5000000000000001E-2</v>
      </c>
      <c r="BD43" s="3522">
        <f>SUM(BC43/BD46)*1000</f>
        <v>7.2172289689947846E-3</v>
      </c>
      <c r="BE43" s="3503">
        <f>SUM(BE33)</f>
        <v>19345.392000000003</v>
      </c>
      <c r="BF43" s="3504" t="e">
        <f t="shared" si="31"/>
        <v>#DIV/0!</v>
      </c>
      <c r="BG43" s="3576">
        <f>BC43*BE43/1000</f>
        <v>0.48363480000000009</v>
      </c>
      <c r="BH43" s="3269">
        <f>BI43*BI46/1000</f>
        <v>1.9603268539172398E-2</v>
      </c>
      <c r="BI43" s="3507">
        <f>AD43</f>
        <v>5.6903537123867629E-3</v>
      </c>
      <c r="BJ43" s="3520">
        <f>M63</f>
        <v>14833.89608</v>
      </c>
      <c r="BK43" s="3509" t="e">
        <f t="shared" si="32"/>
        <v>#DIV/0!</v>
      </c>
      <c r="BL43" s="3523">
        <f>BH43*BJ43/1000</f>
        <v>0.29079284833841679</v>
      </c>
      <c r="BM43" s="5660"/>
      <c r="BN43" s="5661"/>
      <c r="BO43" s="5662"/>
      <c r="BP43" s="3512"/>
      <c r="BQ43" s="3547"/>
      <c r="BR43" s="3514">
        <f>SUM(BQ43/BR46*1000)</f>
        <v>0</v>
      </c>
      <c r="BS43" s="3527"/>
      <c r="BT43" s="3528">
        <f>BS43*BQ43/1000</f>
        <v>0</v>
      </c>
      <c r="BU43" s="3547"/>
      <c r="BV43" s="3514">
        <f>SUM(BU43/BV46*1000)</f>
        <v>0</v>
      </c>
      <c r="BW43" s="3527"/>
      <c r="BX43" s="3528">
        <f>BW43*BU43/1000</f>
        <v>0</v>
      </c>
      <c r="BY43" s="3547">
        <v>0</v>
      </c>
      <c r="BZ43" s="3514">
        <f>SUM(BY43/BZ46*1000)</f>
        <v>0</v>
      </c>
      <c r="CA43" s="3508"/>
      <c r="CB43" s="3528">
        <v>0</v>
      </c>
      <c r="CC43" s="3518">
        <f>CD43*CD46/1000</f>
        <v>5.0203274194302094E-2</v>
      </c>
      <c r="CD43" s="3524">
        <f>SUM(AZ43)</f>
        <v>1.5576566613187123E-2</v>
      </c>
      <c r="CE43" s="3503">
        <f>SUM(BJ43*1.1)</f>
        <v>16317.285688000002</v>
      </c>
      <c r="CF43" s="3504">
        <f t="shared" si="33"/>
        <v>1.1000000000000001</v>
      </c>
      <c r="CG43" s="3576">
        <f>CC43*CE43/1000</f>
        <v>0.81918116750142544</v>
      </c>
      <c r="CH43" s="3269"/>
      <c r="CI43" s="3507"/>
      <c r="CJ43" s="3520"/>
      <c r="CK43" s="3509"/>
      <c r="CL43" s="3511">
        <f t="shared" si="34"/>
        <v>0.3083247491647399</v>
      </c>
      <c r="CM43" s="5680"/>
      <c r="CN43" s="5681"/>
      <c r="CO43" s="5682"/>
      <c r="CP43" s="4247">
        <v>2.5000000000000001E-2</v>
      </c>
      <c r="CQ43" s="4255">
        <f>SUM(CP43/CQ46*1000)</f>
        <v>1.5606954458906891E-2</v>
      </c>
      <c r="CR43" s="2979">
        <f>SUM(CS43/CP43*1000)</f>
        <v>80000</v>
      </c>
      <c r="CS43" s="4233">
        <v>2</v>
      </c>
      <c r="CT43" s="4242">
        <v>2.5000000000000001E-2</v>
      </c>
      <c r="CU43" s="4256">
        <f>SUM(CT43/CU46*1000)</f>
        <v>1.0687962788788755E-2</v>
      </c>
      <c r="CV43" s="2979">
        <f>SUM(CW43/CT43*1000)</f>
        <v>80000</v>
      </c>
      <c r="CW43" s="4233">
        <v>2</v>
      </c>
      <c r="CX43" s="3494">
        <f t="shared" si="35"/>
        <v>3.3333333333333333E-2</v>
      </c>
      <c r="CY43" s="4256">
        <f>SUM(CX43/CY46*1000)</f>
        <v>1.075268817204301E-2</v>
      </c>
      <c r="CZ43" s="2979">
        <f>SUM(DA43/CX43*1000)</f>
        <v>60000</v>
      </c>
      <c r="DA43" s="4234">
        <v>2</v>
      </c>
      <c r="DB43" s="3518"/>
      <c r="DC43" s="3524"/>
      <c r="DD43" s="3503"/>
      <c r="DE43" s="3504" t="e">
        <f>DD43/BW43</f>
        <v>#DIV/0!</v>
      </c>
      <c r="DF43" s="3520">
        <f t="shared" si="36"/>
        <v>0.32294550877013189</v>
      </c>
      <c r="DG43" s="3269"/>
      <c r="DH43" s="3507"/>
      <c r="DI43" s="3520"/>
      <c r="DJ43" s="3509"/>
      <c r="DK43" s="4416">
        <f>CL43*(1-0.01)*(1+0.058)*(1+0)*1.005</f>
        <v>0.32456023631398251</v>
      </c>
    </row>
    <row r="44" spans="1:115" ht="36.75" customHeight="1" thickBot="1">
      <c r="A44" s="876" t="s">
        <v>108</v>
      </c>
      <c r="B44" s="451"/>
      <c r="C44" s="451"/>
      <c r="D44" s="451"/>
      <c r="E44" s="451"/>
      <c r="F44" s="904"/>
      <c r="G44" s="905"/>
      <c r="H44" s="905"/>
      <c r="I44" s="905"/>
      <c r="J44" s="906">
        <v>9.1</v>
      </c>
      <c r="K44" s="907"/>
      <c r="L44" s="907"/>
      <c r="M44" s="908"/>
      <c r="N44" s="908"/>
      <c r="O44" s="910">
        <v>8.3000000000000007</v>
      </c>
      <c r="P44" s="911"/>
      <c r="Q44" s="911"/>
      <c r="R44" s="912"/>
      <c r="S44" s="913">
        <v>0.23</v>
      </c>
      <c r="T44" s="911"/>
      <c r="U44" s="911"/>
      <c r="V44" s="912"/>
      <c r="W44" s="913">
        <v>0.23</v>
      </c>
      <c r="X44" s="912"/>
      <c r="Y44" s="913">
        <v>8.3000000000000007</v>
      </c>
      <c r="Z44" s="451"/>
      <c r="AA44" s="451"/>
      <c r="AB44" s="451"/>
      <c r="AC44" s="911"/>
      <c r="AD44" s="911"/>
      <c r="AE44" s="912"/>
      <c r="AF44" s="913">
        <v>1.25</v>
      </c>
      <c r="AG44" s="3548"/>
      <c r="AH44" s="3549"/>
      <c r="AI44" s="3549"/>
      <c r="AJ44" s="3549"/>
      <c r="AK44" s="3550">
        <v>9.1</v>
      </c>
      <c r="AL44" s="3551"/>
      <c r="AM44" s="3267"/>
      <c r="AN44" s="3552"/>
      <c r="AO44" s="3552"/>
      <c r="AP44" s="3552">
        <f>AK44</f>
        <v>9.1</v>
      </c>
      <c r="AQ44" s="3267"/>
      <c r="AR44" s="3267"/>
      <c r="AS44" s="3552"/>
      <c r="AT44" s="3552"/>
      <c r="AU44" s="3267"/>
      <c r="AV44" s="3267"/>
      <c r="AW44" s="3552"/>
      <c r="AX44" s="3552"/>
      <c r="AY44" s="3267"/>
      <c r="AZ44" s="3267"/>
      <c r="BA44" s="3552"/>
      <c r="BB44" s="3554">
        <v>12.23</v>
      </c>
      <c r="BC44" s="3555"/>
      <c r="BD44" s="3268"/>
      <c r="BE44" s="3268"/>
      <c r="BF44" s="3268"/>
      <c r="BG44" s="3267">
        <f>SUM(AP44*1.1)</f>
        <v>10.01</v>
      </c>
      <c r="BH44" s="3267"/>
      <c r="BI44" s="3267"/>
      <c r="BJ44" s="3552"/>
      <c r="BK44" s="3552"/>
      <c r="BL44" s="3554">
        <f>AF44</f>
        <v>1.25</v>
      </c>
      <c r="BM44" s="5660"/>
      <c r="BN44" s="5661"/>
      <c r="BO44" s="5662"/>
      <c r="BP44" s="3512"/>
      <c r="BQ44" s="3556"/>
      <c r="BR44" s="3556"/>
      <c r="BS44" s="3557"/>
      <c r="BT44" s="3558">
        <v>2.69</v>
      </c>
      <c r="BU44" s="3556"/>
      <c r="BV44" s="3556"/>
      <c r="BW44" s="3557"/>
      <c r="BX44" s="3558">
        <v>2.69</v>
      </c>
      <c r="BY44" s="3556"/>
      <c r="BZ44" s="3556"/>
      <c r="CA44" s="3557"/>
      <c r="CB44" s="3558">
        <v>24.27</v>
      </c>
      <c r="CC44" s="3555"/>
      <c r="CD44" s="3268"/>
      <c r="CE44" s="3268"/>
      <c r="CF44" s="3268"/>
      <c r="CG44" s="3588">
        <f>SUM(BB44*1.1)</f>
        <v>13.453000000000001</v>
      </c>
      <c r="CH44" s="3267"/>
      <c r="CI44" s="3267"/>
      <c r="CJ44" s="3552"/>
      <c r="CK44" s="3552"/>
      <c r="CL44" s="3511">
        <f t="shared" si="34"/>
        <v>1.3253625</v>
      </c>
      <c r="CM44" s="5680"/>
      <c r="CN44" s="5681"/>
      <c r="CO44" s="5682"/>
      <c r="CP44" s="4248"/>
      <c r="CQ44" s="4249"/>
      <c r="CR44" s="4250"/>
      <c r="CS44" s="4250">
        <v>20.789000000000001</v>
      </c>
      <c r="CT44" s="4236"/>
      <c r="CU44" s="4236"/>
      <c r="CV44" s="4236"/>
      <c r="CW44" s="4233">
        <v>41.42</v>
      </c>
      <c r="CX44" s="4236"/>
      <c r="CY44" s="4236"/>
      <c r="CZ44" s="4236"/>
      <c r="DA44" s="4238">
        <f>SUM(CW44/9*12)</f>
        <v>55.226666666666667</v>
      </c>
      <c r="DB44" s="3555"/>
      <c r="DC44" s="3268"/>
      <c r="DD44" s="3268"/>
      <c r="DE44" s="3268"/>
      <c r="DF44" s="3520">
        <f t="shared" si="36"/>
        <v>1.3882111897500002</v>
      </c>
      <c r="DG44" s="3267"/>
      <c r="DH44" s="3267"/>
      <c r="DI44" s="3552"/>
      <c r="DJ44" s="3552"/>
      <c r="DK44" s="4416">
        <f>CL44*(1-0.01)*(1+0.058)*(1+0)*1.005</f>
        <v>1.3951522456987502</v>
      </c>
    </row>
    <row r="45" spans="1:115" ht="36.75" customHeight="1" thickBot="1">
      <c r="A45" s="917" t="s">
        <v>94</v>
      </c>
      <c r="B45" s="918"/>
      <c r="C45" s="918"/>
      <c r="D45" s="918"/>
      <c r="E45" s="918"/>
      <c r="F45" s="919"/>
      <c r="G45" s="920"/>
      <c r="H45" s="920"/>
      <c r="I45" s="920"/>
      <c r="J45" s="940">
        <f>SUM(J41:J44)</f>
        <v>598.48280000000011</v>
      </c>
      <c r="K45" s="922"/>
      <c r="L45" s="922"/>
      <c r="M45" s="923"/>
      <c r="N45" s="923"/>
      <c r="O45" s="925">
        <f>SUM(O42:O44)</f>
        <v>489.28469176470583</v>
      </c>
      <c r="P45" s="926"/>
      <c r="Q45" s="926"/>
      <c r="R45" s="927"/>
      <c r="S45" s="928">
        <f>SUM(S41:S44)</f>
        <v>179.26079999999999</v>
      </c>
      <c r="T45" s="926"/>
      <c r="U45" s="926"/>
      <c r="V45" s="927"/>
      <c r="W45" s="928">
        <f>SUM(W41:W44)</f>
        <v>271.41149999999999</v>
      </c>
      <c r="X45" s="927"/>
      <c r="Y45" s="928">
        <f>SUM(Y42:Y44)</f>
        <v>8.6710792966349111</v>
      </c>
      <c r="Z45" s="918"/>
      <c r="AA45" s="918"/>
      <c r="AB45" s="918"/>
      <c r="AC45" s="926"/>
      <c r="AD45" s="926"/>
      <c r="AE45" s="927"/>
      <c r="AF45" s="928">
        <f>SUM(AF41:AF44)</f>
        <v>368.69950000000006</v>
      </c>
      <c r="AG45" s="3559"/>
      <c r="AH45" s="3560"/>
      <c r="AI45" s="3560"/>
      <c r="AJ45" s="3560"/>
      <c r="AK45" s="3579">
        <f>SUM(AK41:AK44)</f>
        <v>518.94200000000001</v>
      </c>
      <c r="AL45" s="3562"/>
      <c r="AM45" s="3563"/>
      <c r="AN45" s="3564"/>
      <c r="AO45" s="3564"/>
      <c r="AP45" s="3566">
        <f>SUM(AP42:AP44)</f>
        <v>406.01364163361512</v>
      </c>
      <c r="AQ45" s="3563"/>
      <c r="AR45" s="3563"/>
      <c r="AS45" s="3564"/>
      <c r="AT45" s="3566">
        <f>SUM(AT41:AT44)</f>
        <v>0</v>
      </c>
      <c r="AU45" s="3563"/>
      <c r="AV45" s="3563"/>
      <c r="AW45" s="3564"/>
      <c r="AX45" s="3566">
        <f>SUM(AX41:AX44)</f>
        <v>0</v>
      </c>
      <c r="AY45" s="3563"/>
      <c r="AZ45" s="3563"/>
      <c r="BA45" s="3564"/>
      <c r="BB45" s="3567">
        <f>SUM(BB41:BB44)</f>
        <v>357.02000000000004</v>
      </c>
      <c r="BC45" s="3559"/>
      <c r="BD45" s="3560"/>
      <c r="BE45" s="3560"/>
      <c r="BF45" s="3560"/>
      <c r="BG45" s="3580">
        <f>SUM(BG41:BG44)</f>
        <v>470.06770104470013</v>
      </c>
      <c r="BH45" s="3563"/>
      <c r="BI45" s="3563"/>
      <c r="BJ45" s="3564"/>
      <c r="BK45" s="3564"/>
      <c r="BL45" s="3567">
        <f>SUM(BL42:BL44)</f>
        <v>229.75931518119856</v>
      </c>
      <c r="BM45" s="5660"/>
      <c r="BN45" s="5661"/>
      <c r="BO45" s="5662"/>
      <c r="BP45" s="3569"/>
      <c r="BQ45" s="3563"/>
      <c r="BR45" s="3563"/>
      <c r="BS45" s="3564"/>
      <c r="BT45" s="3567">
        <f>SUM(BT41:BT44)</f>
        <v>268.25635</v>
      </c>
      <c r="BU45" s="3563"/>
      <c r="BV45" s="3563"/>
      <c r="BW45" s="3564"/>
      <c r="BX45" s="3567">
        <f>SUM(BX41:BX44)</f>
        <v>443.16558899999995</v>
      </c>
      <c r="BY45" s="3563"/>
      <c r="BZ45" s="3563"/>
      <c r="CA45" s="3564"/>
      <c r="CB45" s="3567">
        <f>SUM(CB41:CB44)</f>
        <v>652.05999999999995</v>
      </c>
      <c r="CC45" s="3559"/>
      <c r="CD45" s="3560"/>
      <c r="CE45" s="3560"/>
      <c r="CF45" s="3560"/>
      <c r="CG45" s="3580">
        <f>SUM(CG41:CG44)</f>
        <v>409.83814715477445</v>
      </c>
      <c r="CH45" s="3563"/>
      <c r="CI45" s="3563"/>
      <c r="CJ45" s="3564"/>
      <c r="CK45" s="3564"/>
      <c r="CL45" s="3567">
        <f>SUM(CL41:CL44)</f>
        <v>310.00924898576147</v>
      </c>
      <c r="CM45" s="5680"/>
      <c r="CN45" s="5681"/>
      <c r="CO45" s="5682"/>
      <c r="CP45" s="4251"/>
      <c r="CQ45" s="2980"/>
      <c r="CR45" s="2981"/>
      <c r="CS45" s="2809">
        <f>SUM(CS41:CS44)</f>
        <v>261.05900000000003</v>
      </c>
      <c r="CT45" s="2808"/>
      <c r="CU45" s="2808"/>
      <c r="CV45" s="2808"/>
      <c r="CW45" s="2809">
        <f>SUM(CW41:CW44)</f>
        <v>415.68</v>
      </c>
      <c r="CX45" s="2808"/>
      <c r="CY45" s="2808"/>
      <c r="CZ45" s="2808"/>
      <c r="DA45" s="2982">
        <f>SUM(DA41:DA44)</f>
        <v>429.48666666666668</v>
      </c>
      <c r="DB45" s="3559"/>
      <c r="DC45" s="3560"/>
      <c r="DD45" s="3560"/>
      <c r="DE45" s="3560"/>
      <c r="DF45" s="3566">
        <f>SUM(DF41:DF44)</f>
        <v>324.70988757266628</v>
      </c>
      <c r="DG45" s="3563"/>
      <c r="DH45" s="3563"/>
      <c r="DI45" s="3564"/>
      <c r="DJ45" s="3564"/>
      <c r="DK45" s="4418">
        <f>SUM(DK41:DK44)</f>
        <v>326.33343701052956</v>
      </c>
    </row>
    <row r="46" spans="1:115" ht="36.75" customHeight="1" thickBot="1">
      <c r="A46" s="930" t="s">
        <v>133</v>
      </c>
      <c r="B46" s="451"/>
      <c r="C46" s="451"/>
      <c r="D46" s="451"/>
      <c r="E46" s="451"/>
      <c r="F46" s="931"/>
      <c r="G46" s="932">
        <f>объемы!E58</f>
        <v>3600</v>
      </c>
      <c r="H46" s="933"/>
      <c r="I46" s="933"/>
      <c r="J46" s="933"/>
      <c r="K46" s="934"/>
      <c r="L46" s="935">
        <f>объемы!F58</f>
        <v>3672.7</v>
      </c>
      <c r="M46" s="935"/>
      <c r="N46" s="935"/>
      <c r="O46" s="936"/>
      <c r="P46" s="937"/>
      <c r="Q46" s="938">
        <f>[25]объемы!H50</f>
        <v>1773.7999999999997</v>
      </c>
      <c r="R46" s="938"/>
      <c r="S46" s="939"/>
      <c r="T46" s="937"/>
      <c r="U46" s="938">
        <v>2603.1999999999998</v>
      </c>
      <c r="V46" s="938"/>
      <c r="W46" s="939"/>
      <c r="X46" s="938"/>
      <c r="Y46" s="939"/>
      <c r="Z46" s="451"/>
      <c r="AA46" s="451"/>
      <c r="AB46" s="451"/>
      <c r="AC46" s="937"/>
      <c r="AD46" s="938">
        <f>объемы!I57</f>
        <v>4393.3999999999996</v>
      </c>
      <c r="AE46" s="938"/>
      <c r="AF46" s="939"/>
      <c r="AG46" s="3581"/>
      <c r="AH46" s="3582">
        <f>объемы!J58</f>
        <v>3672.7</v>
      </c>
      <c r="AI46" s="3583"/>
      <c r="AJ46" s="3583"/>
      <c r="AK46" s="3584"/>
      <c r="AL46" s="3581"/>
      <c r="AM46" s="3582">
        <f>объемы!K58</f>
        <v>3644.7</v>
      </c>
      <c r="AN46" s="3582"/>
      <c r="AO46" s="3582"/>
      <c r="AP46" s="3582"/>
      <c r="AQ46" s="3583"/>
      <c r="AR46" s="3582">
        <f>SUM(объемы!N58)</f>
        <v>1670.74</v>
      </c>
      <c r="AS46" s="3582"/>
      <c r="AT46" s="3582"/>
      <c r="AU46" s="3583"/>
      <c r="AV46" s="3582">
        <f>SUM(объемы!Q58)</f>
        <v>14.2</v>
      </c>
      <c r="AW46" s="3582"/>
      <c r="AX46" s="3582"/>
      <c r="AY46" s="3583"/>
      <c r="AZ46" s="3582">
        <f>SUM(объемы!R58+объемы!S58)</f>
        <v>3209.95</v>
      </c>
      <c r="BA46" s="3582"/>
      <c r="BB46" s="3585"/>
      <c r="BC46" s="3581"/>
      <c r="BD46" s="3582">
        <f>SUM(объемы!T58)</f>
        <v>3463.9333333333334</v>
      </c>
      <c r="BE46" s="3583"/>
      <c r="BF46" s="3583"/>
      <c r="BG46" s="3583"/>
      <c r="BH46" s="3583"/>
      <c r="BI46" s="3582">
        <f>SUM(объемы!U58)</f>
        <v>3445</v>
      </c>
      <c r="BJ46" s="3582"/>
      <c r="BK46" s="3582"/>
      <c r="BL46" s="3585"/>
      <c r="BM46" s="5689"/>
      <c r="BN46" s="5690"/>
      <c r="BO46" s="5691"/>
      <c r="BP46" s="3570"/>
      <c r="BQ46" s="3583"/>
      <c r="BR46" s="3582">
        <f>SUM(объемы!AA58)</f>
        <v>1577.71</v>
      </c>
      <c r="BS46" s="3582"/>
      <c r="BT46" s="3585"/>
      <c r="BU46" s="3583"/>
      <c r="BV46" s="3582">
        <f>SUM(объемы!AB58)</f>
        <v>2304.86</v>
      </c>
      <c r="BW46" s="3582"/>
      <c r="BX46" s="3585"/>
      <c r="BY46" s="3583"/>
      <c r="BZ46" s="3582">
        <f>SUM(объемы!AC58)</f>
        <v>3061.4900000000002</v>
      </c>
      <c r="CA46" s="3582"/>
      <c r="CB46" s="3585"/>
      <c r="CC46" s="3581"/>
      <c r="CD46" s="3582">
        <f>SUM(объемы!AD58)</f>
        <v>3223</v>
      </c>
      <c r="CE46" s="3583"/>
      <c r="CF46" s="3583"/>
      <c r="CG46" s="3583"/>
      <c r="CH46" s="3583"/>
      <c r="CI46" s="3582"/>
      <c r="CJ46" s="3582"/>
      <c r="CK46" s="3582"/>
      <c r="CL46" s="3585"/>
      <c r="CM46" s="5686"/>
      <c r="CN46" s="5687"/>
      <c r="CO46" s="5688"/>
      <c r="CP46" s="2810"/>
      <c r="CQ46" s="2811">
        <f>SUM(объемы!AF58)</f>
        <v>1601.85</v>
      </c>
      <c r="CR46" s="2811"/>
      <c r="CS46" s="2811"/>
      <c r="CT46" s="2812"/>
      <c r="CU46" s="2811">
        <f>SUM(объемы!AG58)</f>
        <v>2339.08</v>
      </c>
      <c r="CV46" s="2812"/>
      <c r="CW46" s="2811"/>
      <c r="CX46" s="2812"/>
      <c r="CY46" s="2811">
        <f>SUM(объемы!AH58)</f>
        <v>3100</v>
      </c>
      <c r="CZ46" s="2812"/>
      <c r="DA46" s="2983"/>
      <c r="DB46" s="3581"/>
      <c r="DC46" s="3582"/>
      <c r="DD46" s="3583"/>
      <c r="DE46" s="3583"/>
      <c r="DF46" s="3582"/>
      <c r="DG46" s="3583"/>
      <c r="DH46" s="3582"/>
      <c r="DI46" s="3582"/>
      <c r="DJ46" s="3582"/>
      <c r="DK46" s="3585"/>
    </row>
    <row r="47" spans="1:115">
      <c r="P47" s="175"/>
      <c r="Q47" s="175"/>
      <c r="R47" s="175"/>
    </row>
    <row r="48" spans="1:115" hidden="1"/>
    <row r="49" spans="1:64" ht="18" hidden="1">
      <c r="A49" s="5639" t="s">
        <v>429</v>
      </c>
      <c r="B49" s="5639"/>
      <c r="C49" s="5639"/>
      <c r="D49" s="5639"/>
      <c r="E49" s="5639"/>
      <c r="F49" s="5639"/>
      <c r="G49" s="5639"/>
      <c r="H49" s="5639"/>
      <c r="I49" s="5639"/>
      <c r="J49" s="5639"/>
      <c r="K49" s="5639"/>
      <c r="L49" s="5639"/>
      <c r="M49" s="5639"/>
    </row>
    <row r="50" spans="1:64" hidden="1"/>
    <row r="51" spans="1:64" ht="63.75" hidden="1">
      <c r="A51" s="25"/>
      <c r="B51" s="25"/>
      <c r="C51" s="25"/>
      <c r="D51" s="25"/>
      <c r="E51" s="25"/>
      <c r="F51" s="171" t="s">
        <v>421</v>
      </c>
      <c r="G51" s="171" t="s">
        <v>422</v>
      </c>
      <c r="H51" s="171" t="s">
        <v>423</v>
      </c>
      <c r="I51" s="171"/>
      <c r="J51" s="171" t="s">
        <v>424</v>
      </c>
      <c r="K51" s="338" t="s">
        <v>426</v>
      </c>
      <c r="L51" s="338" t="s">
        <v>427</v>
      </c>
      <c r="M51" s="338" t="s">
        <v>428</v>
      </c>
      <c r="BL51">
        <f>BL45*0.25</f>
        <v>57.43982879529964</v>
      </c>
    </row>
    <row r="52" spans="1:64" hidden="1">
      <c r="A52" s="25" t="s">
        <v>417</v>
      </c>
      <c r="B52" s="25"/>
      <c r="C52" s="25"/>
      <c r="D52" s="25"/>
      <c r="E52" s="25"/>
      <c r="F52" s="155">
        <v>40000</v>
      </c>
      <c r="G52" s="155">
        <f>81375/14000</f>
        <v>5.8125</v>
      </c>
      <c r="H52" s="148">
        <v>1.0620000000000001</v>
      </c>
      <c r="I52" s="148"/>
      <c r="J52" s="148">
        <v>1.1000000000000001</v>
      </c>
      <c r="K52" s="155">
        <f>F52*H52</f>
        <v>42480</v>
      </c>
      <c r="L52" s="155">
        <f>G52*J52</f>
        <v>6.3937500000000007</v>
      </c>
      <c r="M52" s="155">
        <f>K52+L52</f>
        <v>42486.393750000003</v>
      </c>
    </row>
    <row r="53" spans="1:64" hidden="1">
      <c r="A53" s="25" t="s">
        <v>418</v>
      </c>
      <c r="B53" s="25"/>
      <c r="C53" s="25"/>
      <c r="D53" s="25"/>
      <c r="E53" s="25"/>
      <c r="F53" s="155">
        <v>73000</v>
      </c>
      <c r="G53" s="155">
        <v>0</v>
      </c>
      <c r="H53" s="148">
        <v>1.0620000000000001</v>
      </c>
      <c r="I53" s="148"/>
      <c r="J53" s="148">
        <v>1.1000000000000001</v>
      </c>
      <c r="K53" s="155">
        <f>F53*H53</f>
        <v>77526</v>
      </c>
      <c r="L53" s="155">
        <f>G53*J53</f>
        <v>0</v>
      </c>
      <c r="M53" s="155">
        <f>K53+L53</f>
        <v>77526</v>
      </c>
    </row>
    <row r="54" spans="1:64" hidden="1">
      <c r="A54" s="25" t="s">
        <v>419</v>
      </c>
      <c r="B54" s="25"/>
      <c r="C54" s="25"/>
      <c r="D54" s="25"/>
      <c r="E54" s="25"/>
      <c r="F54" s="155">
        <v>16560</v>
      </c>
      <c r="G54" s="155">
        <v>0</v>
      </c>
      <c r="H54" s="148">
        <v>1.0620000000000001</v>
      </c>
      <c r="I54" s="148"/>
      <c r="J54" s="148">
        <v>1.1000000000000001</v>
      </c>
      <c r="K54" s="155">
        <f>F54*H54</f>
        <v>17586.72</v>
      </c>
      <c r="L54" s="155">
        <f>G54*J54</f>
        <v>0</v>
      </c>
      <c r="M54" s="155">
        <f>K54+L54</f>
        <v>17586.72</v>
      </c>
    </row>
    <row r="55" spans="1:64" hidden="1">
      <c r="A55" s="25" t="s">
        <v>420</v>
      </c>
      <c r="B55" s="25"/>
      <c r="C55" s="25"/>
      <c r="D55" s="25"/>
      <c r="E55" s="25"/>
      <c r="F55" s="155">
        <v>23722.99</v>
      </c>
      <c r="G55" s="155">
        <v>0</v>
      </c>
      <c r="H55" s="148">
        <v>1.0620000000000001</v>
      </c>
      <c r="I55" s="148"/>
      <c r="J55" s="148">
        <v>1.1000000000000001</v>
      </c>
      <c r="K55" s="155">
        <f>F55*H55</f>
        <v>25193.815380000004</v>
      </c>
      <c r="L55" s="155">
        <f>G55*J55</f>
        <v>0</v>
      </c>
      <c r="M55" s="155">
        <f>K55+L55</f>
        <v>25193.815380000004</v>
      </c>
    </row>
    <row r="56" spans="1:64" hidden="1">
      <c r="A56" s="25" t="s">
        <v>425</v>
      </c>
      <c r="B56" s="25"/>
      <c r="C56" s="25"/>
      <c r="D56" s="25"/>
      <c r="E56" s="25"/>
      <c r="F56" s="155">
        <f>4279.66</f>
        <v>4279.66</v>
      </c>
      <c r="G56" s="155">
        <v>0</v>
      </c>
      <c r="H56" s="148">
        <v>1.0620000000000001</v>
      </c>
      <c r="I56" s="148"/>
      <c r="J56" s="148">
        <v>1.1000000000000001</v>
      </c>
      <c r="K56" s="155">
        <f>F56*H56</f>
        <v>4544.99892</v>
      </c>
      <c r="L56" s="155">
        <f>G56*J56</f>
        <v>0</v>
      </c>
      <c r="M56" s="155">
        <f>K56+L56</f>
        <v>4544.99892</v>
      </c>
    </row>
    <row r="57" spans="1:64" hidden="1"/>
    <row r="58" spans="1:64" ht="18" hidden="1">
      <c r="A58" s="5639" t="s">
        <v>885</v>
      </c>
      <c r="B58" s="5639"/>
      <c r="C58" s="5639"/>
      <c r="D58" s="5639"/>
      <c r="E58" s="5639"/>
      <c r="F58" s="5639"/>
      <c r="G58" s="5639"/>
      <c r="H58" s="5639"/>
      <c r="I58" s="5639"/>
      <c r="J58" s="5639"/>
      <c r="K58" s="5639"/>
      <c r="L58" s="5639"/>
      <c r="M58" s="5639"/>
    </row>
    <row r="59" spans="1:64" hidden="1"/>
    <row r="60" spans="1:64" ht="63.75" hidden="1">
      <c r="A60" s="25"/>
      <c r="B60" s="25"/>
      <c r="C60" s="25"/>
      <c r="D60" s="25"/>
      <c r="E60" s="25"/>
      <c r="F60" s="1543" t="s">
        <v>882</v>
      </c>
      <c r="G60" s="1543" t="s">
        <v>422</v>
      </c>
      <c r="H60" s="1543" t="s">
        <v>883</v>
      </c>
      <c r="I60" s="1543"/>
      <c r="J60" s="1543" t="s">
        <v>884</v>
      </c>
      <c r="K60" s="338" t="s">
        <v>426</v>
      </c>
      <c r="L60" s="338" t="s">
        <v>427</v>
      </c>
      <c r="M60" s="338" t="s">
        <v>428</v>
      </c>
      <c r="O60" s="5637" t="s">
        <v>1517</v>
      </c>
      <c r="P60" s="5638"/>
      <c r="Q60" s="5638"/>
    </row>
    <row r="61" spans="1:64" hidden="1">
      <c r="A61" s="25" t="s">
        <v>417</v>
      </c>
      <c r="B61" s="25"/>
      <c r="C61" s="25"/>
      <c r="D61" s="25"/>
      <c r="E61" s="25"/>
      <c r="F61" s="155">
        <v>40000</v>
      </c>
      <c r="G61" s="155">
        <f>81375/14000</f>
        <v>5.8125</v>
      </c>
      <c r="H61" s="148">
        <v>1.0940000000000001</v>
      </c>
      <c r="I61" s="148"/>
      <c r="J61" s="148">
        <v>1.1000000000000001</v>
      </c>
      <c r="K61" s="155">
        <f>F61*H61</f>
        <v>43760</v>
      </c>
      <c r="L61" s="155">
        <f>G61*J61</f>
        <v>6.3937500000000007</v>
      </c>
      <c r="M61" s="155">
        <f>K61+L61</f>
        <v>43766.393750000003</v>
      </c>
      <c r="O61" s="2115">
        <v>31190</v>
      </c>
      <c r="P61" s="2115">
        <v>35000</v>
      </c>
      <c r="Q61" s="2115"/>
    </row>
    <row r="62" spans="1:64" hidden="1">
      <c r="A62" s="25" t="s">
        <v>418</v>
      </c>
      <c r="B62" s="25"/>
      <c r="C62" s="25"/>
      <c r="D62" s="25"/>
      <c r="E62" s="25"/>
      <c r="F62" s="155">
        <v>73000</v>
      </c>
      <c r="G62" s="155">
        <v>0</v>
      </c>
      <c r="H62" s="148">
        <f>H61</f>
        <v>1.0940000000000001</v>
      </c>
      <c r="I62" s="148"/>
      <c r="J62" s="148">
        <v>1.1000000000000001</v>
      </c>
      <c r="K62" s="155">
        <f>F62*H62</f>
        <v>79862</v>
      </c>
      <c r="L62" s="155">
        <f>G62*J62</f>
        <v>0</v>
      </c>
      <c r="M62" s="155">
        <f>K62+L62</f>
        <v>79862</v>
      </c>
      <c r="O62" s="2115"/>
      <c r="P62" s="2115"/>
      <c r="Q62" s="2115">
        <v>73000</v>
      </c>
    </row>
    <row r="63" spans="1:64" hidden="1">
      <c r="A63" s="25" t="s">
        <v>419</v>
      </c>
      <c r="B63" s="25"/>
      <c r="C63" s="25"/>
      <c r="D63" s="25"/>
      <c r="E63" s="25"/>
      <c r="F63" s="155">
        <v>13559.32</v>
      </c>
      <c r="G63" s="155">
        <v>0</v>
      </c>
      <c r="H63" s="148">
        <f t="shared" ref="H63:H65" si="38">H62</f>
        <v>1.0940000000000001</v>
      </c>
      <c r="I63" s="148"/>
      <c r="J63" s="148">
        <v>1.1000000000000001</v>
      </c>
      <c r="K63" s="155">
        <f>F63*H63</f>
        <v>14833.89608</v>
      </c>
      <c r="L63" s="155">
        <f>G63*J63</f>
        <v>0</v>
      </c>
      <c r="M63" s="155">
        <f>K63+L63</f>
        <v>14833.89608</v>
      </c>
      <c r="O63" s="2115">
        <v>12838</v>
      </c>
      <c r="P63" s="2115">
        <v>22000</v>
      </c>
      <c r="Q63" s="2115">
        <v>13600</v>
      </c>
    </row>
    <row r="64" spans="1:64" ht="38.25" hidden="1">
      <c r="A64" s="25" t="s">
        <v>420</v>
      </c>
      <c r="B64" s="25"/>
      <c r="C64" s="25"/>
      <c r="D64" s="25"/>
      <c r="E64" s="25"/>
      <c r="F64" s="155">
        <f>24000/1.18</f>
        <v>20338.983050847459</v>
      </c>
      <c r="G64" s="155">
        <v>0</v>
      </c>
      <c r="H64" s="2216" t="s">
        <v>1546</v>
      </c>
      <c r="I64" s="148"/>
      <c r="J64" s="148">
        <v>1.1000000000000001</v>
      </c>
      <c r="K64" s="155">
        <f>28813.56</f>
        <v>28813.56</v>
      </c>
      <c r="L64" s="155">
        <f>G64*J64</f>
        <v>0</v>
      </c>
      <c r="M64" s="155">
        <f>K64+L64</f>
        <v>28813.56</v>
      </c>
      <c r="O64" s="2115"/>
      <c r="P64" s="2115"/>
      <c r="Q64" s="2115"/>
    </row>
    <row r="65" spans="1:17" ht="38.25" hidden="1">
      <c r="A65" s="25" t="s">
        <v>425</v>
      </c>
      <c r="B65" s="25"/>
      <c r="C65" s="25"/>
      <c r="D65" s="25"/>
      <c r="E65" s="25"/>
      <c r="F65" s="155">
        <f>17200/1.18</f>
        <v>14576.271186440679</v>
      </c>
      <c r="G65" s="155">
        <v>0</v>
      </c>
      <c r="H65" s="2216" t="str">
        <f t="shared" si="38"/>
        <v>цена производителя</v>
      </c>
      <c r="I65" s="148"/>
      <c r="J65" s="148">
        <v>1.1000000000000001</v>
      </c>
      <c r="K65" s="155">
        <f>16644.07</f>
        <v>16644.07</v>
      </c>
      <c r="L65" s="155">
        <f>G65*J65</f>
        <v>0</v>
      </c>
      <c r="M65" s="155">
        <f>K65+L65</f>
        <v>16644.07</v>
      </c>
      <c r="O65" s="2115">
        <v>7500</v>
      </c>
      <c r="P65" s="2115"/>
      <c r="Q65" s="2115">
        <v>8000</v>
      </c>
    </row>
    <row r="66" spans="1:17" hidden="1">
      <c r="O66" t="s">
        <v>1518</v>
      </c>
      <c r="P66" t="s">
        <v>1519</v>
      </c>
      <c r="Q66" t="s">
        <v>1520</v>
      </c>
    </row>
    <row r="67" spans="1:17" hidden="1"/>
    <row r="68" spans="1:17" hidden="1"/>
    <row r="69" spans="1:17" hidden="1"/>
    <row r="70" spans="1:17" hidden="1"/>
    <row r="71" spans="1:17" hidden="1"/>
    <row r="72" spans="1:17" hidden="1"/>
    <row r="73" spans="1:17" hidden="1"/>
    <row r="74" spans="1:17" hidden="1"/>
    <row r="75" spans="1:17" hidden="1"/>
    <row r="76" spans="1:17" hidden="1"/>
    <row r="77" spans="1:17" hidden="1"/>
    <row r="78" spans="1:17" hidden="1"/>
    <row r="79" spans="1:17" hidden="1"/>
  </sheetData>
  <mergeCells count="51">
    <mergeCell ref="CP27:CS27"/>
    <mergeCell ref="CT27:CW27"/>
    <mergeCell ref="CX27:DA27"/>
    <mergeCell ref="DB26:DK26"/>
    <mergeCell ref="DB27:DF27"/>
    <mergeCell ref="DG27:DK27"/>
    <mergeCell ref="A1:DK1"/>
    <mergeCell ref="A2:DK2"/>
    <mergeCell ref="CM26:CO28"/>
    <mergeCell ref="CC27:CG27"/>
    <mergeCell ref="CH27:CL27"/>
    <mergeCell ref="CC26:CL26"/>
    <mergeCell ref="A4:A6"/>
    <mergeCell ref="F4:J5"/>
    <mergeCell ref="K4:O5"/>
    <mergeCell ref="B5:E5"/>
    <mergeCell ref="X5:AB5"/>
    <mergeCell ref="P4:W4"/>
    <mergeCell ref="T5:W5"/>
    <mergeCell ref="P5:S5"/>
    <mergeCell ref="BM5:BP5"/>
    <mergeCell ref="CP26:DA26"/>
    <mergeCell ref="CM29:CO39"/>
    <mergeCell ref="CM40:CO46"/>
    <mergeCell ref="BM40:BO46"/>
    <mergeCell ref="AG27:AK27"/>
    <mergeCell ref="AL27:AP27"/>
    <mergeCell ref="BM26:BO28"/>
    <mergeCell ref="BQ26:CB27"/>
    <mergeCell ref="AP4:AP6"/>
    <mergeCell ref="AL5:AO5"/>
    <mergeCell ref="X4:AO4"/>
    <mergeCell ref="BM29:BO39"/>
    <mergeCell ref="AG5:AK5"/>
    <mergeCell ref="BH27:BL27"/>
    <mergeCell ref="BC26:BL26"/>
    <mergeCell ref="AQ27:AT27"/>
    <mergeCell ref="AU27:AX27"/>
    <mergeCell ref="BC27:BG27"/>
    <mergeCell ref="AG26:BB26"/>
    <mergeCell ref="AY27:BB27"/>
    <mergeCell ref="O60:Q60"/>
    <mergeCell ref="A58:M58"/>
    <mergeCell ref="A49:M49"/>
    <mergeCell ref="P27:S27"/>
    <mergeCell ref="T27:Y27"/>
    <mergeCell ref="F27:J27"/>
    <mergeCell ref="A26:A28"/>
    <mergeCell ref="K27:O27"/>
    <mergeCell ref="F26:AF26"/>
    <mergeCell ref="AC27:AF27"/>
  </mergeCells>
  <phoneticPr fontId="9" type="noConversion"/>
  <printOptions horizontalCentered="1"/>
  <pageMargins left="0" right="0" top="1.1417322834645669" bottom="0.35433070866141736" header="0.31496062992125984" footer="0.31496062992125984"/>
  <pageSetup paperSize="9" scale="29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>
  <sheetPr enableFormatConditionsCalculation="0">
    <tabColor rgb="FFFF0000"/>
    <pageSetUpPr fitToPage="1"/>
  </sheetPr>
  <dimension ref="A1:AM31"/>
  <sheetViews>
    <sheetView zoomScale="84" zoomScaleNormal="84" workbookViewId="0">
      <pane xSplit="4" ySplit="20" topLeftCell="T21" activePane="bottomRight" state="frozen"/>
      <selection pane="topRight" activeCell="E1" sqref="E1"/>
      <selection pane="bottomLeft" activeCell="A21" sqref="A21"/>
      <selection pane="bottomRight" activeCell="AL31" sqref="AL31"/>
    </sheetView>
  </sheetViews>
  <sheetFormatPr defaultRowHeight="12.75"/>
  <cols>
    <col min="1" max="1" width="36.140625" customWidth="1"/>
    <col min="2" max="3" width="0" hidden="1" customWidth="1"/>
    <col min="4" max="4" width="2.28515625" hidden="1" customWidth="1"/>
    <col min="5" max="5" width="14.28515625" hidden="1" customWidth="1"/>
    <col min="6" max="6" width="11" hidden="1" customWidth="1"/>
    <col min="7" max="7" width="14" hidden="1" customWidth="1"/>
    <col min="8" max="8" width="12.5703125" hidden="1" customWidth="1"/>
    <col min="9" max="9" width="11.28515625" hidden="1" customWidth="1"/>
    <col min="10" max="11" width="11.140625" hidden="1" customWidth="1"/>
    <col min="12" max="12" width="13.28515625" hidden="1" customWidth="1"/>
    <col min="13" max="13" width="14.7109375" customWidth="1"/>
    <col min="14" max="14" width="10" hidden="1" customWidth="1"/>
    <col min="15" max="15" width="13.5703125" customWidth="1"/>
    <col min="16" max="16" width="11" hidden="1" customWidth="1"/>
    <col min="17" max="17" width="13.5703125" hidden="1" customWidth="1"/>
    <col min="18" max="18" width="12.42578125" hidden="1" customWidth="1"/>
    <col min="19" max="19" width="15.5703125" hidden="1" customWidth="1"/>
    <col min="20" max="20" width="15.5703125" customWidth="1"/>
    <col min="21" max="21" width="14.28515625" customWidth="1"/>
    <col min="22" max="22" width="14.140625" customWidth="1"/>
    <col min="23" max="23" width="11" hidden="1" customWidth="1"/>
    <col min="24" max="24" width="8" hidden="1" customWidth="1"/>
    <col min="25" max="25" width="4.140625" hidden="1" customWidth="1"/>
    <col min="26" max="26" width="12.5703125" hidden="1" customWidth="1"/>
    <col min="27" max="27" width="12.42578125" hidden="1" customWidth="1"/>
    <col min="28" max="29" width="15.7109375" hidden="1" customWidth="1"/>
    <col min="30" max="32" width="15.7109375" customWidth="1"/>
    <col min="33" max="33" width="15.7109375" hidden="1" customWidth="1"/>
    <col min="34" max="38" width="15.7109375" customWidth="1"/>
  </cols>
  <sheetData>
    <row r="1" spans="1:38">
      <c r="A1" s="5021" t="s">
        <v>1534</v>
      </c>
      <c r="B1" s="5021"/>
      <c r="C1" s="5021"/>
      <c r="D1" s="5021"/>
      <c r="E1" s="5021"/>
      <c r="F1" s="5021"/>
      <c r="G1" s="5021"/>
      <c r="H1" s="5021"/>
      <c r="I1" s="5021"/>
      <c r="J1" s="5021"/>
      <c r="K1" s="5021"/>
      <c r="L1" s="5021"/>
      <c r="M1" s="5021"/>
      <c r="N1" s="5021"/>
      <c r="O1" s="5021"/>
      <c r="P1" s="5021"/>
      <c r="Q1" s="5021"/>
      <c r="R1" s="5021"/>
      <c r="S1" s="5021"/>
      <c r="T1" s="5021"/>
      <c r="U1" s="5021"/>
      <c r="V1" s="5021"/>
      <c r="W1" s="5021"/>
      <c r="X1" s="5021"/>
      <c r="Y1" s="5021"/>
      <c r="Z1" s="5021"/>
      <c r="AA1" s="5021"/>
      <c r="AB1" s="5021"/>
      <c r="AC1" s="5021"/>
      <c r="AD1" s="5021"/>
      <c r="AE1" s="5021"/>
      <c r="AF1" s="5021"/>
      <c r="AG1" s="5021"/>
      <c r="AH1" s="5021"/>
      <c r="AI1" s="5021"/>
      <c r="AJ1" s="5021"/>
      <c r="AK1" s="4894"/>
      <c r="AL1" s="4894"/>
    </row>
    <row r="2" spans="1:38" ht="15.75" customHeight="1">
      <c r="A2" s="5726" t="s">
        <v>369</v>
      </c>
      <c r="B2" s="5726"/>
      <c r="C2" s="5726"/>
      <c r="D2" s="5726"/>
      <c r="E2" s="5726"/>
      <c r="F2" s="5726"/>
      <c r="G2" s="5726"/>
      <c r="H2" s="5726"/>
      <c r="I2" s="5726"/>
      <c r="J2" s="5726"/>
      <c r="K2" s="5726"/>
      <c r="L2" s="5726"/>
      <c r="M2" s="5726"/>
      <c r="N2" s="5726"/>
      <c r="O2" s="5726"/>
      <c r="P2" s="5726"/>
      <c r="Q2" s="5726"/>
      <c r="R2" s="5726"/>
      <c r="S2" s="5726"/>
      <c r="T2" s="5726"/>
      <c r="U2" s="5726"/>
      <c r="V2" s="5726"/>
      <c r="W2" s="5726"/>
      <c r="X2" s="5726"/>
      <c r="Y2" s="5726"/>
      <c r="Z2" s="5727"/>
      <c r="AA2" s="5727"/>
      <c r="AB2" s="5727"/>
      <c r="AC2" s="5727"/>
      <c r="AD2" s="5727"/>
      <c r="AE2" s="5727"/>
      <c r="AF2" s="5727"/>
      <c r="AG2" s="5727"/>
      <c r="AH2" s="5727"/>
      <c r="AI2" s="5727"/>
      <c r="AJ2" s="5727"/>
      <c r="AK2" s="4894"/>
      <c r="AL2" s="4894"/>
    </row>
    <row r="3" spans="1:38" ht="15.75" hidden="1">
      <c r="A3" s="5205"/>
      <c r="B3" s="5157" t="s">
        <v>58</v>
      </c>
      <c r="C3" s="5463" t="s">
        <v>59</v>
      </c>
      <c r="D3" s="5463"/>
      <c r="E3" s="5729" t="s">
        <v>67</v>
      </c>
      <c r="F3" s="5729"/>
      <c r="G3" s="5733" t="s">
        <v>95</v>
      </c>
      <c r="H3" s="5734"/>
      <c r="I3" s="5733" t="s">
        <v>124</v>
      </c>
      <c r="J3" s="5754"/>
      <c r="K3" s="5754"/>
      <c r="L3" s="5755"/>
      <c r="M3" s="5754"/>
      <c r="N3" s="5734"/>
      <c r="O3" s="5729" t="s">
        <v>163</v>
      </c>
      <c r="P3" s="5729"/>
      <c r="Q3" s="5730"/>
      <c r="R3" s="5730"/>
      <c r="S3" s="5731"/>
      <c r="T3" s="5732"/>
      <c r="U3" s="5730"/>
      <c r="V3" s="5730"/>
      <c r="W3" s="5730"/>
      <c r="X3" s="5729"/>
      <c r="Y3" s="5729"/>
      <c r="Z3" s="5729"/>
      <c r="AA3" s="5729"/>
    </row>
    <row r="4" spans="1:38" ht="12.75" hidden="1" customHeight="1">
      <c r="A4" s="5205"/>
      <c r="B4" s="5158"/>
      <c r="C4" s="5735" t="s">
        <v>61</v>
      </c>
      <c r="D4" s="5735" t="s">
        <v>62</v>
      </c>
      <c r="E4" s="5735" t="s">
        <v>61</v>
      </c>
      <c r="F4" s="5735" t="s">
        <v>66</v>
      </c>
      <c r="G4" s="5157" t="s">
        <v>61</v>
      </c>
      <c r="H4" s="5157" t="s">
        <v>112</v>
      </c>
      <c r="I4" s="5735" t="s">
        <v>86</v>
      </c>
      <c r="J4" s="5157" t="s">
        <v>63</v>
      </c>
      <c r="K4" s="5157" t="s">
        <v>110</v>
      </c>
      <c r="L4" s="764"/>
      <c r="M4" s="5157" t="s">
        <v>61</v>
      </c>
      <c r="N4" s="5157" t="s">
        <v>169</v>
      </c>
      <c r="O4" s="5735" t="s">
        <v>96</v>
      </c>
      <c r="P4" s="5735" t="s">
        <v>161</v>
      </c>
      <c r="Q4" s="852"/>
      <c r="R4" s="852"/>
      <c r="S4" s="2381"/>
      <c r="T4" s="2684"/>
      <c r="U4" s="852"/>
      <c r="V4" s="852"/>
      <c r="W4" s="852"/>
      <c r="X4" s="5735" t="s">
        <v>247</v>
      </c>
      <c r="Y4" s="5735" t="s">
        <v>248</v>
      </c>
      <c r="Z4" s="5157" t="s">
        <v>249</v>
      </c>
      <c r="AA4" s="5157" t="s">
        <v>61</v>
      </c>
    </row>
    <row r="5" spans="1:38" ht="27.75" hidden="1" customHeight="1">
      <c r="A5" s="5205"/>
      <c r="B5" s="5728"/>
      <c r="C5" s="5735"/>
      <c r="D5" s="5735"/>
      <c r="E5" s="5735"/>
      <c r="F5" s="5735"/>
      <c r="G5" s="5728"/>
      <c r="H5" s="5728"/>
      <c r="I5" s="5735"/>
      <c r="J5" s="5728"/>
      <c r="K5" s="5728"/>
      <c r="L5" s="677"/>
      <c r="M5" s="5728"/>
      <c r="N5" s="5728"/>
      <c r="O5" s="5735"/>
      <c r="P5" s="5735"/>
      <c r="Q5" s="852"/>
      <c r="R5" s="852"/>
      <c r="S5" s="2381"/>
      <c r="T5" s="2684"/>
      <c r="U5" s="852"/>
      <c r="V5" s="852"/>
      <c r="W5" s="852"/>
      <c r="X5" s="5735"/>
      <c r="Y5" s="5735"/>
      <c r="Z5" s="5728"/>
      <c r="AA5" s="5728"/>
    </row>
    <row r="6" spans="1:38" hidden="1">
      <c r="A6" s="3" t="s">
        <v>85</v>
      </c>
      <c r="B6" s="4">
        <f>вода!B10</f>
        <v>332.4</v>
      </c>
      <c r="C6" s="4">
        <f>вода!C10</f>
        <v>358.9</v>
      </c>
      <c r="D6" s="6">
        <f t="shared" ref="D6:D15" si="0">C6/B6*100</f>
        <v>107.97232250300843</v>
      </c>
      <c r="E6" s="11">
        <v>315.89999999999998</v>
      </c>
      <c r="F6" s="6">
        <f>E6/C6*100</f>
        <v>88.018946781833378</v>
      </c>
      <c r="G6" s="17">
        <v>2033.4</v>
      </c>
      <c r="H6" s="6">
        <f t="shared" ref="H6:H15" si="1">G6/E6*100</f>
        <v>643.68471035137713</v>
      </c>
      <c r="I6" s="4">
        <v>1050</v>
      </c>
      <c r="J6" s="4">
        <v>710.4</v>
      </c>
      <c r="K6" s="4"/>
      <c r="L6" s="767"/>
      <c r="M6" s="136">
        <v>3765.8</v>
      </c>
      <c r="N6" s="6">
        <f>M6/G6*100</f>
        <v>185.19720664896232</v>
      </c>
      <c r="O6" s="136">
        <v>3856</v>
      </c>
      <c r="P6" s="6">
        <f>O6/M6*100</f>
        <v>102.39524138297307</v>
      </c>
      <c r="Q6" s="769"/>
      <c r="R6" s="769"/>
      <c r="S6" s="2382"/>
      <c r="T6" s="2685"/>
      <c r="U6" s="769"/>
      <c r="V6" s="769"/>
      <c r="W6" s="769"/>
      <c r="X6" s="136">
        <f>вода!Q10</f>
        <v>3772</v>
      </c>
      <c r="Y6" s="136">
        <v>2819.3</v>
      </c>
      <c r="Z6" s="136">
        <v>3772</v>
      </c>
      <c r="AA6" s="136">
        <v>3756.7</v>
      </c>
    </row>
    <row r="7" spans="1:38" hidden="1">
      <c r="A7" s="3" t="s">
        <v>87</v>
      </c>
      <c r="B7" s="4">
        <f>вода!B20</f>
        <v>401</v>
      </c>
      <c r="C7" s="4">
        <f>вода!C20</f>
        <v>472.2</v>
      </c>
      <c r="D7" s="6">
        <f t="shared" si="0"/>
        <v>117.75561097256858</v>
      </c>
      <c r="E7" s="11">
        <v>481.5</v>
      </c>
      <c r="F7" s="6">
        <f t="shared" ref="F7:F14" si="2">E7/C7*100</f>
        <v>101.96950444726811</v>
      </c>
      <c r="G7" s="17">
        <v>520.1</v>
      </c>
      <c r="H7" s="6">
        <f t="shared" si="1"/>
        <v>108.01661474558671</v>
      </c>
      <c r="I7" s="4">
        <v>542</v>
      </c>
      <c r="J7" s="4">
        <v>270</v>
      </c>
      <c r="K7" s="4"/>
      <c r="L7" s="767"/>
      <c r="M7" s="136">
        <v>535</v>
      </c>
      <c r="N7" s="6">
        <f>M7/G7*100</f>
        <v>102.86483368582964</v>
      </c>
      <c r="O7" s="136">
        <v>638</v>
      </c>
      <c r="P7" s="6">
        <f t="shared" ref="P7:P15" si="3">O7/M7*100</f>
        <v>119.25233644859814</v>
      </c>
      <c r="Q7" s="769"/>
      <c r="R7" s="769"/>
      <c r="S7" s="2382"/>
      <c r="T7" s="2685"/>
      <c r="U7" s="769"/>
      <c r="V7" s="769"/>
      <c r="W7" s="769"/>
      <c r="X7" s="136">
        <f>вода!Q20</f>
        <v>542</v>
      </c>
      <c r="Y7" s="136">
        <v>461.2</v>
      </c>
      <c r="Z7" s="136">
        <v>564</v>
      </c>
      <c r="AA7" s="136">
        <v>635.20000000000005</v>
      </c>
    </row>
    <row r="8" spans="1:38" hidden="1">
      <c r="A8" s="3" t="s">
        <v>88</v>
      </c>
      <c r="B8" s="4">
        <f>вода!B29</f>
        <v>332.9</v>
      </c>
      <c r="C8" s="4">
        <f>вода!C29</f>
        <v>352.9</v>
      </c>
      <c r="D8" s="6">
        <f t="shared" si="0"/>
        <v>106.00781015319916</v>
      </c>
      <c r="E8" s="11">
        <v>309.2</v>
      </c>
      <c r="F8" s="6">
        <f t="shared" si="2"/>
        <v>87.616888637007648</v>
      </c>
      <c r="G8" s="17">
        <v>258.2</v>
      </c>
      <c r="H8" s="6">
        <f t="shared" si="1"/>
        <v>83.505821474773612</v>
      </c>
      <c r="I8" s="4">
        <v>257</v>
      </c>
      <c r="J8" s="4">
        <v>162</v>
      </c>
      <c r="K8" s="4"/>
      <c r="L8" s="767"/>
      <c r="M8" s="136">
        <v>272.89999999999998</v>
      </c>
      <c r="N8" s="6">
        <f>M8/G8*100</f>
        <v>105.69326103795507</v>
      </c>
      <c r="O8" s="136">
        <v>257</v>
      </c>
      <c r="P8" s="6">
        <f t="shared" si="3"/>
        <v>94.173689996335668</v>
      </c>
      <c r="Q8" s="769"/>
      <c r="R8" s="769"/>
      <c r="S8" s="2382"/>
      <c r="T8" s="2685"/>
      <c r="U8" s="769"/>
      <c r="V8" s="769"/>
      <c r="W8" s="769"/>
      <c r="X8" s="136">
        <f>вода!Q29</f>
        <v>257</v>
      </c>
      <c r="Y8" s="136">
        <v>205.4</v>
      </c>
      <c r="Z8" s="136">
        <v>293</v>
      </c>
      <c r="AA8" s="136">
        <v>272.89999999999998</v>
      </c>
    </row>
    <row r="9" spans="1:38" hidden="1">
      <c r="A9" s="3" t="s">
        <v>89</v>
      </c>
      <c r="B9" s="4">
        <f>вода!B36</f>
        <v>928.8</v>
      </c>
      <c r="C9" s="4">
        <f>вода!C36</f>
        <v>1802</v>
      </c>
      <c r="D9" s="6">
        <f t="shared" si="0"/>
        <v>194.01378122308356</v>
      </c>
      <c r="E9" s="11">
        <v>1837.4</v>
      </c>
      <c r="F9" s="6">
        <f t="shared" si="2"/>
        <v>101.96448390677027</v>
      </c>
      <c r="G9" s="17">
        <v>2253.5</v>
      </c>
      <c r="H9" s="6">
        <f t="shared" si="1"/>
        <v>122.6461304016545</v>
      </c>
      <c r="I9" s="4">
        <v>2250</v>
      </c>
      <c r="J9" s="4">
        <v>1416</v>
      </c>
      <c r="K9" s="4"/>
      <c r="L9" s="767"/>
      <c r="M9" s="136">
        <v>2598.4</v>
      </c>
      <c r="N9" s="6">
        <f>M9/G9*100</f>
        <v>115.30508098513424</v>
      </c>
      <c r="O9" s="136">
        <v>3264</v>
      </c>
      <c r="P9" s="6">
        <f t="shared" si="3"/>
        <v>125.61576354679802</v>
      </c>
      <c r="Q9" s="769"/>
      <c r="R9" s="769"/>
      <c r="S9" s="2382"/>
      <c r="T9" s="2685"/>
      <c r="U9" s="769"/>
      <c r="V9" s="769"/>
      <c r="W9" s="769"/>
      <c r="X9" s="136">
        <f>вода!Q36</f>
        <v>2628</v>
      </c>
      <c r="Y9" s="136">
        <v>2012.2</v>
      </c>
      <c r="Z9" s="136">
        <v>2662</v>
      </c>
      <c r="AA9" s="136">
        <v>2690.2</v>
      </c>
    </row>
    <row r="10" spans="1:38" hidden="1">
      <c r="A10" s="8" t="s">
        <v>90</v>
      </c>
      <c r="B10" s="9">
        <f>SUM(B6:B9)</f>
        <v>1995.1</v>
      </c>
      <c r="C10" s="9">
        <f>SUM(C6:C9)</f>
        <v>2986</v>
      </c>
      <c r="D10" s="6">
        <f t="shared" si="0"/>
        <v>149.66668337426697</v>
      </c>
      <c r="E10" s="10">
        <f>SUM(E6:E9)</f>
        <v>2944</v>
      </c>
      <c r="F10" s="10">
        <f>SUM(F6:F9)</f>
        <v>379.56982377287943</v>
      </c>
      <c r="G10" s="10">
        <f>SUM(G6:G9)</f>
        <v>5065.2</v>
      </c>
      <c r="H10" s="6">
        <f t="shared" si="1"/>
        <v>172.0516304347826</v>
      </c>
      <c r="I10" s="9">
        <f>SUM(I6:I9)</f>
        <v>4099</v>
      </c>
      <c r="J10" s="9">
        <f>SUM(J6:J9)</f>
        <v>2558.4</v>
      </c>
      <c r="K10" s="9">
        <f>SUM(K6:K9)</f>
        <v>0</v>
      </c>
      <c r="L10" s="849"/>
      <c r="M10" s="135">
        <f>SUM(M6:M9)</f>
        <v>7172.1</v>
      </c>
      <c r="N10" s="6">
        <f>M10/G10*100</f>
        <v>141.59559346126511</v>
      </c>
      <c r="O10" s="135">
        <f>SUM(O6:O9)</f>
        <v>8015</v>
      </c>
      <c r="P10" s="6">
        <f t="shared" si="3"/>
        <v>111.75248532507911</v>
      </c>
      <c r="Q10" s="769"/>
      <c r="R10" s="769"/>
      <c r="S10" s="2382"/>
      <c r="T10" s="2685"/>
      <c r="U10" s="769"/>
      <c r="V10" s="769"/>
      <c r="W10" s="769"/>
      <c r="X10" s="135">
        <f>SUM(X6:X9)</f>
        <v>7199</v>
      </c>
      <c r="Y10" s="135">
        <f>SUM(Y6:Y9)</f>
        <v>5498.1</v>
      </c>
      <c r="Z10" s="135">
        <f>SUM(Z6:Z9)</f>
        <v>7291</v>
      </c>
      <c r="AA10" s="135">
        <f>SUM(AA6:AA9)</f>
        <v>7354.9999999999991</v>
      </c>
    </row>
    <row r="11" spans="1:38" hidden="1">
      <c r="A11" s="3" t="s">
        <v>91</v>
      </c>
      <c r="B11" s="4">
        <f>стоки!B10</f>
        <v>207.4</v>
      </c>
      <c r="C11" s="4">
        <f>стоки!C10</f>
        <v>234.2</v>
      </c>
      <c r="D11" s="6">
        <f t="shared" si="0"/>
        <v>112.92189006750239</v>
      </c>
      <c r="E11" s="11">
        <v>211</v>
      </c>
      <c r="F11" s="6">
        <f t="shared" si="2"/>
        <v>90.093936806148605</v>
      </c>
      <c r="G11" s="11">
        <v>222</v>
      </c>
      <c r="H11" s="6">
        <f t="shared" si="1"/>
        <v>105.21327014218009</v>
      </c>
      <c r="I11" s="4">
        <v>206.5</v>
      </c>
      <c r="J11" s="4"/>
      <c r="K11" s="11"/>
      <c r="L11" s="765"/>
      <c r="M11" s="136">
        <v>247.9</v>
      </c>
      <c r="N11" s="6">
        <f>M11/E11*100</f>
        <v>117.48815165876778</v>
      </c>
      <c r="O11" s="136">
        <v>216.8</v>
      </c>
      <c r="P11" s="6">
        <f t="shared" si="3"/>
        <v>87.454618797902384</v>
      </c>
      <c r="Q11" s="769"/>
      <c r="R11" s="769"/>
      <c r="S11" s="2382"/>
      <c r="T11" s="2685"/>
      <c r="U11" s="769"/>
      <c r="V11" s="769"/>
      <c r="W11" s="769"/>
      <c r="X11" s="136">
        <f>стоки!P10</f>
        <v>206.5</v>
      </c>
      <c r="Y11" s="136">
        <v>192.7</v>
      </c>
      <c r="Z11" s="136">
        <v>267.60000000000002</v>
      </c>
      <c r="AA11" s="136">
        <v>256.93</v>
      </c>
    </row>
    <row r="12" spans="1:38" hidden="1">
      <c r="A12" s="3" t="s">
        <v>92</v>
      </c>
      <c r="B12" s="4">
        <f>стоки!B20</f>
        <v>1528</v>
      </c>
      <c r="C12" s="4">
        <f>стоки!C20</f>
        <v>1086.5999999999999</v>
      </c>
      <c r="D12" s="6">
        <f t="shared" si="0"/>
        <v>71.112565445026178</v>
      </c>
      <c r="E12" s="11">
        <v>1110.8</v>
      </c>
      <c r="F12" s="6">
        <f t="shared" si="2"/>
        <v>102.2271304988036</v>
      </c>
      <c r="G12" s="11">
        <v>1175.3</v>
      </c>
      <c r="H12" s="6">
        <f t="shared" si="1"/>
        <v>105.80662585523947</v>
      </c>
      <c r="I12" s="4">
        <v>1250</v>
      </c>
      <c r="J12" s="4"/>
      <c r="K12" s="4"/>
      <c r="L12" s="767"/>
      <c r="M12" s="136">
        <v>994.7</v>
      </c>
      <c r="N12" s="6">
        <f>M12/E12*100</f>
        <v>89.548073460568972</v>
      </c>
      <c r="O12" s="136">
        <v>1312.5</v>
      </c>
      <c r="P12" s="6">
        <f t="shared" si="3"/>
        <v>131.94933145672061</v>
      </c>
      <c r="Q12" s="769"/>
      <c r="R12" s="769"/>
      <c r="S12" s="2382"/>
      <c r="T12" s="2685"/>
      <c r="U12" s="769"/>
      <c r="V12" s="769"/>
      <c r="W12" s="769"/>
      <c r="X12" s="136">
        <f>стоки!P20</f>
        <v>1281</v>
      </c>
      <c r="Y12" s="136">
        <v>720.7</v>
      </c>
      <c r="Z12" s="136">
        <v>1281</v>
      </c>
      <c r="AA12" s="136">
        <v>960.93</v>
      </c>
    </row>
    <row r="13" spans="1:38" hidden="1">
      <c r="A13" s="3" t="s">
        <v>93</v>
      </c>
      <c r="B13" s="4">
        <f>стоки!B32</f>
        <v>46.2</v>
      </c>
      <c r="C13" s="4">
        <f>стоки!C32</f>
        <v>0</v>
      </c>
      <c r="D13" s="6">
        <f t="shared" si="0"/>
        <v>0</v>
      </c>
      <c r="E13" s="11">
        <v>18.899999999999999</v>
      </c>
      <c r="F13" s="6"/>
      <c r="G13" s="11">
        <v>25.5</v>
      </c>
      <c r="H13" s="6">
        <f t="shared" si="1"/>
        <v>134.92063492063494</v>
      </c>
      <c r="I13" s="4">
        <v>26.4</v>
      </c>
      <c r="J13" s="4"/>
      <c r="K13" s="4"/>
      <c r="L13" s="767"/>
      <c r="M13" s="136">
        <v>25.5</v>
      </c>
      <c r="N13" s="6">
        <f>M13/E13*100</f>
        <v>134.92063492063494</v>
      </c>
      <c r="O13" s="136">
        <v>27.7</v>
      </c>
      <c r="P13" s="6">
        <f t="shared" si="3"/>
        <v>108.62745098039215</v>
      </c>
      <c r="Q13" s="769"/>
      <c r="R13" s="769"/>
      <c r="S13" s="2382"/>
      <c r="T13" s="2685"/>
      <c r="U13" s="769"/>
      <c r="V13" s="769"/>
      <c r="W13" s="769"/>
      <c r="X13" s="136">
        <f>стоки!P32</f>
        <v>26.4</v>
      </c>
      <c r="Y13" s="136">
        <v>18.899999999999999</v>
      </c>
      <c r="Z13" s="136">
        <v>26.4</v>
      </c>
      <c r="AA13" s="136">
        <v>25.2</v>
      </c>
    </row>
    <row r="14" spans="1:38" hidden="1">
      <c r="A14" s="3" t="s">
        <v>89</v>
      </c>
      <c r="B14" s="4">
        <f>стоки!B35</f>
        <v>1184.9000000000001</v>
      </c>
      <c r="C14" s="4">
        <f>стоки!C35</f>
        <v>1102.8</v>
      </c>
      <c r="D14" s="6">
        <f t="shared" si="0"/>
        <v>93.071145244324399</v>
      </c>
      <c r="E14" s="11">
        <v>1090</v>
      </c>
      <c r="F14" s="6">
        <f t="shared" si="2"/>
        <v>98.839318099383391</v>
      </c>
      <c r="G14" s="11">
        <v>3280</v>
      </c>
      <c r="H14" s="6">
        <f t="shared" si="1"/>
        <v>300.91743119266056</v>
      </c>
      <c r="I14" s="4">
        <v>2025</v>
      </c>
      <c r="J14" s="4"/>
      <c r="K14" s="4"/>
      <c r="L14" s="767"/>
      <c r="M14" s="136">
        <v>3595</v>
      </c>
      <c r="N14" s="6">
        <f>M14/E14*100</f>
        <v>329.81651376146789</v>
      </c>
      <c r="O14" s="136">
        <v>3791.1</v>
      </c>
      <c r="P14" s="6">
        <f t="shared" si="3"/>
        <v>105.4547983310153</v>
      </c>
      <c r="Q14" s="769"/>
      <c r="R14" s="769"/>
      <c r="S14" s="2382"/>
      <c r="T14" s="2685"/>
      <c r="U14" s="769"/>
      <c r="V14" s="769"/>
      <c r="W14" s="769"/>
      <c r="X14" s="136">
        <f>стоки!P35</f>
        <v>2025</v>
      </c>
      <c r="Y14" s="136">
        <v>2658.5</v>
      </c>
      <c r="Z14" s="136">
        <v>3595</v>
      </c>
      <c r="AA14" s="136">
        <v>3544.67</v>
      </c>
    </row>
    <row r="15" spans="1:38" hidden="1">
      <c r="A15" s="8" t="s">
        <v>94</v>
      </c>
      <c r="B15" s="9">
        <f>SUM(B11:B14)</f>
        <v>2966.5</v>
      </c>
      <c r="C15" s="9">
        <f>SUM(C11:C14)</f>
        <v>2423.6</v>
      </c>
      <c r="D15" s="6">
        <f t="shared" si="0"/>
        <v>81.698971852351249</v>
      </c>
      <c r="E15" s="10">
        <f>SUM(E11:E14)</f>
        <v>2430.6999999999998</v>
      </c>
      <c r="F15" s="10">
        <f>SUM(F11:F14)</f>
        <v>291.16038540433561</v>
      </c>
      <c r="G15" s="10">
        <f>SUM(G11:G14)</f>
        <v>4702.8</v>
      </c>
      <c r="H15" s="6">
        <f t="shared" si="1"/>
        <v>193.47513062080884</v>
      </c>
      <c r="I15" s="9">
        <f>SUM(I11:I14)</f>
        <v>3507.9</v>
      </c>
      <c r="J15" s="9">
        <f>SUM(J11:J14)</f>
        <v>0</v>
      </c>
      <c r="K15" s="10">
        <f>SUM(K11:K14)</f>
        <v>0</v>
      </c>
      <c r="L15" s="850"/>
      <c r="M15" s="135">
        <f>SUM(M11:M14)</f>
        <v>4863.1000000000004</v>
      </c>
      <c r="N15" s="6">
        <f>M15/E15*100</f>
        <v>200.06993870078583</v>
      </c>
      <c r="O15" s="135">
        <f>SUM(O11:O14)</f>
        <v>5348.1</v>
      </c>
      <c r="P15" s="6">
        <f t="shared" si="3"/>
        <v>109.97306244987766</v>
      </c>
      <c r="Q15" s="769"/>
      <c r="R15" s="769"/>
      <c r="S15" s="2382"/>
      <c r="T15" s="2685"/>
      <c r="U15" s="769"/>
      <c r="V15" s="769"/>
      <c r="W15" s="769"/>
      <c r="X15" s="135">
        <f>SUM(X11:X14)</f>
        <v>3538.9</v>
      </c>
      <c r="Y15" s="135">
        <f>SUM(Y11:Y14)</f>
        <v>3590.8</v>
      </c>
      <c r="Z15" s="135">
        <f>SUM(Z11:Z14)</f>
        <v>5170</v>
      </c>
      <c r="AA15" s="135">
        <f>SUM(AA11:AA14)</f>
        <v>4787.7299999999996</v>
      </c>
    </row>
    <row r="16" spans="1:38" hidden="1"/>
    <row r="17" spans="1:39" ht="13.5" thickBot="1"/>
    <row r="18" spans="1:39" ht="19.5" thickBot="1">
      <c r="A18" s="5160" t="s">
        <v>545</v>
      </c>
      <c r="B18" s="2097"/>
      <c r="C18" s="2097"/>
      <c r="D18" s="2097"/>
      <c r="E18" s="5738" t="s">
        <v>238</v>
      </c>
      <c r="F18" s="5739"/>
      <c r="G18" s="5739"/>
      <c r="H18" s="5739"/>
      <c r="I18" s="5739"/>
      <c r="J18" s="5739"/>
      <c r="K18" s="5739"/>
      <c r="L18" s="5740"/>
      <c r="M18" s="5762" t="s">
        <v>379</v>
      </c>
      <c r="N18" s="5763"/>
      <c r="O18" s="5763"/>
      <c r="P18" s="5763"/>
      <c r="Q18" s="5260"/>
      <c r="R18" s="5260"/>
      <c r="S18" s="5260"/>
      <c r="T18" s="5261"/>
      <c r="U18" s="5738" t="s">
        <v>832</v>
      </c>
      <c r="V18" s="5741"/>
      <c r="W18" s="5742"/>
      <c r="X18" s="5765" t="s">
        <v>246</v>
      </c>
      <c r="Y18" s="5766"/>
      <c r="Z18" s="292"/>
      <c r="AA18" s="292"/>
      <c r="AB18" s="3325" t="s">
        <v>1658</v>
      </c>
      <c r="AC18" s="3326"/>
      <c r="AD18" s="5787" t="s">
        <v>1658</v>
      </c>
      <c r="AE18" s="5062" t="s">
        <v>911</v>
      </c>
      <c r="AF18" s="5784"/>
      <c r="AG18" s="5785"/>
      <c r="AH18" s="5220" t="s">
        <v>1897</v>
      </c>
      <c r="AI18" s="5774"/>
      <c r="AJ18" s="5775"/>
      <c r="AK18" s="5721" t="s">
        <v>1849</v>
      </c>
      <c r="AL18" s="5721"/>
      <c r="AM18" s="833"/>
    </row>
    <row r="19" spans="1:39" ht="12.75" customHeight="1">
      <c r="A19" s="5771"/>
      <c r="B19" s="2098"/>
      <c r="C19" s="2098"/>
      <c r="D19" s="2098"/>
      <c r="E19" s="5743" t="s">
        <v>572</v>
      </c>
      <c r="F19" s="2677" t="s">
        <v>170</v>
      </c>
      <c r="G19" s="5772" t="s">
        <v>573</v>
      </c>
      <c r="H19" s="5772" t="s">
        <v>574</v>
      </c>
      <c r="I19" s="5772" t="s">
        <v>387</v>
      </c>
      <c r="J19" s="2677" t="s">
        <v>249</v>
      </c>
      <c r="K19" s="2677"/>
      <c r="L19" s="5760" t="s">
        <v>831</v>
      </c>
      <c r="M19" s="5753" t="s">
        <v>572</v>
      </c>
      <c r="N19" s="5758" t="s">
        <v>170</v>
      </c>
      <c r="O19" s="5758" t="s">
        <v>573</v>
      </c>
      <c r="P19" s="5758" t="s">
        <v>835</v>
      </c>
      <c r="Q19" s="5758" t="s">
        <v>574</v>
      </c>
      <c r="R19" s="5758" t="s">
        <v>387</v>
      </c>
      <c r="S19" s="5758" t="s">
        <v>1649</v>
      </c>
      <c r="T19" s="5745" t="s">
        <v>1650</v>
      </c>
      <c r="U19" s="5743" t="s">
        <v>572</v>
      </c>
      <c r="V19" s="5745" t="s">
        <v>573</v>
      </c>
      <c r="W19" s="5747" t="s">
        <v>834</v>
      </c>
      <c r="X19" s="5767"/>
      <c r="Y19" s="5768"/>
      <c r="Z19" s="292"/>
      <c r="AA19" s="292"/>
      <c r="AB19" s="5745" t="s">
        <v>574</v>
      </c>
      <c r="AC19" s="5782" t="s">
        <v>387</v>
      </c>
      <c r="AD19" s="5788"/>
      <c r="AE19" s="5722" t="s">
        <v>572</v>
      </c>
      <c r="AF19" s="5786" t="s">
        <v>573</v>
      </c>
      <c r="AG19" s="5724" t="s">
        <v>1666</v>
      </c>
      <c r="AH19" s="5776" t="s">
        <v>598</v>
      </c>
      <c r="AI19" s="5778" t="s">
        <v>229</v>
      </c>
      <c r="AJ19" s="5780" t="s">
        <v>1899</v>
      </c>
      <c r="AK19" s="5722" t="s">
        <v>572</v>
      </c>
      <c r="AL19" s="5724" t="s">
        <v>573</v>
      </c>
      <c r="AM19" s="833"/>
    </row>
    <row r="20" spans="1:39" ht="23.25" customHeight="1" thickBot="1">
      <c r="A20" s="5252"/>
      <c r="B20" s="2099"/>
      <c r="C20" s="2099"/>
      <c r="D20" s="2099"/>
      <c r="E20" s="5176"/>
      <c r="F20" s="2678"/>
      <c r="G20" s="5773"/>
      <c r="H20" s="5773"/>
      <c r="I20" s="5773"/>
      <c r="J20" s="2678"/>
      <c r="K20" s="2678"/>
      <c r="L20" s="5761"/>
      <c r="M20" s="5744"/>
      <c r="N20" s="5759"/>
      <c r="O20" s="5759"/>
      <c r="P20" s="5759"/>
      <c r="Q20" s="5759"/>
      <c r="R20" s="5759"/>
      <c r="S20" s="5759"/>
      <c r="T20" s="5764"/>
      <c r="U20" s="5744"/>
      <c r="V20" s="5746"/>
      <c r="W20" s="5748"/>
      <c r="X20" s="5769"/>
      <c r="Y20" s="5770"/>
      <c r="Z20" s="819"/>
      <c r="AA20" s="819"/>
      <c r="AB20" s="5746"/>
      <c r="AC20" s="5783"/>
      <c r="AD20" s="5789"/>
      <c r="AE20" s="5723"/>
      <c r="AF20" s="5354"/>
      <c r="AG20" s="5725"/>
      <c r="AH20" s="5777"/>
      <c r="AI20" s="5779"/>
      <c r="AJ20" s="5781"/>
      <c r="AK20" s="5723"/>
      <c r="AL20" s="5725"/>
      <c r="AM20" s="833"/>
    </row>
    <row r="21" spans="1:39" ht="24.95" customHeight="1">
      <c r="A21" s="2091" t="s">
        <v>85</v>
      </c>
      <c r="B21" s="438"/>
      <c r="C21" s="438"/>
      <c r="D21" s="438"/>
      <c r="E21" s="2092">
        <v>3847.4</v>
      </c>
      <c r="F21" s="2093" t="e">
        <f>E21/#REF!*100</f>
        <v>#REF!</v>
      </c>
      <c r="G21" s="2094">
        <f>AA6</f>
        <v>3756.7</v>
      </c>
      <c r="H21" s="2094">
        <v>1903.22</v>
      </c>
      <c r="I21" s="2094">
        <v>2781.7</v>
      </c>
      <c r="J21" s="2094">
        <v>3772</v>
      </c>
      <c r="K21" s="2094"/>
      <c r="L21" s="2095">
        <v>3695.7</v>
      </c>
      <c r="M21" s="2092">
        <v>3759.1</v>
      </c>
      <c r="N21" s="2093"/>
      <c r="O21" s="2094">
        <f>M21</f>
        <v>3759.1</v>
      </c>
      <c r="P21" s="2096">
        <f>O21/G21</f>
        <v>1.0006388585726835</v>
      </c>
      <c r="Q21" s="2094">
        <v>1827.75</v>
      </c>
      <c r="R21" s="2094">
        <v>2733.41</v>
      </c>
      <c r="S21" s="2383">
        <f>R21/3*4</f>
        <v>3644.5466666666666</v>
      </c>
      <c r="T21" s="2383">
        <v>3621.84</v>
      </c>
      <c r="U21" s="2813">
        <v>3759.1</v>
      </c>
      <c r="V21" s="2814">
        <f>S21</f>
        <v>3644.5466666666666</v>
      </c>
      <c r="W21" s="2815">
        <f>SUM(V21/O21)</f>
        <v>0.96952639372899541</v>
      </c>
      <c r="X21" s="5756"/>
      <c r="Y21" s="5757"/>
      <c r="AB21" s="2094">
        <v>1784.48</v>
      </c>
      <c r="AC21" s="3593">
        <v>2673.44</v>
      </c>
      <c r="AD21" s="3598">
        <v>3566.58</v>
      </c>
      <c r="AE21" s="1233">
        <f>SUM(T21)</f>
        <v>3621.84</v>
      </c>
      <c r="AF21" s="1234">
        <v>3621.84</v>
      </c>
      <c r="AG21" s="3608">
        <f>SUM(AF21/V21)</f>
        <v>0.99376968694780521</v>
      </c>
      <c r="AH21" s="2825">
        <v>1799.72</v>
      </c>
      <c r="AI21" s="4259">
        <v>2697.54</v>
      </c>
      <c r="AJ21" s="3604">
        <f>SUM(AI21/9*12)</f>
        <v>3596.7200000000003</v>
      </c>
      <c r="AK21" s="1233">
        <f>SUM(AD21)</f>
        <v>3566.58</v>
      </c>
      <c r="AL21" s="4419">
        <f>SUM(AD21)</f>
        <v>3566.58</v>
      </c>
      <c r="AM21" s="833"/>
    </row>
    <row r="22" spans="1:39" ht="24.95" customHeight="1">
      <c r="A22" s="859" t="s">
        <v>87</v>
      </c>
      <c r="B22" s="438"/>
      <c r="C22" s="438"/>
      <c r="D22" s="438"/>
      <c r="E22" s="855">
        <v>575.29999999999995</v>
      </c>
      <c r="F22" s="856" t="e">
        <f>E22/#REF!*100</f>
        <v>#REF!</v>
      </c>
      <c r="G22" s="851">
        <f>E22</f>
        <v>575.29999999999995</v>
      </c>
      <c r="H22" s="851">
        <v>445.93</v>
      </c>
      <c r="I22" s="851">
        <v>753.9</v>
      </c>
      <c r="J22" s="851">
        <v>564</v>
      </c>
      <c r="K22" s="851"/>
      <c r="L22" s="345">
        <v>1043.5999999999999</v>
      </c>
      <c r="M22" s="855">
        <v>721.2</v>
      </c>
      <c r="N22" s="856"/>
      <c r="O22" s="851">
        <f>M22</f>
        <v>721.2</v>
      </c>
      <c r="P22" s="853">
        <f t="shared" ref="P22:P31" si="4">O22/G22</f>
        <v>1.2536068138362595</v>
      </c>
      <c r="Q22" s="851">
        <v>725.7</v>
      </c>
      <c r="R22" s="2085">
        <v>1151.78</v>
      </c>
      <c r="S22" s="2383">
        <f t="shared" ref="S22:S24" si="5">R22/3*4</f>
        <v>1535.7066666666667</v>
      </c>
      <c r="T22" s="2383">
        <v>1561.14</v>
      </c>
      <c r="U22" s="2816">
        <v>721.2</v>
      </c>
      <c r="V22" s="2094">
        <f t="shared" ref="V22:V24" si="6">S22</f>
        <v>1535.7066666666667</v>
      </c>
      <c r="W22" s="2817">
        <f t="shared" ref="W22:W30" si="7">SUM(V22/O22)</f>
        <v>2.1293769643187281</v>
      </c>
      <c r="X22" s="5749"/>
      <c r="Y22" s="5750"/>
      <c r="AB22" s="851">
        <v>808.9</v>
      </c>
      <c r="AC22" s="3594">
        <v>1040.5899999999999</v>
      </c>
      <c r="AD22" s="3599">
        <v>1344.19</v>
      </c>
      <c r="AE22" s="3609">
        <f>SUM(T22)</f>
        <v>1561.14</v>
      </c>
      <c r="AF22" s="378">
        <v>1561.17</v>
      </c>
      <c r="AG22" s="3610">
        <f t="shared" ref="AG22:AG31" si="8">SUM(AF22/V22)</f>
        <v>1.0165808574554169</v>
      </c>
      <c r="AH22" s="3951">
        <v>1150.19</v>
      </c>
      <c r="AI22" s="3952">
        <v>2083.85</v>
      </c>
      <c r="AJ22" s="3606">
        <f t="shared" ref="AJ22:AJ29" si="9">SUM(AI22/9*12)</f>
        <v>2778.4666666666667</v>
      </c>
      <c r="AK22" s="3746">
        <f t="shared" ref="AK22:AK29" si="10">SUM(AD22)</f>
        <v>1344.19</v>
      </c>
      <c r="AL22" s="4395">
        <f t="shared" ref="AL22:AL29" si="11">SUM(AD22)</f>
        <v>1344.19</v>
      </c>
      <c r="AM22" s="833"/>
    </row>
    <row r="23" spans="1:39" ht="24.95" customHeight="1">
      <c r="A23" s="859" t="s">
        <v>88</v>
      </c>
      <c r="B23" s="438"/>
      <c r="C23" s="438"/>
      <c r="D23" s="438"/>
      <c r="E23" s="855">
        <v>298.89999999999998</v>
      </c>
      <c r="F23" s="856" t="e">
        <f>E23/#REF!*100</f>
        <v>#REF!</v>
      </c>
      <c r="G23" s="851">
        <f>AA8</f>
        <v>272.89999999999998</v>
      </c>
      <c r="H23" s="851">
        <v>100.67</v>
      </c>
      <c r="I23" s="851">
        <v>58.6</v>
      </c>
      <c r="J23" s="851">
        <v>293</v>
      </c>
      <c r="K23" s="851"/>
      <c r="L23" s="345">
        <v>72.099999999999994</v>
      </c>
      <c r="M23" s="855">
        <v>273</v>
      </c>
      <c r="N23" s="856"/>
      <c r="O23" s="851">
        <f>M23</f>
        <v>273</v>
      </c>
      <c r="P23" s="853">
        <f t="shared" si="4"/>
        <v>1.0003664345914256</v>
      </c>
      <c r="Q23" s="851">
        <v>26.95</v>
      </c>
      <c r="R23" s="2085">
        <v>40.42</v>
      </c>
      <c r="S23" s="2383">
        <f t="shared" si="5"/>
        <v>53.893333333333338</v>
      </c>
      <c r="T23" s="2383">
        <v>53.89</v>
      </c>
      <c r="U23" s="2816">
        <v>273</v>
      </c>
      <c r="V23" s="2094">
        <f t="shared" si="6"/>
        <v>53.893333333333338</v>
      </c>
      <c r="W23" s="2817">
        <f t="shared" si="7"/>
        <v>0.19741147741147744</v>
      </c>
      <c r="X23" s="5749"/>
      <c r="Y23" s="5750"/>
      <c r="AB23" s="851">
        <v>26.94</v>
      </c>
      <c r="AC23" s="3594">
        <v>40.409999999999997</v>
      </c>
      <c r="AD23" s="3599">
        <v>53.89</v>
      </c>
      <c r="AE23" s="3609">
        <f t="shared" ref="AE23:AE29" si="12">SUM(T23)</f>
        <v>53.89</v>
      </c>
      <c r="AF23" s="378">
        <v>53.89</v>
      </c>
      <c r="AG23" s="3610">
        <f t="shared" si="8"/>
        <v>0.9999381494309747</v>
      </c>
      <c r="AH23" s="3951">
        <v>26.94</v>
      </c>
      <c r="AI23" s="3952">
        <v>40.409999999999997</v>
      </c>
      <c r="AJ23" s="3606">
        <f t="shared" si="9"/>
        <v>53.879999999999995</v>
      </c>
      <c r="AK23" s="3746">
        <f t="shared" si="10"/>
        <v>53.89</v>
      </c>
      <c r="AL23" s="4395">
        <f t="shared" si="11"/>
        <v>53.89</v>
      </c>
      <c r="AM23" s="833"/>
    </row>
    <row r="24" spans="1:39" ht="24.95" customHeight="1">
      <c r="A24" s="859" t="s">
        <v>89</v>
      </c>
      <c r="B24" s="438"/>
      <c r="C24" s="438"/>
      <c r="D24" s="438"/>
      <c r="E24" s="855">
        <v>2715.2</v>
      </c>
      <c r="F24" s="856" t="e">
        <f>E24/#REF!*100</f>
        <v>#REF!</v>
      </c>
      <c r="G24" s="851">
        <f>AA9</f>
        <v>2690.2</v>
      </c>
      <c r="H24" s="851">
        <v>1397.95</v>
      </c>
      <c r="I24" s="851">
        <v>2094.3000000000002</v>
      </c>
      <c r="J24" s="851">
        <v>2662</v>
      </c>
      <c r="K24" s="851"/>
      <c r="L24" s="345">
        <v>2798.4</v>
      </c>
      <c r="M24" s="855">
        <v>2797</v>
      </c>
      <c r="N24" s="856"/>
      <c r="O24" s="851">
        <f>M24</f>
        <v>2797</v>
      </c>
      <c r="P24" s="853">
        <f t="shared" si="4"/>
        <v>1.0396996505835998</v>
      </c>
      <c r="Q24" s="851">
        <v>1412.82</v>
      </c>
      <c r="R24" s="2085">
        <v>2176.46</v>
      </c>
      <c r="S24" s="2383">
        <f t="shared" si="5"/>
        <v>2901.9466666666667</v>
      </c>
      <c r="T24" s="2383">
        <v>3059.78</v>
      </c>
      <c r="U24" s="2816">
        <v>2797</v>
      </c>
      <c r="V24" s="2094">
        <f t="shared" si="6"/>
        <v>2901.9466666666667</v>
      </c>
      <c r="W24" s="2817">
        <f t="shared" si="7"/>
        <v>1.0375211536169706</v>
      </c>
      <c r="X24" s="5749"/>
      <c r="Y24" s="5750"/>
      <c r="AB24" s="851">
        <v>1766.64</v>
      </c>
      <c r="AC24" s="3594">
        <v>2649.96</v>
      </c>
      <c r="AD24" s="3599">
        <v>3533.24</v>
      </c>
      <c r="AE24" s="3609">
        <f t="shared" si="12"/>
        <v>3059.78</v>
      </c>
      <c r="AF24" s="378">
        <v>3059.78</v>
      </c>
      <c r="AG24" s="3610">
        <f t="shared" si="8"/>
        <v>1.0543887781075691</v>
      </c>
      <c r="AH24" s="3951">
        <v>1766.63</v>
      </c>
      <c r="AI24" s="3952">
        <v>2649.95</v>
      </c>
      <c r="AJ24" s="3606">
        <f t="shared" si="9"/>
        <v>3533.2666666666664</v>
      </c>
      <c r="AK24" s="3746">
        <f t="shared" si="10"/>
        <v>3533.24</v>
      </c>
      <c r="AL24" s="4395">
        <f t="shared" si="11"/>
        <v>3533.24</v>
      </c>
      <c r="AM24" s="833"/>
    </row>
    <row r="25" spans="1:39" ht="24.95" customHeight="1">
      <c r="A25" s="860" t="s">
        <v>90</v>
      </c>
      <c r="B25" s="438"/>
      <c r="C25" s="438"/>
      <c r="D25" s="438"/>
      <c r="E25" s="404">
        <f>SUM(E21:E24)</f>
        <v>7436.7999999999993</v>
      </c>
      <c r="F25" s="856" t="e">
        <f>E25/#REF!*100</f>
        <v>#REF!</v>
      </c>
      <c r="G25" s="857">
        <f>SUM(G21:G24)</f>
        <v>7295.0999999999995</v>
      </c>
      <c r="H25" s="857">
        <f>SUM(H21:H24)</f>
        <v>3847.7700000000004</v>
      </c>
      <c r="I25" s="857">
        <f>SUM(I21:I24)</f>
        <v>5688.5</v>
      </c>
      <c r="J25" s="857">
        <f>SUM(J21:J24)</f>
        <v>7291</v>
      </c>
      <c r="K25" s="851"/>
      <c r="L25" s="403">
        <f>SUM(L21:L24)</f>
        <v>7609.7999999999993</v>
      </c>
      <c r="M25" s="404">
        <f>SUM(M21:M24)</f>
        <v>7550.3</v>
      </c>
      <c r="N25" s="856"/>
      <c r="O25" s="857">
        <f>SUM(O21:O24)</f>
        <v>7550.3</v>
      </c>
      <c r="P25" s="854">
        <f t="shared" si="4"/>
        <v>1.0349823854368001</v>
      </c>
      <c r="Q25" s="857">
        <f t="shared" ref="Q25:T25" si="13">SUM(Q21:Q24)</f>
        <v>3993.2199999999993</v>
      </c>
      <c r="R25" s="857">
        <f t="shared" si="13"/>
        <v>6102.07</v>
      </c>
      <c r="S25" s="857">
        <f t="shared" si="13"/>
        <v>8136.0933333333332</v>
      </c>
      <c r="T25" s="857">
        <f t="shared" si="13"/>
        <v>8296.6500000000015</v>
      </c>
      <c r="U25" s="2818">
        <f>SUM(U21:U24)</f>
        <v>7550.3</v>
      </c>
      <c r="V25" s="2819">
        <f>SUM(V21:V24)</f>
        <v>8136.0933333333332</v>
      </c>
      <c r="W25" s="2817">
        <f t="shared" si="7"/>
        <v>1.077585438106212</v>
      </c>
      <c r="X25" s="5749"/>
      <c r="Y25" s="5750"/>
      <c r="AB25" s="857">
        <f t="shared" ref="AB25:AD25" si="14">SUM(AB21:AB24)</f>
        <v>4386.96</v>
      </c>
      <c r="AC25" s="3595">
        <f t="shared" si="14"/>
        <v>6404.4</v>
      </c>
      <c r="AD25" s="3600">
        <f t="shared" si="14"/>
        <v>8497.9000000000015</v>
      </c>
      <c r="AE25" s="3611">
        <f>SUM(AE21:AE24)</f>
        <v>8296.6500000000015</v>
      </c>
      <c r="AF25" s="3612">
        <f>SUM(AF21:AF24)</f>
        <v>8296.68</v>
      </c>
      <c r="AG25" s="3610">
        <f t="shared" si="8"/>
        <v>1.0197375644658289</v>
      </c>
      <c r="AH25" s="3946">
        <f>SUM(AH21:AH24)</f>
        <v>4743.4799999999996</v>
      </c>
      <c r="AI25" s="3947">
        <f>SUM(AI21:AI24)</f>
        <v>7471.7499999999991</v>
      </c>
      <c r="AJ25" s="3605">
        <f>SUM(AJ21:AJ24)</f>
        <v>9962.3333333333321</v>
      </c>
      <c r="AK25" s="4257">
        <f>SUM(AK21:AK24)</f>
        <v>8497.9000000000015</v>
      </c>
      <c r="AL25" s="4420">
        <f>SUM(AL21:AL24)</f>
        <v>8497.9000000000015</v>
      </c>
      <c r="AM25" s="833"/>
    </row>
    <row r="26" spans="1:39" ht="24.95" customHeight="1">
      <c r="A26" s="859" t="s">
        <v>91</v>
      </c>
      <c r="B26" s="438"/>
      <c r="C26" s="438"/>
      <c r="D26" s="438"/>
      <c r="E26" s="855">
        <v>267.89999999999998</v>
      </c>
      <c r="F26" s="856" t="e">
        <f>E26/#REF!*100</f>
        <v>#REF!</v>
      </c>
      <c r="G26" s="851">
        <f>AA11</f>
        <v>256.93</v>
      </c>
      <c r="H26" s="851">
        <v>136.63</v>
      </c>
      <c r="I26" s="851">
        <v>205.2</v>
      </c>
      <c r="J26" s="851">
        <v>267.60000000000002</v>
      </c>
      <c r="K26" s="851"/>
      <c r="L26" s="345">
        <v>275.8</v>
      </c>
      <c r="M26" s="855">
        <v>273.60000000000002</v>
      </c>
      <c r="N26" s="856"/>
      <c r="O26" s="851">
        <f>M26</f>
        <v>273.60000000000002</v>
      </c>
      <c r="P26" s="853">
        <f t="shared" si="4"/>
        <v>1.0648814852294399</v>
      </c>
      <c r="Q26" s="851">
        <v>189.68</v>
      </c>
      <c r="R26" s="2085">
        <v>307.45999999999998</v>
      </c>
      <c r="S26" s="2384">
        <f>R26/3*4</f>
        <v>409.94666666666666</v>
      </c>
      <c r="T26" s="2686">
        <v>425.24</v>
      </c>
      <c r="U26" s="2816">
        <v>273.60000000000002</v>
      </c>
      <c r="V26" s="2820">
        <f>U26</f>
        <v>273.60000000000002</v>
      </c>
      <c r="W26" s="2817">
        <f t="shared" si="7"/>
        <v>1</v>
      </c>
      <c r="X26" s="5749"/>
      <c r="Y26" s="5750"/>
      <c r="AB26" s="851">
        <v>247.01</v>
      </c>
      <c r="AC26" s="3594">
        <v>369.43</v>
      </c>
      <c r="AD26" s="3601">
        <v>498.59</v>
      </c>
      <c r="AE26" s="3609">
        <f t="shared" si="12"/>
        <v>425.24</v>
      </c>
      <c r="AF26" s="3613">
        <v>425.24</v>
      </c>
      <c r="AG26" s="3610">
        <f t="shared" si="8"/>
        <v>1.5542397660818712</v>
      </c>
      <c r="AH26" s="3951">
        <v>258.36</v>
      </c>
      <c r="AI26" s="3952">
        <v>378.83</v>
      </c>
      <c r="AJ26" s="3606">
        <f t="shared" si="9"/>
        <v>505.10666666666663</v>
      </c>
      <c r="AK26" s="3746">
        <f t="shared" si="10"/>
        <v>498.59</v>
      </c>
      <c r="AL26" s="4395">
        <f t="shared" si="11"/>
        <v>498.59</v>
      </c>
      <c r="AM26" s="833"/>
    </row>
    <row r="27" spans="1:39" ht="24.95" customHeight="1">
      <c r="A27" s="859" t="s">
        <v>92</v>
      </c>
      <c r="B27" s="438"/>
      <c r="C27" s="438"/>
      <c r="D27" s="438"/>
      <c r="E27" s="855">
        <v>1281</v>
      </c>
      <c r="F27" s="858" t="e">
        <f>E27/#REF!*100</f>
        <v>#REF!</v>
      </c>
      <c r="G27" s="851">
        <f>AA12</f>
        <v>960.93</v>
      </c>
      <c r="H27" s="851">
        <v>412.35</v>
      </c>
      <c r="I27" s="851">
        <v>632.5</v>
      </c>
      <c r="J27" s="851">
        <v>1281</v>
      </c>
      <c r="K27" s="851"/>
      <c r="L27" s="345">
        <v>833.9</v>
      </c>
      <c r="M27" s="855">
        <v>960.9</v>
      </c>
      <c r="N27" s="858"/>
      <c r="O27" s="851">
        <f>M27</f>
        <v>960.9</v>
      </c>
      <c r="P27" s="853">
        <f t="shared" si="4"/>
        <v>0.99996878024413849</v>
      </c>
      <c r="Q27" s="851">
        <v>407.8</v>
      </c>
      <c r="R27" s="2085">
        <v>588.73</v>
      </c>
      <c r="S27" s="2384">
        <f t="shared" ref="S27:S29" si="15">R27/3*4</f>
        <v>784.97333333333336</v>
      </c>
      <c r="T27" s="2686">
        <v>717.01</v>
      </c>
      <c r="U27" s="2816">
        <v>960.9</v>
      </c>
      <c r="V27" s="2820">
        <f t="shared" ref="V27:V29" si="16">U27</f>
        <v>960.9</v>
      </c>
      <c r="W27" s="2817">
        <f t="shared" si="7"/>
        <v>1</v>
      </c>
      <c r="X27" s="5749"/>
      <c r="Y27" s="5750"/>
      <c r="AB27" s="851">
        <v>290.64999999999998</v>
      </c>
      <c r="AC27" s="3594">
        <v>439.48</v>
      </c>
      <c r="AD27" s="3601">
        <v>588.47</v>
      </c>
      <c r="AE27" s="3609">
        <f t="shared" si="12"/>
        <v>717.01</v>
      </c>
      <c r="AF27" s="3613">
        <v>717.01</v>
      </c>
      <c r="AG27" s="3610">
        <f t="shared" si="8"/>
        <v>0.74618586741596415</v>
      </c>
      <c r="AH27" s="3951">
        <v>271.14999999999998</v>
      </c>
      <c r="AI27" s="3952">
        <v>399.79</v>
      </c>
      <c r="AJ27" s="3606">
        <f t="shared" si="9"/>
        <v>533.0533333333334</v>
      </c>
      <c r="AK27" s="3746">
        <f t="shared" si="10"/>
        <v>588.47</v>
      </c>
      <c r="AL27" s="4395">
        <f t="shared" si="11"/>
        <v>588.47</v>
      </c>
      <c r="AM27" s="833"/>
    </row>
    <row r="28" spans="1:39" ht="24.95" customHeight="1">
      <c r="A28" s="859" t="s">
        <v>833</v>
      </c>
      <c r="B28" s="438"/>
      <c r="C28" s="438"/>
      <c r="D28" s="438"/>
      <c r="E28" s="855">
        <v>26.4</v>
      </c>
      <c r="F28" s="856" t="e">
        <f>E28/#REF!*100</f>
        <v>#REF!</v>
      </c>
      <c r="G28" s="851">
        <f>AA13</f>
        <v>25.2</v>
      </c>
      <c r="H28" s="851">
        <v>0</v>
      </c>
      <c r="I28" s="851">
        <v>18.899999999999999</v>
      </c>
      <c r="J28" s="851">
        <v>26.4</v>
      </c>
      <c r="K28" s="851"/>
      <c r="L28" s="345">
        <v>25.2</v>
      </c>
      <c r="M28" s="855">
        <v>25.2</v>
      </c>
      <c r="N28" s="856"/>
      <c r="O28" s="851">
        <f>M28</f>
        <v>25.2</v>
      </c>
      <c r="P28" s="853">
        <f t="shared" si="4"/>
        <v>1</v>
      </c>
      <c r="Q28" s="851">
        <v>12.72</v>
      </c>
      <c r="R28" s="2085">
        <v>19.11</v>
      </c>
      <c r="S28" s="2384">
        <f t="shared" si="15"/>
        <v>25.48</v>
      </c>
      <c r="T28" s="2686">
        <v>25.5</v>
      </c>
      <c r="U28" s="2816">
        <v>25.2</v>
      </c>
      <c r="V28" s="2820">
        <f t="shared" si="16"/>
        <v>25.2</v>
      </c>
      <c r="W28" s="2817">
        <f t="shared" si="7"/>
        <v>1</v>
      </c>
      <c r="X28" s="5749"/>
      <c r="Y28" s="5750"/>
      <c r="AB28" s="851">
        <v>12.78</v>
      </c>
      <c r="AC28" s="3594">
        <v>19.170000000000002</v>
      </c>
      <c r="AD28" s="3601">
        <v>36.94</v>
      </c>
      <c r="AE28" s="3609">
        <f t="shared" si="12"/>
        <v>25.5</v>
      </c>
      <c r="AF28" s="3613">
        <v>25.5</v>
      </c>
      <c r="AG28" s="3610">
        <f t="shared" si="8"/>
        <v>1.0119047619047619</v>
      </c>
      <c r="AH28" s="3951">
        <v>34.28</v>
      </c>
      <c r="AI28" s="3952">
        <v>51.41</v>
      </c>
      <c r="AJ28" s="3606">
        <f t="shared" si="9"/>
        <v>68.546666666666653</v>
      </c>
      <c r="AK28" s="3746">
        <f t="shared" si="10"/>
        <v>36.94</v>
      </c>
      <c r="AL28" s="4395">
        <f t="shared" si="11"/>
        <v>36.94</v>
      </c>
      <c r="AM28" s="833"/>
    </row>
    <row r="29" spans="1:39" ht="24.95" customHeight="1">
      <c r="A29" s="859" t="s">
        <v>89</v>
      </c>
      <c r="B29" s="438"/>
      <c r="C29" s="438"/>
      <c r="D29" s="438"/>
      <c r="E29" s="855">
        <v>3595</v>
      </c>
      <c r="F29" s="856" t="e">
        <f>E29/#REF!*100</f>
        <v>#REF!</v>
      </c>
      <c r="G29" s="851">
        <f>AA14</f>
        <v>3544.67</v>
      </c>
      <c r="H29" s="851">
        <v>1755.33</v>
      </c>
      <c r="I29" s="851">
        <v>2673.6</v>
      </c>
      <c r="J29" s="851">
        <v>3595</v>
      </c>
      <c r="K29" s="851"/>
      <c r="L29" s="345">
        <v>3567.6</v>
      </c>
      <c r="M29" s="855">
        <v>3562.4</v>
      </c>
      <c r="N29" s="856"/>
      <c r="O29" s="851">
        <f>M29</f>
        <v>3562.4</v>
      </c>
      <c r="P29" s="853">
        <f t="shared" si="4"/>
        <v>1.0050018760561632</v>
      </c>
      <c r="Q29" s="851">
        <v>1790.52</v>
      </c>
      <c r="R29" s="2085">
        <v>2713.05</v>
      </c>
      <c r="S29" s="2384">
        <f t="shared" si="15"/>
        <v>3617.4</v>
      </c>
      <c r="T29" s="2686">
        <v>4015.93</v>
      </c>
      <c r="U29" s="2816">
        <v>3562.4</v>
      </c>
      <c r="V29" s="2820">
        <f t="shared" si="16"/>
        <v>3562.4</v>
      </c>
      <c r="W29" s="2817">
        <f t="shared" si="7"/>
        <v>1</v>
      </c>
      <c r="X29" s="5749"/>
      <c r="Y29" s="5750"/>
      <c r="AB29" s="851">
        <v>1954.32</v>
      </c>
      <c r="AC29" s="3594">
        <v>2931.48</v>
      </c>
      <c r="AD29" s="3601">
        <v>3912.88</v>
      </c>
      <c r="AE29" s="3609">
        <f t="shared" si="12"/>
        <v>4015.93</v>
      </c>
      <c r="AF29" s="3613">
        <v>4015.93</v>
      </c>
      <c r="AG29" s="3610">
        <f t="shared" si="8"/>
        <v>1.1273102402874466</v>
      </c>
      <c r="AH29" s="3951">
        <v>1962.73</v>
      </c>
      <c r="AI29" s="3952">
        <v>2944.09</v>
      </c>
      <c r="AJ29" s="3606">
        <f t="shared" si="9"/>
        <v>3925.4533333333338</v>
      </c>
      <c r="AK29" s="3746">
        <f t="shared" si="10"/>
        <v>3912.88</v>
      </c>
      <c r="AL29" s="4395">
        <f t="shared" si="11"/>
        <v>3912.88</v>
      </c>
      <c r="AM29" s="833"/>
    </row>
    <row r="30" spans="1:39" ht="24.95" customHeight="1" thickBot="1">
      <c r="A30" s="861" t="s">
        <v>94</v>
      </c>
      <c r="B30" s="438"/>
      <c r="C30" s="438"/>
      <c r="D30" s="438"/>
      <c r="E30" s="862">
        <f>SUM(E26:E29)</f>
        <v>5170.3</v>
      </c>
      <c r="F30" s="863" t="e">
        <f>E30/#REF!*100</f>
        <v>#REF!</v>
      </c>
      <c r="G30" s="864">
        <f>SUM(G26:G29)</f>
        <v>4787.7299999999996</v>
      </c>
      <c r="H30" s="864">
        <f>SUM(H26:H29)</f>
        <v>2304.31</v>
      </c>
      <c r="I30" s="864">
        <f>SUM(I26:I29)</f>
        <v>3530.2</v>
      </c>
      <c r="J30" s="864">
        <f>SUM(J26:J29)</f>
        <v>5170</v>
      </c>
      <c r="K30" s="865"/>
      <c r="L30" s="866">
        <f>SUM(L26:L29)</f>
        <v>4702.5</v>
      </c>
      <c r="M30" s="862">
        <f>SUM(M26:M29)</f>
        <v>4822.1000000000004</v>
      </c>
      <c r="N30" s="863"/>
      <c r="O30" s="864">
        <f>SUM(O26:O29)</f>
        <v>4822.1000000000004</v>
      </c>
      <c r="P30" s="867">
        <f t="shared" si="4"/>
        <v>1.0071787673908097</v>
      </c>
      <c r="Q30" s="864">
        <f t="shared" ref="Q30:V30" si="17">SUM(Q26:Q29)</f>
        <v>2400.7200000000003</v>
      </c>
      <c r="R30" s="864">
        <f t="shared" si="17"/>
        <v>3628.3500000000004</v>
      </c>
      <c r="S30" s="864">
        <f t="shared" si="17"/>
        <v>4837.8</v>
      </c>
      <c r="T30" s="864">
        <f t="shared" si="17"/>
        <v>5183.68</v>
      </c>
      <c r="U30" s="2821">
        <f t="shared" si="17"/>
        <v>4822.1000000000004</v>
      </c>
      <c r="V30" s="2822">
        <f t="shared" si="17"/>
        <v>4822.1000000000004</v>
      </c>
      <c r="W30" s="2823">
        <f t="shared" si="7"/>
        <v>1</v>
      </c>
      <c r="X30" s="5751"/>
      <c r="Y30" s="5752"/>
      <c r="Z30" s="2950"/>
      <c r="AA30" s="2950"/>
      <c r="AB30" s="864">
        <f t="shared" ref="AB30:AK30" si="18">SUM(AB26:AB29)</f>
        <v>2504.7599999999998</v>
      </c>
      <c r="AC30" s="3596">
        <f t="shared" si="18"/>
        <v>3759.56</v>
      </c>
      <c r="AD30" s="3602">
        <f t="shared" si="18"/>
        <v>5036.88</v>
      </c>
      <c r="AE30" s="2721">
        <f t="shared" si="18"/>
        <v>5183.68</v>
      </c>
      <c r="AF30" s="3614">
        <f t="shared" si="18"/>
        <v>5183.68</v>
      </c>
      <c r="AG30" s="3615">
        <f t="shared" si="8"/>
        <v>1.0749839281640778</v>
      </c>
      <c r="AH30" s="3946">
        <f t="shared" ref="AH30:AI30" si="19">SUM(AH26:AH29)</f>
        <v>2526.52</v>
      </c>
      <c r="AI30" s="3947">
        <f t="shared" si="19"/>
        <v>3774.12</v>
      </c>
      <c r="AJ30" s="3605">
        <f t="shared" ref="AJ30" si="20">SUM(AJ26:AJ29)</f>
        <v>5032.1600000000008</v>
      </c>
      <c r="AK30" s="4258">
        <f t="shared" si="18"/>
        <v>5036.88</v>
      </c>
      <c r="AL30" s="4421">
        <f t="shared" ref="AL30" si="21">SUM(AL26:AL29)</f>
        <v>5036.88</v>
      </c>
      <c r="AM30" s="833"/>
    </row>
    <row r="31" spans="1:39" ht="27" customHeight="1" thickBot="1">
      <c r="A31" s="2827" t="s">
        <v>631</v>
      </c>
      <c r="B31" s="2828"/>
      <c r="C31" s="2829"/>
      <c r="D31" s="2829"/>
      <c r="E31" s="2826">
        <f>SUM(E30,E25)</f>
        <v>12607.099999999999</v>
      </c>
      <c r="F31" s="2830" t="e">
        <f>E31/#REF!*100</f>
        <v>#REF!</v>
      </c>
      <c r="G31" s="2826">
        <f t="shared" ref="G31:O31" si="22">SUM(G30,G25)</f>
        <v>12082.829999999998</v>
      </c>
      <c r="H31" s="2826">
        <f t="shared" si="22"/>
        <v>6152.08</v>
      </c>
      <c r="I31" s="2826">
        <f t="shared" si="22"/>
        <v>9218.7000000000007</v>
      </c>
      <c r="J31" s="2826">
        <f t="shared" si="22"/>
        <v>12461</v>
      </c>
      <c r="K31" s="2826">
        <f t="shared" si="22"/>
        <v>0</v>
      </c>
      <c r="L31" s="2831">
        <f t="shared" si="22"/>
        <v>12312.3</v>
      </c>
      <c r="M31" s="2953">
        <f t="shared" si="22"/>
        <v>12372.400000000001</v>
      </c>
      <c r="N31" s="1081">
        <f t="shared" si="22"/>
        <v>0</v>
      </c>
      <c r="O31" s="1081">
        <f t="shared" si="22"/>
        <v>12372.400000000001</v>
      </c>
      <c r="P31" s="868">
        <f t="shared" si="4"/>
        <v>1.0239654120764758</v>
      </c>
      <c r="Q31" s="1081">
        <f t="shared" ref="Q31" si="23">SUM(Q30,Q25)</f>
        <v>6393.94</v>
      </c>
      <c r="R31" s="1081">
        <f t="shared" ref="R31:U31" si="24">SUM(R30,R25)</f>
        <v>9730.42</v>
      </c>
      <c r="S31" s="1081">
        <f t="shared" si="24"/>
        <v>12973.893333333333</v>
      </c>
      <c r="T31" s="1081">
        <f t="shared" si="24"/>
        <v>13480.330000000002</v>
      </c>
      <c r="U31" s="2953">
        <f t="shared" si="24"/>
        <v>12372.400000000001</v>
      </c>
      <c r="V31" s="1081">
        <f t="shared" ref="V31" si="25">SUM(V30,V25)</f>
        <v>12958.193333333333</v>
      </c>
      <c r="W31" s="2824">
        <f>V31/O31</f>
        <v>1.0473467826236891</v>
      </c>
      <c r="X31" s="5736"/>
      <c r="Y31" s="5737"/>
      <c r="Z31" s="2954"/>
      <c r="AA31" s="2954"/>
      <c r="AB31" s="1081">
        <f t="shared" ref="AB31:AF31" si="26">SUM(AB30,AB25)</f>
        <v>6891.7199999999993</v>
      </c>
      <c r="AC31" s="3597">
        <f t="shared" si="26"/>
        <v>10163.959999999999</v>
      </c>
      <c r="AD31" s="3603">
        <f t="shared" si="26"/>
        <v>13534.780000000002</v>
      </c>
      <c r="AE31" s="1084">
        <f t="shared" si="26"/>
        <v>13480.330000000002</v>
      </c>
      <c r="AF31" s="1086">
        <f t="shared" si="26"/>
        <v>13480.36</v>
      </c>
      <c r="AG31" s="3616">
        <f t="shared" si="8"/>
        <v>1.0402962552907324</v>
      </c>
      <c r="AH31" s="3910">
        <f t="shared" ref="AH31:AI31" si="27">SUM(AH30,AH25)</f>
        <v>7270</v>
      </c>
      <c r="AI31" s="3911">
        <f t="shared" si="27"/>
        <v>11245.869999999999</v>
      </c>
      <c r="AJ31" s="3912">
        <f t="shared" ref="AJ31" si="28">SUM(AJ30,AJ25)</f>
        <v>14994.493333333332</v>
      </c>
      <c r="AK31" s="1084">
        <f t="shared" ref="AK31:AL31" si="29">SUM(AK30,AK25)</f>
        <v>13534.780000000002</v>
      </c>
      <c r="AL31" s="4422">
        <f t="shared" si="29"/>
        <v>13534.780000000002</v>
      </c>
      <c r="AM31" s="833"/>
    </row>
  </sheetData>
  <mergeCells count="72">
    <mergeCell ref="AH18:AJ18"/>
    <mergeCell ref="AH19:AH20"/>
    <mergeCell ref="AI19:AI20"/>
    <mergeCell ref="AJ19:AJ20"/>
    <mergeCell ref="AB19:AB20"/>
    <mergeCell ref="AC19:AC20"/>
    <mergeCell ref="AE18:AG18"/>
    <mergeCell ref="AE19:AE20"/>
    <mergeCell ref="AF19:AF20"/>
    <mergeCell ref="AG19:AG20"/>
    <mergeCell ref="AD18:AD20"/>
    <mergeCell ref="A18:A20"/>
    <mergeCell ref="E19:E20"/>
    <mergeCell ref="G19:G20"/>
    <mergeCell ref="I19:I20"/>
    <mergeCell ref="H19:H20"/>
    <mergeCell ref="X21:Y21"/>
    <mergeCell ref="Q19:Q20"/>
    <mergeCell ref="R19:R20"/>
    <mergeCell ref="L19:L20"/>
    <mergeCell ref="M18:T18"/>
    <mergeCell ref="S19:S20"/>
    <mergeCell ref="T19:T20"/>
    <mergeCell ref="N19:N20"/>
    <mergeCell ref="O19:O20"/>
    <mergeCell ref="P19:P20"/>
    <mergeCell ref="X18:Y20"/>
    <mergeCell ref="Y4:Y5"/>
    <mergeCell ref="N4:N5"/>
    <mergeCell ref="I4:I5"/>
    <mergeCell ref="X4:X5"/>
    <mergeCell ref="J4:J5"/>
    <mergeCell ref="K4:K5"/>
    <mergeCell ref="M4:M5"/>
    <mergeCell ref="C4:C5"/>
    <mergeCell ref="F4:F5"/>
    <mergeCell ref="D4:D5"/>
    <mergeCell ref="E4:E5"/>
    <mergeCell ref="I3:N3"/>
    <mergeCell ref="G4:G5"/>
    <mergeCell ref="X31:Y31"/>
    <mergeCell ref="E18:L18"/>
    <mergeCell ref="U18:W18"/>
    <mergeCell ref="U19:U20"/>
    <mergeCell ref="V19:V20"/>
    <mergeCell ref="W19:W20"/>
    <mergeCell ref="X22:Y22"/>
    <mergeCell ref="X23:Y23"/>
    <mergeCell ref="X30:Y30"/>
    <mergeCell ref="X24:Y24"/>
    <mergeCell ref="X25:Y25"/>
    <mergeCell ref="X26:Y26"/>
    <mergeCell ref="X27:Y27"/>
    <mergeCell ref="X28:Y28"/>
    <mergeCell ref="X29:Y29"/>
    <mergeCell ref="M19:M20"/>
    <mergeCell ref="AK18:AL18"/>
    <mergeCell ref="AK19:AK20"/>
    <mergeCell ref="AL19:AL20"/>
    <mergeCell ref="A1:AL1"/>
    <mergeCell ref="A2:AL2"/>
    <mergeCell ref="B3:B5"/>
    <mergeCell ref="O3:AA3"/>
    <mergeCell ref="AA4:AA5"/>
    <mergeCell ref="E3:F3"/>
    <mergeCell ref="A3:A5"/>
    <mergeCell ref="G3:H3"/>
    <mergeCell ref="H4:H5"/>
    <mergeCell ref="C3:D3"/>
    <mergeCell ref="O4:O5"/>
    <mergeCell ref="Z4:Z5"/>
    <mergeCell ref="P4:P5"/>
  </mergeCells>
  <phoneticPr fontId="9" type="noConversion"/>
  <printOptions horizontalCentered="1"/>
  <pageMargins left="0.31496062992125984" right="0.31496062992125984" top="1.5354330708661419" bottom="0.35433070866141736" header="0" footer="0"/>
  <pageSetup paperSize="9" scale="60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>
  <sheetPr enableFormatConditionsCalculation="0">
    <tabColor rgb="FFFF0000"/>
    <pageSetUpPr fitToPage="1"/>
  </sheetPr>
  <dimension ref="A1:DJ47"/>
  <sheetViews>
    <sheetView zoomScale="60" zoomScaleNormal="60" workbookViewId="0">
      <pane xSplit="12" ySplit="23" topLeftCell="CO24" activePane="bottomRight" state="frozen"/>
      <selection pane="topRight" activeCell="M1" sqref="M1"/>
      <selection pane="bottomLeft" activeCell="A23" sqref="A23"/>
      <selection pane="bottomRight" activeCell="DE25" sqref="DE25"/>
    </sheetView>
  </sheetViews>
  <sheetFormatPr defaultRowHeight="12.75" outlineLevelCol="1"/>
  <cols>
    <col min="1" max="1" width="6.42578125" customWidth="1"/>
    <col min="2" max="2" width="21.42578125" customWidth="1"/>
    <col min="3" max="12" width="0" hidden="1" customWidth="1"/>
    <col min="13" max="13" width="9.7109375" hidden="1" customWidth="1"/>
    <col min="14" max="14" width="14.85546875" hidden="1" customWidth="1"/>
    <col min="15" max="15" width="13.140625" hidden="1" customWidth="1"/>
    <col min="16" max="16" width="12.5703125" hidden="1" customWidth="1"/>
    <col min="17" max="17" width="9.5703125" hidden="1" customWidth="1"/>
    <col min="18" max="18" width="0" hidden="1" customWidth="1"/>
    <col min="19" max="19" width="9.5703125" hidden="1" customWidth="1"/>
    <col min="20" max="20" width="14.7109375" hidden="1" customWidth="1"/>
    <col min="21" max="21" width="13.140625" hidden="1" customWidth="1"/>
    <col min="22" max="22" width="11.7109375" hidden="1" customWidth="1"/>
    <col min="23" max="23" width="14" hidden="1" customWidth="1"/>
    <col min="24" max="24" width="9.7109375" hidden="1" customWidth="1"/>
    <col min="25" max="25" width="14.85546875" hidden="1" customWidth="1"/>
    <col min="26" max="26" width="13.140625" hidden="1" customWidth="1"/>
    <col min="27" max="27" width="12.140625" hidden="1" customWidth="1"/>
    <col min="28" max="28" width="9.140625" hidden="1" customWidth="1" outlineLevel="1"/>
    <col min="29" max="29" width="11" hidden="1" customWidth="1" outlineLevel="1"/>
    <col min="30" max="30" width="7.85546875" hidden="1" customWidth="1" outlineLevel="1"/>
    <col min="31" max="31" width="8.140625" hidden="1" customWidth="1" outlineLevel="1"/>
    <col min="32" max="32" width="13" hidden="1" customWidth="1" outlineLevel="1"/>
    <col min="33" max="33" width="2.42578125" hidden="1" customWidth="1" outlineLevel="1"/>
    <col min="34" max="34" width="2" hidden="1" customWidth="1" outlineLevel="1"/>
    <col min="35" max="35" width="4.42578125" hidden="1" customWidth="1" outlineLevel="1"/>
    <col min="36" max="37" width="3.85546875" hidden="1" customWidth="1" outlineLevel="1"/>
    <col min="38" max="38" width="9.7109375" hidden="1" customWidth="1" collapsed="1"/>
    <col min="39" max="39" width="14.85546875" hidden="1" customWidth="1"/>
    <col min="40" max="40" width="13.140625" hidden="1" customWidth="1"/>
    <col min="41" max="41" width="12.7109375" hidden="1" customWidth="1"/>
    <col min="42" max="42" width="0" hidden="1" customWidth="1"/>
    <col min="43" max="43" width="9.7109375" hidden="1" customWidth="1"/>
    <col min="44" max="44" width="14.7109375" hidden="1" customWidth="1"/>
    <col min="45" max="45" width="13.140625" hidden="1" customWidth="1"/>
    <col min="46" max="46" width="12.7109375" hidden="1" customWidth="1"/>
    <col min="47" max="47" width="9.7109375" hidden="1" customWidth="1"/>
    <col min="48" max="48" width="16.85546875" hidden="1" customWidth="1"/>
    <col min="49" max="49" width="13.140625" hidden="1" customWidth="1"/>
    <col min="50" max="51" width="12.7109375" hidden="1" customWidth="1"/>
    <col min="52" max="52" width="9.7109375" customWidth="1"/>
    <col min="53" max="53" width="14.7109375" customWidth="1"/>
    <col min="54" max="54" width="13.140625" customWidth="1"/>
    <col min="55" max="55" width="12.7109375" hidden="1" customWidth="1"/>
    <col min="56" max="56" width="22" hidden="1" customWidth="1"/>
    <col min="57" max="57" width="9.7109375" hidden="1" customWidth="1"/>
    <col min="58" max="58" width="14.5703125" hidden="1" customWidth="1"/>
    <col min="59" max="59" width="13.140625" hidden="1" customWidth="1"/>
    <col min="60" max="60" width="12.7109375" hidden="1" customWidth="1"/>
    <col min="61" max="61" width="9.7109375" hidden="1" customWidth="1"/>
    <col min="62" max="62" width="14.85546875" hidden="1" customWidth="1"/>
    <col min="63" max="63" width="13.140625" hidden="1" customWidth="1"/>
    <col min="64" max="64" width="12.7109375" hidden="1" customWidth="1"/>
    <col min="65" max="65" width="12.7109375" customWidth="1"/>
    <col min="66" max="66" width="14.85546875" customWidth="1"/>
    <col min="67" max="67" width="12.7109375" customWidth="1"/>
    <col min="68" max="68" width="12.7109375" hidden="1" customWidth="1"/>
    <col min="69" max="69" width="9.7109375" customWidth="1"/>
    <col min="70" max="70" width="14.7109375" customWidth="1"/>
    <col min="71" max="71" width="13.140625" customWidth="1"/>
    <col min="72" max="72" width="12.7109375" hidden="1" customWidth="1"/>
    <col min="73" max="73" width="9.7109375" customWidth="1"/>
    <col min="74" max="74" width="16.85546875" customWidth="1"/>
    <col min="75" max="75" width="13.140625" customWidth="1"/>
    <col min="76" max="77" width="12.7109375" hidden="1" customWidth="1"/>
    <col min="78" max="78" width="9.7109375" hidden="1" customWidth="1"/>
    <col min="79" max="79" width="14.85546875" hidden="1" customWidth="1"/>
    <col min="80" max="80" width="13.28515625" hidden="1" customWidth="1"/>
    <col min="81" max="81" width="12.7109375" hidden="1" customWidth="1"/>
    <col min="82" max="82" width="9.85546875" hidden="1" customWidth="1"/>
    <col min="83" max="83" width="14.85546875" hidden="1" customWidth="1"/>
    <col min="84" max="84" width="13.28515625" hidden="1" customWidth="1"/>
    <col min="85" max="85" width="12.7109375" hidden="1" customWidth="1"/>
    <col min="86" max="86" width="9.85546875" customWidth="1"/>
    <col min="87" max="87" width="14.85546875" customWidth="1"/>
    <col min="88" max="88" width="13.28515625" customWidth="1"/>
    <col min="89" max="89" width="12.7109375" hidden="1" customWidth="1"/>
    <col min="90" max="90" width="9.85546875" customWidth="1"/>
    <col min="91" max="91" width="17.42578125" customWidth="1"/>
    <col min="92" max="93" width="12.7109375" customWidth="1"/>
    <col min="94" max="94" width="9.85546875" customWidth="1"/>
    <col min="95" max="95" width="14.85546875" customWidth="1"/>
    <col min="96" max="96" width="12.7109375" customWidth="1"/>
    <col min="97" max="106" width="12.5703125" customWidth="1"/>
    <col min="107" max="107" width="9.85546875" customWidth="1"/>
    <col min="108" max="108" width="17.42578125" customWidth="1"/>
    <col min="109" max="110" width="12.7109375" customWidth="1"/>
    <col min="111" max="111" width="9.85546875" customWidth="1"/>
    <col min="112" max="112" width="17.42578125" customWidth="1"/>
    <col min="113" max="114" width="12.7109375" customWidth="1"/>
  </cols>
  <sheetData>
    <row r="1" spans="1:114" ht="15">
      <c r="A1" s="5790" t="s">
        <v>1535</v>
      </c>
      <c r="B1" s="5790"/>
      <c r="C1" s="5790"/>
      <c r="D1" s="5790"/>
      <c r="E1" s="5790"/>
      <c r="F1" s="5790"/>
      <c r="G1" s="5790"/>
      <c r="H1" s="5790"/>
      <c r="I1" s="5790"/>
      <c r="J1" s="5790"/>
      <c r="K1" s="5790"/>
      <c r="L1" s="5790"/>
      <c r="M1" s="5790"/>
      <c r="N1" s="5790"/>
      <c r="O1" s="5790"/>
      <c r="P1" s="5790"/>
      <c r="Q1" s="5790"/>
      <c r="R1" s="5790"/>
      <c r="S1" s="5790"/>
      <c r="T1" s="5790"/>
      <c r="U1" s="5790"/>
      <c r="V1" s="5790"/>
      <c r="W1" s="5790"/>
      <c r="X1" s="5790"/>
      <c r="Y1" s="5790"/>
      <c r="Z1" s="5790"/>
      <c r="AA1" s="5790"/>
      <c r="AB1" s="5790"/>
      <c r="AC1" s="5790"/>
      <c r="AD1" s="5790"/>
      <c r="AE1" s="5790"/>
      <c r="AF1" s="5790"/>
      <c r="AG1" s="5790"/>
      <c r="AH1" s="5790"/>
      <c r="AI1" s="5790"/>
      <c r="AJ1" s="5790"/>
      <c r="AK1" s="5790"/>
      <c r="AL1" s="5790"/>
      <c r="AM1" s="5790"/>
      <c r="AN1" s="5790"/>
      <c r="AO1" s="5790"/>
      <c r="AP1" s="5790"/>
      <c r="AQ1" s="5790"/>
      <c r="AR1" s="5790"/>
      <c r="AS1" s="5790"/>
      <c r="AT1" s="5790"/>
      <c r="AU1" s="5790"/>
      <c r="AV1" s="5790"/>
      <c r="AW1" s="5790"/>
      <c r="AX1" s="5790"/>
      <c r="AY1" s="5790"/>
      <c r="AZ1" s="5790"/>
      <c r="BA1" s="5790"/>
      <c r="BB1" s="5790"/>
      <c r="BC1" s="5790"/>
      <c r="BD1" s="5790"/>
      <c r="BE1" s="5790"/>
      <c r="BF1" s="5790"/>
      <c r="BG1" s="5790"/>
      <c r="BH1" s="5790"/>
      <c r="BI1" s="5790"/>
      <c r="BJ1" s="5790"/>
      <c r="BK1" s="5790"/>
      <c r="BL1" s="5790"/>
      <c r="BM1" s="5790"/>
      <c r="BN1" s="5790"/>
      <c r="BO1" s="5790"/>
      <c r="BP1" s="5790"/>
      <c r="BQ1" s="5790"/>
      <c r="BR1" s="5790"/>
      <c r="BS1" s="5790"/>
      <c r="BT1" s="5790"/>
      <c r="BU1" s="5790"/>
      <c r="BV1" s="5790"/>
      <c r="BW1" s="5790"/>
      <c r="BX1" s="5790"/>
      <c r="BY1" s="5790"/>
      <c r="BZ1" s="5790"/>
      <c r="CA1" s="5790"/>
      <c r="CB1" s="5790"/>
      <c r="CC1" s="5790"/>
      <c r="CD1" s="5790"/>
      <c r="CE1" s="5790"/>
      <c r="CF1" s="5790"/>
      <c r="CG1" s="5790"/>
      <c r="CH1" s="5790"/>
      <c r="CI1" s="5790"/>
      <c r="CJ1" s="5790"/>
      <c r="CK1" s="5790"/>
      <c r="CL1" s="5790"/>
      <c r="CM1" s="5790"/>
      <c r="CN1" s="5790"/>
      <c r="CO1" s="5790"/>
      <c r="CP1" s="5790"/>
      <c r="CQ1" s="5790"/>
      <c r="CR1" s="5790"/>
      <c r="CS1" s="5790"/>
      <c r="CT1" s="5790"/>
      <c r="CU1" s="5790"/>
      <c r="CV1" s="5790"/>
      <c r="CW1" s="5790"/>
      <c r="CX1" s="5790"/>
      <c r="CY1" s="5790"/>
      <c r="CZ1" s="5790"/>
      <c r="DA1" s="5790"/>
      <c r="DB1" s="5790"/>
      <c r="DC1" s="4894"/>
      <c r="DD1" s="4894"/>
      <c r="DE1" s="4894"/>
      <c r="DF1" s="4894"/>
      <c r="DG1" s="4894"/>
      <c r="DH1" s="4894"/>
      <c r="DI1" s="4894"/>
      <c r="DJ1" s="4894"/>
    </row>
    <row r="2" spans="1:114" ht="30">
      <c r="A2" s="5791" t="s">
        <v>233</v>
      </c>
      <c r="B2" s="5791"/>
      <c r="C2" s="5791"/>
      <c r="D2" s="5791"/>
      <c r="E2" s="5791"/>
      <c r="F2" s="5791"/>
      <c r="G2" s="5791"/>
      <c r="H2" s="5791"/>
      <c r="I2" s="5791"/>
      <c r="J2" s="5791"/>
      <c r="K2" s="5791"/>
      <c r="L2" s="5791"/>
      <c r="M2" s="5791"/>
      <c r="N2" s="5791"/>
      <c r="O2" s="5791"/>
      <c r="P2" s="5791"/>
      <c r="Q2" s="5791"/>
      <c r="R2" s="5791"/>
      <c r="S2" s="5791"/>
      <c r="T2" s="5791"/>
      <c r="U2" s="5791"/>
      <c r="V2" s="5791"/>
      <c r="W2" s="5791"/>
      <c r="X2" s="5791"/>
      <c r="Y2" s="5791"/>
      <c r="Z2" s="5791"/>
      <c r="AA2" s="5791"/>
      <c r="AB2" s="5791"/>
      <c r="AC2" s="5791"/>
      <c r="AD2" s="5791"/>
      <c r="AE2" s="5791"/>
      <c r="AF2" s="5791"/>
      <c r="AG2" s="5791"/>
      <c r="AH2" s="5791"/>
      <c r="AI2" s="5791"/>
      <c r="AJ2" s="5791"/>
      <c r="AK2" s="5791"/>
      <c r="AL2" s="5791"/>
      <c r="AM2" s="5791"/>
      <c r="AN2" s="5791"/>
      <c r="AO2" s="5791"/>
      <c r="AP2" s="5791"/>
      <c r="AQ2" s="5791"/>
      <c r="AR2" s="5791"/>
      <c r="AS2" s="5791"/>
      <c r="AT2" s="5791"/>
      <c r="AU2" s="5792"/>
      <c r="AV2" s="5792"/>
      <c r="AW2" s="5792"/>
      <c r="AX2" s="5792"/>
      <c r="AY2" s="5792"/>
      <c r="AZ2" s="5792"/>
      <c r="BA2" s="5792"/>
      <c r="BB2" s="5792"/>
      <c r="BC2" s="5792"/>
      <c r="BD2" s="5792"/>
      <c r="BE2" s="5792"/>
      <c r="BF2" s="5792"/>
      <c r="BG2" s="5792"/>
      <c r="BH2" s="5792"/>
      <c r="BI2" s="5792"/>
      <c r="BJ2" s="5792"/>
      <c r="BK2" s="5792"/>
      <c r="BL2" s="5792"/>
      <c r="BM2" s="5792"/>
      <c r="BN2" s="5792"/>
      <c r="BO2" s="5792"/>
      <c r="BP2" s="5792"/>
      <c r="BQ2" s="5792"/>
      <c r="BR2" s="5792"/>
      <c r="BS2" s="5792"/>
      <c r="BT2" s="5792"/>
      <c r="BU2" s="5792"/>
      <c r="BV2" s="5792"/>
      <c r="BW2" s="5792"/>
      <c r="BX2" s="5792"/>
      <c r="BY2" s="5792"/>
      <c r="BZ2" s="4894"/>
      <c r="CA2" s="4894"/>
      <c r="CB2" s="4894"/>
      <c r="CC2" s="4894"/>
      <c r="CD2" s="4894"/>
      <c r="CE2" s="4894"/>
      <c r="CF2" s="4894"/>
      <c r="CG2" s="4894"/>
      <c r="CH2" s="4894"/>
      <c r="CI2" s="4894"/>
      <c r="CJ2" s="4894"/>
      <c r="CK2" s="4894"/>
      <c r="CL2" s="4894"/>
      <c r="CM2" s="4894"/>
      <c r="CN2" s="4894"/>
      <c r="CO2" s="4894"/>
      <c r="CP2" s="4894"/>
      <c r="CQ2" s="4894"/>
      <c r="CR2" s="4894"/>
      <c r="CS2" s="4894"/>
      <c r="CT2" s="4894"/>
      <c r="CU2" s="4894"/>
      <c r="CV2" s="4894"/>
      <c r="CW2" s="4894"/>
      <c r="CX2" s="4894"/>
      <c r="CY2" s="4894"/>
      <c r="CZ2" s="4894"/>
      <c r="DA2" s="4894"/>
      <c r="DB2" s="4894"/>
      <c r="DC2" s="4894"/>
      <c r="DD2" s="4894"/>
      <c r="DE2" s="4894"/>
      <c r="DF2" s="4894"/>
      <c r="DG2" s="4894"/>
      <c r="DH2" s="4894"/>
      <c r="DI2" s="4894"/>
      <c r="DJ2" s="4894"/>
    </row>
    <row r="3" spans="1:114" ht="19.5" hidden="1" thickBot="1">
      <c r="A3" s="5828"/>
      <c r="B3" s="5828"/>
      <c r="C3" s="5828"/>
      <c r="D3" s="5828"/>
      <c r="E3" s="5828"/>
      <c r="F3" s="5828"/>
      <c r="G3" s="5828"/>
      <c r="H3" s="5828"/>
      <c r="I3" s="5828"/>
      <c r="J3" s="5828"/>
      <c r="K3" s="5828"/>
      <c r="L3" s="5828"/>
      <c r="M3" s="5828"/>
      <c r="N3" s="5828"/>
      <c r="O3" s="5828"/>
      <c r="P3" s="5828"/>
      <c r="Q3" s="5828"/>
      <c r="R3" s="5828"/>
      <c r="S3" s="5828"/>
      <c r="T3" s="5828"/>
      <c r="U3" s="5828"/>
      <c r="V3" s="5828"/>
      <c r="W3" s="5828"/>
      <c r="X3" s="5828"/>
      <c r="Y3" s="5828"/>
      <c r="Z3" s="5828"/>
      <c r="AA3" s="5828"/>
      <c r="AB3" s="5828"/>
      <c r="AC3" s="5828"/>
      <c r="AD3" s="5828"/>
      <c r="AE3" s="5828"/>
      <c r="AF3" s="5828"/>
      <c r="AG3" s="5828"/>
      <c r="AH3" s="5828"/>
      <c r="AI3" s="5828"/>
      <c r="AJ3" s="5828"/>
      <c r="AK3" s="5828"/>
      <c r="AL3" s="5828"/>
      <c r="AM3" s="5828"/>
      <c r="AN3" s="5828"/>
      <c r="AO3" s="5828"/>
      <c r="AP3" s="5828"/>
      <c r="AQ3" s="475"/>
      <c r="AR3" s="475"/>
      <c r="AS3" s="475"/>
      <c r="AT3" s="475"/>
      <c r="AU3" s="475"/>
      <c r="AV3" s="475"/>
      <c r="AW3" s="475"/>
      <c r="AX3" s="375"/>
      <c r="AY3" s="375"/>
      <c r="AZ3" s="375"/>
      <c r="BA3" s="375"/>
      <c r="BB3" s="375"/>
      <c r="BC3" s="375"/>
      <c r="BD3" s="375"/>
      <c r="BE3" s="375"/>
      <c r="BF3" s="375"/>
      <c r="BG3" s="375"/>
      <c r="BH3" s="375"/>
      <c r="BI3" s="375"/>
      <c r="BJ3" s="375"/>
      <c r="BK3" s="375"/>
      <c r="BL3" s="375"/>
      <c r="BM3" s="375"/>
      <c r="BN3" s="375"/>
      <c r="BO3" s="375"/>
      <c r="BP3" s="375"/>
      <c r="BQ3" s="375"/>
      <c r="BR3" s="375"/>
      <c r="BS3" s="375"/>
      <c r="BT3" s="375"/>
      <c r="BU3" s="375"/>
      <c r="BV3" s="375"/>
      <c r="BW3" s="375"/>
      <c r="BX3" s="375"/>
      <c r="BY3" s="375"/>
    </row>
    <row r="4" spans="1:114" ht="23.25" hidden="1" customHeight="1" thickBot="1">
      <c r="A4" s="5822" t="s">
        <v>175</v>
      </c>
      <c r="B4" s="5825" t="s">
        <v>176</v>
      </c>
      <c r="C4" s="5840" t="s">
        <v>177</v>
      </c>
      <c r="D4" s="5841"/>
      <c r="E4" s="5842"/>
      <c r="F4" s="5858" t="s">
        <v>178</v>
      </c>
      <c r="G4" s="5859"/>
      <c r="H4" s="5859"/>
      <c r="I4" s="5832" t="s">
        <v>179</v>
      </c>
      <c r="J4" s="5832"/>
      <c r="K4" s="5832"/>
      <c r="L4" s="5832"/>
      <c r="M4" s="5840" t="s">
        <v>180</v>
      </c>
      <c r="N4" s="5841"/>
      <c r="O4" s="5842"/>
      <c r="P4" s="5840" t="s">
        <v>198</v>
      </c>
      <c r="Q4" s="5841"/>
      <c r="R4" s="5842"/>
      <c r="S4" s="5852" t="s">
        <v>199</v>
      </c>
      <c r="T4" s="5853"/>
      <c r="U4" s="5854"/>
      <c r="V4" s="5852" t="s">
        <v>200</v>
      </c>
      <c r="W4" s="5853"/>
      <c r="X4" s="5854"/>
      <c r="Y4" s="5852" t="s">
        <v>253</v>
      </c>
      <c r="Z4" s="5853"/>
      <c r="AA4" s="5854"/>
      <c r="AB4" s="5114" t="s">
        <v>201</v>
      </c>
      <c r="AC4" s="5115"/>
      <c r="AD4" s="5115"/>
      <c r="AE4" s="5115"/>
      <c r="AF4" s="5116"/>
      <c r="AG4" s="5332" t="s">
        <v>181</v>
      </c>
      <c r="AH4" s="5333"/>
      <c r="AI4" s="5333"/>
      <c r="AJ4" s="5333"/>
      <c r="AK4" s="5334"/>
      <c r="AL4" s="5114" t="s">
        <v>234</v>
      </c>
      <c r="AM4" s="5115"/>
      <c r="AN4" s="5115"/>
      <c r="AO4" s="5115"/>
      <c r="AP4" s="5116"/>
      <c r="AQ4" s="982"/>
      <c r="AR4" s="982"/>
      <c r="AS4" s="982"/>
      <c r="AT4" s="982"/>
      <c r="AU4" s="5114" t="s">
        <v>235</v>
      </c>
      <c r="AV4" s="5115"/>
      <c r="AW4" s="5116"/>
      <c r="AX4" s="5114" t="s">
        <v>365</v>
      </c>
      <c r="AY4" s="5115"/>
      <c r="AZ4" s="5116"/>
      <c r="BA4" s="5114" t="s">
        <v>381</v>
      </c>
      <c r="BB4" s="5115"/>
      <c r="BC4" s="5115"/>
      <c r="BD4" s="5837" t="s">
        <v>389</v>
      </c>
      <c r="BE4" s="1256"/>
      <c r="BF4" s="1256"/>
      <c r="BG4" s="1256"/>
      <c r="BH4" s="1256"/>
      <c r="BI4" s="1256"/>
      <c r="BJ4" s="1256"/>
      <c r="BK4" s="1256"/>
      <c r="BL4" s="1256"/>
      <c r="BM4" s="1256"/>
      <c r="BN4" s="1256"/>
      <c r="BO4" s="1256"/>
      <c r="BP4" s="1256"/>
      <c r="BQ4" s="1256"/>
      <c r="BR4" s="1256"/>
      <c r="BS4" s="1256"/>
      <c r="BT4" s="1256"/>
      <c r="BU4" s="1256"/>
      <c r="BV4" s="1256"/>
      <c r="BW4" s="1256"/>
      <c r="BX4" s="1256"/>
      <c r="BY4" s="1256"/>
    </row>
    <row r="5" spans="1:114" ht="22.5" hidden="1" customHeight="1">
      <c r="A5" s="5823"/>
      <c r="B5" s="5826"/>
      <c r="C5" s="5843"/>
      <c r="D5" s="5844"/>
      <c r="E5" s="5845"/>
      <c r="F5" s="5860"/>
      <c r="G5" s="5861"/>
      <c r="H5" s="5861"/>
      <c r="I5" s="476"/>
      <c r="J5" s="476"/>
      <c r="K5" s="476"/>
      <c r="L5" s="477"/>
      <c r="M5" s="5843"/>
      <c r="N5" s="5844"/>
      <c r="O5" s="5845"/>
      <c r="P5" s="5843"/>
      <c r="Q5" s="5844"/>
      <c r="R5" s="5845"/>
      <c r="S5" s="5855"/>
      <c r="T5" s="5856"/>
      <c r="U5" s="5857"/>
      <c r="V5" s="5855"/>
      <c r="W5" s="5856"/>
      <c r="X5" s="5857"/>
      <c r="Y5" s="5855"/>
      <c r="Z5" s="5856"/>
      <c r="AA5" s="5857"/>
      <c r="AB5" s="5819"/>
      <c r="AC5" s="5820"/>
      <c r="AD5" s="5820"/>
      <c r="AE5" s="5820"/>
      <c r="AF5" s="5821"/>
      <c r="AG5" s="5722" t="s">
        <v>182</v>
      </c>
      <c r="AH5" s="5378" t="s">
        <v>183</v>
      </c>
      <c r="AI5" s="5378"/>
      <c r="AJ5" s="5378" t="s">
        <v>184</v>
      </c>
      <c r="AK5" s="5833"/>
      <c r="AL5" s="5819"/>
      <c r="AM5" s="5820"/>
      <c r="AN5" s="5820"/>
      <c r="AO5" s="5820"/>
      <c r="AP5" s="5821"/>
      <c r="AQ5" s="983"/>
      <c r="AR5" s="983"/>
      <c r="AS5" s="983"/>
      <c r="AT5" s="983"/>
      <c r="AU5" s="5819"/>
      <c r="AV5" s="5820"/>
      <c r="AW5" s="5821"/>
      <c r="AX5" s="5819"/>
      <c r="AY5" s="5820"/>
      <c r="AZ5" s="5821"/>
      <c r="BA5" s="5819"/>
      <c r="BB5" s="5820"/>
      <c r="BC5" s="5820"/>
      <c r="BD5" s="5838"/>
      <c r="BE5" s="1256"/>
      <c r="BF5" s="1256"/>
      <c r="BG5" s="1256"/>
      <c r="BH5" s="1256"/>
      <c r="BI5" s="1256"/>
      <c r="BJ5" s="1256"/>
      <c r="BK5" s="1256"/>
      <c r="BL5" s="1256"/>
      <c r="BM5" s="1256"/>
      <c r="BN5" s="1256"/>
      <c r="BO5" s="1256"/>
      <c r="BP5" s="1256"/>
      <c r="BQ5" s="1256"/>
      <c r="BR5" s="1256"/>
      <c r="BS5" s="1256"/>
      <c r="BT5" s="1256"/>
      <c r="BU5" s="1256"/>
      <c r="BV5" s="1256"/>
      <c r="BW5" s="1256"/>
      <c r="BX5" s="1256"/>
      <c r="BY5" s="1256"/>
    </row>
    <row r="6" spans="1:114" ht="63" hidden="1" customHeight="1" thickBot="1">
      <c r="A6" s="5824"/>
      <c r="B6" s="5827"/>
      <c r="C6" s="478" t="s">
        <v>182</v>
      </c>
      <c r="D6" s="426" t="s">
        <v>185</v>
      </c>
      <c r="E6" s="479" t="s">
        <v>186</v>
      </c>
      <c r="F6" s="480" t="s">
        <v>182</v>
      </c>
      <c r="G6" s="481" t="s">
        <v>185</v>
      </c>
      <c r="H6" s="482" t="s">
        <v>186</v>
      </c>
      <c r="I6" s="478" t="s">
        <v>182</v>
      </c>
      <c r="J6" s="426" t="s">
        <v>185</v>
      </c>
      <c r="K6" s="426" t="s">
        <v>187</v>
      </c>
      <c r="L6" s="479" t="s">
        <v>186</v>
      </c>
      <c r="M6" s="483" t="s">
        <v>182</v>
      </c>
      <c r="N6" s="426" t="s">
        <v>185</v>
      </c>
      <c r="O6" s="484" t="s">
        <v>186</v>
      </c>
      <c r="P6" s="483" t="s">
        <v>182</v>
      </c>
      <c r="Q6" s="408" t="s">
        <v>185</v>
      </c>
      <c r="R6" s="484" t="s">
        <v>186</v>
      </c>
      <c r="S6" s="485" t="s">
        <v>182</v>
      </c>
      <c r="T6" s="486" t="s">
        <v>185</v>
      </c>
      <c r="U6" s="487" t="s">
        <v>186</v>
      </c>
      <c r="V6" s="488" t="s">
        <v>182</v>
      </c>
      <c r="W6" s="486" t="s">
        <v>185</v>
      </c>
      <c r="X6" s="487" t="s">
        <v>186</v>
      </c>
      <c r="Y6" s="485" t="s">
        <v>182</v>
      </c>
      <c r="Z6" s="486" t="s">
        <v>185</v>
      </c>
      <c r="AA6" s="487" t="s">
        <v>186</v>
      </c>
      <c r="AB6" s="425" t="s">
        <v>182</v>
      </c>
      <c r="AC6" s="416" t="s">
        <v>185</v>
      </c>
      <c r="AD6" s="489" t="s">
        <v>209</v>
      </c>
      <c r="AE6" s="489" t="s">
        <v>210</v>
      </c>
      <c r="AF6" s="424" t="s">
        <v>186</v>
      </c>
      <c r="AG6" s="5083"/>
      <c r="AH6" s="416" t="s">
        <v>188</v>
      </c>
      <c r="AI6" s="416" t="s">
        <v>189</v>
      </c>
      <c r="AJ6" s="416" t="s">
        <v>190</v>
      </c>
      <c r="AK6" s="424" t="s">
        <v>191</v>
      </c>
      <c r="AL6" s="425" t="s">
        <v>182</v>
      </c>
      <c r="AM6" s="416" t="s">
        <v>185</v>
      </c>
      <c r="AN6" s="489" t="s">
        <v>209</v>
      </c>
      <c r="AO6" s="489" t="s">
        <v>210</v>
      </c>
      <c r="AP6" s="424" t="s">
        <v>186</v>
      </c>
      <c r="AQ6" s="1244"/>
      <c r="AR6" s="1244"/>
      <c r="AS6" s="1244"/>
      <c r="AT6" s="1244"/>
      <c r="AU6" s="425" t="s">
        <v>182</v>
      </c>
      <c r="AV6" s="416" t="s">
        <v>185</v>
      </c>
      <c r="AW6" s="424" t="s">
        <v>186</v>
      </c>
      <c r="AX6" s="425" t="s">
        <v>182</v>
      </c>
      <c r="AY6" s="416" t="s">
        <v>185</v>
      </c>
      <c r="AZ6" s="424" t="s">
        <v>186</v>
      </c>
      <c r="BA6" s="425" t="s">
        <v>182</v>
      </c>
      <c r="BB6" s="416" t="s">
        <v>185</v>
      </c>
      <c r="BC6" s="489" t="s">
        <v>186</v>
      </c>
      <c r="BD6" s="5839"/>
      <c r="BE6" s="1256"/>
      <c r="BF6" s="1256"/>
      <c r="BG6" s="1256"/>
      <c r="BH6" s="1256"/>
      <c r="BI6" s="1256"/>
      <c r="BJ6" s="1256"/>
      <c r="BK6" s="1256"/>
      <c r="BL6" s="1256"/>
      <c r="BM6" s="1256"/>
      <c r="BN6" s="1256"/>
      <c r="BO6" s="1256"/>
      <c r="BP6" s="1256"/>
      <c r="BQ6" s="1256"/>
      <c r="BR6" s="1256"/>
      <c r="BS6" s="1256"/>
      <c r="BT6" s="1256"/>
      <c r="BU6" s="1256"/>
      <c r="BV6" s="1256"/>
      <c r="BW6" s="1256"/>
      <c r="BX6" s="1256"/>
      <c r="BY6" s="1256"/>
    </row>
    <row r="7" spans="1:114" ht="18.75" hidden="1">
      <c r="A7" s="490"/>
      <c r="B7" s="419"/>
      <c r="C7" s="491"/>
      <c r="D7" s="417"/>
      <c r="E7" s="419"/>
      <c r="F7" s="492"/>
      <c r="G7" s="493"/>
      <c r="H7" s="494"/>
      <c r="I7" s="495"/>
      <c r="J7" s="417"/>
      <c r="K7" s="417"/>
      <c r="L7" s="496"/>
      <c r="M7" s="497"/>
      <c r="N7" s="498"/>
      <c r="O7" s="499"/>
      <c r="P7" s="500"/>
      <c r="Q7" s="410"/>
      <c r="R7" s="500"/>
      <c r="S7" s="501"/>
      <c r="T7" s="502"/>
      <c r="U7" s="503"/>
      <c r="V7" s="504"/>
      <c r="W7" s="502"/>
      <c r="X7" s="503"/>
      <c r="Y7" s="501"/>
      <c r="Z7" s="502"/>
      <c r="AA7" s="503"/>
      <c r="AB7" s="505"/>
      <c r="AC7" s="506"/>
      <c r="AD7" s="507"/>
      <c r="AE7" s="507"/>
      <c r="AF7" s="508"/>
      <c r="AG7" s="505"/>
      <c r="AH7" s="506"/>
      <c r="AI7" s="506"/>
      <c r="AJ7" s="506"/>
      <c r="AK7" s="509"/>
      <c r="AL7" s="505"/>
      <c r="AM7" s="506"/>
      <c r="AN7" s="507"/>
      <c r="AO7" s="507"/>
      <c r="AP7" s="508"/>
      <c r="AQ7" s="1245"/>
      <c r="AR7" s="1245"/>
      <c r="AS7" s="1245"/>
      <c r="AT7" s="1245"/>
      <c r="AU7" s="505"/>
      <c r="AV7" s="506"/>
      <c r="AW7" s="508"/>
      <c r="AX7" s="505"/>
      <c r="AY7" s="506"/>
      <c r="AZ7" s="508"/>
      <c r="BA7" s="505"/>
      <c r="BB7" s="506"/>
      <c r="BC7" s="507"/>
      <c r="BD7" s="510"/>
      <c r="BE7" s="1257"/>
      <c r="BF7" s="1257"/>
      <c r="BG7" s="1257"/>
      <c r="BH7" s="1257"/>
      <c r="BI7" s="1257"/>
      <c r="BJ7" s="1257"/>
      <c r="BK7" s="1257"/>
      <c r="BL7" s="1257"/>
      <c r="BM7" s="1257"/>
      <c r="BN7" s="1257"/>
      <c r="BO7" s="1257"/>
      <c r="BP7" s="1257"/>
      <c r="BQ7" s="1257"/>
      <c r="BR7" s="1257"/>
      <c r="BS7" s="1257"/>
      <c r="BT7" s="1257"/>
      <c r="BU7" s="1257"/>
      <c r="BV7" s="1257"/>
      <c r="BW7" s="1257"/>
      <c r="BX7" s="1257"/>
      <c r="BY7" s="1257"/>
    </row>
    <row r="8" spans="1:114" ht="56.25" hidden="1">
      <c r="A8" s="511" t="s">
        <v>192</v>
      </c>
      <c r="B8" s="512" t="s">
        <v>204</v>
      </c>
      <c r="C8" s="513">
        <v>840</v>
      </c>
      <c r="D8" s="514">
        <v>12146</v>
      </c>
      <c r="E8" s="515">
        <v>122429.8</v>
      </c>
      <c r="F8" s="516">
        <f>F9+F10</f>
        <v>813</v>
      </c>
      <c r="G8" s="517">
        <f>(G9*F9+G10*F10)/(F9+F10)</f>
        <v>12443.442804428045</v>
      </c>
      <c r="H8" s="518">
        <f>H10+H9</f>
        <v>121398.228</v>
      </c>
      <c r="I8" s="519">
        <v>799</v>
      </c>
      <c r="J8" s="514">
        <v>13361</v>
      </c>
      <c r="K8" s="520">
        <f>J8/G8</f>
        <v>1.07373820975377</v>
      </c>
      <c r="L8" s="521">
        <v>128108.9</v>
      </c>
      <c r="M8" s="519">
        <f>M9+M10+M11+M12</f>
        <v>155.5</v>
      </c>
      <c r="N8" s="514">
        <f>O8/M8/12*1000</f>
        <v>17474.049303322616</v>
      </c>
      <c r="O8" s="515">
        <f>O9+O10+O11+O12</f>
        <v>32606.576000000001</v>
      </c>
      <c r="P8" s="522">
        <f>SUM(P9:P12)</f>
        <v>150</v>
      </c>
      <c r="Q8" s="523">
        <f>R8/P8/12*1000</f>
        <v>20234.871111111108</v>
      </c>
      <c r="R8" s="522">
        <f>SUM(R9:R12)</f>
        <v>36422.767999999996</v>
      </c>
      <c r="S8" s="524">
        <f>S9+S10+S11+S12</f>
        <v>155</v>
      </c>
      <c r="T8" s="442">
        <f>U8/S8/12*1000</f>
        <v>19690.870967741936</v>
      </c>
      <c r="U8" s="401">
        <f>U9+U10+U11+U12</f>
        <v>36625.020000000004</v>
      </c>
      <c r="V8" s="427">
        <f>V9+V10+V11+V12</f>
        <v>149</v>
      </c>
      <c r="W8" s="442">
        <f>X8/V8/12*1000</f>
        <v>8464.3176733780765</v>
      </c>
      <c r="X8" s="525">
        <f>X9+X10</f>
        <v>15134.2</v>
      </c>
      <c r="Y8" s="526">
        <f>Y9+Y10+Y11+Y12</f>
        <v>155</v>
      </c>
      <c r="Z8" s="527">
        <f>AA8/Y8/12*1000</f>
        <v>19376.075268817203</v>
      </c>
      <c r="AA8" s="528">
        <f>AA9+AA10+AA11+AA12</f>
        <v>36039.5</v>
      </c>
      <c r="AB8" s="526">
        <f>AB9+AB10+AB11+AB12</f>
        <v>155</v>
      </c>
      <c r="AC8" s="527">
        <f>AF8/AB8/12*1000</f>
        <v>24645.696774193548</v>
      </c>
      <c r="AD8" s="529">
        <f>AC8/T8*100</f>
        <v>125.16306066180987</v>
      </c>
      <c r="AE8" s="529">
        <f>AC8/Z8*100</f>
        <v>127.19653713286812</v>
      </c>
      <c r="AF8" s="528">
        <f>AF9+AF10+AF11+AF12</f>
        <v>45840.995999999999</v>
      </c>
      <c r="AG8" s="530">
        <f>AG9+AG10</f>
        <v>94</v>
      </c>
      <c r="AH8" s="527">
        <f>AJ8/AG8/12*1000</f>
        <v>19182.659183059011</v>
      </c>
      <c r="AI8" s="531">
        <f>AH8/Z8*100</f>
        <v>99.001778827369307</v>
      </c>
      <c r="AJ8" s="532">
        <f>AJ9+AJ10</f>
        <v>21638.039558490564</v>
      </c>
      <c r="AK8" s="533">
        <f>AJ8/U8*100</f>
        <v>59.079939228676359</v>
      </c>
      <c r="AL8" s="526">
        <f>AL9+AL10+AL11+AL12</f>
        <v>155</v>
      </c>
      <c r="AM8" s="527">
        <f>AP8/AL8/12*1000</f>
        <v>21088.92280645161</v>
      </c>
      <c r="AN8" s="534">
        <f>AM8/T8*100</f>
        <v>107.1</v>
      </c>
      <c r="AO8" s="529">
        <f>AM8/AJ8*100</f>
        <v>97.462262001348989</v>
      </c>
      <c r="AP8" s="528">
        <f>AP9+AP10+AP11+AP12</f>
        <v>39225.396419999997</v>
      </c>
      <c r="AQ8" s="1246"/>
      <c r="AR8" s="1246"/>
      <c r="AS8" s="1246"/>
      <c r="AT8" s="1246"/>
      <c r="AU8" s="526">
        <f>AU9+AU10+AU11+AU12</f>
        <v>151</v>
      </c>
      <c r="AV8" s="527">
        <f>AW8/AU8/9*1000</f>
        <v>22518.469462840323</v>
      </c>
      <c r="AW8" s="528">
        <f>AW9+AW10+AW11+AW12</f>
        <v>30602.6</v>
      </c>
      <c r="AX8" s="526">
        <f>AX9+AX10+AX11+AX12</f>
        <v>151</v>
      </c>
      <c r="AY8" s="527">
        <f>AZ8/AX8/3*1000</f>
        <v>25066.88741721855</v>
      </c>
      <c r="AZ8" s="528">
        <f>AZ9+AZ10+AZ11+AZ12</f>
        <v>11355.300000000001</v>
      </c>
      <c r="BA8" s="526">
        <f>BA9+BA10+BA11+BA12</f>
        <v>150</v>
      </c>
      <c r="BB8" s="527">
        <f>BC8/BA8/12*1000</f>
        <v>22582.944444444442</v>
      </c>
      <c r="BC8" s="535">
        <f>BC9+BC10+BC11+BC12</f>
        <v>40649.299999999996</v>
      </c>
      <c r="BD8" s="536">
        <f>(M8+P8+Y8+BA8)/4</f>
        <v>152.625</v>
      </c>
      <c r="BE8" s="1258"/>
      <c r="BF8" s="1258"/>
      <c r="BG8" s="1258"/>
      <c r="BH8" s="1258"/>
      <c r="BI8" s="1258"/>
      <c r="BJ8" s="1258"/>
      <c r="BK8" s="1258"/>
      <c r="BL8" s="1258"/>
      <c r="BM8" s="1258"/>
      <c r="BN8" s="1258"/>
      <c r="BO8" s="1258"/>
      <c r="BP8" s="1258"/>
      <c r="BQ8" s="1258"/>
      <c r="BR8" s="1258"/>
      <c r="BS8" s="1258"/>
      <c r="BT8" s="1258"/>
      <c r="BU8" s="1258"/>
      <c r="BV8" s="1258"/>
      <c r="BW8" s="1258"/>
      <c r="BX8" s="1258"/>
      <c r="BY8" s="1258"/>
    </row>
    <row r="9" spans="1:114" ht="18.75" hidden="1">
      <c r="A9" s="537" t="s">
        <v>193</v>
      </c>
      <c r="B9" s="414" t="s">
        <v>85</v>
      </c>
      <c r="C9" s="538">
        <v>456</v>
      </c>
      <c r="D9" s="539">
        <v>12405</v>
      </c>
      <c r="E9" s="540">
        <v>67882.600000000006</v>
      </c>
      <c r="F9" s="541">
        <v>444</v>
      </c>
      <c r="G9" s="542">
        <v>12620</v>
      </c>
      <c r="H9" s="543">
        <f>F9*G9*12/1000</f>
        <v>67239.360000000001</v>
      </c>
      <c r="I9" s="544">
        <v>435</v>
      </c>
      <c r="J9" s="539">
        <v>13646</v>
      </c>
      <c r="K9" s="520">
        <f>J9/G9</f>
        <v>1.0812995245641839</v>
      </c>
      <c r="L9" s="545">
        <v>71232.100000000006</v>
      </c>
      <c r="M9" s="544">
        <v>26</v>
      </c>
      <c r="N9" s="539">
        <f>O9/M9/12*1000</f>
        <v>16771.474358974359</v>
      </c>
      <c r="O9" s="540">
        <v>5232.7</v>
      </c>
      <c r="P9" s="546">
        <v>22</v>
      </c>
      <c r="Q9" s="539">
        <v>20793</v>
      </c>
      <c r="R9" s="547">
        <f>P9*Q9*12/1000</f>
        <v>5489.3519999999999</v>
      </c>
      <c r="S9" s="344">
        <v>26.5</v>
      </c>
      <c r="T9" s="441">
        <f>U9/12/S9*1000</f>
        <v>17888.993710691826</v>
      </c>
      <c r="U9" s="402">
        <f>вода!I13</f>
        <v>5688.7</v>
      </c>
      <c r="V9" s="431">
        <v>22</v>
      </c>
      <c r="W9" s="548">
        <f>X9/9/V9*1000</f>
        <v>17417.171717171717</v>
      </c>
      <c r="X9" s="549">
        <v>3448.6</v>
      </c>
      <c r="Y9" s="550">
        <v>26.5</v>
      </c>
      <c r="Z9" s="548">
        <f>AA9/12/Y9*1000</f>
        <v>15450.943396226414</v>
      </c>
      <c r="AA9" s="551">
        <v>4913.3999999999996</v>
      </c>
      <c r="AB9" s="550">
        <v>26.5</v>
      </c>
      <c r="AC9" s="548">
        <v>21852</v>
      </c>
      <c r="AD9" s="552">
        <f t="shared" ref="AD9:AD18" si="0">AC9/T9*100</f>
        <v>122.15332149700282</v>
      </c>
      <c r="AE9" s="552">
        <f t="shared" ref="AE9:AE18" si="1">AC9/Z9*100</f>
        <v>141.42825741848824</v>
      </c>
      <c r="AF9" s="551">
        <f>AB9*AC9*12/1000</f>
        <v>6948.9359999999997</v>
      </c>
      <c r="AG9" s="550">
        <f>V9</f>
        <v>22</v>
      </c>
      <c r="AH9" s="548">
        <f>Z9*1.051</f>
        <v>16238.94150943396</v>
      </c>
      <c r="AI9" s="553">
        <f>AH9/Z9*100</f>
        <v>105.1</v>
      </c>
      <c r="AJ9" s="554">
        <f>AH9*12*AG9/1000</f>
        <v>4287.0805584905647</v>
      </c>
      <c r="AK9" s="555">
        <f>AJ9/U9*100</f>
        <v>75.361340174214931</v>
      </c>
      <c r="AL9" s="550">
        <v>26.5</v>
      </c>
      <c r="AM9" s="556">
        <f>T9*1.071</f>
        <v>19159.112264150946</v>
      </c>
      <c r="AN9" s="534">
        <f>AM9/T9*100</f>
        <v>107.1</v>
      </c>
      <c r="AO9" s="557">
        <f>AM9/Z9*100</f>
        <v>123.99962754915133</v>
      </c>
      <c r="AP9" s="551">
        <f>AL9*AM9*12/1000</f>
        <v>6092.5977000000012</v>
      </c>
      <c r="AQ9" s="1247"/>
      <c r="AR9" s="1247"/>
      <c r="AS9" s="1247"/>
      <c r="AT9" s="1247"/>
      <c r="AU9" s="550">
        <v>22</v>
      </c>
      <c r="AV9" s="548">
        <f>AW9/9/AU9*1000</f>
        <v>21411.616161616163</v>
      </c>
      <c r="AW9" s="551">
        <v>4239.5</v>
      </c>
      <c r="AX9" s="550">
        <v>22</v>
      </c>
      <c r="AY9" s="548">
        <f>AZ9/3/AX9*1000</f>
        <v>23621.21212121212</v>
      </c>
      <c r="AZ9" s="551">
        <v>1559</v>
      </c>
      <c r="BA9" s="550">
        <v>22</v>
      </c>
      <c r="BB9" s="556">
        <f>BC9/BA9/12*1000</f>
        <v>21159.469696969696</v>
      </c>
      <c r="BC9" s="558">
        <v>5586.1</v>
      </c>
      <c r="BD9" s="536">
        <f>(M9+P9+Y9+BA9)/4</f>
        <v>24.125</v>
      </c>
      <c r="BE9" s="1258"/>
      <c r="BF9" s="1258"/>
      <c r="BG9" s="1258"/>
      <c r="BH9" s="1258"/>
      <c r="BI9" s="1258"/>
      <c r="BJ9" s="1258"/>
      <c r="BK9" s="1258"/>
      <c r="BL9" s="1258"/>
      <c r="BM9" s="1258"/>
      <c r="BN9" s="1258"/>
      <c r="BO9" s="1258"/>
      <c r="BP9" s="1258"/>
      <c r="BQ9" s="1258"/>
      <c r="BR9" s="1258"/>
      <c r="BS9" s="1258"/>
      <c r="BT9" s="1258"/>
      <c r="BU9" s="1258"/>
      <c r="BV9" s="1258"/>
      <c r="BW9" s="1258"/>
      <c r="BX9" s="1258"/>
      <c r="BY9" s="1258"/>
    </row>
    <row r="10" spans="1:114" ht="18.75" hidden="1">
      <c r="A10" s="537" t="s">
        <v>194</v>
      </c>
      <c r="B10" s="414" t="s">
        <v>87</v>
      </c>
      <c r="C10" s="538">
        <v>384</v>
      </c>
      <c r="D10" s="539">
        <v>11838</v>
      </c>
      <c r="E10" s="540">
        <v>54547.199999999997</v>
      </c>
      <c r="F10" s="541">
        <v>369</v>
      </c>
      <c r="G10" s="542">
        <v>12231</v>
      </c>
      <c r="H10" s="543">
        <f>F10*G10*12/1000</f>
        <v>54158.868000000002</v>
      </c>
      <c r="I10" s="544">
        <v>364</v>
      </c>
      <c r="J10" s="539">
        <v>13021</v>
      </c>
      <c r="K10" s="520">
        <f>J10/G10</f>
        <v>1.0645899762897555</v>
      </c>
      <c r="L10" s="545">
        <v>56876.800000000003</v>
      </c>
      <c r="M10" s="559">
        <v>71.5</v>
      </c>
      <c r="N10" s="539">
        <f>O10/M10/12*1000</f>
        <v>16952.564102564102</v>
      </c>
      <c r="O10" s="540">
        <v>14545.3</v>
      </c>
      <c r="P10" s="546">
        <v>70</v>
      </c>
      <c r="Q10" s="539">
        <f>R10/P10/12*1000</f>
        <v>18740.238095238095</v>
      </c>
      <c r="R10" s="547">
        <v>15741.8</v>
      </c>
      <c r="S10" s="344">
        <v>72.5</v>
      </c>
      <c r="T10" s="441">
        <f>U10/S10/12*1000</f>
        <v>18462.988505747122</v>
      </c>
      <c r="U10" s="402">
        <f>вода!I23</f>
        <v>16062.8</v>
      </c>
      <c r="V10" s="431">
        <v>72</v>
      </c>
      <c r="W10" s="548">
        <f>X10/V10/12*1000</f>
        <v>13525</v>
      </c>
      <c r="X10" s="549">
        <v>11685.6</v>
      </c>
      <c r="Y10" s="550">
        <v>72.5</v>
      </c>
      <c r="Z10" s="548">
        <f>AA10/12/72*1000</f>
        <v>19107.638888888891</v>
      </c>
      <c r="AA10" s="551">
        <v>16509</v>
      </c>
      <c r="AB10" s="550">
        <v>72.5</v>
      </c>
      <c r="AC10" s="548">
        <v>23802</v>
      </c>
      <c r="AD10" s="552">
        <f t="shared" si="0"/>
        <v>128.91737430584956</v>
      </c>
      <c r="AE10" s="552">
        <f t="shared" si="1"/>
        <v>124.56798110121751</v>
      </c>
      <c r="AF10" s="551">
        <f>AB10*AC10*12/1000</f>
        <v>20707.740000000002</v>
      </c>
      <c r="AG10" s="550">
        <f>V10</f>
        <v>72</v>
      </c>
      <c r="AH10" s="548">
        <f>Z10*1.051</f>
        <v>20082.128472222223</v>
      </c>
      <c r="AI10" s="553">
        <f>AH10/Z10*100</f>
        <v>105.1</v>
      </c>
      <c r="AJ10" s="554">
        <f>AH10*12*AG10/1000</f>
        <v>17350.958999999999</v>
      </c>
      <c r="AK10" s="555">
        <f>AJ10/U10*100</f>
        <v>108.01951714520506</v>
      </c>
      <c r="AL10" s="550">
        <v>72.5</v>
      </c>
      <c r="AM10" s="556">
        <f>T10*1.071</f>
        <v>19773.860689655168</v>
      </c>
      <c r="AN10" s="534">
        <f>AM10/T10*100</f>
        <v>107.1</v>
      </c>
      <c r="AO10" s="557">
        <f t="shared" ref="AO10:AO18" si="2">AM10/Z10*100</f>
        <v>103.48667778703775</v>
      </c>
      <c r="AP10" s="551">
        <f>AL10*AM10*12/1000</f>
        <v>17203.258799999996</v>
      </c>
      <c r="AQ10" s="1247"/>
      <c r="AR10" s="1247"/>
      <c r="AS10" s="1247"/>
      <c r="AT10" s="1247"/>
      <c r="AU10" s="550">
        <v>72</v>
      </c>
      <c r="AV10" s="548">
        <f>AW10/9/AU10*1000</f>
        <v>21503.703703703704</v>
      </c>
      <c r="AW10" s="551">
        <v>13934.4</v>
      </c>
      <c r="AX10" s="550">
        <v>72</v>
      </c>
      <c r="AY10" s="548">
        <f>AZ10/3/AX10*1000</f>
        <v>23650.925925925927</v>
      </c>
      <c r="AZ10" s="551">
        <v>5108.6000000000004</v>
      </c>
      <c r="BA10" s="550">
        <v>72</v>
      </c>
      <c r="BB10" s="556">
        <f>BC10/BA10/12*1000</f>
        <v>21402.199074074077</v>
      </c>
      <c r="BC10" s="558">
        <v>18491.5</v>
      </c>
      <c r="BD10" s="536">
        <f>(M10+P10+Y10+BA10)/4</f>
        <v>71.5</v>
      </c>
      <c r="BE10" s="1258"/>
      <c r="BF10" s="1258"/>
      <c r="BG10" s="1258"/>
      <c r="BH10" s="1258"/>
      <c r="BI10" s="1258"/>
      <c r="BJ10" s="1258"/>
      <c r="BK10" s="1258"/>
      <c r="BL10" s="1258"/>
      <c r="BM10" s="1258"/>
      <c r="BN10" s="1258"/>
      <c r="BO10" s="1258"/>
      <c r="BP10" s="1258"/>
      <c r="BQ10" s="1258"/>
      <c r="BR10" s="1258"/>
      <c r="BS10" s="1258"/>
      <c r="BT10" s="1258"/>
      <c r="BU10" s="1258"/>
      <c r="BV10" s="1258"/>
      <c r="BW10" s="1258"/>
      <c r="BX10" s="1258"/>
      <c r="BY10" s="1258"/>
    </row>
    <row r="11" spans="1:114" ht="18.75" hidden="1">
      <c r="A11" s="537" t="s">
        <v>202</v>
      </c>
      <c r="B11" s="414" t="s">
        <v>88</v>
      </c>
      <c r="C11" s="538"/>
      <c r="D11" s="539"/>
      <c r="E11" s="540"/>
      <c r="F11" s="541"/>
      <c r="G11" s="542"/>
      <c r="H11" s="543"/>
      <c r="I11" s="544"/>
      <c r="J11" s="539"/>
      <c r="K11" s="520"/>
      <c r="L11" s="545"/>
      <c r="M11" s="544">
        <v>33</v>
      </c>
      <c r="N11" s="539">
        <v>18981</v>
      </c>
      <c r="O11" s="540">
        <f>M11*N11*12/1000</f>
        <v>7516.4759999999997</v>
      </c>
      <c r="P11" s="560">
        <v>32</v>
      </c>
      <c r="Q11" s="561">
        <v>21797</v>
      </c>
      <c r="R11" s="547">
        <f>P11*Q11*12/1000</f>
        <v>8370.0480000000007</v>
      </c>
      <c r="S11" s="344">
        <v>31</v>
      </c>
      <c r="T11" s="343">
        <v>23385</v>
      </c>
      <c r="U11" s="402">
        <f>S11*T11*12/1000</f>
        <v>8699.2199999999993</v>
      </c>
      <c r="V11" s="431">
        <v>30</v>
      </c>
      <c r="W11" s="548">
        <v>21786</v>
      </c>
      <c r="X11" s="549">
        <f>V11*W11*9/1000</f>
        <v>5882.22</v>
      </c>
      <c r="Y11" s="550">
        <v>31</v>
      </c>
      <c r="Z11" s="548">
        <v>24160</v>
      </c>
      <c r="AA11" s="551">
        <v>8778.6</v>
      </c>
      <c r="AB11" s="550">
        <v>31</v>
      </c>
      <c r="AC11" s="548">
        <v>28610</v>
      </c>
      <c r="AD11" s="552">
        <f t="shared" si="0"/>
        <v>122.34338251015609</v>
      </c>
      <c r="AE11" s="552">
        <f t="shared" si="1"/>
        <v>118.41887417218544</v>
      </c>
      <c r="AF11" s="551">
        <f>AB11*AC11*12/1000</f>
        <v>10642.92</v>
      </c>
      <c r="AG11" s="550"/>
      <c r="AH11" s="548"/>
      <c r="AI11" s="553"/>
      <c r="AJ11" s="554"/>
      <c r="AK11" s="555"/>
      <c r="AL11" s="550">
        <v>31</v>
      </c>
      <c r="AM11" s="556">
        <f>T11*1.071</f>
        <v>25045.334999999999</v>
      </c>
      <c r="AN11" s="534">
        <f>AM11/T11*100</f>
        <v>107.1</v>
      </c>
      <c r="AO11" s="557">
        <f t="shared" si="2"/>
        <v>103.66446605960265</v>
      </c>
      <c r="AP11" s="551">
        <f>AL11*AM11*12/1000</f>
        <v>9316.8646200000003</v>
      </c>
      <c r="AQ11" s="1247"/>
      <c r="AR11" s="1247"/>
      <c r="AS11" s="1247"/>
      <c r="AT11" s="1247"/>
      <c r="AU11" s="550">
        <v>32</v>
      </c>
      <c r="AV11" s="548">
        <f>AW11/9/AU11*1000</f>
        <v>25180.902777777777</v>
      </c>
      <c r="AW11" s="551">
        <v>7252.1</v>
      </c>
      <c r="AX11" s="550">
        <v>32</v>
      </c>
      <c r="AY11" s="548">
        <f>AZ11/3/AX11*1000</f>
        <v>28734.375</v>
      </c>
      <c r="AZ11" s="551">
        <v>2758.5</v>
      </c>
      <c r="BA11" s="550">
        <v>31</v>
      </c>
      <c r="BB11" s="556">
        <f>BC11/BA11/12*1000</f>
        <v>26139.247311827956</v>
      </c>
      <c r="BC11" s="558">
        <v>9723.7999999999993</v>
      </c>
      <c r="BD11" s="536">
        <f>(M11+P11+Y11+BA11)/4</f>
        <v>31.75</v>
      </c>
      <c r="BE11" s="1258"/>
      <c r="BF11" s="1258"/>
      <c r="BG11" s="1258"/>
      <c r="BH11" s="1258"/>
      <c r="BI11" s="1258"/>
      <c r="BJ11" s="1258"/>
      <c r="BK11" s="1258"/>
      <c r="BL11" s="1258"/>
      <c r="BM11" s="1258"/>
      <c r="BN11" s="1258"/>
      <c r="BO11" s="1258"/>
      <c r="BP11" s="1258"/>
      <c r="BQ11" s="1258"/>
      <c r="BR11" s="1258"/>
      <c r="BS11" s="1258"/>
      <c r="BT11" s="1258"/>
      <c r="BU11" s="1258"/>
      <c r="BV11" s="1258"/>
      <c r="BW11" s="1258"/>
      <c r="BX11" s="1258"/>
      <c r="BY11" s="1258"/>
    </row>
    <row r="12" spans="1:114" ht="18.75" hidden="1">
      <c r="A12" s="537" t="s">
        <v>203</v>
      </c>
      <c r="B12" s="414" t="s">
        <v>89</v>
      </c>
      <c r="C12" s="538"/>
      <c r="D12" s="539"/>
      <c r="E12" s="540"/>
      <c r="F12" s="541"/>
      <c r="G12" s="542"/>
      <c r="H12" s="543"/>
      <c r="I12" s="544"/>
      <c r="J12" s="539"/>
      <c r="K12" s="520"/>
      <c r="L12" s="545"/>
      <c r="M12" s="544">
        <v>25</v>
      </c>
      <c r="N12" s="539">
        <v>17707</v>
      </c>
      <c r="O12" s="540">
        <f>M12*N12*12/1000</f>
        <v>5312.1</v>
      </c>
      <c r="P12" s="560">
        <v>26</v>
      </c>
      <c r="Q12" s="561">
        <v>21864</v>
      </c>
      <c r="R12" s="547">
        <f>P12*Q12*12/1000</f>
        <v>6821.5680000000002</v>
      </c>
      <c r="S12" s="344">
        <v>25</v>
      </c>
      <c r="T12" s="343">
        <v>20581</v>
      </c>
      <c r="U12" s="402">
        <f>S12*T12*12/1000</f>
        <v>6174.3</v>
      </c>
      <c r="V12" s="431">
        <v>25</v>
      </c>
      <c r="W12" s="548">
        <v>18220</v>
      </c>
      <c r="X12" s="549">
        <f>V12*W12*9/1000</f>
        <v>4099.5</v>
      </c>
      <c r="Y12" s="550">
        <v>25</v>
      </c>
      <c r="Z12" s="548">
        <v>20570</v>
      </c>
      <c r="AA12" s="551">
        <v>5838.5</v>
      </c>
      <c r="AB12" s="550">
        <v>25</v>
      </c>
      <c r="AC12" s="548">
        <v>25138</v>
      </c>
      <c r="AD12" s="552">
        <f t="shared" si="0"/>
        <v>122.14178125455517</v>
      </c>
      <c r="AE12" s="552">
        <f t="shared" si="1"/>
        <v>122.2070977151191</v>
      </c>
      <c r="AF12" s="551">
        <f>AB12*AC12*12/1000</f>
        <v>7541.4</v>
      </c>
      <c r="AG12" s="550"/>
      <c r="AH12" s="548"/>
      <c r="AI12" s="553"/>
      <c r="AJ12" s="554"/>
      <c r="AK12" s="555"/>
      <c r="AL12" s="550">
        <v>25</v>
      </c>
      <c r="AM12" s="556">
        <f>T12*1.071</f>
        <v>22042.251</v>
      </c>
      <c r="AN12" s="534">
        <f>AM12/T12*100</f>
        <v>107.1</v>
      </c>
      <c r="AO12" s="557">
        <f t="shared" si="2"/>
        <v>107.15727272727274</v>
      </c>
      <c r="AP12" s="551">
        <f>AL12*AM12*12/1000</f>
        <v>6612.6753000000008</v>
      </c>
      <c r="AQ12" s="1247"/>
      <c r="AR12" s="1247"/>
      <c r="AS12" s="1247"/>
      <c r="AT12" s="1247"/>
      <c r="AU12" s="550">
        <v>25</v>
      </c>
      <c r="AV12" s="548">
        <f>AW12/9/AU12*1000</f>
        <v>23007.111111111113</v>
      </c>
      <c r="AW12" s="551">
        <v>5176.6000000000004</v>
      </c>
      <c r="AX12" s="550">
        <v>25</v>
      </c>
      <c r="AY12" s="548">
        <f>AZ12/3/AX12*1000</f>
        <v>25722.666666666668</v>
      </c>
      <c r="AZ12" s="551">
        <v>1929.2</v>
      </c>
      <c r="BA12" s="550">
        <v>25</v>
      </c>
      <c r="BB12" s="556">
        <f>BC12/BA12/12*1000</f>
        <v>22826.333333333336</v>
      </c>
      <c r="BC12" s="558">
        <v>6847.9</v>
      </c>
      <c r="BD12" s="536">
        <f>(M12+P12+Y12+BA12)/4</f>
        <v>25.25</v>
      </c>
      <c r="BE12" s="1258"/>
      <c r="BF12" s="1258"/>
      <c r="BG12" s="1258"/>
      <c r="BH12" s="1258"/>
      <c r="BI12" s="1258"/>
      <c r="BJ12" s="1258"/>
      <c r="BK12" s="1258"/>
      <c r="BL12" s="1258"/>
      <c r="BM12" s="1258"/>
      <c r="BN12" s="1258"/>
      <c r="BO12" s="1258"/>
      <c r="BP12" s="1258"/>
      <c r="BQ12" s="1258"/>
      <c r="BR12" s="1258"/>
      <c r="BS12" s="1258"/>
      <c r="BT12" s="1258"/>
      <c r="BU12" s="1258"/>
      <c r="BV12" s="1258"/>
      <c r="BW12" s="1258"/>
      <c r="BX12" s="1258"/>
      <c r="BY12" s="1258"/>
    </row>
    <row r="13" spans="1:114" ht="18.75" hidden="1">
      <c r="A13" s="537"/>
      <c r="B13" s="414"/>
      <c r="C13" s="538"/>
      <c r="D13" s="539"/>
      <c r="E13" s="540"/>
      <c r="F13" s="541"/>
      <c r="G13" s="542"/>
      <c r="H13" s="543"/>
      <c r="I13" s="544"/>
      <c r="J13" s="539"/>
      <c r="K13" s="520"/>
      <c r="L13" s="545"/>
      <c r="M13" s="544"/>
      <c r="N13" s="539"/>
      <c r="O13" s="540"/>
      <c r="P13" s="547"/>
      <c r="Q13" s="562"/>
      <c r="R13" s="547"/>
      <c r="S13" s="344"/>
      <c r="T13" s="343"/>
      <c r="U13" s="402"/>
      <c r="V13" s="431"/>
      <c r="W13" s="548"/>
      <c r="X13" s="549"/>
      <c r="Y13" s="550"/>
      <c r="Z13" s="548"/>
      <c r="AA13" s="551"/>
      <c r="AB13" s="550"/>
      <c r="AC13" s="548"/>
      <c r="AD13" s="529"/>
      <c r="AE13" s="552"/>
      <c r="AF13" s="551"/>
      <c r="AG13" s="550"/>
      <c r="AH13" s="548"/>
      <c r="AI13" s="553"/>
      <c r="AJ13" s="554"/>
      <c r="AK13" s="555"/>
      <c r="AL13" s="550"/>
      <c r="AM13" s="548"/>
      <c r="AN13" s="534"/>
      <c r="AO13" s="557"/>
      <c r="AP13" s="551"/>
      <c r="AQ13" s="1247"/>
      <c r="AR13" s="1247"/>
      <c r="AS13" s="1247"/>
      <c r="AT13" s="1247"/>
      <c r="AU13" s="550"/>
      <c r="AV13" s="563"/>
      <c r="AW13" s="551"/>
      <c r="AX13" s="550"/>
      <c r="AY13" s="563"/>
      <c r="AZ13" s="551"/>
      <c r="BA13" s="550"/>
      <c r="BB13" s="548"/>
      <c r="BC13" s="558"/>
      <c r="BD13" s="536"/>
      <c r="BE13" s="1258"/>
      <c r="BF13" s="1258"/>
      <c r="BG13" s="1258"/>
      <c r="BH13" s="1258"/>
      <c r="BI13" s="1258"/>
      <c r="BJ13" s="1258"/>
      <c r="BK13" s="1258"/>
      <c r="BL13" s="1258"/>
      <c r="BM13" s="1258"/>
      <c r="BN13" s="1258"/>
      <c r="BO13" s="1258"/>
      <c r="BP13" s="1258"/>
      <c r="BQ13" s="1258"/>
      <c r="BR13" s="1258"/>
      <c r="BS13" s="1258"/>
      <c r="BT13" s="1258"/>
      <c r="BU13" s="1258"/>
      <c r="BV13" s="1258"/>
      <c r="BW13" s="1258"/>
      <c r="BX13" s="1258"/>
      <c r="BY13" s="1258"/>
    </row>
    <row r="14" spans="1:114" ht="56.25" hidden="1">
      <c r="A14" s="511" t="s">
        <v>195</v>
      </c>
      <c r="B14" s="512" t="s">
        <v>205</v>
      </c>
      <c r="C14" s="513">
        <v>840</v>
      </c>
      <c r="D14" s="514">
        <v>12146</v>
      </c>
      <c r="E14" s="515">
        <v>122429.8</v>
      </c>
      <c r="F14" s="516">
        <f>F15+F16</f>
        <v>813</v>
      </c>
      <c r="G14" s="517">
        <f>(G15*F15+G16*F16)/(F15+F16)</f>
        <v>12443.442804428045</v>
      </c>
      <c r="H14" s="518">
        <f>H16+H15</f>
        <v>121398.228</v>
      </c>
      <c r="I14" s="519">
        <v>799</v>
      </c>
      <c r="J14" s="514">
        <v>13361</v>
      </c>
      <c r="K14" s="520">
        <f>J14/G14</f>
        <v>1.07373820975377</v>
      </c>
      <c r="L14" s="521">
        <v>128108.9</v>
      </c>
      <c r="M14" s="519">
        <f>M15+M16+M17+M18</f>
        <v>109</v>
      </c>
      <c r="N14" s="514">
        <f>O14/M14/12*1000</f>
        <v>18196.483180428135</v>
      </c>
      <c r="O14" s="515">
        <f>O15+O16+O17+O18</f>
        <v>23801.000000000004</v>
      </c>
      <c r="P14" s="522">
        <f>SUM(P15:P18)</f>
        <v>95</v>
      </c>
      <c r="Q14" s="523">
        <f>R14/P14/12*1000</f>
        <v>21844.621052631581</v>
      </c>
      <c r="R14" s="522">
        <f>SUM(R15:R18)</f>
        <v>24902.868000000002</v>
      </c>
      <c r="S14" s="524">
        <f>S15+S16+S17+S18</f>
        <v>105</v>
      </c>
      <c r="T14" s="442">
        <f>U14/S14/12*1000</f>
        <v>22144.31111111111</v>
      </c>
      <c r="U14" s="401">
        <f>U15+U16+U17+U18</f>
        <v>27901.832000000002</v>
      </c>
      <c r="V14" s="427">
        <f>V15+V16+V17+V18</f>
        <v>98</v>
      </c>
      <c r="W14" s="442">
        <f>X14/V14/12*1000</f>
        <v>15199.064625850338</v>
      </c>
      <c r="X14" s="525">
        <f>X15+X16+X17+X18</f>
        <v>17874.099999999999</v>
      </c>
      <c r="Y14" s="564">
        <f>Y15+Y16+Y17+Y18</f>
        <v>94</v>
      </c>
      <c r="Z14" s="565">
        <f>AA14/Y14/12*1000</f>
        <v>22720.301418439718</v>
      </c>
      <c r="AA14" s="566">
        <f>AA15+AA16+AA17+AA18</f>
        <v>25628.5</v>
      </c>
      <c r="AB14" s="526">
        <f>AB15+AB16+AB17+AB18</f>
        <v>105</v>
      </c>
      <c r="AC14" s="527">
        <f>AF14/AB14/12*1000</f>
        <v>27439.161904761906</v>
      </c>
      <c r="AD14" s="529">
        <f t="shared" si="0"/>
        <v>123.91065934308546</v>
      </c>
      <c r="AE14" s="552">
        <f t="shared" si="1"/>
        <v>120.76935688226555</v>
      </c>
      <c r="AF14" s="528">
        <f>AF15+AF16+AF17+AF18</f>
        <v>34573.344000000005</v>
      </c>
      <c r="AG14" s="550"/>
      <c r="AH14" s="548"/>
      <c r="AI14" s="553"/>
      <c r="AJ14" s="554"/>
      <c r="AK14" s="555"/>
      <c r="AL14" s="526">
        <f>AL15+AL16+AL17+AL18</f>
        <v>105</v>
      </c>
      <c r="AM14" s="527">
        <f>AP14/AL14/12*1000</f>
        <v>23716.557199999999</v>
      </c>
      <c r="AN14" s="534">
        <f>AM14/T14*100</f>
        <v>107.1</v>
      </c>
      <c r="AO14" s="557">
        <f t="shared" si="2"/>
        <v>104.38487044345162</v>
      </c>
      <c r="AP14" s="528">
        <f>AP15+AP16+AP17+AP18</f>
        <v>29882.862072</v>
      </c>
      <c r="AQ14" s="1246"/>
      <c r="AR14" s="1246"/>
      <c r="AS14" s="1246"/>
      <c r="AT14" s="1246"/>
      <c r="AU14" s="526">
        <f>AU15+AU16+AU17+AU18</f>
        <v>98</v>
      </c>
      <c r="AV14" s="527">
        <f>AW14/AU14/9*1000</f>
        <v>24623.582766439908</v>
      </c>
      <c r="AW14" s="528">
        <f>AW15+AW16+AW17+AW18</f>
        <v>21717.999999999996</v>
      </c>
      <c r="AX14" s="526">
        <f>AX15+AX16+AX17+AX18</f>
        <v>98</v>
      </c>
      <c r="AY14" s="527">
        <f>AZ14/AX14/3*1000</f>
        <v>27260.884353741498</v>
      </c>
      <c r="AZ14" s="528">
        <f>AZ15+AZ16+AZ17+AZ18</f>
        <v>8014.7000000000007</v>
      </c>
      <c r="BA14" s="526">
        <f>BA15+BA16+BA17+BA18</f>
        <v>98</v>
      </c>
      <c r="BB14" s="527">
        <f>BC14/BA14/12*1000</f>
        <v>24748.639455782311</v>
      </c>
      <c r="BC14" s="535">
        <f>BC15+BC16+BC17+BC18</f>
        <v>29104.399999999998</v>
      </c>
      <c r="BD14" s="536">
        <f>(M14+P14+Y14+BA14)/4</f>
        <v>99</v>
      </c>
      <c r="BE14" s="1258"/>
      <c r="BF14" s="1258"/>
      <c r="BG14" s="1258"/>
      <c r="BH14" s="1258"/>
      <c r="BI14" s="1258"/>
      <c r="BJ14" s="1258"/>
      <c r="BK14" s="1258"/>
      <c r="BL14" s="1258"/>
      <c r="BM14" s="1258"/>
      <c r="BN14" s="1258"/>
      <c r="BO14" s="1258"/>
      <c r="BP14" s="1258"/>
      <c r="BQ14" s="1258"/>
      <c r="BR14" s="1258"/>
      <c r="BS14" s="1258"/>
      <c r="BT14" s="1258"/>
      <c r="BU14" s="1258"/>
      <c r="BV14" s="1258"/>
      <c r="BW14" s="1258"/>
      <c r="BX14" s="1258"/>
      <c r="BY14" s="1258"/>
    </row>
    <row r="15" spans="1:114" ht="18.75" hidden="1">
      <c r="A15" s="537" t="s">
        <v>196</v>
      </c>
      <c r="B15" s="414" t="s">
        <v>91</v>
      </c>
      <c r="C15" s="538">
        <v>456</v>
      </c>
      <c r="D15" s="539">
        <v>12405</v>
      </c>
      <c r="E15" s="540">
        <v>67882.600000000006</v>
      </c>
      <c r="F15" s="541">
        <v>444</v>
      </c>
      <c r="G15" s="542">
        <v>12620</v>
      </c>
      <c r="H15" s="543">
        <f>F15*G15*12/1000</f>
        <v>67239.360000000001</v>
      </c>
      <c r="I15" s="544">
        <v>435</v>
      </c>
      <c r="J15" s="539">
        <v>13646</v>
      </c>
      <c r="K15" s="520">
        <f>J15/G15</f>
        <v>1.0812995245641839</v>
      </c>
      <c r="L15" s="545">
        <v>71232.100000000006</v>
      </c>
      <c r="M15" s="544">
        <v>26</v>
      </c>
      <c r="N15" s="539">
        <f>O15/M15/12*1000</f>
        <v>18108.974358974363</v>
      </c>
      <c r="O15" s="540">
        <v>5650</v>
      </c>
      <c r="P15" s="546">
        <v>26</v>
      </c>
      <c r="Q15" s="539">
        <f>R15/P15/12*1000</f>
        <v>19295.833333333336</v>
      </c>
      <c r="R15" s="547">
        <v>6020.3</v>
      </c>
      <c r="S15" s="344">
        <v>30</v>
      </c>
      <c r="T15" s="441">
        <f>U15/S15/12*1000</f>
        <v>18746.388888888887</v>
      </c>
      <c r="U15" s="402">
        <v>6748.7</v>
      </c>
      <c r="V15" s="431">
        <v>27</v>
      </c>
      <c r="W15" s="441">
        <f>X15/V15/9*1000</f>
        <v>17960.905349794237</v>
      </c>
      <c r="X15" s="549">
        <v>4364.5</v>
      </c>
      <c r="Y15" s="550">
        <v>26</v>
      </c>
      <c r="Z15" s="548">
        <f>AA15/12/Y15*1000</f>
        <v>19381.410256410254</v>
      </c>
      <c r="AA15" s="551">
        <v>6047</v>
      </c>
      <c r="AB15" s="550">
        <v>30</v>
      </c>
      <c r="AC15" s="548">
        <v>23903</v>
      </c>
      <c r="AD15" s="552">
        <f t="shared" si="0"/>
        <v>127.50722361343666</v>
      </c>
      <c r="AE15" s="552">
        <f t="shared" si="1"/>
        <v>123.32951876963784</v>
      </c>
      <c r="AF15" s="551">
        <f>AB15*AC15*12/1000</f>
        <v>8605.08</v>
      </c>
      <c r="AG15" s="550"/>
      <c r="AH15" s="548"/>
      <c r="AI15" s="553"/>
      <c r="AJ15" s="554"/>
      <c r="AK15" s="555"/>
      <c r="AL15" s="550">
        <v>30</v>
      </c>
      <c r="AM15" s="556">
        <f>T15*1.071</f>
        <v>20077.382499999996</v>
      </c>
      <c r="AN15" s="534">
        <f>AM15/T15*100</f>
        <v>107.1</v>
      </c>
      <c r="AO15" s="557">
        <f t="shared" si="2"/>
        <v>103.5909267405325</v>
      </c>
      <c r="AP15" s="551">
        <f>AL15*AM15*12/1000</f>
        <v>7227.8576999999987</v>
      </c>
      <c r="AQ15" s="1247"/>
      <c r="AR15" s="1247"/>
      <c r="AS15" s="1247"/>
      <c r="AT15" s="1247"/>
      <c r="AU15" s="550">
        <v>26</v>
      </c>
      <c r="AV15" s="548">
        <f>AW15/9/AU15*1000</f>
        <v>22458.119658119656</v>
      </c>
      <c r="AW15" s="551">
        <v>5255.2</v>
      </c>
      <c r="AX15" s="550">
        <v>26</v>
      </c>
      <c r="AY15" s="548">
        <f>AZ15/3/AX15*1000</f>
        <v>23894.871794871793</v>
      </c>
      <c r="AZ15" s="551">
        <v>1863.8</v>
      </c>
      <c r="BA15" s="550">
        <v>26</v>
      </c>
      <c r="BB15" s="556">
        <f>BC15/12/BA15*1000</f>
        <v>22598.076923076926</v>
      </c>
      <c r="BC15" s="558">
        <v>7050.6</v>
      </c>
      <c r="BD15" s="536">
        <f>(M15+P15+Y15+BA15)/4</f>
        <v>26</v>
      </c>
      <c r="BE15" s="1258"/>
      <c r="BF15" s="1258"/>
      <c r="BG15" s="1258"/>
      <c r="BH15" s="1258"/>
      <c r="BI15" s="1258"/>
      <c r="BJ15" s="1258"/>
      <c r="BK15" s="1258"/>
      <c r="BL15" s="1258"/>
      <c r="BM15" s="1258"/>
      <c r="BN15" s="1258"/>
      <c r="BO15" s="1258"/>
      <c r="BP15" s="1258"/>
      <c r="BQ15" s="1258"/>
      <c r="BR15" s="1258"/>
      <c r="BS15" s="1258"/>
      <c r="BT15" s="1258"/>
      <c r="BU15" s="1258"/>
      <c r="BV15" s="1258"/>
      <c r="BW15" s="1258"/>
      <c r="BX15" s="1258"/>
      <c r="BY15" s="1258"/>
    </row>
    <row r="16" spans="1:114" ht="18.75" hidden="1">
      <c r="A16" s="537" t="s">
        <v>197</v>
      </c>
      <c r="B16" s="414" t="s">
        <v>92</v>
      </c>
      <c r="C16" s="538">
        <v>384</v>
      </c>
      <c r="D16" s="539">
        <v>11838</v>
      </c>
      <c r="E16" s="540">
        <v>54547.199999999997</v>
      </c>
      <c r="F16" s="541">
        <v>369</v>
      </c>
      <c r="G16" s="542">
        <v>12231</v>
      </c>
      <c r="H16" s="543">
        <f>F16*G16*12/1000</f>
        <v>54158.868000000002</v>
      </c>
      <c r="I16" s="544">
        <v>364</v>
      </c>
      <c r="J16" s="539">
        <v>13021</v>
      </c>
      <c r="K16" s="520">
        <f>J16/G16</f>
        <v>1.0645899762897555</v>
      </c>
      <c r="L16" s="545">
        <v>56876.800000000003</v>
      </c>
      <c r="M16" s="544">
        <v>60</v>
      </c>
      <c r="N16" s="539">
        <v>19277</v>
      </c>
      <c r="O16" s="540">
        <f>M16*N16*12/1000</f>
        <v>13879.44</v>
      </c>
      <c r="P16" s="546">
        <v>48</v>
      </c>
      <c r="Q16" s="539">
        <v>22603</v>
      </c>
      <c r="R16" s="547">
        <f>P16*Q16*12/1000</f>
        <v>13019.328</v>
      </c>
      <c r="S16" s="344">
        <v>49</v>
      </c>
      <c r="T16" s="343">
        <v>24500</v>
      </c>
      <c r="U16" s="402">
        <f>S16*T16*12/1000</f>
        <v>14406</v>
      </c>
      <c r="V16" s="431">
        <v>48</v>
      </c>
      <c r="W16" s="441">
        <f>X16/V16/9*1000</f>
        <v>21462.037037037036</v>
      </c>
      <c r="X16" s="549">
        <v>9271.6</v>
      </c>
      <c r="Y16" s="550">
        <v>48</v>
      </c>
      <c r="Z16" s="548">
        <f>AA16/12/Y16*1000</f>
        <v>23137.326388888891</v>
      </c>
      <c r="AA16" s="551">
        <v>13327.1</v>
      </c>
      <c r="AB16" s="550">
        <v>49</v>
      </c>
      <c r="AC16" s="548">
        <v>28797</v>
      </c>
      <c r="AD16" s="552">
        <f t="shared" si="0"/>
        <v>117.53877551020409</v>
      </c>
      <c r="AE16" s="552">
        <f t="shared" si="1"/>
        <v>124.46122562297874</v>
      </c>
      <c r="AF16" s="551">
        <f>AB16*AC16*12/1000</f>
        <v>16932.635999999999</v>
      </c>
      <c r="AG16" s="550"/>
      <c r="AH16" s="548"/>
      <c r="AI16" s="553"/>
      <c r="AJ16" s="554"/>
      <c r="AK16" s="555"/>
      <c r="AL16" s="550">
        <v>49</v>
      </c>
      <c r="AM16" s="556">
        <f>T16*1.071</f>
        <v>26239.5</v>
      </c>
      <c r="AN16" s="534">
        <f>AM16/T16*100</f>
        <v>107.1</v>
      </c>
      <c r="AO16" s="557">
        <f t="shared" si="2"/>
        <v>113.40765808015247</v>
      </c>
      <c r="AP16" s="551">
        <f>AL16*AM16*12/1000</f>
        <v>15428.825999999999</v>
      </c>
      <c r="AQ16" s="1247"/>
      <c r="AR16" s="1247"/>
      <c r="AS16" s="1247"/>
      <c r="AT16" s="1247"/>
      <c r="AU16" s="550">
        <v>49</v>
      </c>
      <c r="AV16" s="548">
        <f>AW16/9/AU16*1000</f>
        <v>25834.24036281179</v>
      </c>
      <c r="AW16" s="551">
        <v>11392.9</v>
      </c>
      <c r="AX16" s="550">
        <v>49</v>
      </c>
      <c r="AY16" s="548">
        <f>AZ16/3/AX16*1000</f>
        <v>28514.285714285717</v>
      </c>
      <c r="AZ16" s="551">
        <v>4191.6000000000004</v>
      </c>
      <c r="BA16" s="550">
        <v>49</v>
      </c>
      <c r="BB16" s="556">
        <f>BC16/12/BA16*1000</f>
        <v>26018.707482993199</v>
      </c>
      <c r="BC16" s="558">
        <v>15299</v>
      </c>
      <c r="BD16" s="536">
        <f>(M16+P16+Y16+BA16)/4</f>
        <v>51.25</v>
      </c>
      <c r="BE16" s="1258"/>
      <c r="BF16" s="1258"/>
      <c r="BG16" s="1258"/>
      <c r="BH16" s="1258"/>
      <c r="BI16" s="1258"/>
      <c r="BJ16" s="1258"/>
      <c r="BK16" s="1258"/>
      <c r="BL16" s="1258"/>
      <c r="BM16" s="1258"/>
      <c r="BN16" s="1258"/>
      <c r="BO16" s="1258"/>
      <c r="BP16" s="1258"/>
      <c r="BQ16" s="1258"/>
      <c r="BR16" s="1258"/>
      <c r="BS16" s="1258"/>
      <c r="BT16" s="1258"/>
      <c r="BU16" s="1258"/>
      <c r="BV16" s="1258"/>
      <c r="BW16" s="1258"/>
      <c r="BX16" s="1258"/>
      <c r="BY16" s="1258"/>
    </row>
    <row r="17" spans="1:114" ht="75" hidden="1">
      <c r="A17" s="537" t="s">
        <v>206</v>
      </c>
      <c r="B17" s="567" t="s">
        <v>208</v>
      </c>
      <c r="C17" s="538"/>
      <c r="D17" s="539"/>
      <c r="E17" s="540"/>
      <c r="F17" s="541"/>
      <c r="G17" s="542"/>
      <c r="H17" s="543"/>
      <c r="I17" s="544"/>
      <c r="J17" s="539"/>
      <c r="K17" s="520"/>
      <c r="L17" s="545"/>
      <c r="M17" s="544">
        <v>6</v>
      </c>
      <c r="N17" s="514">
        <f>O17/M17/12*1000</f>
        <v>18130.555555555555</v>
      </c>
      <c r="O17" s="540">
        <v>1305.4000000000001</v>
      </c>
      <c r="P17" s="560">
        <v>6</v>
      </c>
      <c r="Q17" s="561">
        <f>R17/P17/12*1000</f>
        <v>22363.888888888891</v>
      </c>
      <c r="R17" s="547">
        <v>1610.2</v>
      </c>
      <c r="S17" s="344">
        <v>7</v>
      </c>
      <c r="T17" s="343">
        <v>22943</v>
      </c>
      <c r="U17" s="402">
        <f>S17*T17*12/1000</f>
        <v>1927.212</v>
      </c>
      <c r="V17" s="431">
        <v>7</v>
      </c>
      <c r="W17" s="441">
        <f>X17/V17/9*1000</f>
        <v>18404.761904761905</v>
      </c>
      <c r="X17" s="549">
        <v>1159.5</v>
      </c>
      <c r="Y17" s="550">
        <v>5</v>
      </c>
      <c r="Z17" s="548">
        <f>AA17/12/Y17*1000</f>
        <v>28281.666666666668</v>
      </c>
      <c r="AA17" s="551">
        <v>1696.9</v>
      </c>
      <c r="AB17" s="550">
        <v>7</v>
      </c>
      <c r="AC17" s="548">
        <v>29211</v>
      </c>
      <c r="AD17" s="552">
        <f t="shared" si="0"/>
        <v>127.31987970186984</v>
      </c>
      <c r="AE17" s="552">
        <f t="shared" si="1"/>
        <v>103.2859921032471</v>
      </c>
      <c r="AF17" s="551">
        <f>AB17*AC17*12/1000</f>
        <v>2453.7240000000002</v>
      </c>
      <c r="AG17" s="550"/>
      <c r="AH17" s="548"/>
      <c r="AI17" s="553"/>
      <c r="AJ17" s="554"/>
      <c r="AK17" s="555"/>
      <c r="AL17" s="550">
        <v>7</v>
      </c>
      <c r="AM17" s="556">
        <f>T17*1.071</f>
        <v>24571.952999999998</v>
      </c>
      <c r="AN17" s="534">
        <f>AM17/T17*100</f>
        <v>107.1</v>
      </c>
      <c r="AO17" s="557">
        <f t="shared" si="2"/>
        <v>86.882973657846648</v>
      </c>
      <c r="AP17" s="551">
        <f>AL17*AM17*12/1000</f>
        <v>2064.0440519999997</v>
      </c>
      <c r="AQ17" s="1247"/>
      <c r="AR17" s="1247"/>
      <c r="AS17" s="1247"/>
      <c r="AT17" s="1247"/>
      <c r="AU17" s="550">
        <v>6</v>
      </c>
      <c r="AV17" s="548">
        <f>AW17/9/AU17*1000</f>
        <v>23866.666666666664</v>
      </c>
      <c r="AW17" s="551">
        <v>1288.8</v>
      </c>
      <c r="AX17" s="550">
        <v>6</v>
      </c>
      <c r="AY17" s="548">
        <f>AZ17/3/AX17*1000</f>
        <v>29477.777777777777</v>
      </c>
      <c r="AZ17" s="551">
        <v>530.6</v>
      </c>
      <c r="BA17" s="550">
        <v>6</v>
      </c>
      <c r="BB17" s="556">
        <f>BC17/12/BA17*1000</f>
        <v>24416.666666666668</v>
      </c>
      <c r="BC17" s="558">
        <v>1758</v>
      </c>
      <c r="BD17" s="536">
        <f>(M17+P17+Y17+BA17)/4</f>
        <v>5.75</v>
      </c>
      <c r="BE17" s="1258"/>
      <c r="BF17" s="1258"/>
      <c r="BG17" s="1258"/>
      <c r="BH17" s="1258"/>
      <c r="BI17" s="1258"/>
      <c r="BJ17" s="1258"/>
      <c r="BK17" s="1258"/>
      <c r="BL17" s="1258"/>
      <c r="BM17" s="1258"/>
      <c r="BN17" s="1258"/>
      <c r="BO17" s="1258"/>
      <c r="BP17" s="1258"/>
      <c r="BQ17" s="1258"/>
      <c r="BR17" s="1258"/>
      <c r="BS17" s="1258"/>
      <c r="BT17" s="1258"/>
      <c r="BU17" s="1258"/>
      <c r="BV17" s="1258"/>
      <c r="BW17" s="1258"/>
      <c r="BX17" s="1258"/>
      <c r="BY17" s="1258"/>
    </row>
    <row r="18" spans="1:114" ht="19.5" hidden="1" thickBot="1">
      <c r="A18" s="568" t="s">
        <v>207</v>
      </c>
      <c r="B18" s="415" t="s">
        <v>89</v>
      </c>
      <c r="C18" s="569"/>
      <c r="D18" s="570"/>
      <c r="E18" s="571"/>
      <c r="F18" s="572"/>
      <c r="G18" s="573"/>
      <c r="H18" s="574"/>
      <c r="I18" s="575"/>
      <c r="J18" s="570"/>
      <c r="K18" s="576"/>
      <c r="L18" s="577"/>
      <c r="M18" s="575">
        <v>17</v>
      </c>
      <c r="N18" s="570">
        <v>14540</v>
      </c>
      <c r="O18" s="571">
        <f>M18*N18*12/1000</f>
        <v>2966.16</v>
      </c>
      <c r="P18" s="578">
        <v>15</v>
      </c>
      <c r="Q18" s="579">
        <v>23628</v>
      </c>
      <c r="R18" s="580">
        <f>P18*Q18*12/1000</f>
        <v>4253.04</v>
      </c>
      <c r="S18" s="581">
        <v>19</v>
      </c>
      <c r="T18" s="405">
        <v>21140</v>
      </c>
      <c r="U18" s="582">
        <f>S18*T18*12/1000</f>
        <v>4819.92</v>
      </c>
      <c r="V18" s="583">
        <v>16</v>
      </c>
      <c r="W18" s="584">
        <f>X18/V18/9*1000</f>
        <v>21378.472222222223</v>
      </c>
      <c r="X18" s="585">
        <v>3078.5</v>
      </c>
      <c r="Y18" s="586">
        <v>15</v>
      </c>
      <c r="Z18" s="584">
        <f>AA18/12/Y18*1000</f>
        <v>25319.444444444445</v>
      </c>
      <c r="AA18" s="587">
        <v>4557.5</v>
      </c>
      <c r="AB18" s="586">
        <v>19</v>
      </c>
      <c r="AC18" s="584">
        <v>28868</v>
      </c>
      <c r="AD18" s="588">
        <f t="shared" si="0"/>
        <v>136.55629139072846</v>
      </c>
      <c r="AE18" s="588">
        <f t="shared" si="1"/>
        <v>114.01513987931979</v>
      </c>
      <c r="AF18" s="587">
        <f>AB18*AC18*12/1000</f>
        <v>6581.9040000000005</v>
      </c>
      <c r="AG18" s="550"/>
      <c r="AH18" s="548"/>
      <c r="AI18" s="553"/>
      <c r="AJ18" s="554"/>
      <c r="AK18" s="555"/>
      <c r="AL18" s="586">
        <v>19</v>
      </c>
      <c r="AM18" s="589">
        <f>T18*1.071</f>
        <v>22640.94</v>
      </c>
      <c r="AN18" s="590">
        <f>AM18/T18*100</f>
        <v>107.1</v>
      </c>
      <c r="AO18" s="591">
        <f t="shared" si="2"/>
        <v>89.421156335710364</v>
      </c>
      <c r="AP18" s="587">
        <f>AL18*AM18*12/1000</f>
        <v>5162.1343200000001</v>
      </c>
      <c r="AQ18" s="1248"/>
      <c r="AR18" s="1248"/>
      <c r="AS18" s="1248"/>
      <c r="AT18" s="1248"/>
      <c r="AU18" s="586">
        <v>17</v>
      </c>
      <c r="AV18" s="584">
        <f>AW18/9/AU18*1000</f>
        <v>24713.071895424837</v>
      </c>
      <c r="AW18" s="587">
        <v>3781.1</v>
      </c>
      <c r="AX18" s="586">
        <v>17</v>
      </c>
      <c r="AY18" s="584">
        <f>AZ18/3/AX18*1000</f>
        <v>28013.725490196081</v>
      </c>
      <c r="AZ18" s="587">
        <v>1428.7</v>
      </c>
      <c r="BA18" s="586">
        <v>17</v>
      </c>
      <c r="BB18" s="589">
        <f>BC18/12/BA18*1000</f>
        <v>24494.117647058825</v>
      </c>
      <c r="BC18" s="592">
        <v>4996.8</v>
      </c>
      <c r="BD18" s="536">
        <f>(M18+P18+Y18+BA18)/4</f>
        <v>16</v>
      </c>
      <c r="BE18" s="1258"/>
      <c r="BF18" s="1258"/>
      <c r="BG18" s="1258"/>
      <c r="BH18" s="1258"/>
      <c r="BI18" s="1258"/>
      <c r="BJ18" s="1258"/>
      <c r="BK18" s="1258"/>
      <c r="BL18" s="1258"/>
      <c r="BM18" s="1258"/>
      <c r="BN18" s="1258"/>
      <c r="BO18" s="1258"/>
      <c r="BP18" s="1258"/>
      <c r="BQ18" s="1258"/>
      <c r="BR18" s="1258"/>
      <c r="BS18" s="1258"/>
      <c r="BT18" s="1258"/>
      <c r="BU18" s="1258"/>
      <c r="BV18" s="1258"/>
      <c r="BW18" s="1258"/>
      <c r="BX18" s="1258"/>
      <c r="BY18" s="1258"/>
    </row>
    <row r="19" spans="1:114" ht="18.75" thickBot="1">
      <c r="A19" s="375"/>
      <c r="B19" s="375"/>
      <c r="C19" s="375"/>
      <c r="D19" s="375"/>
      <c r="E19" s="375"/>
      <c r="F19" s="375"/>
      <c r="G19" s="375"/>
      <c r="H19" s="375"/>
      <c r="I19" s="375"/>
      <c r="J19" s="375"/>
      <c r="K19" s="375"/>
      <c r="L19" s="375"/>
      <c r="M19" s="375"/>
      <c r="N19" s="375"/>
      <c r="O19" s="375"/>
      <c r="P19" s="375"/>
      <c r="Q19" s="375"/>
      <c r="R19" s="375"/>
      <c r="S19" s="375"/>
      <c r="T19" s="375"/>
      <c r="U19" s="375"/>
      <c r="V19" s="375"/>
      <c r="W19" s="375"/>
      <c r="X19" s="375"/>
      <c r="Y19" s="375"/>
      <c r="Z19" s="375"/>
      <c r="AA19" s="375"/>
      <c r="AB19" s="375"/>
      <c r="AC19" s="375"/>
      <c r="AD19" s="375"/>
      <c r="AE19" s="375"/>
      <c r="AF19" s="375"/>
      <c r="AG19" s="375"/>
      <c r="AH19" s="375"/>
      <c r="AI19" s="375"/>
      <c r="AJ19" s="375"/>
      <c r="AK19" s="375"/>
      <c r="AL19" s="375"/>
      <c r="AM19" s="375"/>
      <c r="AN19" s="375"/>
      <c r="AO19" s="375"/>
      <c r="AP19" s="375"/>
      <c r="AQ19" s="375"/>
      <c r="AR19" s="375"/>
      <c r="AS19" s="375"/>
      <c r="AT19" s="375"/>
      <c r="AU19" s="375"/>
      <c r="AV19" s="375"/>
      <c r="AW19" s="375"/>
      <c r="AX19" s="375"/>
      <c r="AY19" s="375"/>
      <c r="AZ19" s="375"/>
      <c r="BA19" s="375"/>
      <c r="BB19" s="375"/>
      <c r="BC19" s="375"/>
      <c r="BD19" s="375"/>
      <c r="BE19" s="375"/>
      <c r="BF19" s="375"/>
      <c r="BG19" s="375"/>
      <c r="BH19" s="375"/>
      <c r="BI19" s="375"/>
      <c r="BJ19" s="375"/>
      <c r="BK19" s="375"/>
      <c r="BL19" s="375"/>
      <c r="BM19" s="375"/>
      <c r="BN19" s="375"/>
      <c r="BO19" s="375"/>
      <c r="BP19" s="375"/>
      <c r="BQ19" s="375"/>
      <c r="BR19" s="375"/>
      <c r="BS19" s="375"/>
      <c r="BT19" s="375"/>
      <c r="BU19" s="375"/>
      <c r="BV19" s="375"/>
      <c r="BW19" s="375"/>
      <c r="BX19" s="375"/>
      <c r="BY19" s="375"/>
    </row>
    <row r="20" spans="1:114" ht="27" customHeight="1" thickBot="1">
      <c r="A20" s="5835" t="s">
        <v>175</v>
      </c>
      <c r="B20" s="5833" t="s">
        <v>176</v>
      </c>
      <c r="C20" s="1249"/>
      <c r="D20" s="1249"/>
      <c r="E20" s="1249"/>
      <c r="F20" s="1249"/>
      <c r="G20" s="1249"/>
      <c r="H20" s="1249"/>
      <c r="I20" s="1249"/>
      <c r="J20" s="1249"/>
      <c r="K20" s="1249"/>
      <c r="L20" s="1249"/>
      <c r="M20" s="5851" t="s">
        <v>238</v>
      </c>
      <c r="N20" s="5851"/>
      <c r="O20" s="5851"/>
      <c r="P20" s="5851"/>
      <c r="Q20" s="5851"/>
      <c r="R20" s="5851"/>
      <c r="S20" s="5851"/>
      <c r="T20" s="5851"/>
      <c r="U20" s="5851"/>
      <c r="V20" s="5851"/>
      <c r="W20" s="5851"/>
      <c r="X20" s="5851"/>
      <c r="Y20" s="5851"/>
      <c r="Z20" s="5851"/>
      <c r="AA20" s="5851"/>
      <c r="AB20" s="5851"/>
      <c r="AC20" s="5851"/>
      <c r="AD20" s="5851"/>
      <c r="AE20" s="5851"/>
      <c r="AF20" s="5851"/>
      <c r="AG20" s="5851"/>
      <c r="AH20" s="5851"/>
      <c r="AI20" s="5851"/>
      <c r="AJ20" s="5851"/>
      <c r="AK20" s="5851"/>
      <c r="AL20" s="5851"/>
      <c r="AM20" s="5851"/>
      <c r="AN20" s="5851"/>
      <c r="AO20" s="5851"/>
      <c r="AP20" s="5851"/>
      <c r="AQ20" s="5851"/>
      <c r="AR20" s="5851"/>
      <c r="AS20" s="5851"/>
      <c r="AT20" s="5851"/>
      <c r="AU20" s="5882" t="s">
        <v>379</v>
      </c>
      <c r="AV20" s="5851"/>
      <c r="AW20" s="5851"/>
      <c r="AX20" s="5851"/>
      <c r="AY20" s="5851"/>
      <c r="AZ20" s="5851"/>
      <c r="BA20" s="5851"/>
      <c r="BB20" s="5851"/>
      <c r="BC20" s="5851"/>
      <c r="BD20" s="5851"/>
      <c r="BE20" s="5851"/>
      <c r="BF20" s="5851"/>
      <c r="BG20" s="5851"/>
      <c r="BH20" s="5851"/>
      <c r="BI20" s="5851"/>
      <c r="BJ20" s="5851"/>
      <c r="BK20" s="5851"/>
      <c r="BL20" s="5851"/>
      <c r="BM20" s="5883"/>
      <c r="BN20" s="5883"/>
      <c r="BO20" s="5883"/>
      <c r="BP20" s="5884"/>
      <c r="BQ20" s="5882" t="s">
        <v>832</v>
      </c>
      <c r="BR20" s="5851"/>
      <c r="BS20" s="5851"/>
      <c r="BT20" s="5851"/>
      <c r="BU20" s="5851"/>
      <c r="BV20" s="5851"/>
      <c r="BW20" s="5851"/>
      <c r="BX20" s="5851"/>
      <c r="BY20" s="5884"/>
      <c r="BZ20" s="3327" t="s">
        <v>1595</v>
      </c>
      <c r="CA20" s="3328"/>
      <c r="CB20" s="3328"/>
      <c r="CC20" s="3328"/>
      <c r="CD20" s="3328"/>
      <c r="CE20" s="3328"/>
      <c r="CF20" s="3328"/>
      <c r="CG20" s="3328"/>
      <c r="CH20" s="5793" t="s">
        <v>1595</v>
      </c>
      <c r="CI20" s="5794"/>
      <c r="CJ20" s="5794"/>
      <c r="CK20" s="5795"/>
      <c r="CL20" s="5798" t="s">
        <v>911</v>
      </c>
      <c r="CM20" s="5799"/>
      <c r="CN20" s="5799"/>
      <c r="CO20" s="5799"/>
      <c r="CP20" s="5799"/>
      <c r="CQ20" s="5799"/>
      <c r="CR20" s="5799"/>
      <c r="CS20" s="5800"/>
      <c r="CT20" s="5871" t="s">
        <v>1897</v>
      </c>
      <c r="CU20" s="5872"/>
      <c r="CV20" s="5872"/>
      <c r="CW20" s="5872"/>
      <c r="CX20" s="5872"/>
      <c r="CY20" s="5872"/>
      <c r="CZ20" s="5872"/>
      <c r="DA20" s="5872"/>
      <c r="DB20" s="5873"/>
      <c r="DC20" s="5798" t="s">
        <v>1849</v>
      </c>
      <c r="DD20" s="5799"/>
      <c r="DE20" s="5799"/>
      <c r="DF20" s="5799"/>
      <c r="DG20" s="5799"/>
      <c r="DH20" s="5799"/>
      <c r="DI20" s="5799"/>
      <c r="DJ20" s="5800"/>
    </row>
    <row r="21" spans="1:114" ht="12.75" customHeight="1">
      <c r="A21" s="5836"/>
      <c r="B21" s="5834"/>
      <c r="C21" s="5115" t="s">
        <v>177</v>
      </c>
      <c r="D21" s="5115"/>
      <c r="E21" s="5116"/>
      <c r="F21" s="5114" t="s">
        <v>178</v>
      </c>
      <c r="G21" s="5115"/>
      <c r="H21" s="5115"/>
      <c r="I21" s="5870" t="s">
        <v>179</v>
      </c>
      <c r="J21" s="5870"/>
      <c r="K21" s="5870"/>
      <c r="L21" s="5091"/>
      <c r="M21" s="5812" t="s">
        <v>236</v>
      </c>
      <c r="N21" s="5813"/>
      <c r="O21" s="5813"/>
      <c r="P21" s="5813"/>
      <c r="Q21" s="5814"/>
      <c r="R21" s="5369"/>
      <c r="S21" s="5818" t="s">
        <v>237</v>
      </c>
      <c r="T21" s="5802"/>
      <c r="U21" s="5802"/>
      <c r="V21" s="5802"/>
      <c r="W21" s="5862"/>
      <c r="X21" s="5818" t="s">
        <v>430</v>
      </c>
      <c r="Y21" s="5802"/>
      <c r="Z21" s="5802"/>
      <c r="AA21" s="5802"/>
      <c r="AB21" s="5830"/>
      <c r="AC21" s="601"/>
      <c r="AD21" s="601"/>
      <c r="AE21" s="601"/>
      <c r="AF21" s="601"/>
      <c r="AG21" s="601"/>
      <c r="AH21" s="601"/>
      <c r="AI21" s="601"/>
      <c r="AJ21" s="601"/>
      <c r="AK21" s="601"/>
      <c r="AL21" s="5818" t="s">
        <v>431</v>
      </c>
      <c r="AM21" s="5802"/>
      <c r="AN21" s="5802"/>
      <c r="AO21" s="5802"/>
      <c r="AP21" s="5830"/>
      <c r="AQ21" s="5812" t="s">
        <v>831</v>
      </c>
      <c r="AR21" s="5846"/>
      <c r="AS21" s="5846"/>
      <c r="AT21" s="5847"/>
      <c r="AU21" s="5818" t="s">
        <v>382</v>
      </c>
      <c r="AV21" s="5802"/>
      <c r="AW21" s="5802"/>
      <c r="AX21" s="5802"/>
      <c r="AY21" s="5830"/>
      <c r="AZ21" s="5818" t="s">
        <v>386</v>
      </c>
      <c r="BA21" s="5802"/>
      <c r="BB21" s="5802"/>
      <c r="BC21" s="5802"/>
      <c r="BD21" s="5802"/>
      <c r="BE21" s="5802" t="s">
        <v>859</v>
      </c>
      <c r="BF21" s="5802"/>
      <c r="BG21" s="5802"/>
      <c r="BH21" s="5802"/>
      <c r="BI21" s="5802" t="s">
        <v>858</v>
      </c>
      <c r="BJ21" s="5802"/>
      <c r="BK21" s="5802"/>
      <c r="BL21" s="5802"/>
      <c r="BM21" s="5802" t="s">
        <v>1632</v>
      </c>
      <c r="BN21" s="5802"/>
      <c r="BO21" s="5802"/>
      <c r="BP21" s="5830"/>
      <c r="BQ21" s="5818" t="s">
        <v>860</v>
      </c>
      <c r="BR21" s="5802"/>
      <c r="BS21" s="5802"/>
      <c r="BT21" s="5802"/>
      <c r="BU21" s="5802" t="s">
        <v>861</v>
      </c>
      <c r="BV21" s="5802"/>
      <c r="BW21" s="5802"/>
      <c r="BX21" s="5802"/>
      <c r="BY21" s="5830"/>
      <c r="BZ21" s="5812" t="s">
        <v>1667</v>
      </c>
      <c r="CA21" s="5813"/>
      <c r="CB21" s="5813"/>
      <c r="CC21" s="5814"/>
      <c r="CD21" s="5818" t="s">
        <v>1664</v>
      </c>
      <c r="CE21" s="5802"/>
      <c r="CF21" s="5802"/>
      <c r="CG21" s="5802"/>
      <c r="CH21" s="5581"/>
      <c r="CI21" s="5796"/>
      <c r="CJ21" s="5796"/>
      <c r="CK21" s="5797"/>
      <c r="CL21" s="5809" t="s">
        <v>1668</v>
      </c>
      <c r="CM21" s="5810"/>
      <c r="CN21" s="5810"/>
      <c r="CO21" s="5810"/>
      <c r="CP21" s="5807" t="s">
        <v>1669</v>
      </c>
      <c r="CQ21" s="5807"/>
      <c r="CR21" s="5807"/>
      <c r="CS21" s="5808"/>
      <c r="CT21" s="5874" t="s">
        <v>598</v>
      </c>
      <c r="CU21" s="5875"/>
      <c r="CV21" s="5875"/>
      <c r="CW21" s="5875" t="s">
        <v>229</v>
      </c>
      <c r="CX21" s="5878"/>
      <c r="CY21" s="5878"/>
      <c r="CZ21" s="5875" t="s">
        <v>1899</v>
      </c>
      <c r="DA21" s="5878"/>
      <c r="DB21" s="5880"/>
      <c r="DC21" s="5801" t="s">
        <v>283</v>
      </c>
      <c r="DD21" s="5802"/>
      <c r="DE21" s="5802"/>
      <c r="DF21" s="5802"/>
      <c r="DG21" s="5805" t="s">
        <v>392</v>
      </c>
      <c r="DH21" s="5805"/>
      <c r="DI21" s="5805"/>
      <c r="DJ21" s="5806"/>
    </row>
    <row r="22" spans="1:114" ht="28.5" customHeight="1">
      <c r="A22" s="5836"/>
      <c r="B22" s="5834"/>
      <c r="C22" s="5820"/>
      <c r="D22" s="5820"/>
      <c r="E22" s="5821"/>
      <c r="F22" s="5819"/>
      <c r="G22" s="5820"/>
      <c r="H22" s="5820"/>
      <c r="I22" s="3324"/>
      <c r="J22" s="3324"/>
      <c r="K22" s="3324"/>
      <c r="L22" s="3324"/>
      <c r="M22" s="5815"/>
      <c r="N22" s="5816"/>
      <c r="O22" s="5816"/>
      <c r="P22" s="5816"/>
      <c r="Q22" s="5817"/>
      <c r="R22" s="5370"/>
      <c r="S22" s="5811"/>
      <c r="T22" s="5804"/>
      <c r="U22" s="5804"/>
      <c r="V22" s="5804"/>
      <c r="W22" s="5863"/>
      <c r="X22" s="5811"/>
      <c r="Y22" s="5804"/>
      <c r="Z22" s="5804"/>
      <c r="AA22" s="5804"/>
      <c r="AB22" s="5831"/>
      <c r="AC22" s="594"/>
      <c r="AD22" s="594"/>
      <c r="AE22" s="594"/>
      <c r="AF22" s="594"/>
      <c r="AG22" s="594"/>
      <c r="AH22" s="594"/>
      <c r="AI22" s="594"/>
      <c r="AJ22" s="594"/>
      <c r="AK22" s="594"/>
      <c r="AL22" s="5811"/>
      <c r="AM22" s="5804"/>
      <c r="AN22" s="5804"/>
      <c r="AO22" s="5804"/>
      <c r="AP22" s="5831"/>
      <c r="AQ22" s="5848"/>
      <c r="AR22" s="5849"/>
      <c r="AS22" s="5849"/>
      <c r="AT22" s="5850"/>
      <c r="AU22" s="5811"/>
      <c r="AV22" s="5804"/>
      <c r="AW22" s="5804"/>
      <c r="AX22" s="5804"/>
      <c r="AY22" s="5831"/>
      <c r="AZ22" s="5811"/>
      <c r="BA22" s="5804"/>
      <c r="BB22" s="5804"/>
      <c r="BC22" s="5804"/>
      <c r="BD22" s="5804"/>
      <c r="BE22" s="5804"/>
      <c r="BF22" s="5804"/>
      <c r="BG22" s="5804"/>
      <c r="BH22" s="5804"/>
      <c r="BI22" s="5804"/>
      <c r="BJ22" s="5804"/>
      <c r="BK22" s="5804"/>
      <c r="BL22" s="5804"/>
      <c r="BM22" s="5804"/>
      <c r="BN22" s="5804"/>
      <c r="BO22" s="5804"/>
      <c r="BP22" s="5831"/>
      <c r="BQ22" s="5811"/>
      <c r="BR22" s="5804"/>
      <c r="BS22" s="5804"/>
      <c r="BT22" s="5804"/>
      <c r="BU22" s="5804"/>
      <c r="BV22" s="5804"/>
      <c r="BW22" s="5804"/>
      <c r="BX22" s="5804"/>
      <c r="BY22" s="5831"/>
      <c r="BZ22" s="5815"/>
      <c r="CA22" s="5816"/>
      <c r="CB22" s="5816"/>
      <c r="CC22" s="5817"/>
      <c r="CD22" s="5811"/>
      <c r="CE22" s="5804"/>
      <c r="CF22" s="5804"/>
      <c r="CG22" s="5804"/>
      <c r="CH22" s="5618"/>
      <c r="CI22" s="5619"/>
      <c r="CJ22" s="5619"/>
      <c r="CK22" s="5620"/>
      <c r="CL22" s="5811"/>
      <c r="CM22" s="5804"/>
      <c r="CN22" s="5804"/>
      <c r="CO22" s="5804"/>
      <c r="CP22" s="5807"/>
      <c r="CQ22" s="5807"/>
      <c r="CR22" s="5807"/>
      <c r="CS22" s="5808"/>
      <c r="CT22" s="5876"/>
      <c r="CU22" s="5877"/>
      <c r="CV22" s="5877"/>
      <c r="CW22" s="5879"/>
      <c r="CX22" s="5879"/>
      <c r="CY22" s="5879"/>
      <c r="CZ22" s="5879"/>
      <c r="DA22" s="5879"/>
      <c r="DB22" s="5881"/>
      <c r="DC22" s="5803"/>
      <c r="DD22" s="5804"/>
      <c r="DE22" s="5804"/>
      <c r="DF22" s="5804"/>
      <c r="DG22" s="5807"/>
      <c r="DH22" s="5807"/>
      <c r="DI22" s="5807"/>
      <c r="DJ22" s="5808"/>
    </row>
    <row r="23" spans="1:114" ht="150.75" thickBot="1">
      <c r="A23" s="5836"/>
      <c r="B23" s="5834"/>
      <c r="C23" s="3674" t="s">
        <v>182</v>
      </c>
      <c r="D23" s="3675" t="s">
        <v>185</v>
      </c>
      <c r="E23" s="3676" t="s">
        <v>186</v>
      </c>
      <c r="F23" s="3674" t="s">
        <v>182</v>
      </c>
      <c r="G23" s="3675" t="s">
        <v>185</v>
      </c>
      <c r="H23" s="3677" t="s">
        <v>186</v>
      </c>
      <c r="I23" s="3674" t="s">
        <v>182</v>
      </c>
      <c r="J23" s="3675" t="s">
        <v>185</v>
      </c>
      <c r="K23" s="3675" t="s">
        <v>187</v>
      </c>
      <c r="L23" s="3677" t="s">
        <v>186</v>
      </c>
      <c r="M23" s="3617" t="s">
        <v>182</v>
      </c>
      <c r="N23" s="3618" t="s">
        <v>185</v>
      </c>
      <c r="O23" s="3618" t="s">
        <v>186</v>
      </c>
      <c r="P23" s="3618" t="s">
        <v>254</v>
      </c>
      <c r="Q23" s="3620" t="s">
        <v>255</v>
      </c>
      <c r="R23" s="5370"/>
      <c r="S23" s="3617" t="s">
        <v>182</v>
      </c>
      <c r="T23" s="3618" t="s">
        <v>185</v>
      </c>
      <c r="U23" s="3618" t="s">
        <v>186</v>
      </c>
      <c r="V23" s="3618" t="s">
        <v>254</v>
      </c>
      <c r="W23" s="3678" t="s">
        <v>255</v>
      </c>
      <c r="X23" s="3617" t="s">
        <v>182</v>
      </c>
      <c r="Y23" s="3618" t="s">
        <v>185</v>
      </c>
      <c r="Z23" s="3618" t="s">
        <v>186</v>
      </c>
      <c r="AA23" s="3618" t="s">
        <v>254</v>
      </c>
      <c r="AB23" s="3620" t="s">
        <v>255</v>
      </c>
      <c r="AC23" s="594"/>
      <c r="AD23" s="594"/>
      <c r="AE23" s="594"/>
      <c r="AF23" s="594"/>
      <c r="AG23" s="594"/>
      <c r="AH23" s="594"/>
      <c r="AI23" s="594"/>
      <c r="AJ23" s="594"/>
      <c r="AK23" s="594"/>
      <c r="AL23" s="3617" t="s">
        <v>182</v>
      </c>
      <c r="AM23" s="3618" t="s">
        <v>185</v>
      </c>
      <c r="AN23" s="3618" t="s">
        <v>186</v>
      </c>
      <c r="AO23" s="3618" t="s">
        <v>254</v>
      </c>
      <c r="AP23" s="3667"/>
      <c r="AQ23" s="3617" t="s">
        <v>182</v>
      </c>
      <c r="AR23" s="3618" t="s">
        <v>185</v>
      </c>
      <c r="AS23" s="3618" t="s">
        <v>186</v>
      </c>
      <c r="AT23" s="3618" t="s">
        <v>254</v>
      </c>
      <c r="AU23" s="3617" t="s">
        <v>182</v>
      </c>
      <c r="AV23" s="3618" t="s">
        <v>185</v>
      </c>
      <c r="AW23" s="3618" t="s">
        <v>186</v>
      </c>
      <c r="AX23" s="3618" t="s">
        <v>254</v>
      </c>
      <c r="AY23" s="3620" t="s">
        <v>453</v>
      </c>
      <c r="AZ23" s="3617" t="s">
        <v>182</v>
      </c>
      <c r="BA23" s="3618" t="s">
        <v>185</v>
      </c>
      <c r="BB23" s="3618" t="s">
        <v>186</v>
      </c>
      <c r="BC23" s="3618" t="s">
        <v>254</v>
      </c>
      <c r="BD23" s="3619"/>
      <c r="BE23" s="3618" t="s">
        <v>182</v>
      </c>
      <c r="BF23" s="3618" t="s">
        <v>185</v>
      </c>
      <c r="BG23" s="3618" t="s">
        <v>186</v>
      </c>
      <c r="BH23" s="3618" t="s">
        <v>254</v>
      </c>
      <c r="BI23" s="3618" t="s">
        <v>182</v>
      </c>
      <c r="BJ23" s="3618" t="s">
        <v>185</v>
      </c>
      <c r="BK23" s="3618" t="s">
        <v>186</v>
      </c>
      <c r="BL23" s="3618" t="s">
        <v>254</v>
      </c>
      <c r="BM23" s="3618" t="s">
        <v>182</v>
      </c>
      <c r="BN23" s="3618" t="s">
        <v>185</v>
      </c>
      <c r="BO23" s="3618" t="s">
        <v>186</v>
      </c>
      <c r="BP23" s="3620" t="s">
        <v>254</v>
      </c>
      <c r="BQ23" s="3617" t="s">
        <v>182</v>
      </c>
      <c r="BR23" s="3618" t="s">
        <v>185</v>
      </c>
      <c r="BS23" s="3618" t="s">
        <v>186</v>
      </c>
      <c r="BT23" s="3618" t="s">
        <v>254</v>
      </c>
      <c r="BU23" s="3618" t="s">
        <v>182</v>
      </c>
      <c r="BV23" s="3618" t="s">
        <v>185</v>
      </c>
      <c r="BW23" s="3618" t="s">
        <v>186</v>
      </c>
      <c r="BX23" s="3618" t="s">
        <v>254</v>
      </c>
      <c r="BY23" s="3620" t="s">
        <v>1039</v>
      </c>
      <c r="BZ23" s="3617" t="s">
        <v>182</v>
      </c>
      <c r="CA23" s="3618" t="s">
        <v>185</v>
      </c>
      <c r="CB23" s="3618" t="s">
        <v>186</v>
      </c>
      <c r="CC23" s="3618" t="s">
        <v>254</v>
      </c>
      <c r="CD23" s="3617" t="s">
        <v>182</v>
      </c>
      <c r="CE23" s="3618" t="s">
        <v>185</v>
      </c>
      <c r="CF23" s="3618" t="s">
        <v>186</v>
      </c>
      <c r="CG23" s="3618" t="s">
        <v>254</v>
      </c>
      <c r="CH23" s="3617" t="s">
        <v>182</v>
      </c>
      <c r="CI23" s="3618" t="s">
        <v>185</v>
      </c>
      <c r="CJ23" s="3618" t="s">
        <v>186</v>
      </c>
      <c r="CK23" s="3618" t="s">
        <v>254</v>
      </c>
      <c r="CL23" s="3617" t="s">
        <v>182</v>
      </c>
      <c r="CM23" s="3618" t="s">
        <v>185</v>
      </c>
      <c r="CN23" s="3618" t="s">
        <v>186</v>
      </c>
      <c r="CO23" s="3618" t="s">
        <v>254</v>
      </c>
      <c r="CP23" s="3618" t="s">
        <v>182</v>
      </c>
      <c r="CQ23" s="3618" t="s">
        <v>185</v>
      </c>
      <c r="CR23" s="3618" t="s">
        <v>186</v>
      </c>
      <c r="CS23" s="3620" t="s">
        <v>254</v>
      </c>
      <c r="CT23" s="4263" t="s">
        <v>182</v>
      </c>
      <c r="CU23" s="4264" t="s">
        <v>185</v>
      </c>
      <c r="CV23" s="4264" t="s">
        <v>186</v>
      </c>
      <c r="CW23" s="4264" t="s">
        <v>182</v>
      </c>
      <c r="CX23" s="4264" t="s">
        <v>185</v>
      </c>
      <c r="CY23" s="4264" t="s">
        <v>186</v>
      </c>
      <c r="CZ23" s="4264" t="s">
        <v>182</v>
      </c>
      <c r="DA23" s="4264" t="s">
        <v>185</v>
      </c>
      <c r="DB23" s="3669" t="s">
        <v>186</v>
      </c>
      <c r="DC23" s="4104" t="s">
        <v>182</v>
      </c>
      <c r="DD23" s="4108" t="s">
        <v>185</v>
      </c>
      <c r="DE23" s="4108" t="s">
        <v>186</v>
      </c>
      <c r="DF23" s="4108" t="s">
        <v>254</v>
      </c>
      <c r="DG23" s="4108" t="s">
        <v>182</v>
      </c>
      <c r="DH23" s="4108" t="s">
        <v>185</v>
      </c>
      <c r="DI23" s="4108" t="s">
        <v>186</v>
      </c>
      <c r="DJ23" s="4099" t="s">
        <v>254</v>
      </c>
    </row>
    <row r="24" spans="1:114" ht="72.75" customHeight="1">
      <c r="A24" s="3679" t="s">
        <v>192</v>
      </c>
      <c r="B24" s="3680" t="s">
        <v>204</v>
      </c>
      <c r="C24" s="3681">
        <v>840</v>
      </c>
      <c r="D24" s="3626">
        <v>12146</v>
      </c>
      <c r="E24" s="3682">
        <v>122429.8</v>
      </c>
      <c r="F24" s="3683">
        <f>F25+F26</f>
        <v>813</v>
      </c>
      <c r="G24" s="3626">
        <f>(G25*F25+G26*F26)/(F25+F26)</f>
        <v>12443.442804428045</v>
      </c>
      <c r="H24" s="3684">
        <f>H26+H25</f>
        <v>121398.228</v>
      </c>
      <c r="I24" s="3660">
        <v>799</v>
      </c>
      <c r="J24" s="3626">
        <v>13361</v>
      </c>
      <c r="K24" s="3685">
        <f>J24/G24</f>
        <v>1.07373820975377</v>
      </c>
      <c r="L24" s="3684">
        <v>128108.9</v>
      </c>
      <c r="M24" s="3660">
        <f>M25+M26+M27+M28</f>
        <v>155</v>
      </c>
      <c r="N24" s="3626">
        <f t="shared" ref="N24:N33" si="3">O24/M24/12*1000</f>
        <v>25754.516129032254</v>
      </c>
      <c r="O24" s="3627">
        <f>O25+O26+O27+O28</f>
        <v>47903.399999999994</v>
      </c>
      <c r="P24" s="3624">
        <f>N24/AM8</f>
        <v>1.2212343117474604</v>
      </c>
      <c r="Q24" s="3667"/>
      <c r="R24" s="5370"/>
      <c r="S24" s="3621">
        <f>SUM(S25:S28)</f>
        <v>155</v>
      </c>
      <c r="T24" s="3622">
        <f>U24/S24/12*1000</f>
        <v>22269.902483612907</v>
      </c>
      <c r="U24" s="3623">
        <f>SUM(U25:U28)</f>
        <v>41422.018619520008</v>
      </c>
      <c r="V24" s="3624">
        <f>T24/AM8</f>
        <v>1.0560000000000003</v>
      </c>
      <c r="W24" s="3686"/>
      <c r="X24" s="3660">
        <f>X25+X26+X27+X28</f>
        <v>148.32999999999998</v>
      </c>
      <c r="Y24" s="3626">
        <f t="shared" ref="Y24:Y33" si="4">Z24/X24/6*1000</f>
        <v>21580.822040944742</v>
      </c>
      <c r="Z24" s="3627">
        <f>Z25+Z26+Z27+Z28</f>
        <v>19206.5</v>
      </c>
      <c r="AA24" s="3624">
        <f>Y24/BB8</f>
        <v>0.95562481208041816</v>
      </c>
      <c r="AB24" s="3667"/>
      <c r="AC24" s="594"/>
      <c r="AD24" s="594"/>
      <c r="AE24" s="594"/>
      <c r="AF24" s="594"/>
      <c r="AG24" s="594"/>
      <c r="AH24" s="594"/>
      <c r="AI24" s="594"/>
      <c r="AJ24" s="594"/>
      <c r="AK24" s="594"/>
      <c r="AL24" s="3660">
        <f>AL25+AL26+AL27+AL28</f>
        <v>148</v>
      </c>
      <c r="AM24" s="3626">
        <f t="shared" ref="AM24:AM33" si="5">AN24/AL24/9*1000</f>
        <v>22609.909909909911</v>
      </c>
      <c r="AN24" s="3627">
        <f>AN25+AN26+AN27+AN28</f>
        <v>30116.400000000001</v>
      </c>
      <c r="AO24" s="3624">
        <f>AM24/BB8</f>
        <v>1.0011940633132144</v>
      </c>
      <c r="AP24" s="3667"/>
      <c r="AQ24" s="3660">
        <f>AQ25+AQ26+AQ27+AQ28</f>
        <v>148</v>
      </c>
      <c r="AR24" s="3626">
        <f t="shared" ref="AR24:AR33" si="6">AS24/AQ24/12*1000</f>
        <v>22770.326576576579</v>
      </c>
      <c r="AS24" s="3627">
        <f>AS25+AS26+AS27+AS28</f>
        <v>40440.100000000006</v>
      </c>
      <c r="AT24" s="3624">
        <f>AR24/T24</f>
        <v>1.0224708704194778</v>
      </c>
      <c r="AU24" s="3660">
        <f>AU25+AU26+AU27+AU28</f>
        <v>155</v>
      </c>
      <c r="AV24" s="3626">
        <f t="shared" ref="AV24:AV33" si="7">AW24/AU24/12*1000</f>
        <v>23460.37634408602</v>
      </c>
      <c r="AW24" s="3627">
        <f>AW25+AW26+AW27+AW28</f>
        <v>43636.299999999996</v>
      </c>
      <c r="AX24" s="3624">
        <f>AV24/T24</f>
        <v>1.0534566265545668</v>
      </c>
      <c r="AY24" s="3628">
        <f>AV24/BB8</f>
        <v>1.0388537421149895</v>
      </c>
      <c r="AZ24" s="3621">
        <f>SUM(AZ25:AZ28)</f>
        <v>150</v>
      </c>
      <c r="BA24" s="3622">
        <f>BB24/AZ24/12*1000</f>
        <v>23530.113691896189</v>
      </c>
      <c r="BB24" s="3623">
        <f>SUM(BB25:BB28)</f>
        <v>42354.204645413141</v>
      </c>
      <c r="BC24" s="3624">
        <f t="shared" ref="BC24:BC33" si="8">BA24/T24</f>
        <v>1.0565880883048588</v>
      </c>
      <c r="BD24" s="3619"/>
      <c r="BE24" s="3625">
        <f>BE25+BE26+BE27+BE28</f>
        <v>144</v>
      </c>
      <c r="BF24" s="3626">
        <f t="shared" ref="BF24:BF33" si="9">BG24/BE24/6*1000</f>
        <v>22832.175925925923</v>
      </c>
      <c r="BG24" s="3627">
        <f>BG25+BG26+BG27+BG28</f>
        <v>19727</v>
      </c>
      <c r="BH24" s="3624">
        <f>BF24/AV24</f>
        <v>0.9732229181260148</v>
      </c>
      <c r="BI24" s="3625">
        <f>BI25+BI26+BI27+BI28</f>
        <v>148</v>
      </c>
      <c r="BJ24" s="3626">
        <f t="shared" ref="BJ24:BJ33" si="10">BK24/BI24/9*1000</f>
        <v>22988.888888888887</v>
      </c>
      <c r="BK24" s="3627">
        <f>BK25+BK26+BK27+BK28</f>
        <v>30621.199999999997</v>
      </c>
      <c r="BL24" s="3624">
        <f>BJ24/BA24</f>
        <v>0.9769986320468268</v>
      </c>
      <c r="BM24" s="3625">
        <f>BM25+BM26+BM27+BM28</f>
        <v>144</v>
      </c>
      <c r="BN24" s="3626">
        <f t="shared" ref="BN24:BN33" si="11">BO24/BM24/12*1000</f>
        <v>23577.199074074073</v>
      </c>
      <c r="BO24" s="3627">
        <f>BO25+BO26+BO27+BO28</f>
        <v>40741.4</v>
      </c>
      <c r="BP24" s="3628">
        <f>BN24/BA24</f>
        <v>1.0020010690468573</v>
      </c>
      <c r="BQ24" s="3660">
        <f>BQ25+BQ26+BQ27+BQ28</f>
        <v>155</v>
      </c>
      <c r="BR24" s="3622">
        <f>BS24/BQ24/12*1000</f>
        <v>25806.413978494627</v>
      </c>
      <c r="BS24" s="3623">
        <f>SUM(BS25:BS28)</f>
        <v>47999.930000000008</v>
      </c>
      <c r="BT24" s="3624">
        <f>BR24/BA24</f>
        <v>1.0967398762455789</v>
      </c>
      <c r="BU24" s="3625">
        <f>BU25+BU26+BU27+BU28</f>
        <v>148</v>
      </c>
      <c r="BV24" s="3622">
        <f>BW24/BU24/12*1000</f>
        <v>26725.298409525822</v>
      </c>
      <c r="BW24" s="3623">
        <f>SUM(BW25:BW28)</f>
        <v>47464.129975317854</v>
      </c>
      <c r="BX24" s="3624">
        <f>BV24/BA24</f>
        <v>1.1357912995860304</v>
      </c>
      <c r="BY24" s="3661"/>
      <c r="BZ24" s="3660">
        <f>BZ25+BZ26+BZ27+BZ28</f>
        <v>143</v>
      </c>
      <c r="CA24" s="3626">
        <f t="shared" ref="CA24" si="12">CB24/BZ24/6*1000</f>
        <v>23573.962703962705</v>
      </c>
      <c r="CB24" s="3627">
        <f>CB25+CB26+CB27+CB28</f>
        <v>20226.46</v>
      </c>
      <c r="CC24" s="3624">
        <f>CA24/BV24</f>
        <v>0.88208417143660889</v>
      </c>
      <c r="CD24" s="3660">
        <f>CD25+CD26+CD27+CD28</f>
        <v>143</v>
      </c>
      <c r="CE24" s="3626">
        <f t="shared" ref="CE24:CE33" si="13">CF24/CD24/9*1000</f>
        <v>24370.57498057498</v>
      </c>
      <c r="CF24" s="3627">
        <f>CF25+CF26+CF27+CF28</f>
        <v>31364.93</v>
      </c>
      <c r="CG24" s="3624">
        <f>CE24/BV24</f>
        <v>0.91189159451587132</v>
      </c>
      <c r="CH24" s="3660">
        <f>CH25+CH26+CH27+CH28</f>
        <v>145</v>
      </c>
      <c r="CI24" s="3626">
        <f>SUM(CJ24/CH24*1000)/12</f>
        <v>23794.770114942527</v>
      </c>
      <c r="CJ24" s="3627">
        <f>CJ25+CJ26+CJ27+CJ28</f>
        <v>41402.899999999994</v>
      </c>
      <c r="CK24" s="3624">
        <f>CI24/BV24</f>
        <v>0.89034628352217937</v>
      </c>
      <c r="CL24" s="3660">
        <f>CL25+CL26+CL27+CL28</f>
        <v>148</v>
      </c>
      <c r="CM24" s="3622">
        <f>CN24/CL24/12*1000</f>
        <v>29397.828250478397</v>
      </c>
      <c r="CN24" s="3623">
        <f>SUM(CN25:CN28)</f>
        <v>52210.542972849631</v>
      </c>
      <c r="CO24" s="3624">
        <f>CM24/BV24</f>
        <v>1.0999999999999996</v>
      </c>
      <c r="CP24" s="3625"/>
      <c r="CQ24" s="3622"/>
      <c r="CR24" s="3627">
        <f>SUM(CR25:CR28)</f>
        <v>50325.742371529755</v>
      </c>
      <c r="CS24" s="3628">
        <f>SUM(CR24/BW24)</f>
        <v>1.0602899999999997</v>
      </c>
      <c r="CT24" s="4268">
        <f>CT25+CT26+CT27+CT28</f>
        <v>144</v>
      </c>
      <c r="CU24" s="4269">
        <f>CV24/CT24/6*1000</f>
        <v>25517.013888888887</v>
      </c>
      <c r="CV24" s="4270">
        <f>SUM(CV25:CV28)</f>
        <v>22046.699999999997</v>
      </c>
      <c r="CW24" s="4271">
        <f>CW25+CW26+CW27+CW28</f>
        <v>143</v>
      </c>
      <c r="CX24" s="4269">
        <f>CY24/CW24/9*1000</f>
        <v>25582.152292152288</v>
      </c>
      <c r="CY24" s="4270">
        <f>SUM(CY25:CY28)</f>
        <v>32924.229999999996</v>
      </c>
      <c r="CZ24" s="4271">
        <f>CZ25+CZ26+CZ27+CZ28</f>
        <v>143</v>
      </c>
      <c r="DA24" s="4269">
        <f>DB24/CZ24/12*1000</f>
        <v>25525.501165501169</v>
      </c>
      <c r="DB24" s="4277">
        <f>SUM(DB25:DB28)</f>
        <v>43801.760000000002</v>
      </c>
      <c r="DC24" s="4260"/>
      <c r="DD24" s="3622"/>
      <c r="DE24" s="3627">
        <f>SUM(DE25:DE28)</f>
        <v>52712.189074787704</v>
      </c>
      <c r="DF24" s="3624">
        <f>DE24/CR24</f>
        <v>1.0474200000000002</v>
      </c>
      <c r="DG24" s="3625"/>
      <c r="DH24" s="3622"/>
      <c r="DI24" s="4423">
        <f>SUM(DI25:DI28)</f>
        <v>51815.384345727041</v>
      </c>
      <c r="DJ24" s="4424">
        <f>DI24/CR24</f>
        <v>1.0296000000000001</v>
      </c>
    </row>
    <row r="25" spans="1:114" ht="37.5" customHeight="1">
      <c r="A25" s="3687" t="s">
        <v>193</v>
      </c>
      <c r="B25" s="3688" t="s">
        <v>85</v>
      </c>
      <c r="C25" s="3689">
        <v>456</v>
      </c>
      <c r="D25" s="3630">
        <v>12405</v>
      </c>
      <c r="E25" s="3690">
        <v>67882.600000000006</v>
      </c>
      <c r="F25" s="3691">
        <v>444</v>
      </c>
      <c r="G25" s="3630">
        <v>12620</v>
      </c>
      <c r="H25" s="3692">
        <f>F25*G25*12/1000</f>
        <v>67239.360000000001</v>
      </c>
      <c r="I25" s="3662">
        <v>435</v>
      </c>
      <c r="J25" s="3630">
        <v>13646</v>
      </c>
      <c r="K25" s="3685">
        <f>J25/G25</f>
        <v>1.0812995245641839</v>
      </c>
      <c r="L25" s="3692">
        <v>71232.100000000006</v>
      </c>
      <c r="M25" s="3662">
        <v>26.5</v>
      </c>
      <c r="N25" s="3630">
        <f t="shared" si="3"/>
        <v>22554.402515723272</v>
      </c>
      <c r="O25" s="3631">
        <v>7172.3</v>
      </c>
      <c r="P25" s="3624">
        <f>N25/AM9</f>
        <v>1.1772154265166728</v>
      </c>
      <c r="Q25" s="3667"/>
      <c r="R25" s="5370"/>
      <c r="S25" s="3693">
        <f>AL9</f>
        <v>26.5</v>
      </c>
      <c r="T25" s="3630">
        <f>AM9*1.056</f>
        <v>20232.022550943402</v>
      </c>
      <c r="U25" s="3631">
        <f>S25*T25*12/1000</f>
        <v>6433.7831712000025</v>
      </c>
      <c r="V25" s="3624">
        <f>T25/AM9</f>
        <v>1.056</v>
      </c>
      <c r="W25" s="3624">
        <f>T25/AY9</f>
        <v>0.85651923563968224</v>
      </c>
      <c r="X25" s="3663">
        <v>23.5</v>
      </c>
      <c r="Y25" s="3630">
        <f t="shared" si="4"/>
        <v>20790.070921985814</v>
      </c>
      <c r="Z25" s="3631">
        <v>2931.4</v>
      </c>
      <c r="AA25" s="3624">
        <f>Y25/BB9</f>
        <v>0.98254215345308094</v>
      </c>
      <c r="AB25" s="3628" t="e">
        <f>Y25/#REF!</f>
        <v>#REF!</v>
      </c>
      <c r="AC25" s="594"/>
      <c r="AD25" s="594"/>
      <c r="AE25" s="594"/>
      <c r="AF25" s="594"/>
      <c r="AG25" s="594"/>
      <c r="AH25" s="594"/>
      <c r="AI25" s="594"/>
      <c r="AJ25" s="594"/>
      <c r="AK25" s="594"/>
      <c r="AL25" s="3662">
        <v>24</v>
      </c>
      <c r="AM25" s="3630">
        <f t="shared" si="5"/>
        <v>21343.981481481482</v>
      </c>
      <c r="AN25" s="3631">
        <v>4610.3</v>
      </c>
      <c r="AO25" s="3624">
        <f>AM25/BB9</f>
        <v>1.0087200571259218</v>
      </c>
      <c r="AP25" s="3667"/>
      <c r="AQ25" s="3662">
        <v>24</v>
      </c>
      <c r="AR25" s="3630">
        <f t="shared" si="6"/>
        <v>21852.430555555558</v>
      </c>
      <c r="AS25" s="3631">
        <v>6293.5</v>
      </c>
      <c r="AT25" s="3624">
        <f t="shared" ref="AT25:AT37" si="14">AR25/T25</f>
        <v>1.0800912514076155</v>
      </c>
      <c r="AU25" s="3662">
        <v>26.5</v>
      </c>
      <c r="AV25" s="3630">
        <f t="shared" si="7"/>
        <v>21298.113207547172</v>
      </c>
      <c r="AW25" s="3631">
        <v>6772.8</v>
      </c>
      <c r="AX25" s="3624">
        <f t="shared" ref="AX25:AX33" si="15">AV25/T25</f>
        <v>1.0526932319257454</v>
      </c>
      <c r="AY25" s="3628">
        <f>AV25/BB9</f>
        <v>1.0065523149948004</v>
      </c>
      <c r="AZ25" s="3629">
        <f>BA9</f>
        <v>22</v>
      </c>
      <c r="BA25" s="3630">
        <f>AV25</f>
        <v>21298.113207547172</v>
      </c>
      <c r="BB25" s="3631">
        <f>AZ25*BA25*12/1000</f>
        <v>5622.7018867924526</v>
      </c>
      <c r="BC25" s="3624">
        <f t="shared" si="8"/>
        <v>1.0526932319257454</v>
      </c>
      <c r="BD25" s="3619"/>
      <c r="BE25" s="3632">
        <v>24</v>
      </c>
      <c r="BF25" s="3630">
        <f t="shared" si="9"/>
        <v>21190.972222222223</v>
      </c>
      <c r="BG25" s="3631">
        <v>3051.5</v>
      </c>
      <c r="BH25" s="3624">
        <f t="shared" ref="BH25:BH37" si="16">BF25/AV25</f>
        <v>0.99496946117804541</v>
      </c>
      <c r="BI25" s="3632">
        <v>24</v>
      </c>
      <c r="BJ25" s="3630">
        <f t="shared" si="10"/>
        <v>21644.444444444442</v>
      </c>
      <c r="BK25" s="3631">
        <v>4675.2</v>
      </c>
      <c r="BL25" s="3624">
        <f t="shared" ref="BL25:BL37" si="17">BJ25/BA25</f>
        <v>1.0162611229230645</v>
      </c>
      <c r="BM25" s="3632">
        <v>24</v>
      </c>
      <c r="BN25" s="3630">
        <f t="shared" si="11"/>
        <v>21620.347222222223</v>
      </c>
      <c r="BO25" s="3631">
        <v>6226.66</v>
      </c>
      <c r="BP25" s="3628">
        <f t="shared" ref="BP25:BP37" si="18">BN25/BA25</f>
        <v>1.0151296977124182</v>
      </c>
      <c r="BQ25" s="3662">
        <v>26.5</v>
      </c>
      <c r="BR25" s="3630">
        <f>SUM(BA25*1.1)</f>
        <v>23427.92452830189</v>
      </c>
      <c r="BS25" s="3631">
        <f>BQ25*BR25*12/1000</f>
        <v>7450.0800000000017</v>
      </c>
      <c r="BT25" s="3624">
        <f t="shared" ref="BT25:BT37" si="19">BR25/BA25</f>
        <v>1.1000000000000001</v>
      </c>
      <c r="BU25" s="3632">
        <f>AQ25</f>
        <v>24</v>
      </c>
      <c r="BV25" s="3630">
        <f>'ЗП с факт 3 кв. 2015'!BU24</f>
        <v>24220.191666666662</v>
      </c>
      <c r="BW25" s="3631">
        <f>BU25*BV25*12/1000</f>
        <v>6975.4151999999985</v>
      </c>
      <c r="BX25" s="3624">
        <f t="shared" ref="BX25:BX37" si="20">BV25/BA25</f>
        <v>1.1371989354476726</v>
      </c>
      <c r="BY25" s="3628">
        <f>BV25/BJ25</f>
        <v>1.1190026950718686</v>
      </c>
      <c r="BZ25" s="3662">
        <v>25</v>
      </c>
      <c r="CA25" s="3630">
        <f>CB25/BZ25/6*1000</f>
        <v>22209.399999999998</v>
      </c>
      <c r="CB25" s="3631">
        <v>3331.41</v>
      </c>
      <c r="CC25" s="3624">
        <f t="shared" ref="CC25:CC37" si="21">CA25/BV25</f>
        <v>0.91697870543964188</v>
      </c>
      <c r="CD25" s="3662">
        <v>25</v>
      </c>
      <c r="CE25" s="3630">
        <f t="shared" si="13"/>
        <v>22926.177777777779</v>
      </c>
      <c r="CF25" s="3631">
        <v>5158.3900000000003</v>
      </c>
      <c r="CG25" s="3624">
        <f t="shared" ref="CG25:CG37" si="22">CE25/BV25</f>
        <v>0.94657292945085214</v>
      </c>
      <c r="CH25" s="3662">
        <v>25</v>
      </c>
      <c r="CI25" s="3630">
        <f>SUM(CJ25/CH25*1000)/12</f>
        <v>22801.933333333334</v>
      </c>
      <c r="CJ25" s="3631">
        <v>6840.58</v>
      </c>
      <c r="CK25" s="3624">
        <f t="shared" ref="CK25:CK37" si="23">CI25/BV25</f>
        <v>0.94144314162116138</v>
      </c>
      <c r="CL25" s="3662">
        <f>SUM(BU25)</f>
        <v>24</v>
      </c>
      <c r="CM25" s="3630">
        <f>SUM(BV25*1.1)</f>
        <v>26642.210833333331</v>
      </c>
      <c r="CN25" s="3631">
        <f>CL25*CM25*12/1000</f>
        <v>7672.9567199999992</v>
      </c>
      <c r="CO25" s="3624">
        <f t="shared" ref="CO25:CO37" si="24">CM25/BV25</f>
        <v>1.1000000000000001</v>
      </c>
      <c r="CP25" s="3632"/>
      <c r="CQ25" s="3630"/>
      <c r="CR25" s="3720">
        <f>BW25*(1-0.01)*(1+0.071)*(1+0)</f>
        <v>7395.9629824079975</v>
      </c>
      <c r="CS25" s="3628">
        <f t="shared" ref="CS25:CS33" si="25">SUM(CR25/BW25)</f>
        <v>1.06029</v>
      </c>
      <c r="CT25" s="4272">
        <v>19</v>
      </c>
      <c r="CU25" s="4273">
        <f>SUM(CV25/CT25*1000)/6</f>
        <v>23755.78947368421</v>
      </c>
      <c r="CV25" s="4274">
        <v>2708.16</v>
      </c>
      <c r="CW25" s="4265">
        <v>21</v>
      </c>
      <c r="CX25" s="4273">
        <f>SUM(CY25/CW25*1000)/9</f>
        <v>24094.708994708995</v>
      </c>
      <c r="CY25" s="4113">
        <v>4553.8999999999996</v>
      </c>
      <c r="CZ25" s="4265">
        <v>21</v>
      </c>
      <c r="DA25" s="4273">
        <f>SUM(DB25/CZ25*1000)/12</f>
        <v>25395.396825396823</v>
      </c>
      <c r="DB25" s="4266">
        <f>SUM(CV25+((CY25-CV25)/3*6))</f>
        <v>6399.6399999999994</v>
      </c>
      <c r="DC25" s="4261"/>
      <c r="DD25" s="3630"/>
      <c r="DE25" s="3720">
        <f>CR25*(1-0.01)*(1+0.058)*(1+0)</f>
        <v>7746.6795470337847</v>
      </c>
      <c r="DF25" s="3624">
        <f t="shared" ref="DF25:DF33" si="26">DE25/CR25</f>
        <v>1.04742</v>
      </c>
      <c r="DG25" s="3632"/>
      <c r="DH25" s="3630"/>
      <c r="DI25" s="4425">
        <f>CR25*(1-0.01)*(1+0.04)*(1+0)</f>
        <v>7614.8834866872739</v>
      </c>
      <c r="DJ25" s="4424">
        <f t="shared" ref="DJ25:DJ33" si="27">DI25/CR25</f>
        <v>1.0296000000000001</v>
      </c>
    </row>
    <row r="26" spans="1:114" ht="37.5" customHeight="1">
      <c r="A26" s="3687" t="s">
        <v>194</v>
      </c>
      <c r="B26" s="3688" t="s">
        <v>87</v>
      </c>
      <c r="C26" s="3689">
        <v>384</v>
      </c>
      <c r="D26" s="3630">
        <v>11838</v>
      </c>
      <c r="E26" s="3690">
        <v>54547.199999999997</v>
      </c>
      <c r="F26" s="3691">
        <v>369</v>
      </c>
      <c r="G26" s="3630">
        <v>12231</v>
      </c>
      <c r="H26" s="3692">
        <f>F26*G26*12/1000</f>
        <v>54158.868000000002</v>
      </c>
      <c r="I26" s="3662">
        <v>364</v>
      </c>
      <c r="J26" s="3630">
        <v>13021</v>
      </c>
      <c r="K26" s="3685">
        <f>J26/G26</f>
        <v>1.0645899762897555</v>
      </c>
      <c r="L26" s="3692">
        <v>56876.800000000003</v>
      </c>
      <c r="M26" s="3663">
        <v>72.5</v>
      </c>
      <c r="N26" s="3630">
        <f t="shared" si="3"/>
        <v>24945.172413793101</v>
      </c>
      <c r="O26" s="3631">
        <v>21702.3</v>
      </c>
      <c r="P26" s="3624">
        <f>N26/AM10</f>
        <v>1.2615226133783446</v>
      </c>
      <c r="Q26" s="3667"/>
      <c r="R26" s="5370"/>
      <c r="S26" s="3693">
        <f>AL10</f>
        <v>72.5</v>
      </c>
      <c r="T26" s="3630">
        <f>AM10*1.056</f>
        <v>20881.196888275859</v>
      </c>
      <c r="U26" s="3631">
        <f>S26*T26*12/1000</f>
        <v>18166.641292799999</v>
      </c>
      <c r="V26" s="3624">
        <f>T26/AM10</f>
        <v>1.056</v>
      </c>
      <c r="W26" s="3624">
        <f>T26/AY10</f>
        <v>0.88289130639854074</v>
      </c>
      <c r="X26" s="3663">
        <v>73.5</v>
      </c>
      <c r="Y26" s="3630">
        <f t="shared" si="4"/>
        <v>19868.934240362814</v>
      </c>
      <c r="Z26" s="3631">
        <v>8762.2000000000007</v>
      </c>
      <c r="AA26" s="3624">
        <f>Y26/BB10</f>
        <v>0.9283594723885823</v>
      </c>
      <c r="AB26" s="3628" t="e">
        <f>Y26/#REF!</f>
        <v>#REF!</v>
      </c>
      <c r="AC26" s="594"/>
      <c r="AD26" s="594"/>
      <c r="AE26" s="594"/>
      <c r="AF26" s="594"/>
      <c r="AG26" s="594"/>
      <c r="AH26" s="594"/>
      <c r="AI26" s="594"/>
      <c r="AJ26" s="594"/>
      <c r="AK26" s="594"/>
      <c r="AL26" s="3663">
        <v>75</v>
      </c>
      <c r="AM26" s="3630">
        <f t="shared" si="5"/>
        <v>20413.185185185186</v>
      </c>
      <c r="AN26" s="3631">
        <v>13778.9</v>
      </c>
      <c r="AO26" s="3624">
        <f>AM26/BB10</f>
        <v>0.95378914636454581</v>
      </c>
      <c r="AP26" s="3667"/>
      <c r="AQ26" s="3663">
        <v>74</v>
      </c>
      <c r="AR26" s="3630">
        <f t="shared" si="6"/>
        <v>20925.33783783784</v>
      </c>
      <c r="AS26" s="3631">
        <v>18581.7</v>
      </c>
      <c r="AT26" s="3624">
        <f t="shared" si="14"/>
        <v>1.0021139089774478</v>
      </c>
      <c r="AU26" s="3663">
        <v>72.5</v>
      </c>
      <c r="AV26" s="3630">
        <f t="shared" si="7"/>
        <v>21999.540229885057</v>
      </c>
      <c r="AW26" s="3631">
        <v>19139.599999999999</v>
      </c>
      <c r="AX26" s="3624">
        <f t="shared" si="15"/>
        <v>1.0535574348344521</v>
      </c>
      <c r="AY26" s="3628">
        <f>AV26/BB10</f>
        <v>1.0279102700495193</v>
      </c>
      <c r="AZ26" s="3629">
        <f>BA10</f>
        <v>72</v>
      </c>
      <c r="BA26" s="3630">
        <f>AV26</f>
        <v>21999.540229885057</v>
      </c>
      <c r="BB26" s="3631">
        <f>AZ26*BA26*12/1000</f>
        <v>19007.602758620687</v>
      </c>
      <c r="BC26" s="3624">
        <f t="shared" si="8"/>
        <v>1.0535574348344521</v>
      </c>
      <c r="BD26" s="3619"/>
      <c r="BE26" s="3633">
        <v>72</v>
      </c>
      <c r="BF26" s="3630">
        <f t="shared" si="9"/>
        <v>21250.231481481482</v>
      </c>
      <c r="BG26" s="3631">
        <v>9180.1</v>
      </c>
      <c r="BH26" s="3624">
        <f t="shared" si="16"/>
        <v>0.965939799624281</v>
      </c>
      <c r="BI26" s="3633">
        <v>74</v>
      </c>
      <c r="BJ26" s="3630">
        <f t="shared" si="10"/>
        <v>21538.138138138136</v>
      </c>
      <c r="BK26" s="3631">
        <v>14344.4</v>
      </c>
      <c r="BL26" s="3624">
        <f t="shared" si="17"/>
        <v>0.97902673933520967</v>
      </c>
      <c r="BM26" s="3633">
        <v>72</v>
      </c>
      <c r="BN26" s="3630">
        <f t="shared" si="11"/>
        <v>22266.458333333332</v>
      </c>
      <c r="BO26" s="3631">
        <v>19238.22</v>
      </c>
      <c r="BP26" s="3628">
        <f t="shared" si="18"/>
        <v>1.0121328946268469</v>
      </c>
      <c r="BQ26" s="3663">
        <v>72.5</v>
      </c>
      <c r="BR26" s="3630">
        <f t="shared" ref="BR26:BR33" si="28">SUM(BA26*1.1)</f>
        <v>24199.494252873563</v>
      </c>
      <c r="BS26" s="3631">
        <f>BQ26*BR26*12/1000</f>
        <v>21053.56</v>
      </c>
      <c r="BT26" s="3624">
        <f t="shared" si="19"/>
        <v>1.1000000000000001</v>
      </c>
      <c r="BU26" s="3632">
        <f t="shared" ref="BU26:BU28" si="29">AQ26</f>
        <v>74</v>
      </c>
      <c r="BV26" s="3630">
        <f>'ЗП с факт 3 кв. 2015'!BU25</f>
        <v>25326.293150684927</v>
      </c>
      <c r="BW26" s="3631">
        <f>BU26*BV26*12/1000</f>
        <v>22489.748317808218</v>
      </c>
      <c r="BX26" s="3624">
        <f t="shared" si="20"/>
        <v>1.1512192021304462</v>
      </c>
      <c r="BY26" s="3628">
        <f t="shared" ref="BY26:BY37" si="30">BV26/BJ26</f>
        <v>1.1758812664423861</v>
      </c>
      <c r="BZ26" s="3663">
        <v>74</v>
      </c>
      <c r="CA26" s="3630">
        <f t="shared" ref="CA26:CA33" si="31">CB26/BZ26/6*1000</f>
        <v>22026.509009009009</v>
      </c>
      <c r="CB26" s="3631">
        <v>9779.77</v>
      </c>
      <c r="CC26" s="3624">
        <f t="shared" si="21"/>
        <v>0.86970915474905652</v>
      </c>
      <c r="CD26" s="3663">
        <v>74</v>
      </c>
      <c r="CE26" s="3630">
        <f t="shared" si="13"/>
        <v>22702.702702702703</v>
      </c>
      <c r="CF26" s="3631">
        <v>15120</v>
      </c>
      <c r="CG26" s="3624">
        <f t="shared" si="22"/>
        <v>0.89640843085987609</v>
      </c>
      <c r="CH26" s="3663">
        <v>74</v>
      </c>
      <c r="CI26" s="3630">
        <f t="shared" ref="CI26:CI28" si="32">SUM(CJ26/CH26*1000)/12</f>
        <v>22319.76351351351</v>
      </c>
      <c r="CJ26" s="3631">
        <v>19819.95</v>
      </c>
      <c r="CK26" s="3624">
        <f t="shared" si="23"/>
        <v>0.88128820829470222</v>
      </c>
      <c r="CL26" s="3662">
        <f t="shared" ref="CL26:CL28" si="33">SUM(BU26)</f>
        <v>74</v>
      </c>
      <c r="CM26" s="3630">
        <f t="shared" ref="CM26:CM28" si="34">SUM(BV26*1.1)</f>
        <v>27858.922465753421</v>
      </c>
      <c r="CN26" s="3631">
        <f>CL26*CM26*12/1000</f>
        <v>24738.723149589041</v>
      </c>
      <c r="CO26" s="3624">
        <f t="shared" si="24"/>
        <v>1.1000000000000001</v>
      </c>
      <c r="CP26" s="3632"/>
      <c r="CQ26" s="3630"/>
      <c r="CR26" s="3631">
        <f t="shared" ref="CR26:CR33" si="35">BW26*(1-0.01)*(1+0.071)*(1+0)</f>
        <v>23845.655243888872</v>
      </c>
      <c r="CS26" s="3628">
        <f t="shared" si="25"/>
        <v>1.0602899999999997</v>
      </c>
      <c r="CT26" s="4272">
        <v>83</v>
      </c>
      <c r="CU26" s="4273">
        <f t="shared" ref="CU26:CU33" si="36">SUM(CV26/CT26*1000)/6</f>
        <v>24343.072289156629</v>
      </c>
      <c r="CV26" s="4274">
        <v>12122.85</v>
      </c>
      <c r="CW26" s="4265">
        <v>79</v>
      </c>
      <c r="CX26" s="4273">
        <f>SUM(CY26/CW26*1000)/9</f>
        <v>24575.935302391001</v>
      </c>
      <c r="CY26" s="4113">
        <v>17473.490000000002</v>
      </c>
      <c r="CZ26" s="4265">
        <v>79</v>
      </c>
      <c r="DA26" s="4273">
        <f>SUM(DB26/CZ26*1000)/12</f>
        <v>24076.086497890301</v>
      </c>
      <c r="DB26" s="4266">
        <f t="shared" ref="DB26:DB33" si="37">SUM(CV26+((CY26-CV26)/3*6))</f>
        <v>22824.130000000005</v>
      </c>
      <c r="DC26" s="4261"/>
      <c r="DD26" s="3630"/>
      <c r="DE26" s="3720">
        <f t="shared" ref="DE26:DE33" si="38">CR26*(1-0.01)*(1+0.058)*(1+0)</f>
        <v>24976.416215554083</v>
      </c>
      <c r="DF26" s="3624">
        <f t="shared" si="26"/>
        <v>1.04742</v>
      </c>
      <c r="DG26" s="3632"/>
      <c r="DH26" s="3630"/>
      <c r="DI26" s="4425">
        <f>CR26*(1-0.01)*(1+0.04)*(1+0)</f>
        <v>24551.486639107985</v>
      </c>
      <c r="DJ26" s="4424">
        <f t="shared" si="27"/>
        <v>1.0296000000000001</v>
      </c>
    </row>
    <row r="27" spans="1:114" ht="37.5" customHeight="1">
      <c r="A27" s="3687" t="s">
        <v>202</v>
      </c>
      <c r="B27" s="3688" t="s">
        <v>88</v>
      </c>
      <c r="C27" s="3689"/>
      <c r="D27" s="3630"/>
      <c r="E27" s="3690"/>
      <c r="F27" s="3691"/>
      <c r="G27" s="3630"/>
      <c r="H27" s="3692"/>
      <c r="I27" s="3662"/>
      <c r="J27" s="3630"/>
      <c r="K27" s="3685"/>
      <c r="L27" s="3692"/>
      <c r="M27" s="3662">
        <v>31</v>
      </c>
      <c r="N27" s="3630">
        <f t="shared" si="3"/>
        <v>30275.806451612905</v>
      </c>
      <c r="O27" s="3631">
        <v>11262.6</v>
      </c>
      <c r="P27" s="3624">
        <f>N27/AM11</f>
        <v>1.2088401473413275</v>
      </c>
      <c r="Q27" s="3667"/>
      <c r="R27" s="5370"/>
      <c r="S27" s="3693">
        <f>AL11</f>
        <v>31</v>
      </c>
      <c r="T27" s="3630">
        <f>AM11*1.056</f>
        <v>26447.873759999999</v>
      </c>
      <c r="U27" s="3631">
        <f>S27*T27*12/1000</f>
        <v>9838.6090387200002</v>
      </c>
      <c r="V27" s="3624">
        <f>T27/AM11</f>
        <v>1.056</v>
      </c>
      <c r="W27" s="3624">
        <f>T27/AY11</f>
        <v>0.92042627549755296</v>
      </c>
      <c r="X27" s="3663">
        <v>29.33</v>
      </c>
      <c r="Y27" s="3630">
        <f t="shared" si="4"/>
        <v>25010.796681441076</v>
      </c>
      <c r="Z27" s="3631">
        <v>4401.3999999999996</v>
      </c>
      <c r="AA27" s="3624">
        <f>Y27/BB11</f>
        <v>0.95682926073099828</v>
      </c>
      <c r="AB27" s="3628" t="e">
        <f>Y27/#REF!</f>
        <v>#REF!</v>
      </c>
      <c r="AC27" s="594"/>
      <c r="AD27" s="594"/>
      <c r="AE27" s="594"/>
      <c r="AF27" s="594"/>
      <c r="AG27" s="594"/>
      <c r="AH27" s="594"/>
      <c r="AI27" s="594"/>
      <c r="AJ27" s="594"/>
      <c r="AK27" s="594"/>
      <c r="AL27" s="3662">
        <v>28</v>
      </c>
      <c r="AM27" s="3630">
        <f t="shared" si="5"/>
        <v>27159.920634920636</v>
      </c>
      <c r="AN27" s="3631">
        <v>6844.3</v>
      </c>
      <c r="AO27" s="3624">
        <f>AM27/BB11</f>
        <v>1.039047540692988</v>
      </c>
      <c r="AP27" s="3667"/>
      <c r="AQ27" s="3662">
        <v>29</v>
      </c>
      <c r="AR27" s="3630">
        <f t="shared" si="6"/>
        <v>26195.689655172417</v>
      </c>
      <c r="AS27" s="3631">
        <v>9116.1</v>
      </c>
      <c r="AT27" s="3624">
        <f t="shared" si="14"/>
        <v>0.99046486280462409</v>
      </c>
      <c r="AU27" s="3662">
        <v>31</v>
      </c>
      <c r="AV27" s="3630">
        <f t="shared" si="7"/>
        <v>27862.365591397847</v>
      </c>
      <c r="AW27" s="3631">
        <v>10364.799999999999</v>
      </c>
      <c r="AX27" s="3624">
        <f t="shared" si="15"/>
        <v>1.0534822513232478</v>
      </c>
      <c r="AY27" s="3628">
        <f>AV27/BB11</f>
        <v>1.0659207305785803</v>
      </c>
      <c r="AZ27" s="3629">
        <f>BA11</f>
        <v>31</v>
      </c>
      <c r="BA27" s="3630">
        <f>AV27</f>
        <v>27862.365591397847</v>
      </c>
      <c r="BB27" s="3631">
        <f>AZ27*BA27*12/1000</f>
        <v>10364.799999999999</v>
      </c>
      <c r="BC27" s="3624">
        <f t="shared" si="8"/>
        <v>1.0534822513232478</v>
      </c>
      <c r="BD27" s="3619"/>
      <c r="BE27" s="3632">
        <v>28</v>
      </c>
      <c r="BF27" s="3630">
        <f t="shared" si="9"/>
        <v>26782.738095238099</v>
      </c>
      <c r="BG27" s="3631">
        <v>4499.5</v>
      </c>
      <c r="BH27" s="3624">
        <f t="shared" si="16"/>
        <v>0.96125140585718716</v>
      </c>
      <c r="BI27" s="3632">
        <v>29</v>
      </c>
      <c r="BJ27" s="3630">
        <f t="shared" si="10"/>
        <v>26555.938697318008</v>
      </c>
      <c r="BK27" s="3631">
        <v>6931.1</v>
      </c>
      <c r="BL27" s="3624">
        <f t="shared" si="17"/>
        <v>0.95311141511677022</v>
      </c>
      <c r="BM27" s="3632">
        <v>28</v>
      </c>
      <c r="BN27" s="3630">
        <f t="shared" si="11"/>
        <v>27208.77976190476</v>
      </c>
      <c r="BO27" s="3631">
        <v>9142.15</v>
      </c>
      <c r="BP27" s="3628">
        <f t="shared" si="18"/>
        <v>0.9765423424888634</v>
      </c>
      <c r="BQ27" s="3662">
        <v>31</v>
      </c>
      <c r="BR27" s="3630">
        <f t="shared" si="28"/>
        <v>30648.602150537634</v>
      </c>
      <c r="BS27" s="3631">
        <f>BQ27*BR27*12/1000</f>
        <v>11401.28</v>
      </c>
      <c r="BT27" s="3624">
        <f t="shared" si="19"/>
        <v>1.1000000000000001</v>
      </c>
      <c r="BU27" s="3632">
        <f t="shared" si="29"/>
        <v>29</v>
      </c>
      <c r="BV27" s="3630">
        <f>'ЗП с факт 3 кв. 2015'!BU26</f>
        <v>30544.308771929835</v>
      </c>
      <c r="BW27" s="3631">
        <f>BU27*BV27*12/1000</f>
        <v>10629.419452631584</v>
      </c>
      <c r="BX27" s="3624">
        <f t="shared" si="20"/>
        <v>1.0962568369054781</v>
      </c>
      <c r="BY27" s="3628">
        <f t="shared" si="30"/>
        <v>1.1501875011864908</v>
      </c>
      <c r="BZ27" s="3662">
        <v>26</v>
      </c>
      <c r="CA27" s="3630">
        <f t="shared" si="31"/>
        <v>29062.756410256414</v>
      </c>
      <c r="CB27" s="3631">
        <v>4533.79</v>
      </c>
      <c r="CC27" s="3624">
        <f t="shared" si="21"/>
        <v>0.95149497823846763</v>
      </c>
      <c r="CD27" s="3662">
        <v>26</v>
      </c>
      <c r="CE27" s="3630">
        <f t="shared" si="13"/>
        <v>30477.264957264961</v>
      </c>
      <c r="CF27" s="3631">
        <v>7131.68</v>
      </c>
      <c r="CG27" s="3624">
        <f t="shared" si="22"/>
        <v>0.99780503087611239</v>
      </c>
      <c r="CH27" s="3662">
        <v>28</v>
      </c>
      <c r="CI27" s="3630">
        <f t="shared" si="32"/>
        <v>27648.333333333339</v>
      </c>
      <c r="CJ27" s="3631">
        <v>9289.84</v>
      </c>
      <c r="CK27" s="3624">
        <f t="shared" si="23"/>
        <v>0.90518772383358392</v>
      </c>
      <c r="CL27" s="3662">
        <f t="shared" si="33"/>
        <v>29</v>
      </c>
      <c r="CM27" s="3630">
        <f t="shared" si="34"/>
        <v>33598.739649122821</v>
      </c>
      <c r="CN27" s="3631">
        <f>CL27*CM27*12/1000</f>
        <v>11692.361397894741</v>
      </c>
      <c r="CO27" s="3624">
        <f t="shared" si="24"/>
        <v>1.1000000000000001</v>
      </c>
      <c r="CP27" s="3632"/>
      <c r="CQ27" s="3630"/>
      <c r="CR27" s="3631">
        <f t="shared" si="35"/>
        <v>11270.267151430742</v>
      </c>
      <c r="CS27" s="3628">
        <f t="shared" si="25"/>
        <v>1.06029</v>
      </c>
      <c r="CT27" s="4272">
        <v>24</v>
      </c>
      <c r="CU27" s="4273">
        <f t="shared" si="36"/>
        <v>30066.597222222223</v>
      </c>
      <c r="CV27" s="4274">
        <v>4329.59</v>
      </c>
      <c r="CW27" s="4265">
        <v>25</v>
      </c>
      <c r="CX27" s="4273">
        <f>SUM(CY27/CW27*1000)/9</f>
        <v>28670.399999999998</v>
      </c>
      <c r="CY27" s="4113">
        <v>6450.84</v>
      </c>
      <c r="CZ27" s="4265">
        <v>25</v>
      </c>
      <c r="DA27" s="4273">
        <f>SUM(DB27/CZ27*1000)/12</f>
        <v>28573.633333333331</v>
      </c>
      <c r="DB27" s="4266">
        <f t="shared" si="37"/>
        <v>8572.09</v>
      </c>
      <c r="DC27" s="4261"/>
      <c r="DD27" s="3630"/>
      <c r="DE27" s="3720">
        <f t="shared" si="38"/>
        <v>11804.703219751589</v>
      </c>
      <c r="DF27" s="3624">
        <f t="shared" si="26"/>
        <v>1.04742</v>
      </c>
      <c r="DG27" s="3632"/>
      <c r="DH27" s="3630"/>
      <c r="DI27" s="4425">
        <f>CR27*(1-0.01)*(1+0.04)*(1+0)</f>
        <v>11603.867059113092</v>
      </c>
      <c r="DJ27" s="4424">
        <f t="shared" si="27"/>
        <v>1.0296000000000001</v>
      </c>
    </row>
    <row r="28" spans="1:114" ht="37.5" customHeight="1">
      <c r="A28" s="3687" t="s">
        <v>203</v>
      </c>
      <c r="B28" s="3688" t="s">
        <v>89</v>
      </c>
      <c r="C28" s="3689"/>
      <c r="D28" s="3630"/>
      <c r="E28" s="3690"/>
      <c r="F28" s="3691"/>
      <c r="G28" s="3630"/>
      <c r="H28" s="3692"/>
      <c r="I28" s="3662"/>
      <c r="J28" s="3630"/>
      <c r="K28" s="3685"/>
      <c r="L28" s="3692"/>
      <c r="M28" s="3662">
        <v>25</v>
      </c>
      <c r="N28" s="3630">
        <f t="shared" si="3"/>
        <v>25887.333333333332</v>
      </c>
      <c r="O28" s="3631">
        <v>7766.2</v>
      </c>
      <c r="P28" s="3624">
        <f>N28/AM12</f>
        <v>1.174441454882867</v>
      </c>
      <c r="Q28" s="3667"/>
      <c r="R28" s="5370"/>
      <c r="S28" s="3693">
        <f>AL12</f>
        <v>25</v>
      </c>
      <c r="T28" s="3630">
        <f>AM12*1.056</f>
        <v>23276.617056000003</v>
      </c>
      <c r="U28" s="3631">
        <f>S28*T28*12/1000</f>
        <v>6982.9851168000005</v>
      </c>
      <c r="V28" s="3624">
        <f>T28/AM12</f>
        <v>1.056</v>
      </c>
      <c r="W28" s="3624">
        <f>T28/AY12</f>
        <v>0.90490684179970982</v>
      </c>
      <c r="X28" s="3663">
        <v>22</v>
      </c>
      <c r="Y28" s="3630">
        <f t="shared" si="4"/>
        <v>23571.9696969697</v>
      </c>
      <c r="Z28" s="3631">
        <v>3111.5</v>
      </c>
      <c r="AA28" s="3624">
        <f>Y28/BB12</f>
        <v>1.0326656214446632</v>
      </c>
      <c r="AB28" s="3628" t="e">
        <f>Y28/#REF!</f>
        <v>#REF!</v>
      </c>
      <c r="AC28" s="594"/>
      <c r="AD28" s="594"/>
      <c r="AE28" s="594"/>
      <c r="AF28" s="594"/>
      <c r="AG28" s="594"/>
      <c r="AH28" s="594"/>
      <c r="AI28" s="594"/>
      <c r="AJ28" s="594"/>
      <c r="AK28" s="594"/>
      <c r="AL28" s="3662">
        <v>21</v>
      </c>
      <c r="AM28" s="3630">
        <f t="shared" si="5"/>
        <v>25835.449735449733</v>
      </c>
      <c r="AN28" s="3631">
        <v>4882.8999999999996</v>
      </c>
      <c r="AO28" s="3624">
        <f>AM28/BB12</f>
        <v>1.1318265337745761</v>
      </c>
      <c r="AP28" s="3667"/>
      <c r="AQ28" s="3662">
        <v>21</v>
      </c>
      <c r="AR28" s="3630">
        <f t="shared" si="6"/>
        <v>25590.476190476191</v>
      </c>
      <c r="AS28" s="3631">
        <v>6448.8</v>
      </c>
      <c r="AT28" s="3624">
        <f t="shared" si="14"/>
        <v>1.0994070198822017</v>
      </c>
      <c r="AU28" s="3662">
        <v>25</v>
      </c>
      <c r="AV28" s="3630">
        <f t="shared" si="7"/>
        <v>24530.333333333336</v>
      </c>
      <c r="AW28" s="3631">
        <v>7359.1</v>
      </c>
      <c r="AX28" s="3624">
        <f t="shared" si="15"/>
        <v>1.0538616189078114</v>
      </c>
      <c r="AY28" s="3628">
        <f>AV28/BB12</f>
        <v>1.0746506228186743</v>
      </c>
      <c r="AZ28" s="3629">
        <f>BA12</f>
        <v>25</v>
      </c>
      <c r="BA28" s="3630">
        <f>AV28</f>
        <v>24530.333333333336</v>
      </c>
      <c r="BB28" s="3631">
        <f>AZ28*BA28*12/1000</f>
        <v>7359.1</v>
      </c>
      <c r="BC28" s="3624">
        <f t="shared" si="8"/>
        <v>1.0538616189078114</v>
      </c>
      <c r="BD28" s="3619"/>
      <c r="BE28" s="3632">
        <v>20</v>
      </c>
      <c r="BF28" s="3630">
        <f t="shared" si="9"/>
        <v>24965.833333333336</v>
      </c>
      <c r="BG28" s="3631">
        <v>2995.9</v>
      </c>
      <c r="BH28" s="3624">
        <f t="shared" si="16"/>
        <v>1.0177535296435705</v>
      </c>
      <c r="BI28" s="3632">
        <v>21</v>
      </c>
      <c r="BJ28" s="3630">
        <f t="shared" si="10"/>
        <v>24711.640211640213</v>
      </c>
      <c r="BK28" s="3631">
        <v>4670.5</v>
      </c>
      <c r="BL28" s="3624">
        <f t="shared" si="17"/>
        <v>1.0073911298245795</v>
      </c>
      <c r="BM28" s="3632">
        <v>20</v>
      </c>
      <c r="BN28" s="3630">
        <f t="shared" si="11"/>
        <v>25559.875</v>
      </c>
      <c r="BO28" s="3631">
        <v>6134.37</v>
      </c>
      <c r="BP28" s="3628">
        <f t="shared" si="18"/>
        <v>1.041970145805873</v>
      </c>
      <c r="BQ28" s="3662">
        <v>25</v>
      </c>
      <c r="BR28" s="3630">
        <f t="shared" si="28"/>
        <v>26983.366666666672</v>
      </c>
      <c r="BS28" s="3631">
        <f>BQ28*BR28*12/1000</f>
        <v>8095.010000000002</v>
      </c>
      <c r="BT28" s="3624">
        <f t="shared" si="19"/>
        <v>1.1000000000000001</v>
      </c>
      <c r="BU28" s="3632">
        <f t="shared" si="29"/>
        <v>21</v>
      </c>
      <c r="BV28" s="3630">
        <f>'ЗП с факт 3 кв. 2015'!BU27</f>
        <v>29244.234146341467</v>
      </c>
      <c r="BW28" s="3631">
        <f>BU28*BV28*12/1000</f>
        <v>7369.5470048780498</v>
      </c>
      <c r="BX28" s="3624">
        <f t="shared" si="20"/>
        <v>1.1921661947659958</v>
      </c>
      <c r="BY28" s="3628">
        <f t="shared" si="30"/>
        <v>1.183419388429191</v>
      </c>
      <c r="BZ28" s="3662">
        <v>18</v>
      </c>
      <c r="CA28" s="3630">
        <f t="shared" si="31"/>
        <v>23902.685185185182</v>
      </c>
      <c r="CB28" s="3631">
        <v>2581.4899999999998</v>
      </c>
      <c r="CC28" s="3624">
        <f t="shared" si="21"/>
        <v>0.81734693634216693</v>
      </c>
      <c r="CD28" s="3662">
        <v>18</v>
      </c>
      <c r="CE28" s="3630">
        <f t="shared" si="13"/>
        <v>24412.716049382718</v>
      </c>
      <c r="CF28" s="3631">
        <v>3954.86</v>
      </c>
      <c r="CG28" s="3624">
        <f t="shared" si="22"/>
        <v>0.83478732686992985</v>
      </c>
      <c r="CH28" s="3662">
        <v>18</v>
      </c>
      <c r="CI28" s="3630">
        <f t="shared" si="32"/>
        <v>25243.194444444442</v>
      </c>
      <c r="CJ28" s="3631">
        <v>5452.53</v>
      </c>
      <c r="CK28" s="3624">
        <f t="shared" si="23"/>
        <v>0.86318534854168627</v>
      </c>
      <c r="CL28" s="3662">
        <f t="shared" si="33"/>
        <v>21</v>
      </c>
      <c r="CM28" s="3630">
        <f t="shared" si="34"/>
        <v>32168.657560975615</v>
      </c>
      <c r="CN28" s="3631">
        <f>CL28*CM28*12/1000</f>
        <v>8106.5017053658539</v>
      </c>
      <c r="CO28" s="3624">
        <f t="shared" si="24"/>
        <v>1.1000000000000001</v>
      </c>
      <c r="CP28" s="3632"/>
      <c r="CQ28" s="3630"/>
      <c r="CR28" s="3631">
        <f t="shared" si="35"/>
        <v>7813.8569938021474</v>
      </c>
      <c r="CS28" s="3628">
        <f t="shared" si="25"/>
        <v>1.06029</v>
      </c>
      <c r="CT28" s="4272">
        <v>18</v>
      </c>
      <c r="CU28" s="4273">
        <f t="shared" si="36"/>
        <v>26723.148148148146</v>
      </c>
      <c r="CV28" s="4274">
        <v>2886.1</v>
      </c>
      <c r="CW28" s="4265">
        <v>18</v>
      </c>
      <c r="CX28" s="4273">
        <f>SUM(CY28/CW28*1000)/9</f>
        <v>27444.444444444445</v>
      </c>
      <c r="CY28" s="4113">
        <v>4446</v>
      </c>
      <c r="CZ28" s="4265">
        <v>18</v>
      </c>
      <c r="DA28" s="4273">
        <f>SUM(DB28/CZ28*1000)/12</f>
        <v>27805.092592592595</v>
      </c>
      <c r="DB28" s="4266">
        <f t="shared" si="37"/>
        <v>6005.9</v>
      </c>
      <c r="DC28" s="4261"/>
      <c r="DD28" s="3630"/>
      <c r="DE28" s="3720">
        <f t="shared" si="38"/>
        <v>8184.390092448245</v>
      </c>
      <c r="DF28" s="3624">
        <f t="shared" si="26"/>
        <v>1.04742</v>
      </c>
      <c r="DG28" s="3632"/>
      <c r="DH28" s="3630"/>
      <c r="DI28" s="4425">
        <f>CR28*(1-0.01)*(1+0.04)*(1+0)</f>
        <v>8045.1471608186912</v>
      </c>
      <c r="DJ28" s="4424">
        <f t="shared" si="27"/>
        <v>1.0296000000000001</v>
      </c>
    </row>
    <row r="29" spans="1:114" ht="63" customHeight="1">
      <c r="A29" s="3679" t="s">
        <v>195</v>
      </c>
      <c r="B29" s="3680" t="s">
        <v>205</v>
      </c>
      <c r="C29" s="3681">
        <v>840</v>
      </c>
      <c r="D29" s="3626">
        <v>12146</v>
      </c>
      <c r="E29" s="3682">
        <v>122429.8</v>
      </c>
      <c r="F29" s="3683">
        <f>F30+F31</f>
        <v>813</v>
      </c>
      <c r="G29" s="3626">
        <f>(G30*F30+G31*F31)/(F30+F31)</f>
        <v>12443.442804428045</v>
      </c>
      <c r="H29" s="3684">
        <f>H31+H30</f>
        <v>121398.228</v>
      </c>
      <c r="I29" s="3660">
        <v>799</v>
      </c>
      <c r="J29" s="3626">
        <v>13361</v>
      </c>
      <c r="K29" s="3685">
        <f>J29/G29</f>
        <v>1.07373820975377</v>
      </c>
      <c r="L29" s="3684">
        <v>128108.9</v>
      </c>
      <c r="M29" s="3660">
        <f>M30+M31+M32+M33</f>
        <v>105</v>
      </c>
      <c r="N29" s="3626">
        <f t="shared" si="3"/>
        <v>28668.650793650795</v>
      </c>
      <c r="O29" s="3627">
        <f>O30+O31+O32+O33</f>
        <v>36122.5</v>
      </c>
      <c r="P29" s="3624">
        <f>N29/AM14</f>
        <v>1.2088032234986785</v>
      </c>
      <c r="Q29" s="3667"/>
      <c r="R29" s="5370"/>
      <c r="S29" s="3621">
        <f>SUM(S30:S33)</f>
        <v>96</v>
      </c>
      <c r="T29" s="3622">
        <f>U29/S29/12*1000</f>
        <v>25224.382875999996</v>
      </c>
      <c r="U29" s="3623">
        <f>SUM(U30:U33)</f>
        <v>29058.489073151999</v>
      </c>
      <c r="V29" s="3624">
        <f>T29/AM14</f>
        <v>1.0635769206839176</v>
      </c>
      <c r="W29" s="3686"/>
      <c r="X29" s="3660">
        <f>X30+X31+X32+X33</f>
        <v>95</v>
      </c>
      <c r="Y29" s="3626">
        <f t="shared" si="4"/>
        <v>22836.666666666668</v>
      </c>
      <c r="Z29" s="3627">
        <f>Z30+Z31+Z32+Z33</f>
        <v>13016.900000000001</v>
      </c>
      <c r="AA29" s="3624">
        <f>Y29/BB14</f>
        <v>0.92274432731820633</v>
      </c>
      <c r="AB29" s="3667"/>
      <c r="AC29" s="594"/>
      <c r="AD29" s="594"/>
      <c r="AE29" s="594"/>
      <c r="AF29" s="594"/>
      <c r="AG29" s="594"/>
      <c r="AH29" s="594"/>
      <c r="AI29" s="594"/>
      <c r="AJ29" s="594"/>
      <c r="AK29" s="594"/>
      <c r="AL29" s="3660">
        <f>AL30+AL31+AL32+AL33</f>
        <v>94</v>
      </c>
      <c r="AM29" s="3626">
        <f t="shared" si="5"/>
        <v>23876.59574468085</v>
      </c>
      <c r="AN29" s="3627">
        <f>AN30+AN31+AN32+AN33</f>
        <v>20199.599999999999</v>
      </c>
      <c r="AO29" s="3624">
        <f>AM29/BB14</f>
        <v>0.96476397368592659</v>
      </c>
      <c r="AP29" s="3667"/>
      <c r="AQ29" s="3660">
        <f>AQ30+AQ31+AQ32+AQ33</f>
        <v>94</v>
      </c>
      <c r="AR29" s="3626">
        <f t="shared" si="6"/>
        <v>24074.734042553187</v>
      </c>
      <c r="AS29" s="3627">
        <f>AS30+AS31+AS32+AS33</f>
        <v>27156.3</v>
      </c>
      <c r="AT29" s="3624">
        <f t="shared" si="14"/>
        <v>0.95442311357632248</v>
      </c>
      <c r="AU29" s="3660">
        <f>AU30+AU31+AU32+AU33</f>
        <v>105</v>
      </c>
      <c r="AV29" s="3626">
        <f t="shared" si="7"/>
        <v>28668.650793650795</v>
      </c>
      <c r="AW29" s="3627">
        <f>AW30+AW31+AW32+AW33</f>
        <v>36122.5</v>
      </c>
      <c r="AX29" s="3624">
        <f t="shared" si="15"/>
        <v>1.1365451806921265</v>
      </c>
      <c r="AY29" s="3694">
        <f>AV29/BB14</f>
        <v>1.1583930035779242</v>
      </c>
      <c r="AZ29" s="3621">
        <f>SUM(AZ30:AZ33)</f>
        <v>98</v>
      </c>
      <c r="BA29" s="3622">
        <f>BB29/AZ29/12*1000</f>
        <v>28763.121622082414</v>
      </c>
      <c r="BB29" s="3623">
        <f>SUM(BB30:BB33)</f>
        <v>33825.43102756892</v>
      </c>
      <c r="BC29" s="3624">
        <f t="shared" si="8"/>
        <v>1.1402903993123807</v>
      </c>
      <c r="BD29" s="3619"/>
      <c r="BE29" s="3625">
        <f>BE30+BE31+BE32+BE33</f>
        <v>94</v>
      </c>
      <c r="BF29" s="3626">
        <f t="shared" si="9"/>
        <v>23914.007092198586</v>
      </c>
      <c r="BG29" s="3627">
        <f>BG30+BG31+BG32+BG33</f>
        <v>13487.5</v>
      </c>
      <c r="BH29" s="3624">
        <f t="shared" si="16"/>
        <v>0.83415181496768542</v>
      </c>
      <c r="BI29" s="3625">
        <f>BI30+BI31+BI32+BI33</f>
        <v>94</v>
      </c>
      <c r="BJ29" s="3626">
        <f t="shared" si="10"/>
        <v>24833.096926713952</v>
      </c>
      <c r="BK29" s="3627">
        <f>BK30+BK31+BK32+BK33</f>
        <v>21008.800000000003</v>
      </c>
      <c r="BL29" s="3624">
        <f t="shared" si="17"/>
        <v>0.86336584926334103</v>
      </c>
      <c r="BM29" s="3625">
        <f>BM30+BM31+BM32+BM33</f>
        <v>93</v>
      </c>
      <c r="BN29" s="3626">
        <f t="shared" si="11"/>
        <v>25385.851254480287</v>
      </c>
      <c r="BO29" s="3627">
        <f>BO30+BO31+BO32+BO33</f>
        <v>28330.609999999997</v>
      </c>
      <c r="BP29" s="3628">
        <f t="shared" si="18"/>
        <v>0.88258331581752647</v>
      </c>
      <c r="BQ29" s="3660">
        <f>BQ30+BQ31+BQ32+BQ33</f>
        <v>105</v>
      </c>
      <c r="BR29" s="3622">
        <f>BS29/BQ29/12*1000</f>
        <v>31535.515873015873</v>
      </c>
      <c r="BS29" s="3623">
        <f>SUM(BS30:BS33)</f>
        <v>39734.75</v>
      </c>
      <c r="BT29" s="3624">
        <f t="shared" si="19"/>
        <v>1.0963871128926772</v>
      </c>
      <c r="BU29" s="3625">
        <f>BU30+BU31+BU32+BU33</f>
        <v>94</v>
      </c>
      <c r="BV29" s="3622">
        <f>BW29/BU29/12*1000</f>
        <v>28606.666659040642</v>
      </c>
      <c r="BW29" s="3623">
        <f>SUM(BW30:BW33)</f>
        <v>32268.319991397846</v>
      </c>
      <c r="BX29" s="3624">
        <f t="shared" si="20"/>
        <v>0.99456057082060056</v>
      </c>
      <c r="BY29" s="3628"/>
      <c r="BZ29" s="3660">
        <f>BZ30+BZ31+BZ32+BZ33</f>
        <v>91</v>
      </c>
      <c r="CA29" s="3630">
        <f t="shared" si="31"/>
        <v>26244.212454212455</v>
      </c>
      <c r="CB29" s="3627">
        <f>CB30+CB31+CB32+CB33</f>
        <v>14329.34</v>
      </c>
      <c r="CC29" s="3624">
        <f t="shared" si="21"/>
        <v>0.91741595646266694</v>
      </c>
      <c r="CD29" s="3660">
        <f>CD30+CD31+CD32+CD33</f>
        <v>92</v>
      </c>
      <c r="CE29" s="3626">
        <f t="shared" si="13"/>
        <v>27299.468599033815</v>
      </c>
      <c r="CF29" s="3627">
        <f>CF30+CF31+CF32+CF33</f>
        <v>22603.96</v>
      </c>
      <c r="CG29" s="3624">
        <f t="shared" si="22"/>
        <v>0.95430442576245733</v>
      </c>
      <c r="CH29" s="3660">
        <f>CH30+CH31+CH32+CH33</f>
        <v>92</v>
      </c>
      <c r="CI29" s="3626">
        <f t="shared" ref="CI29:CI33" si="39">CJ29/CH29/12*1000</f>
        <v>27420.516304347828</v>
      </c>
      <c r="CJ29" s="3627">
        <f>CJ30+CJ31+CJ32+CJ33</f>
        <v>30272.25</v>
      </c>
      <c r="CK29" s="3624">
        <f t="shared" si="23"/>
        <v>0.95853587666013673</v>
      </c>
      <c r="CL29" s="3660">
        <f>CL30+CL31+CL32+CL33</f>
        <v>94</v>
      </c>
      <c r="CM29" s="3622">
        <f>CN29/CL29/12*1000</f>
        <v>31467.333324944706</v>
      </c>
      <c r="CN29" s="3623">
        <f>SUM(CN30:CN33)</f>
        <v>35495.151990537634</v>
      </c>
      <c r="CO29" s="3624">
        <f t="shared" si="24"/>
        <v>1.1000000000000001</v>
      </c>
      <c r="CP29" s="3625"/>
      <c r="CQ29" s="3622"/>
      <c r="CR29" s="3623">
        <f>SUM(CR30:CR33)</f>
        <v>34213.777003679221</v>
      </c>
      <c r="CS29" s="3628">
        <f t="shared" si="25"/>
        <v>1.06029</v>
      </c>
      <c r="CT29" s="4268">
        <f>CT30+CT31+CT32+CT33</f>
        <v>92</v>
      </c>
      <c r="CU29" s="4269">
        <f>CV29/CT29/6*1000</f>
        <v>27840.869565217392</v>
      </c>
      <c r="CV29" s="4270">
        <f>SUM(CV30:CV33)</f>
        <v>15368.160000000002</v>
      </c>
      <c r="CW29" s="4271">
        <f>CW30+CW31+CW32+CW33</f>
        <v>93</v>
      </c>
      <c r="CX29" s="4269">
        <f>CY29/CW29/9*1000</f>
        <v>27844.970131421745</v>
      </c>
      <c r="CY29" s="4270">
        <f>SUM(CY30:CY33)</f>
        <v>23306.240000000002</v>
      </c>
      <c r="CZ29" s="4271">
        <f>CZ30+CZ31+CZ32+CZ33</f>
        <v>93</v>
      </c>
      <c r="DA29" s="4269">
        <f>DB29/CZ29/12*1000</f>
        <v>27996.70250896057</v>
      </c>
      <c r="DB29" s="4277">
        <f>SUM(DB30:DB33)</f>
        <v>31244.32</v>
      </c>
      <c r="DC29" s="4260"/>
      <c r="DD29" s="3622"/>
      <c r="DE29" s="3623">
        <f>SUM(DE30:DE33)</f>
        <v>35836.194309193699</v>
      </c>
      <c r="DF29" s="3624">
        <f t="shared" si="26"/>
        <v>1.0474200000000002</v>
      </c>
      <c r="DG29" s="3625"/>
      <c r="DH29" s="3622"/>
      <c r="DI29" s="4426">
        <f>SUM(DI30:DI33)</f>
        <v>36015.37528073966</v>
      </c>
      <c r="DJ29" s="4424">
        <f t="shared" si="27"/>
        <v>1.0526571</v>
      </c>
    </row>
    <row r="30" spans="1:114" ht="37.5" customHeight="1">
      <c r="A30" s="3687" t="s">
        <v>196</v>
      </c>
      <c r="B30" s="3688" t="s">
        <v>91</v>
      </c>
      <c r="C30" s="3689">
        <v>456</v>
      </c>
      <c r="D30" s="3630">
        <v>12405</v>
      </c>
      <c r="E30" s="3690">
        <v>67882.600000000006</v>
      </c>
      <c r="F30" s="3691">
        <v>444</v>
      </c>
      <c r="G30" s="3630">
        <v>12620</v>
      </c>
      <c r="H30" s="3692">
        <f>F30*G30*12/1000</f>
        <v>67239.360000000001</v>
      </c>
      <c r="I30" s="3662">
        <v>435</v>
      </c>
      <c r="J30" s="3630">
        <v>13646</v>
      </c>
      <c r="K30" s="3685">
        <f>J30/G30</f>
        <v>1.0812995245641839</v>
      </c>
      <c r="L30" s="3692">
        <v>71232.100000000006</v>
      </c>
      <c r="M30" s="3662">
        <v>30</v>
      </c>
      <c r="N30" s="3630">
        <f t="shared" si="3"/>
        <v>25154.444444444449</v>
      </c>
      <c r="O30" s="3631">
        <v>9055.6</v>
      </c>
      <c r="P30" s="3624">
        <f>N30/AM15</f>
        <v>1.2528746934240285</v>
      </c>
      <c r="Q30" s="3667"/>
      <c r="R30" s="5370"/>
      <c r="S30" s="3695">
        <v>26</v>
      </c>
      <c r="T30" s="3630">
        <f>AM15*1.056</f>
        <v>21201.715919999995</v>
      </c>
      <c r="U30" s="3631">
        <f>S30*T30*12/1000</f>
        <v>6614.9353670399987</v>
      </c>
      <c r="V30" s="3624">
        <f>T30/AM15</f>
        <v>1.056</v>
      </c>
      <c r="W30" s="3686"/>
      <c r="X30" s="3662">
        <v>25</v>
      </c>
      <c r="Y30" s="3630">
        <f t="shared" si="4"/>
        <v>21835.333333333336</v>
      </c>
      <c r="Z30" s="3631">
        <v>3275.3</v>
      </c>
      <c r="AA30" s="3624">
        <f>Y30/BB15</f>
        <v>0.9662474115678098</v>
      </c>
      <c r="AB30" s="3667"/>
      <c r="AC30" s="594"/>
      <c r="AD30" s="594"/>
      <c r="AE30" s="594"/>
      <c r="AF30" s="594"/>
      <c r="AG30" s="594"/>
      <c r="AH30" s="594"/>
      <c r="AI30" s="594"/>
      <c r="AJ30" s="594"/>
      <c r="AK30" s="594"/>
      <c r="AL30" s="3662">
        <v>25</v>
      </c>
      <c r="AM30" s="3630">
        <f t="shared" si="5"/>
        <v>22584.444444444445</v>
      </c>
      <c r="AN30" s="3631">
        <v>5081.5</v>
      </c>
      <c r="AO30" s="3624">
        <f>AM30/BB15</f>
        <v>0.99939674164846481</v>
      </c>
      <c r="AP30" s="3667"/>
      <c r="AQ30" s="3662">
        <v>25</v>
      </c>
      <c r="AR30" s="3630">
        <f t="shared" si="6"/>
        <v>23072.333333333332</v>
      </c>
      <c r="AS30" s="3631">
        <v>6921.7</v>
      </c>
      <c r="AT30" s="3624">
        <f t="shared" si="14"/>
        <v>1.0882295291754545</v>
      </c>
      <c r="AU30" s="3662">
        <v>30</v>
      </c>
      <c r="AV30" s="3630">
        <f t="shared" si="7"/>
        <v>25154.444444444449</v>
      </c>
      <c r="AW30" s="3631">
        <v>9055.6</v>
      </c>
      <c r="AX30" s="3624">
        <f t="shared" si="15"/>
        <v>1.1864343687727543</v>
      </c>
      <c r="AY30" s="3694">
        <f>AV30/BB15</f>
        <v>1.1131232330109022</v>
      </c>
      <c r="AZ30" s="3629">
        <f>BA15</f>
        <v>26</v>
      </c>
      <c r="BA30" s="3630">
        <f>AV30</f>
        <v>25154.444444444449</v>
      </c>
      <c r="BB30" s="3631">
        <f>AZ30*BA30*12/1000</f>
        <v>7848.1866666666683</v>
      </c>
      <c r="BC30" s="3624">
        <f t="shared" si="8"/>
        <v>1.1864343687727543</v>
      </c>
      <c r="BD30" s="3619"/>
      <c r="BE30" s="3632">
        <v>25</v>
      </c>
      <c r="BF30" s="3630">
        <f t="shared" si="9"/>
        <v>22802.666666666668</v>
      </c>
      <c r="BG30" s="3631">
        <v>3420.4</v>
      </c>
      <c r="BH30" s="3624">
        <f t="shared" si="16"/>
        <v>0.90650647113388394</v>
      </c>
      <c r="BI30" s="3632">
        <v>25</v>
      </c>
      <c r="BJ30" s="3630">
        <f t="shared" si="10"/>
        <v>23330.666666666664</v>
      </c>
      <c r="BK30" s="3631">
        <v>5249.4</v>
      </c>
      <c r="BL30" s="3624">
        <f t="shared" si="17"/>
        <v>0.92749679756172954</v>
      </c>
      <c r="BM30" s="3632">
        <v>25</v>
      </c>
      <c r="BN30" s="3630">
        <f t="shared" si="11"/>
        <v>23552.933333333331</v>
      </c>
      <c r="BO30" s="3631">
        <v>7065.88</v>
      </c>
      <c r="BP30" s="3628">
        <f t="shared" si="18"/>
        <v>0.93633287689385547</v>
      </c>
      <c r="BQ30" s="3662">
        <v>30</v>
      </c>
      <c r="BR30" s="3630">
        <f t="shared" si="28"/>
        <v>27669.888888888898</v>
      </c>
      <c r="BS30" s="3631">
        <f>BQ30*BR30*12/1000</f>
        <v>9961.1600000000035</v>
      </c>
      <c r="BT30" s="3624">
        <f t="shared" si="19"/>
        <v>1.1000000000000001</v>
      </c>
      <c r="BU30" s="3632">
        <f>AQ30</f>
        <v>25</v>
      </c>
      <c r="BV30" s="3630">
        <f>'ЗП с факт 3 кв. 2015'!BU29</f>
        <v>26191.279999999995</v>
      </c>
      <c r="BW30" s="3631">
        <f>BU30*BV30*12/1000</f>
        <v>7857.3839999999982</v>
      </c>
      <c r="BX30" s="3624">
        <f t="shared" si="20"/>
        <v>1.0412187817483101</v>
      </c>
      <c r="BY30" s="3628">
        <f t="shared" si="30"/>
        <v>1.1226117270545204</v>
      </c>
      <c r="BZ30" s="3662">
        <v>25</v>
      </c>
      <c r="CA30" s="3630">
        <f t="shared" si="31"/>
        <v>24687</v>
      </c>
      <c r="CB30" s="3631">
        <v>3703.05</v>
      </c>
      <c r="CC30" s="3624">
        <f t="shared" si="21"/>
        <v>0.94256561725887411</v>
      </c>
      <c r="CD30" s="3662">
        <v>26</v>
      </c>
      <c r="CE30" s="3630">
        <f t="shared" si="13"/>
        <v>24927.393162393164</v>
      </c>
      <c r="CF30" s="3631">
        <v>5833.01</v>
      </c>
      <c r="CG30" s="3624">
        <f t="shared" si="22"/>
        <v>0.95174398358511569</v>
      </c>
      <c r="CH30" s="3662">
        <v>25</v>
      </c>
      <c r="CI30" s="3630">
        <f t="shared" si="39"/>
        <v>25987.76666666667</v>
      </c>
      <c r="CJ30" s="3631">
        <v>7796.33</v>
      </c>
      <c r="CK30" s="3624">
        <f t="shared" si="23"/>
        <v>0.99222972938576026</v>
      </c>
      <c r="CL30" s="3662">
        <f>SUM(BU30)</f>
        <v>25</v>
      </c>
      <c r="CM30" s="3630">
        <f>SUM(BV30*1.1)</f>
        <v>28810.407999999996</v>
      </c>
      <c r="CN30" s="3631">
        <f>CL30*CM30*12/1000</f>
        <v>8643.1223999999984</v>
      </c>
      <c r="CO30" s="3624">
        <f t="shared" si="24"/>
        <v>1.1000000000000001</v>
      </c>
      <c r="CP30" s="3632"/>
      <c r="CQ30" s="3630"/>
      <c r="CR30" s="3631">
        <f t="shared" si="35"/>
        <v>8331.1056813599971</v>
      </c>
      <c r="CS30" s="3628">
        <f t="shared" si="25"/>
        <v>1.06029</v>
      </c>
      <c r="CT30" s="4272">
        <v>27</v>
      </c>
      <c r="CU30" s="4273">
        <f t="shared" si="36"/>
        <v>25483.024691358023</v>
      </c>
      <c r="CV30" s="4274">
        <v>4128.25</v>
      </c>
      <c r="CW30" s="4265">
        <v>27</v>
      </c>
      <c r="CX30" s="4273">
        <f>SUM(CY30/CW30*1000)/9</f>
        <v>25373.415637860082</v>
      </c>
      <c r="CY30" s="4113">
        <v>6165.74</v>
      </c>
      <c r="CZ30" s="4265">
        <v>27</v>
      </c>
      <c r="DA30" s="4273">
        <f>SUM(DB30/CZ30*1000)/12</f>
        <v>25318.611111111109</v>
      </c>
      <c r="DB30" s="4266">
        <f t="shared" si="37"/>
        <v>8203.23</v>
      </c>
      <c r="DC30" s="4261"/>
      <c r="DD30" s="3630"/>
      <c r="DE30" s="3720">
        <f t="shared" si="38"/>
        <v>8726.1667127700894</v>
      </c>
      <c r="DF30" s="3624">
        <f t="shared" si="26"/>
        <v>1.0474200000000002</v>
      </c>
      <c r="DG30" s="3632"/>
      <c r="DH30" s="3630"/>
      <c r="DI30" s="4425">
        <f>CR30*(1-0.01)*(1+0.058)*(1+0)*1.005</f>
        <v>8769.797546333939</v>
      </c>
      <c r="DJ30" s="4424">
        <f t="shared" si="27"/>
        <v>1.0526571</v>
      </c>
    </row>
    <row r="31" spans="1:114" ht="37.5" customHeight="1">
      <c r="A31" s="3687" t="s">
        <v>197</v>
      </c>
      <c r="B31" s="3688" t="s">
        <v>92</v>
      </c>
      <c r="C31" s="3689">
        <v>384</v>
      </c>
      <c r="D31" s="3630">
        <v>11838</v>
      </c>
      <c r="E31" s="3690">
        <v>54547.199999999997</v>
      </c>
      <c r="F31" s="3691">
        <v>369</v>
      </c>
      <c r="G31" s="3630">
        <v>12231</v>
      </c>
      <c r="H31" s="3692">
        <f>F31*G31*12/1000</f>
        <v>54158.868000000002</v>
      </c>
      <c r="I31" s="3662">
        <v>364</v>
      </c>
      <c r="J31" s="3630">
        <v>13021</v>
      </c>
      <c r="K31" s="3685">
        <f>J31/G31</f>
        <v>1.0645899762897555</v>
      </c>
      <c r="L31" s="3692">
        <v>56876.800000000003</v>
      </c>
      <c r="M31" s="3662">
        <v>49</v>
      </c>
      <c r="N31" s="3630">
        <f t="shared" si="3"/>
        <v>30026.530612244896</v>
      </c>
      <c r="O31" s="3631">
        <v>17655.599999999999</v>
      </c>
      <c r="P31" s="3624">
        <f>N31/AM16</f>
        <v>1.1443255630726537</v>
      </c>
      <c r="Q31" s="3667"/>
      <c r="R31" s="5370"/>
      <c r="S31" s="3695">
        <v>48</v>
      </c>
      <c r="T31" s="3630">
        <f>AM16*1.056</f>
        <v>27708.912</v>
      </c>
      <c r="U31" s="3631">
        <f>S31*T31*12/1000</f>
        <v>15960.333312000001</v>
      </c>
      <c r="V31" s="3624">
        <f>T31/AM16</f>
        <v>1.056</v>
      </c>
      <c r="W31" s="3686"/>
      <c r="X31" s="3662">
        <v>49</v>
      </c>
      <c r="Y31" s="3630">
        <f t="shared" si="4"/>
        <v>23665.306122448983</v>
      </c>
      <c r="Z31" s="3631">
        <v>6957.6</v>
      </c>
      <c r="AA31" s="3624">
        <f>Y31/BB16</f>
        <v>0.90954964376756653</v>
      </c>
      <c r="AB31" s="3667"/>
      <c r="AC31" s="594"/>
      <c r="AD31" s="594"/>
      <c r="AE31" s="594"/>
      <c r="AF31" s="594"/>
      <c r="AG31" s="594"/>
      <c r="AH31" s="594"/>
      <c r="AI31" s="594"/>
      <c r="AJ31" s="594"/>
      <c r="AK31" s="594"/>
      <c r="AL31" s="3662">
        <v>49</v>
      </c>
      <c r="AM31" s="3630">
        <f t="shared" si="5"/>
        <v>24274.149659863946</v>
      </c>
      <c r="AN31" s="3631">
        <v>10704.9</v>
      </c>
      <c r="AO31" s="3624">
        <f>AM31/BB16</f>
        <v>0.93294986600431395</v>
      </c>
      <c r="AP31" s="3667"/>
      <c r="AQ31" s="3662">
        <v>49</v>
      </c>
      <c r="AR31" s="3630">
        <f t="shared" si="6"/>
        <v>24466.496598639456</v>
      </c>
      <c r="AS31" s="3631">
        <v>14386.3</v>
      </c>
      <c r="AT31" s="3624">
        <f t="shared" si="14"/>
        <v>0.88298294060190652</v>
      </c>
      <c r="AU31" s="3662">
        <v>49</v>
      </c>
      <c r="AV31" s="3630">
        <f t="shared" si="7"/>
        <v>30026.530612244896</v>
      </c>
      <c r="AW31" s="3631">
        <v>17655.599999999999</v>
      </c>
      <c r="AX31" s="3624">
        <f t="shared" si="15"/>
        <v>1.0836416316975888</v>
      </c>
      <c r="AY31" s="3694">
        <f>AV31/BB16</f>
        <v>1.1540362115170926</v>
      </c>
      <c r="AZ31" s="3629">
        <f>BA16</f>
        <v>49</v>
      </c>
      <c r="BA31" s="3630">
        <f>AV31</f>
        <v>30026.530612244896</v>
      </c>
      <c r="BB31" s="3631">
        <f>AZ31*BA31*12/1000</f>
        <v>17655.599999999999</v>
      </c>
      <c r="BC31" s="3624">
        <f t="shared" si="8"/>
        <v>1.0836416316975888</v>
      </c>
      <c r="BD31" s="3619"/>
      <c r="BE31" s="3632">
        <v>49</v>
      </c>
      <c r="BF31" s="3630">
        <f t="shared" si="9"/>
        <v>24546.938775510203</v>
      </c>
      <c r="BG31" s="3631">
        <v>7216.8</v>
      </c>
      <c r="BH31" s="3624">
        <f t="shared" si="16"/>
        <v>0.81750832597023038</v>
      </c>
      <c r="BI31" s="3632">
        <v>49</v>
      </c>
      <c r="BJ31" s="3630">
        <f t="shared" si="10"/>
        <v>25629.25170068027</v>
      </c>
      <c r="BK31" s="3631">
        <v>11302.5</v>
      </c>
      <c r="BL31" s="3624">
        <f t="shared" si="17"/>
        <v>0.85355354675003958</v>
      </c>
      <c r="BM31" s="3632">
        <v>48</v>
      </c>
      <c r="BN31" s="3630">
        <f t="shared" si="11"/>
        <v>26517.621527777777</v>
      </c>
      <c r="BO31" s="3631">
        <v>15274.15</v>
      </c>
      <c r="BP31" s="3628">
        <f t="shared" si="18"/>
        <v>0.88313970968606748</v>
      </c>
      <c r="BQ31" s="3662">
        <v>49</v>
      </c>
      <c r="BR31" s="3630">
        <f t="shared" si="28"/>
        <v>33029.183673469386</v>
      </c>
      <c r="BS31" s="3631">
        <f>BQ31*BR31*12/1000</f>
        <v>19421.16</v>
      </c>
      <c r="BT31" s="3624">
        <f t="shared" si="19"/>
        <v>1.1000000000000001</v>
      </c>
      <c r="BU31" s="3632">
        <f t="shared" ref="BU31:BU33" si="40">AQ31</f>
        <v>49</v>
      </c>
      <c r="BV31" s="3630">
        <f>'ЗП с факт 3 кв. 2015'!BU30</f>
        <v>29850.624489795915</v>
      </c>
      <c r="BW31" s="3631">
        <f>BU31*BV31*12/1000</f>
        <v>17552.1672</v>
      </c>
      <c r="BX31" s="3624">
        <f t="shared" si="20"/>
        <v>0.99414164344457279</v>
      </c>
      <c r="BY31" s="3628">
        <f t="shared" si="30"/>
        <v>1.1647091705374917</v>
      </c>
      <c r="BZ31" s="3662">
        <v>48</v>
      </c>
      <c r="CA31" s="3630">
        <f t="shared" si="31"/>
        <v>27130.694444444445</v>
      </c>
      <c r="CB31" s="3631">
        <v>7813.64</v>
      </c>
      <c r="CC31" s="3624">
        <f t="shared" si="21"/>
        <v>0.90888197175636154</v>
      </c>
      <c r="CD31" s="3662">
        <v>48</v>
      </c>
      <c r="CE31" s="3630">
        <f t="shared" si="13"/>
        <v>28305.763888888891</v>
      </c>
      <c r="CF31" s="3631">
        <v>12228.09</v>
      </c>
      <c r="CG31" s="3624">
        <f t="shared" si="22"/>
        <v>0.94824695873832998</v>
      </c>
      <c r="CH31" s="3662">
        <v>48</v>
      </c>
      <c r="CI31" s="3630">
        <f t="shared" si="39"/>
        <v>28455.329861111109</v>
      </c>
      <c r="CJ31" s="3631">
        <v>16390.27</v>
      </c>
      <c r="CK31" s="3624">
        <f t="shared" si="23"/>
        <v>0.95325743924848971</v>
      </c>
      <c r="CL31" s="3662">
        <f t="shared" ref="CL31:CL33" si="41">SUM(BU31)</f>
        <v>49</v>
      </c>
      <c r="CM31" s="3630">
        <f t="shared" ref="CM31:CM33" si="42">SUM(BV31*1.1)</f>
        <v>32835.686938775507</v>
      </c>
      <c r="CN31" s="3631">
        <f>CL31*CM31*12/1000</f>
        <v>19307.383919999997</v>
      </c>
      <c r="CO31" s="3624">
        <f t="shared" si="24"/>
        <v>1.1000000000000001</v>
      </c>
      <c r="CP31" s="3632"/>
      <c r="CQ31" s="3630"/>
      <c r="CR31" s="3631">
        <f t="shared" si="35"/>
        <v>18610.387360487999</v>
      </c>
      <c r="CS31" s="3628">
        <f t="shared" si="25"/>
        <v>1.06029</v>
      </c>
      <c r="CT31" s="4272">
        <v>46</v>
      </c>
      <c r="CU31" s="4273">
        <f t="shared" si="36"/>
        <v>29264.057971014496</v>
      </c>
      <c r="CV31" s="4274">
        <v>8076.88</v>
      </c>
      <c r="CW31" s="4265">
        <v>47</v>
      </c>
      <c r="CX31" s="4273">
        <f>SUM(CY31/CW31*1000)/9</f>
        <v>29374.657210401892</v>
      </c>
      <c r="CY31" s="4113">
        <v>12425.48</v>
      </c>
      <c r="CZ31" s="4265">
        <v>47</v>
      </c>
      <c r="DA31" s="4273">
        <f>SUM(DB31/CZ31*1000)/12</f>
        <v>29741.276595744679</v>
      </c>
      <c r="DB31" s="4266">
        <f t="shared" si="37"/>
        <v>16774.079999999998</v>
      </c>
      <c r="DC31" s="4261"/>
      <c r="DD31" s="3630"/>
      <c r="DE31" s="3720">
        <f t="shared" si="38"/>
        <v>19492.891929122343</v>
      </c>
      <c r="DF31" s="3624">
        <f t="shared" si="26"/>
        <v>1.0474200000000002</v>
      </c>
      <c r="DG31" s="3632"/>
      <c r="DH31" s="3630"/>
      <c r="DI31" s="4425">
        <f>CR31*(1-0.01)*(1+0.058)*(1+0)*1.005</f>
        <v>19590.356388767952</v>
      </c>
      <c r="DJ31" s="4424">
        <f t="shared" si="27"/>
        <v>1.0526571</v>
      </c>
    </row>
    <row r="32" spans="1:114" ht="75">
      <c r="A32" s="3687" t="s">
        <v>206</v>
      </c>
      <c r="B32" s="3688" t="s">
        <v>208</v>
      </c>
      <c r="C32" s="3689"/>
      <c r="D32" s="3630"/>
      <c r="E32" s="3690"/>
      <c r="F32" s="3691"/>
      <c r="G32" s="3630"/>
      <c r="H32" s="3692"/>
      <c r="I32" s="3662"/>
      <c r="J32" s="3630"/>
      <c r="K32" s="3685"/>
      <c r="L32" s="3692"/>
      <c r="M32" s="3662">
        <v>7</v>
      </c>
      <c r="N32" s="3630">
        <f t="shared" si="3"/>
        <v>31347.619047619046</v>
      </c>
      <c r="O32" s="3631">
        <v>2633.2</v>
      </c>
      <c r="P32" s="3624">
        <f>N32/AM17</f>
        <v>1.2757479654799539</v>
      </c>
      <c r="Q32" s="3667"/>
      <c r="R32" s="5370"/>
      <c r="S32" s="3696">
        <v>7</v>
      </c>
      <c r="T32" s="3630">
        <f>AM17*1.056</f>
        <v>25947.982367999997</v>
      </c>
      <c r="U32" s="3631">
        <f>S32*T32*12/1000</f>
        <v>2179.6305189119998</v>
      </c>
      <c r="V32" s="3624">
        <f>T32/AM17</f>
        <v>1.056</v>
      </c>
      <c r="W32" s="3686"/>
      <c r="X32" s="3662">
        <v>4</v>
      </c>
      <c r="Y32" s="3630">
        <f t="shared" si="4"/>
        <v>22329.166666666664</v>
      </c>
      <c r="Z32" s="3631">
        <v>535.9</v>
      </c>
      <c r="AA32" s="3624">
        <f>Y32/BB17</f>
        <v>0.91450511945392476</v>
      </c>
      <c r="AB32" s="3667"/>
      <c r="AC32" s="594"/>
      <c r="AD32" s="594"/>
      <c r="AE32" s="594"/>
      <c r="AF32" s="594"/>
      <c r="AG32" s="594"/>
      <c r="AH32" s="594"/>
      <c r="AI32" s="594"/>
      <c r="AJ32" s="594"/>
      <c r="AK32" s="594"/>
      <c r="AL32" s="3662">
        <v>4</v>
      </c>
      <c r="AM32" s="3630">
        <f t="shared" si="5"/>
        <v>23575.000000000004</v>
      </c>
      <c r="AN32" s="3631">
        <v>848.7</v>
      </c>
      <c r="AO32" s="3624">
        <f>AM32/BB17</f>
        <v>0.96552901023890791</v>
      </c>
      <c r="AP32" s="3667"/>
      <c r="AQ32" s="3662">
        <v>4</v>
      </c>
      <c r="AR32" s="3630">
        <f t="shared" si="6"/>
        <v>24131.249999999996</v>
      </c>
      <c r="AS32" s="3631">
        <v>1158.3</v>
      </c>
      <c r="AT32" s="3624">
        <f t="shared" si="14"/>
        <v>0.92998560187706691</v>
      </c>
      <c r="AU32" s="3662">
        <v>7</v>
      </c>
      <c r="AV32" s="3630">
        <f t="shared" si="7"/>
        <v>31347.619047619046</v>
      </c>
      <c r="AW32" s="3631">
        <v>2633.2</v>
      </c>
      <c r="AX32" s="3624">
        <f t="shared" si="15"/>
        <v>1.2080946642802595</v>
      </c>
      <c r="AY32" s="3694">
        <f>AV32/BB17</f>
        <v>1.283861530960507</v>
      </c>
      <c r="AZ32" s="3629">
        <f>BA17</f>
        <v>6</v>
      </c>
      <c r="BA32" s="3630">
        <f>AV32</f>
        <v>31347.619047619046</v>
      </c>
      <c r="BB32" s="3631">
        <f>AZ32*BA32*12/1000</f>
        <v>2257.028571428571</v>
      </c>
      <c r="BC32" s="3624">
        <f t="shared" si="8"/>
        <v>1.2080946642802595</v>
      </c>
      <c r="BD32" s="3619"/>
      <c r="BE32" s="3632">
        <v>5</v>
      </c>
      <c r="BF32" s="3630">
        <f t="shared" si="9"/>
        <v>22876.666666666664</v>
      </c>
      <c r="BG32" s="3631">
        <v>686.3</v>
      </c>
      <c r="BH32" s="3624">
        <f t="shared" si="16"/>
        <v>0.72977365942579364</v>
      </c>
      <c r="BI32" s="3632">
        <v>4</v>
      </c>
      <c r="BJ32" s="3630">
        <f t="shared" si="10"/>
        <v>31052.777777777781</v>
      </c>
      <c r="BK32" s="3631">
        <v>1117.9000000000001</v>
      </c>
      <c r="BL32" s="3624">
        <f t="shared" si="17"/>
        <v>0.99059446047901178</v>
      </c>
      <c r="BM32" s="3632">
        <v>5</v>
      </c>
      <c r="BN32" s="3630">
        <f t="shared" si="11"/>
        <v>26276.999999999996</v>
      </c>
      <c r="BO32" s="3631">
        <v>1576.62</v>
      </c>
      <c r="BP32" s="3628">
        <f t="shared" si="18"/>
        <v>0.83824548078383709</v>
      </c>
      <c r="BQ32" s="3662">
        <v>7</v>
      </c>
      <c r="BR32" s="3630">
        <f t="shared" si="28"/>
        <v>34482.380952380954</v>
      </c>
      <c r="BS32" s="3631">
        <f>BQ32*BR32*12/1000</f>
        <v>2896.52</v>
      </c>
      <c r="BT32" s="3624">
        <f t="shared" si="19"/>
        <v>1.1000000000000001</v>
      </c>
      <c r="BU32" s="3632">
        <f t="shared" si="40"/>
        <v>4</v>
      </c>
      <c r="BV32" s="3630">
        <f>'ЗП с факт 3 кв. 2015'!BU31</f>
        <v>34336.17777777779</v>
      </c>
      <c r="BW32" s="3631">
        <f>BU32*BV32*12/1000</f>
        <v>1648.136533333334</v>
      </c>
      <c r="BX32" s="3624">
        <f t="shared" si="20"/>
        <v>1.0953360676489954</v>
      </c>
      <c r="BY32" s="3628">
        <f t="shared" si="30"/>
        <v>1.1057361123535203</v>
      </c>
      <c r="BZ32" s="3662">
        <v>4</v>
      </c>
      <c r="CA32" s="3630">
        <f t="shared" si="31"/>
        <v>28215.833333333332</v>
      </c>
      <c r="CB32" s="3631">
        <v>677.18</v>
      </c>
      <c r="CC32" s="3624">
        <f t="shared" si="21"/>
        <v>0.82175230789941001</v>
      </c>
      <c r="CD32" s="3662">
        <v>4</v>
      </c>
      <c r="CE32" s="3630">
        <f t="shared" si="13"/>
        <v>29888.055555555558</v>
      </c>
      <c r="CF32" s="3631">
        <v>1075.97</v>
      </c>
      <c r="CG32" s="3624">
        <f t="shared" si="22"/>
        <v>0.87045377470345475</v>
      </c>
      <c r="CH32" s="3662">
        <v>4</v>
      </c>
      <c r="CI32" s="3630">
        <f t="shared" si="39"/>
        <v>30076.666666666668</v>
      </c>
      <c r="CJ32" s="3631">
        <v>1443.68</v>
      </c>
      <c r="CK32" s="3624">
        <f t="shared" si="23"/>
        <v>0.87594684712205051</v>
      </c>
      <c r="CL32" s="3662">
        <f t="shared" si="41"/>
        <v>4</v>
      </c>
      <c r="CM32" s="3630">
        <f t="shared" si="42"/>
        <v>37769.795555555575</v>
      </c>
      <c r="CN32" s="3631">
        <f>CL32*CM32*12/1000</f>
        <v>1812.9501866666674</v>
      </c>
      <c r="CO32" s="3624">
        <f t="shared" si="24"/>
        <v>1.1000000000000001</v>
      </c>
      <c r="CP32" s="3632"/>
      <c r="CQ32" s="3630"/>
      <c r="CR32" s="3631">
        <f t="shared" si="35"/>
        <v>1747.5026849280007</v>
      </c>
      <c r="CS32" s="3628">
        <f t="shared" si="25"/>
        <v>1.06029</v>
      </c>
      <c r="CT32" s="4272">
        <v>4</v>
      </c>
      <c r="CU32" s="4273">
        <f t="shared" si="36"/>
        <v>29892.916666666668</v>
      </c>
      <c r="CV32" s="4274">
        <v>717.43</v>
      </c>
      <c r="CW32" s="4265">
        <v>4</v>
      </c>
      <c r="CX32" s="4273">
        <f>SUM(CY32/CW32*1000)/9</f>
        <v>28685.000000000004</v>
      </c>
      <c r="CY32" s="4113">
        <v>1032.6600000000001</v>
      </c>
      <c r="CZ32" s="4265">
        <v>4</v>
      </c>
      <c r="DA32" s="4273">
        <f>SUM(DB32/CZ32*1000)/12</f>
        <v>28081.041666666672</v>
      </c>
      <c r="DB32" s="4266">
        <f t="shared" si="37"/>
        <v>1347.8900000000003</v>
      </c>
      <c r="DC32" s="4261"/>
      <c r="DD32" s="3630"/>
      <c r="DE32" s="3720">
        <f t="shared" si="38"/>
        <v>1830.3692622472865</v>
      </c>
      <c r="DF32" s="3624">
        <f t="shared" si="26"/>
        <v>1.04742</v>
      </c>
      <c r="DG32" s="3632"/>
      <c r="DH32" s="3630"/>
      <c r="DI32" s="4425">
        <f>CR32*(1-0.01)*(1+0.058)*(1+0)*1.005</f>
        <v>1839.5211085585229</v>
      </c>
      <c r="DJ32" s="4424">
        <f t="shared" si="27"/>
        <v>1.0526571</v>
      </c>
    </row>
    <row r="33" spans="1:114" ht="24.95" customHeight="1" thickBot="1">
      <c r="A33" s="3697" t="s">
        <v>207</v>
      </c>
      <c r="B33" s="3698" t="s">
        <v>89</v>
      </c>
      <c r="C33" s="3699"/>
      <c r="D33" s="3700"/>
      <c r="E33" s="3701"/>
      <c r="F33" s="3702"/>
      <c r="G33" s="3700"/>
      <c r="H33" s="3703"/>
      <c r="I33" s="3704"/>
      <c r="J33" s="3700"/>
      <c r="K33" s="3705"/>
      <c r="L33" s="3703"/>
      <c r="M33" s="3704">
        <v>19</v>
      </c>
      <c r="N33" s="3700">
        <f t="shared" si="3"/>
        <v>29728.508771929824</v>
      </c>
      <c r="O33" s="3706">
        <v>6778.1</v>
      </c>
      <c r="P33" s="3707">
        <f>N33/AM18</f>
        <v>1.3130421604372358</v>
      </c>
      <c r="Q33" s="3708"/>
      <c r="R33" s="5370"/>
      <c r="S33" s="3709">
        <v>15</v>
      </c>
      <c r="T33" s="3700">
        <f>AM18*1.056</f>
        <v>23908.832640000001</v>
      </c>
      <c r="U33" s="3706">
        <f>S33*T33*12/1000</f>
        <v>4303.5898752000003</v>
      </c>
      <c r="V33" s="3707">
        <f>T33/AM18</f>
        <v>1.056</v>
      </c>
      <c r="W33" s="3710"/>
      <c r="X33" s="3704">
        <v>17</v>
      </c>
      <c r="Y33" s="3700">
        <f t="shared" si="4"/>
        <v>22040.196078431374</v>
      </c>
      <c r="Z33" s="3706">
        <v>2248.1</v>
      </c>
      <c r="AA33" s="3707">
        <f>Y33/BB18</f>
        <v>0.8998158821645853</v>
      </c>
      <c r="AB33" s="3708"/>
      <c r="AC33" s="594"/>
      <c r="AD33" s="594"/>
      <c r="AE33" s="594"/>
      <c r="AF33" s="594"/>
      <c r="AG33" s="594"/>
      <c r="AH33" s="594"/>
      <c r="AI33" s="594"/>
      <c r="AJ33" s="594"/>
      <c r="AK33" s="594"/>
      <c r="AL33" s="3704">
        <v>16</v>
      </c>
      <c r="AM33" s="3700">
        <f t="shared" si="5"/>
        <v>24753.472222222223</v>
      </c>
      <c r="AN33" s="3706">
        <v>3564.5</v>
      </c>
      <c r="AO33" s="3707">
        <f>AM33/BB18</f>
        <v>1.0105884432703596</v>
      </c>
      <c r="AP33" s="3708"/>
      <c r="AQ33" s="3704">
        <v>16</v>
      </c>
      <c r="AR33" s="3700">
        <f t="shared" si="6"/>
        <v>24427.083333333332</v>
      </c>
      <c r="AS33" s="3706">
        <v>4690</v>
      </c>
      <c r="AT33" s="3707">
        <f t="shared" si="14"/>
        <v>1.0216761186602765</v>
      </c>
      <c r="AU33" s="3704">
        <v>19</v>
      </c>
      <c r="AV33" s="3700">
        <f t="shared" si="7"/>
        <v>29728.508771929824</v>
      </c>
      <c r="AW33" s="3706">
        <v>6778.1</v>
      </c>
      <c r="AX33" s="3707">
        <f t="shared" si="15"/>
        <v>1.2434111367776852</v>
      </c>
      <c r="AY33" s="3711">
        <f>AV33/BB18</f>
        <v>1.2136999258472789</v>
      </c>
      <c r="AZ33" s="3634">
        <f>BA18</f>
        <v>17</v>
      </c>
      <c r="BA33" s="3635">
        <f>AV33</f>
        <v>29728.508771929824</v>
      </c>
      <c r="BB33" s="3636">
        <f>AZ33*BA33*12/1000</f>
        <v>6064.6157894736843</v>
      </c>
      <c r="BC33" s="3637">
        <f t="shared" si="8"/>
        <v>1.2434111367776852</v>
      </c>
      <c r="BD33" s="3638"/>
      <c r="BE33" s="3639">
        <v>15</v>
      </c>
      <c r="BF33" s="3635">
        <f t="shared" si="9"/>
        <v>24044.444444444449</v>
      </c>
      <c r="BG33" s="3636">
        <v>2164</v>
      </c>
      <c r="BH33" s="3637">
        <f t="shared" si="16"/>
        <v>0.80880089307229674</v>
      </c>
      <c r="BI33" s="3639">
        <v>16</v>
      </c>
      <c r="BJ33" s="3635">
        <f t="shared" si="10"/>
        <v>23187.5</v>
      </c>
      <c r="BK33" s="3636">
        <v>3339</v>
      </c>
      <c r="BL33" s="3637">
        <f t="shared" si="17"/>
        <v>0.77997521429309102</v>
      </c>
      <c r="BM33" s="3639">
        <v>15</v>
      </c>
      <c r="BN33" s="3635">
        <f t="shared" si="11"/>
        <v>24522.000000000004</v>
      </c>
      <c r="BO33" s="3636">
        <v>4413.96</v>
      </c>
      <c r="BP33" s="3640">
        <f t="shared" si="18"/>
        <v>0.8248647851167733</v>
      </c>
      <c r="BQ33" s="3664">
        <v>19</v>
      </c>
      <c r="BR33" s="3635">
        <f t="shared" si="28"/>
        <v>32701.359649122809</v>
      </c>
      <c r="BS33" s="3636">
        <f>BQ33*BR33*12/1000</f>
        <v>7455.91</v>
      </c>
      <c r="BT33" s="3637">
        <f t="shared" si="19"/>
        <v>1.1000000000000001</v>
      </c>
      <c r="BU33" s="3639">
        <f t="shared" si="40"/>
        <v>16</v>
      </c>
      <c r="BV33" s="3635">
        <f>'ЗП с факт 3 кв. 2015'!BU32</f>
        <v>27138.709677419356</v>
      </c>
      <c r="BW33" s="3636">
        <f>BU33*BV33*12/1000</f>
        <v>5210.6322580645156</v>
      </c>
      <c r="BX33" s="3637">
        <f t="shared" si="20"/>
        <v>0.91288499822245361</v>
      </c>
      <c r="BY33" s="3640">
        <f t="shared" si="30"/>
        <v>1.1704025736892445</v>
      </c>
      <c r="BZ33" s="3664">
        <v>14</v>
      </c>
      <c r="CA33" s="3630">
        <f t="shared" si="31"/>
        <v>25422.261904761901</v>
      </c>
      <c r="CB33" s="3636">
        <v>2135.4699999999998</v>
      </c>
      <c r="CC33" s="3624">
        <f t="shared" si="21"/>
        <v>0.9367527862208711</v>
      </c>
      <c r="CD33" s="3664">
        <v>14</v>
      </c>
      <c r="CE33" s="3635">
        <f t="shared" si="13"/>
        <v>27515</v>
      </c>
      <c r="CF33" s="3636">
        <v>3466.89</v>
      </c>
      <c r="CG33" s="3624">
        <f t="shared" si="22"/>
        <v>1.0138654463330559</v>
      </c>
      <c r="CH33" s="3664">
        <v>15</v>
      </c>
      <c r="CI33" s="3635">
        <f t="shared" si="39"/>
        <v>25788.722222222223</v>
      </c>
      <c r="CJ33" s="3631">
        <v>4641.97</v>
      </c>
      <c r="CK33" s="3624">
        <f t="shared" si="23"/>
        <v>0.95025601912384272</v>
      </c>
      <c r="CL33" s="3664">
        <f t="shared" si="41"/>
        <v>16</v>
      </c>
      <c r="CM33" s="3635">
        <f t="shared" si="42"/>
        <v>29852.580645161295</v>
      </c>
      <c r="CN33" s="3636">
        <f>CL33*CM33*12/1000</f>
        <v>5731.695483870968</v>
      </c>
      <c r="CO33" s="3637">
        <f t="shared" si="24"/>
        <v>1.1000000000000001</v>
      </c>
      <c r="CP33" s="3639"/>
      <c r="CQ33" s="3635"/>
      <c r="CR33" s="3636">
        <f t="shared" si="35"/>
        <v>5524.7812769032244</v>
      </c>
      <c r="CS33" s="3640">
        <f t="shared" si="25"/>
        <v>1.0602899999999997</v>
      </c>
      <c r="CT33" s="4275">
        <v>15</v>
      </c>
      <c r="CU33" s="3670">
        <f t="shared" si="36"/>
        <v>27173.333333333332</v>
      </c>
      <c r="CV33" s="4276">
        <v>2445.6</v>
      </c>
      <c r="CW33" s="3671">
        <v>15</v>
      </c>
      <c r="CX33" s="3670">
        <f>SUM(CY33/CW33*1000)/9</f>
        <v>27276.740740740741</v>
      </c>
      <c r="CY33" s="3673">
        <v>3682.36</v>
      </c>
      <c r="CZ33" s="3671">
        <v>15</v>
      </c>
      <c r="DA33" s="3670">
        <f>SUM(DB33/CZ33*1000)/12</f>
        <v>27328.444444444449</v>
      </c>
      <c r="DB33" s="4267">
        <f t="shared" si="37"/>
        <v>4919.1200000000008</v>
      </c>
      <c r="DC33" s="4262"/>
      <c r="DD33" s="3635"/>
      <c r="DE33" s="4061">
        <f t="shared" si="38"/>
        <v>5786.7664050539761</v>
      </c>
      <c r="DF33" s="3637">
        <f t="shared" si="26"/>
        <v>1.0474200000000002</v>
      </c>
      <c r="DG33" s="3639"/>
      <c r="DH33" s="3635"/>
      <c r="DI33" s="4427">
        <f>CR33*(1-0.01)*(1+0.058)*(1+0)*1.005</f>
        <v>5815.7002370792452</v>
      </c>
      <c r="DJ33" s="4428">
        <f t="shared" si="27"/>
        <v>1.0526571</v>
      </c>
    </row>
    <row r="34" spans="1:114" ht="19.5" thickBot="1">
      <c r="A34" s="5220" t="s">
        <v>857</v>
      </c>
      <c r="B34" s="5774"/>
      <c r="C34" s="5774"/>
      <c r="D34" s="5774"/>
      <c r="E34" s="5774"/>
      <c r="F34" s="5774"/>
      <c r="G34" s="5774"/>
      <c r="H34" s="5774"/>
      <c r="I34" s="5774"/>
      <c r="J34" s="5774"/>
      <c r="K34" s="5774"/>
      <c r="L34" s="5774"/>
      <c r="M34" s="5774"/>
      <c r="N34" s="5774"/>
      <c r="O34" s="5774"/>
      <c r="P34" s="5774"/>
      <c r="Q34" s="5774"/>
      <c r="R34" s="5774"/>
      <c r="S34" s="5774"/>
      <c r="T34" s="5774"/>
      <c r="U34" s="5774"/>
      <c r="V34" s="5774"/>
      <c r="W34" s="5774"/>
      <c r="X34" s="5774"/>
      <c r="Y34" s="5774"/>
      <c r="Z34" s="5774"/>
      <c r="AA34" s="5774"/>
      <c r="AB34" s="5774"/>
      <c r="AC34" s="5774"/>
      <c r="AD34" s="5774"/>
      <c r="AE34" s="5774"/>
      <c r="AF34" s="5774"/>
      <c r="AG34" s="5774"/>
      <c r="AH34" s="5774"/>
      <c r="AI34" s="5774"/>
      <c r="AJ34" s="5774"/>
      <c r="AK34" s="5774"/>
      <c r="AL34" s="5774"/>
      <c r="AM34" s="5774"/>
      <c r="AN34" s="5774"/>
      <c r="AO34" s="5774"/>
      <c r="AP34" s="5774"/>
      <c r="AQ34" s="5774"/>
      <c r="AR34" s="5774"/>
      <c r="AS34" s="5774"/>
      <c r="AT34" s="5774"/>
      <c r="AU34" s="5774"/>
      <c r="AV34" s="5774"/>
      <c r="AW34" s="5774"/>
      <c r="AX34" s="5774"/>
      <c r="AY34" s="5774"/>
      <c r="AZ34" s="5774"/>
      <c r="BA34" s="5774"/>
      <c r="BB34" s="5774"/>
      <c r="BC34" s="5774"/>
      <c r="BD34" s="5774"/>
      <c r="BE34" s="5774"/>
      <c r="BF34" s="5774"/>
      <c r="BG34" s="5774"/>
      <c r="BH34" s="5774"/>
      <c r="BI34" s="5774"/>
      <c r="BJ34" s="5774"/>
      <c r="BK34" s="5774"/>
      <c r="BL34" s="5774"/>
      <c r="BM34" s="5774"/>
      <c r="BN34" s="5774"/>
      <c r="BO34" s="5774"/>
      <c r="BP34" s="5774"/>
      <c r="BQ34" s="5774"/>
      <c r="BR34" s="5774"/>
      <c r="BS34" s="5774"/>
      <c r="BT34" s="5774"/>
      <c r="BU34" s="5774"/>
      <c r="BV34" s="5774"/>
      <c r="BW34" s="5774"/>
      <c r="BX34" s="5774"/>
      <c r="BY34" s="5774"/>
      <c r="BZ34" s="5389"/>
      <c r="CA34" s="5389"/>
      <c r="CB34" s="5389"/>
      <c r="CC34" s="5389"/>
      <c r="CD34" s="5389"/>
      <c r="CE34" s="5389"/>
      <c r="CF34" s="5389"/>
      <c r="CG34" s="5389"/>
      <c r="CH34" s="5389"/>
      <c r="CI34" s="5389"/>
      <c r="CJ34" s="5389"/>
      <c r="CK34" s="5389"/>
      <c r="CL34" s="5389"/>
      <c r="CM34" s="5389"/>
      <c r="CN34" s="5389"/>
      <c r="CO34" s="5389"/>
      <c r="CP34" s="5389"/>
      <c r="CQ34" s="5389"/>
      <c r="CR34" s="5389"/>
      <c r="CS34" s="5389"/>
      <c r="CT34" s="5389"/>
      <c r="CU34" s="5389"/>
      <c r="CV34" s="5389"/>
      <c r="CW34" s="5389"/>
      <c r="CX34" s="5389"/>
      <c r="CY34" s="5389"/>
      <c r="CZ34" s="5389"/>
      <c r="DA34" s="5389"/>
      <c r="DB34" s="5389"/>
      <c r="DC34" s="5389"/>
      <c r="DD34" s="5389"/>
      <c r="DE34" s="5389"/>
      <c r="DF34" s="5389"/>
      <c r="DG34" s="5389"/>
      <c r="DH34" s="5389"/>
      <c r="DI34" s="5389"/>
      <c r="DJ34" s="5390"/>
    </row>
    <row r="35" spans="1:114" ht="37.5" customHeight="1">
      <c r="A35" s="5866" t="s">
        <v>258</v>
      </c>
      <c r="B35" s="5867"/>
      <c r="C35" s="1208"/>
      <c r="D35" s="596"/>
      <c r="E35" s="596"/>
      <c r="F35" s="596"/>
      <c r="G35" s="596"/>
      <c r="H35" s="596"/>
      <c r="I35" s="596"/>
      <c r="J35" s="596"/>
      <c r="K35" s="596"/>
      <c r="L35" s="1216"/>
      <c r="M35" s="1204"/>
      <c r="N35" s="2832">
        <f>(O24+O29)/(M24+M29)/12*1000</f>
        <v>26931.3782051282</v>
      </c>
      <c r="O35" s="596"/>
      <c r="P35" s="595"/>
      <c r="Q35" s="1208"/>
      <c r="R35" s="5864"/>
      <c r="S35" s="1204"/>
      <c r="T35" s="2832">
        <f>(U24+U29)/(S24+S29)/12*1000</f>
        <v>23399.902952414348</v>
      </c>
      <c r="U35" s="596"/>
      <c r="V35" s="596"/>
      <c r="W35" s="595"/>
      <c r="X35" s="1259"/>
      <c r="Y35" s="2832">
        <f>(Z24+Z29)/(X24+X29)/6*1000</f>
        <v>22071.124261976194</v>
      </c>
      <c r="Z35" s="598"/>
      <c r="AA35" s="595"/>
      <c r="AB35" s="1208"/>
      <c r="AC35" s="596"/>
      <c r="AD35" s="596"/>
      <c r="AE35" s="596"/>
      <c r="AF35" s="596"/>
      <c r="AG35" s="596"/>
      <c r="AH35" s="596"/>
      <c r="AI35" s="596"/>
      <c r="AJ35" s="596"/>
      <c r="AK35" s="1216"/>
      <c r="AL35" s="1259"/>
      <c r="AM35" s="2832">
        <f>(AN24+AN29)/(AL24+AL29)/9*1000</f>
        <v>23101.92837465565</v>
      </c>
      <c r="AN35" s="598"/>
      <c r="AO35" s="595"/>
      <c r="AP35" s="1183"/>
      <c r="AQ35" s="1259"/>
      <c r="AR35" s="2832">
        <f>(AS24+AS29)/(AQ24+AQ29)/12*1000</f>
        <v>23276.997245179064</v>
      </c>
      <c r="AS35" s="598"/>
      <c r="AT35" s="1185">
        <f t="shared" si="14"/>
        <v>0.99474759756545894</v>
      </c>
      <c r="AU35" s="1204"/>
      <c r="AV35" s="597">
        <f>(AW24+AW29)/(AU24+AU29)/12*1000</f>
        <v>25563.717948717946</v>
      </c>
      <c r="AW35" s="596"/>
      <c r="AX35" s="596"/>
      <c r="AY35" s="595"/>
      <c r="AZ35" s="3641"/>
      <c r="BA35" s="3645">
        <f>(BB24+BB29)/(AZ24+AZ29)/12*1000</f>
        <v>25597.995857856873</v>
      </c>
      <c r="BB35" s="3643"/>
      <c r="BC35" s="3642">
        <f>BA35/T35</f>
        <v>1.0939359838334599</v>
      </c>
      <c r="BD35" s="3643"/>
      <c r="BE35" s="3644"/>
      <c r="BF35" s="3645">
        <f>(BG24+BG29)/(BE24+BE29)/6*1000</f>
        <v>23259.453781512606</v>
      </c>
      <c r="BG35" s="3646"/>
      <c r="BH35" s="3647">
        <f t="shared" si="16"/>
        <v>0.90986193120156444</v>
      </c>
      <c r="BI35" s="3644"/>
      <c r="BJ35" s="3645">
        <f>(BK24+BK29)/(BI24+BI29)/9*1000</f>
        <v>23705.234159779615</v>
      </c>
      <c r="BK35" s="3646"/>
      <c r="BL35" s="3647">
        <f t="shared" si="17"/>
        <v>0.9260582075023539</v>
      </c>
      <c r="BM35" s="3644"/>
      <c r="BN35" s="3645">
        <f>(BO24+BO29)/(BM24+BM29)/12*1000</f>
        <v>24286.923347398031</v>
      </c>
      <c r="BO35" s="3657"/>
      <c r="BP35" s="2363">
        <f t="shared" si="18"/>
        <v>0.94878222038400595</v>
      </c>
      <c r="BQ35" s="3641"/>
      <c r="BR35" s="3645">
        <f>(BS24+BS29)/(BQ24+BQ29)/12*1000</f>
        <v>28120.089743589746</v>
      </c>
      <c r="BS35" s="3643"/>
      <c r="BT35" s="3647">
        <f t="shared" si="19"/>
        <v>1.0985270057756791</v>
      </c>
      <c r="BU35" s="3643"/>
      <c r="BV35" s="3645">
        <f>(BW24+BW29)/(BU24+BU29)/12*1000</f>
        <v>27456.077812229923</v>
      </c>
      <c r="BW35" s="3666"/>
      <c r="BX35" s="2363">
        <f t="shared" si="20"/>
        <v>1.0725870089475285</v>
      </c>
      <c r="BY35" s="2760">
        <f t="shared" si="30"/>
        <v>1.1582285003880839</v>
      </c>
      <c r="BZ35" s="1259"/>
      <c r="CA35" s="2832">
        <f>(CB24+CB29)/(BZ24+BZ29)/6*1000</f>
        <v>24612.393162393164</v>
      </c>
      <c r="CB35" s="598"/>
      <c r="CC35" s="3624">
        <f t="shared" si="21"/>
        <v>0.89642786310249745</v>
      </c>
      <c r="CD35" s="1259"/>
      <c r="CE35" s="2832">
        <f>(CF24+CF29)/(CD24+CD29)/9*1000</f>
        <v>25517.205673758865</v>
      </c>
      <c r="CF35" s="598"/>
      <c r="CG35" s="3624">
        <f t="shared" si="22"/>
        <v>0.92938277084837606</v>
      </c>
      <c r="CH35" s="1259"/>
      <c r="CI35" s="2832">
        <f>(CJ24+CJ29)/(CH24+CH29)/12*1000</f>
        <v>25202.232770745424</v>
      </c>
      <c r="CJ35" s="598"/>
      <c r="CK35" s="3624">
        <f t="shared" si="23"/>
        <v>0.91791088818663835</v>
      </c>
      <c r="CL35" s="3641"/>
      <c r="CM35" s="3645">
        <f>(CN24+CN29)/(CL24+CL29)/12*1000</f>
        <v>30201.685593452919</v>
      </c>
      <c r="CN35" s="3643"/>
      <c r="CO35" s="3647">
        <f t="shared" si="24"/>
        <v>1.1000000000000001</v>
      </c>
      <c r="CP35" s="3643"/>
      <c r="CQ35" s="3645"/>
      <c r="CR35" s="3643"/>
      <c r="CS35" s="3721"/>
      <c r="CT35" s="4090"/>
      <c r="CU35" s="3645">
        <f>(CV24+CV29)/(CT24+CT29)/6*1000</f>
        <v>26422.923728813559</v>
      </c>
      <c r="CV35" s="3643"/>
      <c r="CW35" s="3643"/>
      <c r="CX35" s="3645">
        <f>(CY24+CY29)/(CW24+CW29)/9*1000</f>
        <v>26473.855932203391</v>
      </c>
      <c r="CY35" s="3643"/>
      <c r="CZ35" s="3643"/>
      <c r="DA35" s="3645">
        <f>(DB24+DB29)/(CZ24+CZ29)/12*1000</f>
        <v>26499.322033898305</v>
      </c>
      <c r="DB35" s="3643"/>
      <c r="DC35" s="3641"/>
      <c r="DD35" s="3645"/>
      <c r="DE35" s="3643"/>
      <c r="DF35" s="3647"/>
      <c r="DG35" s="3643"/>
      <c r="DH35" s="3645"/>
      <c r="DI35" s="3643"/>
      <c r="DJ35" s="3721"/>
    </row>
    <row r="36" spans="1:114" ht="37.5" customHeight="1">
      <c r="A36" s="5868" t="s">
        <v>256</v>
      </c>
      <c r="B36" s="5869"/>
      <c r="C36" s="3712"/>
      <c r="D36" s="3619"/>
      <c r="E36" s="3619"/>
      <c r="F36" s="3619"/>
      <c r="G36" s="3619"/>
      <c r="H36" s="3619"/>
      <c r="I36" s="3619"/>
      <c r="J36" s="3619"/>
      <c r="K36" s="3619"/>
      <c r="L36" s="3686"/>
      <c r="M36" s="3648"/>
      <c r="N36" s="3651">
        <f>N24</f>
        <v>25754.516129032254</v>
      </c>
      <c r="O36" s="3619"/>
      <c r="P36" s="3694">
        <f>N36/AM8</f>
        <v>1.2212343117474604</v>
      </c>
      <c r="Q36" s="3712"/>
      <c r="R36" s="5864"/>
      <c r="S36" s="3648"/>
      <c r="T36" s="3651">
        <f>T24</f>
        <v>22269.902483612907</v>
      </c>
      <c r="U36" s="3619"/>
      <c r="V36" s="3649">
        <f>T36/AM8</f>
        <v>1.0560000000000003</v>
      </c>
      <c r="W36" s="3667"/>
      <c r="X36" s="3713"/>
      <c r="Y36" s="3651">
        <f>Y24</f>
        <v>21580.822040944742</v>
      </c>
      <c r="Z36" s="3630"/>
      <c r="AA36" s="3628">
        <f>Y36/T36</f>
        <v>0.96905777009238292</v>
      </c>
      <c r="AB36" s="3712"/>
      <c r="AC36" s="3619"/>
      <c r="AD36" s="3619"/>
      <c r="AE36" s="3619"/>
      <c r="AF36" s="3619"/>
      <c r="AG36" s="3619"/>
      <c r="AH36" s="3619"/>
      <c r="AI36" s="3619"/>
      <c r="AJ36" s="3619"/>
      <c r="AK36" s="3686"/>
      <c r="AL36" s="3713"/>
      <c r="AM36" s="3651">
        <f>AM24</f>
        <v>22609.909909909911</v>
      </c>
      <c r="AN36" s="3630"/>
      <c r="AO36" s="3628">
        <f>AM36/T36</f>
        <v>1.0152675758929433</v>
      </c>
      <c r="AP36" s="3714"/>
      <c r="AQ36" s="3713"/>
      <c r="AR36" s="3651">
        <f>AR24</f>
        <v>22770.326576576579</v>
      </c>
      <c r="AS36" s="3630"/>
      <c r="AT36" s="3624">
        <f t="shared" si="14"/>
        <v>1.0224708704194778</v>
      </c>
      <c r="AU36" s="3648"/>
      <c r="AV36" s="3651">
        <f>AV24</f>
        <v>23460.37634408602</v>
      </c>
      <c r="AW36" s="3619"/>
      <c r="AX36" s="3649">
        <f>AV36/T36</f>
        <v>1.0534566265545668</v>
      </c>
      <c r="AY36" s="3667"/>
      <c r="AZ36" s="3648"/>
      <c r="BA36" s="3651">
        <f>BA24</f>
        <v>23530.113691896189</v>
      </c>
      <c r="BB36" s="3619"/>
      <c r="BC36" s="3649">
        <f>BA36/T36</f>
        <v>1.0565880883048588</v>
      </c>
      <c r="BD36" s="3619"/>
      <c r="BE36" s="3650"/>
      <c r="BF36" s="3651">
        <f>BF24</f>
        <v>22832.175925925923</v>
      </c>
      <c r="BG36" s="3630"/>
      <c r="BH36" s="3624">
        <f t="shared" si="16"/>
        <v>0.9732229181260148</v>
      </c>
      <c r="BI36" s="3650"/>
      <c r="BJ36" s="3651">
        <f>BJ24</f>
        <v>22988.888888888887</v>
      </c>
      <c r="BK36" s="3630"/>
      <c r="BL36" s="3624">
        <f t="shared" si="17"/>
        <v>0.9769986320468268</v>
      </c>
      <c r="BM36" s="3650"/>
      <c r="BN36" s="3651">
        <f>BN24</f>
        <v>23577.199074074073</v>
      </c>
      <c r="BO36" s="3658"/>
      <c r="BP36" s="3655">
        <f t="shared" si="18"/>
        <v>1.0020010690468573</v>
      </c>
      <c r="BQ36" s="3648"/>
      <c r="BR36" s="3651">
        <f>BR24</f>
        <v>25806.413978494627</v>
      </c>
      <c r="BS36" s="3619"/>
      <c r="BT36" s="3624">
        <f t="shared" si="19"/>
        <v>1.0967398762455789</v>
      </c>
      <c r="BU36" s="3619"/>
      <c r="BV36" s="3651">
        <f>BV24</f>
        <v>26725.298409525822</v>
      </c>
      <c r="BW36" s="3667"/>
      <c r="BX36" s="3655">
        <f t="shared" si="20"/>
        <v>1.1357912995860304</v>
      </c>
      <c r="BY36" s="3628">
        <f t="shared" si="30"/>
        <v>1.1625311052959517</v>
      </c>
      <c r="BZ36" s="3713"/>
      <c r="CA36" s="3651">
        <f>CA24</f>
        <v>23573.962703962705</v>
      </c>
      <c r="CB36" s="3630"/>
      <c r="CC36" s="3624">
        <f t="shared" si="21"/>
        <v>0.88208417143660889</v>
      </c>
      <c r="CD36" s="3713"/>
      <c r="CE36" s="3651">
        <f>CE24</f>
        <v>24370.57498057498</v>
      </c>
      <c r="CF36" s="3630"/>
      <c r="CG36" s="3624">
        <f t="shared" si="22"/>
        <v>0.91189159451587132</v>
      </c>
      <c r="CH36" s="3713"/>
      <c r="CI36" s="3651">
        <f>CI24</f>
        <v>23794.770114942527</v>
      </c>
      <c r="CJ36" s="3630"/>
      <c r="CK36" s="3624">
        <f t="shared" si="23"/>
        <v>0.89034628352217937</v>
      </c>
      <c r="CL36" s="3648"/>
      <c r="CM36" s="3651">
        <f>CM24</f>
        <v>29397.828250478397</v>
      </c>
      <c r="CN36" s="3619"/>
      <c r="CO36" s="3624">
        <f t="shared" si="24"/>
        <v>1.0999999999999996</v>
      </c>
      <c r="CP36" s="3619"/>
      <c r="CQ36" s="3651"/>
      <c r="CR36" s="3619"/>
      <c r="CS36" s="3628"/>
      <c r="CT36" s="4091"/>
      <c r="CU36" s="3651">
        <f>CU24</f>
        <v>25517.013888888887</v>
      </c>
      <c r="CV36" s="3619"/>
      <c r="CW36" s="3619"/>
      <c r="CX36" s="3651">
        <f>CX24</f>
        <v>25582.152292152288</v>
      </c>
      <c r="CY36" s="3619"/>
      <c r="CZ36" s="3619"/>
      <c r="DA36" s="3651">
        <f>DA24</f>
        <v>25525.501165501169</v>
      </c>
      <c r="DB36" s="3619"/>
      <c r="DC36" s="3648"/>
      <c r="DD36" s="3651"/>
      <c r="DE36" s="3619"/>
      <c r="DF36" s="3624"/>
      <c r="DG36" s="3619"/>
      <c r="DH36" s="3651"/>
      <c r="DI36" s="3619"/>
      <c r="DJ36" s="3628"/>
    </row>
    <row r="37" spans="1:114" ht="37.5" customHeight="1" thickBot="1">
      <c r="A37" s="3484" t="s">
        <v>257</v>
      </c>
      <c r="B37" s="3668"/>
      <c r="C37" s="3715"/>
      <c r="D37" s="3638"/>
      <c r="E37" s="3638"/>
      <c r="F37" s="3638"/>
      <c r="G37" s="3638"/>
      <c r="H37" s="3638"/>
      <c r="I37" s="3638"/>
      <c r="J37" s="3638"/>
      <c r="K37" s="3638"/>
      <c r="L37" s="3716"/>
      <c r="M37" s="3484"/>
      <c r="N37" s="3654">
        <f>N29</f>
        <v>28668.650793650795</v>
      </c>
      <c r="O37" s="3638"/>
      <c r="P37" s="3717">
        <f>N37/AM14</f>
        <v>1.2088032234986785</v>
      </c>
      <c r="Q37" s="3715"/>
      <c r="R37" s="5865"/>
      <c r="S37" s="3484"/>
      <c r="T37" s="3654">
        <f>T29</f>
        <v>25224.382875999996</v>
      </c>
      <c r="U37" s="3638"/>
      <c r="V37" s="3652">
        <f>T37/AM14</f>
        <v>1.0635769206839176</v>
      </c>
      <c r="W37" s="3668"/>
      <c r="X37" s="3718"/>
      <c r="Y37" s="3654">
        <f>Y29</f>
        <v>22836.666666666668</v>
      </c>
      <c r="Z37" s="3635"/>
      <c r="AA37" s="3640">
        <f>Y37/T37</f>
        <v>0.90534094645363372</v>
      </c>
      <c r="AB37" s="3715"/>
      <c r="AC37" s="3638"/>
      <c r="AD37" s="3638"/>
      <c r="AE37" s="3638"/>
      <c r="AF37" s="3638"/>
      <c r="AG37" s="3638"/>
      <c r="AH37" s="3638"/>
      <c r="AI37" s="3638"/>
      <c r="AJ37" s="3638"/>
      <c r="AK37" s="3716"/>
      <c r="AL37" s="3718"/>
      <c r="AM37" s="3654">
        <f>AM29</f>
        <v>23876.59574468085</v>
      </c>
      <c r="AN37" s="3635"/>
      <c r="AO37" s="3640">
        <f>AM37/T37</f>
        <v>0.94656808303518447</v>
      </c>
      <c r="AP37" s="3719"/>
      <c r="AQ37" s="3718"/>
      <c r="AR37" s="3654">
        <f>AR29</f>
        <v>24074.734042553187</v>
      </c>
      <c r="AS37" s="3635"/>
      <c r="AT37" s="3637">
        <f t="shared" si="14"/>
        <v>0.95442311357632248</v>
      </c>
      <c r="AU37" s="3484"/>
      <c r="AV37" s="3654">
        <f>AV29</f>
        <v>28668.650793650795</v>
      </c>
      <c r="AW37" s="3638"/>
      <c r="AX37" s="3652">
        <f>AV37/T37</f>
        <v>1.1365451806921265</v>
      </c>
      <c r="AY37" s="3668"/>
      <c r="AZ37" s="3484"/>
      <c r="BA37" s="3654">
        <f>BA29</f>
        <v>28763.121622082414</v>
      </c>
      <c r="BB37" s="3638"/>
      <c r="BC37" s="3652">
        <f>BA37/T37</f>
        <v>1.1402903993123807</v>
      </c>
      <c r="BD37" s="3638"/>
      <c r="BE37" s="3653"/>
      <c r="BF37" s="3654">
        <f>BF29</f>
        <v>23914.007092198586</v>
      </c>
      <c r="BG37" s="3635"/>
      <c r="BH37" s="3637">
        <f t="shared" si="16"/>
        <v>0.83415181496768542</v>
      </c>
      <c r="BI37" s="3653"/>
      <c r="BJ37" s="3654">
        <f>BJ29</f>
        <v>24833.096926713952</v>
      </c>
      <c r="BK37" s="3635"/>
      <c r="BL37" s="3637">
        <f t="shared" si="17"/>
        <v>0.86336584926334103</v>
      </c>
      <c r="BM37" s="3653"/>
      <c r="BN37" s="3654">
        <f>BN29</f>
        <v>25385.851254480287</v>
      </c>
      <c r="BO37" s="3659"/>
      <c r="BP37" s="3656">
        <f t="shared" si="18"/>
        <v>0.88258331581752647</v>
      </c>
      <c r="BQ37" s="3484"/>
      <c r="BR37" s="3654">
        <f>BR29</f>
        <v>31535.515873015873</v>
      </c>
      <c r="BS37" s="3638"/>
      <c r="BT37" s="3637">
        <f t="shared" si="19"/>
        <v>1.0963871128926772</v>
      </c>
      <c r="BU37" s="3638"/>
      <c r="BV37" s="3654">
        <f>BV29</f>
        <v>28606.666659040642</v>
      </c>
      <c r="BW37" s="3668"/>
      <c r="BX37" s="3665">
        <f t="shared" si="20"/>
        <v>0.99456057082060056</v>
      </c>
      <c r="BY37" s="3640">
        <f t="shared" si="30"/>
        <v>1.1519572747395559</v>
      </c>
      <c r="BZ37" s="3718"/>
      <c r="CA37" s="3654">
        <f>CA29</f>
        <v>26244.212454212455</v>
      </c>
      <c r="CB37" s="3635"/>
      <c r="CC37" s="3637">
        <f t="shared" si="21"/>
        <v>0.91741595646266694</v>
      </c>
      <c r="CD37" s="3718"/>
      <c r="CE37" s="3654">
        <f>CE29</f>
        <v>27299.468599033815</v>
      </c>
      <c r="CF37" s="3635"/>
      <c r="CG37" s="3637">
        <f t="shared" si="22"/>
        <v>0.95430442576245733</v>
      </c>
      <c r="CH37" s="3718"/>
      <c r="CI37" s="3654">
        <f>CI29</f>
        <v>27420.516304347828</v>
      </c>
      <c r="CJ37" s="3635"/>
      <c r="CK37" s="3637">
        <f t="shared" si="23"/>
        <v>0.95853587666013673</v>
      </c>
      <c r="CL37" s="3484"/>
      <c r="CM37" s="3654">
        <f>CM29</f>
        <v>31467.333324944706</v>
      </c>
      <c r="CN37" s="3638"/>
      <c r="CO37" s="3637">
        <f t="shared" si="24"/>
        <v>1.1000000000000001</v>
      </c>
      <c r="CP37" s="3638"/>
      <c r="CQ37" s="3654"/>
      <c r="CR37" s="3638"/>
      <c r="CS37" s="3640"/>
      <c r="CT37" s="4092"/>
      <c r="CU37" s="3654">
        <f>CU29</f>
        <v>27840.869565217392</v>
      </c>
      <c r="CV37" s="3638"/>
      <c r="CW37" s="3638"/>
      <c r="CX37" s="3654">
        <f>CX29</f>
        <v>27844.970131421745</v>
      </c>
      <c r="CY37" s="3638"/>
      <c r="CZ37" s="3638"/>
      <c r="DA37" s="3654">
        <f>DA29</f>
        <v>27996.70250896057</v>
      </c>
      <c r="DB37" s="3638"/>
      <c r="DC37" s="3484"/>
      <c r="DD37" s="3654"/>
      <c r="DE37" s="3638"/>
      <c r="DF37" s="3637"/>
      <c r="DG37" s="3638"/>
      <c r="DH37" s="3654"/>
      <c r="DI37" s="3638"/>
      <c r="DJ37" s="3640"/>
    </row>
    <row r="40" spans="1:114" ht="50.25" customHeight="1">
      <c r="A40" s="5829" t="s">
        <v>1040</v>
      </c>
      <c r="B40" s="5829"/>
      <c r="C40" s="5829"/>
      <c r="D40" s="5829"/>
      <c r="E40" s="5829"/>
      <c r="F40" s="5829"/>
      <c r="G40" s="5829"/>
      <c r="H40" s="5829"/>
      <c r="I40" s="5829"/>
      <c r="J40" s="5829"/>
      <c r="K40" s="5829"/>
      <c r="L40" s="5829"/>
      <c r="M40" s="5829"/>
      <c r="N40" s="5829"/>
      <c r="O40" s="5829"/>
      <c r="P40" s="5829"/>
      <c r="Q40" s="5829"/>
      <c r="R40" s="5829"/>
      <c r="S40" s="5829"/>
      <c r="T40" s="5829"/>
      <c r="U40" s="5829"/>
      <c r="V40" s="5829"/>
      <c r="W40" s="5829"/>
      <c r="X40" s="5829"/>
      <c r="Y40" s="5829"/>
      <c r="Z40" s="5829"/>
      <c r="AA40" s="5829"/>
      <c r="AB40" s="5829"/>
      <c r="AC40" s="5829"/>
      <c r="AD40" s="5829"/>
      <c r="AE40" s="5829"/>
      <c r="AF40" s="5829"/>
      <c r="AG40" s="5829"/>
      <c r="AH40" s="5829"/>
      <c r="AI40" s="5829"/>
      <c r="AJ40" s="5829"/>
      <c r="AK40" s="5829"/>
      <c r="AL40" s="5829"/>
      <c r="AM40" s="5829"/>
      <c r="AN40" s="5829"/>
      <c r="AO40" s="5829"/>
      <c r="AP40" s="5829"/>
      <c r="AQ40" s="5829"/>
      <c r="AR40" s="5829"/>
      <c r="AS40" s="5829"/>
      <c r="AT40" s="5829"/>
      <c r="AU40" s="5829"/>
      <c r="AV40" s="5829"/>
      <c r="AW40" s="5829"/>
      <c r="AX40" s="5829"/>
      <c r="AY40" s="5829"/>
      <c r="AZ40" s="5829"/>
      <c r="BA40" s="5829"/>
      <c r="BB40" s="5829"/>
      <c r="BC40" s="5829"/>
      <c r="BD40" s="5829"/>
      <c r="BE40" s="5829"/>
      <c r="BF40" s="5829"/>
      <c r="BG40" s="5829"/>
      <c r="BH40" s="5829"/>
      <c r="BI40" s="5829"/>
      <c r="BJ40" s="5829"/>
      <c r="BK40" s="5829"/>
      <c r="BL40" s="5829"/>
      <c r="BM40" s="5829"/>
      <c r="BN40" s="5829"/>
      <c r="BO40" s="5829"/>
      <c r="BP40" s="5829"/>
      <c r="BQ40" s="5829"/>
      <c r="BR40" s="5829"/>
      <c r="BS40" s="5829"/>
      <c r="BT40" s="5829"/>
      <c r="BU40" s="5829"/>
      <c r="BV40" s="5829"/>
      <c r="BW40" s="5829"/>
      <c r="BX40" s="5829"/>
      <c r="BY40" s="5829"/>
    </row>
    <row r="47" spans="1:114">
      <c r="BJ47" s="2016"/>
    </row>
  </sheetData>
  <mergeCells count="62">
    <mergeCell ref="CT20:DB20"/>
    <mergeCell ref="CT21:CV22"/>
    <mergeCell ref="CW21:CY22"/>
    <mergeCell ref="CZ21:DB22"/>
    <mergeCell ref="AU20:BP20"/>
    <mergeCell ref="BM21:BP22"/>
    <mergeCell ref="BQ20:BY20"/>
    <mergeCell ref="S21:W22"/>
    <mergeCell ref="A34:DJ34"/>
    <mergeCell ref="R35:R37"/>
    <mergeCell ref="R21:R33"/>
    <mergeCell ref="BE21:BH22"/>
    <mergeCell ref="A35:B35"/>
    <mergeCell ref="A36:B36"/>
    <mergeCell ref="F21:H22"/>
    <mergeCell ref="I21:L21"/>
    <mergeCell ref="C21:E22"/>
    <mergeCell ref="X21:AB22"/>
    <mergeCell ref="AL21:AP22"/>
    <mergeCell ref="BI21:BL22"/>
    <mergeCell ref="BQ21:BT22"/>
    <mergeCell ref="AU21:AY22"/>
    <mergeCell ref="C4:E5"/>
    <mergeCell ref="AL4:AP5"/>
    <mergeCell ref="F4:H5"/>
    <mergeCell ref="M4:O5"/>
    <mergeCell ref="V4:X5"/>
    <mergeCell ref="S4:U5"/>
    <mergeCell ref="AG4:AK4"/>
    <mergeCell ref="AB4:AF5"/>
    <mergeCell ref="B4:B6"/>
    <mergeCell ref="A3:AP3"/>
    <mergeCell ref="A40:BY40"/>
    <mergeCell ref="BU21:BY22"/>
    <mergeCell ref="I4:L4"/>
    <mergeCell ref="B20:B23"/>
    <mergeCell ref="A20:A23"/>
    <mergeCell ref="BD4:BD6"/>
    <mergeCell ref="P4:R5"/>
    <mergeCell ref="AU4:AW5"/>
    <mergeCell ref="AJ5:AK5"/>
    <mergeCell ref="AQ21:AT22"/>
    <mergeCell ref="M20:AT20"/>
    <mergeCell ref="M21:Q22"/>
    <mergeCell ref="Y4:AA5"/>
    <mergeCell ref="AZ21:BD22"/>
    <mergeCell ref="A1:DJ1"/>
    <mergeCell ref="A2:DJ2"/>
    <mergeCell ref="CH20:CK22"/>
    <mergeCell ref="DC20:DJ20"/>
    <mergeCell ref="DC21:DF22"/>
    <mergeCell ref="DG21:DJ22"/>
    <mergeCell ref="CL21:CO22"/>
    <mergeCell ref="CP21:CS22"/>
    <mergeCell ref="CL20:CS20"/>
    <mergeCell ref="BZ21:CC22"/>
    <mergeCell ref="CD21:CG22"/>
    <mergeCell ref="AG5:AG6"/>
    <mergeCell ref="AH5:AI5"/>
    <mergeCell ref="AX4:AZ5"/>
    <mergeCell ref="BA4:BC5"/>
    <mergeCell ref="A4:A6"/>
  </mergeCells>
  <phoneticPr fontId="9" type="noConversion"/>
  <printOptions horizontalCentered="1" verticalCentered="1"/>
  <pageMargins left="0.11811023622047245" right="0.11811023622047245" top="0.74803149606299213" bottom="0.74803149606299213" header="0.31496062992125984" footer="0.31496062992125984"/>
  <pageSetup paperSize="9" scale="26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CA46"/>
  <sheetViews>
    <sheetView zoomScale="62" zoomScaleNormal="62" workbookViewId="0">
      <pane xSplit="12" ySplit="22" topLeftCell="BH23" activePane="bottomRight" state="frozen"/>
      <selection pane="topRight" activeCell="M1" sqref="M1"/>
      <selection pane="bottomLeft" activeCell="A23" sqref="A23"/>
      <selection pane="bottomRight" activeCell="BT27" sqref="BT27"/>
    </sheetView>
  </sheetViews>
  <sheetFormatPr defaultRowHeight="12.75" outlineLevelCol="1"/>
  <cols>
    <col min="1" max="1" width="6.42578125" customWidth="1"/>
    <col min="2" max="2" width="21.42578125" customWidth="1"/>
    <col min="3" max="12" width="0" hidden="1" customWidth="1"/>
    <col min="13" max="13" width="9.7109375" customWidth="1"/>
    <col min="14" max="14" width="16.7109375" customWidth="1"/>
    <col min="15" max="15" width="13.140625" customWidth="1"/>
    <col min="16" max="16" width="12.5703125" customWidth="1"/>
    <col min="17" max="17" width="9.5703125" hidden="1" customWidth="1"/>
    <col min="18" max="18" width="0" hidden="1" customWidth="1"/>
    <col min="19" max="19" width="9.5703125" customWidth="1"/>
    <col min="20" max="20" width="16.7109375" customWidth="1"/>
    <col min="21" max="21" width="13.140625" customWidth="1"/>
    <col min="22" max="22" width="11.7109375" customWidth="1"/>
    <col min="23" max="23" width="14" customWidth="1"/>
    <col min="24" max="24" width="9.7109375" customWidth="1"/>
    <col min="25" max="25" width="16.85546875" customWidth="1"/>
    <col min="26" max="26" width="13.140625" customWidth="1"/>
    <col min="27" max="27" width="12.140625" customWidth="1"/>
    <col min="28" max="28" width="9.140625" hidden="1" customWidth="1" outlineLevel="1"/>
    <col min="29" max="29" width="11" hidden="1" customWidth="1" outlineLevel="1"/>
    <col min="30" max="30" width="7.85546875" hidden="1" customWidth="1" outlineLevel="1"/>
    <col min="31" max="31" width="8.140625" hidden="1" customWidth="1" outlineLevel="1"/>
    <col min="32" max="32" width="13" hidden="1" customWidth="1" outlineLevel="1"/>
    <col min="33" max="33" width="2.42578125" hidden="1" customWidth="1" outlineLevel="1"/>
    <col min="34" max="34" width="2" hidden="1" customWidth="1" outlineLevel="1"/>
    <col min="35" max="35" width="4.42578125" hidden="1" customWidth="1" outlineLevel="1"/>
    <col min="36" max="37" width="3.85546875" hidden="1" customWidth="1" outlineLevel="1"/>
    <col min="38" max="38" width="9.7109375" customWidth="1" collapsed="1"/>
    <col min="39" max="39" width="16.85546875" customWidth="1"/>
    <col min="40" max="40" width="13.140625" customWidth="1"/>
    <col min="41" max="41" width="12.7109375" customWidth="1"/>
    <col min="42" max="42" width="0" hidden="1" customWidth="1"/>
    <col min="43" max="43" width="9.7109375" customWidth="1"/>
    <col min="44" max="44" width="16.85546875" customWidth="1"/>
    <col min="45" max="45" width="13.140625" customWidth="1"/>
    <col min="46" max="46" width="12.7109375" customWidth="1"/>
    <col min="47" max="47" width="9.7109375" hidden="1" customWidth="1"/>
    <col min="48" max="48" width="16.85546875" hidden="1" customWidth="1"/>
    <col min="49" max="49" width="13.140625" hidden="1" customWidth="1"/>
    <col min="50" max="51" width="12.7109375" hidden="1" customWidth="1"/>
    <col min="52" max="52" width="9.7109375" customWidth="1"/>
    <col min="53" max="53" width="16.85546875" customWidth="1"/>
    <col min="54" max="54" width="13.140625" customWidth="1"/>
    <col min="55" max="55" width="12.7109375" customWidth="1"/>
    <col min="56" max="56" width="22" hidden="1" customWidth="1"/>
    <col min="57" max="57" width="9.7109375" customWidth="1"/>
    <col min="58" max="58" width="16.85546875" customWidth="1"/>
    <col min="59" max="59" width="13.140625" customWidth="1"/>
    <col min="60" max="60" width="12.7109375" customWidth="1"/>
    <col min="61" max="61" width="9.7109375" customWidth="1"/>
    <col min="62" max="62" width="16.85546875" customWidth="1"/>
    <col min="63" max="63" width="13.140625" customWidth="1"/>
    <col min="64" max="64" width="12.7109375" customWidth="1"/>
    <col min="65" max="65" width="15" customWidth="1"/>
    <col min="66" max="66" width="18.28515625" customWidth="1"/>
    <col min="67" max="67" width="12.7109375" customWidth="1"/>
    <col min="68" max="68" width="9.7109375" customWidth="1"/>
    <col min="69" max="69" width="16.85546875" customWidth="1"/>
    <col min="70" max="70" width="13.140625" customWidth="1"/>
    <col min="71" max="71" width="12.7109375" customWidth="1"/>
    <col min="72" max="72" width="9.7109375" customWidth="1"/>
    <col min="73" max="73" width="16.85546875" customWidth="1"/>
    <col min="74" max="74" width="13.140625" customWidth="1"/>
    <col min="75" max="76" width="12.7109375" customWidth="1"/>
    <col min="77" max="77" width="17.140625" customWidth="1"/>
  </cols>
  <sheetData>
    <row r="1" spans="1:76" ht="30">
      <c r="A1" s="5791" t="s">
        <v>233</v>
      </c>
      <c r="B1" s="5791"/>
      <c r="C1" s="5791"/>
      <c r="D1" s="5791"/>
      <c r="E1" s="5791"/>
      <c r="F1" s="5791"/>
      <c r="G1" s="5791"/>
      <c r="H1" s="5791"/>
      <c r="I1" s="5791"/>
      <c r="J1" s="5791"/>
      <c r="K1" s="5791"/>
      <c r="L1" s="5791"/>
      <c r="M1" s="5791"/>
      <c r="N1" s="5791"/>
      <c r="O1" s="5791"/>
      <c r="P1" s="5791"/>
      <c r="Q1" s="5791"/>
      <c r="R1" s="5791"/>
      <c r="S1" s="5791"/>
      <c r="T1" s="5791"/>
      <c r="U1" s="5791"/>
      <c r="V1" s="5791"/>
      <c r="W1" s="5791"/>
      <c r="X1" s="5791"/>
      <c r="Y1" s="5791"/>
      <c r="Z1" s="5791"/>
      <c r="AA1" s="5791"/>
      <c r="AB1" s="5791"/>
      <c r="AC1" s="5791"/>
      <c r="AD1" s="5791"/>
      <c r="AE1" s="5791"/>
      <c r="AF1" s="5791"/>
      <c r="AG1" s="5791"/>
      <c r="AH1" s="5791"/>
      <c r="AI1" s="5791"/>
      <c r="AJ1" s="5791"/>
      <c r="AK1" s="5791"/>
      <c r="AL1" s="5791"/>
      <c r="AM1" s="5791"/>
      <c r="AN1" s="5791"/>
      <c r="AO1" s="5791"/>
      <c r="AP1" s="5791"/>
      <c r="AQ1" s="5791"/>
      <c r="AR1" s="5791"/>
      <c r="AS1" s="5791"/>
      <c r="AT1" s="5791"/>
      <c r="AU1" s="5792"/>
      <c r="AV1" s="5792"/>
      <c r="AW1" s="5792"/>
      <c r="AX1" s="5792"/>
      <c r="AY1" s="5792"/>
      <c r="AZ1" s="5792"/>
      <c r="BA1" s="5792"/>
      <c r="BB1" s="5792"/>
      <c r="BC1" s="5792"/>
      <c r="BD1" s="5792"/>
      <c r="BE1" s="5792"/>
      <c r="BF1" s="5792"/>
      <c r="BG1" s="5792"/>
      <c r="BH1" s="5792"/>
      <c r="BI1" s="5792"/>
      <c r="BJ1" s="5792"/>
      <c r="BK1" s="5792"/>
      <c r="BL1" s="5792"/>
      <c r="BM1" s="5792"/>
      <c r="BN1" s="5792"/>
      <c r="BO1" s="5792"/>
      <c r="BP1" s="5792"/>
      <c r="BQ1" s="5792"/>
      <c r="BR1" s="5792"/>
      <c r="BS1" s="5792"/>
      <c r="BT1" s="5792"/>
      <c r="BU1" s="5792"/>
      <c r="BV1" s="5792"/>
      <c r="BW1" s="5792"/>
      <c r="BX1" s="5792"/>
    </row>
    <row r="2" spans="1:76" ht="19.5" hidden="1" thickBot="1">
      <c r="A2" s="5828"/>
      <c r="B2" s="5828"/>
      <c r="C2" s="5828"/>
      <c r="D2" s="5828"/>
      <c r="E2" s="5828"/>
      <c r="F2" s="5828"/>
      <c r="G2" s="5828"/>
      <c r="H2" s="5828"/>
      <c r="I2" s="5828"/>
      <c r="J2" s="5828"/>
      <c r="K2" s="5828"/>
      <c r="L2" s="5828"/>
      <c r="M2" s="5828"/>
      <c r="N2" s="5828"/>
      <c r="O2" s="5828"/>
      <c r="P2" s="5828"/>
      <c r="Q2" s="5828"/>
      <c r="R2" s="5828"/>
      <c r="S2" s="5828"/>
      <c r="T2" s="5828"/>
      <c r="U2" s="5828"/>
      <c r="V2" s="5828"/>
      <c r="W2" s="5828"/>
      <c r="X2" s="5828"/>
      <c r="Y2" s="5828"/>
      <c r="Z2" s="5828"/>
      <c r="AA2" s="5828"/>
      <c r="AB2" s="5828"/>
      <c r="AC2" s="5828"/>
      <c r="AD2" s="5828"/>
      <c r="AE2" s="5828"/>
      <c r="AF2" s="5828"/>
      <c r="AG2" s="5828"/>
      <c r="AH2" s="5828"/>
      <c r="AI2" s="5828"/>
      <c r="AJ2" s="5828"/>
      <c r="AK2" s="5828"/>
      <c r="AL2" s="5828"/>
      <c r="AM2" s="5828"/>
      <c r="AN2" s="5828"/>
      <c r="AO2" s="5828"/>
      <c r="AP2" s="5828"/>
      <c r="AQ2" s="475"/>
      <c r="AR2" s="475"/>
      <c r="AS2" s="475"/>
      <c r="AT2" s="475"/>
      <c r="AU2" s="475"/>
      <c r="AV2" s="475"/>
      <c r="AW2" s="475"/>
      <c r="AX2" s="375"/>
      <c r="AY2" s="375"/>
      <c r="AZ2" s="375"/>
      <c r="BA2" s="375"/>
      <c r="BB2" s="375"/>
      <c r="BC2" s="375"/>
      <c r="BD2" s="375"/>
      <c r="BE2" s="375"/>
      <c r="BF2" s="375"/>
      <c r="BG2" s="375"/>
      <c r="BH2" s="375"/>
      <c r="BI2" s="375"/>
      <c r="BJ2" s="375"/>
      <c r="BK2" s="375"/>
      <c r="BL2" s="375"/>
      <c r="BM2" s="375"/>
      <c r="BN2" s="375"/>
      <c r="BO2" s="375"/>
      <c r="BP2" s="375"/>
      <c r="BQ2" s="375"/>
      <c r="BR2" s="375"/>
      <c r="BS2" s="375"/>
      <c r="BT2" s="375"/>
      <c r="BU2" s="375"/>
      <c r="BV2" s="375"/>
      <c r="BW2" s="375"/>
      <c r="BX2" s="375"/>
    </row>
    <row r="3" spans="1:76" ht="23.25" hidden="1" customHeight="1">
      <c r="A3" s="5822" t="s">
        <v>175</v>
      </c>
      <c r="B3" s="5825" t="s">
        <v>176</v>
      </c>
      <c r="C3" s="5840" t="s">
        <v>177</v>
      </c>
      <c r="D3" s="5841"/>
      <c r="E3" s="5842"/>
      <c r="F3" s="5858" t="s">
        <v>178</v>
      </c>
      <c r="G3" s="5859"/>
      <c r="H3" s="5859"/>
      <c r="I3" s="5832" t="s">
        <v>179</v>
      </c>
      <c r="J3" s="5832"/>
      <c r="K3" s="5832"/>
      <c r="L3" s="5832"/>
      <c r="M3" s="5840" t="s">
        <v>180</v>
      </c>
      <c r="N3" s="5841"/>
      <c r="O3" s="5842"/>
      <c r="P3" s="5840" t="s">
        <v>198</v>
      </c>
      <c r="Q3" s="5841"/>
      <c r="R3" s="5842"/>
      <c r="S3" s="5852" t="s">
        <v>199</v>
      </c>
      <c r="T3" s="5853"/>
      <c r="U3" s="5854"/>
      <c r="V3" s="5852" t="s">
        <v>200</v>
      </c>
      <c r="W3" s="5853"/>
      <c r="X3" s="5854"/>
      <c r="Y3" s="5852" t="s">
        <v>253</v>
      </c>
      <c r="Z3" s="5853"/>
      <c r="AA3" s="5854"/>
      <c r="AB3" s="5114" t="s">
        <v>201</v>
      </c>
      <c r="AC3" s="5115"/>
      <c r="AD3" s="5115"/>
      <c r="AE3" s="5115"/>
      <c r="AF3" s="5116"/>
      <c r="AG3" s="5332" t="s">
        <v>181</v>
      </c>
      <c r="AH3" s="5333"/>
      <c r="AI3" s="5333"/>
      <c r="AJ3" s="5333"/>
      <c r="AK3" s="5334"/>
      <c r="AL3" s="5114" t="s">
        <v>234</v>
      </c>
      <c r="AM3" s="5115"/>
      <c r="AN3" s="5115"/>
      <c r="AO3" s="5115"/>
      <c r="AP3" s="5116"/>
      <c r="AQ3" s="2204"/>
      <c r="AR3" s="2204"/>
      <c r="AS3" s="2204"/>
      <c r="AT3" s="2204"/>
      <c r="AU3" s="5114" t="s">
        <v>235</v>
      </c>
      <c r="AV3" s="5115"/>
      <c r="AW3" s="5116"/>
      <c r="AX3" s="5114" t="s">
        <v>365</v>
      </c>
      <c r="AY3" s="5115"/>
      <c r="AZ3" s="5116"/>
      <c r="BA3" s="5114" t="s">
        <v>381</v>
      </c>
      <c r="BB3" s="5115"/>
      <c r="BC3" s="5115"/>
      <c r="BD3" s="5837" t="s">
        <v>389</v>
      </c>
      <c r="BE3" s="1256"/>
      <c r="BF3" s="1256"/>
      <c r="BG3" s="1256"/>
      <c r="BH3" s="1256"/>
      <c r="BI3" s="1256"/>
      <c r="BJ3" s="1256"/>
      <c r="BK3" s="1256"/>
      <c r="BL3" s="1256"/>
      <c r="BM3" s="1256"/>
      <c r="BN3" s="1256"/>
      <c r="BO3" s="1256"/>
      <c r="BP3" s="1256"/>
      <c r="BQ3" s="1256"/>
      <c r="BR3" s="1256"/>
      <c r="BS3" s="1256"/>
      <c r="BT3" s="1256"/>
      <c r="BU3" s="1256"/>
      <c r="BV3" s="1256"/>
      <c r="BW3" s="1256"/>
      <c r="BX3" s="1256"/>
    </row>
    <row r="4" spans="1:76" ht="22.5" hidden="1" customHeight="1">
      <c r="A4" s="5823"/>
      <c r="B4" s="5826"/>
      <c r="C4" s="5843"/>
      <c r="D4" s="5844"/>
      <c r="E4" s="5845"/>
      <c r="F4" s="5860"/>
      <c r="G4" s="5861"/>
      <c r="H4" s="5861"/>
      <c r="I4" s="476"/>
      <c r="J4" s="476"/>
      <c r="K4" s="476"/>
      <c r="L4" s="477"/>
      <c r="M4" s="5843"/>
      <c r="N4" s="5844"/>
      <c r="O4" s="5845"/>
      <c r="P4" s="5843"/>
      <c r="Q4" s="5844"/>
      <c r="R4" s="5845"/>
      <c r="S4" s="5855"/>
      <c r="T4" s="5856"/>
      <c r="U4" s="5857"/>
      <c r="V4" s="5855"/>
      <c r="W4" s="5856"/>
      <c r="X4" s="5857"/>
      <c r="Y4" s="5855"/>
      <c r="Z4" s="5856"/>
      <c r="AA4" s="5857"/>
      <c r="AB4" s="5819"/>
      <c r="AC4" s="5820"/>
      <c r="AD4" s="5820"/>
      <c r="AE4" s="5820"/>
      <c r="AF4" s="5821"/>
      <c r="AG4" s="5722" t="s">
        <v>182</v>
      </c>
      <c r="AH4" s="5378" t="s">
        <v>183</v>
      </c>
      <c r="AI4" s="5378"/>
      <c r="AJ4" s="5378" t="s">
        <v>184</v>
      </c>
      <c r="AK4" s="5833"/>
      <c r="AL4" s="5819"/>
      <c r="AM4" s="5820"/>
      <c r="AN4" s="5820"/>
      <c r="AO4" s="5820"/>
      <c r="AP4" s="5821"/>
      <c r="AQ4" s="2205"/>
      <c r="AR4" s="2205"/>
      <c r="AS4" s="2205"/>
      <c r="AT4" s="2205"/>
      <c r="AU4" s="5819"/>
      <c r="AV4" s="5820"/>
      <c r="AW4" s="5821"/>
      <c r="AX4" s="5819"/>
      <c r="AY4" s="5820"/>
      <c r="AZ4" s="5821"/>
      <c r="BA4" s="5819"/>
      <c r="BB4" s="5820"/>
      <c r="BC4" s="5820"/>
      <c r="BD4" s="5838"/>
      <c r="BE4" s="1256"/>
      <c r="BF4" s="1256"/>
      <c r="BG4" s="1256"/>
      <c r="BH4" s="1256"/>
      <c r="BI4" s="1256"/>
      <c r="BJ4" s="1256"/>
      <c r="BK4" s="1256"/>
      <c r="BL4" s="1256"/>
      <c r="BM4" s="1256"/>
      <c r="BN4" s="1256"/>
      <c r="BO4" s="1256"/>
      <c r="BP4" s="1256"/>
      <c r="BQ4" s="1256"/>
      <c r="BR4" s="1256"/>
      <c r="BS4" s="1256"/>
      <c r="BT4" s="1256"/>
      <c r="BU4" s="1256"/>
      <c r="BV4" s="1256"/>
      <c r="BW4" s="1256"/>
      <c r="BX4" s="1256"/>
    </row>
    <row r="5" spans="1:76" ht="63" hidden="1" customHeight="1">
      <c r="A5" s="5824"/>
      <c r="B5" s="5827"/>
      <c r="C5" s="2179" t="s">
        <v>182</v>
      </c>
      <c r="D5" s="2202" t="s">
        <v>185</v>
      </c>
      <c r="E5" s="2203" t="s">
        <v>186</v>
      </c>
      <c r="F5" s="2217" t="s">
        <v>182</v>
      </c>
      <c r="G5" s="2218" t="s">
        <v>185</v>
      </c>
      <c r="H5" s="2219" t="s">
        <v>186</v>
      </c>
      <c r="I5" s="2179" t="s">
        <v>182</v>
      </c>
      <c r="J5" s="2202" t="s">
        <v>185</v>
      </c>
      <c r="K5" s="2202" t="s">
        <v>187</v>
      </c>
      <c r="L5" s="2203" t="s">
        <v>186</v>
      </c>
      <c r="M5" s="2178" t="s">
        <v>182</v>
      </c>
      <c r="N5" s="2202" t="s">
        <v>185</v>
      </c>
      <c r="O5" s="2220" t="s">
        <v>186</v>
      </c>
      <c r="P5" s="2178" t="s">
        <v>182</v>
      </c>
      <c r="Q5" s="2221" t="s">
        <v>185</v>
      </c>
      <c r="R5" s="2220" t="s">
        <v>186</v>
      </c>
      <c r="S5" s="2222" t="s">
        <v>182</v>
      </c>
      <c r="T5" s="2223" t="s">
        <v>185</v>
      </c>
      <c r="U5" s="2224" t="s">
        <v>186</v>
      </c>
      <c r="V5" s="2225" t="s">
        <v>182</v>
      </c>
      <c r="W5" s="2223" t="s">
        <v>185</v>
      </c>
      <c r="X5" s="2224" t="s">
        <v>186</v>
      </c>
      <c r="Y5" s="2222" t="s">
        <v>182</v>
      </c>
      <c r="Z5" s="2223" t="s">
        <v>185</v>
      </c>
      <c r="AA5" s="2224" t="s">
        <v>186</v>
      </c>
      <c r="AB5" s="2226" t="s">
        <v>182</v>
      </c>
      <c r="AC5" s="2150" t="s">
        <v>185</v>
      </c>
      <c r="AD5" s="2227" t="s">
        <v>209</v>
      </c>
      <c r="AE5" s="2227" t="s">
        <v>210</v>
      </c>
      <c r="AF5" s="2151" t="s">
        <v>186</v>
      </c>
      <c r="AG5" s="5083"/>
      <c r="AH5" s="2150" t="s">
        <v>188</v>
      </c>
      <c r="AI5" s="2150" t="s">
        <v>189</v>
      </c>
      <c r="AJ5" s="2150" t="s">
        <v>190</v>
      </c>
      <c r="AK5" s="2151" t="s">
        <v>191</v>
      </c>
      <c r="AL5" s="2226" t="s">
        <v>182</v>
      </c>
      <c r="AM5" s="2150" t="s">
        <v>185</v>
      </c>
      <c r="AN5" s="2227" t="s">
        <v>209</v>
      </c>
      <c r="AO5" s="2227" t="s">
        <v>210</v>
      </c>
      <c r="AP5" s="2151" t="s">
        <v>186</v>
      </c>
      <c r="AQ5" s="2228"/>
      <c r="AR5" s="2228"/>
      <c r="AS5" s="2228"/>
      <c r="AT5" s="2228"/>
      <c r="AU5" s="2226" t="s">
        <v>182</v>
      </c>
      <c r="AV5" s="2150" t="s">
        <v>185</v>
      </c>
      <c r="AW5" s="2151" t="s">
        <v>186</v>
      </c>
      <c r="AX5" s="2226" t="s">
        <v>182</v>
      </c>
      <c r="AY5" s="2150" t="s">
        <v>185</v>
      </c>
      <c r="AZ5" s="2151" t="s">
        <v>186</v>
      </c>
      <c r="BA5" s="2226" t="s">
        <v>182</v>
      </c>
      <c r="BB5" s="2150" t="s">
        <v>185</v>
      </c>
      <c r="BC5" s="2227" t="s">
        <v>186</v>
      </c>
      <c r="BD5" s="5839"/>
      <c r="BE5" s="1256"/>
      <c r="BF5" s="1256"/>
      <c r="BG5" s="1256"/>
      <c r="BH5" s="1256"/>
      <c r="BI5" s="1256"/>
      <c r="BJ5" s="1256"/>
      <c r="BK5" s="1256"/>
      <c r="BL5" s="1256"/>
      <c r="BM5" s="1256"/>
      <c r="BN5" s="1256"/>
      <c r="BO5" s="1256"/>
      <c r="BP5" s="1256"/>
      <c r="BQ5" s="1256"/>
      <c r="BR5" s="1256"/>
      <c r="BS5" s="1256"/>
      <c r="BT5" s="1256"/>
      <c r="BU5" s="1256"/>
      <c r="BV5" s="1256"/>
      <c r="BW5" s="1256"/>
      <c r="BX5" s="1256"/>
    </row>
    <row r="6" spans="1:76" ht="18.75" hidden="1">
      <c r="A6" s="490"/>
      <c r="B6" s="419"/>
      <c r="C6" s="491"/>
      <c r="D6" s="417"/>
      <c r="E6" s="419"/>
      <c r="F6" s="492"/>
      <c r="G6" s="493"/>
      <c r="H6" s="494"/>
      <c r="I6" s="495"/>
      <c r="J6" s="417"/>
      <c r="K6" s="417"/>
      <c r="L6" s="496"/>
      <c r="M6" s="497"/>
      <c r="N6" s="498"/>
      <c r="O6" s="499"/>
      <c r="P6" s="500"/>
      <c r="Q6" s="2229"/>
      <c r="R6" s="500"/>
      <c r="S6" s="501"/>
      <c r="T6" s="502"/>
      <c r="U6" s="503"/>
      <c r="V6" s="504"/>
      <c r="W6" s="502"/>
      <c r="X6" s="503"/>
      <c r="Y6" s="501"/>
      <c r="Z6" s="502"/>
      <c r="AA6" s="503"/>
      <c r="AB6" s="2181"/>
      <c r="AC6" s="2180"/>
      <c r="AD6" s="2186"/>
      <c r="AE6" s="2186"/>
      <c r="AF6" s="2183"/>
      <c r="AG6" s="2181"/>
      <c r="AH6" s="2180"/>
      <c r="AI6" s="2180"/>
      <c r="AJ6" s="2180"/>
      <c r="AK6" s="509"/>
      <c r="AL6" s="2181"/>
      <c r="AM6" s="2180"/>
      <c r="AN6" s="2186"/>
      <c r="AO6" s="2186"/>
      <c r="AP6" s="2183"/>
      <c r="AQ6" s="1245"/>
      <c r="AR6" s="1245"/>
      <c r="AS6" s="1245"/>
      <c r="AT6" s="1245"/>
      <c r="AU6" s="2181"/>
      <c r="AV6" s="2180"/>
      <c r="AW6" s="2183"/>
      <c r="AX6" s="2181"/>
      <c r="AY6" s="2180"/>
      <c r="AZ6" s="2183"/>
      <c r="BA6" s="2181"/>
      <c r="BB6" s="2180"/>
      <c r="BC6" s="2186"/>
      <c r="BD6" s="510"/>
      <c r="BE6" s="1257"/>
      <c r="BF6" s="1257"/>
      <c r="BG6" s="1257"/>
      <c r="BH6" s="1257"/>
      <c r="BI6" s="1257"/>
      <c r="BJ6" s="1257"/>
      <c r="BK6" s="1257"/>
      <c r="BL6" s="1257"/>
      <c r="BM6" s="1257"/>
      <c r="BN6" s="1257"/>
      <c r="BO6" s="1257"/>
      <c r="BP6" s="1257"/>
      <c r="BQ6" s="1257"/>
      <c r="BR6" s="1257"/>
      <c r="BS6" s="1257"/>
      <c r="BT6" s="1257"/>
      <c r="BU6" s="1257"/>
      <c r="BV6" s="1257"/>
      <c r="BW6" s="1257"/>
      <c r="BX6" s="1257"/>
    </row>
    <row r="7" spans="1:76" ht="56.25" hidden="1">
      <c r="A7" s="2230" t="s">
        <v>192</v>
      </c>
      <c r="B7" s="2231" t="s">
        <v>204</v>
      </c>
      <c r="C7" s="2232">
        <v>840</v>
      </c>
      <c r="D7" s="2233">
        <v>12146</v>
      </c>
      <c r="E7" s="2234">
        <v>122429.8</v>
      </c>
      <c r="F7" s="2235">
        <f>F8+F9</f>
        <v>813</v>
      </c>
      <c r="G7" s="2236">
        <f>(G8*F8+G9*F9)/(F8+F9)</f>
        <v>12443.442804428045</v>
      </c>
      <c r="H7" s="2237">
        <f>H9+H8</f>
        <v>121398.228</v>
      </c>
      <c r="I7" s="2238">
        <v>799</v>
      </c>
      <c r="J7" s="2233">
        <v>13361</v>
      </c>
      <c r="K7" s="2239">
        <f>J7/G7</f>
        <v>1.07373820975377</v>
      </c>
      <c r="L7" s="2240">
        <v>128108.9</v>
      </c>
      <c r="M7" s="2238">
        <f>M8+M9+M10+M11</f>
        <v>155.5</v>
      </c>
      <c r="N7" s="2233">
        <f>O7/M7/12*1000</f>
        <v>17474.049303322616</v>
      </c>
      <c r="O7" s="2234">
        <f>O8+O9+O10+O11</f>
        <v>32606.576000000001</v>
      </c>
      <c r="P7" s="2241">
        <f>SUM(P8:P11)</f>
        <v>150</v>
      </c>
      <c r="Q7" s="2242">
        <f>R7/P7/12*1000</f>
        <v>20234.871111111108</v>
      </c>
      <c r="R7" s="2241">
        <f>SUM(R8:R11)</f>
        <v>36422.767999999996</v>
      </c>
      <c r="S7" s="2243">
        <f>S8+S9+S10+S11</f>
        <v>155</v>
      </c>
      <c r="T7" s="2244">
        <f>U7/S7/12*1000</f>
        <v>8717.967741935483</v>
      </c>
      <c r="U7" s="2245">
        <f>U8+U9+U10+U11</f>
        <v>16215.419999999998</v>
      </c>
      <c r="V7" s="2246">
        <f>V8+V9+V10+V11</f>
        <v>149</v>
      </c>
      <c r="W7" s="2244">
        <f>X7/V7/12*1000</f>
        <v>8464.3176733780765</v>
      </c>
      <c r="X7" s="2247">
        <f>X8+X9</f>
        <v>15134.2</v>
      </c>
      <c r="Y7" s="2248">
        <f>Y8+Y9+Y10+Y11</f>
        <v>155</v>
      </c>
      <c r="Z7" s="2249">
        <f>AA7/Y7/12*1000</f>
        <v>19376.075268817203</v>
      </c>
      <c r="AA7" s="2250">
        <f>AA8+AA9+AA10+AA11</f>
        <v>36039.5</v>
      </c>
      <c r="AB7" s="2248">
        <f>AB8+AB9+AB10+AB11</f>
        <v>155</v>
      </c>
      <c r="AC7" s="2249">
        <f>AF7/AB7/12*1000</f>
        <v>24645.696774193548</v>
      </c>
      <c r="AD7" s="2251">
        <f>AC7/T7*100</f>
        <v>282.70002257110826</v>
      </c>
      <c r="AE7" s="2251">
        <f>AC7/Z7*100</f>
        <v>127.19653713286812</v>
      </c>
      <c r="AF7" s="2250">
        <f>AF8+AF9+AF10+AF11</f>
        <v>45840.995999999999</v>
      </c>
      <c r="AG7" s="2252">
        <f>AG8+AG9</f>
        <v>94</v>
      </c>
      <c r="AH7" s="2249">
        <f>AJ7/AG7/12*1000</f>
        <v>19182.659183059011</v>
      </c>
      <c r="AI7" s="2253">
        <f>AH7/Z7*100</f>
        <v>99.001778827369307</v>
      </c>
      <c r="AJ7" s="2254">
        <f>AJ8+AJ9</f>
        <v>21638.039558490564</v>
      </c>
      <c r="AK7" s="2255">
        <f>AJ7/U7*100</f>
        <v>133.44112923680402</v>
      </c>
      <c r="AL7" s="2248">
        <f>AL8+AL9+AL10+AL11</f>
        <v>155</v>
      </c>
      <c r="AM7" s="2249">
        <f>AP7/AL7/12*1000</f>
        <v>9336.943451612904</v>
      </c>
      <c r="AN7" s="2256">
        <f>AM7/T7*100</f>
        <v>107.10000000000002</v>
      </c>
      <c r="AO7" s="2251">
        <f>AM7/AJ7*100</f>
        <v>43.150597938292314</v>
      </c>
      <c r="AP7" s="2250">
        <f>AP8+AP9+AP10+AP11</f>
        <v>17366.714820000001</v>
      </c>
      <c r="AQ7" s="2257"/>
      <c r="AR7" s="2257"/>
      <c r="AS7" s="2257"/>
      <c r="AT7" s="2257"/>
      <c r="AU7" s="2248">
        <f>AU8+AU9+AU10+AU11</f>
        <v>151</v>
      </c>
      <c r="AV7" s="2249">
        <f>AW7/AU7/9*1000</f>
        <v>22518.469462840323</v>
      </c>
      <c r="AW7" s="2250">
        <f>AW8+AW9+AW10+AW11</f>
        <v>30602.6</v>
      </c>
      <c r="AX7" s="2248">
        <f>AX8+AX9+AX10+AX11</f>
        <v>151</v>
      </c>
      <c r="AY7" s="2249">
        <f>AZ7/AX7/3*1000</f>
        <v>25066.88741721855</v>
      </c>
      <c r="AZ7" s="2250">
        <f>AZ8+AZ9+AZ10+AZ11</f>
        <v>11355.300000000001</v>
      </c>
      <c r="BA7" s="2248">
        <f>BA8+BA9+BA10+BA11</f>
        <v>150</v>
      </c>
      <c r="BB7" s="2249">
        <f>BC7/BA7/12*1000</f>
        <v>22582.944444444442</v>
      </c>
      <c r="BC7" s="2258">
        <f>BC8+BC9+BC10+BC11</f>
        <v>40649.299999999996</v>
      </c>
      <c r="BD7" s="2259">
        <f>(M7+P7+Y7+BA7)/4</f>
        <v>152.625</v>
      </c>
      <c r="BE7" s="1258"/>
      <c r="BF7" s="1258"/>
      <c r="BG7" s="1258"/>
      <c r="BH7" s="1258"/>
      <c r="BI7" s="1258"/>
      <c r="BJ7" s="1258"/>
      <c r="BK7" s="1258"/>
      <c r="BL7" s="1258"/>
      <c r="BM7" s="1258"/>
      <c r="BN7" s="1258"/>
      <c r="BO7" s="1258"/>
      <c r="BP7" s="1258"/>
      <c r="BQ7" s="1258"/>
      <c r="BR7" s="1258"/>
      <c r="BS7" s="1258"/>
      <c r="BT7" s="1258"/>
      <c r="BU7" s="1258"/>
      <c r="BV7" s="1258"/>
      <c r="BW7" s="1258"/>
      <c r="BX7" s="1258"/>
    </row>
    <row r="8" spans="1:76" ht="18.75" hidden="1">
      <c r="A8" s="2260" t="s">
        <v>193</v>
      </c>
      <c r="B8" s="2261" t="s">
        <v>85</v>
      </c>
      <c r="C8" s="2262">
        <v>456</v>
      </c>
      <c r="D8" s="2263">
        <v>12405</v>
      </c>
      <c r="E8" s="2264">
        <v>67882.600000000006</v>
      </c>
      <c r="F8" s="2265">
        <v>444</v>
      </c>
      <c r="G8" s="2266">
        <v>12620</v>
      </c>
      <c r="H8" s="2267">
        <f>F8*G8*12/1000</f>
        <v>67239.360000000001</v>
      </c>
      <c r="I8" s="2268">
        <v>435</v>
      </c>
      <c r="J8" s="2263">
        <v>13646</v>
      </c>
      <c r="K8" s="2239">
        <f>J8/G8</f>
        <v>1.0812995245641839</v>
      </c>
      <c r="L8" s="2269">
        <v>71232.100000000006</v>
      </c>
      <c r="M8" s="2268">
        <v>26</v>
      </c>
      <c r="N8" s="2263">
        <f>O8/M8/12*1000</f>
        <v>16771.474358974359</v>
      </c>
      <c r="O8" s="2264">
        <v>5232.7</v>
      </c>
      <c r="P8" s="2270">
        <v>22</v>
      </c>
      <c r="Q8" s="2263">
        <v>20793</v>
      </c>
      <c r="R8" s="2271">
        <f>P8*Q8*12/1000</f>
        <v>5489.3519999999999</v>
      </c>
      <c r="S8" s="2272">
        <v>26.5</v>
      </c>
      <c r="T8" s="2273">
        <f>U8/12/S8*1000</f>
        <v>1500.3144654088051</v>
      </c>
      <c r="U8" s="2274">
        <f>вода!I12</f>
        <v>477.1</v>
      </c>
      <c r="V8" s="2275">
        <v>22</v>
      </c>
      <c r="W8" s="2276">
        <f>X8/9/V8*1000</f>
        <v>17417.171717171717</v>
      </c>
      <c r="X8" s="2277">
        <v>3448.6</v>
      </c>
      <c r="Y8" s="2278">
        <v>26.5</v>
      </c>
      <c r="Z8" s="2276">
        <f>AA8/12/Y8*1000</f>
        <v>15450.943396226414</v>
      </c>
      <c r="AA8" s="2279">
        <v>4913.3999999999996</v>
      </c>
      <c r="AB8" s="2278">
        <v>26.5</v>
      </c>
      <c r="AC8" s="2276">
        <v>21852</v>
      </c>
      <c r="AD8" s="2280">
        <f t="shared" ref="AD8:AD17" si="0">AC8/T8*100</f>
        <v>1456.4946552085516</v>
      </c>
      <c r="AE8" s="2280">
        <f t="shared" ref="AE8:AE17" si="1">AC8/Z8*100</f>
        <v>141.42825741848824</v>
      </c>
      <c r="AF8" s="2279">
        <f>AB8*AC8*12/1000</f>
        <v>6948.9359999999997</v>
      </c>
      <c r="AG8" s="2278">
        <f>V8</f>
        <v>22</v>
      </c>
      <c r="AH8" s="2276">
        <f>Z8*1.051</f>
        <v>16238.94150943396</v>
      </c>
      <c r="AI8" s="2281">
        <f>AH8/Z8*100</f>
        <v>105.1</v>
      </c>
      <c r="AJ8" s="2282">
        <f>AH8*12*AG8/1000</f>
        <v>4287.0805584905647</v>
      </c>
      <c r="AK8" s="2283">
        <f>AJ8/U8*100</f>
        <v>898.57064734658661</v>
      </c>
      <c r="AL8" s="2278">
        <v>26.5</v>
      </c>
      <c r="AM8" s="2284">
        <f>T8*1.071</f>
        <v>1606.8367924528302</v>
      </c>
      <c r="AN8" s="2256">
        <f>AM8/T8*100</f>
        <v>107.1</v>
      </c>
      <c r="AO8" s="2285">
        <f>AM8/Z8*100</f>
        <v>10.399603126144829</v>
      </c>
      <c r="AP8" s="2279">
        <f>AL8*AM8*12/1000</f>
        <v>510.97410000000002</v>
      </c>
      <c r="AQ8" s="2286"/>
      <c r="AR8" s="2286"/>
      <c r="AS8" s="2286"/>
      <c r="AT8" s="2286"/>
      <c r="AU8" s="2278">
        <v>22</v>
      </c>
      <c r="AV8" s="2276">
        <f>AW8/9/AU8*1000</f>
        <v>21411.616161616163</v>
      </c>
      <c r="AW8" s="2279">
        <v>4239.5</v>
      </c>
      <c r="AX8" s="2278">
        <v>22</v>
      </c>
      <c r="AY8" s="2276">
        <f>AZ8/3/AX8*1000</f>
        <v>23621.21212121212</v>
      </c>
      <c r="AZ8" s="2279">
        <v>1559</v>
      </c>
      <c r="BA8" s="2278">
        <v>22</v>
      </c>
      <c r="BB8" s="2284">
        <f>BC8/BA8/12*1000</f>
        <v>21159.469696969696</v>
      </c>
      <c r="BC8" s="2287">
        <v>5586.1</v>
      </c>
      <c r="BD8" s="2259">
        <f>(M8+P8+Y8+BA8)/4</f>
        <v>24.125</v>
      </c>
      <c r="BE8" s="1258"/>
      <c r="BF8" s="1258"/>
      <c r="BG8" s="1258"/>
      <c r="BH8" s="1258"/>
      <c r="BI8" s="1258"/>
      <c r="BJ8" s="1258"/>
      <c r="BK8" s="1258"/>
      <c r="BL8" s="1258"/>
      <c r="BM8" s="1258"/>
      <c r="BN8" s="1258"/>
      <c r="BO8" s="1258"/>
      <c r="BP8" s="1258"/>
      <c r="BQ8" s="1258"/>
      <c r="BR8" s="1258"/>
      <c r="BS8" s="1258"/>
      <c r="BT8" s="1258"/>
      <c r="BU8" s="1258"/>
      <c r="BV8" s="1258"/>
      <c r="BW8" s="1258"/>
      <c r="BX8" s="1258"/>
    </row>
    <row r="9" spans="1:76" ht="18.75" hidden="1">
      <c r="A9" s="2260" t="s">
        <v>194</v>
      </c>
      <c r="B9" s="2261" t="s">
        <v>87</v>
      </c>
      <c r="C9" s="2262">
        <v>384</v>
      </c>
      <c r="D9" s="2263">
        <v>11838</v>
      </c>
      <c r="E9" s="2264">
        <v>54547.199999999997</v>
      </c>
      <c r="F9" s="2265">
        <v>369</v>
      </c>
      <c r="G9" s="2266">
        <v>12231</v>
      </c>
      <c r="H9" s="2267">
        <f>F9*G9*12/1000</f>
        <v>54158.868000000002</v>
      </c>
      <c r="I9" s="2268">
        <v>364</v>
      </c>
      <c r="J9" s="2263">
        <v>13021</v>
      </c>
      <c r="K9" s="2239">
        <f>J9/G9</f>
        <v>1.0645899762897555</v>
      </c>
      <c r="L9" s="2269">
        <v>56876.800000000003</v>
      </c>
      <c r="M9" s="2288">
        <v>71.5</v>
      </c>
      <c r="N9" s="2263">
        <f>O9/M9/12*1000</f>
        <v>16952.564102564102</v>
      </c>
      <c r="O9" s="2264">
        <v>14545.3</v>
      </c>
      <c r="P9" s="2270">
        <v>70</v>
      </c>
      <c r="Q9" s="2263">
        <f>R9/P9/12*1000</f>
        <v>18740.238095238095</v>
      </c>
      <c r="R9" s="2271">
        <v>15741.8</v>
      </c>
      <c r="S9" s="2272">
        <v>72.5</v>
      </c>
      <c r="T9" s="2273">
        <f>U9/S9/12*1000</f>
        <v>994.02298850574709</v>
      </c>
      <c r="U9" s="2274">
        <f>вода!I22</f>
        <v>864.8</v>
      </c>
      <c r="V9" s="2275">
        <v>72</v>
      </c>
      <c r="W9" s="2276">
        <f>X9/V9/12*1000</f>
        <v>13525</v>
      </c>
      <c r="X9" s="2277">
        <v>11685.6</v>
      </c>
      <c r="Y9" s="2278">
        <v>72.5</v>
      </c>
      <c r="Z9" s="2276">
        <f>AA9/12/72*1000</f>
        <v>19107.638888888891</v>
      </c>
      <c r="AA9" s="2279">
        <v>16509</v>
      </c>
      <c r="AB9" s="2278">
        <v>72.5</v>
      </c>
      <c r="AC9" s="2276">
        <v>23802</v>
      </c>
      <c r="AD9" s="2280">
        <f t="shared" si="0"/>
        <v>2394.5120259019427</v>
      </c>
      <c r="AE9" s="2280">
        <f t="shared" si="1"/>
        <v>124.56798110121751</v>
      </c>
      <c r="AF9" s="2279">
        <f>AB9*AC9*12/1000</f>
        <v>20707.740000000002</v>
      </c>
      <c r="AG9" s="2278">
        <f>V9</f>
        <v>72</v>
      </c>
      <c r="AH9" s="2276">
        <f>Z9*1.051</f>
        <v>20082.128472222223</v>
      </c>
      <c r="AI9" s="2281">
        <f>AH9/Z9*100</f>
        <v>105.1</v>
      </c>
      <c r="AJ9" s="2282">
        <f>AH9*12*AG9/1000</f>
        <v>17350.958999999999</v>
      </c>
      <c r="AK9" s="2283">
        <f>AJ9/U9*100</f>
        <v>2006.3551110083256</v>
      </c>
      <c r="AL9" s="2278">
        <v>72.5</v>
      </c>
      <c r="AM9" s="2284">
        <f>T9*1.071</f>
        <v>1064.598620689655</v>
      </c>
      <c r="AN9" s="2256">
        <f>AM9/T9*100</f>
        <v>107.1</v>
      </c>
      <c r="AO9" s="2285">
        <f t="shared" ref="AO9:AO17" si="2">AM9/Z9*100</f>
        <v>5.5715864575435328</v>
      </c>
      <c r="AP9" s="2279">
        <f>AL9*AM9*12/1000</f>
        <v>926.20079999999996</v>
      </c>
      <c r="AQ9" s="2286"/>
      <c r="AR9" s="2286"/>
      <c r="AS9" s="2286"/>
      <c r="AT9" s="2286"/>
      <c r="AU9" s="2278">
        <v>72</v>
      </c>
      <c r="AV9" s="2276">
        <f>AW9/9/AU9*1000</f>
        <v>21503.703703703704</v>
      </c>
      <c r="AW9" s="2279">
        <v>13934.4</v>
      </c>
      <c r="AX9" s="2278">
        <v>72</v>
      </c>
      <c r="AY9" s="2276">
        <f>AZ9/3/AX9*1000</f>
        <v>23650.925925925927</v>
      </c>
      <c r="AZ9" s="2279">
        <v>5108.6000000000004</v>
      </c>
      <c r="BA9" s="2278">
        <v>72</v>
      </c>
      <c r="BB9" s="2284">
        <f>BC9/BA9/12*1000</f>
        <v>21402.199074074077</v>
      </c>
      <c r="BC9" s="2287">
        <v>18491.5</v>
      </c>
      <c r="BD9" s="2259">
        <f>(M9+P9+Y9+BA9)/4</f>
        <v>71.5</v>
      </c>
      <c r="BE9" s="1258"/>
      <c r="BF9" s="1258"/>
      <c r="BG9" s="1258"/>
      <c r="BH9" s="1258"/>
      <c r="BI9" s="1258"/>
      <c r="BJ9" s="1258"/>
      <c r="BK9" s="1258"/>
      <c r="BL9" s="1258"/>
      <c r="BM9" s="1258"/>
      <c r="BN9" s="1258"/>
      <c r="BO9" s="1258"/>
      <c r="BP9" s="1258"/>
      <c r="BQ9" s="1258"/>
      <c r="BR9" s="1258"/>
      <c r="BS9" s="1258"/>
      <c r="BT9" s="1258"/>
      <c r="BU9" s="1258"/>
      <c r="BV9" s="1258"/>
      <c r="BW9" s="1258"/>
      <c r="BX9" s="1258"/>
    </row>
    <row r="10" spans="1:76" ht="18.75" hidden="1">
      <c r="A10" s="2260" t="s">
        <v>202</v>
      </c>
      <c r="B10" s="2261" t="s">
        <v>88</v>
      </c>
      <c r="C10" s="2262"/>
      <c r="D10" s="2263"/>
      <c r="E10" s="2264"/>
      <c r="F10" s="2265"/>
      <c r="G10" s="2266"/>
      <c r="H10" s="2267"/>
      <c r="I10" s="2268"/>
      <c r="J10" s="2263"/>
      <c r="K10" s="2239"/>
      <c r="L10" s="2269"/>
      <c r="M10" s="2268">
        <v>33</v>
      </c>
      <c r="N10" s="2263">
        <v>18981</v>
      </c>
      <c r="O10" s="2264">
        <f>M10*N10*12/1000</f>
        <v>7516.4759999999997</v>
      </c>
      <c r="P10" s="2289">
        <v>32</v>
      </c>
      <c r="Q10" s="2290">
        <v>21797</v>
      </c>
      <c r="R10" s="2271">
        <f>P10*Q10*12/1000</f>
        <v>8370.0480000000007</v>
      </c>
      <c r="S10" s="2272">
        <v>31</v>
      </c>
      <c r="T10" s="2080">
        <v>23385</v>
      </c>
      <c r="U10" s="2274">
        <f>S10*T10*12/1000</f>
        <v>8699.2199999999993</v>
      </c>
      <c r="V10" s="2275">
        <v>30</v>
      </c>
      <c r="W10" s="2276">
        <v>21786</v>
      </c>
      <c r="X10" s="2277">
        <f>V10*W10*9/1000</f>
        <v>5882.22</v>
      </c>
      <c r="Y10" s="2278">
        <v>31</v>
      </c>
      <c r="Z10" s="2276">
        <v>24160</v>
      </c>
      <c r="AA10" s="2279">
        <v>8778.6</v>
      </c>
      <c r="AB10" s="2278">
        <v>31</v>
      </c>
      <c r="AC10" s="2276">
        <v>28610</v>
      </c>
      <c r="AD10" s="2280">
        <f t="shared" si="0"/>
        <v>122.34338251015609</v>
      </c>
      <c r="AE10" s="2280">
        <f t="shared" si="1"/>
        <v>118.41887417218544</v>
      </c>
      <c r="AF10" s="2279">
        <f>AB10*AC10*12/1000</f>
        <v>10642.92</v>
      </c>
      <c r="AG10" s="2278"/>
      <c r="AH10" s="2276"/>
      <c r="AI10" s="2281"/>
      <c r="AJ10" s="2282"/>
      <c r="AK10" s="2283"/>
      <c r="AL10" s="2278">
        <v>31</v>
      </c>
      <c r="AM10" s="2284">
        <f>T10*1.071</f>
        <v>25045.334999999999</v>
      </c>
      <c r="AN10" s="2256">
        <f>AM10/T10*100</f>
        <v>107.1</v>
      </c>
      <c r="AO10" s="2285">
        <f t="shared" si="2"/>
        <v>103.66446605960265</v>
      </c>
      <c r="AP10" s="2279">
        <f>AL10*AM10*12/1000</f>
        <v>9316.8646200000003</v>
      </c>
      <c r="AQ10" s="2286"/>
      <c r="AR10" s="2286"/>
      <c r="AS10" s="2286"/>
      <c r="AT10" s="2286"/>
      <c r="AU10" s="2278">
        <v>32</v>
      </c>
      <c r="AV10" s="2276">
        <f>AW10/9/AU10*1000</f>
        <v>25180.902777777777</v>
      </c>
      <c r="AW10" s="2279">
        <v>7252.1</v>
      </c>
      <c r="AX10" s="2278">
        <v>32</v>
      </c>
      <c r="AY10" s="2276">
        <f>AZ10/3/AX10*1000</f>
        <v>28734.375</v>
      </c>
      <c r="AZ10" s="2279">
        <v>2758.5</v>
      </c>
      <c r="BA10" s="2278">
        <v>31</v>
      </c>
      <c r="BB10" s="2284">
        <f>BC10/BA10/12*1000</f>
        <v>26139.247311827956</v>
      </c>
      <c r="BC10" s="2287">
        <v>9723.7999999999993</v>
      </c>
      <c r="BD10" s="2259">
        <f>(M10+P10+Y10+BA10)/4</f>
        <v>31.75</v>
      </c>
      <c r="BE10" s="1258"/>
      <c r="BF10" s="1258"/>
      <c r="BG10" s="1258"/>
      <c r="BH10" s="1258"/>
      <c r="BI10" s="1258"/>
      <c r="BJ10" s="1258"/>
      <c r="BK10" s="1258"/>
      <c r="BL10" s="1258"/>
      <c r="BM10" s="1258"/>
      <c r="BN10" s="1258"/>
      <c r="BO10" s="1258"/>
      <c r="BP10" s="1258"/>
      <c r="BQ10" s="1258"/>
      <c r="BR10" s="1258"/>
      <c r="BS10" s="1258"/>
      <c r="BT10" s="1258"/>
      <c r="BU10" s="1258"/>
      <c r="BV10" s="1258"/>
      <c r="BW10" s="1258"/>
      <c r="BX10" s="1258"/>
    </row>
    <row r="11" spans="1:76" ht="18.75" hidden="1">
      <c r="A11" s="2260" t="s">
        <v>203</v>
      </c>
      <c r="B11" s="2261" t="s">
        <v>89</v>
      </c>
      <c r="C11" s="2262"/>
      <c r="D11" s="2263"/>
      <c r="E11" s="2264"/>
      <c r="F11" s="2265"/>
      <c r="G11" s="2266"/>
      <c r="H11" s="2267"/>
      <c r="I11" s="2268"/>
      <c r="J11" s="2263"/>
      <c r="K11" s="2239"/>
      <c r="L11" s="2269"/>
      <c r="M11" s="2268">
        <v>25</v>
      </c>
      <c r="N11" s="2263">
        <v>17707</v>
      </c>
      <c r="O11" s="2264">
        <f>M11*N11*12/1000</f>
        <v>5312.1</v>
      </c>
      <c r="P11" s="2289">
        <v>26</v>
      </c>
      <c r="Q11" s="2290">
        <v>21864</v>
      </c>
      <c r="R11" s="2271">
        <f>P11*Q11*12/1000</f>
        <v>6821.5680000000002</v>
      </c>
      <c r="S11" s="2272">
        <v>25</v>
      </c>
      <c r="T11" s="2080">
        <v>20581</v>
      </c>
      <c r="U11" s="2274">
        <f>S11*T11*12/1000</f>
        <v>6174.3</v>
      </c>
      <c r="V11" s="2275">
        <v>25</v>
      </c>
      <c r="W11" s="2276">
        <v>18220</v>
      </c>
      <c r="X11" s="2277">
        <f>V11*W11*9/1000</f>
        <v>4099.5</v>
      </c>
      <c r="Y11" s="2278">
        <v>25</v>
      </c>
      <c r="Z11" s="2276">
        <v>20570</v>
      </c>
      <c r="AA11" s="2279">
        <v>5838.5</v>
      </c>
      <c r="AB11" s="2278">
        <v>25</v>
      </c>
      <c r="AC11" s="2276">
        <v>25138</v>
      </c>
      <c r="AD11" s="2280">
        <f t="shared" si="0"/>
        <v>122.14178125455517</v>
      </c>
      <c r="AE11" s="2280">
        <f t="shared" si="1"/>
        <v>122.2070977151191</v>
      </c>
      <c r="AF11" s="2279">
        <f>AB11*AC11*12/1000</f>
        <v>7541.4</v>
      </c>
      <c r="AG11" s="2278"/>
      <c r="AH11" s="2276"/>
      <c r="AI11" s="2281"/>
      <c r="AJ11" s="2282"/>
      <c r="AK11" s="2283"/>
      <c r="AL11" s="2278">
        <v>25</v>
      </c>
      <c r="AM11" s="2284">
        <f>T11*1.071</f>
        <v>22042.251</v>
      </c>
      <c r="AN11" s="2256">
        <f>AM11/T11*100</f>
        <v>107.1</v>
      </c>
      <c r="AO11" s="2285">
        <f t="shared" si="2"/>
        <v>107.15727272727274</v>
      </c>
      <c r="AP11" s="2279">
        <f>AL11*AM11*12/1000</f>
        <v>6612.6753000000008</v>
      </c>
      <c r="AQ11" s="2286"/>
      <c r="AR11" s="2286"/>
      <c r="AS11" s="2286"/>
      <c r="AT11" s="2286"/>
      <c r="AU11" s="2278">
        <v>25</v>
      </c>
      <c r="AV11" s="2276">
        <f>AW11/9/AU11*1000</f>
        <v>23007.111111111113</v>
      </c>
      <c r="AW11" s="2279">
        <v>5176.6000000000004</v>
      </c>
      <c r="AX11" s="2278">
        <v>25</v>
      </c>
      <c r="AY11" s="2276">
        <f>AZ11/3/AX11*1000</f>
        <v>25722.666666666668</v>
      </c>
      <c r="AZ11" s="2279">
        <v>1929.2</v>
      </c>
      <c r="BA11" s="2278">
        <v>25</v>
      </c>
      <c r="BB11" s="2284">
        <f>BC11/BA11/12*1000</f>
        <v>22826.333333333336</v>
      </c>
      <c r="BC11" s="2287">
        <v>6847.9</v>
      </c>
      <c r="BD11" s="2259">
        <f>(M11+P11+Y11+BA11)/4</f>
        <v>25.25</v>
      </c>
      <c r="BE11" s="1258"/>
      <c r="BF11" s="1258"/>
      <c r="BG11" s="1258"/>
      <c r="BH11" s="1258"/>
      <c r="BI11" s="1258"/>
      <c r="BJ11" s="1258"/>
      <c r="BK11" s="1258"/>
      <c r="BL11" s="1258"/>
      <c r="BM11" s="1258"/>
      <c r="BN11" s="1258"/>
      <c r="BO11" s="1258"/>
      <c r="BP11" s="1258"/>
      <c r="BQ11" s="1258"/>
      <c r="BR11" s="1258"/>
      <c r="BS11" s="1258"/>
      <c r="BT11" s="1258"/>
      <c r="BU11" s="1258"/>
      <c r="BV11" s="1258"/>
      <c r="BW11" s="1258"/>
      <c r="BX11" s="1258"/>
    </row>
    <row r="12" spans="1:76" ht="18.75" hidden="1">
      <c r="A12" s="2260"/>
      <c r="B12" s="2261"/>
      <c r="C12" s="2262"/>
      <c r="D12" s="2263"/>
      <c r="E12" s="2264"/>
      <c r="F12" s="2265"/>
      <c r="G12" s="2266"/>
      <c r="H12" s="2267"/>
      <c r="I12" s="2268"/>
      <c r="J12" s="2263"/>
      <c r="K12" s="2239"/>
      <c r="L12" s="2269"/>
      <c r="M12" s="2268"/>
      <c r="N12" s="2263"/>
      <c r="O12" s="2264"/>
      <c r="P12" s="2271"/>
      <c r="Q12" s="2291"/>
      <c r="R12" s="2271"/>
      <c r="S12" s="2272"/>
      <c r="T12" s="2080"/>
      <c r="U12" s="2274"/>
      <c r="V12" s="2275"/>
      <c r="W12" s="2276"/>
      <c r="X12" s="2277"/>
      <c r="Y12" s="2278"/>
      <c r="Z12" s="2276"/>
      <c r="AA12" s="2279"/>
      <c r="AB12" s="2278"/>
      <c r="AC12" s="2276"/>
      <c r="AD12" s="2251"/>
      <c r="AE12" s="2280"/>
      <c r="AF12" s="2279"/>
      <c r="AG12" s="2278"/>
      <c r="AH12" s="2276"/>
      <c r="AI12" s="2281"/>
      <c r="AJ12" s="2282"/>
      <c r="AK12" s="2283"/>
      <c r="AL12" s="2278"/>
      <c r="AM12" s="2276"/>
      <c r="AN12" s="2256"/>
      <c r="AO12" s="2285"/>
      <c r="AP12" s="2279"/>
      <c r="AQ12" s="2286"/>
      <c r="AR12" s="2286"/>
      <c r="AS12" s="2286"/>
      <c r="AT12" s="2286"/>
      <c r="AU12" s="2278"/>
      <c r="AV12" s="563"/>
      <c r="AW12" s="2279"/>
      <c r="AX12" s="2278"/>
      <c r="AY12" s="563"/>
      <c r="AZ12" s="2279"/>
      <c r="BA12" s="2278"/>
      <c r="BB12" s="2276"/>
      <c r="BC12" s="2287"/>
      <c r="BD12" s="2259"/>
      <c r="BE12" s="1258"/>
      <c r="BF12" s="1258"/>
      <c r="BG12" s="1258"/>
      <c r="BH12" s="1258"/>
      <c r="BI12" s="1258"/>
      <c r="BJ12" s="1258"/>
      <c r="BK12" s="1258"/>
      <c r="BL12" s="1258"/>
      <c r="BM12" s="1258"/>
      <c r="BN12" s="1258"/>
      <c r="BO12" s="1258"/>
      <c r="BP12" s="1258"/>
      <c r="BQ12" s="1258"/>
      <c r="BR12" s="1258"/>
      <c r="BS12" s="1258"/>
      <c r="BT12" s="1258"/>
      <c r="BU12" s="1258"/>
      <c r="BV12" s="1258"/>
      <c r="BW12" s="1258"/>
      <c r="BX12" s="1258"/>
    </row>
    <row r="13" spans="1:76" ht="56.25" hidden="1">
      <c r="A13" s="2230" t="s">
        <v>195</v>
      </c>
      <c r="B13" s="2231" t="s">
        <v>205</v>
      </c>
      <c r="C13" s="2232">
        <v>840</v>
      </c>
      <c r="D13" s="2233">
        <v>12146</v>
      </c>
      <c r="E13" s="2234">
        <v>122429.8</v>
      </c>
      <c r="F13" s="2235">
        <f>F14+F15</f>
        <v>813</v>
      </c>
      <c r="G13" s="2236">
        <f>(G14*F14+G15*F15)/(F14+F15)</f>
        <v>12443.442804428045</v>
      </c>
      <c r="H13" s="2237">
        <f>H15+H14</f>
        <v>121398.228</v>
      </c>
      <c r="I13" s="2238">
        <v>799</v>
      </c>
      <c r="J13" s="2233">
        <v>13361</v>
      </c>
      <c r="K13" s="2239">
        <f>J13/G13</f>
        <v>1.07373820975377</v>
      </c>
      <c r="L13" s="2240">
        <v>128108.9</v>
      </c>
      <c r="M13" s="2238">
        <f>M14+M15+M16+M17</f>
        <v>109</v>
      </c>
      <c r="N13" s="2233">
        <f>O13/M13/12*1000</f>
        <v>18196.483180428135</v>
      </c>
      <c r="O13" s="2234">
        <f>O14+O15+O16+O17</f>
        <v>23801.000000000004</v>
      </c>
      <c r="P13" s="2241">
        <f>SUM(P14:P17)</f>
        <v>95</v>
      </c>
      <c r="Q13" s="2242">
        <f>R13/P13/12*1000</f>
        <v>21844.621052631581</v>
      </c>
      <c r="R13" s="2241">
        <f>SUM(R14:R17)</f>
        <v>24902.868000000002</v>
      </c>
      <c r="S13" s="2243">
        <f>S14+S15+S16+S17</f>
        <v>105</v>
      </c>
      <c r="T13" s="2244">
        <f>U13/S13/12*1000</f>
        <v>22144.31111111111</v>
      </c>
      <c r="U13" s="2245">
        <f>U14+U15+U16+U17</f>
        <v>27901.832000000002</v>
      </c>
      <c r="V13" s="2246">
        <f>V14+V15+V16+V17</f>
        <v>98</v>
      </c>
      <c r="W13" s="2244">
        <f>X13/V13/12*1000</f>
        <v>15199.064625850338</v>
      </c>
      <c r="X13" s="2247">
        <f>X14+X15+X16+X17</f>
        <v>17874.099999999999</v>
      </c>
      <c r="Y13" s="2292">
        <f>Y14+Y15+Y16+Y17</f>
        <v>94</v>
      </c>
      <c r="Z13" s="2293">
        <f>AA13/Y13/12*1000</f>
        <v>22720.301418439718</v>
      </c>
      <c r="AA13" s="2294">
        <f>AA14+AA15+AA16+AA17</f>
        <v>25628.5</v>
      </c>
      <c r="AB13" s="2248">
        <f>AB14+AB15+AB16+AB17</f>
        <v>105</v>
      </c>
      <c r="AC13" s="2249">
        <f>AF13/AB13/12*1000</f>
        <v>27439.161904761906</v>
      </c>
      <c r="AD13" s="2251">
        <f t="shared" si="0"/>
        <v>123.91065934308546</v>
      </c>
      <c r="AE13" s="2280">
        <f t="shared" si="1"/>
        <v>120.76935688226555</v>
      </c>
      <c r="AF13" s="2250">
        <f>AF14+AF15+AF16+AF17</f>
        <v>34573.344000000005</v>
      </c>
      <c r="AG13" s="2278"/>
      <c r="AH13" s="2276"/>
      <c r="AI13" s="2281"/>
      <c r="AJ13" s="2282"/>
      <c r="AK13" s="2283"/>
      <c r="AL13" s="2248">
        <f>AL14+AL15+AL16+AL17</f>
        <v>105</v>
      </c>
      <c r="AM13" s="2249">
        <f>AP13/AL13/12*1000</f>
        <v>23716.557199999999</v>
      </c>
      <c r="AN13" s="2256">
        <f>AM13/T13*100</f>
        <v>107.1</v>
      </c>
      <c r="AO13" s="2285">
        <f t="shared" si="2"/>
        <v>104.38487044345162</v>
      </c>
      <c r="AP13" s="2250">
        <f>AP14+AP15+AP16+AP17</f>
        <v>29882.862072</v>
      </c>
      <c r="AQ13" s="2257"/>
      <c r="AR13" s="2257"/>
      <c r="AS13" s="2257"/>
      <c r="AT13" s="2257"/>
      <c r="AU13" s="2248">
        <f>AU14+AU15+AU16+AU17</f>
        <v>98</v>
      </c>
      <c r="AV13" s="2249">
        <f>AW13/AU13/9*1000</f>
        <v>24623.582766439908</v>
      </c>
      <c r="AW13" s="2250">
        <f>AW14+AW15+AW16+AW17</f>
        <v>21717.999999999996</v>
      </c>
      <c r="AX13" s="2248">
        <f>AX14+AX15+AX16+AX17</f>
        <v>98</v>
      </c>
      <c r="AY13" s="2249">
        <f>AZ13/AX13/3*1000</f>
        <v>27260.884353741498</v>
      </c>
      <c r="AZ13" s="2250">
        <f>AZ14+AZ15+AZ16+AZ17</f>
        <v>8014.7000000000007</v>
      </c>
      <c r="BA13" s="2248">
        <f>BA14+BA15+BA16+BA17</f>
        <v>98</v>
      </c>
      <c r="BB13" s="2249">
        <f>BC13/BA13/12*1000</f>
        <v>24748.639455782311</v>
      </c>
      <c r="BC13" s="2258">
        <f>BC14+BC15+BC16+BC17</f>
        <v>29104.399999999998</v>
      </c>
      <c r="BD13" s="2259">
        <f>(M13+P13+Y13+BA13)/4</f>
        <v>99</v>
      </c>
      <c r="BE13" s="1258"/>
      <c r="BF13" s="1258"/>
      <c r="BG13" s="1258"/>
      <c r="BH13" s="1258"/>
      <c r="BI13" s="1258"/>
      <c r="BJ13" s="1258"/>
      <c r="BK13" s="1258"/>
      <c r="BL13" s="1258"/>
      <c r="BM13" s="1258"/>
      <c r="BN13" s="1258"/>
      <c r="BO13" s="1258"/>
      <c r="BP13" s="1258"/>
      <c r="BQ13" s="1258"/>
      <c r="BR13" s="1258"/>
      <c r="BS13" s="1258"/>
      <c r="BT13" s="1258"/>
      <c r="BU13" s="1258"/>
      <c r="BV13" s="1258"/>
      <c r="BW13" s="1258"/>
      <c r="BX13" s="1258"/>
    </row>
    <row r="14" spans="1:76" ht="18.75" hidden="1">
      <c r="A14" s="2260" t="s">
        <v>196</v>
      </c>
      <c r="B14" s="2261" t="s">
        <v>91</v>
      </c>
      <c r="C14" s="2262">
        <v>456</v>
      </c>
      <c r="D14" s="2263">
        <v>12405</v>
      </c>
      <c r="E14" s="2264">
        <v>67882.600000000006</v>
      </c>
      <c r="F14" s="2265">
        <v>444</v>
      </c>
      <c r="G14" s="2266">
        <v>12620</v>
      </c>
      <c r="H14" s="2267">
        <f>F14*G14*12/1000</f>
        <v>67239.360000000001</v>
      </c>
      <c r="I14" s="2268">
        <v>435</v>
      </c>
      <c r="J14" s="2263">
        <v>13646</v>
      </c>
      <c r="K14" s="2239">
        <f>J14/G14</f>
        <v>1.0812995245641839</v>
      </c>
      <c r="L14" s="2269">
        <v>71232.100000000006</v>
      </c>
      <c r="M14" s="2268">
        <v>26</v>
      </c>
      <c r="N14" s="2263">
        <f>O14/M14/12*1000</f>
        <v>18108.974358974363</v>
      </c>
      <c r="O14" s="2264">
        <v>5650</v>
      </c>
      <c r="P14" s="2270">
        <v>26</v>
      </c>
      <c r="Q14" s="2263">
        <f>R14/P14/12*1000</f>
        <v>19295.833333333336</v>
      </c>
      <c r="R14" s="2271">
        <v>6020.3</v>
      </c>
      <c r="S14" s="2272">
        <v>30</v>
      </c>
      <c r="T14" s="2273">
        <f>U14/S14/12*1000</f>
        <v>18746.388888888887</v>
      </c>
      <c r="U14" s="2274">
        <v>6748.7</v>
      </c>
      <c r="V14" s="2275">
        <v>27</v>
      </c>
      <c r="W14" s="2273">
        <f>X14/V14/9*1000</f>
        <v>17960.905349794237</v>
      </c>
      <c r="X14" s="2277">
        <v>4364.5</v>
      </c>
      <c r="Y14" s="2278">
        <v>26</v>
      </c>
      <c r="Z14" s="2276">
        <f>AA14/12/Y14*1000</f>
        <v>19381.410256410254</v>
      </c>
      <c r="AA14" s="2279">
        <v>6047</v>
      </c>
      <c r="AB14" s="2278">
        <v>30</v>
      </c>
      <c r="AC14" s="2276">
        <v>23903</v>
      </c>
      <c r="AD14" s="2280">
        <f t="shared" si="0"/>
        <v>127.50722361343666</v>
      </c>
      <c r="AE14" s="2280">
        <f t="shared" si="1"/>
        <v>123.32951876963784</v>
      </c>
      <c r="AF14" s="2279">
        <f>AB14*AC14*12/1000</f>
        <v>8605.08</v>
      </c>
      <c r="AG14" s="2278"/>
      <c r="AH14" s="2276"/>
      <c r="AI14" s="2281"/>
      <c r="AJ14" s="2282"/>
      <c r="AK14" s="2283"/>
      <c r="AL14" s="2278">
        <v>30</v>
      </c>
      <c r="AM14" s="2284">
        <f>T14*1.071</f>
        <v>20077.382499999996</v>
      </c>
      <c r="AN14" s="2256">
        <f>AM14/T14*100</f>
        <v>107.1</v>
      </c>
      <c r="AO14" s="2285">
        <f t="shared" si="2"/>
        <v>103.5909267405325</v>
      </c>
      <c r="AP14" s="2279">
        <f>AL14*AM14*12/1000</f>
        <v>7227.8576999999987</v>
      </c>
      <c r="AQ14" s="2286"/>
      <c r="AR14" s="2286"/>
      <c r="AS14" s="2286"/>
      <c r="AT14" s="2286"/>
      <c r="AU14" s="2278">
        <v>26</v>
      </c>
      <c r="AV14" s="2276">
        <f>AW14/9/AU14*1000</f>
        <v>22458.119658119656</v>
      </c>
      <c r="AW14" s="2279">
        <v>5255.2</v>
      </c>
      <c r="AX14" s="2278">
        <v>26</v>
      </c>
      <c r="AY14" s="2276">
        <f>AZ14/3/AX14*1000</f>
        <v>23894.871794871793</v>
      </c>
      <c r="AZ14" s="2279">
        <v>1863.8</v>
      </c>
      <c r="BA14" s="2278">
        <v>26</v>
      </c>
      <c r="BB14" s="2284">
        <f>BC14/12/BA14*1000</f>
        <v>22598.076923076926</v>
      </c>
      <c r="BC14" s="2287">
        <v>7050.6</v>
      </c>
      <c r="BD14" s="2259">
        <f>(M14+P14+Y14+BA14)/4</f>
        <v>26</v>
      </c>
      <c r="BE14" s="1258"/>
      <c r="BF14" s="1258"/>
      <c r="BG14" s="1258"/>
      <c r="BH14" s="1258"/>
      <c r="BI14" s="1258"/>
      <c r="BJ14" s="1258"/>
      <c r="BK14" s="1258"/>
      <c r="BL14" s="1258"/>
      <c r="BM14" s="1258"/>
      <c r="BN14" s="1258"/>
      <c r="BO14" s="1258"/>
      <c r="BP14" s="1258"/>
      <c r="BQ14" s="1258"/>
      <c r="BR14" s="1258"/>
      <c r="BS14" s="1258"/>
      <c r="BT14" s="1258"/>
      <c r="BU14" s="1258"/>
      <c r="BV14" s="1258"/>
      <c r="BW14" s="1258"/>
      <c r="BX14" s="1258"/>
    </row>
    <row r="15" spans="1:76" ht="18.75" hidden="1">
      <c r="A15" s="2260" t="s">
        <v>197</v>
      </c>
      <c r="B15" s="2261" t="s">
        <v>92</v>
      </c>
      <c r="C15" s="2262">
        <v>384</v>
      </c>
      <c r="D15" s="2263">
        <v>11838</v>
      </c>
      <c r="E15" s="2264">
        <v>54547.199999999997</v>
      </c>
      <c r="F15" s="2265">
        <v>369</v>
      </c>
      <c r="G15" s="2266">
        <v>12231</v>
      </c>
      <c r="H15" s="2267">
        <f>F15*G15*12/1000</f>
        <v>54158.868000000002</v>
      </c>
      <c r="I15" s="2268">
        <v>364</v>
      </c>
      <c r="J15" s="2263">
        <v>13021</v>
      </c>
      <c r="K15" s="2239">
        <f>J15/G15</f>
        <v>1.0645899762897555</v>
      </c>
      <c r="L15" s="2269">
        <v>56876.800000000003</v>
      </c>
      <c r="M15" s="2268">
        <v>60</v>
      </c>
      <c r="N15" s="2263">
        <v>19277</v>
      </c>
      <c r="O15" s="2264">
        <f>M15*N15*12/1000</f>
        <v>13879.44</v>
      </c>
      <c r="P15" s="2270">
        <v>48</v>
      </c>
      <c r="Q15" s="2263">
        <v>22603</v>
      </c>
      <c r="R15" s="2271">
        <f>P15*Q15*12/1000</f>
        <v>13019.328</v>
      </c>
      <c r="S15" s="2272">
        <v>49</v>
      </c>
      <c r="T15" s="2080">
        <v>24500</v>
      </c>
      <c r="U15" s="2274">
        <f>S15*T15*12/1000</f>
        <v>14406</v>
      </c>
      <c r="V15" s="2275">
        <v>48</v>
      </c>
      <c r="W15" s="2273">
        <f>X15/V15/9*1000</f>
        <v>21462.037037037036</v>
      </c>
      <c r="X15" s="2277">
        <v>9271.6</v>
      </c>
      <c r="Y15" s="2278">
        <v>48</v>
      </c>
      <c r="Z15" s="2276">
        <f>AA15/12/Y15*1000</f>
        <v>23137.326388888891</v>
      </c>
      <c r="AA15" s="2279">
        <v>13327.1</v>
      </c>
      <c r="AB15" s="2278">
        <v>49</v>
      </c>
      <c r="AC15" s="2276">
        <v>28797</v>
      </c>
      <c r="AD15" s="2280">
        <f t="shared" si="0"/>
        <v>117.53877551020409</v>
      </c>
      <c r="AE15" s="2280">
        <f t="shared" si="1"/>
        <v>124.46122562297874</v>
      </c>
      <c r="AF15" s="2279">
        <f>AB15*AC15*12/1000</f>
        <v>16932.635999999999</v>
      </c>
      <c r="AG15" s="2278"/>
      <c r="AH15" s="2276"/>
      <c r="AI15" s="2281"/>
      <c r="AJ15" s="2282"/>
      <c r="AK15" s="2283"/>
      <c r="AL15" s="2278">
        <v>49</v>
      </c>
      <c r="AM15" s="2284">
        <f>T15*1.071</f>
        <v>26239.5</v>
      </c>
      <c r="AN15" s="2256">
        <f>AM15/T15*100</f>
        <v>107.1</v>
      </c>
      <c r="AO15" s="2285">
        <f t="shared" si="2"/>
        <v>113.40765808015247</v>
      </c>
      <c r="AP15" s="2279">
        <f>AL15*AM15*12/1000</f>
        <v>15428.825999999999</v>
      </c>
      <c r="AQ15" s="2286"/>
      <c r="AR15" s="2286"/>
      <c r="AS15" s="2286"/>
      <c r="AT15" s="2286"/>
      <c r="AU15" s="2278">
        <v>49</v>
      </c>
      <c r="AV15" s="2276">
        <f>AW15/9/AU15*1000</f>
        <v>25834.24036281179</v>
      </c>
      <c r="AW15" s="2279">
        <v>11392.9</v>
      </c>
      <c r="AX15" s="2278">
        <v>49</v>
      </c>
      <c r="AY15" s="2276">
        <f>AZ15/3/AX15*1000</f>
        <v>28514.285714285717</v>
      </c>
      <c r="AZ15" s="2279">
        <v>4191.6000000000004</v>
      </c>
      <c r="BA15" s="2278">
        <v>49</v>
      </c>
      <c r="BB15" s="2284">
        <f>BC15/12/BA15*1000</f>
        <v>26018.707482993199</v>
      </c>
      <c r="BC15" s="2287">
        <v>15299</v>
      </c>
      <c r="BD15" s="2259">
        <f>(M15+P15+Y15+BA15)/4</f>
        <v>51.25</v>
      </c>
      <c r="BE15" s="1258"/>
      <c r="BF15" s="1258"/>
      <c r="BG15" s="1258"/>
      <c r="BH15" s="1258"/>
      <c r="BI15" s="1258"/>
      <c r="BJ15" s="1258"/>
      <c r="BK15" s="1258"/>
      <c r="BL15" s="1258"/>
      <c r="BM15" s="1258"/>
      <c r="BN15" s="1258"/>
      <c r="BO15" s="1258"/>
      <c r="BP15" s="1258"/>
      <c r="BQ15" s="1258"/>
      <c r="BR15" s="1258"/>
      <c r="BS15" s="1258"/>
      <c r="BT15" s="1258"/>
      <c r="BU15" s="1258"/>
      <c r="BV15" s="1258"/>
      <c r="BW15" s="1258"/>
      <c r="BX15" s="1258"/>
    </row>
    <row r="16" spans="1:76" ht="75" hidden="1">
      <c r="A16" s="2260" t="s">
        <v>206</v>
      </c>
      <c r="B16" s="2295" t="s">
        <v>208</v>
      </c>
      <c r="C16" s="2262"/>
      <c r="D16" s="2263"/>
      <c r="E16" s="2264"/>
      <c r="F16" s="2265"/>
      <c r="G16" s="2266"/>
      <c r="H16" s="2267"/>
      <c r="I16" s="2268"/>
      <c r="J16" s="2263"/>
      <c r="K16" s="2239"/>
      <c r="L16" s="2269"/>
      <c r="M16" s="2268">
        <v>6</v>
      </c>
      <c r="N16" s="2233">
        <f>O16/M16/12*1000</f>
        <v>18130.555555555555</v>
      </c>
      <c r="O16" s="2264">
        <v>1305.4000000000001</v>
      </c>
      <c r="P16" s="2289">
        <v>6</v>
      </c>
      <c r="Q16" s="2290">
        <f>R16/P16/12*1000</f>
        <v>22363.888888888891</v>
      </c>
      <c r="R16" s="2271">
        <v>1610.2</v>
      </c>
      <c r="S16" s="2272">
        <v>7</v>
      </c>
      <c r="T16" s="2080">
        <v>22943</v>
      </c>
      <c r="U16" s="2274">
        <f>S16*T16*12/1000</f>
        <v>1927.212</v>
      </c>
      <c r="V16" s="2275">
        <v>7</v>
      </c>
      <c r="W16" s="2273">
        <f>X16/V16/9*1000</f>
        <v>18404.761904761905</v>
      </c>
      <c r="X16" s="2277">
        <v>1159.5</v>
      </c>
      <c r="Y16" s="2278">
        <v>5</v>
      </c>
      <c r="Z16" s="2276">
        <f>AA16/12/Y16*1000</f>
        <v>28281.666666666668</v>
      </c>
      <c r="AA16" s="2279">
        <v>1696.9</v>
      </c>
      <c r="AB16" s="2278">
        <v>7</v>
      </c>
      <c r="AC16" s="2276">
        <v>29211</v>
      </c>
      <c r="AD16" s="2280">
        <f t="shared" si="0"/>
        <v>127.31987970186984</v>
      </c>
      <c r="AE16" s="2280">
        <f t="shared" si="1"/>
        <v>103.2859921032471</v>
      </c>
      <c r="AF16" s="2279">
        <f>AB16*AC16*12/1000</f>
        <v>2453.7240000000002</v>
      </c>
      <c r="AG16" s="2278"/>
      <c r="AH16" s="2276"/>
      <c r="AI16" s="2281"/>
      <c r="AJ16" s="2282"/>
      <c r="AK16" s="2283"/>
      <c r="AL16" s="2278">
        <v>7</v>
      </c>
      <c r="AM16" s="2284">
        <f>T16*1.071</f>
        <v>24571.952999999998</v>
      </c>
      <c r="AN16" s="2256">
        <f>AM16/T16*100</f>
        <v>107.1</v>
      </c>
      <c r="AO16" s="2285">
        <f t="shared" si="2"/>
        <v>86.882973657846648</v>
      </c>
      <c r="AP16" s="2279">
        <f>AL16*AM16*12/1000</f>
        <v>2064.0440519999997</v>
      </c>
      <c r="AQ16" s="2286"/>
      <c r="AR16" s="2286"/>
      <c r="AS16" s="2286"/>
      <c r="AT16" s="2286"/>
      <c r="AU16" s="2278">
        <v>6</v>
      </c>
      <c r="AV16" s="2276">
        <f>AW16/9/AU16*1000</f>
        <v>23866.666666666664</v>
      </c>
      <c r="AW16" s="2279">
        <v>1288.8</v>
      </c>
      <c r="AX16" s="2278">
        <v>6</v>
      </c>
      <c r="AY16" s="2276">
        <f>AZ16/3/AX16*1000</f>
        <v>29477.777777777777</v>
      </c>
      <c r="AZ16" s="2279">
        <v>530.6</v>
      </c>
      <c r="BA16" s="2278">
        <v>6</v>
      </c>
      <c r="BB16" s="2284">
        <f>BC16/12/BA16*1000</f>
        <v>24416.666666666668</v>
      </c>
      <c r="BC16" s="2287">
        <v>1758</v>
      </c>
      <c r="BD16" s="2259">
        <f>(M16+P16+Y16+BA16)/4</f>
        <v>5.75</v>
      </c>
      <c r="BE16" s="1258"/>
      <c r="BF16" s="1258"/>
      <c r="BG16" s="1258"/>
      <c r="BH16" s="1258"/>
      <c r="BI16" s="1258"/>
      <c r="BJ16" s="1258"/>
      <c r="BK16" s="1258"/>
      <c r="BL16" s="1258"/>
      <c r="BM16" s="1258"/>
      <c r="BN16" s="1258"/>
      <c r="BO16" s="1258"/>
      <c r="BP16" s="1258"/>
      <c r="BQ16" s="1258"/>
      <c r="BR16" s="1258"/>
      <c r="BS16" s="1258"/>
      <c r="BT16" s="1258"/>
      <c r="BU16" s="1258"/>
      <c r="BV16" s="1258"/>
      <c r="BW16" s="1258"/>
      <c r="BX16" s="1258"/>
    </row>
    <row r="17" spans="1:79" ht="19.5" hidden="1" thickBot="1">
      <c r="A17" s="568" t="s">
        <v>207</v>
      </c>
      <c r="B17" s="415" t="s">
        <v>89</v>
      </c>
      <c r="C17" s="2296"/>
      <c r="D17" s="2297"/>
      <c r="E17" s="571"/>
      <c r="F17" s="572"/>
      <c r="G17" s="2298"/>
      <c r="H17" s="2299"/>
      <c r="I17" s="575"/>
      <c r="J17" s="2297"/>
      <c r="K17" s="2300"/>
      <c r="L17" s="2301"/>
      <c r="M17" s="575">
        <v>17</v>
      </c>
      <c r="N17" s="2297">
        <v>14540</v>
      </c>
      <c r="O17" s="571">
        <f>M17*N17*12/1000</f>
        <v>2966.16</v>
      </c>
      <c r="P17" s="2302">
        <v>15</v>
      </c>
      <c r="Q17" s="2303">
        <v>23628</v>
      </c>
      <c r="R17" s="2304">
        <f>P17*Q17*12/1000</f>
        <v>4253.04</v>
      </c>
      <c r="S17" s="2187">
        <v>19</v>
      </c>
      <c r="T17" s="2305">
        <v>21140</v>
      </c>
      <c r="U17" s="582">
        <f>S17*T17*12/1000</f>
        <v>4819.92</v>
      </c>
      <c r="V17" s="2306">
        <v>16</v>
      </c>
      <c r="W17" s="2307">
        <f>X17/V17/9*1000</f>
        <v>21378.472222222223</v>
      </c>
      <c r="X17" s="2308">
        <v>3078.5</v>
      </c>
      <c r="Y17" s="2182">
        <v>15</v>
      </c>
      <c r="Z17" s="2307">
        <f>AA17/12/Y17*1000</f>
        <v>25319.444444444445</v>
      </c>
      <c r="AA17" s="587">
        <v>4557.5</v>
      </c>
      <c r="AB17" s="2182">
        <v>19</v>
      </c>
      <c r="AC17" s="2307">
        <v>28868</v>
      </c>
      <c r="AD17" s="2309">
        <f t="shared" si="0"/>
        <v>136.55629139072846</v>
      </c>
      <c r="AE17" s="2309">
        <f t="shared" si="1"/>
        <v>114.01513987931979</v>
      </c>
      <c r="AF17" s="587">
        <f>AB17*AC17*12/1000</f>
        <v>6581.9040000000005</v>
      </c>
      <c r="AG17" s="2278"/>
      <c r="AH17" s="2276"/>
      <c r="AI17" s="2281"/>
      <c r="AJ17" s="2282"/>
      <c r="AK17" s="2283"/>
      <c r="AL17" s="2182">
        <v>19</v>
      </c>
      <c r="AM17" s="2310">
        <f>T17*1.071</f>
        <v>22640.94</v>
      </c>
      <c r="AN17" s="2311">
        <f>AM17/T17*100</f>
        <v>107.1</v>
      </c>
      <c r="AO17" s="2312">
        <f t="shared" si="2"/>
        <v>89.421156335710364</v>
      </c>
      <c r="AP17" s="587">
        <f>AL17*AM17*12/1000</f>
        <v>5162.1343200000001</v>
      </c>
      <c r="AQ17" s="1248"/>
      <c r="AR17" s="1248"/>
      <c r="AS17" s="1248"/>
      <c r="AT17" s="1248"/>
      <c r="AU17" s="2182">
        <v>17</v>
      </c>
      <c r="AV17" s="2307">
        <f>AW17/9/AU17*1000</f>
        <v>24713.071895424837</v>
      </c>
      <c r="AW17" s="587">
        <v>3781.1</v>
      </c>
      <c r="AX17" s="2182">
        <v>17</v>
      </c>
      <c r="AY17" s="2307">
        <f>AZ17/3/AX17*1000</f>
        <v>28013.725490196081</v>
      </c>
      <c r="AZ17" s="587">
        <v>1428.7</v>
      </c>
      <c r="BA17" s="2182">
        <v>17</v>
      </c>
      <c r="BB17" s="2310">
        <f>BC17/12/BA17*1000</f>
        <v>24494.117647058825</v>
      </c>
      <c r="BC17" s="2313">
        <v>4996.8</v>
      </c>
      <c r="BD17" s="2259">
        <f>(M17+P17+Y17+BA17)/4</f>
        <v>16</v>
      </c>
      <c r="BE17" s="1258"/>
      <c r="BF17" s="1258"/>
      <c r="BG17" s="1258"/>
      <c r="BH17" s="1258"/>
      <c r="BI17" s="1258"/>
      <c r="BJ17" s="1258"/>
      <c r="BK17" s="1258"/>
      <c r="BL17" s="1258"/>
      <c r="BM17" s="1258"/>
      <c r="BN17" s="1258"/>
      <c r="BO17" s="1258"/>
      <c r="BP17" s="1258"/>
      <c r="BQ17" s="1258"/>
      <c r="BR17" s="1258"/>
      <c r="BS17" s="1258"/>
      <c r="BT17" s="1258"/>
      <c r="BU17" s="1258"/>
      <c r="BV17" s="1258"/>
      <c r="BW17" s="1258"/>
      <c r="BX17" s="1258"/>
    </row>
    <row r="18" spans="1:79" ht="18.75" thickBot="1">
      <c r="A18" s="375"/>
      <c r="B18" s="375"/>
      <c r="C18" s="375"/>
      <c r="D18" s="375"/>
      <c r="E18" s="375"/>
      <c r="F18" s="375"/>
      <c r="G18" s="375"/>
      <c r="H18" s="375"/>
      <c r="I18" s="375"/>
      <c r="J18" s="375"/>
      <c r="K18" s="375"/>
      <c r="L18" s="375"/>
      <c r="M18" s="375"/>
      <c r="N18" s="375"/>
      <c r="O18" s="375"/>
      <c r="P18" s="375"/>
      <c r="Q18" s="375"/>
      <c r="R18" s="375"/>
      <c r="S18" s="375"/>
      <c r="T18" s="375"/>
      <c r="U18" s="375"/>
      <c r="V18" s="375"/>
      <c r="W18" s="375"/>
      <c r="X18" s="375"/>
      <c r="Y18" s="375"/>
      <c r="Z18" s="375"/>
      <c r="AA18" s="375"/>
      <c r="AB18" s="375"/>
      <c r="AC18" s="375"/>
      <c r="AD18" s="375"/>
      <c r="AE18" s="375"/>
      <c r="AF18" s="375"/>
      <c r="AG18" s="375"/>
      <c r="AH18" s="375"/>
      <c r="AI18" s="375"/>
      <c r="AJ18" s="375"/>
      <c r="AK18" s="375"/>
      <c r="AL18" s="375"/>
      <c r="AM18" s="375"/>
      <c r="AN18" s="375"/>
      <c r="AO18" s="375"/>
      <c r="AP18" s="375"/>
      <c r="AQ18" s="375"/>
      <c r="AR18" s="375"/>
      <c r="AS18" s="375"/>
      <c r="AT18" s="375"/>
      <c r="AU18" s="375"/>
      <c r="AV18" s="375"/>
      <c r="AW18" s="375"/>
      <c r="AX18" s="375"/>
      <c r="AY18" s="375"/>
      <c r="AZ18" s="375"/>
      <c r="BA18" s="375"/>
      <c r="BB18" s="375"/>
      <c r="BC18" s="375"/>
      <c r="BD18" s="375"/>
      <c r="BE18" s="375"/>
      <c r="BF18" s="375"/>
      <c r="BG18" s="375"/>
      <c r="BH18" s="375"/>
      <c r="BI18" s="375"/>
      <c r="BJ18" s="375"/>
      <c r="BK18" s="375"/>
      <c r="BL18" s="375"/>
      <c r="BM18" s="375"/>
      <c r="BN18" s="375"/>
      <c r="BO18" s="375"/>
      <c r="BP18" s="375"/>
      <c r="BQ18" s="375"/>
      <c r="BR18" s="375"/>
      <c r="BS18" s="375"/>
      <c r="BT18" s="375"/>
      <c r="BU18" s="375"/>
      <c r="BV18" s="375"/>
      <c r="BW18" s="375"/>
      <c r="BX18" s="375"/>
    </row>
    <row r="19" spans="1:79" ht="27" thickBot="1">
      <c r="A19" s="5835" t="s">
        <v>175</v>
      </c>
      <c r="B19" s="5833" t="s">
        <v>176</v>
      </c>
      <c r="C19" s="1249"/>
      <c r="D19" s="1249"/>
      <c r="E19" s="1249"/>
      <c r="F19" s="1249"/>
      <c r="G19" s="1249"/>
      <c r="H19" s="1249"/>
      <c r="I19" s="1249"/>
      <c r="J19" s="1249"/>
      <c r="K19" s="1249"/>
      <c r="L19" s="1249"/>
      <c r="M19" s="5851" t="s">
        <v>238</v>
      </c>
      <c r="N19" s="5851"/>
      <c r="O19" s="5851"/>
      <c r="P19" s="5851"/>
      <c r="Q19" s="5851"/>
      <c r="R19" s="5851"/>
      <c r="S19" s="5851"/>
      <c r="T19" s="5851"/>
      <c r="U19" s="5851"/>
      <c r="V19" s="5851"/>
      <c r="W19" s="5851"/>
      <c r="X19" s="5851"/>
      <c r="Y19" s="5851"/>
      <c r="Z19" s="5851"/>
      <c r="AA19" s="5851"/>
      <c r="AB19" s="5851"/>
      <c r="AC19" s="5851"/>
      <c r="AD19" s="5851"/>
      <c r="AE19" s="5851"/>
      <c r="AF19" s="5851"/>
      <c r="AG19" s="5851"/>
      <c r="AH19" s="5851"/>
      <c r="AI19" s="5851"/>
      <c r="AJ19" s="5851"/>
      <c r="AK19" s="5851"/>
      <c r="AL19" s="5851"/>
      <c r="AM19" s="5851"/>
      <c r="AN19" s="5851"/>
      <c r="AO19" s="5851"/>
      <c r="AP19" s="5851"/>
      <c r="AQ19" s="5851"/>
      <c r="AR19" s="5851"/>
      <c r="AS19" s="5851"/>
      <c r="AT19" s="5851"/>
      <c r="AU19" s="5882" t="s">
        <v>379</v>
      </c>
      <c r="AV19" s="5851"/>
      <c r="AW19" s="5851"/>
      <c r="AX19" s="5851"/>
      <c r="AY19" s="5851"/>
      <c r="AZ19" s="5851"/>
      <c r="BA19" s="5851"/>
      <c r="BB19" s="5851"/>
      <c r="BC19" s="5851"/>
      <c r="BD19" s="5851"/>
      <c r="BE19" s="5851"/>
      <c r="BF19" s="5851"/>
      <c r="BG19" s="5851"/>
      <c r="BH19" s="5851"/>
      <c r="BI19" s="5851"/>
      <c r="BJ19" s="5851"/>
      <c r="BK19" s="5851"/>
      <c r="BL19" s="5851"/>
      <c r="BM19" s="5851"/>
      <c r="BN19" s="5851"/>
      <c r="BO19" s="5898"/>
      <c r="BP19" s="5882" t="s">
        <v>832</v>
      </c>
      <c r="BQ19" s="5851"/>
      <c r="BR19" s="5851"/>
      <c r="BS19" s="5851"/>
      <c r="BT19" s="5851"/>
      <c r="BU19" s="5851"/>
      <c r="BV19" s="5851"/>
      <c r="BW19" s="5851"/>
      <c r="BX19" s="5851"/>
      <c r="BY19" s="5389"/>
      <c r="BZ19" s="5389"/>
      <c r="CA19" s="5390"/>
    </row>
    <row r="20" spans="1:79" ht="12.75" customHeight="1">
      <c r="A20" s="5896"/>
      <c r="B20" s="5897"/>
      <c r="C20" s="5115" t="s">
        <v>177</v>
      </c>
      <c r="D20" s="5115"/>
      <c r="E20" s="5116"/>
      <c r="F20" s="5114" t="s">
        <v>178</v>
      </c>
      <c r="G20" s="5115"/>
      <c r="H20" s="5115"/>
      <c r="I20" s="5870" t="s">
        <v>179</v>
      </c>
      <c r="J20" s="5870"/>
      <c r="K20" s="5870"/>
      <c r="L20" s="5091"/>
      <c r="M20" s="5812" t="s">
        <v>236</v>
      </c>
      <c r="N20" s="5813"/>
      <c r="O20" s="5813"/>
      <c r="P20" s="5813"/>
      <c r="Q20" s="5814"/>
      <c r="R20" s="5369"/>
      <c r="S20" s="5818" t="s">
        <v>237</v>
      </c>
      <c r="T20" s="5802"/>
      <c r="U20" s="5802"/>
      <c r="V20" s="5802"/>
      <c r="W20" s="5862"/>
      <c r="X20" s="5818" t="s">
        <v>430</v>
      </c>
      <c r="Y20" s="5802"/>
      <c r="Z20" s="5802"/>
      <c r="AA20" s="5802"/>
      <c r="AB20" s="5830"/>
      <c r="AC20" s="601"/>
      <c r="AD20" s="601"/>
      <c r="AE20" s="601"/>
      <c r="AF20" s="601"/>
      <c r="AG20" s="601"/>
      <c r="AH20" s="601"/>
      <c r="AI20" s="601"/>
      <c r="AJ20" s="601"/>
      <c r="AK20" s="601"/>
      <c r="AL20" s="5818" t="s">
        <v>431</v>
      </c>
      <c r="AM20" s="5802"/>
      <c r="AN20" s="5802"/>
      <c r="AO20" s="5802"/>
      <c r="AP20" s="5830"/>
      <c r="AQ20" s="5812" t="s">
        <v>831</v>
      </c>
      <c r="AR20" s="5846"/>
      <c r="AS20" s="5846"/>
      <c r="AT20" s="5847"/>
      <c r="AU20" s="5818" t="s">
        <v>382</v>
      </c>
      <c r="AV20" s="5802"/>
      <c r="AW20" s="5802"/>
      <c r="AX20" s="5802"/>
      <c r="AY20" s="5830"/>
      <c r="AZ20" s="5818" t="s">
        <v>386</v>
      </c>
      <c r="BA20" s="5802"/>
      <c r="BB20" s="5802"/>
      <c r="BC20" s="5802"/>
      <c r="BD20" s="5830"/>
      <c r="BE20" s="5818" t="s">
        <v>859</v>
      </c>
      <c r="BF20" s="5802"/>
      <c r="BG20" s="5802"/>
      <c r="BH20" s="5802"/>
      <c r="BI20" s="5818" t="s">
        <v>858</v>
      </c>
      <c r="BJ20" s="5802"/>
      <c r="BK20" s="5802"/>
      <c r="BL20" s="5802"/>
      <c r="BM20" s="5894" t="s">
        <v>1547</v>
      </c>
      <c r="BN20" s="5813"/>
      <c r="BO20" s="5814"/>
      <c r="BP20" s="5809" t="s">
        <v>860</v>
      </c>
      <c r="BQ20" s="5810"/>
      <c r="BR20" s="5810"/>
      <c r="BS20" s="5810"/>
      <c r="BT20" s="5887" t="s">
        <v>861</v>
      </c>
      <c r="BU20" s="5888"/>
      <c r="BV20" s="5888"/>
      <c r="BW20" s="5888"/>
      <c r="BX20" s="5889"/>
      <c r="BY20" s="5894" t="s">
        <v>1693</v>
      </c>
      <c r="BZ20" s="5813"/>
      <c r="CA20" s="5814"/>
    </row>
    <row r="21" spans="1:79" ht="18.75" customHeight="1">
      <c r="A21" s="5896"/>
      <c r="B21" s="5897"/>
      <c r="C21" s="5820"/>
      <c r="D21" s="5820"/>
      <c r="E21" s="5821"/>
      <c r="F21" s="5819"/>
      <c r="G21" s="5820"/>
      <c r="H21" s="5820"/>
      <c r="I21" s="2185"/>
      <c r="J21" s="2185"/>
      <c r="K21" s="2185"/>
      <c r="L21" s="2185"/>
      <c r="M21" s="5815"/>
      <c r="N21" s="5816"/>
      <c r="O21" s="5816"/>
      <c r="P21" s="5816"/>
      <c r="Q21" s="5817"/>
      <c r="R21" s="5370"/>
      <c r="S21" s="5890"/>
      <c r="T21" s="5891"/>
      <c r="U21" s="5891"/>
      <c r="V21" s="5891"/>
      <c r="W21" s="5892"/>
      <c r="X21" s="5890"/>
      <c r="Y21" s="5891"/>
      <c r="Z21" s="5891"/>
      <c r="AA21" s="5891"/>
      <c r="AB21" s="5893"/>
      <c r="AC21" s="594"/>
      <c r="AD21" s="594"/>
      <c r="AE21" s="594"/>
      <c r="AF21" s="594"/>
      <c r="AG21" s="594"/>
      <c r="AH21" s="594"/>
      <c r="AI21" s="594"/>
      <c r="AJ21" s="594"/>
      <c r="AK21" s="594"/>
      <c r="AL21" s="5890"/>
      <c r="AM21" s="5891"/>
      <c r="AN21" s="5891"/>
      <c r="AO21" s="5891"/>
      <c r="AP21" s="5893"/>
      <c r="AQ21" s="5848"/>
      <c r="AR21" s="5849"/>
      <c r="AS21" s="5849"/>
      <c r="AT21" s="5850"/>
      <c r="AU21" s="5890"/>
      <c r="AV21" s="5891"/>
      <c r="AW21" s="5891"/>
      <c r="AX21" s="5891"/>
      <c r="AY21" s="5893"/>
      <c r="AZ21" s="5890"/>
      <c r="BA21" s="5891"/>
      <c r="BB21" s="5891"/>
      <c r="BC21" s="5891"/>
      <c r="BD21" s="5893"/>
      <c r="BE21" s="5890"/>
      <c r="BF21" s="5891"/>
      <c r="BG21" s="5891"/>
      <c r="BH21" s="5891"/>
      <c r="BI21" s="5890"/>
      <c r="BJ21" s="5891"/>
      <c r="BK21" s="5891"/>
      <c r="BL21" s="5891"/>
      <c r="BM21" s="5895"/>
      <c r="BN21" s="5816"/>
      <c r="BO21" s="5817"/>
      <c r="BP21" s="5890"/>
      <c r="BQ21" s="5891"/>
      <c r="BR21" s="5891"/>
      <c r="BS21" s="5891"/>
      <c r="BT21" s="5887"/>
      <c r="BU21" s="5888"/>
      <c r="BV21" s="5888"/>
      <c r="BW21" s="5888"/>
      <c r="BX21" s="5889"/>
      <c r="BY21" s="5895"/>
      <c r="BZ21" s="5816"/>
      <c r="CA21" s="5817"/>
    </row>
    <row r="22" spans="1:79" ht="150.75" thickBot="1">
      <c r="A22" s="5896"/>
      <c r="B22" s="5897"/>
      <c r="C22" s="2184" t="s">
        <v>182</v>
      </c>
      <c r="D22" s="2314" t="s">
        <v>185</v>
      </c>
      <c r="E22" s="593" t="s">
        <v>186</v>
      </c>
      <c r="F22" s="2184" t="s">
        <v>182</v>
      </c>
      <c r="G22" s="2314" t="s">
        <v>185</v>
      </c>
      <c r="H22" s="2315" t="s">
        <v>186</v>
      </c>
      <c r="I22" s="2184" t="s">
        <v>182</v>
      </c>
      <c r="J22" s="2314" t="s">
        <v>185</v>
      </c>
      <c r="K22" s="2314" t="s">
        <v>187</v>
      </c>
      <c r="L22" s="2315" t="s">
        <v>186</v>
      </c>
      <c r="M22" s="2316" t="s">
        <v>182</v>
      </c>
      <c r="N22" s="2317" t="s">
        <v>185</v>
      </c>
      <c r="O22" s="2317" t="s">
        <v>186</v>
      </c>
      <c r="P22" s="2317" t="s">
        <v>254</v>
      </c>
      <c r="Q22" s="2318" t="s">
        <v>255</v>
      </c>
      <c r="R22" s="5370"/>
      <c r="S22" s="2316" t="s">
        <v>182</v>
      </c>
      <c r="T22" s="2317" t="s">
        <v>185</v>
      </c>
      <c r="U22" s="2317" t="s">
        <v>186</v>
      </c>
      <c r="V22" s="2317" t="s">
        <v>254</v>
      </c>
      <c r="W22" s="2319" t="s">
        <v>255</v>
      </c>
      <c r="X22" s="2316" t="s">
        <v>182</v>
      </c>
      <c r="Y22" s="2317" t="s">
        <v>185</v>
      </c>
      <c r="Z22" s="2317" t="s">
        <v>186</v>
      </c>
      <c r="AA22" s="2317" t="s">
        <v>254</v>
      </c>
      <c r="AB22" s="2318" t="s">
        <v>255</v>
      </c>
      <c r="AC22" s="594"/>
      <c r="AD22" s="594"/>
      <c r="AE22" s="594"/>
      <c r="AF22" s="594"/>
      <c r="AG22" s="594"/>
      <c r="AH22" s="594"/>
      <c r="AI22" s="594"/>
      <c r="AJ22" s="594"/>
      <c r="AK22" s="594"/>
      <c r="AL22" s="2316" t="s">
        <v>182</v>
      </c>
      <c r="AM22" s="2317" t="s">
        <v>185</v>
      </c>
      <c r="AN22" s="2317" t="s">
        <v>186</v>
      </c>
      <c r="AO22" s="2317" t="s">
        <v>254</v>
      </c>
      <c r="AP22" s="2320"/>
      <c r="AQ22" s="2316" t="s">
        <v>182</v>
      </c>
      <c r="AR22" s="2317" t="s">
        <v>185</v>
      </c>
      <c r="AS22" s="2317" t="s">
        <v>186</v>
      </c>
      <c r="AT22" s="2317" t="s">
        <v>254</v>
      </c>
      <c r="AU22" s="2316" t="s">
        <v>182</v>
      </c>
      <c r="AV22" s="2317" t="s">
        <v>185</v>
      </c>
      <c r="AW22" s="2317" t="s">
        <v>186</v>
      </c>
      <c r="AX22" s="2317" t="s">
        <v>254</v>
      </c>
      <c r="AY22" s="2318" t="s">
        <v>453</v>
      </c>
      <c r="AZ22" s="2316" t="s">
        <v>182</v>
      </c>
      <c r="BA22" s="2317" t="s">
        <v>185</v>
      </c>
      <c r="BB22" s="2317" t="s">
        <v>186</v>
      </c>
      <c r="BC22" s="2317" t="s">
        <v>254</v>
      </c>
      <c r="BD22" s="2320"/>
      <c r="BE22" s="2316" t="s">
        <v>182</v>
      </c>
      <c r="BF22" s="2317" t="s">
        <v>185</v>
      </c>
      <c r="BG22" s="2317" t="s">
        <v>186</v>
      </c>
      <c r="BH22" s="2317" t="s">
        <v>254</v>
      </c>
      <c r="BI22" s="2316" t="s">
        <v>182</v>
      </c>
      <c r="BJ22" s="2317" t="s">
        <v>185</v>
      </c>
      <c r="BK22" s="2317" t="s">
        <v>186</v>
      </c>
      <c r="BL22" s="2317" t="s">
        <v>254</v>
      </c>
      <c r="BM22" s="2316" t="s">
        <v>182</v>
      </c>
      <c r="BN22" s="2317" t="s">
        <v>185</v>
      </c>
      <c r="BO22" s="2317" t="s">
        <v>186</v>
      </c>
      <c r="BP22" s="2316" t="s">
        <v>182</v>
      </c>
      <c r="BQ22" s="2317" t="s">
        <v>185</v>
      </c>
      <c r="BR22" s="2317" t="s">
        <v>186</v>
      </c>
      <c r="BS22" s="2317" t="s">
        <v>254</v>
      </c>
      <c r="BT22" s="2316" t="s">
        <v>182</v>
      </c>
      <c r="BU22" s="2317" t="s">
        <v>185</v>
      </c>
      <c r="BV22" s="2317" t="s">
        <v>186</v>
      </c>
      <c r="BW22" s="2317" t="s">
        <v>254</v>
      </c>
      <c r="BX22" s="2321" t="s">
        <v>1039</v>
      </c>
      <c r="BY22" s="2316" t="s">
        <v>182</v>
      </c>
      <c r="BZ22" s="2317" t="s">
        <v>185</v>
      </c>
      <c r="CA22" s="2317" t="s">
        <v>186</v>
      </c>
    </row>
    <row r="23" spans="1:79" ht="72.75" customHeight="1">
      <c r="A23" s="2322" t="s">
        <v>192</v>
      </c>
      <c r="B23" s="2323" t="s">
        <v>204</v>
      </c>
      <c r="C23" s="2324">
        <v>840</v>
      </c>
      <c r="D23" s="2325">
        <v>12146</v>
      </c>
      <c r="E23" s="2250">
        <v>122429.8</v>
      </c>
      <c r="F23" s="2326">
        <f>F24+F25</f>
        <v>813</v>
      </c>
      <c r="G23" s="2325">
        <f>(G24*F24+G25*F25)/(F24+F25)</f>
        <v>12443.442804428045</v>
      </c>
      <c r="H23" s="2258">
        <f>H25+H24</f>
        <v>121398.228</v>
      </c>
      <c r="I23" s="2327">
        <v>799</v>
      </c>
      <c r="J23" s="2325">
        <v>13361</v>
      </c>
      <c r="K23" s="2328">
        <f>J23/G23</f>
        <v>1.07373820975377</v>
      </c>
      <c r="L23" s="2258">
        <v>128108.9</v>
      </c>
      <c r="M23" s="2327">
        <f>M24+M25+M26+M27</f>
        <v>155</v>
      </c>
      <c r="N23" s="2325">
        <f t="shared" ref="N23:N32" si="3">O23/M23/12*1000</f>
        <v>25754.516129032254</v>
      </c>
      <c r="O23" s="2254">
        <f>O24+O25+O26+O27</f>
        <v>47903.399999999994</v>
      </c>
      <c r="P23" s="2329">
        <f>N23/AM7</f>
        <v>2.7583455187985857</v>
      </c>
      <c r="Q23" s="2320"/>
      <c r="R23" s="5370"/>
      <c r="S23" s="2330">
        <f>SUM(S24:S27)</f>
        <v>155</v>
      </c>
      <c r="T23" s="2331">
        <f>U23/S23/12*1000</f>
        <v>9859.8122849032261</v>
      </c>
      <c r="U23" s="2332">
        <f>SUM(U24:U27)</f>
        <v>18339.250849920001</v>
      </c>
      <c r="V23" s="2329">
        <f>T23/AM7</f>
        <v>1.056</v>
      </c>
      <c r="W23" s="2333"/>
      <c r="X23" s="2327">
        <f>X24+X25+X26+X27</f>
        <v>148.32999999999998</v>
      </c>
      <c r="Y23" s="2325">
        <f t="shared" ref="Y23:Y32" si="4">Z23/X23/6*1000</f>
        <v>21580.822040944742</v>
      </c>
      <c r="Z23" s="2254">
        <f>Z24+Z25+Z26+Z27</f>
        <v>19206.5</v>
      </c>
      <c r="AA23" s="2329">
        <f>Y23/BB7</f>
        <v>0.95562481208041816</v>
      </c>
      <c r="AB23" s="2320"/>
      <c r="AC23" s="594"/>
      <c r="AD23" s="594"/>
      <c r="AE23" s="594"/>
      <c r="AF23" s="594"/>
      <c r="AG23" s="594"/>
      <c r="AH23" s="594"/>
      <c r="AI23" s="594"/>
      <c r="AJ23" s="594"/>
      <c r="AK23" s="594"/>
      <c r="AL23" s="2327">
        <f>AL24+AL25+AL26+AL27</f>
        <v>148</v>
      </c>
      <c r="AM23" s="2325">
        <f t="shared" ref="AM23:AM32" si="5">AN23/AL23/9*1000</f>
        <v>22609.909909909911</v>
      </c>
      <c r="AN23" s="2254">
        <f>AN24+AN25+AN26+AN27</f>
        <v>30116.400000000001</v>
      </c>
      <c r="AO23" s="2329">
        <f>AM23/BB7</f>
        <v>1.0011940633132144</v>
      </c>
      <c r="AP23" s="2320"/>
      <c r="AQ23" s="2327">
        <f>AQ24+AQ25+AQ26+AQ27</f>
        <v>148</v>
      </c>
      <c r="AR23" s="2325">
        <f t="shared" ref="AR23:AR32" si="6">AS23/AQ23/12*1000</f>
        <v>22770.326576576579</v>
      </c>
      <c r="AS23" s="2254">
        <f>AS24+AS25+AS26+AS27</f>
        <v>40440.100000000006</v>
      </c>
      <c r="AT23" s="2329">
        <f>AR23/T23</f>
        <v>2.3094077167616249</v>
      </c>
      <c r="AU23" s="2327">
        <f>AU24+AU25+AU26+AU27</f>
        <v>155</v>
      </c>
      <c r="AV23" s="2325">
        <f t="shared" ref="AV23:AV32" si="7">AW23/AU23/12*1000</f>
        <v>23460.37634408602</v>
      </c>
      <c r="AW23" s="2254">
        <f>AW24+AW25+AW26+AW27</f>
        <v>43636.299999999996</v>
      </c>
      <c r="AX23" s="2329">
        <f>AV23/T23</f>
        <v>2.3793938125989671</v>
      </c>
      <c r="AY23" s="2334">
        <f>AV23/BB7</f>
        <v>1.0388537421149895</v>
      </c>
      <c r="AZ23" s="2330">
        <f>SUM(AZ24:AZ27)</f>
        <v>150</v>
      </c>
      <c r="BA23" s="2331">
        <f>BB23/AZ23/12*1000</f>
        <v>23530.113691896189</v>
      </c>
      <c r="BB23" s="2332">
        <f>SUM(BB24:BB27)</f>
        <v>42354.204645413141</v>
      </c>
      <c r="BC23" s="2329">
        <f t="shared" ref="BC23:BC32" si="8">BA23/T23</f>
        <v>2.3864667005805109</v>
      </c>
      <c r="BD23" s="2320"/>
      <c r="BE23" s="2327">
        <f>BE24+BE25+BE26+BE27</f>
        <v>144</v>
      </c>
      <c r="BF23" s="2325">
        <f t="shared" ref="BF23:BF32" si="9">BG23/BE23/6*1000</f>
        <v>22832.175925925923</v>
      </c>
      <c r="BG23" s="2254">
        <f>BG24+BG25+BG26+BG27</f>
        <v>19727</v>
      </c>
      <c r="BH23" s="2329">
        <f>BF23/AV23</f>
        <v>0.9732229181260148</v>
      </c>
      <c r="BI23" s="2327">
        <f>BI24+BI25+BI26+BI27</f>
        <v>148</v>
      </c>
      <c r="BJ23" s="2325">
        <f t="shared" ref="BJ23:BJ32" si="10">BK23/BI23/9*1000</f>
        <v>22988.888888888887</v>
      </c>
      <c r="BK23" s="2254">
        <f>BK24+BK25+BK26+BK27</f>
        <v>30621.199999999997</v>
      </c>
      <c r="BL23" s="2329">
        <f>BJ23/BA23</f>
        <v>0.9769986320468268</v>
      </c>
      <c r="BM23" s="2327">
        <f>(BI23+BE23)/2</f>
        <v>146</v>
      </c>
      <c r="BN23" s="2325">
        <f>BO23/BM23/3*1000</f>
        <v>24872.602739726019</v>
      </c>
      <c r="BO23" s="2254">
        <f>BK23-BG23</f>
        <v>10894.199999999997</v>
      </c>
      <c r="BP23" s="2327">
        <f>BP24+BP25+BP26+BP27</f>
        <v>155</v>
      </c>
      <c r="BQ23" s="2331">
        <f>BR23/BP23/12*1000</f>
        <v>25806.413978494627</v>
      </c>
      <c r="BR23" s="2332">
        <f>SUM(BR24:BR27)</f>
        <v>47999.930000000008</v>
      </c>
      <c r="BS23" s="2329">
        <f>BQ23/BA23</f>
        <v>1.0967398762455789</v>
      </c>
      <c r="BT23" s="2327">
        <f>BT24+BT25+BT26+BT27</f>
        <v>148</v>
      </c>
      <c r="BU23" s="2331">
        <f>BV23/BT23/12*1000</f>
        <v>26725.298409525822</v>
      </c>
      <c r="BV23" s="2332">
        <f>SUM(BV24:BV27)</f>
        <v>47464.129975317854</v>
      </c>
      <c r="BW23" s="2329">
        <f>BU23/BA23</f>
        <v>1.1357912995860304</v>
      </c>
      <c r="BX23" s="2017"/>
      <c r="BY23" s="2327" t="e">
        <f>(#REF!+BU23)/2</f>
        <v>#REF!</v>
      </c>
      <c r="BZ23" s="2325" t="e">
        <f>CA23/BY23/3*1000</f>
        <v>#REF!</v>
      </c>
      <c r="CA23" s="2254" t="e">
        <f>#REF!-BW23</f>
        <v>#REF!</v>
      </c>
    </row>
    <row r="24" spans="1:79" ht="37.5" customHeight="1">
      <c r="A24" s="2335" t="s">
        <v>193</v>
      </c>
      <c r="B24" s="2336" t="s">
        <v>85</v>
      </c>
      <c r="C24" s="2337">
        <v>456</v>
      </c>
      <c r="D24" s="2338">
        <v>12405</v>
      </c>
      <c r="E24" s="2279">
        <v>67882.600000000006</v>
      </c>
      <c r="F24" s="2339">
        <v>444</v>
      </c>
      <c r="G24" s="2338">
        <v>12620</v>
      </c>
      <c r="H24" s="2287">
        <f>F24*G24*12/1000</f>
        <v>67239.360000000001</v>
      </c>
      <c r="I24" s="2340">
        <v>435</v>
      </c>
      <c r="J24" s="2338">
        <v>13646</v>
      </c>
      <c r="K24" s="2328">
        <f>J24/G24</f>
        <v>1.0812995245641839</v>
      </c>
      <c r="L24" s="2287">
        <v>71232.100000000006</v>
      </c>
      <c r="M24" s="2340">
        <v>26.5</v>
      </c>
      <c r="N24" s="2338">
        <f t="shared" si="3"/>
        <v>22554.402515723272</v>
      </c>
      <c r="O24" s="2282">
        <v>7172.3</v>
      </c>
      <c r="P24" s="2329">
        <f>N24/AM8</f>
        <v>14.036523573308315</v>
      </c>
      <c r="Q24" s="2320"/>
      <c r="R24" s="5370"/>
      <c r="S24" s="2341">
        <f>AL8</f>
        <v>26.5</v>
      </c>
      <c r="T24" s="2338">
        <f>AM8*1.056</f>
        <v>1696.8196528301887</v>
      </c>
      <c r="U24" s="2282">
        <f>S24*T24*12/1000</f>
        <v>539.58864960000005</v>
      </c>
      <c r="V24" s="2329">
        <f>T24/AM8</f>
        <v>1.056</v>
      </c>
      <c r="W24" s="2329">
        <f>T24/AY8</f>
        <v>7.1834571575877137E-2</v>
      </c>
      <c r="X24" s="2342">
        <v>23.5</v>
      </c>
      <c r="Y24" s="2338">
        <f t="shared" si="4"/>
        <v>20790.070921985814</v>
      </c>
      <c r="Z24" s="2282">
        <v>2931.4</v>
      </c>
      <c r="AA24" s="2329">
        <f>Y24/BB8</f>
        <v>0.98254215345308094</v>
      </c>
      <c r="AB24" s="2334" t="e">
        <f>Y24/#REF!</f>
        <v>#REF!</v>
      </c>
      <c r="AC24" s="594"/>
      <c r="AD24" s="594"/>
      <c r="AE24" s="594"/>
      <c r="AF24" s="594"/>
      <c r="AG24" s="594"/>
      <c r="AH24" s="594"/>
      <c r="AI24" s="594"/>
      <c r="AJ24" s="594"/>
      <c r="AK24" s="594"/>
      <c r="AL24" s="2340">
        <v>24</v>
      </c>
      <c r="AM24" s="2338">
        <f t="shared" si="5"/>
        <v>21343.981481481482</v>
      </c>
      <c r="AN24" s="2282">
        <v>4610.3</v>
      </c>
      <c r="AO24" s="2329">
        <f>AM24/BB8</f>
        <v>1.0087200571259218</v>
      </c>
      <c r="AP24" s="2320"/>
      <c r="AQ24" s="2340">
        <v>24</v>
      </c>
      <c r="AR24" s="2338">
        <f t="shared" si="6"/>
        <v>21852.430555555558</v>
      </c>
      <c r="AS24" s="2282">
        <v>6293.5</v>
      </c>
      <c r="AT24" s="2329">
        <f t="shared" ref="AT24:AT36" si="11">AR24/T24</f>
        <v>12.878463848003573</v>
      </c>
      <c r="AU24" s="2340">
        <v>26.5</v>
      </c>
      <c r="AV24" s="2338">
        <f t="shared" si="7"/>
        <v>21298.113207547172</v>
      </c>
      <c r="AW24" s="2282">
        <v>6772.8</v>
      </c>
      <c r="AX24" s="2329">
        <f t="shared" ref="AX24:AX32" si="12">AV24/T24</f>
        <v>12.551783668949883</v>
      </c>
      <c r="AY24" s="2334">
        <f>AV24/BB8</f>
        <v>1.0065523149948004</v>
      </c>
      <c r="AZ24" s="2343">
        <f>BA8</f>
        <v>22</v>
      </c>
      <c r="BA24" s="2338">
        <f>AV24</f>
        <v>21298.113207547172</v>
      </c>
      <c r="BB24" s="2282">
        <f>AZ24*BA24*12/1000</f>
        <v>5622.7018867924526</v>
      </c>
      <c r="BC24" s="2329">
        <f t="shared" si="8"/>
        <v>12.551783668949883</v>
      </c>
      <c r="BD24" s="2320"/>
      <c r="BE24" s="2340">
        <v>24</v>
      </c>
      <c r="BF24" s="2338">
        <f t="shared" si="9"/>
        <v>21190.972222222223</v>
      </c>
      <c r="BG24" s="2282">
        <v>3051.5</v>
      </c>
      <c r="BH24" s="2329">
        <f t="shared" ref="BH24:BH36" si="13">BF24/AV24</f>
        <v>0.99496946117804541</v>
      </c>
      <c r="BI24" s="2340">
        <v>24</v>
      </c>
      <c r="BJ24" s="2338">
        <f t="shared" si="10"/>
        <v>21644.444444444442</v>
      </c>
      <c r="BK24" s="2282">
        <v>4675.2</v>
      </c>
      <c r="BL24" s="2329">
        <f t="shared" ref="BL24:BL36" si="14">BJ24/BA24</f>
        <v>1.0162611229230645</v>
      </c>
      <c r="BM24" s="2327">
        <f t="shared" ref="BM24:BM32" si="15">(BI24+BE24)/2</f>
        <v>24</v>
      </c>
      <c r="BN24" s="2338">
        <f>BO24/BM24/3*1000</f>
        <v>22551.388888888883</v>
      </c>
      <c r="BO24" s="2254">
        <f t="shared" ref="BO24:BO32" si="16">BK24-BG24</f>
        <v>1623.6999999999998</v>
      </c>
      <c r="BP24" s="2340">
        <v>26.5</v>
      </c>
      <c r="BQ24" s="2338">
        <f>SUM(BA24*1.1)</f>
        <v>23427.92452830189</v>
      </c>
      <c r="BR24" s="2282">
        <f>BP24*BQ24*12/1000</f>
        <v>7450.0800000000017</v>
      </c>
      <c r="BS24" s="2329">
        <f t="shared" ref="BS24:BS36" si="17">BQ24/BA24</f>
        <v>1.1000000000000001</v>
      </c>
      <c r="BT24" s="2340">
        <f>AQ24</f>
        <v>24</v>
      </c>
      <c r="BU24" s="2338">
        <f>BN24*1.074</f>
        <v>24220.191666666662</v>
      </c>
      <c r="BV24" s="2282">
        <f>BT24*BU24*12/1000</f>
        <v>6975.4151999999985</v>
      </c>
      <c r="BW24" s="2329">
        <f t="shared" ref="BW24:BW36" si="18">BU24/BA24</f>
        <v>1.1371989354476726</v>
      </c>
      <c r="BX24" s="2018">
        <f>BU24/BJ24</f>
        <v>1.1190026950718686</v>
      </c>
      <c r="BY24" s="2327" t="e">
        <f>(#REF!+BU24)/2</f>
        <v>#REF!</v>
      </c>
      <c r="BZ24" s="2338" t="e">
        <f>CA24/BY24/3*1000</f>
        <v>#REF!</v>
      </c>
      <c r="CA24" s="2254" t="e">
        <f>#REF!-BW24</f>
        <v>#REF!</v>
      </c>
    </row>
    <row r="25" spans="1:79" ht="37.5" customHeight="1">
      <c r="A25" s="2335" t="s">
        <v>194</v>
      </c>
      <c r="B25" s="2336" t="s">
        <v>87</v>
      </c>
      <c r="C25" s="2337">
        <v>384</v>
      </c>
      <c r="D25" s="2338">
        <v>11838</v>
      </c>
      <c r="E25" s="2279">
        <v>54547.199999999997</v>
      </c>
      <c r="F25" s="2339">
        <v>369</v>
      </c>
      <c r="G25" s="2338">
        <v>12231</v>
      </c>
      <c r="H25" s="2287">
        <f>F25*G25*12/1000</f>
        <v>54158.868000000002</v>
      </c>
      <c r="I25" s="2340">
        <v>364</v>
      </c>
      <c r="J25" s="2338">
        <v>13021</v>
      </c>
      <c r="K25" s="2328">
        <f>J25/G25</f>
        <v>1.0645899762897555</v>
      </c>
      <c r="L25" s="2287">
        <v>56876.800000000003</v>
      </c>
      <c r="M25" s="2342">
        <v>72.5</v>
      </c>
      <c r="N25" s="2338">
        <f t="shared" si="3"/>
        <v>24945.172413793101</v>
      </c>
      <c r="O25" s="2282">
        <v>21702.3</v>
      </c>
      <c r="P25" s="2329">
        <f>N25/AM9</f>
        <v>23.43152802286502</v>
      </c>
      <c r="Q25" s="2320"/>
      <c r="R25" s="5370"/>
      <c r="S25" s="2341">
        <f>AL9</f>
        <v>72.5</v>
      </c>
      <c r="T25" s="2338">
        <f>AM9*1.056</f>
        <v>1124.2161434482757</v>
      </c>
      <c r="U25" s="2282">
        <f>S25*T25*12/1000</f>
        <v>978.06804479999983</v>
      </c>
      <c r="V25" s="2329">
        <f>T25/AM9</f>
        <v>1.056</v>
      </c>
      <c r="W25" s="2329">
        <f>T25/AY9</f>
        <v>4.753370531747006E-2</v>
      </c>
      <c r="X25" s="2342">
        <v>73.5</v>
      </c>
      <c r="Y25" s="2338">
        <f t="shared" si="4"/>
        <v>19868.934240362814</v>
      </c>
      <c r="Z25" s="2282">
        <v>8762.2000000000007</v>
      </c>
      <c r="AA25" s="2329">
        <f>Y25/BB9</f>
        <v>0.9283594723885823</v>
      </c>
      <c r="AB25" s="2334" t="e">
        <f>Y25/#REF!</f>
        <v>#REF!</v>
      </c>
      <c r="AC25" s="594"/>
      <c r="AD25" s="594"/>
      <c r="AE25" s="594"/>
      <c r="AF25" s="594"/>
      <c r="AG25" s="594"/>
      <c r="AH25" s="594"/>
      <c r="AI25" s="594"/>
      <c r="AJ25" s="594"/>
      <c r="AK25" s="594"/>
      <c r="AL25" s="2342">
        <v>75</v>
      </c>
      <c r="AM25" s="2338">
        <f t="shared" si="5"/>
        <v>20413.185185185186</v>
      </c>
      <c r="AN25" s="2282">
        <v>13778.9</v>
      </c>
      <c r="AO25" s="2329">
        <f>AM25/BB9</f>
        <v>0.95378914636454581</v>
      </c>
      <c r="AP25" s="2320"/>
      <c r="AQ25" s="2342">
        <v>74</v>
      </c>
      <c r="AR25" s="2338">
        <f t="shared" si="6"/>
        <v>20925.33783783784</v>
      </c>
      <c r="AS25" s="2282">
        <v>18581.7</v>
      </c>
      <c r="AT25" s="2329">
        <f t="shared" si="11"/>
        <v>18.61326930749647</v>
      </c>
      <c r="AU25" s="2342">
        <v>72.5</v>
      </c>
      <c r="AV25" s="2338">
        <f t="shared" si="7"/>
        <v>21999.540229885057</v>
      </c>
      <c r="AW25" s="2282">
        <v>19139.599999999999</v>
      </c>
      <c r="AX25" s="2329">
        <f t="shared" si="12"/>
        <v>19.568781642297452</v>
      </c>
      <c r="AY25" s="2334">
        <f>AV25/BB9</f>
        <v>1.0279102700495193</v>
      </c>
      <c r="AZ25" s="2343">
        <f>BA9</f>
        <v>72</v>
      </c>
      <c r="BA25" s="2338">
        <f>AV25</f>
        <v>21999.540229885057</v>
      </c>
      <c r="BB25" s="2282">
        <f>AZ25*BA25*12/1000</f>
        <v>19007.602758620687</v>
      </c>
      <c r="BC25" s="2329">
        <f t="shared" si="8"/>
        <v>19.568781642297452</v>
      </c>
      <c r="BD25" s="2320"/>
      <c r="BE25" s="2342">
        <v>72</v>
      </c>
      <c r="BF25" s="2338">
        <f t="shared" si="9"/>
        <v>21250.231481481482</v>
      </c>
      <c r="BG25" s="2282">
        <v>9180.1</v>
      </c>
      <c r="BH25" s="2329">
        <f t="shared" si="13"/>
        <v>0.965939799624281</v>
      </c>
      <c r="BI25" s="2342">
        <v>74</v>
      </c>
      <c r="BJ25" s="2338">
        <f t="shared" si="10"/>
        <v>21538.138138138136</v>
      </c>
      <c r="BK25" s="2282">
        <v>14344.4</v>
      </c>
      <c r="BL25" s="2329">
        <f t="shared" si="14"/>
        <v>0.97902673933520967</v>
      </c>
      <c r="BM25" s="2327">
        <f t="shared" si="15"/>
        <v>73</v>
      </c>
      <c r="BN25" s="2338">
        <f t="shared" ref="BN25:BN32" si="19">BO25/BM25/3*1000</f>
        <v>23581.278538812781</v>
      </c>
      <c r="BO25" s="2254">
        <f t="shared" si="16"/>
        <v>5164.2999999999993</v>
      </c>
      <c r="BP25" s="2342">
        <v>72.5</v>
      </c>
      <c r="BQ25" s="2338">
        <f t="shared" ref="BQ25:BQ32" si="20">SUM(BA25*1.1)</f>
        <v>24199.494252873563</v>
      </c>
      <c r="BR25" s="2282">
        <f>BP25*BQ25*12/1000</f>
        <v>21053.56</v>
      </c>
      <c r="BS25" s="2329">
        <f t="shared" si="17"/>
        <v>1.1000000000000001</v>
      </c>
      <c r="BT25" s="2340">
        <f t="shared" ref="BT25:BT27" si="21">AQ25</f>
        <v>74</v>
      </c>
      <c r="BU25" s="2338">
        <f t="shared" ref="BU25:BU27" si="22">BN25*1.074</f>
        <v>25326.293150684927</v>
      </c>
      <c r="BV25" s="2282">
        <f>BT25*BU25*12/1000</f>
        <v>22489.748317808218</v>
      </c>
      <c r="BW25" s="2329">
        <f t="shared" si="18"/>
        <v>1.1512192021304462</v>
      </c>
      <c r="BX25" s="2018">
        <f t="shared" ref="BX25:BX36" si="23">BU25/BJ25</f>
        <v>1.1758812664423861</v>
      </c>
      <c r="BY25" s="2327" t="e">
        <f>(#REF!+BU25)/2</f>
        <v>#REF!</v>
      </c>
      <c r="BZ25" s="2338" t="e">
        <f t="shared" ref="BZ25:BZ32" si="24">CA25/BY25/3*1000</f>
        <v>#REF!</v>
      </c>
      <c r="CA25" s="2254" t="e">
        <f>#REF!-BW25</f>
        <v>#REF!</v>
      </c>
    </row>
    <row r="26" spans="1:79" ht="37.5" customHeight="1">
      <c r="A26" s="2335" t="s">
        <v>202</v>
      </c>
      <c r="B26" s="2336" t="s">
        <v>88</v>
      </c>
      <c r="C26" s="2337"/>
      <c r="D26" s="2338"/>
      <c r="E26" s="2279"/>
      <c r="F26" s="2339"/>
      <c r="G26" s="2338"/>
      <c r="H26" s="2287"/>
      <c r="I26" s="2340"/>
      <c r="J26" s="2338"/>
      <c r="K26" s="2328"/>
      <c r="L26" s="2287"/>
      <c r="M26" s="2340">
        <v>31</v>
      </c>
      <c r="N26" s="2338">
        <f t="shared" si="3"/>
        <v>30275.806451612905</v>
      </c>
      <c r="O26" s="2282">
        <v>11262.6</v>
      </c>
      <c r="P26" s="2329">
        <f>N26/AM10</f>
        <v>1.2088401473413275</v>
      </c>
      <c r="Q26" s="2320"/>
      <c r="R26" s="5370"/>
      <c r="S26" s="2341">
        <f>AL10</f>
        <v>31</v>
      </c>
      <c r="T26" s="2338">
        <f>AM10*1.056</f>
        <v>26447.873759999999</v>
      </c>
      <c r="U26" s="2282">
        <f>S26*T26*12/1000</f>
        <v>9838.6090387200002</v>
      </c>
      <c r="V26" s="2329">
        <f>T26/AM10</f>
        <v>1.056</v>
      </c>
      <c r="W26" s="2329">
        <f>T26/AY10</f>
        <v>0.92042627549755296</v>
      </c>
      <c r="X26" s="2342">
        <v>29.33</v>
      </c>
      <c r="Y26" s="2338">
        <f t="shared" si="4"/>
        <v>25010.796681441076</v>
      </c>
      <c r="Z26" s="2282">
        <v>4401.3999999999996</v>
      </c>
      <c r="AA26" s="2329">
        <f>Y26/BB10</f>
        <v>0.95682926073099828</v>
      </c>
      <c r="AB26" s="2334" t="e">
        <f>Y26/#REF!</f>
        <v>#REF!</v>
      </c>
      <c r="AC26" s="594"/>
      <c r="AD26" s="594"/>
      <c r="AE26" s="594"/>
      <c r="AF26" s="594"/>
      <c r="AG26" s="594"/>
      <c r="AH26" s="594"/>
      <c r="AI26" s="594"/>
      <c r="AJ26" s="594"/>
      <c r="AK26" s="594"/>
      <c r="AL26" s="2340">
        <v>28</v>
      </c>
      <c r="AM26" s="2338">
        <f t="shared" si="5"/>
        <v>27159.920634920636</v>
      </c>
      <c r="AN26" s="2282">
        <v>6844.3</v>
      </c>
      <c r="AO26" s="2329">
        <f>AM26/BB10</f>
        <v>1.039047540692988</v>
      </c>
      <c r="AP26" s="2320"/>
      <c r="AQ26" s="2340">
        <v>29</v>
      </c>
      <c r="AR26" s="2338">
        <f t="shared" si="6"/>
        <v>26195.689655172417</v>
      </c>
      <c r="AS26" s="2282">
        <v>9116.1</v>
      </c>
      <c r="AT26" s="2329">
        <f t="shared" si="11"/>
        <v>0.99046486280462409</v>
      </c>
      <c r="AU26" s="2340">
        <v>31</v>
      </c>
      <c r="AV26" s="2338">
        <f t="shared" si="7"/>
        <v>27862.365591397847</v>
      </c>
      <c r="AW26" s="2282">
        <v>10364.799999999999</v>
      </c>
      <c r="AX26" s="2329">
        <f t="shared" si="12"/>
        <v>1.0534822513232478</v>
      </c>
      <c r="AY26" s="2334">
        <f>AV26/BB10</f>
        <v>1.0659207305785803</v>
      </c>
      <c r="AZ26" s="2343">
        <f>BA10</f>
        <v>31</v>
      </c>
      <c r="BA26" s="2338">
        <f>AV26</f>
        <v>27862.365591397847</v>
      </c>
      <c r="BB26" s="2282">
        <f>AZ26*BA26*12/1000</f>
        <v>10364.799999999999</v>
      </c>
      <c r="BC26" s="2329">
        <f t="shared" si="8"/>
        <v>1.0534822513232478</v>
      </c>
      <c r="BD26" s="2320"/>
      <c r="BE26" s="2340">
        <v>28</v>
      </c>
      <c r="BF26" s="2338">
        <f t="shared" si="9"/>
        <v>26782.738095238099</v>
      </c>
      <c r="BG26" s="2282">
        <v>4499.5</v>
      </c>
      <c r="BH26" s="2329">
        <f t="shared" si="13"/>
        <v>0.96125140585718716</v>
      </c>
      <c r="BI26" s="2340">
        <v>29</v>
      </c>
      <c r="BJ26" s="2338">
        <f t="shared" si="10"/>
        <v>26555.938697318008</v>
      </c>
      <c r="BK26" s="2282">
        <v>6931.1</v>
      </c>
      <c r="BL26" s="2329">
        <f t="shared" si="14"/>
        <v>0.95311141511677022</v>
      </c>
      <c r="BM26" s="2327">
        <f t="shared" si="15"/>
        <v>28.5</v>
      </c>
      <c r="BN26" s="2338">
        <f t="shared" si="19"/>
        <v>28439.766081871352</v>
      </c>
      <c r="BO26" s="2254">
        <f t="shared" si="16"/>
        <v>2431.6000000000004</v>
      </c>
      <c r="BP26" s="2340">
        <v>31</v>
      </c>
      <c r="BQ26" s="2338">
        <f t="shared" si="20"/>
        <v>30648.602150537634</v>
      </c>
      <c r="BR26" s="2282">
        <f>BP26*BQ26*12/1000</f>
        <v>11401.28</v>
      </c>
      <c r="BS26" s="2329">
        <f t="shared" si="17"/>
        <v>1.1000000000000001</v>
      </c>
      <c r="BT26" s="2340">
        <f t="shared" si="21"/>
        <v>29</v>
      </c>
      <c r="BU26" s="2338">
        <f t="shared" si="22"/>
        <v>30544.308771929835</v>
      </c>
      <c r="BV26" s="2282">
        <f>BT26*BU26*12/1000</f>
        <v>10629.419452631584</v>
      </c>
      <c r="BW26" s="2329">
        <f t="shared" si="18"/>
        <v>1.0962568369054781</v>
      </c>
      <c r="BX26" s="2018">
        <f t="shared" si="23"/>
        <v>1.1501875011864908</v>
      </c>
      <c r="BY26" s="2327" t="e">
        <f>(#REF!+BU26)/2</f>
        <v>#REF!</v>
      </c>
      <c r="BZ26" s="2338" t="e">
        <f t="shared" si="24"/>
        <v>#REF!</v>
      </c>
      <c r="CA26" s="2254" t="e">
        <f>#REF!-BW26</f>
        <v>#REF!</v>
      </c>
    </row>
    <row r="27" spans="1:79" ht="37.5" customHeight="1">
      <c r="A27" s="2335" t="s">
        <v>203</v>
      </c>
      <c r="B27" s="2336" t="s">
        <v>89</v>
      </c>
      <c r="C27" s="2337"/>
      <c r="D27" s="2338"/>
      <c r="E27" s="2279"/>
      <c r="F27" s="2339"/>
      <c r="G27" s="2338"/>
      <c r="H27" s="2287"/>
      <c r="I27" s="2340"/>
      <c r="J27" s="2338"/>
      <c r="K27" s="2328"/>
      <c r="L27" s="2287"/>
      <c r="M27" s="2340">
        <v>25</v>
      </c>
      <c r="N27" s="2338">
        <f t="shared" si="3"/>
        <v>25887.333333333332</v>
      </c>
      <c r="O27" s="2282">
        <v>7766.2</v>
      </c>
      <c r="P27" s="2329">
        <f>N27/AM11</f>
        <v>1.174441454882867</v>
      </c>
      <c r="Q27" s="2320"/>
      <c r="R27" s="5370"/>
      <c r="S27" s="2341">
        <f>AL11</f>
        <v>25</v>
      </c>
      <c r="T27" s="2338">
        <f>AM11*1.056</f>
        <v>23276.617056000003</v>
      </c>
      <c r="U27" s="2282">
        <f>S27*T27*12/1000</f>
        <v>6982.9851168000005</v>
      </c>
      <c r="V27" s="2329">
        <f>T27/AM11</f>
        <v>1.056</v>
      </c>
      <c r="W27" s="2329">
        <f>T27/AY11</f>
        <v>0.90490684179970982</v>
      </c>
      <c r="X27" s="2342">
        <v>22</v>
      </c>
      <c r="Y27" s="2338">
        <f t="shared" si="4"/>
        <v>23571.9696969697</v>
      </c>
      <c r="Z27" s="2282">
        <v>3111.5</v>
      </c>
      <c r="AA27" s="2329">
        <f>Y27/BB11</f>
        <v>1.0326656214446632</v>
      </c>
      <c r="AB27" s="2334" t="e">
        <f>Y27/#REF!</f>
        <v>#REF!</v>
      </c>
      <c r="AC27" s="594"/>
      <c r="AD27" s="594"/>
      <c r="AE27" s="594"/>
      <c r="AF27" s="594"/>
      <c r="AG27" s="594"/>
      <c r="AH27" s="594"/>
      <c r="AI27" s="594"/>
      <c r="AJ27" s="594"/>
      <c r="AK27" s="594"/>
      <c r="AL27" s="2340">
        <v>21</v>
      </c>
      <c r="AM27" s="2338">
        <f t="shared" si="5"/>
        <v>25835.449735449733</v>
      </c>
      <c r="AN27" s="2282">
        <v>4882.8999999999996</v>
      </c>
      <c r="AO27" s="2329">
        <f>AM27/BB11</f>
        <v>1.1318265337745761</v>
      </c>
      <c r="AP27" s="2320"/>
      <c r="AQ27" s="2340">
        <v>21</v>
      </c>
      <c r="AR27" s="2338">
        <f t="shared" si="6"/>
        <v>25590.476190476191</v>
      </c>
      <c r="AS27" s="2282">
        <v>6448.8</v>
      </c>
      <c r="AT27" s="2329">
        <f t="shared" si="11"/>
        <v>1.0994070198822017</v>
      </c>
      <c r="AU27" s="2340">
        <v>25</v>
      </c>
      <c r="AV27" s="2338">
        <f t="shared" si="7"/>
        <v>24530.333333333336</v>
      </c>
      <c r="AW27" s="2282">
        <v>7359.1</v>
      </c>
      <c r="AX27" s="2329">
        <f t="shared" si="12"/>
        <v>1.0538616189078114</v>
      </c>
      <c r="AY27" s="2334">
        <f>AV27/BB11</f>
        <v>1.0746506228186743</v>
      </c>
      <c r="AZ27" s="2343">
        <f>BA11</f>
        <v>25</v>
      </c>
      <c r="BA27" s="2338">
        <f>AV27</f>
        <v>24530.333333333336</v>
      </c>
      <c r="BB27" s="2282">
        <f>AZ27*BA27*12/1000</f>
        <v>7359.1</v>
      </c>
      <c r="BC27" s="2329">
        <f t="shared" si="8"/>
        <v>1.0538616189078114</v>
      </c>
      <c r="BD27" s="2320"/>
      <c r="BE27" s="2340">
        <v>20</v>
      </c>
      <c r="BF27" s="2338">
        <f t="shared" si="9"/>
        <v>24965.833333333336</v>
      </c>
      <c r="BG27" s="2282">
        <v>2995.9</v>
      </c>
      <c r="BH27" s="2329">
        <f t="shared" si="13"/>
        <v>1.0177535296435705</v>
      </c>
      <c r="BI27" s="2340">
        <v>21</v>
      </c>
      <c r="BJ27" s="2338">
        <f t="shared" si="10"/>
        <v>24711.640211640213</v>
      </c>
      <c r="BK27" s="2282">
        <v>4670.5</v>
      </c>
      <c r="BL27" s="2329">
        <f t="shared" si="14"/>
        <v>1.0073911298245795</v>
      </c>
      <c r="BM27" s="2327">
        <f t="shared" si="15"/>
        <v>20.5</v>
      </c>
      <c r="BN27" s="2338">
        <f t="shared" si="19"/>
        <v>27229.268292682929</v>
      </c>
      <c r="BO27" s="2254">
        <f t="shared" si="16"/>
        <v>1674.6</v>
      </c>
      <c r="BP27" s="2340">
        <v>25</v>
      </c>
      <c r="BQ27" s="2338">
        <f t="shared" si="20"/>
        <v>26983.366666666672</v>
      </c>
      <c r="BR27" s="2282">
        <f>BP27*BQ27*12/1000</f>
        <v>8095.010000000002</v>
      </c>
      <c r="BS27" s="2329">
        <f t="shared" si="17"/>
        <v>1.1000000000000001</v>
      </c>
      <c r="BT27" s="2340">
        <f t="shared" si="21"/>
        <v>21</v>
      </c>
      <c r="BU27" s="2338">
        <f t="shared" si="22"/>
        <v>29244.234146341467</v>
      </c>
      <c r="BV27" s="2282">
        <f>BT27*BU27*12/1000</f>
        <v>7369.5470048780498</v>
      </c>
      <c r="BW27" s="2329">
        <f t="shared" si="18"/>
        <v>1.1921661947659958</v>
      </c>
      <c r="BX27" s="2018">
        <f t="shared" si="23"/>
        <v>1.183419388429191</v>
      </c>
      <c r="BY27" s="2327" t="e">
        <f>(#REF!+BU27)/2</f>
        <v>#REF!</v>
      </c>
      <c r="BZ27" s="2338" t="e">
        <f t="shared" si="24"/>
        <v>#REF!</v>
      </c>
      <c r="CA27" s="2254" t="e">
        <f>#REF!-BW27</f>
        <v>#REF!</v>
      </c>
    </row>
    <row r="28" spans="1:79" ht="63" customHeight="1">
      <c r="A28" s="2322" t="s">
        <v>195</v>
      </c>
      <c r="B28" s="2323" t="s">
        <v>205</v>
      </c>
      <c r="C28" s="2324">
        <v>840</v>
      </c>
      <c r="D28" s="2325">
        <v>12146</v>
      </c>
      <c r="E28" s="2250">
        <v>122429.8</v>
      </c>
      <c r="F28" s="2326">
        <f>F29+F30</f>
        <v>813</v>
      </c>
      <c r="G28" s="2325">
        <f>(G29*F29+G30*F30)/(F29+F30)</f>
        <v>12443.442804428045</v>
      </c>
      <c r="H28" s="2258">
        <f>H30+H29</f>
        <v>121398.228</v>
      </c>
      <c r="I28" s="2327">
        <v>799</v>
      </c>
      <c r="J28" s="2325">
        <v>13361</v>
      </c>
      <c r="K28" s="2328">
        <f>J28/G28</f>
        <v>1.07373820975377</v>
      </c>
      <c r="L28" s="2258">
        <v>128108.9</v>
      </c>
      <c r="M28" s="2327">
        <f>M29+M30+M31+M32</f>
        <v>105</v>
      </c>
      <c r="N28" s="2325">
        <f t="shared" si="3"/>
        <v>28668.650793650795</v>
      </c>
      <c r="O28" s="2254">
        <f>O29+O30+O31+O32</f>
        <v>36122.5</v>
      </c>
      <c r="P28" s="2329">
        <f>N28/AM13</f>
        <v>1.2088032234986785</v>
      </c>
      <c r="Q28" s="2320"/>
      <c r="R28" s="5370"/>
      <c r="S28" s="2330">
        <f>SUM(S29:S32)</f>
        <v>96</v>
      </c>
      <c r="T28" s="2331">
        <f>U28/S28/12*1000</f>
        <v>25224.382875999996</v>
      </c>
      <c r="U28" s="2332">
        <f>SUM(U29:U32)</f>
        <v>29058.489073151999</v>
      </c>
      <c r="V28" s="2329">
        <f>T28/AM13</f>
        <v>1.0635769206839176</v>
      </c>
      <c r="W28" s="2333"/>
      <c r="X28" s="2327">
        <f>X29+X30+X31+X32</f>
        <v>95</v>
      </c>
      <c r="Y28" s="2325">
        <f t="shared" si="4"/>
        <v>22836.666666666668</v>
      </c>
      <c r="Z28" s="2254">
        <f>Z29+Z30+Z31+Z32</f>
        <v>13016.900000000001</v>
      </c>
      <c r="AA28" s="2329">
        <f>Y28/BB13</f>
        <v>0.92274432731820633</v>
      </c>
      <c r="AB28" s="2320"/>
      <c r="AC28" s="594"/>
      <c r="AD28" s="594"/>
      <c r="AE28" s="594"/>
      <c r="AF28" s="594"/>
      <c r="AG28" s="594"/>
      <c r="AH28" s="594"/>
      <c r="AI28" s="594"/>
      <c r="AJ28" s="594"/>
      <c r="AK28" s="594"/>
      <c r="AL28" s="2327">
        <f>AL29+AL30+AL31+AL32</f>
        <v>94</v>
      </c>
      <c r="AM28" s="2325">
        <f t="shared" si="5"/>
        <v>23876.59574468085</v>
      </c>
      <c r="AN28" s="2254">
        <f>AN29+AN30+AN31+AN32</f>
        <v>20199.599999999999</v>
      </c>
      <c r="AO28" s="2329">
        <f>AM28/BB13</f>
        <v>0.96476397368592659</v>
      </c>
      <c r="AP28" s="2320"/>
      <c r="AQ28" s="2327">
        <f>AQ29+AQ30+AQ31+AQ32</f>
        <v>94</v>
      </c>
      <c r="AR28" s="2325">
        <f t="shared" si="6"/>
        <v>24074.734042553187</v>
      </c>
      <c r="AS28" s="2254">
        <f>AS29+AS30+AS31+AS32</f>
        <v>27156.3</v>
      </c>
      <c r="AT28" s="2329">
        <f t="shared" si="11"/>
        <v>0.95442311357632248</v>
      </c>
      <c r="AU28" s="2327">
        <f>AU29+AU30+AU31+AU32</f>
        <v>105</v>
      </c>
      <c r="AV28" s="2325">
        <f t="shared" si="7"/>
        <v>28668.650793650795</v>
      </c>
      <c r="AW28" s="2254">
        <f>AW29+AW30+AW31+AW32</f>
        <v>36122.5</v>
      </c>
      <c r="AX28" s="2329">
        <f t="shared" si="12"/>
        <v>1.1365451806921265</v>
      </c>
      <c r="AY28" s="2344">
        <f>AV28/BB13</f>
        <v>1.1583930035779242</v>
      </c>
      <c r="AZ28" s="2330">
        <f>SUM(AZ29:AZ32)</f>
        <v>98</v>
      </c>
      <c r="BA28" s="2331">
        <f>BB28/AZ28/12*1000</f>
        <v>28763.121622082414</v>
      </c>
      <c r="BB28" s="2332">
        <f>SUM(BB29:BB32)</f>
        <v>33825.43102756892</v>
      </c>
      <c r="BC28" s="2329">
        <f t="shared" si="8"/>
        <v>1.1402903993123807</v>
      </c>
      <c r="BD28" s="2320"/>
      <c r="BE28" s="2327">
        <f>BE29+BE30+BE31+BE32</f>
        <v>94</v>
      </c>
      <c r="BF28" s="2325">
        <f t="shared" si="9"/>
        <v>23914.007092198586</v>
      </c>
      <c r="BG28" s="2254">
        <f>BG29+BG30+BG31+BG32</f>
        <v>13487.5</v>
      </c>
      <c r="BH28" s="2329">
        <f t="shared" si="13"/>
        <v>0.83415181496768542</v>
      </c>
      <c r="BI28" s="2327">
        <f>BI29+BI30+BI31+BI32</f>
        <v>94</v>
      </c>
      <c r="BJ28" s="2325">
        <f t="shared" si="10"/>
        <v>24833.096926713952</v>
      </c>
      <c r="BK28" s="2254">
        <f>BK29+BK30+BK31+BK32</f>
        <v>21008.800000000003</v>
      </c>
      <c r="BL28" s="2329">
        <f t="shared" si="14"/>
        <v>0.86336584926334103</v>
      </c>
      <c r="BM28" s="2327">
        <f t="shared" si="15"/>
        <v>94</v>
      </c>
      <c r="BN28" s="2325">
        <f t="shared" si="19"/>
        <v>26671.27659574469</v>
      </c>
      <c r="BO28" s="2254">
        <f t="shared" si="16"/>
        <v>7521.3000000000029</v>
      </c>
      <c r="BP28" s="2327">
        <f>BP29+BP30+BP31+BP32</f>
        <v>105</v>
      </c>
      <c r="BQ28" s="2331">
        <f>BR28/BP28/12*1000</f>
        <v>31535.515873015873</v>
      </c>
      <c r="BR28" s="2332">
        <f>SUM(BR29:BR32)</f>
        <v>39734.75</v>
      </c>
      <c r="BS28" s="2329">
        <f t="shared" si="17"/>
        <v>1.0963871128926772</v>
      </c>
      <c r="BT28" s="2327">
        <f>BT29+BT30+BT31+BT32</f>
        <v>94</v>
      </c>
      <c r="BU28" s="2331">
        <f>BV28/BT28/12*1000</f>
        <v>28606.666659040642</v>
      </c>
      <c r="BV28" s="2332">
        <f>SUM(BV29:BV32)</f>
        <v>32268.319991397846</v>
      </c>
      <c r="BW28" s="2329">
        <f t="shared" si="18"/>
        <v>0.99456057082060056</v>
      </c>
      <c r="BX28" s="2018"/>
      <c r="BY28" s="2327" t="e">
        <f>(#REF!+BU28)/2</f>
        <v>#REF!</v>
      </c>
      <c r="BZ28" s="2325" t="e">
        <f t="shared" si="24"/>
        <v>#REF!</v>
      </c>
      <c r="CA28" s="2254" t="e">
        <f>#REF!-BW28</f>
        <v>#REF!</v>
      </c>
    </row>
    <row r="29" spans="1:79" ht="37.5" customHeight="1">
      <c r="A29" s="2335" t="s">
        <v>196</v>
      </c>
      <c r="B29" s="2336" t="s">
        <v>91</v>
      </c>
      <c r="C29" s="2337">
        <v>456</v>
      </c>
      <c r="D29" s="2338">
        <v>12405</v>
      </c>
      <c r="E29" s="2279">
        <v>67882.600000000006</v>
      </c>
      <c r="F29" s="2339">
        <v>444</v>
      </c>
      <c r="G29" s="2338">
        <v>12620</v>
      </c>
      <c r="H29" s="2287">
        <f>F29*G29*12/1000</f>
        <v>67239.360000000001</v>
      </c>
      <c r="I29" s="2340">
        <v>435</v>
      </c>
      <c r="J29" s="2338">
        <v>13646</v>
      </c>
      <c r="K29" s="2328">
        <f>J29/G29</f>
        <v>1.0812995245641839</v>
      </c>
      <c r="L29" s="2287">
        <v>71232.100000000006</v>
      </c>
      <c r="M29" s="2340">
        <v>30</v>
      </c>
      <c r="N29" s="2338">
        <f t="shared" si="3"/>
        <v>25154.444444444449</v>
      </c>
      <c r="O29" s="2282">
        <v>9055.6</v>
      </c>
      <c r="P29" s="2329">
        <f>N29/AM14</f>
        <v>1.2528746934240285</v>
      </c>
      <c r="Q29" s="2320"/>
      <c r="R29" s="5370"/>
      <c r="S29" s="2345">
        <v>26</v>
      </c>
      <c r="T29" s="2338">
        <f>AM14*1.056</f>
        <v>21201.715919999995</v>
      </c>
      <c r="U29" s="2282">
        <f>S29*T29*12/1000</f>
        <v>6614.9353670399987</v>
      </c>
      <c r="V29" s="2329">
        <f>T29/AM14</f>
        <v>1.056</v>
      </c>
      <c r="W29" s="2333"/>
      <c r="X29" s="2340">
        <v>25</v>
      </c>
      <c r="Y29" s="2338">
        <f t="shared" si="4"/>
        <v>21835.333333333336</v>
      </c>
      <c r="Z29" s="2282">
        <v>3275.3</v>
      </c>
      <c r="AA29" s="2329">
        <f>Y29/BB14</f>
        <v>0.9662474115678098</v>
      </c>
      <c r="AB29" s="2320"/>
      <c r="AC29" s="594"/>
      <c r="AD29" s="594"/>
      <c r="AE29" s="594"/>
      <c r="AF29" s="594"/>
      <c r="AG29" s="594"/>
      <c r="AH29" s="594"/>
      <c r="AI29" s="594"/>
      <c r="AJ29" s="594"/>
      <c r="AK29" s="594"/>
      <c r="AL29" s="2340">
        <v>25</v>
      </c>
      <c r="AM29" s="2338">
        <f t="shared" si="5"/>
        <v>22584.444444444445</v>
      </c>
      <c r="AN29" s="2282">
        <v>5081.5</v>
      </c>
      <c r="AO29" s="2329">
        <f>AM29/BB14</f>
        <v>0.99939674164846481</v>
      </c>
      <c r="AP29" s="2320"/>
      <c r="AQ29" s="2340">
        <v>25</v>
      </c>
      <c r="AR29" s="2338">
        <f t="shared" si="6"/>
        <v>23072.333333333332</v>
      </c>
      <c r="AS29" s="2282">
        <v>6921.7</v>
      </c>
      <c r="AT29" s="2329">
        <f t="shared" si="11"/>
        <v>1.0882295291754545</v>
      </c>
      <c r="AU29" s="2340">
        <v>30</v>
      </c>
      <c r="AV29" s="2338">
        <f t="shared" si="7"/>
        <v>25154.444444444449</v>
      </c>
      <c r="AW29" s="2282">
        <v>9055.6</v>
      </c>
      <c r="AX29" s="2329">
        <f t="shared" si="12"/>
        <v>1.1864343687727543</v>
      </c>
      <c r="AY29" s="2344">
        <f>AV29/BB14</f>
        <v>1.1131232330109022</v>
      </c>
      <c r="AZ29" s="2343">
        <f>BA14</f>
        <v>26</v>
      </c>
      <c r="BA29" s="2338">
        <f>AV29</f>
        <v>25154.444444444449</v>
      </c>
      <c r="BB29" s="2282">
        <f>AZ29*BA29*12/1000</f>
        <v>7848.1866666666683</v>
      </c>
      <c r="BC29" s="2329">
        <f t="shared" si="8"/>
        <v>1.1864343687727543</v>
      </c>
      <c r="BD29" s="2320"/>
      <c r="BE29" s="2340">
        <v>25</v>
      </c>
      <c r="BF29" s="2338">
        <f t="shared" si="9"/>
        <v>22802.666666666668</v>
      </c>
      <c r="BG29" s="2282">
        <v>3420.4</v>
      </c>
      <c r="BH29" s="2329">
        <f t="shared" si="13"/>
        <v>0.90650647113388394</v>
      </c>
      <c r="BI29" s="2340">
        <v>25</v>
      </c>
      <c r="BJ29" s="2338">
        <f t="shared" si="10"/>
        <v>23330.666666666664</v>
      </c>
      <c r="BK29" s="2282">
        <v>5249.4</v>
      </c>
      <c r="BL29" s="2329">
        <f t="shared" si="14"/>
        <v>0.92749679756172954</v>
      </c>
      <c r="BM29" s="2327">
        <f t="shared" si="15"/>
        <v>25</v>
      </c>
      <c r="BN29" s="2338">
        <f t="shared" si="19"/>
        <v>24386.666666666661</v>
      </c>
      <c r="BO29" s="2254">
        <f t="shared" si="16"/>
        <v>1828.9999999999995</v>
      </c>
      <c r="BP29" s="2340">
        <v>30</v>
      </c>
      <c r="BQ29" s="2338">
        <f t="shared" si="20"/>
        <v>27669.888888888898</v>
      </c>
      <c r="BR29" s="2282">
        <f>BP29*BQ29*12/1000</f>
        <v>9961.1600000000035</v>
      </c>
      <c r="BS29" s="2329">
        <f t="shared" si="17"/>
        <v>1.1000000000000001</v>
      </c>
      <c r="BT29" s="2340">
        <f>AQ29</f>
        <v>25</v>
      </c>
      <c r="BU29" s="2338">
        <f>BN29*1.074</f>
        <v>26191.279999999995</v>
      </c>
      <c r="BV29" s="2282">
        <f>BT29*BU29*12/1000</f>
        <v>7857.3839999999982</v>
      </c>
      <c r="BW29" s="2329">
        <f t="shared" si="18"/>
        <v>1.0412187817483101</v>
      </c>
      <c r="BX29" s="2018">
        <f t="shared" si="23"/>
        <v>1.1226117270545204</v>
      </c>
      <c r="BY29" s="2327" t="e">
        <f>(#REF!+BU29)/2</f>
        <v>#REF!</v>
      </c>
      <c r="BZ29" s="2338" t="e">
        <f t="shared" si="24"/>
        <v>#REF!</v>
      </c>
      <c r="CA29" s="2254" t="e">
        <f>#REF!-BW29</f>
        <v>#REF!</v>
      </c>
    </row>
    <row r="30" spans="1:79" ht="37.5" customHeight="1">
      <c r="A30" s="2335" t="s">
        <v>197</v>
      </c>
      <c r="B30" s="2336" t="s">
        <v>92</v>
      </c>
      <c r="C30" s="2337">
        <v>384</v>
      </c>
      <c r="D30" s="2338">
        <v>11838</v>
      </c>
      <c r="E30" s="2279">
        <v>54547.199999999997</v>
      </c>
      <c r="F30" s="2339">
        <v>369</v>
      </c>
      <c r="G30" s="2338">
        <v>12231</v>
      </c>
      <c r="H30" s="2287">
        <f>F30*G30*12/1000</f>
        <v>54158.868000000002</v>
      </c>
      <c r="I30" s="2340">
        <v>364</v>
      </c>
      <c r="J30" s="2338">
        <v>13021</v>
      </c>
      <c r="K30" s="2328">
        <f>J30/G30</f>
        <v>1.0645899762897555</v>
      </c>
      <c r="L30" s="2287">
        <v>56876.800000000003</v>
      </c>
      <c r="M30" s="2340">
        <v>49</v>
      </c>
      <c r="N30" s="2338">
        <f t="shared" si="3"/>
        <v>30026.530612244896</v>
      </c>
      <c r="O30" s="2282">
        <v>17655.599999999999</v>
      </c>
      <c r="P30" s="2329">
        <f>N30/AM15</f>
        <v>1.1443255630726537</v>
      </c>
      <c r="Q30" s="2320"/>
      <c r="R30" s="5370"/>
      <c r="S30" s="2345">
        <v>48</v>
      </c>
      <c r="T30" s="2338">
        <f>AM15*1.056</f>
        <v>27708.912</v>
      </c>
      <c r="U30" s="2282">
        <f>S30*T30*12/1000</f>
        <v>15960.333312000001</v>
      </c>
      <c r="V30" s="2329">
        <f>T30/AM15</f>
        <v>1.056</v>
      </c>
      <c r="W30" s="2333"/>
      <c r="X30" s="2340">
        <v>49</v>
      </c>
      <c r="Y30" s="2338">
        <f t="shared" si="4"/>
        <v>23665.306122448983</v>
      </c>
      <c r="Z30" s="2282">
        <v>6957.6</v>
      </c>
      <c r="AA30" s="2329">
        <f>Y30/BB15</f>
        <v>0.90954964376756653</v>
      </c>
      <c r="AB30" s="2320"/>
      <c r="AC30" s="594"/>
      <c r="AD30" s="594"/>
      <c r="AE30" s="594"/>
      <c r="AF30" s="594"/>
      <c r="AG30" s="594"/>
      <c r="AH30" s="594"/>
      <c r="AI30" s="594"/>
      <c r="AJ30" s="594"/>
      <c r="AK30" s="594"/>
      <c r="AL30" s="2340">
        <v>49</v>
      </c>
      <c r="AM30" s="2338">
        <f t="shared" si="5"/>
        <v>24274.149659863946</v>
      </c>
      <c r="AN30" s="2282">
        <v>10704.9</v>
      </c>
      <c r="AO30" s="2329">
        <f>AM30/BB15</f>
        <v>0.93294986600431395</v>
      </c>
      <c r="AP30" s="2320"/>
      <c r="AQ30" s="2340">
        <v>49</v>
      </c>
      <c r="AR30" s="2338">
        <f t="shared" si="6"/>
        <v>24466.496598639456</v>
      </c>
      <c r="AS30" s="2282">
        <v>14386.3</v>
      </c>
      <c r="AT30" s="2329">
        <f t="shared" si="11"/>
        <v>0.88298294060190652</v>
      </c>
      <c r="AU30" s="2340">
        <v>49</v>
      </c>
      <c r="AV30" s="2338">
        <f t="shared" si="7"/>
        <v>30026.530612244896</v>
      </c>
      <c r="AW30" s="2282">
        <v>17655.599999999999</v>
      </c>
      <c r="AX30" s="2329">
        <f t="shared" si="12"/>
        <v>1.0836416316975888</v>
      </c>
      <c r="AY30" s="2344">
        <f>AV30/BB15</f>
        <v>1.1540362115170926</v>
      </c>
      <c r="AZ30" s="2343">
        <f>BA15</f>
        <v>49</v>
      </c>
      <c r="BA30" s="2338">
        <f>AV30</f>
        <v>30026.530612244896</v>
      </c>
      <c r="BB30" s="2282">
        <f>AZ30*BA30*12/1000</f>
        <v>17655.599999999999</v>
      </c>
      <c r="BC30" s="2329">
        <f t="shared" si="8"/>
        <v>1.0836416316975888</v>
      </c>
      <c r="BD30" s="2320"/>
      <c r="BE30" s="2340">
        <v>49</v>
      </c>
      <c r="BF30" s="2338">
        <f t="shared" si="9"/>
        <v>24546.938775510203</v>
      </c>
      <c r="BG30" s="2282">
        <v>7216.8</v>
      </c>
      <c r="BH30" s="2329">
        <f t="shared" si="13"/>
        <v>0.81750832597023038</v>
      </c>
      <c r="BI30" s="2340">
        <v>49</v>
      </c>
      <c r="BJ30" s="2338">
        <f t="shared" si="10"/>
        <v>25629.25170068027</v>
      </c>
      <c r="BK30" s="2282">
        <v>11302.5</v>
      </c>
      <c r="BL30" s="2329">
        <f t="shared" si="14"/>
        <v>0.85355354675003958</v>
      </c>
      <c r="BM30" s="2327">
        <f t="shared" si="15"/>
        <v>49</v>
      </c>
      <c r="BN30" s="2338">
        <f t="shared" si="19"/>
        <v>27793.877551020403</v>
      </c>
      <c r="BO30" s="2254">
        <f t="shared" si="16"/>
        <v>4085.7</v>
      </c>
      <c r="BP30" s="2340">
        <v>49</v>
      </c>
      <c r="BQ30" s="2338">
        <f t="shared" si="20"/>
        <v>33029.183673469386</v>
      </c>
      <c r="BR30" s="2282">
        <f>BP30*BQ30*12/1000</f>
        <v>19421.16</v>
      </c>
      <c r="BS30" s="2329">
        <f t="shared" si="17"/>
        <v>1.1000000000000001</v>
      </c>
      <c r="BT30" s="2340">
        <f t="shared" ref="BT30:BT32" si="25">AQ30</f>
        <v>49</v>
      </c>
      <c r="BU30" s="2338">
        <f t="shared" ref="BU30:BU32" si="26">BN30*1.074</f>
        <v>29850.624489795915</v>
      </c>
      <c r="BV30" s="2282">
        <f>BT30*BU30*12/1000</f>
        <v>17552.1672</v>
      </c>
      <c r="BW30" s="2329">
        <f t="shared" si="18"/>
        <v>0.99414164344457279</v>
      </c>
      <c r="BX30" s="2018">
        <f t="shared" si="23"/>
        <v>1.1647091705374917</v>
      </c>
      <c r="BY30" s="2327" t="e">
        <f>(#REF!+BU30)/2</f>
        <v>#REF!</v>
      </c>
      <c r="BZ30" s="2338" t="e">
        <f t="shared" si="24"/>
        <v>#REF!</v>
      </c>
      <c r="CA30" s="2254" t="e">
        <f>#REF!-BW30</f>
        <v>#REF!</v>
      </c>
    </row>
    <row r="31" spans="1:79" ht="75">
      <c r="A31" s="2335" t="s">
        <v>206</v>
      </c>
      <c r="B31" s="2336" t="s">
        <v>208</v>
      </c>
      <c r="C31" s="2337"/>
      <c r="D31" s="2338"/>
      <c r="E31" s="2279"/>
      <c r="F31" s="2339"/>
      <c r="G31" s="2338"/>
      <c r="H31" s="2287"/>
      <c r="I31" s="2340"/>
      <c r="J31" s="2338"/>
      <c r="K31" s="2328"/>
      <c r="L31" s="2287"/>
      <c r="M31" s="2340">
        <v>7</v>
      </c>
      <c r="N31" s="2338">
        <f t="shared" si="3"/>
        <v>31347.619047619046</v>
      </c>
      <c r="O31" s="2282">
        <v>2633.2</v>
      </c>
      <c r="P31" s="2329">
        <f>N31/AM16</f>
        <v>1.2757479654799539</v>
      </c>
      <c r="Q31" s="2320"/>
      <c r="R31" s="5370"/>
      <c r="S31" s="2346">
        <v>7</v>
      </c>
      <c r="T31" s="2338">
        <f>AM16*1.056</f>
        <v>25947.982367999997</v>
      </c>
      <c r="U31" s="2282">
        <f>S31*T31*12/1000</f>
        <v>2179.6305189119998</v>
      </c>
      <c r="V31" s="2329">
        <f>T31/AM16</f>
        <v>1.056</v>
      </c>
      <c r="W31" s="2333"/>
      <c r="X31" s="2340">
        <v>4</v>
      </c>
      <c r="Y31" s="2338">
        <f t="shared" si="4"/>
        <v>22329.166666666664</v>
      </c>
      <c r="Z31" s="2282">
        <v>535.9</v>
      </c>
      <c r="AA31" s="2329">
        <f>Y31/BB16</f>
        <v>0.91450511945392476</v>
      </c>
      <c r="AB31" s="2320"/>
      <c r="AC31" s="594"/>
      <c r="AD31" s="594"/>
      <c r="AE31" s="594"/>
      <c r="AF31" s="594"/>
      <c r="AG31" s="594"/>
      <c r="AH31" s="594"/>
      <c r="AI31" s="594"/>
      <c r="AJ31" s="594"/>
      <c r="AK31" s="594"/>
      <c r="AL31" s="2340">
        <v>4</v>
      </c>
      <c r="AM31" s="2338">
        <f t="shared" si="5"/>
        <v>23575.000000000004</v>
      </c>
      <c r="AN31" s="2282">
        <v>848.7</v>
      </c>
      <c r="AO31" s="2329">
        <f>AM31/BB16</f>
        <v>0.96552901023890791</v>
      </c>
      <c r="AP31" s="2320"/>
      <c r="AQ31" s="2340">
        <v>4</v>
      </c>
      <c r="AR31" s="2338">
        <f t="shared" si="6"/>
        <v>24131.249999999996</v>
      </c>
      <c r="AS31" s="2282">
        <v>1158.3</v>
      </c>
      <c r="AT31" s="2329">
        <f t="shared" si="11"/>
        <v>0.92998560187706691</v>
      </c>
      <c r="AU31" s="2340">
        <v>7</v>
      </c>
      <c r="AV31" s="2338">
        <f t="shared" si="7"/>
        <v>31347.619047619046</v>
      </c>
      <c r="AW31" s="2282">
        <v>2633.2</v>
      </c>
      <c r="AX31" s="2329">
        <f t="shared" si="12"/>
        <v>1.2080946642802595</v>
      </c>
      <c r="AY31" s="2344">
        <f>AV31/BB16</f>
        <v>1.283861530960507</v>
      </c>
      <c r="AZ31" s="2343">
        <f>BA16</f>
        <v>6</v>
      </c>
      <c r="BA31" s="2338">
        <f>AV31</f>
        <v>31347.619047619046</v>
      </c>
      <c r="BB31" s="2282">
        <f>AZ31*BA31*12/1000</f>
        <v>2257.028571428571</v>
      </c>
      <c r="BC31" s="2329">
        <f t="shared" si="8"/>
        <v>1.2080946642802595</v>
      </c>
      <c r="BD31" s="2320"/>
      <c r="BE31" s="2340">
        <v>5</v>
      </c>
      <c r="BF31" s="2338">
        <f t="shared" si="9"/>
        <v>22876.666666666664</v>
      </c>
      <c r="BG31" s="2282">
        <v>686.3</v>
      </c>
      <c r="BH31" s="2329">
        <f t="shared" si="13"/>
        <v>0.72977365942579364</v>
      </c>
      <c r="BI31" s="2340">
        <v>4</v>
      </c>
      <c r="BJ31" s="2338">
        <f t="shared" si="10"/>
        <v>31052.777777777781</v>
      </c>
      <c r="BK31" s="2282">
        <v>1117.9000000000001</v>
      </c>
      <c r="BL31" s="2329">
        <f t="shared" si="14"/>
        <v>0.99059446047901178</v>
      </c>
      <c r="BM31" s="2327">
        <f t="shared" si="15"/>
        <v>4.5</v>
      </c>
      <c r="BN31" s="2338">
        <f t="shared" si="19"/>
        <v>31970.37037037038</v>
      </c>
      <c r="BO31" s="2254">
        <f t="shared" si="16"/>
        <v>431.60000000000014</v>
      </c>
      <c r="BP31" s="2340">
        <v>7</v>
      </c>
      <c r="BQ31" s="2338">
        <f t="shared" si="20"/>
        <v>34482.380952380954</v>
      </c>
      <c r="BR31" s="2282">
        <f>BP31*BQ31*12/1000</f>
        <v>2896.52</v>
      </c>
      <c r="BS31" s="2329">
        <f t="shared" si="17"/>
        <v>1.1000000000000001</v>
      </c>
      <c r="BT31" s="2340">
        <f t="shared" si="25"/>
        <v>4</v>
      </c>
      <c r="BU31" s="2338">
        <f t="shared" si="26"/>
        <v>34336.17777777779</v>
      </c>
      <c r="BV31" s="2282">
        <f>BT31*BU31*12/1000</f>
        <v>1648.136533333334</v>
      </c>
      <c r="BW31" s="2329">
        <f t="shared" si="18"/>
        <v>1.0953360676489954</v>
      </c>
      <c r="BX31" s="2018">
        <f t="shared" si="23"/>
        <v>1.1057361123535203</v>
      </c>
      <c r="BY31" s="2327" t="e">
        <f>(#REF!+BU31)/2</f>
        <v>#REF!</v>
      </c>
      <c r="BZ31" s="2338" t="e">
        <f t="shared" si="24"/>
        <v>#REF!</v>
      </c>
      <c r="CA31" s="2254" t="e">
        <f>#REF!-BW31</f>
        <v>#REF!</v>
      </c>
    </row>
    <row r="32" spans="1:79" ht="24.95" customHeight="1" thickBot="1">
      <c r="A32" s="2347" t="s">
        <v>207</v>
      </c>
      <c r="B32" s="2348" t="s">
        <v>89</v>
      </c>
      <c r="C32" s="2349"/>
      <c r="D32" s="2350"/>
      <c r="E32" s="2351"/>
      <c r="F32" s="2352"/>
      <c r="G32" s="2350"/>
      <c r="H32" s="2353"/>
      <c r="I32" s="2354"/>
      <c r="J32" s="2350"/>
      <c r="K32" s="2355"/>
      <c r="L32" s="2353"/>
      <c r="M32" s="2354">
        <v>19</v>
      </c>
      <c r="N32" s="2350">
        <f t="shared" si="3"/>
        <v>29728.508771929824</v>
      </c>
      <c r="O32" s="2356">
        <v>6778.1</v>
      </c>
      <c r="P32" s="2357">
        <f>N32/AM17</f>
        <v>1.3130421604372358</v>
      </c>
      <c r="Q32" s="2358"/>
      <c r="R32" s="5370"/>
      <c r="S32" s="2359">
        <v>15</v>
      </c>
      <c r="T32" s="2350">
        <f>AM17*1.056</f>
        <v>23908.832640000001</v>
      </c>
      <c r="U32" s="2356">
        <f>S32*T32*12/1000</f>
        <v>4303.5898752000003</v>
      </c>
      <c r="V32" s="2357">
        <f>T32/AM17</f>
        <v>1.056</v>
      </c>
      <c r="W32" s="2360"/>
      <c r="X32" s="2354">
        <v>17</v>
      </c>
      <c r="Y32" s="2350">
        <f t="shared" si="4"/>
        <v>22040.196078431374</v>
      </c>
      <c r="Z32" s="2356">
        <v>2248.1</v>
      </c>
      <c r="AA32" s="2357">
        <f>Y32/BB17</f>
        <v>0.8998158821645853</v>
      </c>
      <c r="AB32" s="2358"/>
      <c r="AC32" s="594"/>
      <c r="AD32" s="594"/>
      <c r="AE32" s="594"/>
      <c r="AF32" s="594"/>
      <c r="AG32" s="594"/>
      <c r="AH32" s="594"/>
      <c r="AI32" s="594"/>
      <c r="AJ32" s="594"/>
      <c r="AK32" s="594"/>
      <c r="AL32" s="2354">
        <v>16</v>
      </c>
      <c r="AM32" s="2350">
        <f t="shared" si="5"/>
        <v>24753.472222222223</v>
      </c>
      <c r="AN32" s="2356">
        <v>3564.5</v>
      </c>
      <c r="AO32" s="2357">
        <f>AM32/BB17</f>
        <v>1.0105884432703596</v>
      </c>
      <c r="AP32" s="2358"/>
      <c r="AQ32" s="2354">
        <v>16</v>
      </c>
      <c r="AR32" s="2350">
        <f t="shared" si="6"/>
        <v>24427.083333333332</v>
      </c>
      <c r="AS32" s="2356">
        <v>4690</v>
      </c>
      <c r="AT32" s="2357">
        <f t="shared" si="11"/>
        <v>1.0216761186602765</v>
      </c>
      <c r="AU32" s="2354">
        <v>19</v>
      </c>
      <c r="AV32" s="2350">
        <f t="shared" si="7"/>
        <v>29728.508771929824</v>
      </c>
      <c r="AW32" s="2356">
        <v>6778.1</v>
      </c>
      <c r="AX32" s="2357">
        <f t="shared" si="12"/>
        <v>1.2434111367776852</v>
      </c>
      <c r="AY32" s="2361">
        <f>AV32/BB17</f>
        <v>1.2136999258472789</v>
      </c>
      <c r="AZ32" s="2362">
        <f>BA17</f>
        <v>17</v>
      </c>
      <c r="BA32" s="2350">
        <f>AV32</f>
        <v>29728.508771929824</v>
      </c>
      <c r="BB32" s="2356">
        <f>AZ32*BA32*12/1000</f>
        <v>6064.6157894736843</v>
      </c>
      <c r="BC32" s="2357">
        <f t="shared" si="8"/>
        <v>1.2434111367776852</v>
      </c>
      <c r="BD32" s="2358"/>
      <c r="BE32" s="2354">
        <v>15</v>
      </c>
      <c r="BF32" s="2350">
        <f t="shared" si="9"/>
        <v>24044.444444444449</v>
      </c>
      <c r="BG32" s="2356">
        <v>2164</v>
      </c>
      <c r="BH32" s="2357">
        <f t="shared" si="13"/>
        <v>0.80880089307229674</v>
      </c>
      <c r="BI32" s="2354">
        <v>16</v>
      </c>
      <c r="BJ32" s="2350">
        <f t="shared" si="10"/>
        <v>23187.5</v>
      </c>
      <c r="BK32" s="2356">
        <v>3339</v>
      </c>
      <c r="BL32" s="2357">
        <f t="shared" si="14"/>
        <v>0.77997521429309102</v>
      </c>
      <c r="BM32" s="2327">
        <f t="shared" si="15"/>
        <v>15.5</v>
      </c>
      <c r="BN32" s="2338">
        <f t="shared" si="19"/>
        <v>25268.817204301075</v>
      </c>
      <c r="BO32" s="2254">
        <f t="shared" si="16"/>
        <v>1175</v>
      </c>
      <c r="BP32" s="2354">
        <v>19</v>
      </c>
      <c r="BQ32" s="2350">
        <f t="shared" si="20"/>
        <v>32701.359649122809</v>
      </c>
      <c r="BR32" s="2356">
        <f>BP32*BQ32*12/1000</f>
        <v>7455.91</v>
      </c>
      <c r="BS32" s="2357">
        <f t="shared" si="17"/>
        <v>1.1000000000000001</v>
      </c>
      <c r="BT32" s="2354">
        <f t="shared" si="25"/>
        <v>16</v>
      </c>
      <c r="BU32" s="2338">
        <f t="shared" si="26"/>
        <v>27138.709677419356</v>
      </c>
      <c r="BV32" s="2356">
        <f>BT32*BU32*12/1000</f>
        <v>5210.6322580645156</v>
      </c>
      <c r="BW32" s="2357">
        <f t="shared" si="18"/>
        <v>0.91288499822245361</v>
      </c>
      <c r="BX32" s="2018">
        <f t="shared" si="23"/>
        <v>1.1704025736892445</v>
      </c>
      <c r="BY32" s="2327" t="e">
        <f>(#REF!+BU32)/2</f>
        <v>#REF!</v>
      </c>
      <c r="BZ32" s="2338" t="e">
        <f t="shared" si="24"/>
        <v>#REF!</v>
      </c>
      <c r="CA32" s="2254" t="e">
        <f>#REF!-BW32</f>
        <v>#REF!</v>
      </c>
    </row>
    <row r="33" spans="1:76" ht="19.5" thickBot="1">
      <c r="A33" s="5220" t="s">
        <v>857</v>
      </c>
      <c r="B33" s="5774"/>
      <c r="C33" s="5774"/>
      <c r="D33" s="5774"/>
      <c r="E33" s="5774"/>
      <c r="F33" s="5774"/>
      <c r="G33" s="5774"/>
      <c r="H33" s="5774"/>
      <c r="I33" s="5774"/>
      <c r="J33" s="5774"/>
      <c r="K33" s="5774"/>
      <c r="L33" s="5774"/>
      <c r="M33" s="5774"/>
      <c r="N33" s="5774"/>
      <c r="O33" s="5774"/>
      <c r="P33" s="5774"/>
      <c r="Q33" s="5774"/>
      <c r="R33" s="5774"/>
      <c r="S33" s="5774"/>
      <c r="T33" s="5774"/>
      <c r="U33" s="5774"/>
      <c r="V33" s="5774"/>
      <c r="W33" s="5774"/>
      <c r="X33" s="5774"/>
      <c r="Y33" s="5774"/>
      <c r="Z33" s="5774"/>
      <c r="AA33" s="5774"/>
      <c r="AB33" s="5774"/>
      <c r="AC33" s="5774"/>
      <c r="AD33" s="5774"/>
      <c r="AE33" s="5774"/>
      <c r="AF33" s="5774"/>
      <c r="AG33" s="5774"/>
      <c r="AH33" s="5774"/>
      <c r="AI33" s="5774"/>
      <c r="AJ33" s="5774"/>
      <c r="AK33" s="5774"/>
      <c r="AL33" s="5774"/>
      <c r="AM33" s="5774"/>
      <c r="AN33" s="5774"/>
      <c r="AO33" s="5774"/>
      <c r="AP33" s="5774"/>
      <c r="AQ33" s="5774"/>
      <c r="AR33" s="5774"/>
      <c r="AS33" s="5774"/>
      <c r="AT33" s="5774"/>
      <c r="AU33" s="5774"/>
      <c r="AV33" s="5774"/>
      <c r="AW33" s="5774"/>
      <c r="AX33" s="5774"/>
      <c r="AY33" s="5774"/>
      <c r="AZ33" s="5774"/>
      <c r="BA33" s="5774"/>
      <c r="BB33" s="5774"/>
      <c r="BC33" s="5774"/>
      <c r="BD33" s="5774"/>
      <c r="BE33" s="5774"/>
      <c r="BF33" s="5774"/>
      <c r="BG33" s="5774"/>
      <c r="BH33" s="5774"/>
      <c r="BI33" s="5774"/>
      <c r="BJ33" s="5774"/>
      <c r="BK33" s="5774"/>
      <c r="BL33" s="5774"/>
      <c r="BM33" s="5774"/>
      <c r="BN33" s="5774"/>
      <c r="BO33" s="5774"/>
      <c r="BP33" s="5774"/>
      <c r="BQ33" s="5774"/>
      <c r="BR33" s="5774"/>
      <c r="BS33" s="5774"/>
      <c r="BT33" s="5774"/>
      <c r="BU33" s="5774"/>
      <c r="BV33" s="5774"/>
      <c r="BW33" s="5774"/>
      <c r="BX33" s="5775"/>
    </row>
    <row r="34" spans="1:76" ht="37.5" customHeight="1">
      <c r="A34" s="5866" t="s">
        <v>258</v>
      </c>
      <c r="B34" s="5867"/>
      <c r="C34" s="1208"/>
      <c r="D34" s="596"/>
      <c r="E34" s="596"/>
      <c r="F34" s="596"/>
      <c r="G34" s="596"/>
      <c r="H34" s="596"/>
      <c r="I34" s="596"/>
      <c r="J34" s="596"/>
      <c r="K34" s="596"/>
      <c r="L34" s="1216"/>
      <c r="M34" s="1204"/>
      <c r="N34" s="597">
        <f>(O23+O28)/(M23+M28)/12*1000</f>
        <v>26931.3782051282</v>
      </c>
      <c r="O34" s="596"/>
      <c r="P34" s="595"/>
      <c r="Q34" s="1208"/>
      <c r="R34" s="5864"/>
      <c r="S34" s="1204"/>
      <c r="T34" s="597">
        <f>(U23+U28)/(S23+S28)/12*1000</f>
        <v>15736.30143528287</v>
      </c>
      <c r="U34" s="596"/>
      <c r="V34" s="596"/>
      <c r="W34" s="595"/>
      <c r="X34" s="1259"/>
      <c r="Y34" s="597">
        <f>(Z23+Z28)/(X23+X28)/6*1000</f>
        <v>22071.124261976194</v>
      </c>
      <c r="Z34" s="598"/>
      <c r="AA34" s="595"/>
      <c r="AB34" s="1208"/>
      <c r="AC34" s="596"/>
      <c r="AD34" s="596"/>
      <c r="AE34" s="596"/>
      <c r="AF34" s="596"/>
      <c r="AG34" s="596"/>
      <c r="AH34" s="596"/>
      <c r="AI34" s="596"/>
      <c r="AJ34" s="596"/>
      <c r="AK34" s="1216"/>
      <c r="AL34" s="1259"/>
      <c r="AM34" s="597">
        <f>(AN23+AN28)/(AL23+AL28)/9*1000</f>
        <v>23101.92837465565</v>
      </c>
      <c r="AN34" s="598"/>
      <c r="AO34" s="595"/>
      <c r="AP34" s="1183"/>
      <c r="AQ34" s="1259"/>
      <c r="AR34" s="597">
        <f>(AS23+AS28)/(AQ23+AQ28)/12*1000</f>
        <v>23276.997245179064</v>
      </c>
      <c r="AS34" s="598"/>
      <c r="AT34" s="1185">
        <f t="shared" si="11"/>
        <v>1.4791911136748408</v>
      </c>
      <c r="AU34" s="1204"/>
      <c r="AV34" s="597">
        <f>(AW23+AW28)/(AU23+AU28)/12*1000</f>
        <v>25563.717948717946</v>
      </c>
      <c r="AW34" s="596"/>
      <c r="AX34" s="596"/>
      <c r="AY34" s="595"/>
      <c r="AZ34" s="1204"/>
      <c r="BA34" s="597">
        <f>(BB23+BB28)/(AZ23+AZ28)/12*1000</f>
        <v>25597.995857856873</v>
      </c>
      <c r="BB34" s="596"/>
      <c r="BC34" s="1260">
        <f>BA34/T34</f>
        <v>1.6266843872514274</v>
      </c>
      <c r="BD34" s="1184"/>
      <c r="BE34" s="1259"/>
      <c r="BF34" s="597">
        <f>(BG23+BG28)/(BE23+BE28)/6*1000</f>
        <v>23259.453781512606</v>
      </c>
      <c r="BG34" s="598"/>
      <c r="BH34" s="1185">
        <f t="shared" si="13"/>
        <v>0.90986193120156444</v>
      </c>
      <c r="BI34" s="1259"/>
      <c r="BJ34" s="597">
        <f>(BK23+BK28)/(BI23+BI28)/9*1000</f>
        <v>23705.234159779615</v>
      </c>
      <c r="BK34" s="598"/>
      <c r="BL34" s="1185">
        <f t="shared" si="14"/>
        <v>0.9260582075023539</v>
      </c>
      <c r="BM34" s="2363"/>
      <c r="BN34" s="597">
        <f>(BO23+BO28)/(BM23+BM28)/3*1000</f>
        <v>25577.083333333336</v>
      </c>
      <c r="BO34" s="2363"/>
      <c r="BP34" s="1204"/>
      <c r="BQ34" s="597">
        <f>(BR23+BR28)/(BP23+BP28)/12*1000</f>
        <v>28120.089743589746</v>
      </c>
      <c r="BR34" s="596"/>
      <c r="BS34" s="1185">
        <f t="shared" si="17"/>
        <v>1.0985270057756791</v>
      </c>
      <c r="BT34" s="1204"/>
      <c r="BU34" s="597">
        <f>(BV23+BV28)/(BT23+BT28)/12*1000</f>
        <v>27456.077812229923</v>
      </c>
      <c r="BV34" s="596"/>
      <c r="BW34" s="1185">
        <f t="shared" si="18"/>
        <v>1.0725870089475285</v>
      </c>
      <c r="BX34" s="2018">
        <f t="shared" si="23"/>
        <v>1.1582285003880839</v>
      </c>
    </row>
    <row r="35" spans="1:76" ht="37.5" customHeight="1">
      <c r="A35" s="5885" t="s">
        <v>256</v>
      </c>
      <c r="B35" s="5886"/>
      <c r="C35" s="2364"/>
      <c r="D35" s="2365"/>
      <c r="E35" s="2365"/>
      <c r="F35" s="2365"/>
      <c r="G35" s="2365"/>
      <c r="H35" s="2365"/>
      <c r="I35" s="2365"/>
      <c r="J35" s="2365"/>
      <c r="K35" s="2365"/>
      <c r="L35" s="2333"/>
      <c r="M35" s="2366"/>
      <c r="N35" s="2367">
        <f>N23</f>
        <v>25754.516129032254</v>
      </c>
      <c r="O35" s="2365"/>
      <c r="P35" s="2344">
        <f>N35/AM7</f>
        <v>2.7583455187985857</v>
      </c>
      <c r="Q35" s="2364"/>
      <c r="R35" s="5864"/>
      <c r="S35" s="2366"/>
      <c r="T35" s="2367">
        <f>T23</f>
        <v>9859.8122849032261</v>
      </c>
      <c r="U35" s="2365"/>
      <c r="V35" s="2088">
        <f>T35/AM7</f>
        <v>1.056</v>
      </c>
      <c r="W35" s="2320"/>
      <c r="X35" s="2368"/>
      <c r="Y35" s="2367">
        <f>Y23</f>
        <v>21580.822040944742</v>
      </c>
      <c r="Z35" s="2338"/>
      <c r="AA35" s="2334">
        <f>Y35/T35</f>
        <v>2.1887660147433077</v>
      </c>
      <c r="AB35" s="2364"/>
      <c r="AC35" s="2365"/>
      <c r="AD35" s="2365"/>
      <c r="AE35" s="2365"/>
      <c r="AF35" s="2365"/>
      <c r="AG35" s="2365"/>
      <c r="AH35" s="2365"/>
      <c r="AI35" s="2365"/>
      <c r="AJ35" s="2365"/>
      <c r="AK35" s="2333"/>
      <c r="AL35" s="2368"/>
      <c r="AM35" s="2367">
        <f>AM23</f>
        <v>22609.909909909911</v>
      </c>
      <c r="AN35" s="2338"/>
      <c r="AO35" s="2334">
        <f>AM35/T35</f>
        <v>2.2931379682074575</v>
      </c>
      <c r="AP35" s="2369"/>
      <c r="AQ35" s="2368"/>
      <c r="AR35" s="2367">
        <f>AR23</f>
        <v>22770.326576576579</v>
      </c>
      <c r="AS35" s="2338"/>
      <c r="AT35" s="2329">
        <f t="shared" si="11"/>
        <v>2.3094077167616249</v>
      </c>
      <c r="AU35" s="2366"/>
      <c r="AV35" s="2367">
        <f>AV23</f>
        <v>23460.37634408602</v>
      </c>
      <c r="AW35" s="2365"/>
      <c r="AX35" s="2088">
        <f>AV35/T35</f>
        <v>2.3793938125989671</v>
      </c>
      <c r="AY35" s="2320"/>
      <c r="AZ35" s="2366"/>
      <c r="BA35" s="2367">
        <f>BA23</f>
        <v>23530.113691896189</v>
      </c>
      <c r="BB35" s="2365"/>
      <c r="BC35" s="2344">
        <f>BA35/T35</f>
        <v>2.3864667005805109</v>
      </c>
      <c r="BD35" s="2370"/>
      <c r="BE35" s="2368"/>
      <c r="BF35" s="2367">
        <f>BF23</f>
        <v>22832.175925925923</v>
      </c>
      <c r="BG35" s="2338"/>
      <c r="BH35" s="2329">
        <f t="shared" si="13"/>
        <v>0.9732229181260148</v>
      </c>
      <c r="BI35" s="2368"/>
      <c r="BJ35" s="2367">
        <f>BJ23</f>
        <v>22988.888888888887</v>
      </c>
      <c r="BK35" s="2338"/>
      <c r="BL35" s="2329">
        <f t="shared" si="14"/>
        <v>0.9769986320468268</v>
      </c>
      <c r="BM35" s="2371"/>
      <c r="BN35" s="2367">
        <f>BN23</f>
        <v>24872.602739726019</v>
      </c>
      <c r="BO35" s="2371"/>
      <c r="BP35" s="2366"/>
      <c r="BQ35" s="2367">
        <f>BQ23</f>
        <v>25806.413978494627</v>
      </c>
      <c r="BR35" s="2365"/>
      <c r="BS35" s="2329">
        <f t="shared" si="17"/>
        <v>1.0967398762455789</v>
      </c>
      <c r="BT35" s="2366"/>
      <c r="BU35" s="2367">
        <f>BU23</f>
        <v>26725.298409525822</v>
      </c>
      <c r="BV35" s="2365"/>
      <c r="BW35" s="2329">
        <f t="shared" si="18"/>
        <v>1.1357912995860304</v>
      </c>
      <c r="BX35" s="2018">
        <f t="shared" si="23"/>
        <v>1.1625311052959517</v>
      </c>
    </row>
    <row r="36" spans="1:76" ht="37.5" customHeight="1" thickBot="1">
      <c r="A36" s="599" t="s">
        <v>257</v>
      </c>
      <c r="B36" s="600"/>
      <c r="C36" s="1205"/>
      <c r="D36" s="2372"/>
      <c r="E36" s="2372"/>
      <c r="F36" s="2372"/>
      <c r="G36" s="2372"/>
      <c r="H36" s="2372"/>
      <c r="I36" s="2372"/>
      <c r="J36" s="2372"/>
      <c r="K36" s="2372"/>
      <c r="L36" s="2373"/>
      <c r="M36" s="599"/>
      <c r="N36" s="2374">
        <f>N28</f>
        <v>28668.650793650795</v>
      </c>
      <c r="O36" s="2372"/>
      <c r="P36" s="1253">
        <f>N36/AM13</f>
        <v>1.2088032234986785</v>
      </c>
      <c r="Q36" s="1205"/>
      <c r="R36" s="5865"/>
      <c r="S36" s="599"/>
      <c r="T36" s="2374">
        <f>T28</f>
        <v>25224.382875999996</v>
      </c>
      <c r="U36" s="2372"/>
      <c r="V36" s="2375">
        <f>T36/AM13</f>
        <v>1.0635769206839176</v>
      </c>
      <c r="W36" s="600"/>
      <c r="X36" s="1254"/>
      <c r="Y36" s="2374">
        <f>Y28</f>
        <v>22836.666666666668</v>
      </c>
      <c r="Z36" s="2376"/>
      <c r="AA36" s="1255">
        <f>Y36/T36</f>
        <v>0.90534094645363372</v>
      </c>
      <c r="AB36" s="1205"/>
      <c r="AC36" s="2372"/>
      <c r="AD36" s="2372"/>
      <c r="AE36" s="2372"/>
      <c r="AF36" s="2372"/>
      <c r="AG36" s="2372"/>
      <c r="AH36" s="2372"/>
      <c r="AI36" s="2372"/>
      <c r="AJ36" s="2372"/>
      <c r="AK36" s="2373"/>
      <c r="AL36" s="1254"/>
      <c r="AM36" s="2374">
        <f>AM28</f>
        <v>23876.59574468085</v>
      </c>
      <c r="AN36" s="2376"/>
      <c r="AO36" s="1255">
        <f>AM36/T36</f>
        <v>0.94656808303518447</v>
      </c>
      <c r="AP36" s="1181"/>
      <c r="AQ36" s="1254"/>
      <c r="AR36" s="2374">
        <f>AR28</f>
        <v>24074.734042553187</v>
      </c>
      <c r="AS36" s="2376"/>
      <c r="AT36" s="2377">
        <f t="shared" si="11"/>
        <v>0.95442311357632248</v>
      </c>
      <c r="AU36" s="599"/>
      <c r="AV36" s="2374">
        <f>AV28</f>
        <v>28668.650793650795</v>
      </c>
      <c r="AW36" s="2372"/>
      <c r="AX36" s="2375">
        <f>AV36/T36</f>
        <v>1.1365451806921265</v>
      </c>
      <c r="AY36" s="600"/>
      <c r="AZ36" s="599"/>
      <c r="BA36" s="2374">
        <f>BA28</f>
        <v>28763.121622082414</v>
      </c>
      <c r="BB36" s="2372"/>
      <c r="BC36" s="1253">
        <f>BA36/T36</f>
        <v>1.1402903993123807</v>
      </c>
      <c r="BD36" s="1182"/>
      <c r="BE36" s="1254"/>
      <c r="BF36" s="2374">
        <f>BF28</f>
        <v>23914.007092198586</v>
      </c>
      <c r="BG36" s="2376"/>
      <c r="BH36" s="2377">
        <f t="shared" si="13"/>
        <v>0.83415181496768542</v>
      </c>
      <c r="BI36" s="1254"/>
      <c r="BJ36" s="2374">
        <f>BJ28</f>
        <v>24833.096926713952</v>
      </c>
      <c r="BK36" s="2376"/>
      <c r="BL36" s="2377">
        <f t="shared" si="14"/>
        <v>0.86336584926334103</v>
      </c>
      <c r="BM36" s="2378"/>
      <c r="BN36" s="2374">
        <f>BN28</f>
        <v>26671.27659574469</v>
      </c>
      <c r="BO36" s="2378"/>
      <c r="BP36" s="599"/>
      <c r="BQ36" s="2374">
        <f>BQ28</f>
        <v>31535.515873015873</v>
      </c>
      <c r="BR36" s="2372"/>
      <c r="BS36" s="2377">
        <f t="shared" si="17"/>
        <v>1.0963871128926772</v>
      </c>
      <c r="BT36" s="599"/>
      <c r="BU36" s="2374">
        <f>BU28</f>
        <v>28606.666659040642</v>
      </c>
      <c r="BV36" s="2372"/>
      <c r="BW36" s="2377">
        <f t="shared" si="18"/>
        <v>0.99456057082060056</v>
      </c>
      <c r="BX36" s="2018">
        <f t="shared" si="23"/>
        <v>1.1519572747395559</v>
      </c>
    </row>
    <row r="39" spans="1:76" ht="50.25" customHeight="1">
      <c r="A39" s="5829" t="s">
        <v>1040</v>
      </c>
      <c r="B39" s="5829"/>
      <c r="C39" s="5829"/>
      <c r="D39" s="5829"/>
      <c r="E39" s="5829"/>
      <c r="F39" s="5829"/>
      <c r="G39" s="5829"/>
      <c r="H39" s="5829"/>
      <c r="I39" s="5829"/>
      <c r="J39" s="5829"/>
      <c r="K39" s="5829"/>
      <c r="L39" s="5829"/>
      <c r="M39" s="5829"/>
      <c r="N39" s="5829"/>
      <c r="O39" s="5829"/>
      <c r="P39" s="5829"/>
      <c r="Q39" s="5829"/>
      <c r="R39" s="5829"/>
      <c r="S39" s="5829"/>
      <c r="T39" s="5829"/>
      <c r="U39" s="5829"/>
      <c r="V39" s="5829"/>
      <c r="W39" s="5829"/>
      <c r="X39" s="5829"/>
      <c r="Y39" s="5829"/>
      <c r="Z39" s="5829"/>
      <c r="AA39" s="5829"/>
      <c r="AB39" s="5829"/>
      <c r="AC39" s="5829"/>
      <c r="AD39" s="5829"/>
      <c r="AE39" s="5829"/>
      <c r="AF39" s="5829"/>
      <c r="AG39" s="5829"/>
      <c r="AH39" s="5829"/>
      <c r="AI39" s="5829"/>
      <c r="AJ39" s="5829"/>
      <c r="AK39" s="5829"/>
      <c r="AL39" s="5829"/>
      <c r="AM39" s="5829"/>
      <c r="AN39" s="5829"/>
      <c r="AO39" s="5829"/>
      <c r="AP39" s="5829"/>
      <c r="AQ39" s="5829"/>
      <c r="AR39" s="5829"/>
      <c r="AS39" s="5829"/>
      <c r="AT39" s="5829"/>
      <c r="AU39" s="5829"/>
      <c r="AV39" s="5829"/>
      <c r="AW39" s="5829"/>
      <c r="AX39" s="5829"/>
      <c r="AY39" s="5829"/>
      <c r="AZ39" s="5829"/>
      <c r="BA39" s="5829"/>
      <c r="BB39" s="5829"/>
      <c r="BC39" s="5829"/>
      <c r="BD39" s="5829"/>
      <c r="BE39" s="5829"/>
      <c r="BF39" s="5829"/>
      <c r="BG39" s="5829"/>
      <c r="BH39" s="5829"/>
      <c r="BI39" s="5829"/>
      <c r="BJ39" s="5829"/>
      <c r="BK39" s="5829"/>
      <c r="BL39" s="5829"/>
      <c r="BM39" s="5829"/>
      <c r="BN39" s="5829"/>
      <c r="BO39" s="5829"/>
      <c r="BP39" s="5829"/>
      <c r="BQ39" s="5829"/>
      <c r="BR39" s="5829"/>
      <c r="BS39" s="5829"/>
      <c r="BT39" s="5829"/>
      <c r="BU39" s="5829"/>
      <c r="BV39" s="5829"/>
      <c r="BW39" s="5829"/>
      <c r="BX39" s="5829"/>
    </row>
    <row r="46" spans="1:76">
      <c r="BJ46" s="2016"/>
    </row>
  </sheetData>
  <mergeCells count="49">
    <mergeCell ref="BY20:CA21"/>
    <mergeCell ref="BP19:CA19"/>
    <mergeCell ref="A1:BX1"/>
    <mergeCell ref="A2:AP2"/>
    <mergeCell ref="A3:A5"/>
    <mergeCell ref="B3:B5"/>
    <mergeCell ref="C3:E4"/>
    <mergeCell ref="F3:H4"/>
    <mergeCell ref="I3:L3"/>
    <mergeCell ref="M3:O4"/>
    <mergeCell ref="P3:R4"/>
    <mergeCell ref="S3:U4"/>
    <mergeCell ref="V3:X4"/>
    <mergeCell ref="Y3:AA4"/>
    <mergeCell ref="AB3:AF4"/>
    <mergeCell ref="AG3:AK3"/>
    <mergeCell ref="AL3:AP4"/>
    <mergeCell ref="AX3:AZ4"/>
    <mergeCell ref="BA3:BC4"/>
    <mergeCell ref="BD3:BD5"/>
    <mergeCell ref="AG4:AG5"/>
    <mergeCell ref="AH4:AI4"/>
    <mergeCell ref="AJ4:AK4"/>
    <mergeCell ref="AU3:AW4"/>
    <mergeCell ref="A19:A22"/>
    <mergeCell ref="B19:B22"/>
    <mergeCell ref="M19:AT19"/>
    <mergeCell ref="AU19:BO19"/>
    <mergeCell ref="C20:E21"/>
    <mergeCell ref="F20:H21"/>
    <mergeCell ref="I20:L20"/>
    <mergeCell ref="M20:Q21"/>
    <mergeCell ref="BT20:BX21"/>
    <mergeCell ref="R20:R32"/>
    <mergeCell ref="S20:W21"/>
    <mergeCell ref="X20:AB21"/>
    <mergeCell ref="AL20:AP21"/>
    <mergeCell ref="AQ20:AT21"/>
    <mergeCell ref="AU20:AY21"/>
    <mergeCell ref="AZ20:BD21"/>
    <mergeCell ref="BE20:BH21"/>
    <mergeCell ref="BI20:BL21"/>
    <mergeCell ref="BM20:BO21"/>
    <mergeCell ref="BP20:BS21"/>
    <mergeCell ref="A33:BX33"/>
    <mergeCell ref="A34:B34"/>
    <mergeCell ref="R34:R36"/>
    <mergeCell ref="A35:B35"/>
    <mergeCell ref="A39:BX39"/>
  </mergeCells>
  <printOptions horizontalCentered="1" verticalCentered="1"/>
  <pageMargins left="0.11811023622047245" right="0.11811023622047245" top="0.74803149606299213" bottom="0.74803149606299213" header="0.31496062992125984" footer="0.31496062992125984"/>
  <pageSetup paperSize="9" scale="23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T72"/>
  <sheetViews>
    <sheetView topLeftCell="A31" zoomScale="80" zoomScaleNormal="80" zoomScaleSheetLayoutView="65" workbookViewId="0">
      <selection sqref="A1:T35"/>
    </sheetView>
  </sheetViews>
  <sheetFormatPr defaultRowHeight="15"/>
  <cols>
    <col min="1" max="1" width="18" style="1966" customWidth="1"/>
    <col min="2" max="2" width="21.140625" style="1966" customWidth="1"/>
    <col min="3" max="3" width="7.7109375" style="1966" customWidth="1"/>
    <col min="4" max="4" width="9.5703125" style="1966" customWidth="1"/>
    <col min="5" max="5" width="7.7109375" style="1966" customWidth="1"/>
    <col min="6" max="6" width="9.7109375" style="1966" customWidth="1"/>
    <col min="7" max="7" width="7.7109375" style="1966" customWidth="1"/>
    <col min="8" max="8" width="13.140625" style="1966" customWidth="1"/>
    <col min="9" max="9" width="7.7109375" style="1966" customWidth="1"/>
    <col min="10" max="10" width="9.7109375" style="1966" customWidth="1"/>
    <col min="11" max="11" width="7.7109375" style="1966" customWidth="1"/>
    <col min="12" max="12" width="9.7109375" style="1966" customWidth="1"/>
    <col min="13" max="13" width="7.7109375" style="1966" customWidth="1"/>
    <col min="14" max="14" width="9.7109375" style="1966" customWidth="1"/>
    <col min="15" max="15" width="7.7109375" style="1966" customWidth="1"/>
    <col min="16" max="16" width="9.7109375" style="1966" customWidth="1"/>
    <col min="17" max="17" width="7.7109375" style="1966" customWidth="1"/>
    <col min="18" max="18" width="9.7109375" style="1966" customWidth="1"/>
    <col min="19" max="19" width="7.7109375" style="1966" customWidth="1"/>
    <col min="20" max="20" width="9.7109375" style="1966" customWidth="1"/>
    <col min="21" max="248" width="9.140625" style="1966"/>
    <col min="249" max="249" width="18" style="1966" customWidth="1"/>
    <col min="250" max="250" width="21.140625" style="1966" customWidth="1"/>
    <col min="251" max="251" width="13" style="1966" customWidth="1"/>
    <col min="252" max="252" width="14.5703125" style="1966" customWidth="1"/>
    <col min="253" max="253" width="11.5703125" style="1966" customWidth="1"/>
    <col min="254" max="254" width="14.5703125" style="1966" customWidth="1"/>
    <col min="255" max="255" width="13.28515625" style="1966" customWidth="1"/>
    <col min="256" max="256" width="13.42578125" style="1966" customWidth="1"/>
    <col min="257" max="257" width="14.140625" style="1966" customWidth="1"/>
    <col min="258" max="258" width="17.5703125" style="1966" customWidth="1"/>
    <col min="259" max="259" width="16" style="1966" customWidth="1"/>
    <col min="260" max="260" width="19" style="1966" customWidth="1"/>
    <col min="261" max="261" width="14" style="1966" customWidth="1"/>
    <col min="262" max="265" width="19.140625" style="1966" customWidth="1"/>
    <col min="266" max="266" width="15" style="1966" customWidth="1"/>
    <col min="267" max="267" width="22" style="1966" customWidth="1"/>
    <col min="268" max="268" width="19.42578125" style="1966" customWidth="1"/>
    <col min="269" max="269" width="15" style="1966" customWidth="1"/>
    <col min="270" max="270" width="19.28515625" style="1966" customWidth="1"/>
    <col min="271" max="271" width="19.85546875" style="1966" customWidth="1"/>
    <col min="272" max="272" width="19.5703125" style="1966" customWidth="1"/>
    <col min="273" max="273" width="14" style="1966" customWidth="1"/>
    <col min="274" max="274" width="16.42578125" style="1966" customWidth="1"/>
    <col min="275" max="275" width="18.140625" style="1966" customWidth="1"/>
    <col min="276" max="276" width="15.85546875" style="1966" customWidth="1"/>
    <col min="277" max="504" width="9.140625" style="1966"/>
    <col min="505" max="505" width="18" style="1966" customWidth="1"/>
    <col min="506" max="506" width="21.140625" style="1966" customWidth="1"/>
    <col min="507" max="507" width="13" style="1966" customWidth="1"/>
    <col min="508" max="508" width="14.5703125" style="1966" customWidth="1"/>
    <col min="509" max="509" width="11.5703125" style="1966" customWidth="1"/>
    <col min="510" max="510" width="14.5703125" style="1966" customWidth="1"/>
    <col min="511" max="511" width="13.28515625" style="1966" customWidth="1"/>
    <col min="512" max="512" width="13.42578125" style="1966" customWidth="1"/>
    <col min="513" max="513" width="14.140625" style="1966" customWidth="1"/>
    <col min="514" max="514" width="17.5703125" style="1966" customWidth="1"/>
    <col min="515" max="515" width="16" style="1966" customWidth="1"/>
    <col min="516" max="516" width="19" style="1966" customWidth="1"/>
    <col min="517" max="517" width="14" style="1966" customWidth="1"/>
    <col min="518" max="521" width="19.140625" style="1966" customWidth="1"/>
    <col min="522" max="522" width="15" style="1966" customWidth="1"/>
    <col min="523" max="523" width="22" style="1966" customWidth="1"/>
    <col min="524" max="524" width="19.42578125" style="1966" customWidth="1"/>
    <col min="525" max="525" width="15" style="1966" customWidth="1"/>
    <col min="526" max="526" width="19.28515625" style="1966" customWidth="1"/>
    <col min="527" max="527" width="19.85546875" style="1966" customWidth="1"/>
    <col min="528" max="528" width="19.5703125" style="1966" customWidth="1"/>
    <col min="529" max="529" width="14" style="1966" customWidth="1"/>
    <col min="530" max="530" width="16.42578125" style="1966" customWidth="1"/>
    <col min="531" max="531" width="18.140625" style="1966" customWidth="1"/>
    <col min="532" max="532" width="15.85546875" style="1966" customWidth="1"/>
    <col min="533" max="760" width="9.140625" style="1966"/>
    <col min="761" max="761" width="18" style="1966" customWidth="1"/>
    <col min="762" max="762" width="21.140625" style="1966" customWidth="1"/>
    <col min="763" max="763" width="13" style="1966" customWidth="1"/>
    <col min="764" max="764" width="14.5703125" style="1966" customWidth="1"/>
    <col min="765" max="765" width="11.5703125" style="1966" customWidth="1"/>
    <col min="766" max="766" width="14.5703125" style="1966" customWidth="1"/>
    <col min="767" max="767" width="13.28515625" style="1966" customWidth="1"/>
    <col min="768" max="768" width="13.42578125" style="1966" customWidth="1"/>
    <col min="769" max="769" width="14.140625" style="1966" customWidth="1"/>
    <col min="770" max="770" width="17.5703125" style="1966" customWidth="1"/>
    <col min="771" max="771" width="16" style="1966" customWidth="1"/>
    <col min="772" max="772" width="19" style="1966" customWidth="1"/>
    <col min="773" max="773" width="14" style="1966" customWidth="1"/>
    <col min="774" max="777" width="19.140625" style="1966" customWidth="1"/>
    <col min="778" max="778" width="15" style="1966" customWidth="1"/>
    <col min="779" max="779" width="22" style="1966" customWidth="1"/>
    <col min="780" max="780" width="19.42578125" style="1966" customWidth="1"/>
    <col min="781" max="781" width="15" style="1966" customWidth="1"/>
    <col min="782" max="782" width="19.28515625" style="1966" customWidth="1"/>
    <col min="783" max="783" width="19.85546875" style="1966" customWidth="1"/>
    <col min="784" max="784" width="19.5703125" style="1966" customWidth="1"/>
    <col min="785" max="785" width="14" style="1966" customWidth="1"/>
    <col min="786" max="786" width="16.42578125" style="1966" customWidth="1"/>
    <col min="787" max="787" width="18.140625" style="1966" customWidth="1"/>
    <col min="788" max="788" width="15.85546875" style="1966" customWidth="1"/>
    <col min="789" max="1016" width="9.140625" style="1966"/>
    <col min="1017" max="1017" width="18" style="1966" customWidth="1"/>
    <col min="1018" max="1018" width="21.140625" style="1966" customWidth="1"/>
    <col min="1019" max="1019" width="13" style="1966" customWidth="1"/>
    <col min="1020" max="1020" width="14.5703125" style="1966" customWidth="1"/>
    <col min="1021" max="1021" width="11.5703125" style="1966" customWidth="1"/>
    <col min="1022" max="1022" width="14.5703125" style="1966" customWidth="1"/>
    <col min="1023" max="1023" width="13.28515625" style="1966" customWidth="1"/>
    <col min="1024" max="1024" width="13.42578125" style="1966" customWidth="1"/>
    <col min="1025" max="1025" width="14.140625" style="1966" customWidth="1"/>
    <col min="1026" max="1026" width="17.5703125" style="1966" customWidth="1"/>
    <col min="1027" max="1027" width="16" style="1966" customWidth="1"/>
    <col min="1028" max="1028" width="19" style="1966" customWidth="1"/>
    <col min="1029" max="1029" width="14" style="1966" customWidth="1"/>
    <col min="1030" max="1033" width="19.140625" style="1966" customWidth="1"/>
    <col min="1034" max="1034" width="15" style="1966" customWidth="1"/>
    <col min="1035" max="1035" width="22" style="1966" customWidth="1"/>
    <col min="1036" max="1036" width="19.42578125" style="1966" customWidth="1"/>
    <col min="1037" max="1037" width="15" style="1966" customWidth="1"/>
    <col min="1038" max="1038" width="19.28515625" style="1966" customWidth="1"/>
    <col min="1039" max="1039" width="19.85546875" style="1966" customWidth="1"/>
    <col min="1040" max="1040" width="19.5703125" style="1966" customWidth="1"/>
    <col min="1041" max="1041" width="14" style="1966" customWidth="1"/>
    <col min="1042" max="1042" width="16.42578125" style="1966" customWidth="1"/>
    <col min="1043" max="1043" width="18.140625" style="1966" customWidth="1"/>
    <col min="1044" max="1044" width="15.85546875" style="1966" customWidth="1"/>
    <col min="1045" max="1272" width="9.140625" style="1966"/>
    <col min="1273" max="1273" width="18" style="1966" customWidth="1"/>
    <col min="1274" max="1274" width="21.140625" style="1966" customWidth="1"/>
    <col min="1275" max="1275" width="13" style="1966" customWidth="1"/>
    <col min="1276" max="1276" width="14.5703125" style="1966" customWidth="1"/>
    <col min="1277" max="1277" width="11.5703125" style="1966" customWidth="1"/>
    <col min="1278" max="1278" width="14.5703125" style="1966" customWidth="1"/>
    <col min="1279" max="1279" width="13.28515625" style="1966" customWidth="1"/>
    <col min="1280" max="1280" width="13.42578125" style="1966" customWidth="1"/>
    <col min="1281" max="1281" width="14.140625" style="1966" customWidth="1"/>
    <col min="1282" max="1282" width="17.5703125" style="1966" customWidth="1"/>
    <col min="1283" max="1283" width="16" style="1966" customWidth="1"/>
    <col min="1284" max="1284" width="19" style="1966" customWidth="1"/>
    <col min="1285" max="1285" width="14" style="1966" customWidth="1"/>
    <col min="1286" max="1289" width="19.140625" style="1966" customWidth="1"/>
    <col min="1290" max="1290" width="15" style="1966" customWidth="1"/>
    <col min="1291" max="1291" width="22" style="1966" customWidth="1"/>
    <col min="1292" max="1292" width="19.42578125" style="1966" customWidth="1"/>
    <col min="1293" max="1293" width="15" style="1966" customWidth="1"/>
    <col min="1294" max="1294" width="19.28515625" style="1966" customWidth="1"/>
    <col min="1295" max="1295" width="19.85546875" style="1966" customWidth="1"/>
    <col min="1296" max="1296" width="19.5703125" style="1966" customWidth="1"/>
    <col min="1297" max="1297" width="14" style="1966" customWidth="1"/>
    <col min="1298" max="1298" width="16.42578125" style="1966" customWidth="1"/>
    <col min="1299" max="1299" width="18.140625" style="1966" customWidth="1"/>
    <col min="1300" max="1300" width="15.85546875" style="1966" customWidth="1"/>
    <col min="1301" max="1528" width="9.140625" style="1966"/>
    <col min="1529" max="1529" width="18" style="1966" customWidth="1"/>
    <col min="1530" max="1530" width="21.140625" style="1966" customWidth="1"/>
    <col min="1531" max="1531" width="13" style="1966" customWidth="1"/>
    <col min="1532" max="1532" width="14.5703125" style="1966" customWidth="1"/>
    <col min="1533" max="1533" width="11.5703125" style="1966" customWidth="1"/>
    <col min="1534" max="1534" width="14.5703125" style="1966" customWidth="1"/>
    <col min="1535" max="1535" width="13.28515625" style="1966" customWidth="1"/>
    <col min="1536" max="1536" width="13.42578125" style="1966" customWidth="1"/>
    <col min="1537" max="1537" width="14.140625" style="1966" customWidth="1"/>
    <col min="1538" max="1538" width="17.5703125" style="1966" customWidth="1"/>
    <col min="1539" max="1539" width="16" style="1966" customWidth="1"/>
    <col min="1540" max="1540" width="19" style="1966" customWidth="1"/>
    <col min="1541" max="1541" width="14" style="1966" customWidth="1"/>
    <col min="1542" max="1545" width="19.140625" style="1966" customWidth="1"/>
    <col min="1546" max="1546" width="15" style="1966" customWidth="1"/>
    <col min="1547" max="1547" width="22" style="1966" customWidth="1"/>
    <col min="1548" max="1548" width="19.42578125" style="1966" customWidth="1"/>
    <col min="1549" max="1549" width="15" style="1966" customWidth="1"/>
    <col min="1550" max="1550" width="19.28515625" style="1966" customWidth="1"/>
    <col min="1551" max="1551" width="19.85546875" style="1966" customWidth="1"/>
    <col min="1552" max="1552" width="19.5703125" style="1966" customWidth="1"/>
    <col min="1553" max="1553" width="14" style="1966" customWidth="1"/>
    <col min="1554" max="1554" width="16.42578125" style="1966" customWidth="1"/>
    <col min="1555" max="1555" width="18.140625" style="1966" customWidth="1"/>
    <col min="1556" max="1556" width="15.85546875" style="1966" customWidth="1"/>
    <col min="1557" max="1784" width="9.140625" style="1966"/>
    <col min="1785" max="1785" width="18" style="1966" customWidth="1"/>
    <col min="1786" max="1786" width="21.140625" style="1966" customWidth="1"/>
    <col min="1787" max="1787" width="13" style="1966" customWidth="1"/>
    <col min="1788" max="1788" width="14.5703125" style="1966" customWidth="1"/>
    <col min="1789" max="1789" width="11.5703125" style="1966" customWidth="1"/>
    <col min="1790" max="1790" width="14.5703125" style="1966" customWidth="1"/>
    <col min="1791" max="1791" width="13.28515625" style="1966" customWidth="1"/>
    <col min="1792" max="1792" width="13.42578125" style="1966" customWidth="1"/>
    <col min="1793" max="1793" width="14.140625" style="1966" customWidth="1"/>
    <col min="1794" max="1794" width="17.5703125" style="1966" customWidth="1"/>
    <col min="1795" max="1795" width="16" style="1966" customWidth="1"/>
    <col min="1796" max="1796" width="19" style="1966" customWidth="1"/>
    <col min="1797" max="1797" width="14" style="1966" customWidth="1"/>
    <col min="1798" max="1801" width="19.140625" style="1966" customWidth="1"/>
    <col min="1802" max="1802" width="15" style="1966" customWidth="1"/>
    <col min="1803" max="1803" width="22" style="1966" customWidth="1"/>
    <col min="1804" max="1804" width="19.42578125" style="1966" customWidth="1"/>
    <col min="1805" max="1805" width="15" style="1966" customWidth="1"/>
    <col min="1806" max="1806" width="19.28515625" style="1966" customWidth="1"/>
    <col min="1807" max="1807" width="19.85546875" style="1966" customWidth="1"/>
    <col min="1808" max="1808" width="19.5703125" style="1966" customWidth="1"/>
    <col min="1809" max="1809" width="14" style="1966" customWidth="1"/>
    <col min="1810" max="1810" width="16.42578125" style="1966" customWidth="1"/>
    <col min="1811" max="1811" width="18.140625" style="1966" customWidth="1"/>
    <col min="1812" max="1812" width="15.85546875" style="1966" customWidth="1"/>
    <col min="1813" max="2040" width="9.140625" style="1966"/>
    <col min="2041" max="2041" width="18" style="1966" customWidth="1"/>
    <col min="2042" max="2042" width="21.140625" style="1966" customWidth="1"/>
    <col min="2043" max="2043" width="13" style="1966" customWidth="1"/>
    <col min="2044" max="2044" width="14.5703125" style="1966" customWidth="1"/>
    <col min="2045" max="2045" width="11.5703125" style="1966" customWidth="1"/>
    <col min="2046" max="2046" width="14.5703125" style="1966" customWidth="1"/>
    <col min="2047" max="2047" width="13.28515625" style="1966" customWidth="1"/>
    <col min="2048" max="2048" width="13.42578125" style="1966" customWidth="1"/>
    <col min="2049" max="2049" width="14.140625" style="1966" customWidth="1"/>
    <col min="2050" max="2050" width="17.5703125" style="1966" customWidth="1"/>
    <col min="2051" max="2051" width="16" style="1966" customWidth="1"/>
    <col min="2052" max="2052" width="19" style="1966" customWidth="1"/>
    <col min="2053" max="2053" width="14" style="1966" customWidth="1"/>
    <col min="2054" max="2057" width="19.140625" style="1966" customWidth="1"/>
    <col min="2058" max="2058" width="15" style="1966" customWidth="1"/>
    <col min="2059" max="2059" width="22" style="1966" customWidth="1"/>
    <col min="2060" max="2060" width="19.42578125" style="1966" customWidth="1"/>
    <col min="2061" max="2061" width="15" style="1966" customWidth="1"/>
    <col min="2062" max="2062" width="19.28515625" style="1966" customWidth="1"/>
    <col min="2063" max="2063" width="19.85546875" style="1966" customWidth="1"/>
    <col min="2064" max="2064" width="19.5703125" style="1966" customWidth="1"/>
    <col min="2065" max="2065" width="14" style="1966" customWidth="1"/>
    <col min="2066" max="2066" width="16.42578125" style="1966" customWidth="1"/>
    <col min="2067" max="2067" width="18.140625" style="1966" customWidth="1"/>
    <col min="2068" max="2068" width="15.85546875" style="1966" customWidth="1"/>
    <col min="2069" max="2296" width="9.140625" style="1966"/>
    <col min="2297" max="2297" width="18" style="1966" customWidth="1"/>
    <col min="2298" max="2298" width="21.140625" style="1966" customWidth="1"/>
    <col min="2299" max="2299" width="13" style="1966" customWidth="1"/>
    <col min="2300" max="2300" width="14.5703125" style="1966" customWidth="1"/>
    <col min="2301" max="2301" width="11.5703125" style="1966" customWidth="1"/>
    <col min="2302" max="2302" width="14.5703125" style="1966" customWidth="1"/>
    <col min="2303" max="2303" width="13.28515625" style="1966" customWidth="1"/>
    <col min="2304" max="2304" width="13.42578125" style="1966" customWidth="1"/>
    <col min="2305" max="2305" width="14.140625" style="1966" customWidth="1"/>
    <col min="2306" max="2306" width="17.5703125" style="1966" customWidth="1"/>
    <col min="2307" max="2307" width="16" style="1966" customWidth="1"/>
    <col min="2308" max="2308" width="19" style="1966" customWidth="1"/>
    <col min="2309" max="2309" width="14" style="1966" customWidth="1"/>
    <col min="2310" max="2313" width="19.140625" style="1966" customWidth="1"/>
    <col min="2314" max="2314" width="15" style="1966" customWidth="1"/>
    <col min="2315" max="2315" width="22" style="1966" customWidth="1"/>
    <col min="2316" max="2316" width="19.42578125" style="1966" customWidth="1"/>
    <col min="2317" max="2317" width="15" style="1966" customWidth="1"/>
    <col min="2318" max="2318" width="19.28515625" style="1966" customWidth="1"/>
    <col min="2319" max="2319" width="19.85546875" style="1966" customWidth="1"/>
    <col min="2320" max="2320" width="19.5703125" style="1966" customWidth="1"/>
    <col min="2321" max="2321" width="14" style="1966" customWidth="1"/>
    <col min="2322" max="2322" width="16.42578125" style="1966" customWidth="1"/>
    <col min="2323" max="2323" width="18.140625" style="1966" customWidth="1"/>
    <col min="2324" max="2324" width="15.85546875" style="1966" customWidth="1"/>
    <col min="2325" max="2552" width="9.140625" style="1966"/>
    <col min="2553" max="2553" width="18" style="1966" customWidth="1"/>
    <col min="2554" max="2554" width="21.140625" style="1966" customWidth="1"/>
    <col min="2555" max="2555" width="13" style="1966" customWidth="1"/>
    <col min="2556" max="2556" width="14.5703125" style="1966" customWidth="1"/>
    <col min="2557" max="2557" width="11.5703125" style="1966" customWidth="1"/>
    <col min="2558" max="2558" width="14.5703125" style="1966" customWidth="1"/>
    <col min="2559" max="2559" width="13.28515625" style="1966" customWidth="1"/>
    <col min="2560" max="2560" width="13.42578125" style="1966" customWidth="1"/>
    <col min="2561" max="2561" width="14.140625" style="1966" customWidth="1"/>
    <col min="2562" max="2562" width="17.5703125" style="1966" customWidth="1"/>
    <col min="2563" max="2563" width="16" style="1966" customWidth="1"/>
    <col min="2564" max="2564" width="19" style="1966" customWidth="1"/>
    <col min="2565" max="2565" width="14" style="1966" customWidth="1"/>
    <col min="2566" max="2569" width="19.140625" style="1966" customWidth="1"/>
    <col min="2570" max="2570" width="15" style="1966" customWidth="1"/>
    <col min="2571" max="2571" width="22" style="1966" customWidth="1"/>
    <col min="2572" max="2572" width="19.42578125" style="1966" customWidth="1"/>
    <col min="2573" max="2573" width="15" style="1966" customWidth="1"/>
    <col min="2574" max="2574" width="19.28515625" style="1966" customWidth="1"/>
    <col min="2575" max="2575" width="19.85546875" style="1966" customWidth="1"/>
    <col min="2576" max="2576" width="19.5703125" style="1966" customWidth="1"/>
    <col min="2577" max="2577" width="14" style="1966" customWidth="1"/>
    <col min="2578" max="2578" width="16.42578125" style="1966" customWidth="1"/>
    <col min="2579" max="2579" width="18.140625" style="1966" customWidth="1"/>
    <col min="2580" max="2580" width="15.85546875" style="1966" customWidth="1"/>
    <col min="2581" max="2808" width="9.140625" style="1966"/>
    <col min="2809" max="2809" width="18" style="1966" customWidth="1"/>
    <col min="2810" max="2810" width="21.140625" style="1966" customWidth="1"/>
    <col min="2811" max="2811" width="13" style="1966" customWidth="1"/>
    <col min="2812" max="2812" width="14.5703125" style="1966" customWidth="1"/>
    <col min="2813" max="2813" width="11.5703125" style="1966" customWidth="1"/>
    <col min="2814" max="2814" width="14.5703125" style="1966" customWidth="1"/>
    <col min="2815" max="2815" width="13.28515625" style="1966" customWidth="1"/>
    <col min="2816" max="2816" width="13.42578125" style="1966" customWidth="1"/>
    <col min="2817" max="2817" width="14.140625" style="1966" customWidth="1"/>
    <col min="2818" max="2818" width="17.5703125" style="1966" customWidth="1"/>
    <col min="2819" max="2819" width="16" style="1966" customWidth="1"/>
    <col min="2820" max="2820" width="19" style="1966" customWidth="1"/>
    <col min="2821" max="2821" width="14" style="1966" customWidth="1"/>
    <col min="2822" max="2825" width="19.140625" style="1966" customWidth="1"/>
    <col min="2826" max="2826" width="15" style="1966" customWidth="1"/>
    <col min="2827" max="2827" width="22" style="1966" customWidth="1"/>
    <col min="2828" max="2828" width="19.42578125" style="1966" customWidth="1"/>
    <col min="2829" max="2829" width="15" style="1966" customWidth="1"/>
    <col min="2830" max="2830" width="19.28515625" style="1966" customWidth="1"/>
    <col min="2831" max="2831" width="19.85546875" style="1966" customWidth="1"/>
    <col min="2832" max="2832" width="19.5703125" style="1966" customWidth="1"/>
    <col min="2833" max="2833" width="14" style="1966" customWidth="1"/>
    <col min="2834" max="2834" width="16.42578125" style="1966" customWidth="1"/>
    <col min="2835" max="2835" width="18.140625" style="1966" customWidth="1"/>
    <col min="2836" max="2836" width="15.85546875" style="1966" customWidth="1"/>
    <col min="2837" max="3064" width="9.140625" style="1966"/>
    <col min="3065" max="3065" width="18" style="1966" customWidth="1"/>
    <col min="3066" max="3066" width="21.140625" style="1966" customWidth="1"/>
    <col min="3067" max="3067" width="13" style="1966" customWidth="1"/>
    <col min="3068" max="3068" width="14.5703125" style="1966" customWidth="1"/>
    <col min="3069" max="3069" width="11.5703125" style="1966" customWidth="1"/>
    <col min="3070" max="3070" width="14.5703125" style="1966" customWidth="1"/>
    <col min="3071" max="3071" width="13.28515625" style="1966" customWidth="1"/>
    <col min="3072" max="3072" width="13.42578125" style="1966" customWidth="1"/>
    <col min="3073" max="3073" width="14.140625" style="1966" customWidth="1"/>
    <col min="3074" max="3074" width="17.5703125" style="1966" customWidth="1"/>
    <col min="3075" max="3075" width="16" style="1966" customWidth="1"/>
    <col min="3076" max="3076" width="19" style="1966" customWidth="1"/>
    <col min="3077" max="3077" width="14" style="1966" customWidth="1"/>
    <col min="3078" max="3081" width="19.140625" style="1966" customWidth="1"/>
    <col min="3082" max="3082" width="15" style="1966" customWidth="1"/>
    <col min="3083" max="3083" width="22" style="1966" customWidth="1"/>
    <col min="3084" max="3084" width="19.42578125" style="1966" customWidth="1"/>
    <col min="3085" max="3085" width="15" style="1966" customWidth="1"/>
    <col min="3086" max="3086" width="19.28515625" style="1966" customWidth="1"/>
    <col min="3087" max="3087" width="19.85546875" style="1966" customWidth="1"/>
    <col min="3088" max="3088" width="19.5703125" style="1966" customWidth="1"/>
    <col min="3089" max="3089" width="14" style="1966" customWidth="1"/>
    <col min="3090" max="3090" width="16.42578125" style="1966" customWidth="1"/>
    <col min="3091" max="3091" width="18.140625" style="1966" customWidth="1"/>
    <col min="3092" max="3092" width="15.85546875" style="1966" customWidth="1"/>
    <col min="3093" max="3320" width="9.140625" style="1966"/>
    <col min="3321" max="3321" width="18" style="1966" customWidth="1"/>
    <col min="3322" max="3322" width="21.140625" style="1966" customWidth="1"/>
    <col min="3323" max="3323" width="13" style="1966" customWidth="1"/>
    <col min="3324" max="3324" width="14.5703125" style="1966" customWidth="1"/>
    <col min="3325" max="3325" width="11.5703125" style="1966" customWidth="1"/>
    <col min="3326" max="3326" width="14.5703125" style="1966" customWidth="1"/>
    <col min="3327" max="3327" width="13.28515625" style="1966" customWidth="1"/>
    <col min="3328" max="3328" width="13.42578125" style="1966" customWidth="1"/>
    <col min="3329" max="3329" width="14.140625" style="1966" customWidth="1"/>
    <col min="3330" max="3330" width="17.5703125" style="1966" customWidth="1"/>
    <col min="3331" max="3331" width="16" style="1966" customWidth="1"/>
    <col min="3332" max="3332" width="19" style="1966" customWidth="1"/>
    <col min="3333" max="3333" width="14" style="1966" customWidth="1"/>
    <col min="3334" max="3337" width="19.140625" style="1966" customWidth="1"/>
    <col min="3338" max="3338" width="15" style="1966" customWidth="1"/>
    <col min="3339" max="3339" width="22" style="1966" customWidth="1"/>
    <col min="3340" max="3340" width="19.42578125" style="1966" customWidth="1"/>
    <col min="3341" max="3341" width="15" style="1966" customWidth="1"/>
    <col min="3342" max="3342" width="19.28515625" style="1966" customWidth="1"/>
    <col min="3343" max="3343" width="19.85546875" style="1966" customWidth="1"/>
    <col min="3344" max="3344" width="19.5703125" style="1966" customWidth="1"/>
    <col min="3345" max="3345" width="14" style="1966" customWidth="1"/>
    <col min="3346" max="3346" width="16.42578125" style="1966" customWidth="1"/>
    <col min="3347" max="3347" width="18.140625" style="1966" customWidth="1"/>
    <col min="3348" max="3348" width="15.85546875" style="1966" customWidth="1"/>
    <col min="3349" max="3576" width="9.140625" style="1966"/>
    <col min="3577" max="3577" width="18" style="1966" customWidth="1"/>
    <col min="3578" max="3578" width="21.140625" style="1966" customWidth="1"/>
    <col min="3579" max="3579" width="13" style="1966" customWidth="1"/>
    <col min="3580" max="3580" width="14.5703125" style="1966" customWidth="1"/>
    <col min="3581" max="3581" width="11.5703125" style="1966" customWidth="1"/>
    <col min="3582" max="3582" width="14.5703125" style="1966" customWidth="1"/>
    <col min="3583" max="3583" width="13.28515625" style="1966" customWidth="1"/>
    <col min="3584" max="3584" width="13.42578125" style="1966" customWidth="1"/>
    <col min="3585" max="3585" width="14.140625" style="1966" customWidth="1"/>
    <col min="3586" max="3586" width="17.5703125" style="1966" customWidth="1"/>
    <col min="3587" max="3587" width="16" style="1966" customWidth="1"/>
    <col min="3588" max="3588" width="19" style="1966" customWidth="1"/>
    <col min="3589" max="3589" width="14" style="1966" customWidth="1"/>
    <col min="3590" max="3593" width="19.140625" style="1966" customWidth="1"/>
    <col min="3594" max="3594" width="15" style="1966" customWidth="1"/>
    <col min="3595" max="3595" width="22" style="1966" customWidth="1"/>
    <col min="3596" max="3596" width="19.42578125" style="1966" customWidth="1"/>
    <col min="3597" max="3597" width="15" style="1966" customWidth="1"/>
    <col min="3598" max="3598" width="19.28515625" style="1966" customWidth="1"/>
    <col min="3599" max="3599" width="19.85546875" style="1966" customWidth="1"/>
    <col min="3600" max="3600" width="19.5703125" style="1966" customWidth="1"/>
    <col min="3601" max="3601" width="14" style="1966" customWidth="1"/>
    <col min="3602" max="3602" width="16.42578125" style="1966" customWidth="1"/>
    <col min="3603" max="3603" width="18.140625" style="1966" customWidth="1"/>
    <col min="3604" max="3604" width="15.85546875" style="1966" customWidth="1"/>
    <col min="3605" max="3832" width="9.140625" style="1966"/>
    <col min="3833" max="3833" width="18" style="1966" customWidth="1"/>
    <col min="3834" max="3834" width="21.140625" style="1966" customWidth="1"/>
    <col min="3835" max="3835" width="13" style="1966" customWidth="1"/>
    <col min="3836" max="3836" width="14.5703125" style="1966" customWidth="1"/>
    <col min="3837" max="3837" width="11.5703125" style="1966" customWidth="1"/>
    <col min="3838" max="3838" width="14.5703125" style="1966" customWidth="1"/>
    <col min="3839" max="3839" width="13.28515625" style="1966" customWidth="1"/>
    <col min="3840" max="3840" width="13.42578125" style="1966" customWidth="1"/>
    <col min="3841" max="3841" width="14.140625" style="1966" customWidth="1"/>
    <col min="3842" max="3842" width="17.5703125" style="1966" customWidth="1"/>
    <col min="3843" max="3843" width="16" style="1966" customWidth="1"/>
    <col min="3844" max="3844" width="19" style="1966" customWidth="1"/>
    <col min="3845" max="3845" width="14" style="1966" customWidth="1"/>
    <col min="3846" max="3849" width="19.140625" style="1966" customWidth="1"/>
    <col min="3850" max="3850" width="15" style="1966" customWidth="1"/>
    <col min="3851" max="3851" width="22" style="1966" customWidth="1"/>
    <col min="3852" max="3852" width="19.42578125" style="1966" customWidth="1"/>
    <col min="3853" max="3853" width="15" style="1966" customWidth="1"/>
    <col min="3854" max="3854" width="19.28515625" style="1966" customWidth="1"/>
    <col min="3855" max="3855" width="19.85546875" style="1966" customWidth="1"/>
    <col min="3856" max="3856" width="19.5703125" style="1966" customWidth="1"/>
    <col min="3857" max="3857" width="14" style="1966" customWidth="1"/>
    <col min="3858" max="3858" width="16.42578125" style="1966" customWidth="1"/>
    <col min="3859" max="3859" width="18.140625" style="1966" customWidth="1"/>
    <col min="3860" max="3860" width="15.85546875" style="1966" customWidth="1"/>
    <col min="3861" max="4088" width="9.140625" style="1966"/>
    <col min="4089" max="4089" width="18" style="1966" customWidth="1"/>
    <col min="4090" max="4090" width="21.140625" style="1966" customWidth="1"/>
    <col min="4091" max="4091" width="13" style="1966" customWidth="1"/>
    <col min="4092" max="4092" width="14.5703125" style="1966" customWidth="1"/>
    <col min="4093" max="4093" width="11.5703125" style="1966" customWidth="1"/>
    <col min="4094" max="4094" width="14.5703125" style="1966" customWidth="1"/>
    <col min="4095" max="4095" width="13.28515625" style="1966" customWidth="1"/>
    <col min="4096" max="4096" width="13.42578125" style="1966" customWidth="1"/>
    <col min="4097" max="4097" width="14.140625" style="1966" customWidth="1"/>
    <col min="4098" max="4098" width="17.5703125" style="1966" customWidth="1"/>
    <col min="4099" max="4099" width="16" style="1966" customWidth="1"/>
    <col min="4100" max="4100" width="19" style="1966" customWidth="1"/>
    <col min="4101" max="4101" width="14" style="1966" customWidth="1"/>
    <col min="4102" max="4105" width="19.140625" style="1966" customWidth="1"/>
    <col min="4106" max="4106" width="15" style="1966" customWidth="1"/>
    <col min="4107" max="4107" width="22" style="1966" customWidth="1"/>
    <col min="4108" max="4108" width="19.42578125" style="1966" customWidth="1"/>
    <col min="4109" max="4109" width="15" style="1966" customWidth="1"/>
    <col min="4110" max="4110" width="19.28515625" style="1966" customWidth="1"/>
    <col min="4111" max="4111" width="19.85546875" style="1966" customWidth="1"/>
    <col min="4112" max="4112" width="19.5703125" style="1966" customWidth="1"/>
    <col min="4113" max="4113" width="14" style="1966" customWidth="1"/>
    <col min="4114" max="4114" width="16.42578125" style="1966" customWidth="1"/>
    <col min="4115" max="4115" width="18.140625" style="1966" customWidth="1"/>
    <col min="4116" max="4116" width="15.85546875" style="1966" customWidth="1"/>
    <col min="4117" max="4344" width="9.140625" style="1966"/>
    <col min="4345" max="4345" width="18" style="1966" customWidth="1"/>
    <col min="4346" max="4346" width="21.140625" style="1966" customWidth="1"/>
    <col min="4347" max="4347" width="13" style="1966" customWidth="1"/>
    <col min="4348" max="4348" width="14.5703125" style="1966" customWidth="1"/>
    <col min="4349" max="4349" width="11.5703125" style="1966" customWidth="1"/>
    <col min="4350" max="4350" width="14.5703125" style="1966" customWidth="1"/>
    <col min="4351" max="4351" width="13.28515625" style="1966" customWidth="1"/>
    <col min="4352" max="4352" width="13.42578125" style="1966" customWidth="1"/>
    <col min="4353" max="4353" width="14.140625" style="1966" customWidth="1"/>
    <col min="4354" max="4354" width="17.5703125" style="1966" customWidth="1"/>
    <col min="4355" max="4355" width="16" style="1966" customWidth="1"/>
    <col min="4356" max="4356" width="19" style="1966" customWidth="1"/>
    <col min="4357" max="4357" width="14" style="1966" customWidth="1"/>
    <col min="4358" max="4361" width="19.140625" style="1966" customWidth="1"/>
    <col min="4362" max="4362" width="15" style="1966" customWidth="1"/>
    <col min="4363" max="4363" width="22" style="1966" customWidth="1"/>
    <col min="4364" max="4364" width="19.42578125" style="1966" customWidth="1"/>
    <col min="4365" max="4365" width="15" style="1966" customWidth="1"/>
    <col min="4366" max="4366" width="19.28515625" style="1966" customWidth="1"/>
    <col min="4367" max="4367" width="19.85546875" style="1966" customWidth="1"/>
    <col min="4368" max="4368" width="19.5703125" style="1966" customWidth="1"/>
    <col min="4369" max="4369" width="14" style="1966" customWidth="1"/>
    <col min="4370" max="4370" width="16.42578125" style="1966" customWidth="1"/>
    <col min="4371" max="4371" width="18.140625" style="1966" customWidth="1"/>
    <col min="4372" max="4372" width="15.85546875" style="1966" customWidth="1"/>
    <col min="4373" max="4600" width="9.140625" style="1966"/>
    <col min="4601" max="4601" width="18" style="1966" customWidth="1"/>
    <col min="4602" max="4602" width="21.140625" style="1966" customWidth="1"/>
    <col min="4603" max="4603" width="13" style="1966" customWidth="1"/>
    <col min="4604" max="4604" width="14.5703125" style="1966" customWidth="1"/>
    <col min="4605" max="4605" width="11.5703125" style="1966" customWidth="1"/>
    <col min="4606" max="4606" width="14.5703125" style="1966" customWidth="1"/>
    <col min="4607" max="4607" width="13.28515625" style="1966" customWidth="1"/>
    <col min="4608" max="4608" width="13.42578125" style="1966" customWidth="1"/>
    <col min="4609" max="4609" width="14.140625" style="1966" customWidth="1"/>
    <col min="4610" max="4610" width="17.5703125" style="1966" customWidth="1"/>
    <col min="4611" max="4611" width="16" style="1966" customWidth="1"/>
    <col min="4612" max="4612" width="19" style="1966" customWidth="1"/>
    <col min="4613" max="4613" width="14" style="1966" customWidth="1"/>
    <col min="4614" max="4617" width="19.140625" style="1966" customWidth="1"/>
    <col min="4618" max="4618" width="15" style="1966" customWidth="1"/>
    <col min="4619" max="4619" width="22" style="1966" customWidth="1"/>
    <col min="4620" max="4620" width="19.42578125" style="1966" customWidth="1"/>
    <col min="4621" max="4621" width="15" style="1966" customWidth="1"/>
    <col min="4622" max="4622" width="19.28515625" style="1966" customWidth="1"/>
    <col min="4623" max="4623" width="19.85546875" style="1966" customWidth="1"/>
    <col min="4624" max="4624" width="19.5703125" style="1966" customWidth="1"/>
    <col min="4625" max="4625" width="14" style="1966" customWidth="1"/>
    <col min="4626" max="4626" width="16.42578125" style="1966" customWidth="1"/>
    <col min="4627" max="4627" width="18.140625" style="1966" customWidth="1"/>
    <col min="4628" max="4628" width="15.85546875" style="1966" customWidth="1"/>
    <col min="4629" max="4856" width="9.140625" style="1966"/>
    <col min="4857" max="4857" width="18" style="1966" customWidth="1"/>
    <col min="4858" max="4858" width="21.140625" style="1966" customWidth="1"/>
    <col min="4859" max="4859" width="13" style="1966" customWidth="1"/>
    <col min="4860" max="4860" width="14.5703125" style="1966" customWidth="1"/>
    <col min="4861" max="4861" width="11.5703125" style="1966" customWidth="1"/>
    <col min="4862" max="4862" width="14.5703125" style="1966" customWidth="1"/>
    <col min="4863" max="4863" width="13.28515625" style="1966" customWidth="1"/>
    <col min="4864" max="4864" width="13.42578125" style="1966" customWidth="1"/>
    <col min="4865" max="4865" width="14.140625" style="1966" customWidth="1"/>
    <col min="4866" max="4866" width="17.5703125" style="1966" customWidth="1"/>
    <col min="4867" max="4867" width="16" style="1966" customWidth="1"/>
    <col min="4868" max="4868" width="19" style="1966" customWidth="1"/>
    <col min="4869" max="4869" width="14" style="1966" customWidth="1"/>
    <col min="4870" max="4873" width="19.140625" style="1966" customWidth="1"/>
    <col min="4874" max="4874" width="15" style="1966" customWidth="1"/>
    <col min="4875" max="4875" width="22" style="1966" customWidth="1"/>
    <col min="4876" max="4876" width="19.42578125" style="1966" customWidth="1"/>
    <col min="4877" max="4877" width="15" style="1966" customWidth="1"/>
    <col min="4878" max="4878" width="19.28515625" style="1966" customWidth="1"/>
    <col min="4879" max="4879" width="19.85546875" style="1966" customWidth="1"/>
    <col min="4880" max="4880" width="19.5703125" style="1966" customWidth="1"/>
    <col min="4881" max="4881" width="14" style="1966" customWidth="1"/>
    <col min="4882" max="4882" width="16.42578125" style="1966" customWidth="1"/>
    <col min="4883" max="4883" width="18.140625" style="1966" customWidth="1"/>
    <col min="4884" max="4884" width="15.85546875" style="1966" customWidth="1"/>
    <col min="4885" max="5112" width="9.140625" style="1966"/>
    <col min="5113" max="5113" width="18" style="1966" customWidth="1"/>
    <col min="5114" max="5114" width="21.140625" style="1966" customWidth="1"/>
    <col min="5115" max="5115" width="13" style="1966" customWidth="1"/>
    <col min="5116" max="5116" width="14.5703125" style="1966" customWidth="1"/>
    <col min="5117" max="5117" width="11.5703125" style="1966" customWidth="1"/>
    <col min="5118" max="5118" width="14.5703125" style="1966" customWidth="1"/>
    <col min="5119" max="5119" width="13.28515625" style="1966" customWidth="1"/>
    <col min="5120" max="5120" width="13.42578125" style="1966" customWidth="1"/>
    <col min="5121" max="5121" width="14.140625" style="1966" customWidth="1"/>
    <col min="5122" max="5122" width="17.5703125" style="1966" customWidth="1"/>
    <col min="5123" max="5123" width="16" style="1966" customWidth="1"/>
    <col min="5124" max="5124" width="19" style="1966" customWidth="1"/>
    <col min="5125" max="5125" width="14" style="1966" customWidth="1"/>
    <col min="5126" max="5129" width="19.140625" style="1966" customWidth="1"/>
    <col min="5130" max="5130" width="15" style="1966" customWidth="1"/>
    <col min="5131" max="5131" width="22" style="1966" customWidth="1"/>
    <col min="5132" max="5132" width="19.42578125" style="1966" customWidth="1"/>
    <col min="5133" max="5133" width="15" style="1966" customWidth="1"/>
    <col min="5134" max="5134" width="19.28515625" style="1966" customWidth="1"/>
    <col min="5135" max="5135" width="19.85546875" style="1966" customWidth="1"/>
    <col min="5136" max="5136" width="19.5703125" style="1966" customWidth="1"/>
    <col min="5137" max="5137" width="14" style="1966" customWidth="1"/>
    <col min="5138" max="5138" width="16.42578125" style="1966" customWidth="1"/>
    <col min="5139" max="5139" width="18.140625" style="1966" customWidth="1"/>
    <col min="5140" max="5140" width="15.85546875" style="1966" customWidth="1"/>
    <col min="5141" max="5368" width="9.140625" style="1966"/>
    <col min="5369" max="5369" width="18" style="1966" customWidth="1"/>
    <col min="5370" max="5370" width="21.140625" style="1966" customWidth="1"/>
    <col min="5371" max="5371" width="13" style="1966" customWidth="1"/>
    <col min="5372" max="5372" width="14.5703125" style="1966" customWidth="1"/>
    <col min="5373" max="5373" width="11.5703125" style="1966" customWidth="1"/>
    <col min="5374" max="5374" width="14.5703125" style="1966" customWidth="1"/>
    <col min="5375" max="5375" width="13.28515625" style="1966" customWidth="1"/>
    <col min="5376" max="5376" width="13.42578125" style="1966" customWidth="1"/>
    <col min="5377" max="5377" width="14.140625" style="1966" customWidth="1"/>
    <col min="5378" max="5378" width="17.5703125" style="1966" customWidth="1"/>
    <col min="5379" max="5379" width="16" style="1966" customWidth="1"/>
    <col min="5380" max="5380" width="19" style="1966" customWidth="1"/>
    <col min="5381" max="5381" width="14" style="1966" customWidth="1"/>
    <col min="5382" max="5385" width="19.140625" style="1966" customWidth="1"/>
    <col min="5386" max="5386" width="15" style="1966" customWidth="1"/>
    <col min="5387" max="5387" width="22" style="1966" customWidth="1"/>
    <col min="5388" max="5388" width="19.42578125" style="1966" customWidth="1"/>
    <col min="5389" max="5389" width="15" style="1966" customWidth="1"/>
    <col min="5390" max="5390" width="19.28515625" style="1966" customWidth="1"/>
    <col min="5391" max="5391" width="19.85546875" style="1966" customWidth="1"/>
    <col min="5392" max="5392" width="19.5703125" style="1966" customWidth="1"/>
    <col min="5393" max="5393" width="14" style="1966" customWidth="1"/>
    <col min="5394" max="5394" width="16.42578125" style="1966" customWidth="1"/>
    <col min="5395" max="5395" width="18.140625" style="1966" customWidth="1"/>
    <col min="5396" max="5396" width="15.85546875" style="1966" customWidth="1"/>
    <col min="5397" max="5624" width="9.140625" style="1966"/>
    <col min="5625" max="5625" width="18" style="1966" customWidth="1"/>
    <col min="5626" max="5626" width="21.140625" style="1966" customWidth="1"/>
    <col min="5627" max="5627" width="13" style="1966" customWidth="1"/>
    <col min="5628" max="5628" width="14.5703125" style="1966" customWidth="1"/>
    <col min="5629" max="5629" width="11.5703125" style="1966" customWidth="1"/>
    <col min="5630" max="5630" width="14.5703125" style="1966" customWidth="1"/>
    <col min="5631" max="5631" width="13.28515625" style="1966" customWidth="1"/>
    <col min="5632" max="5632" width="13.42578125" style="1966" customWidth="1"/>
    <col min="5633" max="5633" width="14.140625" style="1966" customWidth="1"/>
    <col min="5634" max="5634" width="17.5703125" style="1966" customWidth="1"/>
    <col min="5635" max="5635" width="16" style="1966" customWidth="1"/>
    <col min="5636" max="5636" width="19" style="1966" customWidth="1"/>
    <col min="5637" max="5637" width="14" style="1966" customWidth="1"/>
    <col min="5638" max="5641" width="19.140625" style="1966" customWidth="1"/>
    <col min="5642" max="5642" width="15" style="1966" customWidth="1"/>
    <col min="5643" max="5643" width="22" style="1966" customWidth="1"/>
    <col min="5644" max="5644" width="19.42578125" style="1966" customWidth="1"/>
    <col min="5645" max="5645" width="15" style="1966" customWidth="1"/>
    <col min="5646" max="5646" width="19.28515625" style="1966" customWidth="1"/>
    <col min="5647" max="5647" width="19.85546875" style="1966" customWidth="1"/>
    <col min="5648" max="5648" width="19.5703125" style="1966" customWidth="1"/>
    <col min="5649" max="5649" width="14" style="1966" customWidth="1"/>
    <col min="5650" max="5650" width="16.42578125" style="1966" customWidth="1"/>
    <col min="5651" max="5651" width="18.140625" style="1966" customWidth="1"/>
    <col min="5652" max="5652" width="15.85546875" style="1966" customWidth="1"/>
    <col min="5653" max="5880" width="9.140625" style="1966"/>
    <col min="5881" max="5881" width="18" style="1966" customWidth="1"/>
    <col min="5882" max="5882" width="21.140625" style="1966" customWidth="1"/>
    <col min="5883" max="5883" width="13" style="1966" customWidth="1"/>
    <col min="5884" max="5884" width="14.5703125" style="1966" customWidth="1"/>
    <col min="5885" max="5885" width="11.5703125" style="1966" customWidth="1"/>
    <col min="5886" max="5886" width="14.5703125" style="1966" customWidth="1"/>
    <col min="5887" max="5887" width="13.28515625" style="1966" customWidth="1"/>
    <col min="5888" max="5888" width="13.42578125" style="1966" customWidth="1"/>
    <col min="5889" max="5889" width="14.140625" style="1966" customWidth="1"/>
    <col min="5890" max="5890" width="17.5703125" style="1966" customWidth="1"/>
    <col min="5891" max="5891" width="16" style="1966" customWidth="1"/>
    <col min="5892" max="5892" width="19" style="1966" customWidth="1"/>
    <col min="5893" max="5893" width="14" style="1966" customWidth="1"/>
    <col min="5894" max="5897" width="19.140625" style="1966" customWidth="1"/>
    <col min="5898" max="5898" width="15" style="1966" customWidth="1"/>
    <col min="5899" max="5899" width="22" style="1966" customWidth="1"/>
    <col min="5900" max="5900" width="19.42578125" style="1966" customWidth="1"/>
    <col min="5901" max="5901" width="15" style="1966" customWidth="1"/>
    <col min="5902" max="5902" width="19.28515625" style="1966" customWidth="1"/>
    <col min="5903" max="5903" width="19.85546875" style="1966" customWidth="1"/>
    <col min="5904" max="5904" width="19.5703125" style="1966" customWidth="1"/>
    <col min="5905" max="5905" width="14" style="1966" customWidth="1"/>
    <col min="5906" max="5906" width="16.42578125" style="1966" customWidth="1"/>
    <col min="5907" max="5907" width="18.140625" style="1966" customWidth="1"/>
    <col min="5908" max="5908" width="15.85546875" style="1966" customWidth="1"/>
    <col min="5909" max="6136" width="9.140625" style="1966"/>
    <col min="6137" max="6137" width="18" style="1966" customWidth="1"/>
    <col min="6138" max="6138" width="21.140625" style="1966" customWidth="1"/>
    <col min="6139" max="6139" width="13" style="1966" customWidth="1"/>
    <col min="6140" max="6140" width="14.5703125" style="1966" customWidth="1"/>
    <col min="6141" max="6141" width="11.5703125" style="1966" customWidth="1"/>
    <col min="6142" max="6142" width="14.5703125" style="1966" customWidth="1"/>
    <col min="6143" max="6143" width="13.28515625" style="1966" customWidth="1"/>
    <col min="6144" max="6144" width="13.42578125" style="1966" customWidth="1"/>
    <col min="6145" max="6145" width="14.140625" style="1966" customWidth="1"/>
    <col min="6146" max="6146" width="17.5703125" style="1966" customWidth="1"/>
    <col min="6147" max="6147" width="16" style="1966" customWidth="1"/>
    <col min="6148" max="6148" width="19" style="1966" customWidth="1"/>
    <col min="6149" max="6149" width="14" style="1966" customWidth="1"/>
    <col min="6150" max="6153" width="19.140625" style="1966" customWidth="1"/>
    <col min="6154" max="6154" width="15" style="1966" customWidth="1"/>
    <col min="6155" max="6155" width="22" style="1966" customWidth="1"/>
    <col min="6156" max="6156" width="19.42578125" style="1966" customWidth="1"/>
    <col min="6157" max="6157" width="15" style="1966" customWidth="1"/>
    <col min="6158" max="6158" width="19.28515625" style="1966" customWidth="1"/>
    <col min="6159" max="6159" width="19.85546875" style="1966" customWidth="1"/>
    <col min="6160" max="6160" width="19.5703125" style="1966" customWidth="1"/>
    <col min="6161" max="6161" width="14" style="1966" customWidth="1"/>
    <col min="6162" max="6162" width="16.42578125" style="1966" customWidth="1"/>
    <col min="6163" max="6163" width="18.140625" style="1966" customWidth="1"/>
    <col min="6164" max="6164" width="15.85546875" style="1966" customWidth="1"/>
    <col min="6165" max="6392" width="9.140625" style="1966"/>
    <col min="6393" max="6393" width="18" style="1966" customWidth="1"/>
    <col min="6394" max="6394" width="21.140625" style="1966" customWidth="1"/>
    <col min="6395" max="6395" width="13" style="1966" customWidth="1"/>
    <col min="6396" max="6396" width="14.5703125" style="1966" customWidth="1"/>
    <col min="6397" max="6397" width="11.5703125" style="1966" customWidth="1"/>
    <col min="6398" max="6398" width="14.5703125" style="1966" customWidth="1"/>
    <col min="6399" max="6399" width="13.28515625" style="1966" customWidth="1"/>
    <col min="6400" max="6400" width="13.42578125" style="1966" customWidth="1"/>
    <col min="6401" max="6401" width="14.140625" style="1966" customWidth="1"/>
    <col min="6402" max="6402" width="17.5703125" style="1966" customWidth="1"/>
    <col min="6403" max="6403" width="16" style="1966" customWidth="1"/>
    <col min="6404" max="6404" width="19" style="1966" customWidth="1"/>
    <col min="6405" max="6405" width="14" style="1966" customWidth="1"/>
    <col min="6406" max="6409" width="19.140625" style="1966" customWidth="1"/>
    <col min="6410" max="6410" width="15" style="1966" customWidth="1"/>
    <col min="6411" max="6411" width="22" style="1966" customWidth="1"/>
    <col min="6412" max="6412" width="19.42578125" style="1966" customWidth="1"/>
    <col min="6413" max="6413" width="15" style="1966" customWidth="1"/>
    <col min="6414" max="6414" width="19.28515625" style="1966" customWidth="1"/>
    <col min="6415" max="6415" width="19.85546875" style="1966" customWidth="1"/>
    <col min="6416" max="6416" width="19.5703125" style="1966" customWidth="1"/>
    <col min="6417" max="6417" width="14" style="1966" customWidth="1"/>
    <col min="6418" max="6418" width="16.42578125" style="1966" customWidth="1"/>
    <col min="6419" max="6419" width="18.140625" style="1966" customWidth="1"/>
    <col min="6420" max="6420" width="15.85546875" style="1966" customWidth="1"/>
    <col min="6421" max="6648" width="9.140625" style="1966"/>
    <col min="6649" max="6649" width="18" style="1966" customWidth="1"/>
    <col min="6650" max="6650" width="21.140625" style="1966" customWidth="1"/>
    <col min="6651" max="6651" width="13" style="1966" customWidth="1"/>
    <col min="6652" max="6652" width="14.5703125" style="1966" customWidth="1"/>
    <col min="6653" max="6653" width="11.5703125" style="1966" customWidth="1"/>
    <col min="6654" max="6654" width="14.5703125" style="1966" customWidth="1"/>
    <col min="6655" max="6655" width="13.28515625" style="1966" customWidth="1"/>
    <col min="6656" max="6656" width="13.42578125" style="1966" customWidth="1"/>
    <col min="6657" max="6657" width="14.140625" style="1966" customWidth="1"/>
    <col min="6658" max="6658" width="17.5703125" style="1966" customWidth="1"/>
    <col min="6659" max="6659" width="16" style="1966" customWidth="1"/>
    <col min="6660" max="6660" width="19" style="1966" customWidth="1"/>
    <col min="6661" max="6661" width="14" style="1966" customWidth="1"/>
    <col min="6662" max="6665" width="19.140625" style="1966" customWidth="1"/>
    <col min="6666" max="6666" width="15" style="1966" customWidth="1"/>
    <col min="6667" max="6667" width="22" style="1966" customWidth="1"/>
    <col min="6668" max="6668" width="19.42578125" style="1966" customWidth="1"/>
    <col min="6669" max="6669" width="15" style="1966" customWidth="1"/>
    <col min="6670" max="6670" width="19.28515625" style="1966" customWidth="1"/>
    <col min="6671" max="6671" width="19.85546875" style="1966" customWidth="1"/>
    <col min="6672" max="6672" width="19.5703125" style="1966" customWidth="1"/>
    <col min="6673" max="6673" width="14" style="1966" customWidth="1"/>
    <col min="6674" max="6674" width="16.42578125" style="1966" customWidth="1"/>
    <col min="6675" max="6675" width="18.140625" style="1966" customWidth="1"/>
    <col min="6676" max="6676" width="15.85546875" style="1966" customWidth="1"/>
    <col min="6677" max="6904" width="9.140625" style="1966"/>
    <col min="6905" max="6905" width="18" style="1966" customWidth="1"/>
    <col min="6906" max="6906" width="21.140625" style="1966" customWidth="1"/>
    <col min="6907" max="6907" width="13" style="1966" customWidth="1"/>
    <col min="6908" max="6908" width="14.5703125" style="1966" customWidth="1"/>
    <col min="6909" max="6909" width="11.5703125" style="1966" customWidth="1"/>
    <col min="6910" max="6910" width="14.5703125" style="1966" customWidth="1"/>
    <col min="6911" max="6911" width="13.28515625" style="1966" customWidth="1"/>
    <col min="6912" max="6912" width="13.42578125" style="1966" customWidth="1"/>
    <col min="6913" max="6913" width="14.140625" style="1966" customWidth="1"/>
    <col min="6914" max="6914" width="17.5703125" style="1966" customWidth="1"/>
    <col min="6915" max="6915" width="16" style="1966" customWidth="1"/>
    <col min="6916" max="6916" width="19" style="1966" customWidth="1"/>
    <col min="6917" max="6917" width="14" style="1966" customWidth="1"/>
    <col min="6918" max="6921" width="19.140625" style="1966" customWidth="1"/>
    <col min="6922" max="6922" width="15" style="1966" customWidth="1"/>
    <col min="6923" max="6923" width="22" style="1966" customWidth="1"/>
    <col min="6924" max="6924" width="19.42578125" style="1966" customWidth="1"/>
    <col min="6925" max="6925" width="15" style="1966" customWidth="1"/>
    <col min="6926" max="6926" width="19.28515625" style="1966" customWidth="1"/>
    <col min="6927" max="6927" width="19.85546875" style="1966" customWidth="1"/>
    <col min="6928" max="6928" width="19.5703125" style="1966" customWidth="1"/>
    <col min="6929" max="6929" width="14" style="1966" customWidth="1"/>
    <col min="6930" max="6930" width="16.42578125" style="1966" customWidth="1"/>
    <col min="6931" max="6931" width="18.140625" style="1966" customWidth="1"/>
    <col min="6932" max="6932" width="15.85546875" style="1966" customWidth="1"/>
    <col min="6933" max="7160" width="9.140625" style="1966"/>
    <col min="7161" max="7161" width="18" style="1966" customWidth="1"/>
    <col min="7162" max="7162" width="21.140625" style="1966" customWidth="1"/>
    <col min="7163" max="7163" width="13" style="1966" customWidth="1"/>
    <col min="7164" max="7164" width="14.5703125" style="1966" customWidth="1"/>
    <col min="7165" max="7165" width="11.5703125" style="1966" customWidth="1"/>
    <col min="7166" max="7166" width="14.5703125" style="1966" customWidth="1"/>
    <col min="7167" max="7167" width="13.28515625" style="1966" customWidth="1"/>
    <col min="7168" max="7168" width="13.42578125" style="1966" customWidth="1"/>
    <col min="7169" max="7169" width="14.140625" style="1966" customWidth="1"/>
    <col min="7170" max="7170" width="17.5703125" style="1966" customWidth="1"/>
    <col min="7171" max="7171" width="16" style="1966" customWidth="1"/>
    <col min="7172" max="7172" width="19" style="1966" customWidth="1"/>
    <col min="7173" max="7173" width="14" style="1966" customWidth="1"/>
    <col min="7174" max="7177" width="19.140625" style="1966" customWidth="1"/>
    <col min="7178" max="7178" width="15" style="1966" customWidth="1"/>
    <col min="7179" max="7179" width="22" style="1966" customWidth="1"/>
    <col min="7180" max="7180" width="19.42578125" style="1966" customWidth="1"/>
    <col min="7181" max="7181" width="15" style="1966" customWidth="1"/>
    <col min="7182" max="7182" width="19.28515625" style="1966" customWidth="1"/>
    <col min="7183" max="7183" width="19.85546875" style="1966" customWidth="1"/>
    <col min="7184" max="7184" width="19.5703125" style="1966" customWidth="1"/>
    <col min="7185" max="7185" width="14" style="1966" customWidth="1"/>
    <col min="7186" max="7186" width="16.42578125" style="1966" customWidth="1"/>
    <col min="7187" max="7187" width="18.140625" style="1966" customWidth="1"/>
    <col min="7188" max="7188" width="15.85546875" style="1966" customWidth="1"/>
    <col min="7189" max="7416" width="9.140625" style="1966"/>
    <col min="7417" max="7417" width="18" style="1966" customWidth="1"/>
    <col min="7418" max="7418" width="21.140625" style="1966" customWidth="1"/>
    <col min="7419" max="7419" width="13" style="1966" customWidth="1"/>
    <col min="7420" max="7420" width="14.5703125" style="1966" customWidth="1"/>
    <col min="7421" max="7421" width="11.5703125" style="1966" customWidth="1"/>
    <col min="7422" max="7422" width="14.5703125" style="1966" customWidth="1"/>
    <col min="7423" max="7423" width="13.28515625" style="1966" customWidth="1"/>
    <col min="7424" max="7424" width="13.42578125" style="1966" customWidth="1"/>
    <col min="7425" max="7425" width="14.140625" style="1966" customWidth="1"/>
    <col min="7426" max="7426" width="17.5703125" style="1966" customWidth="1"/>
    <col min="7427" max="7427" width="16" style="1966" customWidth="1"/>
    <col min="7428" max="7428" width="19" style="1966" customWidth="1"/>
    <col min="7429" max="7429" width="14" style="1966" customWidth="1"/>
    <col min="7430" max="7433" width="19.140625" style="1966" customWidth="1"/>
    <col min="7434" max="7434" width="15" style="1966" customWidth="1"/>
    <col min="7435" max="7435" width="22" style="1966" customWidth="1"/>
    <col min="7436" max="7436" width="19.42578125" style="1966" customWidth="1"/>
    <col min="7437" max="7437" width="15" style="1966" customWidth="1"/>
    <col min="7438" max="7438" width="19.28515625" style="1966" customWidth="1"/>
    <col min="7439" max="7439" width="19.85546875" style="1966" customWidth="1"/>
    <col min="7440" max="7440" width="19.5703125" style="1966" customWidth="1"/>
    <col min="7441" max="7441" width="14" style="1966" customWidth="1"/>
    <col min="7442" max="7442" width="16.42578125" style="1966" customWidth="1"/>
    <col min="7443" max="7443" width="18.140625" style="1966" customWidth="1"/>
    <col min="7444" max="7444" width="15.85546875" style="1966" customWidth="1"/>
    <col min="7445" max="7672" width="9.140625" style="1966"/>
    <col min="7673" max="7673" width="18" style="1966" customWidth="1"/>
    <col min="7674" max="7674" width="21.140625" style="1966" customWidth="1"/>
    <col min="7675" max="7675" width="13" style="1966" customWidth="1"/>
    <col min="7676" max="7676" width="14.5703125" style="1966" customWidth="1"/>
    <col min="7677" max="7677" width="11.5703125" style="1966" customWidth="1"/>
    <col min="7678" max="7678" width="14.5703125" style="1966" customWidth="1"/>
    <col min="7679" max="7679" width="13.28515625" style="1966" customWidth="1"/>
    <col min="7680" max="7680" width="13.42578125" style="1966" customWidth="1"/>
    <col min="7681" max="7681" width="14.140625" style="1966" customWidth="1"/>
    <col min="7682" max="7682" width="17.5703125" style="1966" customWidth="1"/>
    <col min="7683" max="7683" width="16" style="1966" customWidth="1"/>
    <col min="7684" max="7684" width="19" style="1966" customWidth="1"/>
    <col min="7685" max="7685" width="14" style="1966" customWidth="1"/>
    <col min="7686" max="7689" width="19.140625" style="1966" customWidth="1"/>
    <col min="7690" max="7690" width="15" style="1966" customWidth="1"/>
    <col min="7691" max="7691" width="22" style="1966" customWidth="1"/>
    <col min="7692" max="7692" width="19.42578125" style="1966" customWidth="1"/>
    <col min="7693" max="7693" width="15" style="1966" customWidth="1"/>
    <col min="7694" max="7694" width="19.28515625" style="1966" customWidth="1"/>
    <col min="7695" max="7695" width="19.85546875" style="1966" customWidth="1"/>
    <col min="7696" max="7696" width="19.5703125" style="1966" customWidth="1"/>
    <col min="7697" max="7697" width="14" style="1966" customWidth="1"/>
    <col min="7698" max="7698" width="16.42578125" style="1966" customWidth="1"/>
    <col min="7699" max="7699" width="18.140625" style="1966" customWidth="1"/>
    <col min="7700" max="7700" width="15.85546875" style="1966" customWidth="1"/>
    <col min="7701" max="7928" width="9.140625" style="1966"/>
    <col min="7929" max="7929" width="18" style="1966" customWidth="1"/>
    <col min="7930" max="7930" width="21.140625" style="1966" customWidth="1"/>
    <col min="7931" max="7931" width="13" style="1966" customWidth="1"/>
    <col min="7932" max="7932" width="14.5703125" style="1966" customWidth="1"/>
    <col min="7933" max="7933" width="11.5703125" style="1966" customWidth="1"/>
    <col min="7934" max="7934" width="14.5703125" style="1966" customWidth="1"/>
    <col min="7935" max="7935" width="13.28515625" style="1966" customWidth="1"/>
    <col min="7936" max="7936" width="13.42578125" style="1966" customWidth="1"/>
    <col min="7937" max="7937" width="14.140625" style="1966" customWidth="1"/>
    <col min="7938" max="7938" width="17.5703125" style="1966" customWidth="1"/>
    <col min="7939" max="7939" width="16" style="1966" customWidth="1"/>
    <col min="7940" max="7940" width="19" style="1966" customWidth="1"/>
    <col min="7941" max="7941" width="14" style="1966" customWidth="1"/>
    <col min="7942" max="7945" width="19.140625" style="1966" customWidth="1"/>
    <col min="7946" max="7946" width="15" style="1966" customWidth="1"/>
    <col min="7947" max="7947" width="22" style="1966" customWidth="1"/>
    <col min="7948" max="7948" width="19.42578125" style="1966" customWidth="1"/>
    <col min="7949" max="7949" width="15" style="1966" customWidth="1"/>
    <col min="7950" max="7950" width="19.28515625" style="1966" customWidth="1"/>
    <col min="7951" max="7951" width="19.85546875" style="1966" customWidth="1"/>
    <col min="7952" max="7952" width="19.5703125" style="1966" customWidth="1"/>
    <col min="7953" max="7953" width="14" style="1966" customWidth="1"/>
    <col min="7954" max="7954" width="16.42578125" style="1966" customWidth="1"/>
    <col min="7955" max="7955" width="18.140625" style="1966" customWidth="1"/>
    <col min="7956" max="7956" width="15.85546875" style="1966" customWidth="1"/>
    <col min="7957" max="8184" width="9.140625" style="1966"/>
    <col min="8185" max="8185" width="18" style="1966" customWidth="1"/>
    <col min="8186" max="8186" width="21.140625" style="1966" customWidth="1"/>
    <col min="8187" max="8187" width="13" style="1966" customWidth="1"/>
    <col min="8188" max="8188" width="14.5703125" style="1966" customWidth="1"/>
    <col min="8189" max="8189" width="11.5703125" style="1966" customWidth="1"/>
    <col min="8190" max="8190" width="14.5703125" style="1966" customWidth="1"/>
    <col min="8191" max="8191" width="13.28515625" style="1966" customWidth="1"/>
    <col min="8192" max="8192" width="13.42578125" style="1966" customWidth="1"/>
    <col min="8193" max="8193" width="14.140625" style="1966" customWidth="1"/>
    <col min="8194" max="8194" width="17.5703125" style="1966" customWidth="1"/>
    <col min="8195" max="8195" width="16" style="1966" customWidth="1"/>
    <col min="8196" max="8196" width="19" style="1966" customWidth="1"/>
    <col min="8197" max="8197" width="14" style="1966" customWidth="1"/>
    <col min="8198" max="8201" width="19.140625" style="1966" customWidth="1"/>
    <col min="8202" max="8202" width="15" style="1966" customWidth="1"/>
    <col min="8203" max="8203" width="22" style="1966" customWidth="1"/>
    <col min="8204" max="8204" width="19.42578125" style="1966" customWidth="1"/>
    <col min="8205" max="8205" width="15" style="1966" customWidth="1"/>
    <col min="8206" max="8206" width="19.28515625" style="1966" customWidth="1"/>
    <col min="8207" max="8207" width="19.85546875" style="1966" customWidth="1"/>
    <col min="8208" max="8208" width="19.5703125" style="1966" customWidth="1"/>
    <col min="8209" max="8209" width="14" style="1966" customWidth="1"/>
    <col min="8210" max="8210" width="16.42578125" style="1966" customWidth="1"/>
    <col min="8211" max="8211" width="18.140625" style="1966" customWidth="1"/>
    <col min="8212" max="8212" width="15.85546875" style="1966" customWidth="1"/>
    <col min="8213" max="8440" width="9.140625" style="1966"/>
    <col min="8441" max="8441" width="18" style="1966" customWidth="1"/>
    <col min="8442" max="8442" width="21.140625" style="1966" customWidth="1"/>
    <col min="8443" max="8443" width="13" style="1966" customWidth="1"/>
    <col min="8444" max="8444" width="14.5703125" style="1966" customWidth="1"/>
    <col min="8445" max="8445" width="11.5703125" style="1966" customWidth="1"/>
    <col min="8446" max="8446" width="14.5703125" style="1966" customWidth="1"/>
    <col min="8447" max="8447" width="13.28515625" style="1966" customWidth="1"/>
    <col min="8448" max="8448" width="13.42578125" style="1966" customWidth="1"/>
    <col min="8449" max="8449" width="14.140625" style="1966" customWidth="1"/>
    <col min="8450" max="8450" width="17.5703125" style="1966" customWidth="1"/>
    <col min="8451" max="8451" width="16" style="1966" customWidth="1"/>
    <col min="8452" max="8452" width="19" style="1966" customWidth="1"/>
    <col min="8453" max="8453" width="14" style="1966" customWidth="1"/>
    <col min="8454" max="8457" width="19.140625" style="1966" customWidth="1"/>
    <col min="8458" max="8458" width="15" style="1966" customWidth="1"/>
    <col min="8459" max="8459" width="22" style="1966" customWidth="1"/>
    <col min="8460" max="8460" width="19.42578125" style="1966" customWidth="1"/>
    <col min="8461" max="8461" width="15" style="1966" customWidth="1"/>
    <col min="8462" max="8462" width="19.28515625" style="1966" customWidth="1"/>
    <col min="8463" max="8463" width="19.85546875" style="1966" customWidth="1"/>
    <col min="8464" max="8464" width="19.5703125" style="1966" customWidth="1"/>
    <col min="8465" max="8465" width="14" style="1966" customWidth="1"/>
    <col min="8466" max="8466" width="16.42578125" style="1966" customWidth="1"/>
    <col min="8467" max="8467" width="18.140625" style="1966" customWidth="1"/>
    <col min="8468" max="8468" width="15.85546875" style="1966" customWidth="1"/>
    <col min="8469" max="8696" width="9.140625" style="1966"/>
    <col min="8697" max="8697" width="18" style="1966" customWidth="1"/>
    <col min="8698" max="8698" width="21.140625" style="1966" customWidth="1"/>
    <col min="8699" max="8699" width="13" style="1966" customWidth="1"/>
    <col min="8700" max="8700" width="14.5703125" style="1966" customWidth="1"/>
    <col min="8701" max="8701" width="11.5703125" style="1966" customWidth="1"/>
    <col min="8702" max="8702" width="14.5703125" style="1966" customWidth="1"/>
    <col min="8703" max="8703" width="13.28515625" style="1966" customWidth="1"/>
    <col min="8704" max="8704" width="13.42578125" style="1966" customWidth="1"/>
    <col min="8705" max="8705" width="14.140625" style="1966" customWidth="1"/>
    <col min="8706" max="8706" width="17.5703125" style="1966" customWidth="1"/>
    <col min="8707" max="8707" width="16" style="1966" customWidth="1"/>
    <col min="8708" max="8708" width="19" style="1966" customWidth="1"/>
    <col min="8709" max="8709" width="14" style="1966" customWidth="1"/>
    <col min="8710" max="8713" width="19.140625" style="1966" customWidth="1"/>
    <col min="8714" max="8714" width="15" style="1966" customWidth="1"/>
    <col min="8715" max="8715" width="22" style="1966" customWidth="1"/>
    <col min="8716" max="8716" width="19.42578125" style="1966" customWidth="1"/>
    <col min="8717" max="8717" width="15" style="1966" customWidth="1"/>
    <col min="8718" max="8718" width="19.28515625" style="1966" customWidth="1"/>
    <col min="8719" max="8719" width="19.85546875" style="1966" customWidth="1"/>
    <col min="8720" max="8720" width="19.5703125" style="1966" customWidth="1"/>
    <col min="8721" max="8721" width="14" style="1966" customWidth="1"/>
    <col min="8722" max="8722" width="16.42578125" style="1966" customWidth="1"/>
    <col min="8723" max="8723" width="18.140625" style="1966" customWidth="1"/>
    <col min="8724" max="8724" width="15.85546875" style="1966" customWidth="1"/>
    <col min="8725" max="8952" width="9.140625" style="1966"/>
    <col min="8953" max="8953" width="18" style="1966" customWidth="1"/>
    <col min="8954" max="8954" width="21.140625" style="1966" customWidth="1"/>
    <col min="8955" max="8955" width="13" style="1966" customWidth="1"/>
    <col min="8956" max="8956" width="14.5703125" style="1966" customWidth="1"/>
    <col min="8957" max="8957" width="11.5703125" style="1966" customWidth="1"/>
    <col min="8958" max="8958" width="14.5703125" style="1966" customWidth="1"/>
    <col min="8959" max="8959" width="13.28515625" style="1966" customWidth="1"/>
    <col min="8960" max="8960" width="13.42578125" style="1966" customWidth="1"/>
    <col min="8961" max="8961" width="14.140625" style="1966" customWidth="1"/>
    <col min="8962" max="8962" width="17.5703125" style="1966" customWidth="1"/>
    <col min="8963" max="8963" width="16" style="1966" customWidth="1"/>
    <col min="8964" max="8964" width="19" style="1966" customWidth="1"/>
    <col min="8965" max="8965" width="14" style="1966" customWidth="1"/>
    <col min="8966" max="8969" width="19.140625" style="1966" customWidth="1"/>
    <col min="8970" max="8970" width="15" style="1966" customWidth="1"/>
    <col min="8971" max="8971" width="22" style="1966" customWidth="1"/>
    <col min="8972" max="8972" width="19.42578125" style="1966" customWidth="1"/>
    <col min="8973" max="8973" width="15" style="1966" customWidth="1"/>
    <col min="8974" max="8974" width="19.28515625" style="1966" customWidth="1"/>
    <col min="8975" max="8975" width="19.85546875" style="1966" customWidth="1"/>
    <col min="8976" max="8976" width="19.5703125" style="1966" customWidth="1"/>
    <col min="8977" max="8977" width="14" style="1966" customWidth="1"/>
    <col min="8978" max="8978" width="16.42578125" style="1966" customWidth="1"/>
    <col min="8979" max="8979" width="18.140625" style="1966" customWidth="1"/>
    <col min="8980" max="8980" width="15.85546875" style="1966" customWidth="1"/>
    <col min="8981" max="9208" width="9.140625" style="1966"/>
    <col min="9209" max="9209" width="18" style="1966" customWidth="1"/>
    <col min="9210" max="9210" width="21.140625" style="1966" customWidth="1"/>
    <col min="9211" max="9211" width="13" style="1966" customWidth="1"/>
    <col min="9212" max="9212" width="14.5703125" style="1966" customWidth="1"/>
    <col min="9213" max="9213" width="11.5703125" style="1966" customWidth="1"/>
    <col min="9214" max="9214" width="14.5703125" style="1966" customWidth="1"/>
    <col min="9215" max="9215" width="13.28515625" style="1966" customWidth="1"/>
    <col min="9216" max="9216" width="13.42578125" style="1966" customWidth="1"/>
    <col min="9217" max="9217" width="14.140625" style="1966" customWidth="1"/>
    <col min="9218" max="9218" width="17.5703125" style="1966" customWidth="1"/>
    <col min="9219" max="9219" width="16" style="1966" customWidth="1"/>
    <col min="9220" max="9220" width="19" style="1966" customWidth="1"/>
    <col min="9221" max="9221" width="14" style="1966" customWidth="1"/>
    <col min="9222" max="9225" width="19.140625" style="1966" customWidth="1"/>
    <col min="9226" max="9226" width="15" style="1966" customWidth="1"/>
    <col min="9227" max="9227" width="22" style="1966" customWidth="1"/>
    <col min="9228" max="9228" width="19.42578125" style="1966" customWidth="1"/>
    <col min="9229" max="9229" width="15" style="1966" customWidth="1"/>
    <col min="9230" max="9230" width="19.28515625" style="1966" customWidth="1"/>
    <col min="9231" max="9231" width="19.85546875" style="1966" customWidth="1"/>
    <col min="9232" max="9232" width="19.5703125" style="1966" customWidth="1"/>
    <col min="9233" max="9233" width="14" style="1966" customWidth="1"/>
    <col min="9234" max="9234" width="16.42578125" style="1966" customWidth="1"/>
    <col min="9235" max="9235" width="18.140625" style="1966" customWidth="1"/>
    <col min="9236" max="9236" width="15.85546875" style="1966" customWidth="1"/>
    <col min="9237" max="9464" width="9.140625" style="1966"/>
    <col min="9465" max="9465" width="18" style="1966" customWidth="1"/>
    <col min="9466" max="9466" width="21.140625" style="1966" customWidth="1"/>
    <col min="9467" max="9467" width="13" style="1966" customWidth="1"/>
    <col min="9468" max="9468" width="14.5703125" style="1966" customWidth="1"/>
    <col min="9469" max="9469" width="11.5703125" style="1966" customWidth="1"/>
    <col min="9470" max="9470" width="14.5703125" style="1966" customWidth="1"/>
    <col min="9471" max="9471" width="13.28515625" style="1966" customWidth="1"/>
    <col min="9472" max="9472" width="13.42578125" style="1966" customWidth="1"/>
    <col min="9473" max="9473" width="14.140625" style="1966" customWidth="1"/>
    <col min="9474" max="9474" width="17.5703125" style="1966" customWidth="1"/>
    <col min="9475" max="9475" width="16" style="1966" customWidth="1"/>
    <col min="9476" max="9476" width="19" style="1966" customWidth="1"/>
    <col min="9477" max="9477" width="14" style="1966" customWidth="1"/>
    <col min="9478" max="9481" width="19.140625" style="1966" customWidth="1"/>
    <col min="9482" max="9482" width="15" style="1966" customWidth="1"/>
    <col min="9483" max="9483" width="22" style="1966" customWidth="1"/>
    <col min="9484" max="9484" width="19.42578125" style="1966" customWidth="1"/>
    <col min="9485" max="9485" width="15" style="1966" customWidth="1"/>
    <col min="9486" max="9486" width="19.28515625" style="1966" customWidth="1"/>
    <col min="9487" max="9487" width="19.85546875" style="1966" customWidth="1"/>
    <col min="9488" max="9488" width="19.5703125" style="1966" customWidth="1"/>
    <col min="9489" max="9489" width="14" style="1966" customWidth="1"/>
    <col min="9490" max="9490" width="16.42578125" style="1966" customWidth="1"/>
    <col min="9491" max="9491" width="18.140625" style="1966" customWidth="1"/>
    <col min="9492" max="9492" width="15.85546875" style="1966" customWidth="1"/>
    <col min="9493" max="9720" width="9.140625" style="1966"/>
    <col min="9721" max="9721" width="18" style="1966" customWidth="1"/>
    <col min="9722" max="9722" width="21.140625" style="1966" customWidth="1"/>
    <col min="9723" max="9723" width="13" style="1966" customWidth="1"/>
    <col min="9724" max="9724" width="14.5703125" style="1966" customWidth="1"/>
    <col min="9725" max="9725" width="11.5703125" style="1966" customWidth="1"/>
    <col min="9726" max="9726" width="14.5703125" style="1966" customWidth="1"/>
    <col min="9727" max="9727" width="13.28515625" style="1966" customWidth="1"/>
    <col min="9728" max="9728" width="13.42578125" style="1966" customWidth="1"/>
    <col min="9729" max="9729" width="14.140625" style="1966" customWidth="1"/>
    <col min="9730" max="9730" width="17.5703125" style="1966" customWidth="1"/>
    <col min="9731" max="9731" width="16" style="1966" customWidth="1"/>
    <col min="9732" max="9732" width="19" style="1966" customWidth="1"/>
    <col min="9733" max="9733" width="14" style="1966" customWidth="1"/>
    <col min="9734" max="9737" width="19.140625" style="1966" customWidth="1"/>
    <col min="9738" max="9738" width="15" style="1966" customWidth="1"/>
    <col min="9739" max="9739" width="22" style="1966" customWidth="1"/>
    <col min="9740" max="9740" width="19.42578125" style="1966" customWidth="1"/>
    <col min="9741" max="9741" width="15" style="1966" customWidth="1"/>
    <col min="9742" max="9742" width="19.28515625" style="1966" customWidth="1"/>
    <col min="9743" max="9743" width="19.85546875" style="1966" customWidth="1"/>
    <col min="9744" max="9744" width="19.5703125" style="1966" customWidth="1"/>
    <col min="9745" max="9745" width="14" style="1966" customWidth="1"/>
    <col min="9746" max="9746" width="16.42578125" style="1966" customWidth="1"/>
    <col min="9747" max="9747" width="18.140625" style="1966" customWidth="1"/>
    <col min="9748" max="9748" width="15.85546875" style="1966" customWidth="1"/>
    <col min="9749" max="9976" width="9.140625" style="1966"/>
    <col min="9977" max="9977" width="18" style="1966" customWidth="1"/>
    <col min="9978" max="9978" width="21.140625" style="1966" customWidth="1"/>
    <col min="9979" max="9979" width="13" style="1966" customWidth="1"/>
    <col min="9980" max="9980" width="14.5703125" style="1966" customWidth="1"/>
    <col min="9981" max="9981" width="11.5703125" style="1966" customWidth="1"/>
    <col min="9982" max="9982" width="14.5703125" style="1966" customWidth="1"/>
    <col min="9983" max="9983" width="13.28515625" style="1966" customWidth="1"/>
    <col min="9984" max="9984" width="13.42578125" style="1966" customWidth="1"/>
    <col min="9985" max="9985" width="14.140625" style="1966" customWidth="1"/>
    <col min="9986" max="9986" width="17.5703125" style="1966" customWidth="1"/>
    <col min="9987" max="9987" width="16" style="1966" customWidth="1"/>
    <col min="9988" max="9988" width="19" style="1966" customWidth="1"/>
    <col min="9989" max="9989" width="14" style="1966" customWidth="1"/>
    <col min="9990" max="9993" width="19.140625" style="1966" customWidth="1"/>
    <col min="9994" max="9994" width="15" style="1966" customWidth="1"/>
    <col min="9995" max="9995" width="22" style="1966" customWidth="1"/>
    <col min="9996" max="9996" width="19.42578125" style="1966" customWidth="1"/>
    <col min="9997" max="9997" width="15" style="1966" customWidth="1"/>
    <col min="9998" max="9998" width="19.28515625" style="1966" customWidth="1"/>
    <col min="9999" max="9999" width="19.85546875" style="1966" customWidth="1"/>
    <col min="10000" max="10000" width="19.5703125" style="1966" customWidth="1"/>
    <col min="10001" max="10001" width="14" style="1966" customWidth="1"/>
    <col min="10002" max="10002" width="16.42578125" style="1966" customWidth="1"/>
    <col min="10003" max="10003" width="18.140625" style="1966" customWidth="1"/>
    <col min="10004" max="10004" width="15.85546875" style="1966" customWidth="1"/>
    <col min="10005" max="10232" width="9.140625" style="1966"/>
    <col min="10233" max="10233" width="18" style="1966" customWidth="1"/>
    <col min="10234" max="10234" width="21.140625" style="1966" customWidth="1"/>
    <col min="10235" max="10235" width="13" style="1966" customWidth="1"/>
    <col min="10236" max="10236" width="14.5703125" style="1966" customWidth="1"/>
    <col min="10237" max="10237" width="11.5703125" style="1966" customWidth="1"/>
    <col min="10238" max="10238" width="14.5703125" style="1966" customWidth="1"/>
    <col min="10239" max="10239" width="13.28515625" style="1966" customWidth="1"/>
    <col min="10240" max="10240" width="13.42578125" style="1966" customWidth="1"/>
    <col min="10241" max="10241" width="14.140625" style="1966" customWidth="1"/>
    <col min="10242" max="10242" width="17.5703125" style="1966" customWidth="1"/>
    <col min="10243" max="10243" width="16" style="1966" customWidth="1"/>
    <col min="10244" max="10244" width="19" style="1966" customWidth="1"/>
    <col min="10245" max="10245" width="14" style="1966" customWidth="1"/>
    <col min="10246" max="10249" width="19.140625" style="1966" customWidth="1"/>
    <col min="10250" max="10250" width="15" style="1966" customWidth="1"/>
    <col min="10251" max="10251" width="22" style="1966" customWidth="1"/>
    <col min="10252" max="10252" width="19.42578125" style="1966" customWidth="1"/>
    <col min="10253" max="10253" width="15" style="1966" customWidth="1"/>
    <col min="10254" max="10254" width="19.28515625" style="1966" customWidth="1"/>
    <col min="10255" max="10255" width="19.85546875" style="1966" customWidth="1"/>
    <col min="10256" max="10256" width="19.5703125" style="1966" customWidth="1"/>
    <col min="10257" max="10257" width="14" style="1966" customWidth="1"/>
    <col min="10258" max="10258" width="16.42578125" style="1966" customWidth="1"/>
    <col min="10259" max="10259" width="18.140625" style="1966" customWidth="1"/>
    <col min="10260" max="10260" width="15.85546875" style="1966" customWidth="1"/>
    <col min="10261" max="10488" width="9.140625" style="1966"/>
    <col min="10489" max="10489" width="18" style="1966" customWidth="1"/>
    <col min="10490" max="10490" width="21.140625" style="1966" customWidth="1"/>
    <col min="10491" max="10491" width="13" style="1966" customWidth="1"/>
    <col min="10492" max="10492" width="14.5703125" style="1966" customWidth="1"/>
    <col min="10493" max="10493" width="11.5703125" style="1966" customWidth="1"/>
    <col min="10494" max="10494" width="14.5703125" style="1966" customWidth="1"/>
    <col min="10495" max="10495" width="13.28515625" style="1966" customWidth="1"/>
    <col min="10496" max="10496" width="13.42578125" style="1966" customWidth="1"/>
    <col min="10497" max="10497" width="14.140625" style="1966" customWidth="1"/>
    <col min="10498" max="10498" width="17.5703125" style="1966" customWidth="1"/>
    <col min="10499" max="10499" width="16" style="1966" customWidth="1"/>
    <col min="10500" max="10500" width="19" style="1966" customWidth="1"/>
    <col min="10501" max="10501" width="14" style="1966" customWidth="1"/>
    <col min="10502" max="10505" width="19.140625" style="1966" customWidth="1"/>
    <col min="10506" max="10506" width="15" style="1966" customWidth="1"/>
    <col min="10507" max="10507" width="22" style="1966" customWidth="1"/>
    <col min="10508" max="10508" width="19.42578125" style="1966" customWidth="1"/>
    <col min="10509" max="10509" width="15" style="1966" customWidth="1"/>
    <col min="10510" max="10510" width="19.28515625" style="1966" customWidth="1"/>
    <col min="10511" max="10511" width="19.85546875" style="1966" customWidth="1"/>
    <col min="10512" max="10512" width="19.5703125" style="1966" customWidth="1"/>
    <col min="10513" max="10513" width="14" style="1966" customWidth="1"/>
    <col min="10514" max="10514" width="16.42578125" style="1966" customWidth="1"/>
    <col min="10515" max="10515" width="18.140625" style="1966" customWidth="1"/>
    <col min="10516" max="10516" width="15.85546875" style="1966" customWidth="1"/>
    <col min="10517" max="10744" width="9.140625" style="1966"/>
    <col min="10745" max="10745" width="18" style="1966" customWidth="1"/>
    <col min="10746" max="10746" width="21.140625" style="1966" customWidth="1"/>
    <col min="10747" max="10747" width="13" style="1966" customWidth="1"/>
    <col min="10748" max="10748" width="14.5703125" style="1966" customWidth="1"/>
    <col min="10749" max="10749" width="11.5703125" style="1966" customWidth="1"/>
    <col min="10750" max="10750" width="14.5703125" style="1966" customWidth="1"/>
    <col min="10751" max="10751" width="13.28515625" style="1966" customWidth="1"/>
    <col min="10752" max="10752" width="13.42578125" style="1966" customWidth="1"/>
    <col min="10753" max="10753" width="14.140625" style="1966" customWidth="1"/>
    <col min="10754" max="10754" width="17.5703125" style="1966" customWidth="1"/>
    <col min="10755" max="10755" width="16" style="1966" customWidth="1"/>
    <col min="10756" max="10756" width="19" style="1966" customWidth="1"/>
    <col min="10757" max="10757" width="14" style="1966" customWidth="1"/>
    <col min="10758" max="10761" width="19.140625" style="1966" customWidth="1"/>
    <col min="10762" max="10762" width="15" style="1966" customWidth="1"/>
    <col min="10763" max="10763" width="22" style="1966" customWidth="1"/>
    <col min="10764" max="10764" width="19.42578125" style="1966" customWidth="1"/>
    <col min="10765" max="10765" width="15" style="1966" customWidth="1"/>
    <col min="10766" max="10766" width="19.28515625" style="1966" customWidth="1"/>
    <col min="10767" max="10767" width="19.85546875" style="1966" customWidth="1"/>
    <col min="10768" max="10768" width="19.5703125" style="1966" customWidth="1"/>
    <col min="10769" max="10769" width="14" style="1966" customWidth="1"/>
    <col min="10770" max="10770" width="16.42578125" style="1966" customWidth="1"/>
    <col min="10771" max="10771" width="18.140625" style="1966" customWidth="1"/>
    <col min="10772" max="10772" width="15.85546875" style="1966" customWidth="1"/>
    <col min="10773" max="11000" width="9.140625" style="1966"/>
    <col min="11001" max="11001" width="18" style="1966" customWidth="1"/>
    <col min="11002" max="11002" width="21.140625" style="1966" customWidth="1"/>
    <col min="11003" max="11003" width="13" style="1966" customWidth="1"/>
    <col min="11004" max="11004" width="14.5703125" style="1966" customWidth="1"/>
    <col min="11005" max="11005" width="11.5703125" style="1966" customWidth="1"/>
    <col min="11006" max="11006" width="14.5703125" style="1966" customWidth="1"/>
    <col min="11007" max="11007" width="13.28515625" style="1966" customWidth="1"/>
    <col min="11008" max="11008" width="13.42578125" style="1966" customWidth="1"/>
    <col min="11009" max="11009" width="14.140625" style="1966" customWidth="1"/>
    <col min="11010" max="11010" width="17.5703125" style="1966" customWidth="1"/>
    <col min="11011" max="11011" width="16" style="1966" customWidth="1"/>
    <col min="11012" max="11012" width="19" style="1966" customWidth="1"/>
    <col min="11013" max="11013" width="14" style="1966" customWidth="1"/>
    <col min="11014" max="11017" width="19.140625" style="1966" customWidth="1"/>
    <col min="11018" max="11018" width="15" style="1966" customWidth="1"/>
    <col min="11019" max="11019" width="22" style="1966" customWidth="1"/>
    <col min="11020" max="11020" width="19.42578125" style="1966" customWidth="1"/>
    <col min="11021" max="11021" width="15" style="1966" customWidth="1"/>
    <col min="11022" max="11022" width="19.28515625" style="1966" customWidth="1"/>
    <col min="11023" max="11023" width="19.85546875" style="1966" customWidth="1"/>
    <col min="11024" max="11024" width="19.5703125" style="1966" customWidth="1"/>
    <col min="11025" max="11025" width="14" style="1966" customWidth="1"/>
    <col min="11026" max="11026" width="16.42578125" style="1966" customWidth="1"/>
    <col min="11027" max="11027" width="18.140625" style="1966" customWidth="1"/>
    <col min="11028" max="11028" width="15.85546875" style="1966" customWidth="1"/>
    <col min="11029" max="11256" width="9.140625" style="1966"/>
    <col min="11257" max="11257" width="18" style="1966" customWidth="1"/>
    <col min="11258" max="11258" width="21.140625" style="1966" customWidth="1"/>
    <col min="11259" max="11259" width="13" style="1966" customWidth="1"/>
    <col min="11260" max="11260" width="14.5703125" style="1966" customWidth="1"/>
    <col min="11261" max="11261" width="11.5703125" style="1966" customWidth="1"/>
    <col min="11262" max="11262" width="14.5703125" style="1966" customWidth="1"/>
    <col min="11263" max="11263" width="13.28515625" style="1966" customWidth="1"/>
    <col min="11264" max="11264" width="13.42578125" style="1966" customWidth="1"/>
    <col min="11265" max="11265" width="14.140625" style="1966" customWidth="1"/>
    <col min="11266" max="11266" width="17.5703125" style="1966" customWidth="1"/>
    <col min="11267" max="11267" width="16" style="1966" customWidth="1"/>
    <col min="11268" max="11268" width="19" style="1966" customWidth="1"/>
    <col min="11269" max="11269" width="14" style="1966" customWidth="1"/>
    <col min="11270" max="11273" width="19.140625" style="1966" customWidth="1"/>
    <col min="11274" max="11274" width="15" style="1966" customWidth="1"/>
    <col min="11275" max="11275" width="22" style="1966" customWidth="1"/>
    <col min="11276" max="11276" width="19.42578125" style="1966" customWidth="1"/>
    <col min="11277" max="11277" width="15" style="1966" customWidth="1"/>
    <col min="11278" max="11278" width="19.28515625" style="1966" customWidth="1"/>
    <col min="11279" max="11279" width="19.85546875" style="1966" customWidth="1"/>
    <col min="11280" max="11280" width="19.5703125" style="1966" customWidth="1"/>
    <col min="11281" max="11281" width="14" style="1966" customWidth="1"/>
    <col min="11282" max="11282" width="16.42578125" style="1966" customWidth="1"/>
    <col min="11283" max="11283" width="18.140625" style="1966" customWidth="1"/>
    <col min="11284" max="11284" width="15.85546875" style="1966" customWidth="1"/>
    <col min="11285" max="11512" width="9.140625" style="1966"/>
    <col min="11513" max="11513" width="18" style="1966" customWidth="1"/>
    <col min="11514" max="11514" width="21.140625" style="1966" customWidth="1"/>
    <col min="11515" max="11515" width="13" style="1966" customWidth="1"/>
    <col min="11516" max="11516" width="14.5703125" style="1966" customWidth="1"/>
    <col min="11517" max="11517" width="11.5703125" style="1966" customWidth="1"/>
    <col min="11518" max="11518" width="14.5703125" style="1966" customWidth="1"/>
    <col min="11519" max="11519" width="13.28515625" style="1966" customWidth="1"/>
    <col min="11520" max="11520" width="13.42578125" style="1966" customWidth="1"/>
    <col min="11521" max="11521" width="14.140625" style="1966" customWidth="1"/>
    <col min="11522" max="11522" width="17.5703125" style="1966" customWidth="1"/>
    <col min="11523" max="11523" width="16" style="1966" customWidth="1"/>
    <col min="11524" max="11524" width="19" style="1966" customWidth="1"/>
    <col min="11525" max="11525" width="14" style="1966" customWidth="1"/>
    <col min="11526" max="11529" width="19.140625" style="1966" customWidth="1"/>
    <col min="11530" max="11530" width="15" style="1966" customWidth="1"/>
    <col min="11531" max="11531" width="22" style="1966" customWidth="1"/>
    <col min="11532" max="11532" width="19.42578125" style="1966" customWidth="1"/>
    <col min="11533" max="11533" width="15" style="1966" customWidth="1"/>
    <col min="11534" max="11534" width="19.28515625" style="1966" customWidth="1"/>
    <col min="11535" max="11535" width="19.85546875" style="1966" customWidth="1"/>
    <col min="11536" max="11536" width="19.5703125" style="1966" customWidth="1"/>
    <col min="11537" max="11537" width="14" style="1966" customWidth="1"/>
    <col min="11538" max="11538" width="16.42578125" style="1966" customWidth="1"/>
    <col min="11539" max="11539" width="18.140625" style="1966" customWidth="1"/>
    <col min="11540" max="11540" width="15.85546875" style="1966" customWidth="1"/>
    <col min="11541" max="11768" width="9.140625" style="1966"/>
    <col min="11769" max="11769" width="18" style="1966" customWidth="1"/>
    <col min="11770" max="11770" width="21.140625" style="1966" customWidth="1"/>
    <col min="11771" max="11771" width="13" style="1966" customWidth="1"/>
    <col min="11772" max="11772" width="14.5703125" style="1966" customWidth="1"/>
    <col min="11773" max="11773" width="11.5703125" style="1966" customWidth="1"/>
    <col min="11774" max="11774" width="14.5703125" style="1966" customWidth="1"/>
    <col min="11775" max="11775" width="13.28515625" style="1966" customWidth="1"/>
    <col min="11776" max="11776" width="13.42578125" style="1966" customWidth="1"/>
    <col min="11777" max="11777" width="14.140625" style="1966" customWidth="1"/>
    <col min="11778" max="11778" width="17.5703125" style="1966" customWidth="1"/>
    <col min="11779" max="11779" width="16" style="1966" customWidth="1"/>
    <col min="11780" max="11780" width="19" style="1966" customWidth="1"/>
    <col min="11781" max="11781" width="14" style="1966" customWidth="1"/>
    <col min="11782" max="11785" width="19.140625" style="1966" customWidth="1"/>
    <col min="11786" max="11786" width="15" style="1966" customWidth="1"/>
    <col min="11787" max="11787" width="22" style="1966" customWidth="1"/>
    <col min="11788" max="11788" width="19.42578125" style="1966" customWidth="1"/>
    <col min="11789" max="11789" width="15" style="1966" customWidth="1"/>
    <col min="11790" max="11790" width="19.28515625" style="1966" customWidth="1"/>
    <col min="11791" max="11791" width="19.85546875" style="1966" customWidth="1"/>
    <col min="11792" max="11792" width="19.5703125" style="1966" customWidth="1"/>
    <col min="11793" max="11793" width="14" style="1966" customWidth="1"/>
    <col min="11794" max="11794" width="16.42578125" style="1966" customWidth="1"/>
    <col min="11795" max="11795" width="18.140625" style="1966" customWidth="1"/>
    <col min="11796" max="11796" width="15.85546875" style="1966" customWidth="1"/>
    <col min="11797" max="12024" width="9.140625" style="1966"/>
    <col min="12025" max="12025" width="18" style="1966" customWidth="1"/>
    <col min="12026" max="12026" width="21.140625" style="1966" customWidth="1"/>
    <col min="12027" max="12027" width="13" style="1966" customWidth="1"/>
    <col min="12028" max="12028" width="14.5703125" style="1966" customWidth="1"/>
    <col min="12029" max="12029" width="11.5703125" style="1966" customWidth="1"/>
    <col min="12030" max="12030" width="14.5703125" style="1966" customWidth="1"/>
    <col min="12031" max="12031" width="13.28515625" style="1966" customWidth="1"/>
    <col min="12032" max="12032" width="13.42578125" style="1966" customWidth="1"/>
    <col min="12033" max="12033" width="14.140625" style="1966" customWidth="1"/>
    <col min="12034" max="12034" width="17.5703125" style="1966" customWidth="1"/>
    <col min="12035" max="12035" width="16" style="1966" customWidth="1"/>
    <col min="12036" max="12036" width="19" style="1966" customWidth="1"/>
    <col min="12037" max="12037" width="14" style="1966" customWidth="1"/>
    <col min="12038" max="12041" width="19.140625" style="1966" customWidth="1"/>
    <col min="12042" max="12042" width="15" style="1966" customWidth="1"/>
    <col min="12043" max="12043" width="22" style="1966" customWidth="1"/>
    <col min="12044" max="12044" width="19.42578125" style="1966" customWidth="1"/>
    <col min="12045" max="12045" width="15" style="1966" customWidth="1"/>
    <col min="12046" max="12046" width="19.28515625" style="1966" customWidth="1"/>
    <col min="12047" max="12047" width="19.85546875" style="1966" customWidth="1"/>
    <col min="12048" max="12048" width="19.5703125" style="1966" customWidth="1"/>
    <col min="12049" max="12049" width="14" style="1966" customWidth="1"/>
    <col min="12050" max="12050" width="16.42578125" style="1966" customWidth="1"/>
    <col min="12051" max="12051" width="18.140625" style="1966" customWidth="1"/>
    <col min="12052" max="12052" width="15.85546875" style="1966" customWidth="1"/>
    <col min="12053" max="12280" width="9.140625" style="1966"/>
    <col min="12281" max="12281" width="18" style="1966" customWidth="1"/>
    <col min="12282" max="12282" width="21.140625" style="1966" customWidth="1"/>
    <col min="12283" max="12283" width="13" style="1966" customWidth="1"/>
    <col min="12284" max="12284" width="14.5703125" style="1966" customWidth="1"/>
    <col min="12285" max="12285" width="11.5703125" style="1966" customWidth="1"/>
    <col min="12286" max="12286" width="14.5703125" style="1966" customWidth="1"/>
    <col min="12287" max="12287" width="13.28515625" style="1966" customWidth="1"/>
    <col min="12288" max="12288" width="13.42578125" style="1966" customWidth="1"/>
    <col min="12289" max="12289" width="14.140625" style="1966" customWidth="1"/>
    <col min="12290" max="12290" width="17.5703125" style="1966" customWidth="1"/>
    <col min="12291" max="12291" width="16" style="1966" customWidth="1"/>
    <col min="12292" max="12292" width="19" style="1966" customWidth="1"/>
    <col min="12293" max="12293" width="14" style="1966" customWidth="1"/>
    <col min="12294" max="12297" width="19.140625" style="1966" customWidth="1"/>
    <col min="12298" max="12298" width="15" style="1966" customWidth="1"/>
    <col min="12299" max="12299" width="22" style="1966" customWidth="1"/>
    <col min="12300" max="12300" width="19.42578125" style="1966" customWidth="1"/>
    <col min="12301" max="12301" width="15" style="1966" customWidth="1"/>
    <col min="12302" max="12302" width="19.28515625" style="1966" customWidth="1"/>
    <col min="12303" max="12303" width="19.85546875" style="1966" customWidth="1"/>
    <col min="12304" max="12304" width="19.5703125" style="1966" customWidth="1"/>
    <col min="12305" max="12305" width="14" style="1966" customWidth="1"/>
    <col min="12306" max="12306" width="16.42578125" style="1966" customWidth="1"/>
    <col min="12307" max="12307" width="18.140625" style="1966" customWidth="1"/>
    <col min="12308" max="12308" width="15.85546875" style="1966" customWidth="1"/>
    <col min="12309" max="12536" width="9.140625" style="1966"/>
    <col min="12537" max="12537" width="18" style="1966" customWidth="1"/>
    <col min="12538" max="12538" width="21.140625" style="1966" customWidth="1"/>
    <col min="12539" max="12539" width="13" style="1966" customWidth="1"/>
    <col min="12540" max="12540" width="14.5703125" style="1966" customWidth="1"/>
    <col min="12541" max="12541" width="11.5703125" style="1966" customWidth="1"/>
    <col min="12542" max="12542" width="14.5703125" style="1966" customWidth="1"/>
    <col min="12543" max="12543" width="13.28515625" style="1966" customWidth="1"/>
    <col min="12544" max="12544" width="13.42578125" style="1966" customWidth="1"/>
    <col min="12545" max="12545" width="14.140625" style="1966" customWidth="1"/>
    <col min="12546" max="12546" width="17.5703125" style="1966" customWidth="1"/>
    <col min="12547" max="12547" width="16" style="1966" customWidth="1"/>
    <col min="12548" max="12548" width="19" style="1966" customWidth="1"/>
    <col min="12549" max="12549" width="14" style="1966" customWidth="1"/>
    <col min="12550" max="12553" width="19.140625" style="1966" customWidth="1"/>
    <col min="12554" max="12554" width="15" style="1966" customWidth="1"/>
    <col min="12555" max="12555" width="22" style="1966" customWidth="1"/>
    <col min="12556" max="12556" width="19.42578125" style="1966" customWidth="1"/>
    <col min="12557" max="12557" width="15" style="1966" customWidth="1"/>
    <col min="12558" max="12558" width="19.28515625" style="1966" customWidth="1"/>
    <col min="12559" max="12559" width="19.85546875" style="1966" customWidth="1"/>
    <col min="12560" max="12560" width="19.5703125" style="1966" customWidth="1"/>
    <col min="12561" max="12561" width="14" style="1966" customWidth="1"/>
    <col min="12562" max="12562" width="16.42578125" style="1966" customWidth="1"/>
    <col min="12563" max="12563" width="18.140625" style="1966" customWidth="1"/>
    <col min="12564" max="12564" width="15.85546875" style="1966" customWidth="1"/>
    <col min="12565" max="12792" width="9.140625" style="1966"/>
    <col min="12793" max="12793" width="18" style="1966" customWidth="1"/>
    <col min="12794" max="12794" width="21.140625" style="1966" customWidth="1"/>
    <col min="12795" max="12795" width="13" style="1966" customWidth="1"/>
    <col min="12796" max="12796" width="14.5703125" style="1966" customWidth="1"/>
    <col min="12797" max="12797" width="11.5703125" style="1966" customWidth="1"/>
    <col min="12798" max="12798" width="14.5703125" style="1966" customWidth="1"/>
    <col min="12799" max="12799" width="13.28515625" style="1966" customWidth="1"/>
    <col min="12800" max="12800" width="13.42578125" style="1966" customWidth="1"/>
    <col min="12801" max="12801" width="14.140625" style="1966" customWidth="1"/>
    <col min="12802" max="12802" width="17.5703125" style="1966" customWidth="1"/>
    <col min="12803" max="12803" width="16" style="1966" customWidth="1"/>
    <col min="12804" max="12804" width="19" style="1966" customWidth="1"/>
    <col min="12805" max="12805" width="14" style="1966" customWidth="1"/>
    <col min="12806" max="12809" width="19.140625" style="1966" customWidth="1"/>
    <col min="12810" max="12810" width="15" style="1966" customWidth="1"/>
    <col min="12811" max="12811" width="22" style="1966" customWidth="1"/>
    <col min="12812" max="12812" width="19.42578125" style="1966" customWidth="1"/>
    <col min="12813" max="12813" width="15" style="1966" customWidth="1"/>
    <col min="12814" max="12814" width="19.28515625" style="1966" customWidth="1"/>
    <col min="12815" max="12815" width="19.85546875" style="1966" customWidth="1"/>
    <col min="12816" max="12816" width="19.5703125" style="1966" customWidth="1"/>
    <col min="12817" max="12817" width="14" style="1966" customWidth="1"/>
    <col min="12818" max="12818" width="16.42578125" style="1966" customWidth="1"/>
    <col min="12819" max="12819" width="18.140625" style="1966" customWidth="1"/>
    <col min="12820" max="12820" width="15.85546875" style="1966" customWidth="1"/>
    <col min="12821" max="13048" width="9.140625" style="1966"/>
    <col min="13049" max="13049" width="18" style="1966" customWidth="1"/>
    <col min="13050" max="13050" width="21.140625" style="1966" customWidth="1"/>
    <col min="13051" max="13051" width="13" style="1966" customWidth="1"/>
    <col min="13052" max="13052" width="14.5703125" style="1966" customWidth="1"/>
    <col min="13053" max="13053" width="11.5703125" style="1966" customWidth="1"/>
    <col min="13054" max="13054" width="14.5703125" style="1966" customWidth="1"/>
    <col min="13055" max="13055" width="13.28515625" style="1966" customWidth="1"/>
    <col min="13056" max="13056" width="13.42578125" style="1966" customWidth="1"/>
    <col min="13057" max="13057" width="14.140625" style="1966" customWidth="1"/>
    <col min="13058" max="13058" width="17.5703125" style="1966" customWidth="1"/>
    <col min="13059" max="13059" width="16" style="1966" customWidth="1"/>
    <col min="13060" max="13060" width="19" style="1966" customWidth="1"/>
    <col min="13061" max="13061" width="14" style="1966" customWidth="1"/>
    <col min="13062" max="13065" width="19.140625" style="1966" customWidth="1"/>
    <col min="13066" max="13066" width="15" style="1966" customWidth="1"/>
    <col min="13067" max="13067" width="22" style="1966" customWidth="1"/>
    <col min="13068" max="13068" width="19.42578125" style="1966" customWidth="1"/>
    <col min="13069" max="13069" width="15" style="1966" customWidth="1"/>
    <col min="13070" max="13070" width="19.28515625" style="1966" customWidth="1"/>
    <col min="13071" max="13071" width="19.85546875" style="1966" customWidth="1"/>
    <col min="13072" max="13072" width="19.5703125" style="1966" customWidth="1"/>
    <col min="13073" max="13073" width="14" style="1966" customWidth="1"/>
    <col min="13074" max="13074" width="16.42578125" style="1966" customWidth="1"/>
    <col min="13075" max="13075" width="18.140625" style="1966" customWidth="1"/>
    <col min="13076" max="13076" width="15.85546875" style="1966" customWidth="1"/>
    <col min="13077" max="13304" width="9.140625" style="1966"/>
    <col min="13305" max="13305" width="18" style="1966" customWidth="1"/>
    <col min="13306" max="13306" width="21.140625" style="1966" customWidth="1"/>
    <col min="13307" max="13307" width="13" style="1966" customWidth="1"/>
    <col min="13308" max="13308" width="14.5703125" style="1966" customWidth="1"/>
    <col min="13309" max="13309" width="11.5703125" style="1966" customWidth="1"/>
    <col min="13310" max="13310" width="14.5703125" style="1966" customWidth="1"/>
    <col min="13311" max="13311" width="13.28515625" style="1966" customWidth="1"/>
    <col min="13312" max="13312" width="13.42578125" style="1966" customWidth="1"/>
    <col min="13313" max="13313" width="14.140625" style="1966" customWidth="1"/>
    <col min="13314" max="13314" width="17.5703125" style="1966" customWidth="1"/>
    <col min="13315" max="13315" width="16" style="1966" customWidth="1"/>
    <col min="13316" max="13316" width="19" style="1966" customWidth="1"/>
    <col min="13317" max="13317" width="14" style="1966" customWidth="1"/>
    <col min="13318" max="13321" width="19.140625" style="1966" customWidth="1"/>
    <col min="13322" max="13322" width="15" style="1966" customWidth="1"/>
    <col min="13323" max="13323" width="22" style="1966" customWidth="1"/>
    <col min="13324" max="13324" width="19.42578125" style="1966" customWidth="1"/>
    <col min="13325" max="13325" width="15" style="1966" customWidth="1"/>
    <col min="13326" max="13326" width="19.28515625" style="1966" customWidth="1"/>
    <col min="13327" max="13327" width="19.85546875" style="1966" customWidth="1"/>
    <col min="13328" max="13328" width="19.5703125" style="1966" customWidth="1"/>
    <col min="13329" max="13329" width="14" style="1966" customWidth="1"/>
    <col min="13330" max="13330" width="16.42578125" style="1966" customWidth="1"/>
    <col min="13331" max="13331" width="18.140625" style="1966" customWidth="1"/>
    <col min="13332" max="13332" width="15.85546875" style="1966" customWidth="1"/>
    <col min="13333" max="13560" width="9.140625" style="1966"/>
    <col min="13561" max="13561" width="18" style="1966" customWidth="1"/>
    <col min="13562" max="13562" width="21.140625" style="1966" customWidth="1"/>
    <col min="13563" max="13563" width="13" style="1966" customWidth="1"/>
    <col min="13564" max="13564" width="14.5703125" style="1966" customWidth="1"/>
    <col min="13565" max="13565" width="11.5703125" style="1966" customWidth="1"/>
    <col min="13566" max="13566" width="14.5703125" style="1966" customWidth="1"/>
    <col min="13567" max="13567" width="13.28515625" style="1966" customWidth="1"/>
    <col min="13568" max="13568" width="13.42578125" style="1966" customWidth="1"/>
    <col min="13569" max="13569" width="14.140625" style="1966" customWidth="1"/>
    <col min="13570" max="13570" width="17.5703125" style="1966" customWidth="1"/>
    <col min="13571" max="13571" width="16" style="1966" customWidth="1"/>
    <col min="13572" max="13572" width="19" style="1966" customWidth="1"/>
    <col min="13573" max="13573" width="14" style="1966" customWidth="1"/>
    <col min="13574" max="13577" width="19.140625" style="1966" customWidth="1"/>
    <col min="13578" max="13578" width="15" style="1966" customWidth="1"/>
    <col min="13579" max="13579" width="22" style="1966" customWidth="1"/>
    <col min="13580" max="13580" width="19.42578125" style="1966" customWidth="1"/>
    <col min="13581" max="13581" width="15" style="1966" customWidth="1"/>
    <col min="13582" max="13582" width="19.28515625" style="1966" customWidth="1"/>
    <col min="13583" max="13583" width="19.85546875" style="1966" customWidth="1"/>
    <col min="13584" max="13584" width="19.5703125" style="1966" customWidth="1"/>
    <col min="13585" max="13585" width="14" style="1966" customWidth="1"/>
    <col min="13586" max="13586" width="16.42578125" style="1966" customWidth="1"/>
    <col min="13587" max="13587" width="18.140625" style="1966" customWidth="1"/>
    <col min="13588" max="13588" width="15.85546875" style="1966" customWidth="1"/>
    <col min="13589" max="13816" width="9.140625" style="1966"/>
    <col min="13817" max="13817" width="18" style="1966" customWidth="1"/>
    <col min="13818" max="13818" width="21.140625" style="1966" customWidth="1"/>
    <col min="13819" max="13819" width="13" style="1966" customWidth="1"/>
    <col min="13820" max="13820" width="14.5703125" style="1966" customWidth="1"/>
    <col min="13821" max="13821" width="11.5703125" style="1966" customWidth="1"/>
    <col min="13822" max="13822" width="14.5703125" style="1966" customWidth="1"/>
    <col min="13823" max="13823" width="13.28515625" style="1966" customWidth="1"/>
    <col min="13824" max="13824" width="13.42578125" style="1966" customWidth="1"/>
    <col min="13825" max="13825" width="14.140625" style="1966" customWidth="1"/>
    <col min="13826" max="13826" width="17.5703125" style="1966" customWidth="1"/>
    <col min="13827" max="13827" width="16" style="1966" customWidth="1"/>
    <col min="13828" max="13828" width="19" style="1966" customWidth="1"/>
    <col min="13829" max="13829" width="14" style="1966" customWidth="1"/>
    <col min="13830" max="13833" width="19.140625" style="1966" customWidth="1"/>
    <col min="13834" max="13834" width="15" style="1966" customWidth="1"/>
    <col min="13835" max="13835" width="22" style="1966" customWidth="1"/>
    <col min="13836" max="13836" width="19.42578125" style="1966" customWidth="1"/>
    <col min="13837" max="13837" width="15" style="1966" customWidth="1"/>
    <col min="13838" max="13838" width="19.28515625" style="1966" customWidth="1"/>
    <col min="13839" max="13839" width="19.85546875" style="1966" customWidth="1"/>
    <col min="13840" max="13840" width="19.5703125" style="1966" customWidth="1"/>
    <col min="13841" max="13841" width="14" style="1966" customWidth="1"/>
    <col min="13842" max="13842" width="16.42578125" style="1966" customWidth="1"/>
    <col min="13843" max="13843" width="18.140625" style="1966" customWidth="1"/>
    <col min="13844" max="13844" width="15.85546875" style="1966" customWidth="1"/>
    <col min="13845" max="14072" width="9.140625" style="1966"/>
    <col min="14073" max="14073" width="18" style="1966" customWidth="1"/>
    <col min="14074" max="14074" width="21.140625" style="1966" customWidth="1"/>
    <col min="14075" max="14075" width="13" style="1966" customWidth="1"/>
    <col min="14076" max="14076" width="14.5703125" style="1966" customWidth="1"/>
    <col min="14077" max="14077" width="11.5703125" style="1966" customWidth="1"/>
    <col min="14078" max="14078" width="14.5703125" style="1966" customWidth="1"/>
    <col min="14079" max="14079" width="13.28515625" style="1966" customWidth="1"/>
    <col min="14080" max="14080" width="13.42578125" style="1966" customWidth="1"/>
    <col min="14081" max="14081" width="14.140625" style="1966" customWidth="1"/>
    <col min="14082" max="14082" width="17.5703125" style="1966" customWidth="1"/>
    <col min="14083" max="14083" width="16" style="1966" customWidth="1"/>
    <col min="14084" max="14084" width="19" style="1966" customWidth="1"/>
    <col min="14085" max="14085" width="14" style="1966" customWidth="1"/>
    <col min="14086" max="14089" width="19.140625" style="1966" customWidth="1"/>
    <col min="14090" max="14090" width="15" style="1966" customWidth="1"/>
    <col min="14091" max="14091" width="22" style="1966" customWidth="1"/>
    <col min="14092" max="14092" width="19.42578125" style="1966" customWidth="1"/>
    <col min="14093" max="14093" width="15" style="1966" customWidth="1"/>
    <col min="14094" max="14094" width="19.28515625" style="1966" customWidth="1"/>
    <col min="14095" max="14095" width="19.85546875" style="1966" customWidth="1"/>
    <col min="14096" max="14096" width="19.5703125" style="1966" customWidth="1"/>
    <col min="14097" max="14097" width="14" style="1966" customWidth="1"/>
    <col min="14098" max="14098" width="16.42578125" style="1966" customWidth="1"/>
    <col min="14099" max="14099" width="18.140625" style="1966" customWidth="1"/>
    <col min="14100" max="14100" width="15.85546875" style="1966" customWidth="1"/>
    <col min="14101" max="14328" width="9.140625" style="1966"/>
    <col min="14329" max="14329" width="18" style="1966" customWidth="1"/>
    <col min="14330" max="14330" width="21.140625" style="1966" customWidth="1"/>
    <col min="14331" max="14331" width="13" style="1966" customWidth="1"/>
    <col min="14332" max="14332" width="14.5703125" style="1966" customWidth="1"/>
    <col min="14333" max="14333" width="11.5703125" style="1966" customWidth="1"/>
    <col min="14334" max="14334" width="14.5703125" style="1966" customWidth="1"/>
    <col min="14335" max="14335" width="13.28515625" style="1966" customWidth="1"/>
    <col min="14336" max="14336" width="13.42578125" style="1966" customWidth="1"/>
    <col min="14337" max="14337" width="14.140625" style="1966" customWidth="1"/>
    <col min="14338" max="14338" width="17.5703125" style="1966" customWidth="1"/>
    <col min="14339" max="14339" width="16" style="1966" customWidth="1"/>
    <col min="14340" max="14340" width="19" style="1966" customWidth="1"/>
    <col min="14341" max="14341" width="14" style="1966" customWidth="1"/>
    <col min="14342" max="14345" width="19.140625" style="1966" customWidth="1"/>
    <col min="14346" max="14346" width="15" style="1966" customWidth="1"/>
    <col min="14347" max="14347" width="22" style="1966" customWidth="1"/>
    <col min="14348" max="14348" width="19.42578125" style="1966" customWidth="1"/>
    <col min="14349" max="14349" width="15" style="1966" customWidth="1"/>
    <col min="14350" max="14350" width="19.28515625" style="1966" customWidth="1"/>
    <col min="14351" max="14351" width="19.85546875" style="1966" customWidth="1"/>
    <col min="14352" max="14352" width="19.5703125" style="1966" customWidth="1"/>
    <col min="14353" max="14353" width="14" style="1966" customWidth="1"/>
    <col min="14354" max="14354" width="16.42578125" style="1966" customWidth="1"/>
    <col min="14355" max="14355" width="18.140625" style="1966" customWidth="1"/>
    <col min="14356" max="14356" width="15.85546875" style="1966" customWidth="1"/>
    <col min="14357" max="14584" width="9.140625" style="1966"/>
    <col min="14585" max="14585" width="18" style="1966" customWidth="1"/>
    <col min="14586" max="14586" width="21.140625" style="1966" customWidth="1"/>
    <col min="14587" max="14587" width="13" style="1966" customWidth="1"/>
    <col min="14588" max="14588" width="14.5703125" style="1966" customWidth="1"/>
    <col min="14589" max="14589" width="11.5703125" style="1966" customWidth="1"/>
    <col min="14590" max="14590" width="14.5703125" style="1966" customWidth="1"/>
    <col min="14591" max="14591" width="13.28515625" style="1966" customWidth="1"/>
    <col min="14592" max="14592" width="13.42578125" style="1966" customWidth="1"/>
    <col min="14593" max="14593" width="14.140625" style="1966" customWidth="1"/>
    <col min="14594" max="14594" width="17.5703125" style="1966" customWidth="1"/>
    <col min="14595" max="14595" width="16" style="1966" customWidth="1"/>
    <col min="14596" max="14596" width="19" style="1966" customWidth="1"/>
    <col min="14597" max="14597" width="14" style="1966" customWidth="1"/>
    <col min="14598" max="14601" width="19.140625" style="1966" customWidth="1"/>
    <col min="14602" max="14602" width="15" style="1966" customWidth="1"/>
    <col min="14603" max="14603" width="22" style="1966" customWidth="1"/>
    <col min="14604" max="14604" width="19.42578125" style="1966" customWidth="1"/>
    <col min="14605" max="14605" width="15" style="1966" customWidth="1"/>
    <col min="14606" max="14606" width="19.28515625" style="1966" customWidth="1"/>
    <col min="14607" max="14607" width="19.85546875" style="1966" customWidth="1"/>
    <col min="14608" max="14608" width="19.5703125" style="1966" customWidth="1"/>
    <col min="14609" max="14609" width="14" style="1966" customWidth="1"/>
    <col min="14610" max="14610" width="16.42578125" style="1966" customWidth="1"/>
    <col min="14611" max="14611" width="18.140625" style="1966" customWidth="1"/>
    <col min="14612" max="14612" width="15.85546875" style="1966" customWidth="1"/>
    <col min="14613" max="14840" width="9.140625" style="1966"/>
    <col min="14841" max="14841" width="18" style="1966" customWidth="1"/>
    <col min="14842" max="14842" width="21.140625" style="1966" customWidth="1"/>
    <col min="14843" max="14843" width="13" style="1966" customWidth="1"/>
    <col min="14844" max="14844" width="14.5703125" style="1966" customWidth="1"/>
    <col min="14845" max="14845" width="11.5703125" style="1966" customWidth="1"/>
    <col min="14846" max="14846" width="14.5703125" style="1966" customWidth="1"/>
    <col min="14847" max="14847" width="13.28515625" style="1966" customWidth="1"/>
    <col min="14848" max="14848" width="13.42578125" style="1966" customWidth="1"/>
    <col min="14849" max="14849" width="14.140625" style="1966" customWidth="1"/>
    <col min="14850" max="14850" width="17.5703125" style="1966" customWidth="1"/>
    <col min="14851" max="14851" width="16" style="1966" customWidth="1"/>
    <col min="14852" max="14852" width="19" style="1966" customWidth="1"/>
    <col min="14853" max="14853" width="14" style="1966" customWidth="1"/>
    <col min="14854" max="14857" width="19.140625" style="1966" customWidth="1"/>
    <col min="14858" max="14858" width="15" style="1966" customWidth="1"/>
    <col min="14859" max="14859" width="22" style="1966" customWidth="1"/>
    <col min="14860" max="14860" width="19.42578125" style="1966" customWidth="1"/>
    <col min="14861" max="14861" width="15" style="1966" customWidth="1"/>
    <col min="14862" max="14862" width="19.28515625" style="1966" customWidth="1"/>
    <col min="14863" max="14863" width="19.85546875" style="1966" customWidth="1"/>
    <col min="14864" max="14864" width="19.5703125" style="1966" customWidth="1"/>
    <col min="14865" max="14865" width="14" style="1966" customWidth="1"/>
    <col min="14866" max="14866" width="16.42578125" style="1966" customWidth="1"/>
    <col min="14867" max="14867" width="18.140625" style="1966" customWidth="1"/>
    <col min="14868" max="14868" width="15.85546875" style="1966" customWidth="1"/>
    <col min="14869" max="15096" width="9.140625" style="1966"/>
    <col min="15097" max="15097" width="18" style="1966" customWidth="1"/>
    <col min="15098" max="15098" width="21.140625" style="1966" customWidth="1"/>
    <col min="15099" max="15099" width="13" style="1966" customWidth="1"/>
    <col min="15100" max="15100" width="14.5703125" style="1966" customWidth="1"/>
    <col min="15101" max="15101" width="11.5703125" style="1966" customWidth="1"/>
    <col min="15102" max="15102" width="14.5703125" style="1966" customWidth="1"/>
    <col min="15103" max="15103" width="13.28515625" style="1966" customWidth="1"/>
    <col min="15104" max="15104" width="13.42578125" style="1966" customWidth="1"/>
    <col min="15105" max="15105" width="14.140625" style="1966" customWidth="1"/>
    <col min="15106" max="15106" width="17.5703125" style="1966" customWidth="1"/>
    <col min="15107" max="15107" width="16" style="1966" customWidth="1"/>
    <col min="15108" max="15108" width="19" style="1966" customWidth="1"/>
    <col min="15109" max="15109" width="14" style="1966" customWidth="1"/>
    <col min="15110" max="15113" width="19.140625" style="1966" customWidth="1"/>
    <col min="15114" max="15114" width="15" style="1966" customWidth="1"/>
    <col min="15115" max="15115" width="22" style="1966" customWidth="1"/>
    <col min="15116" max="15116" width="19.42578125" style="1966" customWidth="1"/>
    <col min="15117" max="15117" width="15" style="1966" customWidth="1"/>
    <col min="15118" max="15118" width="19.28515625" style="1966" customWidth="1"/>
    <col min="15119" max="15119" width="19.85546875" style="1966" customWidth="1"/>
    <col min="15120" max="15120" width="19.5703125" style="1966" customWidth="1"/>
    <col min="15121" max="15121" width="14" style="1966" customWidth="1"/>
    <col min="15122" max="15122" width="16.42578125" style="1966" customWidth="1"/>
    <col min="15123" max="15123" width="18.140625" style="1966" customWidth="1"/>
    <col min="15124" max="15124" width="15.85546875" style="1966" customWidth="1"/>
    <col min="15125" max="15352" width="9.140625" style="1966"/>
    <col min="15353" max="15353" width="18" style="1966" customWidth="1"/>
    <col min="15354" max="15354" width="21.140625" style="1966" customWidth="1"/>
    <col min="15355" max="15355" width="13" style="1966" customWidth="1"/>
    <col min="15356" max="15356" width="14.5703125" style="1966" customWidth="1"/>
    <col min="15357" max="15357" width="11.5703125" style="1966" customWidth="1"/>
    <col min="15358" max="15358" width="14.5703125" style="1966" customWidth="1"/>
    <col min="15359" max="15359" width="13.28515625" style="1966" customWidth="1"/>
    <col min="15360" max="15360" width="13.42578125" style="1966" customWidth="1"/>
    <col min="15361" max="15361" width="14.140625" style="1966" customWidth="1"/>
    <col min="15362" max="15362" width="17.5703125" style="1966" customWidth="1"/>
    <col min="15363" max="15363" width="16" style="1966" customWidth="1"/>
    <col min="15364" max="15364" width="19" style="1966" customWidth="1"/>
    <col min="15365" max="15365" width="14" style="1966" customWidth="1"/>
    <col min="15366" max="15369" width="19.140625" style="1966" customWidth="1"/>
    <col min="15370" max="15370" width="15" style="1966" customWidth="1"/>
    <col min="15371" max="15371" width="22" style="1966" customWidth="1"/>
    <col min="15372" max="15372" width="19.42578125" style="1966" customWidth="1"/>
    <col min="15373" max="15373" width="15" style="1966" customWidth="1"/>
    <col min="15374" max="15374" width="19.28515625" style="1966" customWidth="1"/>
    <col min="15375" max="15375" width="19.85546875" style="1966" customWidth="1"/>
    <col min="15376" max="15376" width="19.5703125" style="1966" customWidth="1"/>
    <col min="15377" max="15377" width="14" style="1966" customWidth="1"/>
    <col min="15378" max="15378" width="16.42578125" style="1966" customWidth="1"/>
    <col min="15379" max="15379" width="18.140625" style="1966" customWidth="1"/>
    <col min="15380" max="15380" width="15.85546875" style="1966" customWidth="1"/>
    <col min="15381" max="15608" width="9.140625" style="1966"/>
    <col min="15609" max="15609" width="18" style="1966" customWidth="1"/>
    <col min="15610" max="15610" width="21.140625" style="1966" customWidth="1"/>
    <col min="15611" max="15611" width="13" style="1966" customWidth="1"/>
    <col min="15612" max="15612" width="14.5703125" style="1966" customWidth="1"/>
    <col min="15613" max="15613" width="11.5703125" style="1966" customWidth="1"/>
    <col min="15614" max="15614" width="14.5703125" style="1966" customWidth="1"/>
    <col min="15615" max="15615" width="13.28515625" style="1966" customWidth="1"/>
    <col min="15616" max="15616" width="13.42578125" style="1966" customWidth="1"/>
    <col min="15617" max="15617" width="14.140625" style="1966" customWidth="1"/>
    <col min="15618" max="15618" width="17.5703125" style="1966" customWidth="1"/>
    <col min="15619" max="15619" width="16" style="1966" customWidth="1"/>
    <col min="15620" max="15620" width="19" style="1966" customWidth="1"/>
    <col min="15621" max="15621" width="14" style="1966" customWidth="1"/>
    <col min="15622" max="15625" width="19.140625" style="1966" customWidth="1"/>
    <col min="15626" max="15626" width="15" style="1966" customWidth="1"/>
    <col min="15627" max="15627" width="22" style="1966" customWidth="1"/>
    <col min="15628" max="15628" width="19.42578125" style="1966" customWidth="1"/>
    <col min="15629" max="15629" width="15" style="1966" customWidth="1"/>
    <col min="15630" max="15630" width="19.28515625" style="1966" customWidth="1"/>
    <col min="15631" max="15631" width="19.85546875" style="1966" customWidth="1"/>
    <col min="15632" max="15632" width="19.5703125" style="1966" customWidth="1"/>
    <col min="15633" max="15633" width="14" style="1966" customWidth="1"/>
    <col min="15634" max="15634" width="16.42578125" style="1966" customWidth="1"/>
    <col min="15635" max="15635" width="18.140625" style="1966" customWidth="1"/>
    <col min="15636" max="15636" width="15.85546875" style="1966" customWidth="1"/>
    <col min="15637" max="15864" width="9.140625" style="1966"/>
    <col min="15865" max="15865" width="18" style="1966" customWidth="1"/>
    <col min="15866" max="15866" width="21.140625" style="1966" customWidth="1"/>
    <col min="15867" max="15867" width="13" style="1966" customWidth="1"/>
    <col min="15868" max="15868" width="14.5703125" style="1966" customWidth="1"/>
    <col min="15869" max="15869" width="11.5703125" style="1966" customWidth="1"/>
    <col min="15870" max="15870" width="14.5703125" style="1966" customWidth="1"/>
    <col min="15871" max="15871" width="13.28515625" style="1966" customWidth="1"/>
    <col min="15872" max="15872" width="13.42578125" style="1966" customWidth="1"/>
    <col min="15873" max="15873" width="14.140625" style="1966" customWidth="1"/>
    <col min="15874" max="15874" width="17.5703125" style="1966" customWidth="1"/>
    <col min="15875" max="15875" width="16" style="1966" customWidth="1"/>
    <col min="15876" max="15876" width="19" style="1966" customWidth="1"/>
    <col min="15877" max="15877" width="14" style="1966" customWidth="1"/>
    <col min="15878" max="15881" width="19.140625" style="1966" customWidth="1"/>
    <col min="15882" max="15882" width="15" style="1966" customWidth="1"/>
    <col min="15883" max="15883" width="22" style="1966" customWidth="1"/>
    <col min="15884" max="15884" width="19.42578125" style="1966" customWidth="1"/>
    <col min="15885" max="15885" width="15" style="1966" customWidth="1"/>
    <col min="15886" max="15886" width="19.28515625" style="1966" customWidth="1"/>
    <col min="15887" max="15887" width="19.85546875" style="1966" customWidth="1"/>
    <col min="15888" max="15888" width="19.5703125" style="1966" customWidth="1"/>
    <col min="15889" max="15889" width="14" style="1966" customWidth="1"/>
    <col min="15890" max="15890" width="16.42578125" style="1966" customWidth="1"/>
    <col min="15891" max="15891" width="18.140625" style="1966" customWidth="1"/>
    <col min="15892" max="15892" width="15.85546875" style="1966" customWidth="1"/>
    <col min="15893" max="16120" width="9.140625" style="1966"/>
    <col min="16121" max="16121" width="18" style="1966" customWidth="1"/>
    <col min="16122" max="16122" width="21.140625" style="1966" customWidth="1"/>
    <col min="16123" max="16123" width="13" style="1966" customWidth="1"/>
    <col min="16124" max="16124" width="14.5703125" style="1966" customWidth="1"/>
    <col min="16125" max="16125" width="11.5703125" style="1966" customWidth="1"/>
    <col min="16126" max="16126" width="14.5703125" style="1966" customWidth="1"/>
    <col min="16127" max="16127" width="13.28515625" style="1966" customWidth="1"/>
    <col min="16128" max="16128" width="13.42578125" style="1966" customWidth="1"/>
    <col min="16129" max="16129" width="14.140625" style="1966" customWidth="1"/>
    <col min="16130" max="16130" width="17.5703125" style="1966" customWidth="1"/>
    <col min="16131" max="16131" width="16" style="1966" customWidth="1"/>
    <col min="16132" max="16132" width="19" style="1966" customWidth="1"/>
    <col min="16133" max="16133" width="14" style="1966" customWidth="1"/>
    <col min="16134" max="16137" width="19.140625" style="1966" customWidth="1"/>
    <col min="16138" max="16138" width="15" style="1966" customWidth="1"/>
    <col min="16139" max="16139" width="22" style="1966" customWidth="1"/>
    <col min="16140" max="16140" width="19.42578125" style="1966" customWidth="1"/>
    <col min="16141" max="16141" width="15" style="1966" customWidth="1"/>
    <col min="16142" max="16142" width="19.28515625" style="1966" customWidth="1"/>
    <col min="16143" max="16143" width="19.85546875" style="1966" customWidth="1"/>
    <col min="16144" max="16144" width="19.5703125" style="1966" customWidth="1"/>
    <col min="16145" max="16145" width="14" style="1966" customWidth="1"/>
    <col min="16146" max="16146" width="16.42578125" style="1966" customWidth="1"/>
    <col min="16147" max="16147" width="18.140625" style="1966" customWidth="1"/>
    <col min="16148" max="16148" width="15.85546875" style="1966" customWidth="1"/>
    <col min="16149" max="16384" width="9.140625" style="1966"/>
  </cols>
  <sheetData>
    <row r="1" spans="1:20">
      <c r="Q1" s="2206" t="s">
        <v>893</v>
      </c>
    </row>
    <row r="2" spans="1:20" ht="21.75" customHeight="1">
      <c r="A2" s="5914" t="s">
        <v>1670</v>
      </c>
      <c r="B2" s="5914"/>
      <c r="C2" s="5914"/>
      <c r="D2" s="5914"/>
      <c r="E2" s="5914"/>
      <c r="F2" s="5914"/>
      <c r="G2" s="5914"/>
      <c r="H2" s="5914"/>
      <c r="I2" s="5914"/>
      <c r="J2" s="5914"/>
      <c r="K2" s="5914"/>
      <c r="L2" s="5914"/>
      <c r="M2" s="5914"/>
      <c r="N2" s="5914"/>
      <c r="O2" s="5914"/>
      <c r="P2" s="5914"/>
      <c r="Q2" s="5914"/>
      <c r="R2" s="5914"/>
      <c r="S2" s="5914"/>
      <c r="T2" s="5914"/>
    </row>
    <row r="3" spans="1:20" ht="22.5" customHeight="1" thickBot="1">
      <c r="A3" s="5915" t="s">
        <v>1015</v>
      </c>
      <c r="B3" s="5915"/>
      <c r="C3" s="5915"/>
      <c r="D3" s="5915"/>
      <c r="E3" s="5915"/>
      <c r="F3" s="5915"/>
      <c r="G3" s="5915"/>
      <c r="H3" s="5915"/>
      <c r="I3" s="5915"/>
      <c r="J3" s="5915"/>
      <c r="K3" s="5915"/>
      <c r="L3" s="5915"/>
      <c r="M3" s="5915"/>
      <c r="N3" s="5915"/>
      <c r="O3" s="5915"/>
      <c r="P3" s="5915"/>
      <c r="Q3" s="5915"/>
      <c r="R3" s="5915"/>
      <c r="S3" s="5915"/>
      <c r="T3" s="5915"/>
    </row>
    <row r="4" spans="1:20" ht="15.75" customHeight="1" thickBot="1">
      <c r="A4" s="5916"/>
      <c r="B4" s="5917"/>
      <c r="C4" s="5920" t="s">
        <v>1016</v>
      </c>
      <c r="D4" s="5921"/>
      <c r="E4" s="5920" t="s">
        <v>1017</v>
      </c>
      <c r="F4" s="5921"/>
      <c r="G4" s="5920" t="s">
        <v>1018</v>
      </c>
      <c r="H4" s="5921"/>
      <c r="I4" s="5920" t="s">
        <v>1019</v>
      </c>
      <c r="J4" s="5921"/>
      <c r="K4" s="5920" t="s">
        <v>1020</v>
      </c>
      <c r="L4" s="5921"/>
      <c r="M4" s="5920" t="s">
        <v>1021</v>
      </c>
      <c r="N4" s="5921"/>
      <c r="O4" s="5920" t="s">
        <v>1022</v>
      </c>
      <c r="P4" s="5921"/>
      <c r="Q4" s="5920" t="s">
        <v>1023</v>
      </c>
      <c r="R4" s="5921"/>
      <c r="S4" s="5920" t="s">
        <v>1024</v>
      </c>
      <c r="T4" s="5921"/>
    </row>
    <row r="5" spans="1:20" ht="15.75" thickBot="1">
      <c r="A5" s="5918"/>
      <c r="B5" s="5919"/>
      <c r="C5" s="1991" t="s">
        <v>44</v>
      </c>
      <c r="D5" s="1992" t="s">
        <v>1025</v>
      </c>
      <c r="E5" s="1993" t="s">
        <v>44</v>
      </c>
      <c r="F5" s="1992" t="s">
        <v>1025</v>
      </c>
      <c r="G5" s="1991" t="s">
        <v>44</v>
      </c>
      <c r="H5" s="1992" t="s">
        <v>1025</v>
      </c>
      <c r="I5" s="1991" t="s">
        <v>44</v>
      </c>
      <c r="J5" s="1992" t="s">
        <v>1025</v>
      </c>
      <c r="K5" s="1991" t="s">
        <v>44</v>
      </c>
      <c r="L5" s="1992" t="s">
        <v>1025</v>
      </c>
      <c r="M5" s="1991" t="s">
        <v>44</v>
      </c>
      <c r="N5" s="1992" t="s">
        <v>1025</v>
      </c>
      <c r="O5" s="1993" t="s">
        <v>44</v>
      </c>
      <c r="P5" s="1992" t="s">
        <v>1025</v>
      </c>
      <c r="Q5" s="1991" t="s">
        <v>44</v>
      </c>
      <c r="R5" s="1992" t="s">
        <v>1025</v>
      </c>
      <c r="S5" s="1993" t="s">
        <v>44</v>
      </c>
      <c r="T5" s="1992" t="s">
        <v>1025</v>
      </c>
    </row>
    <row r="6" spans="1:20">
      <c r="A6" s="5908" t="s">
        <v>1026</v>
      </c>
      <c r="B6" s="5909"/>
      <c r="C6" s="1994"/>
      <c r="D6" s="1995">
        <v>8870</v>
      </c>
      <c r="E6" s="1996"/>
      <c r="F6" s="1997">
        <f>D6</f>
        <v>8870</v>
      </c>
      <c r="G6" s="1998"/>
      <c r="H6" s="1997">
        <f>F6</f>
        <v>8870</v>
      </c>
      <c r="I6" s="1996"/>
      <c r="J6" s="1997">
        <f>H6</f>
        <v>8870</v>
      </c>
      <c r="K6" s="1996"/>
      <c r="L6" s="1997">
        <f>J6</f>
        <v>8870</v>
      </c>
      <c r="M6" s="1996"/>
      <c r="N6" s="1997">
        <f>L6</f>
        <v>8870</v>
      </c>
      <c r="O6" s="1996"/>
      <c r="P6" s="1997">
        <f>N6</f>
        <v>8870</v>
      </c>
      <c r="Q6" s="1996"/>
      <c r="R6" s="1997">
        <f>P6</f>
        <v>8870</v>
      </c>
      <c r="S6" s="1994"/>
      <c r="T6" s="1997">
        <f>R6</f>
        <v>8870</v>
      </c>
    </row>
    <row r="7" spans="1:20">
      <c r="A7" s="5910" t="s">
        <v>1671</v>
      </c>
      <c r="B7" s="5911"/>
      <c r="C7" s="1994"/>
      <c r="D7" s="1995">
        <v>107.4</v>
      </c>
      <c r="E7" s="1996"/>
      <c r="F7" s="1995">
        <v>107.4</v>
      </c>
      <c r="G7" s="1998"/>
      <c r="H7" s="1995">
        <v>107.4</v>
      </c>
      <c r="I7" s="1996"/>
      <c r="J7" s="1995">
        <v>107.4</v>
      </c>
      <c r="K7" s="1996"/>
      <c r="L7" s="1995">
        <v>107.4</v>
      </c>
      <c r="M7" s="1996"/>
      <c r="N7" s="1995">
        <v>107.4</v>
      </c>
      <c r="O7" s="1996"/>
      <c r="P7" s="1995">
        <v>107.4</v>
      </c>
      <c r="Q7" s="1996"/>
      <c r="R7" s="1995">
        <v>107.4</v>
      </c>
      <c r="S7" s="1994"/>
      <c r="T7" s="1997">
        <v>107.4</v>
      </c>
    </row>
    <row r="8" spans="1:20">
      <c r="A8" s="5904" t="s">
        <v>1027</v>
      </c>
      <c r="B8" s="5905"/>
      <c r="C8" s="1999"/>
      <c r="D8" s="2000">
        <v>1</v>
      </c>
      <c r="E8" s="2001"/>
      <c r="F8" s="2002">
        <f>B21</f>
        <v>1.1299999999999999</v>
      </c>
      <c r="G8" s="2003"/>
      <c r="H8" s="2002">
        <f>B22</f>
        <v>1.28</v>
      </c>
      <c r="I8" s="2001"/>
      <c r="J8" s="2002">
        <v>1.44</v>
      </c>
      <c r="K8" s="2001"/>
      <c r="L8" s="2002">
        <v>1.63</v>
      </c>
      <c r="M8" s="2001"/>
      <c r="N8" s="2002">
        <f>1.84</f>
        <v>1.84</v>
      </c>
      <c r="O8" s="2001"/>
      <c r="P8" s="2002">
        <v>2.08</v>
      </c>
      <c r="Q8" s="2001"/>
      <c r="R8" s="2002">
        <v>2.35</v>
      </c>
      <c r="S8" s="1999"/>
      <c r="T8" s="2002">
        <v>2.66</v>
      </c>
    </row>
    <row r="9" spans="1:20">
      <c r="A9" s="5904" t="s">
        <v>1028</v>
      </c>
      <c r="B9" s="5905"/>
      <c r="C9" s="2004"/>
      <c r="D9" s="2005">
        <f>D6*D7*D8/100</f>
        <v>9526.3799999999992</v>
      </c>
      <c r="E9" s="2004"/>
      <c r="F9" s="2005">
        <f>F6*F7*F8/100</f>
        <v>10764.8094</v>
      </c>
      <c r="G9" s="1999"/>
      <c r="H9" s="2005">
        <f>H6*H7*H8/100</f>
        <v>12193.7664</v>
      </c>
      <c r="I9" s="2004"/>
      <c r="J9" s="2005">
        <f>J6*J7*J8/100</f>
        <v>13717.9872</v>
      </c>
      <c r="K9" s="2004"/>
      <c r="L9" s="2005">
        <f>L6*L7*L8/100</f>
        <v>15527.999399999999</v>
      </c>
      <c r="M9" s="2004"/>
      <c r="N9" s="2005">
        <f>N6*N7*N8/100</f>
        <v>17528.539200000003</v>
      </c>
      <c r="O9" s="2004"/>
      <c r="P9" s="2005">
        <f>P6*P7*P8/100</f>
        <v>19814.8704</v>
      </c>
      <c r="Q9" s="2004"/>
      <c r="R9" s="2005">
        <f>R6*R7*R8/100</f>
        <v>22386.993000000002</v>
      </c>
      <c r="S9" s="2004"/>
      <c r="T9" s="2006">
        <f>T6*T7*T8/100</f>
        <v>25340.1708</v>
      </c>
    </row>
    <row r="10" spans="1:20" ht="60.75" customHeight="1">
      <c r="A10" s="5912" t="s">
        <v>1029</v>
      </c>
      <c r="B10" s="5913"/>
      <c r="C10" s="2007">
        <v>0.125</v>
      </c>
      <c r="D10" s="2008">
        <f>D9*C10</f>
        <v>1190.7974999999999</v>
      </c>
      <c r="E10" s="2007">
        <v>0.125</v>
      </c>
      <c r="F10" s="2008">
        <f>F9*E10</f>
        <v>1345.601175</v>
      </c>
      <c r="G10" s="2007">
        <v>0.125</v>
      </c>
      <c r="H10" s="2008">
        <f>H9*G10</f>
        <v>1524.2208000000001</v>
      </c>
      <c r="I10" s="2007">
        <v>0.125</v>
      </c>
      <c r="J10" s="2008">
        <f>J9*I10</f>
        <v>1714.7483999999999</v>
      </c>
      <c r="K10" s="2007">
        <v>0.125</v>
      </c>
      <c r="L10" s="2008">
        <f>L9*K10</f>
        <v>1940.9999249999998</v>
      </c>
      <c r="M10" s="2007">
        <v>0.125</v>
      </c>
      <c r="N10" s="2008">
        <f>N9*M10</f>
        <v>2191.0674000000004</v>
      </c>
      <c r="O10" s="2007">
        <v>0.125</v>
      </c>
      <c r="P10" s="2008">
        <f>P9*O10</f>
        <v>2476.8588</v>
      </c>
      <c r="Q10" s="2007">
        <v>0.125</v>
      </c>
      <c r="R10" s="2008">
        <f>R9*Q10</f>
        <v>2798.3741250000003</v>
      </c>
      <c r="S10" s="2007">
        <v>0.125</v>
      </c>
      <c r="T10" s="2008">
        <f>T9*S10</f>
        <v>3167.52135</v>
      </c>
    </row>
    <row r="11" spans="1:20">
      <c r="A11" s="5902" t="s">
        <v>1030</v>
      </c>
      <c r="B11" s="5903"/>
      <c r="C11" s="2009">
        <v>0.1</v>
      </c>
      <c r="D11" s="2006">
        <f>D9*C11</f>
        <v>952.63799999999992</v>
      </c>
      <c r="E11" s="2009">
        <v>0.1</v>
      </c>
      <c r="F11" s="2006">
        <f>F9*E11</f>
        <v>1076.4809400000001</v>
      </c>
      <c r="G11" s="2009">
        <v>0.1</v>
      </c>
      <c r="H11" s="2006">
        <f>H9*G11</f>
        <v>1219.3766400000002</v>
      </c>
      <c r="I11" s="2009">
        <v>0.1</v>
      </c>
      <c r="J11" s="2006">
        <f>J9*I11</f>
        <v>1371.79872</v>
      </c>
      <c r="K11" s="2009">
        <v>0.1</v>
      </c>
      <c r="L11" s="2006">
        <f>L9*K11</f>
        <v>1552.7999399999999</v>
      </c>
      <c r="M11" s="2009">
        <v>0.1</v>
      </c>
      <c r="N11" s="2006">
        <f>N9*M11</f>
        <v>1752.8539200000005</v>
      </c>
      <c r="O11" s="2009">
        <v>0.1</v>
      </c>
      <c r="P11" s="2006">
        <f>P9*O11</f>
        <v>1981.48704</v>
      </c>
      <c r="Q11" s="2009">
        <v>0.1</v>
      </c>
      <c r="R11" s="2006">
        <f>R9*Q11</f>
        <v>2238.6993000000002</v>
      </c>
      <c r="S11" s="2009">
        <v>0.1</v>
      </c>
      <c r="T11" s="2006">
        <f>T9*S11</f>
        <v>2534.0170800000001</v>
      </c>
    </row>
    <row r="12" spans="1:20">
      <c r="A12" s="5902" t="s">
        <v>1031</v>
      </c>
      <c r="B12" s="5903"/>
      <c r="C12" s="2009">
        <v>0</v>
      </c>
      <c r="D12" s="2006">
        <f>D9*C12</f>
        <v>0</v>
      </c>
      <c r="E12" s="2009">
        <v>0</v>
      </c>
      <c r="F12" s="2006">
        <f>F9*E12</f>
        <v>0</v>
      </c>
      <c r="G12" s="2009">
        <v>0</v>
      </c>
      <c r="H12" s="2006">
        <f>H9*G12</f>
        <v>0</v>
      </c>
      <c r="I12" s="2009">
        <v>0</v>
      </c>
      <c r="J12" s="2006">
        <f>J9*I12</f>
        <v>0</v>
      </c>
      <c r="K12" s="2009">
        <v>0</v>
      </c>
      <c r="L12" s="2006">
        <f>L9*K12</f>
        <v>0</v>
      </c>
      <c r="M12" s="2009">
        <v>0</v>
      </c>
      <c r="N12" s="2006">
        <f>N9*M12</f>
        <v>0</v>
      </c>
      <c r="O12" s="2009">
        <v>0</v>
      </c>
      <c r="P12" s="2006">
        <f>P9*O12</f>
        <v>0</v>
      </c>
      <c r="Q12" s="2009">
        <v>0</v>
      </c>
      <c r="R12" s="2006">
        <f>R9*Q12</f>
        <v>0</v>
      </c>
      <c r="S12" s="2009">
        <v>0</v>
      </c>
      <c r="T12" s="2006">
        <f>T9*S12</f>
        <v>0</v>
      </c>
    </row>
    <row r="13" spans="1:20">
      <c r="A13" s="5902" t="s">
        <v>1032</v>
      </c>
      <c r="B13" s="5903"/>
      <c r="C13" s="2009">
        <v>0.15</v>
      </c>
      <c r="D13" s="2006">
        <f>D9*C13</f>
        <v>1428.9569999999999</v>
      </c>
      <c r="E13" s="2009">
        <v>0.15</v>
      </c>
      <c r="F13" s="2006">
        <f>F9*E13</f>
        <v>1614.7214099999999</v>
      </c>
      <c r="G13" s="2009">
        <v>0.15</v>
      </c>
      <c r="H13" s="2006">
        <f>H9*G13</f>
        <v>1829.0649599999999</v>
      </c>
      <c r="I13" s="2009">
        <v>0.15</v>
      </c>
      <c r="J13" s="2006">
        <f>J9*I13</f>
        <v>2057.6980799999997</v>
      </c>
      <c r="K13" s="2009">
        <v>0.15</v>
      </c>
      <c r="L13" s="2006">
        <f>L9*K13</f>
        <v>2329.1999099999998</v>
      </c>
      <c r="M13" s="2009">
        <v>0.15</v>
      </c>
      <c r="N13" s="2006">
        <f>N9*M13</f>
        <v>2629.2808800000003</v>
      </c>
      <c r="O13" s="2009">
        <v>0.15</v>
      </c>
      <c r="P13" s="2006">
        <f>P9*O13</f>
        <v>2972.23056</v>
      </c>
      <c r="Q13" s="2009">
        <v>0.15</v>
      </c>
      <c r="R13" s="2006">
        <f>R9*Q13</f>
        <v>3358.0489500000003</v>
      </c>
      <c r="S13" s="2009">
        <v>0.15</v>
      </c>
      <c r="T13" s="2006">
        <f>T9*S13</f>
        <v>3801.0256199999999</v>
      </c>
    </row>
    <row r="14" spans="1:20">
      <c r="A14" s="5904" t="s">
        <v>1033</v>
      </c>
      <c r="B14" s="5905"/>
      <c r="C14" s="2009">
        <v>0.2</v>
      </c>
      <c r="D14" s="2006">
        <f>(D9+D10+D11+D12+D13)*0.2</f>
        <v>2619.7545000000005</v>
      </c>
      <c r="E14" s="2009">
        <v>0.2</v>
      </c>
      <c r="F14" s="2006">
        <f>(F9+F10+F11+F12+F13)*0.2</f>
        <v>2960.3225849999999</v>
      </c>
      <c r="G14" s="2009">
        <v>0.2</v>
      </c>
      <c r="H14" s="2006">
        <f>(H9+H10+H11+H12+H13)*0.2</f>
        <v>3353.2857600000007</v>
      </c>
      <c r="I14" s="2009">
        <v>0.2</v>
      </c>
      <c r="J14" s="2006">
        <f>(J9+J10+J11+J12+J13)*0.2</f>
        <v>3772.4464799999996</v>
      </c>
      <c r="K14" s="2009">
        <v>0.2</v>
      </c>
      <c r="L14" s="2006">
        <f>(L9+L10+L11+L12+L13)*0.2</f>
        <v>4270.1998349999994</v>
      </c>
      <c r="M14" s="2009">
        <v>0.2</v>
      </c>
      <c r="N14" s="2006">
        <f>(N9+N10+N11+N12+N13)*0.2</f>
        <v>4820.3482800000011</v>
      </c>
      <c r="O14" s="2009">
        <v>0.2</v>
      </c>
      <c r="P14" s="2006">
        <f>(P9+P10+P11+P12+P13)*0.2</f>
        <v>5449.0893600000009</v>
      </c>
      <c r="Q14" s="2009">
        <v>0.2</v>
      </c>
      <c r="R14" s="2006">
        <f>(R9+R10+R11+R12+R13)*0.2</f>
        <v>6156.4230750000015</v>
      </c>
      <c r="S14" s="2009">
        <v>0.2</v>
      </c>
      <c r="T14" s="2006">
        <f>(T9+T10+T11+T12+T13)*0.2</f>
        <v>6968.5469700000003</v>
      </c>
    </row>
    <row r="15" spans="1:20" ht="15.75" thickBot="1">
      <c r="A15" s="5906" t="s">
        <v>1034</v>
      </c>
      <c r="B15" s="5907"/>
      <c r="C15" s="2010">
        <v>0.5</v>
      </c>
      <c r="D15" s="2008">
        <f>(D9+D10+D11+D12+D13)*0.5</f>
        <v>6549.3862500000005</v>
      </c>
      <c r="E15" s="2010">
        <v>0.5</v>
      </c>
      <c r="F15" s="2008">
        <f>(F9+F10+F11+F12+F13)*0.5</f>
        <v>7400.8064624999997</v>
      </c>
      <c r="G15" s="2010">
        <v>0.5</v>
      </c>
      <c r="H15" s="2008">
        <f>(H9+H10+H11+H12+H13)*0.5</f>
        <v>8383.2144000000008</v>
      </c>
      <c r="I15" s="2010">
        <v>0.5</v>
      </c>
      <c r="J15" s="2008">
        <f>(J9+J10+J11+J12+J13)*0.5</f>
        <v>9431.1161999999986</v>
      </c>
      <c r="K15" s="2010">
        <v>0.5</v>
      </c>
      <c r="L15" s="2008">
        <f>(L9+L10+L11+L12+L13)*0.5</f>
        <v>10675.499587499999</v>
      </c>
      <c r="M15" s="2010">
        <v>0.5</v>
      </c>
      <c r="N15" s="2008">
        <f>(N9+N10+N11+N12+N13)*0.5</f>
        <v>12050.870700000003</v>
      </c>
      <c r="O15" s="2010">
        <v>0.5</v>
      </c>
      <c r="P15" s="2008">
        <f>(P9+P10+P11+P12+P13)*0.5</f>
        <v>13622.723400000001</v>
      </c>
      <c r="Q15" s="2010">
        <v>0.5</v>
      </c>
      <c r="R15" s="2008">
        <f>(R9+R10+R11+R12+R13)*0.5</f>
        <v>15391.057687500002</v>
      </c>
      <c r="S15" s="2010">
        <v>0.5</v>
      </c>
      <c r="T15" s="2008">
        <f>(T9+T10+T11+T12+T13)*0.5</f>
        <v>17421.367425</v>
      </c>
    </row>
    <row r="16" spans="1:20" ht="28.5" customHeight="1" thickBot="1">
      <c r="A16" s="5899" t="s">
        <v>1035</v>
      </c>
      <c r="B16" s="5900"/>
      <c r="C16" s="2011"/>
      <c r="D16" s="2012">
        <f>D9+D10+D11+D12+D13+D14+D15</f>
        <v>22267.913250000001</v>
      </c>
      <c r="E16" s="2011"/>
      <c r="F16" s="2012">
        <f>F9+F10+F11+F12+F13+F14+F15</f>
        <v>25162.7419725</v>
      </c>
      <c r="G16" s="2011"/>
      <c r="H16" s="2012">
        <f>H9+H10+H11+H12+H13+H14+H15</f>
        <v>28502.928960000001</v>
      </c>
      <c r="I16" s="2011"/>
      <c r="J16" s="2012">
        <f>J9+J10+J11+J12+J13+J14+J15</f>
        <v>32065.795079999996</v>
      </c>
      <c r="K16" s="2011"/>
      <c r="L16" s="2012">
        <f>L9+L10+L11+L12+L13+L14+L15</f>
        <v>36296.698597499999</v>
      </c>
      <c r="M16" s="2011"/>
      <c r="N16" s="2012">
        <f>N9+N10+N11+N12+N13+N14+N15</f>
        <v>40972.960380000011</v>
      </c>
      <c r="O16" s="2011"/>
      <c r="P16" s="2012">
        <f>P9+P10+P11+P12+P13+P14+P15</f>
        <v>46317.259560000006</v>
      </c>
      <c r="Q16" s="2011"/>
      <c r="R16" s="2012">
        <f>R9+R10+R11+R12+R13+R14+R15</f>
        <v>52329.596137500012</v>
      </c>
      <c r="S16" s="2011"/>
      <c r="T16" s="2012">
        <f>T9+T10+T11+T12+T13+T14+T15</f>
        <v>59232.649245000008</v>
      </c>
    </row>
    <row r="18" spans="1:8" ht="15.75">
      <c r="A18" s="5901" t="s">
        <v>1036</v>
      </c>
      <c r="B18" s="5901"/>
      <c r="C18" s="2013"/>
      <c r="D18" s="2013"/>
      <c r="E18" s="2013"/>
      <c r="F18" s="2013"/>
      <c r="G18" s="2013"/>
      <c r="H18" s="2013"/>
    </row>
    <row r="19" spans="1:8">
      <c r="A19" s="2014" t="s">
        <v>1037</v>
      </c>
      <c r="B19" s="2014" t="s">
        <v>1038</v>
      </c>
      <c r="C19" s="2013"/>
      <c r="D19" s="2013"/>
      <c r="E19" s="2013"/>
      <c r="F19" s="2013"/>
      <c r="G19" s="2013"/>
      <c r="H19" s="2013"/>
    </row>
    <row r="20" spans="1:8">
      <c r="A20" s="2014">
        <v>1</v>
      </c>
      <c r="B20" s="2014">
        <v>1</v>
      </c>
      <c r="C20" s="2013"/>
      <c r="D20" s="2013"/>
      <c r="E20" s="2013"/>
      <c r="F20" s="2013"/>
      <c r="G20" s="2013"/>
      <c r="H20" s="2013"/>
    </row>
    <row r="21" spans="1:8">
      <c r="A21" s="2014">
        <v>2</v>
      </c>
      <c r="B21" s="2014">
        <v>1.1299999999999999</v>
      </c>
      <c r="C21" s="2013"/>
      <c r="D21" s="2013"/>
      <c r="E21" s="2013"/>
      <c r="F21" s="2013"/>
      <c r="G21" s="2013"/>
      <c r="H21" s="2013"/>
    </row>
    <row r="22" spans="1:8">
      <c r="A22" s="2014">
        <v>3</v>
      </c>
      <c r="B22" s="2014">
        <v>1.28</v>
      </c>
      <c r="C22" s="2013"/>
      <c r="D22" s="2013"/>
      <c r="E22" s="2013"/>
      <c r="F22" s="2013"/>
      <c r="G22" s="2013"/>
      <c r="H22" s="2013"/>
    </row>
    <row r="23" spans="1:8">
      <c r="A23" s="2014">
        <v>4</v>
      </c>
      <c r="B23" s="2014">
        <v>1.44</v>
      </c>
      <c r="C23" s="2013"/>
      <c r="D23" s="2013"/>
      <c r="E23" s="2013"/>
      <c r="F23" s="2013"/>
      <c r="G23" s="2013"/>
      <c r="H23" s="2013"/>
    </row>
    <row r="24" spans="1:8">
      <c r="A24" s="2014">
        <v>5</v>
      </c>
      <c r="B24" s="2014">
        <v>1.63</v>
      </c>
      <c r="C24" s="2013"/>
      <c r="D24" s="2013"/>
      <c r="E24" s="2013"/>
      <c r="F24" s="2013"/>
      <c r="G24" s="2013"/>
      <c r="H24" s="2013"/>
    </row>
    <row r="25" spans="1:8">
      <c r="A25" s="2014">
        <v>6</v>
      </c>
      <c r="B25" s="2015">
        <v>1.84</v>
      </c>
      <c r="C25" s="2013"/>
      <c r="D25" s="2013"/>
      <c r="E25" s="2013"/>
      <c r="F25" s="2013"/>
      <c r="G25" s="2013"/>
      <c r="H25" s="2013"/>
    </row>
    <row r="26" spans="1:8">
      <c r="A26" s="2014">
        <v>7</v>
      </c>
      <c r="B26" s="2015">
        <v>2.08</v>
      </c>
      <c r="C26" s="2013"/>
      <c r="D26" s="2013"/>
      <c r="E26" s="2013"/>
      <c r="F26" s="2013"/>
      <c r="G26" s="2013"/>
      <c r="H26" s="2013"/>
    </row>
    <row r="27" spans="1:8">
      <c r="A27" s="2014">
        <v>8</v>
      </c>
      <c r="B27" s="2015">
        <v>2.35</v>
      </c>
      <c r="C27" s="2013"/>
      <c r="D27" s="2013"/>
      <c r="E27" s="2013"/>
      <c r="F27" s="2013"/>
      <c r="G27" s="2013"/>
      <c r="H27" s="2013"/>
    </row>
    <row r="28" spans="1:8">
      <c r="A28" s="2014">
        <v>9</v>
      </c>
      <c r="B28" s="2015">
        <v>2.66</v>
      </c>
      <c r="C28" s="2013"/>
      <c r="D28" s="2013"/>
      <c r="E28" s="2013"/>
      <c r="F28" s="2013"/>
      <c r="G28" s="2013"/>
      <c r="H28" s="2013"/>
    </row>
    <row r="29" spans="1:8">
      <c r="A29" s="2014">
        <v>10</v>
      </c>
      <c r="B29" s="2015">
        <v>2.78</v>
      </c>
      <c r="C29" s="2013"/>
      <c r="D29" s="2013"/>
      <c r="E29" s="2013"/>
      <c r="F29" s="2013"/>
      <c r="G29" s="2013"/>
      <c r="H29" s="2013"/>
    </row>
    <row r="30" spans="1:8">
      <c r="A30" s="2014">
        <v>11</v>
      </c>
      <c r="B30" s="2015">
        <v>3.11</v>
      </c>
      <c r="C30" s="2013"/>
      <c r="D30" s="2013"/>
      <c r="E30" s="2013"/>
      <c r="F30" s="2013"/>
      <c r="G30" s="2013"/>
      <c r="H30" s="2013"/>
    </row>
    <row r="31" spans="1:8">
      <c r="A31" s="2014">
        <v>12</v>
      </c>
      <c r="B31" s="2015">
        <v>3.48</v>
      </c>
      <c r="C31" s="2013"/>
      <c r="D31" s="2013"/>
      <c r="E31" s="2013"/>
      <c r="F31" s="2013"/>
      <c r="G31" s="2013"/>
      <c r="H31" s="2013"/>
    </row>
    <row r="32" spans="1:8">
      <c r="A32" s="2014">
        <v>13</v>
      </c>
      <c r="B32" s="2015">
        <v>3.9</v>
      </c>
      <c r="C32" s="2013"/>
      <c r="D32" s="2013"/>
      <c r="E32" s="2013"/>
      <c r="F32" s="2013"/>
      <c r="G32" s="2013"/>
      <c r="H32" s="2013"/>
    </row>
    <row r="33" spans="1:20">
      <c r="A33" s="2014">
        <v>14</v>
      </c>
      <c r="B33" s="2015">
        <v>4.37</v>
      </c>
      <c r="C33" s="2013"/>
      <c r="D33" s="2013"/>
      <c r="E33" s="2013"/>
      <c r="F33" s="2013"/>
      <c r="G33" s="2013"/>
      <c r="H33" s="2013"/>
    </row>
    <row r="34" spans="1:20">
      <c r="A34" s="2014">
        <v>15</v>
      </c>
      <c r="B34" s="2015">
        <v>4.8899999999999997</v>
      </c>
      <c r="C34" s="2013"/>
      <c r="D34" s="2013"/>
      <c r="E34" s="2013"/>
      <c r="F34" s="2013"/>
      <c r="G34" s="2013"/>
      <c r="H34" s="2013"/>
    </row>
    <row r="35" spans="1:20">
      <c r="A35" s="2014">
        <v>16</v>
      </c>
      <c r="B35" s="2015">
        <v>5.47</v>
      </c>
      <c r="C35" s="2013"/>
      <c r="D35" s="2013"/>
      <c r="E35" s="2013"/>
      <c r="F35" s="2013"/>
      <c r="G35" s="2013"/>
      <c r="H35" s="2013"/>
    </row>
    <row r="36" spans="1:20">
      <c r="A36" s="2013"/>
      <c r="B36" s="2013"/>
      <c r="C36" s="2013"/>
      <c r="D36" s="2013"/>
      <c r="E36" s="2013"/>
      <c r="F36" s="2013"/>
      <c r="G36" s="2013"/>
      <c r="H36" s="2013"/>
    </row>
    <row r="37" spans="1:20">
      <c r="A37" s="2013"/>
      <c r="B37" s="2013"/>
      <c r="C37" s="2013"/>
      <c r="D37" s="2013"/>
      <c r="E37" s="2013"/>
      <c r="F37" s="2013"/>
      <c r="G37" s="2013"/>
      <c r="H37" s="2013"/>
    </row>
    <row r="38" spans="1:20">
      <c r="Q38" s="2206" t="s">
        <v>893</v>
      </c>
    </row>
    <row r="39" spans="1:20" ht="15.75">
      <c r="A39" s="5914" t="s">
        <v>1670</v>
      </c>
      <c r="B39" s="5914"/>
      <c r="C39" s="5914"/>
      <c r="D39" s="5914"/>
      <c r="E39" s="5914"/>
      <c r="F39" s="5914"/>
      <c r="G39" s="5914"/>
      <c r="H39" s="5914"/>
      <c r="I39" s="5914"/>
      <c r="J39" s="5914"/>
      <c r="K39" s="5914"/>
      <c r="L39" s="5914"/>
      <c r="M39" s="5914"/>
      <c r="N39" s="5914"/>
      <c r="O39" s="5914"/>
      <c r="P39" s="5914"/>
      <c r="Q39" s="5914"/>
      <c r="R39" s="5914"/>
      <c r="S39" s="5914"/>
      <c r="T39" s="5914"/>
    </row>
    <row r="40" spans="1:20" ht="19.5" thickBot="1">
      <c r="A40" s="5915" t="s">
        <v>1015</v>
      </c>
      <c r="B40" s="5915"/>
      <c r="C40" s="5915"/>
      <c r="D40" s="5915"/>
      <c r="E40" s="5915"/>
      <c r="F40" s="5915"/>
      <c r="G40" s="5915"/>
      <c r="H40" s="5915"/>
      <c r="I40" s="5915"/>
      <c r="J40" s="5915"/>
      <c r="K40" s="5915"/>
      <c r="L40" s="5915"/>
      <c r="M40" s="5915"/>
      <c r="N40" s="5915"/>
      <c r="O40" s="5915"/>
      <c r="P40" s="5915"/>
      <c r="Q40" s="5915"/>
      <c r="R40" s="5915"/>
      <c r="S40" s="5915"/>
      <c r="T40" s="5915"/>
    </row>
    <row r="41" spans="1:20" ht="15.75" thickBot="1">
      <c r="A41" s="5916"/>
      <c r="B41" s="5917"/>
      <c r="C41" s="5920" t="s">
        <v>1016</v>
      </c>
      <c r="D41" s="5921"/>
      <c r="E41" s="5920" t="s">
        <v>1017</v>
      </c>
      <c r="F41" s="5921"/>
      <c r="G41" s="5920" t="s">
        <v>1018</v>
      </c>
      <c r="H41" s="5921"/>
      <c r="I41" s="5920" t="s">
        <v>1019</v>
      </c>
      <c r="J41" s="5921"/>
      <c r="K41" s="5920" t="s">
        <v>1020</v>
      </c>
      <c r="L41" s="5921"/>
      <c r="M41" s="5920" t="s">
        <v>1021</v>
      </c>
      <c r="N41" s="5921"/>
      <c r="O41" s="5920" t="s">
        <v>1022</v>
      </c>
      <c r="P41" s="5921"/>
      <c r="Q41" s="5920" t="s">
        <v>1023</v>
      </c>
      <c r="R41" s="5921"/>
      <c r="S41" s="5920" t="s">
        <v>1024</v>
      </c>
      <c r="T41" s="5921"/>
    </row>
    <row r="42" spans="1:20" ht="15.75" thickBot="1">
      <c r="A42" s="5918"/>
      <c r="B42" s="5919"/>
      <c r="C42" s="1991" t="s">
        <v>44</v>
      </c>
      <c r="D42" s="1992" t="s">
        <v>1025</v>
      </c>
      <c r="E42" s="1993" t="s">
        <v>44</v>
      </c>
      <c r="F42" s="1992" t="s">
        <v>1025</v>
      </c>
      <c r="G42" s="1991" t="s">
        <v>44</v>
      </c>
      <c r="H42" s="1992" t="s">
        <v>1025</v>
      </c>
      <c r="I42" s="1991" t="s">
        <v>44</v>
      </c>
      <c r="J42" s="1992" t="s">
        <v>1025</v>
      </c>
      <c r="K42" s="1991" t="s">
        <v>44</v>
      </c>
      <c r="L42" s="1992" t="s">
        <v>1025</v>
      </c>
      <c r="M42" s="1991" t="s">
        <v>44</v>
      </c>
      <c r="N42" s="1992" t="s">
        <v>1025</v>
      </c>
      <c r="O42" s="1993" t="s">
        <v>44</v>
      </c>
      <c r="P42" s="1992" t="s">
        <v>1025</v>
      </c>
      <c r="Q42" s="1991" t="s">
        <v>44</v>
      </c>
      <c r="R42" s="1992" t="s">
        <v>1025</v>
      </c>
      <c r="S42" s="1993" t="s">
        <v>44</v>
      </c>
      <c r="T42" s="1992" t="s">
        <v>1025</v>
      </c>
    </row>
    <row r="43" spans="1:20">
      <c r="A43" s="5908" t="s">
        <v>1026</v>
      </c>
      <c r="B43" s="5909"/>
      <c r="C43" s="1994"/>
      <c r="D43" s="1995">
        <f>SUM(D9)</f>
        <v>9526.3799999999992</v>
      </c>
      <c r="E43" s="1996"/>
      <c r="F43" s="1997">
        <f>D43</f>
        <v>9526.3799999999992</v>
      </c>
      <c r="G43" s="1998"/>
      <c r="H43" s="1997">
        <f>F43</f>
        <v>9526.3799999999992</v>
      </c>
      <c r="I43" s="1996"/>
      <c r="J43" s="1997">
        <f>H43</f>
        <v>9526.3799999999992</v>
      </c>
      <c r="K43" s="1996"/>
      <c r="L43" s="1997">
        <f>J43</f>
        <v>9526.3799999999992</v>
      </c>
      <c r="M43" s="1996"/>
      <c r="N43" s="1997">
        <f>L43</f>
        <v>9526.3799999999992</v>
      </c>
      <c r="O43" s="1996"/>
      <c r="P43" s="1997">
        <f>N43</f>
        <v>9526.3799999999992</v>
      </c>
      <c r="Q43" s="1996"/>
      <c r="R43" s="1997">
        <f>P43</f>
        <v>9526.3799999999992</v>
      </c>
      <c r="S43" s="1994"/>
      <c r="T43" s="1997">
        <f>R43</f>
        <v>9526.3799999999992</v>
      </c>
    </row>
    <row r="44" spans="1:20">
      <c r="A44" s="5910" t="s">
        <v>1671</v>
      </c>
      <c r="B44" s="5911"/>
      <c r="C44" s="1994"/>
      <c r="D44" s="1995">
        <v>110</v>
      </c>
      <c r="E44" s="1996"/>
      <c r="F44" s="1995">
        <v>110</v>
      </c>
      <c r="G44" s="1998"/>
      <c r="H44" s="1995">
        <v>110</v>
      </c>
      <c r="I44" s="1996"/>
      <c r="J44" s="1995">
        <v>110</v>
      </c>
      <c r="K44" s="1996"/>
      <c r="L44" s="1995">
        <v>110</v>
      </c>
      <c r="M44" s="1996"/>
      <c r="N44" s="1995">
        <v>110</v>
      </c>
      <c r="O44" s="1996"/>
      <c r="P44" s="1995">
        <v>110</v>
      </c>
      <c r="Q44" s="1996"/>
      <c r="R44" s="1995">
        <v>110</v>
      </c>
      <c r="S44" s="1994"/>
      <c r="T44" s="1997">
        <v>110</v>
      </c>
    </row>
    <row r="45" spans="1:20">
      <c r="A45" s="5904" t="s">
        <v>1027</v>
      </c>
      <c r="B45" s="5905"/>
      <c r="C45" s="1999"/>
      <c r="D45" s="2000">
        <v>1</v>
      </c>
      <c r="E45" s="2001"/>
      <c r="F45" s="2002">
        <f>B58</f>
        <v>1.1299999999999999</v>
      </c>
      <c r="G45" s="2003"/>
      <c r="H45" s="2002">
        <f>B59</f>
        <v>1.28</v>
      </c>
      <c r="I45" s="2001"/>
      <c r="J45" s="2002">
        <v>1.44</v>
      </c>
      <c r="K45" s="2001"/>
      <c r="L45" s="2002">
        <v>1.63</v>
      </c>
      <c r="M45" s="2001"/>
      <c r="N45" s="2002">
        <f>1.84</f>
        <v>1.84</v>
      </c>
      <c r="O45" s="2001"/>
      <c r="P45" s="2002">
        <v>2.08</v>
      </c>
      <c r="Q45" s="2001"/>
      <c r="R45" s="2002">
        <v>2.35</v>
      </c>
      <c r="S45" s="1999"/>
      <c r="T45" s="2002">
        <v>2.66</v>
      </c>
    </row>
    <row r="46" spans="1:20">
      <c r="A46" s="5904" t="s">
        <v>1028</v>
      </c>
      <c r="B46" s="5905"/>
      <c r="C46" s="2004"/>
      <c r="D46" s="2005">
        <f>D43*D44*D45/100</f>
        <v>10479.018</v>
      </c>
      <c r="E46" s="2004"/>
      <c r="F46" s="2005">
        <f>F43*F44*F45/100</f>
        <v>11841.290339999998</v>
      </c>
      <c r="G46" s="1999"/>
      <c r="H46" s="2005">
        <f>H43*H44*H45/100</f>
        <v>13413.143040000001</v>
      </c>
      <c r="I46" s="2004"/>
      <c r="J46" s="2005">
        <f>J43*J44*J45/100</f>
        <v>15089.78592</v>
      </c>
      <c r="K46" s="2004"/>
      <c r="L46" s="2005">
        <f>L43*L44*L45/100</f>
        <v>17080.799339999998</v>
      </c>
      <c r="M46" s="2004"/>
      <c r="N46" s="2005">
        <f>N43*N44*N45/100</f>
        <v>19281.393120000001</v>
      </c>
      <c r="O46" s="2004"/>
      <c r="P46" s="2005">
        <f>P43*P44*P45/100</f>
        <v>21796.35744</v>
      </c>
      <c r="Q46" s="2004"/>
      <c r="R46" s="2005">
        <f>R43*R44*R45/100</f>
        <v>24625.692299999999</v>
      </c>
      <c r="S46" s="2004"/>
      <c r="T46" s="2006">
        <f>T43*T44*T45/100</f>
        <v>27874.187880000001</v>
      </c>
    </row>
    <row r="47" spans="1:20">
      <c r="A47" s="5912" t="s">
        <v>1029</v>
      </c>
      <c r="B47" s="5913"/>
      <c r="C47" s="2007">
        <v>0.125</v>
      </c>
      <c r="D47" s="2008">
        <f>D46*C47</f>
        <v>1309.87725</v>
      </c>
      <c r="E47" s="2007">
        <v>0.125</v>
      </c>
      <c r="F47" s="2008">
        <f>F46*E47</f>
        <v>1480.1612924999997</v>
      </c>
      <c r="G47" s="2007">
        <v>0.125</v>
      </c>
      <c r="H47" s="2008">
        <f>H46*G47</f>
        <v>1676.6428800000001</v>
      </c>
      <c r="I47" s="2007">
        <v>0.125</v>
      </c>
      <c r="J47" s="2008">
        <f>J46*I47</f>
        <v>1886.22324</v>
      </c>
      <c r="K47" s="2007">
        <v>0.125</v>
      </c>
      <c r="L47" s="2008">
        <f>L46*K47</f>
        <v>2135.0999174999997</v>
      </c>
      <c r="M47" s="2007">
        <v>0.125</v>
      </c>
      <c r="N47" s="2008">
        <f>N46*M47</f>
        <v>2410.1741400000001</v>
      </c>
      <c r="O47" s="2007">
        <v>0.125</v>
      </c>
      <c r="P47" s="2008">
        <f>P46*O47</f>
        <v>2724.54468</v>
      </c>
      <c r="Q47" s="2007">
        <v>0.125</v>
      </c>
      <c r="R47" s="2008">
        <f>R46*Q47</f>
        <v>3078.2115374999998</v>
      </c>
      <c r="S47" s="2007">
        <v>0.125</v>
      </c>
      <c r="T47" s="2008">
        <f>T46*S47</f>
        <v>3484.2734850000002</v>
      </c>
    </row>
    <row r="48" spans="1:20">
      <c r="A48" s="5902" t="s">
        <v>1030</v>
      </c>
      <c r="B48" s="5903"/>
      <c r="C48" s="2009">
        <v>0.1</v>
      </c>
      <c r="D48" s="2006">
        <f>D46*C48</f>
        <v>1047.9018000000001</v>
      </c>
      <c r="E48" s="2009">
        <v>0.1</v>
      </c>
      <c r="F48" s="2006">
        <f>F46*E48</f>
        <v>1184.1290339999998</v>
      </c>
      <c r="G48" s="2009">
        <v>0.1</v>
      </c>
      <c r="H48" s="2006">
        <f>H46*G48</f>
        <v>1341.3143040000002</v>
      </c>
      <c r="I48" s="2009">
        <v>0.1</v>
      </c>
      <c r="J48" s="2006">
        <f>J46*I48</f>
        <v>1508.9785920000002</v>
      </c>
      <c r="K48" s="2009">
        <v>0.1</v>
      </c>
      <c r="L48" s="2006">
        <f>L46*K48</f>
        <v>1708.0799339999999</v>
      </c>
      <c r="M48" s="2009">
        <v>0.1</v>
      </c>
      <c r="N48" s="2006">
        <f>N46*M48</f>
        <v>1928.1393120000002</v>
      </c>
      <c r="O48" s="2009">
        <v>0.1</v>
      </c>
      <c r="P48" s="2006">
        <f>P46*O48</f>
        <v>2179.6357440000002</v>
      </c>
      <c r="Q48" s="2009">
        <v>0.1</v>
      </c>
      <c r="R48" s="2006">
        <f>R46*Q48</f>
        <v>2462.5692300000001</v>
      </c>
      <c r="S48" s="2009">
        <v>0.1</v>
      </c>
      <c r="T48" s="2006">
        <f>T46*S48</f>
        <v>2787.4187880000004</v>
      </c>
    </row>
    <row r="49" spans="1:20">
      <c r="A49" s="5902" t="s">
        <v>1031</v>
      </c>
      <c r="B49" s="5903"/>
      <c r="C49" s="2009">
        <v>0</v>
      </c>
      <c r="D49" s="2006">
        <f>D46*C49</f>
        <v>0</v>
      </c>
      <c r="E49" s="2009">
        <v>0</v>
      </c>
      <c r="F49" s="2006">
        <f>F46*E49</f>
        <v>0</v>
      </c>
      <c r="G49" s="2009">
        <v>0</v>
      </c>
      <c r="H49" s="2006">
        <f>H46*G49</f>
        <v>0</v>
      </c>
      <c r="I49" s="2009">
        <v>0</v>
      </c>
      <c r="J49" s="2006">
        <f>J46*I49</f>
        <v>0</v>
      </c>
      <c r="K49" s="2009">
        <v>0</v>
      </c>
      <c r="L49" s="2006">
        <f>L46*K49</f>
        <v>0</v>
      </c>
      <c r="M49" s="2009">
        <v>0</v>
      </c>
      <c r="N49" s="2006">
        <f>N46*M49</f>
        <v>0</v>
      </c>
      <c r="O49" s="2009">
        <v>0</v>
      </c>
      <c r="P49" s="2006">
        <f>P46*O49</f>
        <v>0</v>
      </c>
      <c r="Q49" s="2009">
        <v>0</v>
      </c>
      <c r="R49" s="2006">
        <f>R46*Q49</f>
        <v>0</v>
      </c>
      <c r="S49" s="2009">
        <v>0</v>
      </c>
      <c r="T49" s="2006">
        <f>T46*S49</f>
        <v>0</v>
      </c>
    </row>
    <row r="50" spans="1:20">
      <c r="A50" s="5902" t="s">
        <v>1032</v>
      </c>
      <c r="B50" s="5903"/>
      <c r="C50" s="2009">
        <v>0.15</v>
      </c>
      <c r="D50" s="2006">
        <f>D46*C50</f>
        <v>1571.8526999999999</v>
      </c>
      <c r="E50" s="2009">
        <v>0.15</v>
      </c>
      <c r="F50" s="2006">
        <f>F46*E50</f>
        <v>1776.1935509999996</v>
      </c>
      <c r="G50" s="2009">
        <v>0.15</v>
      </c>
      <c r="H50" s="2006">
        <f>H46*G50</f>
        <v>2011.971456</v>
      </c>
      <c r="I50" s="2009">
        <v>0.15</v>
      </c>
      <c r="J50" s="2006">
        <f>J46*I50</f>
        <v>2263.4678880000001</v>
      </c>
      <c r="K50" s="2009">
        <v>0.15</v>
      </c>
      <c r="L50" s="2006">
        <f>L46*K50</f>
        <v>2562.1199009999996</v>
      </c>
      <c r="M50" s="2009">
        <v>0.15</v>
      </c>
      <c r="N50" s="2006">
        <f>N46*M50</f>
        <v>2892.2089679999999</v>
      </c>
      <c r="O50" s="2009">
        <v>0.15</v>
      </c>
      <c r="P50" s="2006">
        <f>P46*O50</f>
        <v>3269.4536159999998</v>
      </c>
      <c r="Q50" s="2009">
        <v>0.15</v>
      </c>
      <c r="R50" s="2006">
        <f>R46*Q50</f>
        <v>3693.8538449999996</v>
      </c>
      <c r="S50" s="2009">
        <v>0.15</v>
      </c>
      <c r="T50" s="2006">
        <f>T46*S50</f>
        <v>4181.1281820000004</v>
      </c>
    </row>
    <row r="51" spans="1:20">
      <c r="A51" s="5904" t="s">
        <v>1033</v>
      </c>
      <c r="B51" s="5905"/>
      <c r="C51" s="2009">
        <v>0.2</v>
      </c>
      <c r="D51" s="2006">
        <f>(D46+D47+D48+D49+D50)*0.2</f>
        <v>2881.7299499999999</v>
      </c>
      <c r="E51" s="2009">
        <v>0.2</v>
      </c>
      <c r="F51" s="2006">
        <f>(F46+F47+F48+F49+F50)*0.2</f>
        <v>3256.3548434999993</v>
      </c>
      <c r="G51" s="2009">
        <v>0.2</v>
      </c>
      <c r="H51" s="2006">
        <f>(H46+H47+H48+H49+H50)*0.2</f>
        <v>3688.6143360000005</v>
      </c>
      <c r="I51" s="2009">
        <v>0.2</v>
      </c>
      <c r="J51" s="2006">
        <f>(J46+J47+J48+J49+J50)*0.2</f>
        <v>4149.6911280000004</v>
      </c>
      <c r="K51" s="2009">
        <v>0.2</v>
      </c>
      <c r="L51" s="2006">
        <f>(L46+L47+L48+L49+L50)*0.2</f>
        <v>4697.2198184999997</v>
      </c>
      <c r="M51" s="2009">
        <v>0.2</v>
      </c>
      <c r="N51" s="2006">
        <f>(N46+N47+N48+N49+N50)*0.2</f>
        <v>5302.383108</v>
      </c>
      <c r="O51" s="2009">
        <v>0.2</v>
      </c>
      <c r="P51" s="2006">
        <f>(P46+P47+P48+P49+P50)*0.2</f>
        <v>5993.9982959999998</v>
      </c>
      <c r="Q51" s="2009">
        <v>0.2</v>
      </c>
      <c r="R51" s="2006">
        <f>(R46+R47+R48+R49+R50)*0.2</f>
        <v>6772.0653825000009</v>
      </c>
      <c r="S51" s="2009">
        <v>0.2</v>
      </c>
      <c r="T51" s="2006">
        <f>(T46+T47+T48+T49+T50)*0.2</f>
        <v>7665.4016670000019</v>
      </c>
    </row>
    <row r="52" spans="1:20" ht="15.75" thickBot="1">
      <c r="A52" s="5906" t="s">
        <v>1034</v>
      </c>
      <c r="B52" s="5907"/>
      <c r="C52" s="2010">
        <v>0.5</v>
      </c>
      <c r="D52" s="2008">
        <f>(D46+D47+D48+D49+D50)*0.5</f>
        <v>7204.3248749999993</v>
      </c>
      <c r="E52" s="2010">
        <v>0.5</v>
      </c>
      <c r="F52" s="2008">
        <f>(F46+F47+F48+F49+F50)*0.5</f>
        <v>8140.8871087499983</v>
      </c>
      <c r="G52" s="2010">
        <v>0.5</v>
      </c>
      <c r="H52" s="2008">
        <f>(H46+H47+H48+H49+H50)*0.5</f>
        <v>9221.5358400000005</v>
      </c>
      <c r="I52" s="2010">
        <v>0.5</v>
      </c>
      <c r="J52" s="2008">
        <f>(J46+J47+J48+J49+J50)*0.5</f>
        <v>10374.22782</v>
      </c>
      <c r="K52" s="2010">
        <v>0.5</v>
      </c>
      <c r="L52" s="2008">
        <f>(L46+L47+L48+L49+L50)*0.5</f>
        <v>11743.049546249998</v>
      </c>
      <c r="M52" s="2010">
        <v>0.5</v>
      </c>
      <c r="N52" s="2008">
        <f>(N46+N47+N48+N49+N50)*0.5</f>
        <v>13255.957769999999</v>
      </c>
      <c r="O52" s="2010">
        <v>0.5</v>
      </c>
      <c r="P52" s="2008">
        <f>(P46+P47+P48+P49+P50)*0.5</f>
        <v>14984.995739999998</v>
      </c>
      <c r="Q52" s="2010">
        <v>0.5</v>
      </c>
      <c r="R52" s="2008">
        <f>(R46+R47+R48+R49+R50)*0.5</f>
        <v>16930.16345625</v>
      </c>
      <c r="S52" s="2010">
        <v>0.5</v>
      </c>
      <c r="T52" s="2008">
        <f>(T46+T47+T48+T49+T50)*0.5</f>
        <v>19163.504167500003</v>
      </c>
    </row>
    <row r="53" spans="1:20" ht="15.75" thickBot="1">
      <c r="A53" s="5899" t="s">
        <v>1035</v>
      </c>
      <c r="B53" s="5900"/>
      <c r="C53" s="2011"/>
      <c r="D53" s="2012">
        <f>D46+D47+D48+D49+D50+D51+D52</f>
        <v>24494.704574999996</v>
      </c>
      <c r="E53" s="2011"/>
      <c r="F53" s="2012">
        <f>F46+F47+F48+F49+F50+F51+F52</f>
        <v>27679.016169749993</v>
      </c>
      <c r="G53" s="2011"/>
      <c r="H53" s="2012">
        <f>H46+H47+H48+H49+H50+H51+H52</f>
        <v>31353.221856</v>
      </c>
      <c r="I53" s="2011"/>
      <c r="J53" s="2012">
        <f>J46+J47+J48+J49+J50+J51+J52</f>
        <v>35272.374587999999</v>
      </c>
      <c r="K53" s="2011"/>
      <c r="L53" s="2012">
        <f>L46+L47+L48+L49+L50+L51+L52</f>
        <v>39926.368457249991</v>
      </c>
      <c r="M53" s="2011"/>
      <c r="N53" s="2012">
        <f>N46+N47+N48+N49+N50+N51+N52</f>
        <v>45070.256417999997</v>
      </c>
      <c r="O53" s="2011"/>
      <c r="P53" s="2012">
        <f>P46+P47+P48+P49+P50+P51+P52</f>
        <v>50948.985515999993</v>
      </c>
      <c r="Q53" s="2011"/>
      <c r="R53" s="2012">
        <f>R46+R47+R48+R49+R50+R51+R52</f>
        <v>57562.555751249995</v>
      </c>
      <c r="S53" s="2011"/>
      <c r="T53" s="2012">
        <f>T46+T47+T48+T49+T50+T51+T52</f>
        <v>65155.914169500007</v>
      </c>
    </row>
    <row r="55" spans="1:20" ht="15.75">
      <c r="A55" s="5901" t="s">
        <v>1036</v>
      </c>
      <c r="B55" s="5901"/>
      <c r="C55" s="2013"/>
      <c r="D55" s="2013"/>
      <c r="E55" s="2013"/>
      <c r="F55" s="2013"/>
      <c r="G55" s="2013"/>
      <c r="H55" s="2013"/>
    </row>
    <row r="56" spans="1:20">
      <c r="A56" s="2014" t="s">
        <v>1037</v>
      </c>
      <c r="B56" s="2014" t="s">
        <v>1038</v>
      </c>
      <c r="C56" s="2013"/>
      <c r="D56" s="2013"/>
      <c r="E56" s="2013"/>
      <c r="F56" s="2013"/>
      <c r="G56" s="2013"/>
      <c r="H56" s="2013"/>
    </row>
    <row r="57" spans="1:20">
      <c r="A57" s="2014">
        <v>1</v>
      </c>
      <c r="B57" s="2014">
        <v>1</v>
      </c>
      <c r="C57" s="2013"/>
      <c r="D57" s="2013"/>
      <c r="E57" s="2013"/>
      <c r="F57" s="2013"/>
      <c r="G57" s="2013"/>
      <c r="H57" s="2013"/>
    </row>
    <row r="58" spans="1:20">
      <c r="A58" s="2014">
        <v>2</v>
      </c>
      <c r="B58" s="2014">
        <v>1.1299999999999999</v>
      </c>
      <c r="C58" s="2013"/>
      <c r="D58" s="2013"/>
      <c r="E58" s="2013"/>
      <c r="F58" s="2013"/>
      <c r="G58" s="2013"/>
      <c r="H58" s="2013"/>
    </row>
    <row r="59" spans="1:20">
      <c r="A59" s="2014">
        <v>3</v>
      </c>
      <c r="B59" s="2014">
        <v>1.28</v>
      </c>
      <c r="C59" s="2013"/>
      <c r="D59" s="2013"/>
      <c r="E59" s="2013"/>
      <c r="F59" s="2013"/>
      <c r="G59" s="2013"/>
      <c r="H59" s="2013"/>
    </row>
    <row r="60" spans="1:20">
      <c r="A60" s="2014">
        <v>4</v>
      </c>
      <c r="B60" s="2014">
        <v>1.44</v>
      </c>
      <c r="C60" s="2013"/>
      <c r="D60" s="2013"/>
      <c r="E60" s="2013"/>
      <c r="F60" s="2013"/>
      <c r="G60" s="2013"/>
      <c r="H60" s="2013"/>
    </row>
    <row r="61" spans="1:20">
      <c r="A61" s="2014">
        <v>5</v>
      </c>
      <c r="B61" s="2014">
        <v>1.63</v>
      </c>
      <c r="C61" s="2013"/>
      <c r="D61" s="2013"/>
      <c r="E61" s="2013"/>
      <c r="F61" s="2013"/>
      <c r="G61" s="2013"/>
      <c r="H61" s="2013"/>
    </row>
    <row r="62" spans="1:20">
      <c r="A62" s="2014">
        <v>6</v>
      </c>
      <c r="B62" s="2015">
        <v>1.84</v>
      </c>
      <c r="C62" s="2013"/>
      <c r="D62" s="2013"/>
      <c r="E62" s="2013"/>
      <c r="F62" s="2013"/>
      <c r="G62" s="2013"/>
      <c r="H62" s="2013"/>
    </row>
    <row r="63" spans="1:20">
      <c r="A63" s="2014">
        <v>7</v>
      </c>
      <c r="B63" s="2015">
        <v>2.08</v>
      </c>
      <c r="C63" s="2013"/>
      <c r="D63" s="2013"/>
      <c r="E63" s="2013"/>
      <c r="F63" s="2013"/>
      <c r="G63" s="2013"/>
      <c r="H63" s="2013"/>
    </row>
    <row r="64" spans="1:20">
      <c r="A64" s="2014">
        <v>8</v>
      </c>
      <c r="B64" s="2015">
        <v>2.35</v>
      </c>
      <c r="C64" s="2013"/>
      <c r="D64" s="2013"/>
      <c r="E64" s="2013"/>
      <c r="F64" s="2013"/>
      <c r="G64" s="2013"/>
      <c r="H64" s="2013"/>
    </row>
    <row r="65" spans="1:8">
      <c r="A65" s="2014">
        <v>9</v>
      </c>
      <c r="B65" s="2015">
        <v>2.66</v>
      </c>
      <c r="C65" s="2013"/>
      <c r="D65" s="2013"/>
      <c r="E65" s="2013"/>
      <c r="F65" s="2013"/>
      <c r="G65" s="2013"/>
      <c r="H65" s="2013"/>
    </row>
    <row r="66" spans="1:8">
      <c r="A66" s="2014">
        <v>10</v>
      </c>
      <c r="B66" s="2015">
        <v>2.78</v>
      </c>
      <c r="C66" s="2013"/>
      <c r="D66" s="2013"/>
      <c r="E66" s="2013"/>
      <c r="F66" s="2013"/>
      <c r="G66" s="2013"/>
      <c r="H66" s="2013"/>
    </row>
    <row r="67" spans="1:8">
      <c r="A67" s="2014">
        <v>11</v>
      </c>
      <c r="B67" s="2015">
        <v>3.11</v>
      </c>
      <c r="C67" s="2013"/>
      <c r="D67" s="2013"/>
      <c r="E67" s="2013"/>
      <c r="F67" s="2013"/>
      <c r="G67" s="2013"/>
      <c r="H67" s="2013"/>
    </row>
    <row r="68" spans="1:8">
      <c r="A68" s="2014">
        <v>12</v>
      </c>
      <c r="B68" s="2015">
        <v>3.48</v>
      </c>
      <c r="C68" s="2013"/>
      <c r="D68" s="2013"/>
      <c r="E68" s="2013"/>
      <c r="F68" s="2013"/>
      <c r="G68" s="2013"/>
      <c r="H68" s="2013"/>
    </row>
    <row r="69" spans="1:8">
      <c r="A69" s="2014">
        <v>13</v>
      </c>
      <c r="B69" s="2015">
        <v>3.9</v>
      </c>
      <c r="C69" s="2013"/>
      <c r="D69" s="2013"/>
      <c r="E69" s="2013"/>
      <c r="F69" s="2013"/>
      <c r="G69" s="2013"/>
      <c r="H69" s="2013"/>
    </row>
    <row r="70" spans="1:8">
      <c r="A70" s="2014">
        <v>14</v>
      </c>
      <c r="B70" s="2015">
        <v>4.37</v>
      </c>
      <c r="C70" s="2013"/>
      <c r="D70" s="2013"/>
      <c r="E70" s="2013"/>
      <c r="F70" s="2013"/>
      <c r="G70" s="2013"/>
      <c r="H70" s="2013"/>
    </row>
    <row r="71" spans="1:8">
      <c r="A71" s="2014">
        <v>15</v>
      </c>
      <c r="B71" s="2015">
        <v>4.8899999999999997</v>
      </c>
      <c r="C71" s="2013"/>
      <c r="D71" s="2013"/>
      <c r="E71" s="2013"/>
      <c r="F71" s="2013"/>
      <c r="G71" s="2013"/>
      <c r="H71" s="2013"/>
    </row>
    <row r="72" spans="1:8">
      <c r="A72" s="2014">
        <v>16</v>
      </c>
      <c r="B72" s="2015">
        <v>5.47</v>
      </c>
      <c r="C72" s="2013"/>
      <c r="D72" s="2013"/>
      <c r="E72" s="2013"/>
      <c r="F72" s="2013"/>
      <c r="G72" s="2013"/>
      <c r="H72" s="2013"/>
    </row>
  </sheetData>
  <mergeCells count="48">
    <mergeCell ref="A9:B9"/>
    <mergeCell ref="A2:T2"/>
    <mergeCell ref="A3:T3"/>
    <mergeCell ref="A4:B5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A6:B6"/>
    <mergeCell ref="A7:B7"/>
    <mergeCell ref="A8:B8"/>
    <mergeCell ref="A16:B16"/>
    <mergeCell ref="A18:B18"/>
    <mergeCell ref="A10:B10"/>
    <mergeCell ref="A11:B11"/>
    <mergeCell ref="A12:B12"/>
    <mergeCell ref="A13:B13"/>
    <mergeCell ref="A14:B14"/>
    <mergeCell ref="A15:B15"/>
    <mergeCell ref="A39:T39"/>
    <mergeCell ref="A40:T40"/>
    <mergeCell ref="A41:B42"/>
    <mergeCell ref="C41:D41"/>
    <mergeCell ref="E41:F41"/>
    <mergeCell ref="G41:H41"/>
    <mergeCell ref="I41:J41"/>
    <mergeCell ref="K41:L41"/>
    <mergeCell ref="M41:N41"/>
    <mergeCell ref="O41:P41"/>
    <mergeCell ref="Q41:R41"/>
    <mergeCell ref="S41:T41"/>
    <mergeCell ref="A43:B43"/>
    <mergeCell ref="A44:B44"/>
    <mergeCell ref="A45:B45"/>
    <mergeCell ref="A46:B46"/>
    <mergeCell ref="A47:B47"/>
    <mergeCell ref="A53:B53"/>
    <mergeCell ref="A55:B55"/>
    <mergeCell ref="A48:B48"/>
    <mergeCell ref="A49:B49"/>
    <mergeCell ref="A50:B50"/>
    <mergeCell ref="A51:B51"/>
    <mergeCell ref="A52:B52"/>
  </mergeCells>
  <printOptions horizontalCentered="1"/>
  <pageMargins left="0.31496062992125984" right="0.51181102362204722" top="0.74803149606299213" bottom="0.74803149606299213" header="0.31496062992125984" footer="0.31496062992125984"/>
  <pageSetup paperSize="9" scale="71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>
  <sheetPr enableFormatConditionsCalculation="0">
    <tabColor rgb="FFFF0000"/>
    <pageSetUpPr fitToPage="1"/>
  </sheetPr>
  <dimension ref="A1:BA146"/>
  <sheetViews>
    <sheetView zoomScale="60" zoomScaleNormal="60" zoomScaleSheetLayoutView="50" zoomScalePageLayoutView="80" workbookViewId="0">
      <pane xSplit="20" ySplit="7" topLeftCell="U8" activePane="bottomRight" state="frozen"/>
      <selection pane="topRight" activeCell="U1" sqref="U1"/>
      <selection pane="bottomLeft" activeCell="A8" sqref="A8"/>
      <selection pane="bottomRight" activeCell="AZ8" sqref="AZ8"/>
    </sheetView>
  </sheetViews>
  <sheetFormatPr defaultRowHeight="12.75" outlineLevelCol="1"/>
  <cols>
    <col min="1" max="1" width="50.5703125" customWidth="1"/>
    <col min="2" max="3" width="9.140625" hidden="1" customWidth="1"/>
    <col min="4" max="4" width="9.7109375" hidden="1" customWidth="1"/>
    <col min="5" max="7" width="10" hidden="1" customWidth="1"/>
    <col min="8" max="8" width="7.85546875" hidden="1" customWidth="1" outlineLevel="1"/>
    <col min="9" max="9" width="13.140625" hidden="1" customWidth="1"/>
    <col min="10" max="11" width="11.7109375" hidden="1" customWidth="1"/>
    <col min="12" max="12" width="10.85546875" hidden="1" customWidth="1"/>
    <col min="13" max="13" width="9.7109375" hidden="1" customWidth="1" outlineLevel="1"/>
    <col min="14" max="14" width="12.85546875" hidden="1" customWidth="1" outlineLevel="1"/>
    <col min="15" max="15" width="9.42578125" hidden="1" customWidth="1" outlineLevel="1"/>
    <col min="16" max="16" width="12.42578125" hidden="1" customWidth="1"/>
    <col min="17" max="17" width="10.42578125" hidden="1" customWidth="1" outlineLevel="1"/>
    <col min="18" max="18" width="10.85546875" hidden="1" customWidth="1" outlineLevel="1"/>
    <col min="19" max="19" width="10.7109375" hidden="1" customWidth="1"/>
    <col min="20" max="20" width="2.5703125" hidden="1" customWidth="1" outlineLevel="1"/>
    <col min="21" max="21" width="13.7109375" style="381" hidden="1" customWidth="1"/>
    <col min="22" max="22" width="13.42578125" style="381" hidden="1" customWidth="1" outlineLevel="1"/>
    <col min="23" max="26" width="13.85546875" style="381" hidden="1" customWidth="1"/>
    <col min="27" max="28" width="13.85546875" style="381" customWidth="1"/>
    <col min="29" max="31" width="14.140625" hidden="1" customWidth="1"/>
    <col min="32" max="33" width="14.140625" customWidth="1"/>
    <col min="34" max="34" width="14.140625" hidden="1" customWidth="1"/>
    <col min="35" max="35" width="13.85546875" style="657" hidden="1" customWidth="1"/>
    <col min="36" max="36" width="11.7109375" style="657" hidden="1" customWidth="1"/>
    <col min="37" max="37" width="12.28515625" style="657" hidden="1" customWidth="1"/>
    <col min="38" max="38" width="13.28515625" customWidth="1"/>
    <col min="39" max="40" width="14" hidden="1" customWidth="1"/>
    <col min="41" max="43" width="14" customWidth="1"/>
    <col min="44" max="44" width="14" hidden="1" customWidth="1"/>
    <col min="45" max="45" width="12.5703125" hidden="1" customWidth="1"/>
    <col min="46" max="46" width="11.28515625" hidden="1" customWidth="1"/>
    <col min="47" max="47" width="11.140625" hidden="1" customWidth="1"/>
    <col min="48" max="53" width="14" customWidth="1"/>
  </cols>
  <sheetData>
    <row r="1" spans="1:53">
      <c r="A1" s="5927" t="s">
        <v>1530</v>
      </c>
      <c r="B1" s="5021"/>
      <c r="C1" s="5021"/>
      <c r="D1" s="5021"/>
      <c r="E1" s="5021"/>
      <c r="F1" s="5021"/>
      <c r="G1" s="5021"/>
      <c r="H1" s="5021"/>
      <c r="I1" s="5021"/>
      <c r="J1" s="5021"/>
      <c r="K1" s="5021"/>
      <c r="L1" s="5021"/>
      <c r="M1" s="5021"/>
      <c r="N1" s="5021"/>
      <c r="O1" s="5021"/>
      <c r="P1" s="5021"/>
      <c r="Q1" s="5021"/>
      <c r="R1" s="5021"/>
      <c r="S1" s="5021"/>
      <c r="T1" s="5021"/>
      <c r="U1" s="5021"/>
      <c r="V1" s="5021"/>
      <c r="W1" s="5021"/>
      <c r="X1" s="5021"/>
      <c r="Y1" s="5021"/>
      <c r="Z1" s="5021"/>
      <c r="AA1" s="5021"/>
      <c r="AB1" s="5021"/>
      <c r="AC1" s="5021"/>
      <c r="AD1" s="5021"/>
      <c r="AE1" s="5021"/>
      <c r="AF1" s="5021"/>
      <c r="AG1" s="5021"/>
      <c r="AH1" s="5021"/>
      <c r="AI1" s="5021"/>
      <c r="AJ1" s="5021"/>
      <c r="AK1" s="5021"/>
      <c r="AL1" s="5021"/>
      <c r="AM1" s="5021"/>
      <c r="AN1" s="5021"/>
      <c r="AO1" s="5021"/>
      <c r="AP1" s="5021"/>
      <c r="AQ1" s="5021"/>
      <c r="AR1" s="5021"/>
      <c r="AS1" s="5021"/>
      <c r="AT1" s="5021"/>
      <c r="AU1" s="5021"/>
      <c r="AV1" s="5021"/>
      <c r="AW1" s="5021"/>
      <c r="AX1" s="5021"/>
      <c r="AY1" s="4894"/>
      <c r="AZ1" s="4894"/>
      <c r="BA1" s="4894"/>
    </row>
    <row r="2" spans="1:53" ht="26.25">
      <c r="A2" s="5134" t="s">
        <v>55</v>
      </c>
      <c r="B2" s="5134"/>
      <c r="C2" s="5134"/>
      <c r="D2" s="5134"/>
      <c r="E2" s="5134"/>
      <c r="F2" s="5134"/>
      <c r="G2" s="5134"/>
      <c r="H2" s="5134"/>
      <c r="I2" s="5134"/>
      <c r="J2" s="5134"/>
      <c r="K2" s="5134"/>
      <c r="L2" s="5134"/>
      <c r="M2" s="5134"/>
      <c r="N2" s="5134"/>
      <c r="O2" s="5134"/>
      <c r="P2" s="5134"/>
      <c r="Q2" s="5134"/>
      <c r="R2" s="5134"/>
      <c r="S2" s="5134"/>
      <c r="T2" s="5134"/>
      <c r="U2" s="5134"/>
      <c r="V2" s="5134"/>
      <c r="W2" s="5134"/>
      <c r="X2" s="5134"/>
      <c r="Y2" s="5134"/>
      <c r="Z2" s="5134"/>
      <c r="AA2" s="5134"/>
      <c r="AB2" s="5134"/>
      <c r="AC2" s="5134"/>
      <c r="AD2" s="5134"/>
      <c r="AE2" s="5134"/>
      <c r="AF2" s="5134"/>
      <c r="AG2" s="5134"/>
      <c r="AH2" s="5134"/>
      <c r="AI2" s="5134"/>
      <c r="AJ2" s="5928"/>
      <c r="AK2" s="5928"/>
      <c r="AL2" s="5928"/>
      <c r="AM2" s="5928"/>
      <c r="AN2" s="5928"/>
      <c r="AO2" s="5928"/>
      <c r="AP2" s="5928"/>
      <c r="AQ2" s="5928"/>
      <c r="AR2" s="5928"/>
      <c r="AS2" s="5928"/>
      <c r="AT2" s="5928"/>
      <c r="AU2" s="5928"/>
      <c r="AV2" s="5928"/>
      <c r="AW2" s="5928"/>
      <c r="AX2" s="5928"/>
      <c r="AY2" s="4894"/>
      <c r="AZ2" s="4894"/>
      <c r="BA2" s="4894"/>
    </row>
    <row r="3" spans="1:53" ht="13.5" thickBo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P3" s="16" t="s">
        <v>56</v>
      </c>
      <c r="Q3" s="16"/>
    </row>
    <row r="4" spans="1:53" ht="16.5" customHeight="1">
      <c r="A4" s="5570" t="s">
        <v>545</v>
      </c>
      <c r="B4" s="5758" t="s">
        <v>58</v>
      </c>
      <c r="C4" s="5266" t="s">
        <v>59</v>
      </c>
      <c r="D4" s="5170"/>
      <c r="E4" s="6016" t="s">
        <v>67</v>
      </c>
      <c r="F4" s="6017"/>
      <c r="G4" s="6027" t="s">
        <v>95</v>
      </c>
      <c r="H4" s="6028"/>
      <c r="I4" s="6026" t="s">
        <v>124</v>
      </c>
      <c r="J4" s="6026"/>
      <c r="K4" s="6026"/>
      <c r="L4" s="6026"/>
      <c r="M4" s="6026"/>
      <c r="N4" s="6020" t="s">
        <v>162</v>
      </c>
      <c r="O4" s="6021"/>
      <c r="P4" s="6021"/>
      <c r="Q4" s="6021"/>
      <c r="R4" s="6021"/>
      <c r="S4" s="6021"/>
      <c r="T4" s="6022"/>
      <c r="U4" s="5965" t="s">
        <v>238</v>
      </c>
      <c r="V4" s="5923"/>
      <c r="W4" s="5923"/>
      <c r="X4" s="5923"/>
      <c r="Y4" s="5923"/>
      <c r="Z4" s="6012"/>
      <c r="AA4" s="5965" t="s">
        <v>379</v>
      </c>
      <c r="AB4" s="5923"/>
      <c r="AC4" s="6000"/>
      <c r="AD4" s="6000"/>
      <c r="AE4" s="6001"/>
      <c r="AF4" s="6002" t="s">
        <v>832</v>
      </c>
      <c r="AG4" s="6000"/>
      <c r="AH4" s="6001"/>
      <c r="AI4" s="5990" t="s">
        <v>246</v>
      </c>
      <c r="AJ4" s="5991"/>
      <c r="AK4" s="5992"/>
      <c r="AL4" s="5979" t="s">
        <v>1651</v>
      </c>
      <c r="AM4" s="5114" t="s">
        <v>1595</v>
      </c>
      <c r="AN4" s="5115"/>
      <c r="AO4" s="5116"/>
      <c r="AP4" s="5965" t="s">
        <v>911</v>
      </c>
      <c r="AQ4" s="5923"/>
      <c r="AR4" s="5924"/>
      <c r="AS4" s="5966" t="s">
        <v>246</v>
      </c>
      <c r="AT4" s="5967"/>
      <c r="AU4" s="5968"/>
      <c r="AV4" s="6064" t="s">
        <v>1897</v>
      </c>
      <c r="AW4" s="6065"/>
      <c r="AX4" s="6066"/>
      <c r="AY4" s="5922" t="s">
        <v>1849</v>
      </c>
      <c r="AZ4" s="5923"/>
      <c r="BA4" s="5924"/>
    </row>
    <row r="5" spans="1:53" ht="12.75" customHeight="1">
      <c r="A5" s="6013"/>
      <c r="B5" s="5267"/>
      <c r="C5" s="5267" t="s">
        <v>61</v>
      </c>
      <c r="D5" s="6029" t="s">
        <v>62</v>
      </c>
      <c r="E5" s="6015" t="s">
        <v>61</v>
      </c>
      <c r="F5" s="6011" t="s">
        <v>66</v>
      </c>
      <c r="G5" s="6008" t="s">
        <v>61</v>
      </c>
      <c r="H5" s="6008" t="s">
        <v>112</v>
      </c>
      <c r="I5" s="6008" t="s">
        <v>60</v>
      </c>
      <c r="J5" s="6008" t="s">
        <v>63</v>
      </c>
      <c r="K5" s="6008" t="s">
        <v>110</v>
      </c>
      <c r="L5" s="6008" t="s">
        <v>61</v>
      </c>
      <c r="M5" s="6011" t="s">
        <v>123</v>
      </c>
      <c r="N5" s="6009" t="s">
        <v>126</v>
      </c>
      <c r="O5" s="6009" t="s">
        <v>161</v>
      </c>
      <c r="P5" s="6009" t="s">
        <v>247</v>
      </c>
      <c r="Q5" s="6009" t="s">
        <v>170</v>
      </c>
      <c r="R5" s="6009" t="s">
        <v>161</v>
      </c>
      <c r="S5" s="6011" t="s">
        <v>110</v>
      </c>
      <c r="T5" s="6023" t="s">
        <v>61</v>
      </c>
      <c r="U5" s="6006" t="s">
        <v>567</v>
      </c>
      <c r="V5" s="5355" t="s">
        <v>243</v>
      </c>
      <c r="W5" s="5355" t="s">
        <v>568</v>
      </c>
      <c r="X5" s="5355" t="s">
        <v>390</v>
      </c>
      <c r="Y5" s="5355" t="s">
        <v>134</v>
      </c>
      <c r="Z5" s="6003" t="s">
        <v>657</v>
      </c>
      <c r="AA5" s="6007" t="s">
        <v>567</v>
      </c>
      <c r="AB5" s="5989" t="s">
        <v>568</v>
      </c>
      <c r="AC5" s="5267" t="s">
        <v>569</v>
      </c>
      <c r="AD5" s="5355" t="s">
        <v>390</v>
      </c>
      <c r="AE5" s="6005" t="s">
        <v>134</v>
      </c>
      <c r="AF5" s="6006" t="s">
        <v>567</v>
      </c>
      <c r="AG5" s="5355" t="s">
        <v>568</v>
      </c>
      <c r="AH5" s="5267" t="s">
        <v>569</v>
      </c>
      <c r="AI5" s="5993"/>
      <c r="AJ5" s="5994"/>
      <c r="AK5" s="5995"/>
      <c r="AL5" s="5980"/>
      <c r="AM5" s="5973"/>
      <c r="AN5" s="5974"/>
      <c r="AO5" s="5975"/>
      <c r="AP5" s="5972" t="s">
        <v>567</v>
      </c>
      <c r="AQ5" s="5925" t="s">
        <v>568</v>
      </c>
      <c r="AR5" s="5926" t="s">
        <v>569</v>
      </c>
      <c r="AS5" s="5969"/>
      <c r="AT5" s="5970"/>
      <c r="AU5" s="5971"/>
      <c r="AV5" s="6067" t="s">
        <v>598</v>
      </c>
      <c r="AW5" s="6069" t="s">
        <v>229</v>
      </c>
      <c r="AX5" s="6071" t="s">
        <v>1899</v>
      </c>
      <c r="AY5" s="5400" t="s">
        <v>567</v>
      </c>
      <c r="AZ5" s="5925" t="s">
        <v>568</v>
      </c>
      <c r="BA5" s="5926" t="s">
        <v>569</v>
      </c>
    </row>
    <row r="6" spans="1:53" ht="12.75" customHeight="1">
      <c r="A6" s="6013"/>
      <c r="B6" s="5267"/>
      <c r="C6" s="5267"/>
      <c r="D6" s="6029"/>
      <c r="E6" s="6015"/>
      <c r="F6" s="6011"/>
      <c r="G6" s="6009"/>
      <c r="H6" s="6009"/>
      <c r="I6" s="6009"/>
      <c r="J6" s="6009"/>
      <c r="K6" s="6009"/>
      <c r="L6" s="6009"/>
      <c r="M6" s="6011"/>
      <c r="N6" s="6009"/>
      <c r="O6" s="6009"/>
      <c r="P6" s="6009"/>
      <c r="Q6" s="6009"/>
      <c r="R6" s="6009"/>
      <c r="S6" s="6011"/>
      <c r="T6" s="6024"/>
      <c r="U6" s="6006"/>
      <c r="V6" s="5355"/>
      <c r="W6" s="5355"/>
      <c r="X6" s="5355"/>
      <c r="Y6" s="5355"/>
      <c r="Z6" s="5069"/>
      <c r="AA6" s="6007"/>
      <c r="AB6" s="5989"/>
      <c r="AC6" s="5267"/>
      <c r="AD6" s="5355"/>
      <c r="AE6" s="6005"/>
      <c r="AF6" s="6006"/>
      <c r="AG6" s="5355"/>
      <c r="AH6" s="5267"/>
      <c r="AI6" s="5993"/>
      <c r="AJ6" s="5994"/>
      <c r="AK6" s="5995"/>
      <c r="AL6" s="5980"/>
      <c r="AM6" s="5973"/>
      <c r="AN6" s="5974"/>
      <c r="AO6" s="5975"/>
      <c r="AP6" s="5972"/>
      <c r="AQ6" s="5925"/>
      <c r="AR6" s="5926"/>
      <c r="AS6" s="5969"/>
      <c r="AT6" s="5970"/>
      <c r="AU6" s="5971"/>
      <c r="AV6" s="6068"/>
      <c r="AW6" s="6070"/>
      <c r="AX6" s="6072"/>
      <c r="AY6" s="5400"/>
      <c r="AZ6" s="5925"/>
      <c r="BA6" s="5926"/>
    </row>
    <row r="7" spans="1:53" ht="19.5" customHeight="1">
      <c r="A7" s="6013"/>
      <c r="B7" s="5267"/>
      <c r="C7" s="5267"/>
      <c r="D7" s="6029"/>
      <c r="E7" s="6015"/>
      <c r="F7" s="6011"/>
      <c r="G7" s="6010"/>
      <c r="H7" s="6010"/>
      <c r="I7" s="6010"/>
      <c r="J7" s="6010"/>
      <c r="K7" s="6010"/>
      <c r="L7" s="6010"/>
      <c r="M7" s="6011"/>
      <c r="N7" s="6010"/>
      <c r="O7" s="6010"/>
      <c r="P7" s="6010"/>
      <c r="Q7" s="6010"/>
      <c r="R7" s="6010"/>
      <c r="S7" s="6011"/>
      <c r="T7" s="6025"/>
      <c r="U7" s="6006"/>
      <c r="V7" s="5355"/>
      <c r="W7" s="5355"/>
      <c r="X7" s="5355"/>
      <c r="Y7" s="5355"/>
      <c r="Z7" s="6004"/>
      <c r="AA7" s="6007"/>
      <c r="AB7" s="5989"/>
      <c r="AC7" s="5267"/>
      <c r="AD7" s="5355"/>
      <c r="AE7" s="6005"/>
      <c r="AF7" s="6006"/>
      <c r="AG7" s="5355"/>
      <c r="AH7" s="5267"/>
      <c r="AI7" s="5993"/>
      <c r="AJ7" s="5994"/>
      <c r="AK7" s="5995"/>
      <c r="AL7" s="5981"/>
      <c r="AM7" s="5976"/>
      <c r="AN7" s="5977"/>
      <c r="AO7" s="5978"/>
      <c r="AP7" s="5972"/>
      <c r="AQ7" s="5925"/>
      <c r="AR7" s="5926"/>
      <c r="AS7" s="5969"/>
      <c r="AT7" s="5970"/>
      <c r="AU7" s="5971"/>
      <c r="AV7" s="5321"/>
      <c r="AW7" s="5323"/>
      <c r="AX7" s="6073"/>
      <c r="AY7" s="5400"/>
      <c r="AZ7" s="5925"/>
      <c r="BA7" s="5926"/>
    </row>
    <row r="8" spans="1:53" ht="38.25" customHeight="1">
      <c r="A8" s="1039" t="s">
        <v>72</v>
      </c>
      <c r="B8" s="993">
        <v>4357</v>
      </c>
      <c r="C8" s="989">
        <v>5406.5</v>
      </c>
      <c r="D8" s="1040">
        <f>C8/B8*100</f>
        <v>124.08767500573789</v>
      </c>
      <c r="E8" s="1033">
        <v>6087.5</v>
      </c>
      <c r="F8" s="394">
        <f t="shared" ref="F8:F16" si="0">E8/C8*100</f>
        <v>112.59594932026265</v>
      </c>
      <c r="G8" s="280">
        <v>6903.5</v>
      </c>
      <c r="H8" s="394">
        <f>G8/E8*100</f>
        <v>113.40451745379876</v>
      </c>
      <c r="I8" s="280">
        <v>6484.8</v>
      </c>
      <c r="J8" s="280">
        <v>3738.1</v>
      </c>
      <c r="K8" s="280">
        <v>5035.8999999999996</v>
      </c>
      <c r="L8" s="280">
        <v>7062.7</v>
      </c>
      <c r="M8" s="394">
        <f>L8/G8*100</f>
        <v>102.30607662779749</v>
      </c>
      <c r="N8" s="280">
        <v>8395.1</v>
      </c>
      <c r="O8" s="394">
        <f t="shared" ref="O8:O17" si="1">N8/L8*100</f>
        <v>118.86530646919735</v>
      </c>
      <c r="P8" s="280">
        <v>7191.3</v>
      </c>
      <c r="Q8" s="394">
        <f t="shared" ref="Q8:Q17" si="2">P8/I8*100</f>
        <v>110.89470762398224</v>
      </c>
      <c r="R8" s="394">
        <f t="shared" ref="R8:R17" si="3">P8/L8*100</f>
        <v>101.82083339232872</v>
      </c>
      <c r="S8" s="280">
        <v>5453.4</v>
      </c>
      <c r="T8" s="1023">
        <v>6885.5</v>
      </c>
      <c r="U8" s="1046">
        <v>8933.7000000000007</v>
      </c>
      <c r="V8" s="1027">
        <f>U8/P8</f>
        <v>1.2422927704309374</v>
      </c>
      <c r="W8" s="1009">
        <f>P8*1.056</f>
        <v>7594.0128000000004</v>
      </c>
      <c r="X8" s="1009">
        <v>3201.3</v>
      </c>
      <c r="Y8" s="1009">
        <v>4939.3</v>
      </c>
      <c r="Z8" s="1136">
        <v>6586.3</v>
      </c>
      <c r="AA8" s="3746">
        <v>7973.7</v>
      </c>
      <c r="AB8" s="3747">
        <f>T8*1.074*1.067</f>
        <v>7890.4938089999996</v>
      </c>
      <c r="AC8" s="3743">
        <f>AB8/W8</f>
        <v>1.039041415495112</v>
      </c>
      <c r="AD8" s="1009">
        <v>3191.57</v>
      </c>
      <c r="AE8" s="1047">
        <v>5009.13</v>
      </c>
      <c r="AF8" s="1136">
        <f>SUM(AB8*1.1)</f>
        <v>8679.5431898999996</v>
      </c>
      <c r="AG8" s="1136">
        <f>AE8/9*12*1.074</f>
        <v>7173.074160000001</v>
      </c>
      <c r="AH8" s="1030">
        <f>SUM(AG8/AB8)</f>
        <v>0.9090779783412668</v>
      </c>
      <c r="AI8" s="5982" t="s">
        <v>250</v>
      </c>
      <c r="AJ8" s="5983"/>
      <c r="AK8" s="5984"/>
      <c r="AL8" s="1367">
        <v>6533.03</v>
      </c>
      <c r="AM8" s="2842">
        <v>3263.78</v>
      </c>
      <c r="AN8" s="2958">
        <v>4959.1899999999996</v>
      </c>
      <c r="AO8" s="2959">
        <v>6605.9</v>
      </c>
      <c r="AP8" s="3722">
        <f>SUM(AP10*AP9*12)/1000</f>
        <v>7541.0415960000018</v>
      </c>
      <c r="AQ8" s="3723">
        <f>AG8*(1-0.01)*(1+0.071)*(1+0)</f>
        <v>7605.5388011064006</v>
      </c>
      <c r="AR8" s="3724">
        <f>SUM(AQ8/AG8)</f>
        <v>1.06029</v>
      </c>
      <c r="AS8" s="5956" t="s">
        <v>250</v>
      </c>
      <c r="AT8" s="5957"/>
      <c r="AU8" s="5958"/>
      <c r="AV8" s="3951">
        <v>2942.51</v>
      </c>
      <c r="AW8" s="4264">
        <v>4676.2</v>
      </c>
      <c r="AX8" s="4278">
        <f>SUM(AV8+((AW8-AV8)/3*6))</f>
        <v>6409.8899999999994</v>
      </c>
      <c r="AY8" s="4301">
        <f>AQ8*(1-0.01)*(1+0.058)*(1+0)</f>
        <v>7966.1934510548663</v>
      </c>
      <c r="AZ8" s="3723">
        <f>AQ8*(1-0.01)*(1+0.04)*(1+0)</f>
        <v>7830.6627496191504</v>
      </c>
      <c r="BA8" s="3724">
        <f>SUM(AZ8/AQ8)</f>
        <v>1.0296000000000001</v>
      </c>
    </row>
    <row r="9" spans="1:53" ht="38.25" customHeight="1">
      <c r="A9" s="1953" t="s">
        <v>1472</v>
      </c>
      <c r="B9" s="2080"/>
      <c r="C9" s="2081"/>
      <c r="D9" s="2082"/>
      <c r="E9" s="2083"/>
      <c r="F9" s="2084"/>
      <c r="G9" s="2085"/>
      <c r="H9" s="2084"/>
      <c r="I9" s="2085"/>
      <c r="J9" s="2086"/>
      <c r="K9" s="2085"/>
      <c r="L9" s="2085"/>
      <c r="M9" s="2084"/>
      <c r="N9" s="2085"/>
      <c r="O9" s="2084"/>
      <c r="P9" s="2085"/>
      <c r="Q9" s="2084"/>
      <c r="R9" s="2084"/>
      <c r="S9" s="2085"/>
      <c r="T9" s="2087"/>
      <c r="U9" s="1950"/>
      <c r="V9" s="2088"/>
      <c r="W9" s="2089"/>
      <c r="X9" s="2089"/>
      <c r="Y9" s="2089"/>
      <c r="Z9" s="2090"/>
      <c r="AA9" s="3746"/>
      <c r="AB9" s="3747"/>
      <c r="AC9" s="3743"/>
      <c r="AD9" s="2089">
        <v>13</v>
      </c>
      <c r="AE9" s="2688">
        <v>13</v>
      </c>
      <c r="AF9" s="2687"/>
      <c r="AG9" s="2090">
        <f>AD9</f>
        <v>13</v>
      </c>
      <c r="AH9" s="1030"/>
      <c r="AI9" s="5997"/>
      <c r="AJ9" s="5998"/>
      <c r="AK9" s="5999"/>
      <c r="AL9" s="2985">
        <v>13</v>
      </c>
      <c r="AM9" s="2842">
        <v>13</v>
      </c>
      <c r="AN9" s="2958">
        <v>13</v>
      </c>
      <c r="AO9" s="2844">
        <v>13</v>
      </c>
      <c r="AP9" s="3722">
        <v>13</v>
      </c>
      <c r="AQ9" s="3723">
        <f>AN9</f>
        <v>13</v>
      </c>
      <c r="AR9" s="3724">
        <f t="shared" ref="AR9:AR54" si="4">SUM(AQ9/AG9)</f>
        <v>1</v>
      </c>
      <c r="AS9" s="5985"/>
      <c r="AT9" s="5986"/>
      <c r="AU9" s="5987"/>
      <c r="AV9" s="3951">
        <v>11</v>
      </c>
      <c r="AW9" s="3952">
        <v>11</v>
      </c>
      <c r="AX9" s="3606">
        <v>11</v>
      </c>
      <c r="AY9" s="4301">
        <v>13</v>
      </c>
      <c r="AZ9" s="3723">
        <v>13</v>
      </c>
      <c r="BA9" s="3724">
        <f t="shared" ref="BA9:BA54" si="5">SUM(AZ9/AQ9)</f>
        <v>1</v>
      </c>
    </row>
    <row r="10" spans="1:53" ht="38.25" customHeight="1">
      <c r="A10" s="1953" t="s">
        <v>1473</v>
      </c>
      <c r="B10" s="2080"/>
      <c r="C10" s="2081"/>
      <c r="D10" s="2082"/>
      <c r="E10" s="2083"/>
      <c r="F10" s="2084"/>
      <c r="G10" s="2085"/>
      <c r="H10" s="2084"/>
      <c r="I10" s="2085"/>
      <c r="J10" s="2086"/>
      <c r="K10" s="2085"/>
      <c r="L10" s="2085"/>
      <c r="M10" s="2084"/>
      <c r="N10" s="2085"/>
      <c r="O10" s="2084"/>
      <c r="P10" s="2085"/>
      <c r="Q10" s="2084"/>
      <c r="R10" s="2084"/>
      <c r="S10" s="2085"/>
      <c r="T10" s="2087"/>
      <c r="U10" s="1950"/>
      <c r="V10" s="2088"/>
      <c r="W10" s="2089"/>
      <c r="X10" s="2089"/>
      <c r="Y10" s="2089"/>
      <c r="Z10" s="2090"/>
      <c r="AA10" s="3746"/>
      <c r="AB10" s="3747"/>
      <c r="AC10" s="3743"/>
      <c r="AD10" s="2089">
        <f>AD8/AD9/6*1000</f>
        <v>40917.564102564109</v>
      </c>
      <c r="AE10" s="2688">
        <f>AE8/AE9/9*1000</f>
        <v>42813.076923076922</v>
      </c>
      <c r="AF10" s="2687"/>
      <c r="AG10" s="2090">
        <f>AD10*1.074</f>
        <v>43945.463846153856</v>
      </c>
      <c r="AH10" s="1030"/>
      <c r="AI10" s="5997" t="s">
        <v>1497</v>
      </c>
      <c r="AJ10" s="5998"/>
      <c r="AK10" s="5999"/>
      <c r="AL10" s="2985">
        <f>AL8/AL9/12*1000</f>
        <v>41878.39743589743</v>
      </c>
      <c r="AM10" s="2842">
        <f>AM8/AM9/6*1000</f>
        <v>41843.333333333336</v>
      </c>
      <c r="AN10" s="2958">
        <f>AN8/AN9/9*1000</f>
        <v>42386.239316239313</v>
      </c>
      <c r="AO10" s="2844">
        <f>AO8/AO9/12*1000</f>
        <v>42345.512820512813</v>
      </c>
      <c r="AP10" s="3722">
        <f>SUM(AG10*1.1)</f>
        <v>48340.010230769243</v>
      </c>
      <c r="AQ10" s="4041">
        <f>SUM(AQ8/AQ9/12*1000)</f>
        <v>48753.453853246159</v>
      </c>
      <c r="AR10" s="3724">
        <f t="shared" si="4"/>
        <v>1.109408106919165</v>
      </c>
      <c r="AS10" s="5985" t="s">
        <v>1497</v>
      </c>
      <c r="AT10" s="5986"/>
      <c r="AU10" s="5987"/>
      <c r="AV10" s="3951">
        <f>AV8/AV9/6*1000</f>
        <v>44583.484848484848</v>
      </c>
      <c r="AW10" s="3952">
        <f>AW8/AW9/9*1000</f>
        <v>47234.343434343427</v>
      </c>
      <c r="AX10" s="3606">
        <f>AX8/AX9/12*1000</f>
        <v>48559.772727272721</v>
      </c>
      <c r="AY10" s="4301">
        <f>SUM(AY8/AY9/12*1000)</f>
        <v>51065.342634967092</v>
      </c>
      <c r="AZ10" s="4041">
        <f>SUM(AZ8/AZ9/12*1000)</f>
        <v>50196.556087302248</v>
      </c>
      <c r="BA10" s="3724">
        <f t="shared" si="5"/>
        <v>1.0296000000000001</v>
      </c>
    </row>
    <row r="11" spans="1:53" ht="38.25" customHeight="1">
      <c r="A11" s="1039" t="s">
        <v>121</v>
      </c>
      <c r="B11" s="993">
        <v>1088.3</v>
      </c>
      <c r="C11" s="989">
        <v>1239</v>
      </c>
      <c r="D11" s="1040">
        <f>C11/B11*100</f>
        <v>113.84728475604153</v>
      </c>
      <c r="E11" s="1033">
        <v>1492.4</v>
      </c>
      <c r="F11" s="394">
        <f t="shared" si="0"/>
        <v>120.45197740112997</v>
      </c>
      <c r="G11" s="280">
        <v>2283.5</v>
      </c>
      <c r="H11" s="394">
        <f t="shared" ref="H11:H45" si="6">G11/E11*100</f>
        <v>153.00857678906459</v>
      </c>
      <c r="I11" s="280">
        <f>I8*30.2/100</f>
        <v>1958.4096</v>
      </c>
      <c r="J11" s="428">
        <v>1276.0999999999999</v>
      </c>
      <c r="K11" s="280">
        <v>1509.5</v>
      </c>
      <c r="L11" s="280">
        <v>2054.4</v>
      </c>
      <c r="M11" s="394">
        <f t="shared" ref="M11:M45" si="7">L11/G11*100</f>
        <v>89.967155682067002</v>
      </c>
      <c r="N11" s="280">
        <v>2535.3000000000002</v>
      </c>
      <c r="O11" s="394">
        <f t="shared" si="1"/>
        <v>123.40829439252336</v>
      </c>
      <c r="P11" s="280">
        <v>2171.6999999999998</v>
      </c>
      <c r="Q11" s="394">
        <f t="shared" si="2"/>
        <v>110.89100053431109</v>
      </c>
      <c r="R11" s="394">
        <f t="shared" si="3"/>
        <v>105.70969626168223</v>
      </c>
      <c r="S11" s="280">
        <v>1600.4</v>
      </c>
      <c r="T11" s="1023">
        <v>1941.4</v>
      </c>
      <c r="U11" s="1046">
        <v>2698</v>
      </c>
      <c r="V11" s="1027">
        <f t="shared" ref="V11:V45" si="8">U11/P11</f>
        <v>1.2423447069116362</v>
      </c>
      <c r="W11" s="1009">
        <f>W8*S12</f>
        <v>2228.6019886896256</v>
      </c>
      <c r="X11" s="1009">
        <v>962.5</v>
      </c>
      <c r="Y11" s="1009">
        <v>1485.4</v>
      </c>
      <c r="Z11" s="1136">
        <v>1966.3</v>
      </c>
      <c r="AA11" s="3746">
        <v>2408.1</v>
      </c>
      <c r="AB11" s="3747">
        <f>AB8*AB12</f>
        <v>2372.9150899699553</v>
      </c>
      <c r="AC11" s="3743">
        <f>AB11/W11</f>
        <v>1.0647549908026346</v>
      </c>
      <c r="AD11" s="1009">
        <v>957.03</v>
      </c>
      <c r="AE11" s="1047">
        <v>1502.4</v>
      </c>
      <c r="AF11" s="1136">
        <f>SUM(AF8*AF12)</f>
        <v>2621.2220433497996</v>
      </c>
      <c r="AG11" s="1136">
        <f>AG8*AG12</f>
        <v>2141.4778738909558</v>
      </c>
      <c r="AH11" s="1030">
        <f t="shared" ref="AH11:AH41" si="9">SUM(AG11/AB11)</f>
        <v>0.90246713122721567</v>
      </c>
      <c r="AI11" s="5982" t="s">
        <v>250</v>
      </c>
      <c r="AJ11" s="5983"/>
      <c r="AK11" s="5984"/>
      <c r="AL11" s="2985">
        <v>1957.14</v>
      </c>
      <c r="AM11" s="2842">
        <v>982.24</v>
      </c>
      <c r="AN11" s="2958">
        <v>1492.74</v>
      </c>
      <c r="AO11" s="2959">
        <v>1987.51</v>
      </c>
      <c r="AP11" s="3722">
        <f>SUM(AP8*AP12)</f>
        <v>2259.2960621616003</v>
      </c>
      <c r="AQ11" s="3723">
        <f>AG11*(1-0.01)*(1+0.071)*(1+0)</f>
        <v>2270.5875749078414</v>
      </c>
      <c r="AR11" s="3724">
        <f t="shared" si="4"/>
        <v>1.06029</v>
      </c>
      <c r="AS11" s="5956" t="s">
        <v>250</v>
      </c>
      <c r="AT11" s="5957"/>
      <c r="AU11" s="5958"/>
      <c r="AV11" s="3951">
        <v>843.82</v>
      </c>
      <c r="AW11" s="4264">
        <v>1378.44</v>
      </c>
      <c r="AX11" s="3669">
        <v>1889.64</v>
      </c>
      <c r="AY11" s="4301">
        <f>AQ11*(1-0.01)*(1+0.058)*(1+0)</f>
        <v>2378.258837709971</v>
      </c>
      <c r="AZ11" s="3723">
        <f>AQ11*(1-0.01)*(1+0.04)*(1+0)</f>
        <v>2337.7969671251135</v>
      </c>
      <c r="BA11" s="3724">
        <f t="shared" si="5"/>
        <v>1.0296000000000001</v>
      </c>
    </row>
    <row r="12" spans="1:53" s="189" customFormat="1" ht="20.25" customHeight="1">
      <c r="A12" s="1041" t="s">
        <v>321</v>
      </c>
      <c r="B12" s="1038"/>
      <c r="C12" s="1037"/>
      <c r="D12" s="1040"/>
      <c r="E12" s="1034">
        <f>E11/E8</f>
        <v>0.24515811088295689</v>
      </c>
      <c r="F12" s="400">
        <f t="shared" ref="F12:W12" si="10">F11/F8</f>
        <v>1.0697718535017811</v>
      </c>
      <c r="G12" s="400">
        <f t="shared" si="10"/>
        <v>0.33077424494821467</v>
      </c>
      <c r="H12" s="400">
        <f t="shared" si="10"/>
        <v>1.3492282337994217</v>
      </c>
      <c r="I12" s="400">
        <f t="shared" si="10"/>
        <v>0.30199999999999999</v>
      </c>
      <c r="J12" s="400">
        <f t="shared" si="10"/>
        <v>0.34137663518899974</v>
      </c>
      <c r="K12" s="400">
        <f t="shared" si="10"/>
        <v>0.29974781071903733</v>
      </c>
      <c r="L12" s="400">
        <f t="shared" si="10"/>
        <v>0.29088025825817326</v>
      </c>
      <c r="M12" s="400">
        <f t="shared" si="10"/>
        <v>0.87939210111026878</v>
      </c>
      <c r="N12" s="400">
        <f t="shared" si="10"/>
        <v>0.3019975938344987</v>
      </c>
      <c r="O12" s="400">
        <f t="shared" si="10"/>
        <v>1.0382196290765739</v>
      </c>
      <c r="P12" s="400">
        <f t="shared" si="10"/>
        <v>0.3019899044678987</v>
      </c>
      <c r="Q12" s="400">
        <f t="shared" si="10"/>
        <v>0.99996657108575715</v>
      </c>
      <c r="R12" s="400">
        <f t="shared" si="10"/>
        <v>1.0381931942588725</v>
      </c>
      <c r="S12" s="400">
        <f t="shared" si="10"/>
        <v>0.29346829500861854</v>
      </c>
      <c r="T12" s="1024">
        <f>T11/T8</f>
        <v>0.2819548326192724</v>
      </c>
      <c r="U12" s="1048">
        <f t="shared" si="10"/>
        <v>0.30200252974691333</v>
      </c>
      <c r="V12" s="1027">
        <f t="shared" si="8"/>
        <v>1.0000418069572123</v>
      </c>
      <c r="W12" s="1010">
        <f t="shared" si="10"/>
        <v>0.29346829500861854</v>
      </c>
      <c r="X12" s="1010">
        <f>X11/X8</f>
        <v>0.30065910723768469</v>
      </c>
      <c r="Y12" s="1010">
        <f>Y11/Y8</f>
        <v>0.30073087279574029</v>
      </c>
      <c r="Z12" s="1137">
        <f>Z11/Z8</f>
        <v>0.29854394728451483</v>
      </c>
      <c r="AA12" s="3748">
        <f>X12</f>
        <v>0.30065910723768469</v>
      </c>
      <c r="AB12" s="3749">
        <f>Y12</f>
        <v>0.30073087279574029</v>
      </c>
      <c r="AC12" s="3744">
        <f>Z12</f>
        <v>0.29854394728451483</v>
      </c>
      <c r="AD12" s="1010">
        <f t="shared" ref="AD12:AE12" si="11">AD11/AD8</f>
        <v>0.29986182349125978</v>
      </c>
      <c r="AE12" s="1049">
        <f t="shared" si="11"/>
        <v>0.29993232357714816</v>
      </c>
      <c r="AF12" s="1137">
        <v>0.30199999999999999</v>
      </c>
      <c r="AG12" s="1137">
        <f>Z12</f>
        <v>0.29854394728451483</v>
      </c>
      <c r="AH12" s="1030">
        <f t="shared" si="9"/>
        <v>0.99272796473838976</v>
      </c>
      <c r="AI12" s="5996"/>
      <c r="AJ12" s="5983"/>
      <c r="AK12" s="5984"/>
      <c r="AL12" s="2986">
        <f t="shared" ref="AL12" si="12">AL11/AL8</f>
        <v>0.29957615379081376</v>
      </c>
      <c r="AM12" s="2960">
        <f>AM11/AM8</f>
        <v>0.30095165728082163</v>
      </c>
      <c r="AN12" s="2961">
        <f>AN11/AN8</f>
        <v>0.30100480118729067</v>
      </c>
      <c r="AO12" s="2962">
        <f>AO11/AO8</f>
        <v>0.30086892020769312</v>
      </c>
      <c r="AP12" s="3725">
        <v>0.29959999999999998</v>
      </c>
      <c r="AQ12" s="3726">
        <f>AQ11/AQ8</f>
        <v>0.29854394728451483</v>
      </c>
      <c r="AR12" s="3727">
        <f t="shared" si="4"/>
        <v>1</v>
      </c>
      <c r="AS12" s="5988"/>
      <c r="AT12" s="5957"/>
      <c r="AU12" s="5958"/>
      <c r="AV12" s="3954">
        <f>AV11/AV8</f>
        <v>0.28676877903558529</v>
      </c>
      <c r="AW12" s="3955">
        <f t="shared" ref="AW12:AX12" si="13">AW11/AW8</f>
        <v>0.2947778110431547</v>
      </c>
      <c r="AX12" s="3956">
        <f t="shared" si="13"/>
        <v>0.29480069080748661</v>
      </c>
      <c r="AY12" s="4302">
        <v>0.29959999999999998</v>
      </c>
      <c r="AZ12" s="3726">
        <f>AZ11/AZ8</f>
        <v>0.29854394728451483</v>
      </c>
      <c r="BA12" s="3724">
        <f t="shared" si="5"/>
        <v>1</v>
      </c>
    </row>
    <row r="13" spans="1:53" ht="20.25" customHeight="1">
      <c r="A13" s="1039" t="s">
        <v>83</v>
      </c>
      <c r="B13" s="993">
        <v>324.39999999999998</v>
      </c>
      <c r="C13" s="989">
        <v>328</v>
      </c>
      <c r="D13" s="1040"/>
      <c r="E13" s="1033">
        <v>140.6</v>
      </c>
      <c r="F13" s="394">
        <f t="shared" si="0"/>
        <v>42.865853658536587</v>
      </c>
      <c r="G13" s="280">
        <v>140.6</v>
      </c>
      <c r="H13" s="394">
        <f t="shared" si="6"/>
        <v>100</v>
      </c>
      <c r="I13" s="280">
        <v>159.69999999999999</v>
      </c>
      <c r="J13" s="280">
        <v>0</v>
      </c>
      <c r="K13" s="280">
        <v>147.30000000000001</v>
      </c>
      <c r="L13" s="280">
        <v>147.30000000000001</v>
      </c>
      <c r="M13" s="394">
        <f t="shared" si="7"/>
        <v>104.76529160739689</v>
      </c>
      <c r="N13" s="280">
        <v>166.9</v>
      </c>
      <c r="O13" s="394">
        <f t="shared" si="1"/>
        <v>113.306177868296</v>
      </c>
      <c r="P13" s="280">
        <v>166.9</v>
      </c>
      <c r="Q13" s="394">
        <f t="shared" si="2"/>
        <v>104.50845335003132</v>
      </c>
      <c r="R13" s="394">
        <f t="shared" si="3"/>
        <v>113.306177868296</v>
      </c>
      <c r="S13" s="280">
        <v>0</v>
      </c>
      <c r="T13" s="1023">
        <v>0</v>
      </c>
      <c r="U13" s="1046">
        <v>183</v>
      </c>
      <c r="V13" s="1027">
        <f t="shared" si="8"/>
        <v>1.0964649490713001</v>
      </c>
      <c r="W13" s="1009">
        <v>0</v>
      </c>
      <c r="X13" s="1009">
        <v>80</v>
      </c>
      <c r="Y13" s="1009">
        <v>240</v>
      </c>
      <c r="Z13" s="1136">
        <v>389.6</v>
      </c>
      <c r="AA13" s="3746">
        <v>0</v>
      </c>
      <c r="AB13" s="3747">
        <v>0</v>
      </c>
      <c r="AC13" s="3743"/>
      <c r="AD13" s="1009">
        <v>528</v>
      </c>
      <c r="AE13" s="1047">
        <v>792</v>
      </c>
      <c r="AF13" s="1136">
        <v>1056</v>
      </c>
      <c r="AG13" s="1136">
        <v>1056</v>
      </c>
      <c r="AH13" s="1030"/>
      <c r="AI13" s="5982" t="s">
        <v>250</v>
      </c>
      <c r="AJ13" s="5983"/>
      <c r="AK13" s="5984"/>
      <c r="AL13" s="2985">
        <v>1056</v>
      </c>
      <c r="AM13" s="2842">
        <v>528</v>
      </c>
      <c r="AN13" s="2958">
        <v>792</v>
      </c>
      <c r="AO13" s="2844">
        <f>SUM(AN13/9*12)</f>
        <v>1056</v>
      </c>
      <c r="AP13" s="3722">
        <f>SUM(AG13*1.1)</f>
        <v>1161.6000000000001</v>
      </c>
      <c r="AQ13" s="3723">
        <f>AG13*(1-0.01)*(1+0.071)*(1+0)</f>
        <v>1119.66624</v>
      </c>
      <c r="AR13" s="3724">
        <f t="shared" si="4"/>
        <v>1.06029</v>
      </c>
      <c r="AS13" s="5956" t="s">
        <v>250</v>
      </c>
      <c r="AT13" s="5957"/>
      <c r="AU13" s="5958"/>
      <c r="AV13" s="3951">
        <v>528</v>
      </c>
      <c r="AW13" s="4264">
        <v>786.52</v>
      </c>
      <c r="AX13" s="4278">
        <f>SUM(AW13/9*12)</f>
        <v>1048.6933333333334</v>
      </c>
      <c r="AY13" s="4301">
        <f>AQ13*(1-0.01)*(1+0.058)*(1+0)</f>
        <v>1172.7608131008001</v>
      </c>
      <c r="AZ13" s="3723">
        <f>AQ13*(1-0.01)*(1+0.04)*(1+0)</f>
        <v>1152.8083607040001</v>
      </c>
      <c r="BA13" s="3724">
        <f t="shared" si="5"/>
        <v>1.0296000000000001</v>
      </c>
    </row>
    <row r="14" spans="1:53" ht="20.25" customHeight="1">
      <c r="A14" s="1039" t="s">
        <v>52</v>
      </c>
      <c r="B14" s="993">
        <v>107.6</v>
      </c>
      <c r="C14" s="989">
        <v>91.5</v>
      </c>
      <c r="D14" s="1040">
        <f>C14/B14*100</f>
        <v>85.037174721189587</v>
      </c>
      <c r="E14" s="1033">
        <v>103.9</v>
      </c>
      <c r="F14" s="394">
        <f t="shared" si="0"/>
        <v>113.55191256830601</v>
      </c>
      <c r="G14" s="280">
        <v>103.5</v>
      </c>
      <c r="H14" s="394">
        <f t="shared" si="6"/>
        <v>99.615014436958603</v>
      </c>
      <c r="I14" s="280">
        <v>112.9</v>
      </c>
      <c r="J14" s="280">
        <v>50</v>
      </c>
      <c r="K14" s="280">
        <v>74.5</v>
      </c>
      <c r="L14" s="280">
        <v>97.9</v>
      </c>
      <c r="M14" s="394">
        <f t="shared" si="7"/>
        <v>94.589371980676333</v>
      </c>
      <c r="N14" s="280">
        <v>119.7</v>
      </c>
      <c r="O14" s="394">
        <f t="shared" si="1"/>
        <v>122.26762002042901</v>
      </c>
      <c r="P14" s="280">
        <v>118.4</v>
      </c>
      <c r="Q14" s="394">
        <f t="shared" si="2"/>
        <v>104.87156775907881</v>
      </c>
      <c r="R14" s="394">
        <f t="shared" si="3"/>
        <v>120.93973442288049</v>
      </c>
      <c r="S14" s="280">
        <v>86.7</v>
      </c>
      <c r="T14" s="1023">
        <v>113.5</v>
      </c>
      <c r="U14" s="1046">
        <v>124.3</v>
      </c>
      <c r="V14" s="1027">
        <f t="shared" si="8"/>
        <v>1.0498310810810809</v>
      </c>
      <c r="W14" s="1009">
        <f>P14*1.048</f>
        <v>124.08320000000001</v>
      </c>
      <c r="X14" s="1009">
        <v>58.3</v>
      </c>
      <c r="Y14" s="1009">
        <v>86.2</v>
      </c>
      <c r="Z14" s="1136">
        <v>114.6</v>
      </c>
      <c r="AA14" s="3746">
        <v>131</v>
      </c>
      <c r="AB14" s="3747">
        <f>AA14</f>
        <v>131</v>
      </c>
      <c r="AC14" s="3743">
        <f>AB14/W14</f>
        <v>1.0557432432432432</v>
      </c>
      <c r="AD14" s="1009">
        <v>75.569999999999993</v>
      </c>
      <c r="AE14" s="1047">
        <v>113.59</v>
      </c>
      <c r="AF14" s="1136">
        <f>SUM(AB14*1.1)</f>
        <v>144.10000000000002</v>
      </c>
      <c r="AG14" s="1136">
        <f>AF14</f>
        <v>144.10000000000002</v>
      </c>
      <c r="AH14" s="1030">
        <f t="shared" si="9"/>
        <v>1.1000000000000001</v>
      </c>
      <c r="AI14" s="5982" t="s">
        <v>250</v>
      </c>
      <c r="AJ14" s="5983"/>
      <c r="AK14" s="5984"/>
      <c r="AL14" s="2985">
        <v>153.05000000000001</v>
      </c>
      <c r="AM14" s="2842">
        <v>79.72</v>
      </c>
      <c r="AN14" s="2958">
        <v>113.13</v>
      </c>
      <c r="AO14" s="2844">
        <v>158.79</v>
      </c>
      <c r="AP14" s="3722">
        <f>SUM(AL14*1.074*1.1)</f>
        <v>180.81327000000005</v>
      </c>
      <c r="AQ14" s="3723">
        <f t="shared" ref="AQ14:AQ44" si="14">AG14*(1-0.01)*(1+0.071)*(1+0)</f>
        <v>152.787789</v>
      </c>
      <c r="AR14" s="3724">
        <f t="shared" si="4"/>
        <v>1.06029</v>
      </c>
      <c r="AS14" s="5956" t="s">
        <v>250</v>
      </c>
      <c r="AT14" s="5957"/>
      <c r="AU14" s="5958"/>
      <c r="AV14" s="3951">
        <v>62.46</v>
      </c>
      <c r="AW14" s="4264">
        <v>92.95</v>
      </c>
      <c r="AX14" s="4278">
        <f t="shared" ref="AX14:AX44" si="15">SUM(AW14/9*12)</f>
        <v>123.93333333333334</v>
      </c>
      <c r="AY14" s="4301">
        <f t="shared" ref="AY14:AY16" si="16">AQ14*(1-0.01)*(1+0.058)*(1+0)</f>
        <v>160.03298595438</v>
      </c>
      <c r="AZ14" s="3723">
        <f>AQ14*(1-0.01)*(1+0.04)*(1+0)</f>
        <v>157.3103075544</v>
      </c>
      <c r="BA14" s="3724">
        <f t="shared" si="5"/>
        <v>1.0296000000000001</v>
      </c>
    </row>
    <row r="15" spans="1:53" ht="20.25" customHeight="1">
      <c r="A15" s="1039" t="s">
        <v>31</v>
      </c>
      <c r="B15" s="993">
        <v>2520.4</v>
      </c>
      <c r="C15" s="989">
        <v>1777.2</v>
      </c>
      <c r="D15" s="1040">
        <f>C15/B15*100</f>
        <v>70.512617044913512</v>
      </c>
      <c r="E15" s="1033">
        <v>1991.1</v>
      </c>
      <c r="F15" s="394">
        <f t="shared" si="0"/>
        <v>112.03578663065497</v>
      </c>
      <c r="G15" s="280">
        <v>2194.3000000000002</v>
      </c>
      <c r="H15" s="394">
        <f t="shared" si="6"/>
        <v>110.20541409271259</v>
      </c>
      <c r="I15" s="280">
        <v>1991.3</v>
      </c>
      <c r="J15" s="280">
        <v>1139.5</v>
      </c>
      <c r="K15" s="280">
        <v>1737</v>
      </c>
      <c r="L15" s="280">
        <v>2367.8000000000002</v>
      </c>
      <c r="M15" s="394">
        <f t="shared" si="7"/>
        <v>107.90684956478147</v>
      </c>
      <c r="N15" s="280">
        <v>2413.4</v>
      </c>
      <c r="O15" s="394">
        <f t="shared" si="1"/>
        <v>101.92583833094011</v>
      </c>
      <c r="P15" s="280">
        <v>2188.6</v>
      </c>
      <c r="Q15" s="394">
        <f t="shared" si="2"/>
        <v>109.90810023602671</v>
      </c>
      <c r="R15" s="394">
        <f t="shared" si="3"/>
        <v>92.431793225779188</v>
      </c>
      <c r="S15" s="280">
        <v>2103.8000000000002</v>
      </c>
      <c r="T15" s="1023">
        <v>2562.8000000000002</v>
      </c>
      <c r="U15" s="1046">
        <v>2520</v>
      </c>
      <c r="V15" s="1027">
        <f t="shared" si="8"/>
        <v>1.1514209997258522</v>
      </c>
      <c r="W15" s="1009">
        <f>P15*1.03</f>
        <v>2254.2579999999998</v>
      </c>
      <c r="X15" s="1009">
        <v>606.20000000000005</v>
      </c>
      <c r="Y15" s="1009">
        <v>1009.7</v>
      </c>
      <c r="Z15" s="1136">
        <v>1396.8</v>
      </c>
      <c r="AA15" s="3746">
        <v>2637.1</v>
      </c>
      <c r="AB15" s="3747">
        <f>AA15</f>
        <v>2637.1</v>
      </c>
      <c r="AC15" s="3743">
        <f>AB15/W15</f>
        <v>1.1698306050150427</v>
      </c>
      <c r="AD15" s="1009">
        <v>730.2</v>
      </c>
      <c r="AE15" s="1047">
        <v>1127.3599999999999</v>
      </c>
      <c r="AF15" s="1136">
        <f>SUM(AB15*1.15)</f>
        <v>3032.6649999999995</v>
      </c>
      <c r="AG15" s="1136">
        <f>AE15/3*4*1.033</f>
        <v>1552.7505066666663</v>
      </c>
      <c r="AH15" s="1030">
        <f t="shared" si="9"/>
        <v>0.58880986942727476</v>
      </c>
      <c r="AI15" s="5982" t="s">
        <v>1503</v>
      </c>
      <c r="AJ15" s="5983"/>
      <c r="AK15" s="5984"/>
      <c r="AL15" s="2985">
        <v>1559.75</v>
      </c>
      <c r="AM15" s="2842">
        <v>787.4</v>
      </c>
      <c r="AN15" s="2958">
        <v>1150.46</v>
      </c>
      <c r="AO15" s="2844">
        <v>1643.01</v>
      </c>
      <c r="AP15" s="3722">
        <f>SUM(AL15*1.074*1.1)</f>
        <v>1842.6886500000003</v>
      </c>
      <c r="AQ15" s="3723">
        <f t="shared" si="14"/>
        <v>1646.3658347135995</v>
      </c>
      <c r="AR15" s="3724">
        <f t="shared" si="4"/>
        <v>1.06029</v>
      </c>
      <c r="AS15" s="5956" t="s">
        <v>1503</v>
      </c>
      <c r="AT15" s="5957"/>
      <c r="AU15" s="5958"/>
      <c r="AV15" s="3951">
        <v>888.17</v>
      </c>
      <c r="AW15" s="4264">
        <v>1295.79</v>
      </c>
      <c r="AX15" s="4278">
        <f t="shared" si="15"/>
        <v>1727.7199999999998</v>
      </c>
      <c r="AY15" s="4301">
        <f t="shared" si="16"/>
        <v>1724.4365025957184</v>
      </c>
      <c r="AZ15" s="3723">
        <f>AQ15*(1-0.01)*(1+0.04)*(1+0)</f>
        <v>1695.0982634211221</v>
      </c>
      <c r="BA15" s="3724">
        <f t="shared" si="5"/>
        <v>1.0296000000000001</v>
      </c>
    </row>
    <row r="16" spans="1:53" ht="38.25" customHeight="1">
      <c r="A16" s="1039" t="s">
        <v>71</v>
      </c>
      <c r="B16" s="993">
        <v>113.7</v>
      </c>
      <c r="C16" s="989">
        <v>71.400000000000006</v>
      </c>
      <c r="D16" s="1040">
        <f>C16/B16*100</f>
        <v>62.79683377308708</v>
      </c>
      <c r="E16" s="1033">
        <v>95.5</v>
      </c>
      <c r="F16" s="394">
        <f t="shared" si="0"/>
        <v>133.75350140056022</v>
      </c>
      <c r="G16" s="280">
        <v>111.7</v>
      </c>
      <c r="H16" s="394">
        <f t="shared" si="6"/>
        <v>116.96335078534032</v>
      </c>
      <c r="I16" s="280">
        <v>93.4</v>
      </c>
      <c r="J16" s="280">
        <v>61.3</v>
      </c>
      <c r="K16" s="280">
        <v>93.4</v>
      </c>
      <c r="L16" s="280">
        <v>132.30000000000001</v>
      </c>
      <c r="M16" s="394">
        <f t="shared" si="7"/>
        <v>118.44225604297225</v>
      </c>
      <c r="N16" s="280">
        <v>122.9</v>
      </c>
      <c r="O16" s="394">
        <f t="shared" si="1"/>
        <v>92.894935752078595</v>
      </c>
      <c r="P16" s="280">
        <v>130.69999999999999</v>
      </c>
      <c r="Q16" s="394">
        <f t="shared" si="2"/>
        <v>139.93576017130619</v>
      </c>
      <c r="R16" s="394">
        <f t="shared" si="3"/>
        <v>98.790627362055915</v>
      </c>
      <c r="S16" s="280">
        <v>58.4</v>
      </c>
      <c r="T16" s="1023">
        <v>130.69999999999999</v>
      </c>
      <c r="U16" s="1046">
        <v>148.19999999999999</v>
      </c>
      <c r="V16" s="1027">
        <f t="shared" si="8"/>
        <v>1.13389441469013</v>
      </c>
      <c r="W16" s="1009">
        <f>S16/3*4*1.048</f>
        <v>81.604266666666661</v>
      </c>
      <c r="X16" s="1009">
        <v>70</v>
      </c>
      <c r="Y16" s="1009">
        <v>94.99</v>
      </c>
      <c r="Z16" s="1136">
        <v>124.7</v>
      </c>
      <c r="AA16" s="3746">
        <v>191.1</v>
      </c>
      <c r="AB16" s="3747">
        <f>Y16/3*4*1.049</f>
        <v>132.85934666666665</v>
      </c>
      <c r="AC16" s="3743">
        <f>AB16/W16</f>
        <v>1.6280931389208406</v>
      </c>
      <c r="AD16" s="1009">
        <v>78.25</v>
      </c>
      <c r="AE16" s="1047">
        <v>112.2</v>
      </c>
      <c r="AF16" s="1136">
        <f>SUM(Z16*1.1)</f>
        <v>137.17000000000002</v>
      </c>
      <c r="AG16" s="1136">
        <f>AF16</f>
        <v>137.17000000000002</v>
      </c>
      <c r="AH16" s="1030">
        <f t="shared" si="9"/>
        <v>1.032445239582191</v>
      </c>
      <c r="AI16" s="5982" t="s">
        <v>250</v>
      </c>
      <c r="AJ16" s="5983"/>
      <c r="AK16" s="5984"/>
      <c r="AL16" s="2985">
        <f>131.29+13.23</f>
        <v>144.51999999999998</v>
      </c>
      <c r="AM16" s="2842">
        <f>15.28+75.19</f>
        <v>90.47</v>
      </c>
      <c r="AN16" s="2958">
        <v>132.35</v>
      </c>
      <c r="AO16" s="2844">
        <v>173.18</v>
      </c>
      <c r="AP16" s="3722">
        <f>SUM(AL16*1.074*1.1)</f>
        <v>170.735928</v>
      </c>
      <c r="AQ16" s="3723">
        <f t="shared" si="14"/>
        <v>145.4399793</v>
      </c>
      <c r="AR16" s="3724">
        <f t="shared" si="4"/>
        <v>1.06029</v>
      </c>
      <c r="AS16" s="5956" t="s">
        <v>250</v>
      </c>
      <c r="AT16" s="5957"/>
      <c r="AU16" s="5958"/>
      <c r="AV16" s="3951">
        <f>61.89+11.62</f>
        <v>73.510000000000005</v>
      </c>
      <c r="AW16" s="4264">
        <v>109.06</v>
      </c>
      <c r="AX16" s="4278">
        <f t="shared" si="15"/>
        <v>145.41333333333336</v>
      </c>
      <c r="AY16" s="4301">
        <f t="shared" si="16"/>
        <v>152.33674311840602</v>
      </c>
      <c r="AZ16" s="3723">
        <f>AQ16*(1-0.01)*(1+0.04)*(1+0)</f>
        <v>149.74500268728002</v>
      </c>
      <c r="BA16" s="3724">
        <f t="shared" si="5"/>
        <v>1.0296000000000001</v>
      </c>
    </row>
    <row r="17" spans="1:53" ht="20.25" customHeight="1">
      <c r="A17" s="1039" t="s">
        <v>850</v>
      </c>
      <c r="B17" s="993">
        <f>SUM(B18:B22)</f>
        <v>636.9</v>
      </c>
      <c r="C17" s="989">
        <f>SUM(C18:C22)</f>
        <v>812.49999999999989</v>
      </c>
      <c r="D17" s="1040">
        <f>C17/B17*100</f>
        <v>127.57104726016641</v>
      </c>
      <c r="E17" s="1033">
        <f>SUM(E18:E22)</f>
        <v>929.9</v>
      </c>
      <c r="F17" s="280">
        <f>SUM(F18:F22)</f>
        <v>498.86527273998672</v>
      </c>
      <c r="G17" s="280">
        <f>SUM(G18:G22)</f>
        <v>882.49999999999989</v>
      </c>
      <c r="H17" s="394">
        <f t="shared" si="6"/>
        <v>94.902677707280347</v>
      </c>
      <c r="I17" s="280">
        <f>SUM(I18:I22)</f>
        <v>978.70000000000016</v>
      </c>
      <c r="J17" s="280">
        <f>SUM(J18:J22)</f>
        <v>526.9</v>
      </c>
      <c r="K17" s="280">
        <f>SUM(K18:K22)</f>
        <v>542.70000000000005</v>
      </c>
      <c r="L17" s="280">
        <f>SUM(L18:L22)</f>
        <v>790.2</v>
      </c>
      <c r="M17" s="394">
        <f t="shared" si="7"/>
        <v>89.541076487252141</v>
      </c>
      <c r="N17" s="280">
        <f>SUM(N18:N22)</f>
        <v>1105.9999999999998</v>
      </c>
      <c r="O17" s="394">
        <f t="shared" si="1"/>
        <v>139.96456593267524</v>
      </c>
      <c r="P17" s="280">
        <f>SUM(P18:P22)</f>
        <v>868.5</v>
      </c>
      <c r="Q17" s="394">
        <f t="shared" si="2"/>
        <v>88.740165525697336</v>
      </c>
      <c r="R17" s="394">
        <f t="shared" si="3"/>
        <v>109.90888382687926</v>
      </c>
      <c r="S17" s="280">
        <f>SUM(S18:S22)</f>
        <v>477.5</v>
      </c>
      <c r="T17" s="1023">
        <f>SUM(T18:T22)</f>
        <v>5233.3999999999996</v>
      </c>
      <c r="U17" s="1050">
        <f>SUM(U18:U22)</f>
        <v>990.9</v>
      </c>
      <c r="V17" s="1027">
        <f t="shared" si="8"/>
        <v>1.1409326424870465</v>
      </c>
      <c r="W17" s="1009">
        <f t="shared" ref="W17:AB17" si="17">SUM(W18:W22)</f>
        <v>729.71640000000002</v>
      </c>
      <c r="X17" s="1009">
        <f t="shared" si="17"/>
        <v>2335.7000000000003</v>
      </c>
      <c r="Y17" s="1009">
        <f t="shared" si="17"/>
        <v>2529</v>
      </c>
      <c r="Z17" s="1136">
        <f t="shared" si="17"/>
        <v>4147.5</v>
      </c>
      <c r="AA17" s="3746">
        <f t="shared" si="17"/>
        <v>5434.9</v>
      </c>
      <c r="AB17" s="3747">
        <f t="shared" si="17"/>
        <v>4876.6199500000002</v>
      </c>
      <c r="AC17" s="3743">
        <f>AB17/(W17+W25)</f>
        <v>0.96894515275477255</v>
      </c>
      <c r="AD17" s="1009">
        <f t="shared" ref="AD17:AG17" si="18">SUM(AD18:AD22)</f>
        <v>2106.85</v>
      </c>
      <c r="AE17" s="1047">
        <f t="shared" si="18"/>
        <v>2260.81</v>
      </c>
      <c r="AF17" s="1136">
        <f t="shared" si="18"/>
        <v>4616.423065</v>
      </c>
      <c r="AG17" s="1136">
        <f t="shared" si="18"/>
        <v>4448.0314096000002</v>
      </c>
      <c r="AH17" s="1030">
        <f t="shared" si="9"/>
        <v>0.91211360639247685</v>
      </c>
      <c r="AI17" s="5982"/>
      <c r="AJ17" s="5983"/>
      <c r="AK17" s="5984"/>
      <c r="AL17" s="2985">
        <f t="shared" ref="AL17:AQ17" si="19">SUM(AL18:AL22)</f>
        <v>3628.62</v>
      </c>
      <c r="AM17" s="2842">
        <f t="shared" si="19"/>
        <v>1993.6299999999999</v>
      </c>
      <c r="AN17" s="2958">
        <f t="shared" si="19"/>
        <v>2174.44</v>
      </c>
      <c r="AO17" s="2844">
        <f t="shared" si="19"/>
        <v>4402.38</v>
      </c>
      <c r="AP17" s="3722">
        <f t="shared" si="19"/>
        <v>4892.8345505600009</v>
      </c>
      <c r="AQ17" s="3723">
        <f t="shared" si="19"/>
        <v>4632.9959912847844</v>
      </c>
      <c r="AR17" s="3724">
        <f t="shared" si="4"/>
        <v>1.0415834702258584</v>
      </c>
      <c r="AS17" s="5956"/>
      <c r="AT17" s="5957"/>
      <c r="AU17" s="5958"/>
      <c r="AV17" s="3951">
        <f t="shared" ref="AV17:AX17" si="20">SUM(AV18:AV22)</f>
        <v>3804.8199999999997</v>
      </c>
      <c r="AW17" s="3952">
        <f t="shared" si="20"/>
        <v>4055.8</v>
      </c>
      <c r="AX17" s="3606">
        <f t="shared" si="20"/>
        <v>5407.7333333333327</v>
      </c>
      <c r="AY17" s="4301">
        <f t="shared" ref="AY17:AZ17" si="21">SUM(AY18:AY22)</f>
        <v>4948.9925225915085</v>
      </c>
      <c r="AZ17" s="3723">
        <f t="shared" si="21"/>
        <v>4829.2773350668131</v>
      </c>
      <c r="BA17" s="3724">
        <f t="shared" si="5"/>
        <v>1.0423659645186953</v>
      </c>
    </row>
    <row r="18" spans="1:53" ht="38.25" customHeight="1">
      <c r="A18" s="1041" t="s">
        <v>562</v>
      </c>
      <c r="B18" s="1038">
        <v>240.3</v>
      </c>
      <c r="C18" s="1037">
        <v>359.1</v>
      </c>
      <c r="D18" s="1040">
        <f t="shared" ref="D18:D26" si="22">C18/B18*100</f>
        <v>149.43820224719101</v>
      </c>
      <c r="E18" s="1035">
        <v>465.8</v>
      </c>
      <c r="F18" s="394">
        <f t="shared" ref="F18:F25" si="23">E18/C18*100</f>
        <v>129.71317181843497</v>
      </c>
      <c r="G18" s="394">
        <v>457.7</v>
      </c>
      <c r="H18" s="394">
        <f t="shared" si="6"/>
        <v>98.261056247316432</v>
      </c>
      <c r="I18" s="394">
        <v>479.1</v>
      </c>
      <c r="J18" s="394">
        <v>293.2</v>
      </c>
      <c r="K18" s="394">
        <v>287.8</v>
      </c>
      <c r="L18" s="394">
        <v>441.5</v>
      </c>
      <c r="M18" s="394">
        <f t="shared" si="7"/>
        <v>96.460563688005237</v>
      </c>
      <c r="N18" s="394">
        <v>551</v>
      </c>
      <c r="O18" s="394">
        <f t="shared" ref="O18:O26" si="24">N18/L18*100</f>
        <v>124.80181200453002</v>
      </c>
      <c r="P18" s="394">
        <v>512.6</v>
      </c>
      <c r="Q18" s="394">
        <f t="shared" ref="Q18:Q26" si="25">P18/I18*100</f>
        <v>106.99227718639115</v>
      </c>
      <c r="R18" s="394">
        <f t="shared" ref="R18:R26" si="26">P18/L18*100</f>
        <v>116.10419026047565</v>
      </c>
      <c r="S18" s="280">
        <v>228</v>
      </c>
      <c r="T18" s="1023">
        <v>4866.7</v>
      </c>
      <c r="U18" s="1046">
        <v>550</v>
      </c>
      <c r="V18" s="1027">
        <f t="shared" si="8"/>
        <v>1.0729613733905579</v>
      </c>
      <c r="W18" s="1009">
        <f>S18/5*8*1.015</f>
        <v>370.27199999999999</v>
      </c>
      <c r="X18" s="1009">
        <v>2130</v>
      </c>
      <c r="Y18" s="1009">
        <v>2267.8000000000002</v>
      </c>
      <c r="Z18" s="1136">
        <v>3728</v>
      </c>
      <c r="AA18" s="3746">
        <v>5023</v>
      </c>
      <c r="AB18" s="3747">
        <f>1630/3*8*1.035</f>
        <v>4498.8</v>
      </c>
      <c r="AC18" s="3743">
        <f>AB18/(W18+W25)</f>
        <v>0.96262478944989949</v>
      </c>
      <c r="AD18" s="1009">
        <v>2001.55</v>
      </c>
      <c r="AE18" s="1047">
        <v>2110.23</v>
      </c>
      <c r="AF18" s="1136">
        <f>SUM(Z18*1.1)</f>
        <v>4100.8</v>
      </c>
      <c r="AG18" s="1136">
        <f>AF18</f>
        <v>4100.8</v>
      </c>
      <c r="AH18" s="1030">
        <f t="shared" si="9"/>
        <v>0.91153196407931003</v>
      </c>
      <c r="AI18" s="5982" t="s">
        <v>250</v>
      </c>
      <c r="AJ18" s="5983"/>
      <c r="AK18" s="5984"/>
      <c r="AL18" s="2985">
        <v>3433.81</v>
      </c>
      <c r="AM18" s="2842">
        <v>1893.99</v>
      </c>
      <c r="AN18" s="2958">
        <v>2000.12</v>
      </c>
      <c r="AO18" s="2844">
        <v>4114.47</v>
      </c>
      <c r="AP18" s="3722">
        <f>SUM(AG18*1.1)</f>
        <v>4510.880000000001</v>
      </c>
      <c r="AQ18" s="3728">
        <v>4264.83</v>
      </c>
      <c r="AR18" s="3724">
        <f t="shared" si="4"/>
        <v>1.0399995122902848</v>
      </c>
      <c r="AS18" s="5956" t="s">
        <v>250</v>
      </c>
      <c r="AT18" s="5957"/>
      <c r="AU18" s="5958"/>
      <c r="AV18" s="3951">
        <v>3392.75</v>
      </c>
      <c r="AW18" s="4264">
        <v>3456.99</v>
      </c>
      <c r="AX18" s="4278">
        <f t="shared" si="15"/>
        <v>4609.32</v>
      </c>
      <c r="AY18" s="4301">
        <f>SUM(AQ18*1.07)</f>
        <v>4563.3681000000006</v>
      </c>
      <c r="AZ18" s="3728">
        <f>SUM(AQ18*1.043468)</f>
        <v>4450.2136304400001</v>
      </c>
      <c r="BA18" s="3724">
        <f t="shared" si="5"/>
        <v>1.0434680000000001</v>
      </c>
    </row>
    <row r="19" spans="1:53" ht="38.25" customHeight="1">
      <c r="A19" s="1041" t="s">
        <v>563</v>
      </c>
      <c r="B19" s="1038">
        <v>27.6</v>
      </c>
      <c r="C19" s="1037">
        <v>31.9</v>
      </c>
      <c r="D19" s="1040">
        <f t="shared" si="22"/>
        <v>115.57971014492752</v>
      </c>
      <c r="E19" s="1035">
        <v>32</v>
      </c>
      <c r="F19" s="394">
        <f t="shared" si="23"/>
        <v>100.31347962382446</v>
      </c>
      <c r="G19" s="394">
        <v>38.4</v>
      </c>
      <c r="H19" s="394">
        <f t="shared" si="6"/>
        <v>120</v>
      </c>
      <c r="I19" s="394">
        <v>34.700000000000003</v>
      </c>
      <c r="J19" s="394">
        <v>19.2</v>
      </c>
      <c r="K19" s="394">
        <v>30.8</v>
      </c>
      <c r="L19" s="394">
        <v>41.5</v>
      </c>
      <c r="M19" s="394">
        <f t="shared" si="7"/>
        <v>108.07291666666667</v>
      </c>
      <c r="N19" s="394">
        <v>42.4</v>
      </c>
      <c r="O19" s="394">
        <f t="shared" si="24"/>
        <v>102.16867469879519</v>
      </c>
      <c r="P19" s="394">
        <v>42.4</v>
      </c>
      <c r="Q19" s="394">
        <f t="shared" si="25"/>
        <v>122.19020172910662</v>
      </c>
      <c r="R19" s="394">
        <f t="shared" si="26"/>
        <v>102.16867469879519</v>
      </c>
      <c r="S19" s="280">
        <v>1.5</v>
      </c>
      <c r="T19" s="1023">
        <v>1.5</v>
      </c>
      <c r="U19" s="1046">
        <v>44.5</v>
      </c>
      <c r="V19" s="1027">
        <f t="shared" si="8"/>
        <v>1.0495283018867925</v>
      </c>
      <c r="W19" s="1009">
        <f>P19*1.048</f>
        <v>44.435200000000002</v>
      </c>
      <c r="X19" s="1009">
        <v>0</v>
      </c>
      <c r="Y19" s="1009">
        <v>0</v>
      </c>
      <c r="Z19" s="1136">
        <v>0</v>
      </c>
      <c r="AA19" s="3746">
        <v>47</v>
      </c>
      <c r="AB19" s="3747">
        <f>(E19+G19+L19+S19)/4*1.049</f>
        <v>29.739149999999999</v>
      </c>
      <c r="AC19" s="3743">
        <f>AB19/W19</f>
        <v>0.66927008317730086</v>
      </c>
      <c r="AD19" s="1009">
        <v>0</v>
      </c>
      <c r="AE19" s="1047">
        <v>0</v>
      </c>
      <c r="AF19" s="1136">
        <f>SUM(AB19*1.1)</f>
        <v>32.713065</v>
      </c>
      <c r="AG19" s="1136">
        <v>0</v>
      </c>
      <c r="AH19" s="1030">
        <f t="shared" si="9"/>
        <v>0</v>
      </c>
      <c r="AI19" s="5982" t="s">
        <v>1496</v>
      </c>
      <c r="AJ19" s="5983"/>
      <c r="AK19" s="5984"/>
      <c r="AL19" s="2985">
        <v>0</v>
      </c>
      <c r="AM19" s="2842">
        <v>0</v>
      </c>
      <c r="AN19" s="2958">
        <v>0</v>
      </c>
      <c r="AO19" s="2844">
        <v>0</v>
      </c>
      <c r="AP19" s="3722">
        <f>SUM(AL19*1.1)</f>
        <v>0</v>
      </c>
      <c r="AQ19" s="3723">
        <f t="shared" si="14"/>
        <v>0</v>
      </c>
      <c r="AR19" s="3724"/>
      <c r="AS19" s="5956" t="s">
        <v>1496</v>
      </c>
      <c r="AT19" s="5957"/>
      <c r="AU19" s="5958"/>
      <c r="AV19" s="3951">
        <v>0</v>
      </c>
      <c r="AW19" s="4264">
        <v>0</v>
      </c>
      <c r="AX19" s="4278">
        <f t="shared" si="15"/>
        <v>0</v>
      </c>
      <c r="AY19" s="4301">
        <v>0</v>
      </c>
      <c r="AZ19" s="3723">
        <v>0</v>
      </c>
      <c r="BA19" s="3724">
        <v>0</v>
      </c>
    </row>
    <row r="20" spans="1:53" ht="38.25" customHeight="1">
      <c r="A20" s="1041" t="s">
        <v>564</v>
      </c>
      <c r="B20" s="1038">
        <v>315.7</v>
      </c>
      <c r="C20" s="1037">
        <v>352.3</v>
      </c>
      <c r="D20" s="1040">
        <f t="shared" si="22"/>
        <v>111.59328476401649</v>
      </c>
      <c r="E20" s="1035">
        <v>378.8</v>
      </c>
      <c r="F20" s="394">
        <f t="shared" si="23"/>
        <v>107.52199829690605</v>
      </c>
      <c r="G20" s="394">
        <v>338.8</v>
      </c>
      <c r="H20" s="394">
        <f t="shared" si="6"/>
        <v>89.440337909186908</v>
      </c>
      <c r="I20" s="394">
        <v>422.8</v>
      </c>
      <c r="J20" s="394">
        <v>198.2</v>
      </c>
      <c r="K20" s="394">
        <v>199.6</v>
      </c>
      <c r="L20" s="394">
        <v>260.2</v>
      </c>
      <c r="M20" s="394">
        <f t="shared" si="7"/>
        <v>76.800472255017709</v>
      </c>
      <c r="N20" s="394">
        <v>454.4</v>
      </c>
      <c r="O20" s="394">
        <f t="shared" si="24"/>
        <v>174.63489623366641</v>
      </c>
      <c r="P20" s="394">
        <v>279.2</v>
      </c>
      <c r="Q20" s="394">
        <f t="shared" si="25"/>
        <v>66.035950804162724</v>
      </c>
      <c r="R20" s="394">
        <f t="shared" si="26"/>
        <v>107.3020753266718</v>
      </c>
      <c r="S20" s="280">
        <v>222.9</v>
      </c>
      <c r="T20" s="1023">
        <v>315.10000000000002</v>
      </c>
      <c r="U20" s="1046">
        <v>339.3</v>
      </c>
      <c r="V20" s="1027">
        <f t="shared" si="8"/>
        <v>1.2152578796561606</v>
      </c>
      <c r="W20" s="1009">
        <f>P20</f>
        <v>279.2</v>
      </c>
      <c r="X20" s="1009">
        <v>188.9</v>
      </c>
      <c r="Y20" s="1009">
        <v>235.5</v>
      </c>
      <c r="Z20" s="1136">
        <v>385.4</v>
      </c>
      <c r="AA20" s="3746">
        <v>309.7</v>
      </c>
      <c r="AB20" s="3747">
        <f>W20*1.049</f>
        <v>292.88079999999997</v>
      </c>
      <c r="AC20" s="3743">
        <f>AB20/W20</f>
        <v>1.0489999999999999</v>
      </c>
      <c r="AD20" s="1009">
        <v>87.9</v>
      </c>
      <c r="AE20" s="1047">
        <v>124.62</v>
      </c>
      <c r="AF20" s="1136">
        <f>SUM(Z20*1.1)</f>
        <v>423.94</v>
      </c>
      <c r="AG20" s="1136">
        <f>AB20*1.062</f>
        <v>311.0394096</v>
      </c>
      <c r="AH20" s="1030">
        <f t="shared" si="9"/>
        <v>1.0620000000000001</v>
      </c>
      <c r="AI20" s="5982" t="s">
        <v>1500</v>
      </c>
      <c r="AJ20" s="5983"/>
      <c r="AK20" s="5984"/>
      <c r="AL20" s="2985">
        <v>160.21</v>
      </c>
      <c r="AM20" s="2842">
        <v>82.6</v>
      </c>
      <c r="AN20" s="2958">
        <v>149.84</v>
      </c>
      <c r="AO20" s="2844">
        <v>246.83</v>
      </c>
      <c r="AP20" s="3722">
        <f>SUM(AG20*1.1)</f>
        <v>342.14335056000004</v>
      </c>
      <c r="AQ20" s="3723">
        <f t="shared" si="14"/>
        <v>329.791975604784</v>
      </c>
      <c r="AR20" s="3724">
        <f t="shared" si="4"/>
        <v>1.06029</v>
      </c>
      <c r="AS20" s="5956" t="s">
        <v>1500</v>
      </c>
      <c r="AT20" s="5957"/>
      <c r="AU20" s="5958"/>
      <c r="AV20" s="3951">
        <v>398.99</v>
      </c>
      <c r="AW20" s="4264">
        <v>576.22</v>
      </c>
      <c r="AX20" s="4278">
        <f t="shared" si="15"/>
        <v>768.29333333333329</v>
      </c>
      <c r="AY20" s="4301">
        <f t="shared" ref="AY20" si="27">AQ20*(1-0.01)*(1+0.058)*(1+0)</f>
        <v>345.43071108796283</v>
      </c>
      <c r="AZ20" s="3723">
        <f>AQ20*(1-0.01)*(1+0.04)*(1+0)</f>
        <v>339.55381808268561</v>
      </c>
      <c r="BA20" s="3724">
        <f t="shared" si="5"/>
        <v>1.0296000000000001</v>
      </c>
    </row>
    <row r="21" spans="1:53" ht="38.25" customHeight="1">
      <c r="A21" s="1041" t="s">
        <v>565</v>
      </c>
      <c r="B21" s="1038">
        <v>23.9</v>
      </c>
      <c r="C21" s="1037">
        <v>47.8</v>
      </c>
      <c r="D21" s="1040">
        <f t="shared" si="22"/>
        <v>200</v>
      </c>
      <c r="E21" s="1035">
        <v>34</v>
      </c>
      <c r="F21" s="394">
        <f t="shared" si="23"/>
        <v>71.129707112970721</v>
      </c>
      <c r="G21" s="394">
        <v>32.799999999999997</v>
      </c>
      <c r="H21" s="394">
        <f t="shared" si="6"/>
        <v>96.470588235294102</v>
      </c>
      <c r="I21" s="394">
        <v>34.700000000000003</v>
      </c>
      <c r="J21" s="394">
        <v>16.3</v>
      </c>
      <c r="K21" s="394">
        <v>24.5</v>
      </c>
      <c r="L21" s="394">
        <v>32.200000000000003</v>
      </c>
      <c r="M21" s="394">
        <f t="shared" si="7"/>
        <v>98.170731707317088</v>
      </c>
      <c r="N21" s="394">
        <v>40.6</v>
      </c>
      <c r="O21" s="394">
        <f t="shared" si="24"/>
        <v>126.08695652173911</v>
      </c>
      <c r="P21" s="394">
        <v>34.299999999999997</v>
      </c>
      <c r="Q21" s="394">
        <f t="shared" si="25"/>
        <v>98.8472622478386</v>
      </c>
      <c r="R21" s="394">
        <f t="shared" si="26"/>
        <v>106.52173913043477</v>
      </c>
      <c r="S21" s="280">
        <v>25.1</v>
      </c>
      <c r="T21" s="1023">
        <v>33.4</v>
      </c>
      <c r="U21" s="1046">
        <v>40.1</v>
      </c>
      <c r="V21" s="1027">
        <f t="shared" si="8"/>
        <v>1.1690962099125366</v>
      </c>
      <c r="W21" s="1009">
        <f>P21*1.044</f>
        <v>35.809199999999997</v>
      </c>
      <c r="X21" s="1009">
        <v>16.8</v>
      </c>
      <c r="Y21" s="1009">
        <v>25.7</v>
      </c>
      <c r="Z21" s="1136">
        <v>34.1</v>
      </c>
      <c r="AA21" s="3746">
        <v>37.700000000000003</v>
      </c>
      <c r="AB21" s="3747">
        <f>AA21</f>
        <v>37.700000000000003</v>
      </c>
      <c r="AC21" s="3743">
        <f>AB21/W21</f>
        <v>1.0528020732102366</v>
      </c>
      <c r="AD21" s="1009">
        <v>17.399999999999999</v>
      </c>
      <c r="AE21" s="1047">
        <v>25.96</v>
      </c>
      <c r="AF21" s="1136">
        <f>SUM(AA21*1.1)</f>
        <v>41.470000000000006</v>
      </c>
      <c r="AG21" s="1136">
        <f>AD21*2*1.04</f>
        <v>36.192</v>
      </c>
      <c r="AH21" s="1030">
        <f t="shared" si="9"/>
        <v>0.96</v>
      </c>
      <c r="AI21" s="5982" t="s">
        <v>250</v>
      </c>
      <c r="AJ21" s="5983"/>
      <c r="AK21" s="5984"/>
      <c r="AL21" s="2985">
        <v>34.6</v>
      </c>
      <c r="AM21" s="2842">
        <v>17.04</v>
      </c>
      <c r="AN21" s="2958">
        <v>24.48</v>
      </c>
      <c r="AO21" s="2844">
        <v>41.08</v>
      </c>
      <c r="AP21" s="3722">
        <f>SUM(AG21*1.1)</f>
        <v>39.811200000000007</v>
      </c>
      <c r="AQ21" s="3723">
        <f t="shared" si="14"/>
        <v>38.374015679999999</v>
      </c>
      <c r="AR21" s="3724">
        <f t="shared" si="4"/>
        <v>1.06029</v>
      </c>
      <c r="AS21" s="5956" t="s">
        <v>250</v>
      </c>
      <c r="AT21" s="5957"/>
      <c r="AU21" s="5958"/>
      <c r="AV21" s="3951">
        <v>13.08</v>
      </c>
      <c r="AW21" s="4264">
        <v>22.59</v>
      </c>
      <c r="AX21" s="4278">
        <f t="shared" si="15"/>
        <v>30.119999999999997</v>
      </c>
      <c r="AY21" s="4301">
        <f t="shared" ref="AY21" si="28">AQ21*(1-0.01)*(1+0.058)*(1+0)</f>
        <v>40.1937115035456</v>
      </c>
      <c r="AZ21" s="3723">
        <f>AQ21*(1-0.01)*(1+0.04)*(1+0)</f>
        <v>39.509886544128001</v>
      </c>
      <c r="BA21" s="3724">
        <f t="shared" si="5"/>
        <v>1.0296000000000001</v>
      </c>
    </row>
    <row r="22" spans="1:53" ht="28.5" customHeight="1">
      <c r="A22" s="1041" t="s">
        <v>566</v>
      </c>
      <c r="B22" s="1038">
        <v>29.4</v>
      </c>
      <c r="C22" s="1037">
        <v>21.4</v>
      </c>
      <c r="D22" s="1040">
        <f t="shared" si="22"/>
        <v>72.789115646258509</v>
      </c>
      <c r="E22" s="1035">
        <v>19.3</v>
      </c>
      <c r="F22" s="394">
        <f t="shared" si="23"/>
        <v>90.186915887850475</v>
      </c>
      <c r="G22" s="394">
        <v>14.8</v>
      </c>
      <c r="H22" s="394">
        <f t="shared" si="6"/>
        <v>76.683937823834199</v>
      </c>
      <c r="I22" s="394">
        <v>7.4</v>
      </c>
      <c r="J22" s="394">
        <v>0</v>
      </c>
      <c r="K22" s="394">
        <v>0</v>
      </c>
      <c r="L22" s="394">
        <v>14.8</v>
      </c>
      <c r="M22" s="394">
        <f t="shared" si="7"/>
        <v>100</v>
      </c>
      <c r="N22" s="394">
        <v>17.600000000000001</v>
      </c>
      <c r="O22" s="394"/>
      <c r="P22" s="394">
        <v>0</v>
      </c>
      <c r="Q22" s="394">
        <f t="shared" si="25"/>
        <v>0</v>
      </c>
      <c r="R22" s="394"/>
      <c r="S22" s="280">
        <v>0</v>
      </c>
      <c r="T22" s="1023">
        <v>16.7</v>
      </c>
      <c r="U22" s="1046">
        <v>17</v>
      </c>
      <c r="V22" s="1027"/>
      <c r="W22" s="1009">
        <f>P22</f>
        <v>0</v>
      </c>
      <c r="X22" s="1009">
        <v>0</v>
      </c>
      <c r="Y22" s="1009">
        <v>0</v>
      </c>
      <c r="Z22" s="1136">
        <v>0</v>
      </c>
      <c r="AA22" s="3746">
        <v>17.5</v>
      </c>
      <c r="AB22" s="3747">
        <f>AA22</f>
        <v>17.5</v>
      </c>
      <c r="AC22" s="3743"/>
      <c r="AD22" s="1009">
        <v>0</v>
      </c>
      <c r="AE22" s="1047">
        <v>0</v>
      </c>
      <c r="AF22" s="1136">
        <f>SUM(AB22)</f>
        <v>17.5</v>
      </c>
      <c r="AG22" s="1136">
        <v>0</v>
      </c>
      <c r="AH22" s="1030">
        <f t="shared" si="9"/>
        <v>0</v>
      </c>
      <c r="AI22" s="5982" t="s">
        <v>1496</v>
      </c>
      <c r="AJ22" s="5983"/>
      <c r="AK22" s="5984"/>
      <c r="AL22" s="2985">
        <v>0</v>
      </c>
      <c r="AM22" s="2842">
        <v>0</v>
      </c>
      <c r="AN22" s="2958">
        <v>0</v>
      </c>
      <c r="AO22" s="2844">
        <v>0</v>
      </c>
      <c r="AP22" s="3722">
        <f>SUM(AL22)</f>
        <v>0</v>
      </c>
      <c r="AQ22" s="3723">
        <f t="shared" si="14"/>
        <v>0</v>
      </c>
      <c r="AR22" s="3724"/>
      <c r="AS22" s="5956" t="s">
        <v>1496</v>
      </c>
      <c r="AT22" s="5957"/>
      <c r="AU22" s="5958"/>
      <c r="AV22" s="3951">
        <v>0</v>
      </c>
      <c r="AW22" s="4264">
        <v>0</v>
      </c>
      <c r="AX22" s="4278">
        <f t="shared" si="15"/>
        <v>0</v>
      </c>
      <c r="AY22" s="4301">
        <v>0</v>
      </c>
      <c r="AZ22" s="3723">
        <v>0</v>
      </c>
      <c r="BA22" s="3724">
        <v>0</v>
      </c>
    </row>
    <row r="23" spans="1:53" ht="20.25" customHeight="1">
      <c r="A23" s="1039" t="s">
        <v>30</v>
      </c>
      <c r="B23" s="993">
        <v>596.20000000000005</v>
      </c>
      <c r="C23" s="989">
        <v>491.2</v>
      </c>
      <c r="D23" s="1040">
        <f t="shared" si="22"/>
        <v>82.388460248238843</v>
      </c>
      <c r="E23" s="1033">
        <v>434.9</v>
      </c>
      <c r="F23" s="394">
        <f t="shared" si="23"/>
        <v>88.538273615635177</v>
      </c>
      <c r="G23" s="280">
        <v>447.9</v>
      </c>
      <c r="H23" s="394">
        <f t="shared" si="6"/>
        <v>102.98919291791215</v>
      </c>
      <c r="I23" s="394">
        <v>638.6</v>
      </c>
      <c r="J23" s="280">
        <v>240.8</v>
      </c>
      <c r="K23" s="280">
        <v>453.7</v>
      </c>
      <c r="L23" s="394">
        <v>604.6</v>
      </c>
      <c r="M23" s="394">
        <f t="shared" si="7"/>
        <v>134.98548783210541</v>
      </c>
      <c r="N23" s="280">
        <v>692.7</v>
      </c>
      <c r="O23" s="394">
        <f t="shared" si="24"/>
        <v>114.57161759841216</v>
      </c>
      <c r="P23" s="394">
        <v>634.6</v>
      </c>
      <c r="Q23" s="394">
        <f t="shared" si="25"/>
        <v>99.373629815220795</v>
      </c>
      <c r="R23" s="394">
        <f t="shared" si="26"/>
        <v>104.96195831955011</v>
      </c>
      <c r="S23" s="280">
        <v>521.70000000000005</v>
      </c>
      <c r="T23" s="1023">
        <v>640.4</v>
      </c>
      <c r="U23" s="1046">
        <v>743.4</v>
      </c>
      <c r="V23" s="1027">
        <f t="shared" si="8"/>
        <v>1.1714465805231642</v>
      </c>
      <c r="W23" s="1009">
        <f>P23*1.048</f>
        <v>665.06080000000009</v>
      </c>
      <c r="X23" s="1009">
        <v>580.4</v>
      </c>
      <c r="Y23" s="1009">
        <v>679.7</v>
      </c>
      <c r="Z23" s="1136">
        <v>819.2</v>
      </c>
      <c r="AA23" s="3746">
        <v>748.4</v>
      </c>
      <c r="AB23" s="3747">
        <f>AA23</f>
        <v>748.4</v>
      </c>
      <c r="AC23" s="3743">
        <f>AB23/W23</f>
        <v>1.1253106482895998</v>
      </c>
      <c r="AD23" s="1009">
        <v>235.18</v>
      </c>
      <c r="AE23" s="1047">
        <v>379.87</v>
      </c>
      <c r="AF23" s="1136">
        <f>SUM(Z23*1.1)</f>
        <v>901.12000000000012</v>
      </c>
      <c r="AG23" s="1136">
        <f>AB23*1.062</f>
        <v>794.80079999999998</v>
      </c>
      <c r="AH23" s="1030">
        <f t="shared" si="9"/>
        <v>1.0620000000000001</v>
      </c>
      <c r="AI23" s="5982" t="s">
        <v>250</v>
      </c>
      <c r="AJ23" s="5983"/>
      <c r="AK23" s="5984"/>
      <c r="AL23" s="2985">
        <v>759.95</v>
      </c>
      <c r="AM23" s="2842">
        <v>317.77</v>
      </c>
      <c r="AN23" s="2958">
        <v>723.27</v>
      </c>
      <c r="AO23" s="2844">
        <v>865.88</v>
      </c>
      <c r="AP23" s="3722">
        <f>SUM(AG23*1.1)</f>
        <v>874.28088000000002</v>
      </c>
      <c r="AQ23" s="3723">
        <f t="shared" si="14"/>
        <v>842.71934023200004</v>
      </c>
      <c r="AR23" s="3724">
        <f t="shared" si="4"/>
        <v>1.0602900000000002</v>
      </c>
      <c r="AS23" s="5956" t="s">
        <v>250</v>
      </c>
      <c r="AT23" s="5957"/>
      <c r="AU23" s="5958"/>
      <c r="AV23" s="3951">
        <v>369.78</v>
      </c>
      <c r="AW23" s="4264">
        <v>667.12</v>
      </c>
      <c r="AX23" s="4278">
        <f t="shared" si="15"/>
        <v>889.49333333333334</v>
      </c>
      <c r="AY23" s="4301">
        <f t="shared" ref="AY23" si="29">AQ23*(1-0.01)*(1+0.058)*(1+0)</f>
        <v>882.68109134580152</v>
      </c>
      <c r="AZ23" s="3723">
        <f>AQ23*(1-0.01)*(1+0.04)*(1+0)</f>
        <v>867.66383270286735</v>
      </c>
      <c r="BA23" s="3724">
        <f t="shared" si="5"/>
        <v>1.0296000000000001</v>
      </c>
    </row>
    <row r="24" spans="1:53" ht="20.25" customHeight="1">
      <c r="A24" s="1039" t="s">
        <v>296</v>
      </c>
      <c r="B24" s="993"/>
      <c r="C24" s="989"/>
      <c r="D24" s="1040"/>
      <c r="E24" s="1033"/>
      <c r="F24" s="394"/>
      <c r="G24" s="280"/>
      <c r="H24" s="394"/>
      <c r="I24" s="394"/>
      <c r="J24" s="280"/>
      <c r="K24" s="280"/>
      <c r="L24" s="394"/>
      <c r="M24" s="394"/>
      <c r="N24" s="280"/>
      <c r="O24" s="394"/>
      <c r="P24" s="394"/>
      <c r="Q24" s="394"/>
      <c r="R24" s="394"/>
      <c r="S24" s="280"/>
      <c r="T24" s="1023"/>
      <c r="U24" s="1046"/>
      <c r="V24" s="1027"/>
      <c r="W24" s="1009">
        <f>7.607*3.39</f>
        <v>25.787730000000003</v>
      </c>
      <c r="X24" s="1009">
        <v>0</v>
      </c>
      <c r="Y24" s="1009">
        <v>0</v>
      </c>
      <c r="Z24" s="1136">
        <v>0</v>
      </c>
      <c r="AA24" s="3746">
        <v>27.2</v>
      </c>
      <c r="AB24" s="3747">
        <f>7.607/2*3.39+7.607/2*3.39*1.033</f>
        <v>26.213227545000002</v>
      </c>
      <c r="AC24" s="3743">
        <f>AB24/W24</f>
        <v>1.0165</v>
      </c>
      <c r="AD24" s="1009">
        <v>0</v>
      </c>
      <c r="AE24" s="1047">
        <v>0</v>
      </c>
      <c r="AF24" s="1136">
        <f>SUM(AA24*1.1)</f>
        <v>29.92</v>
      </c>
      <c r="AG24" s="2116">
        <v>27.1</v>
      </c>
      <c r="AH24" s="1030">
        <f t="shared" si="9"/>
        <v>1.0338291976246605</v>
      </c>
      <c r="AI24" s="6030" t="s">
        <v>1501</v>
      </c>
      <c r="AJ24" s="6031"/>
      <c r="AK24" s="6032"/>
      <c r="AL24" s="2985">
        <v>0</v>
      </c>
      <c r="AM24" s="2842">
        <v>0</v>
      </c>
      <c r="AN24" s="2958"/>
      <c r="AO24" s="2844"/>
      <c r="AP24" s="3722">
        <f>SUM(AG24*1.1)</f>
        <v>29.810000000000002</v>
      </c>
      <c r="AQ24" s="3728">
        <v>28.824999999999999</v>
      </c>
      <c r="AR24" s="3724">
        <f t="shared" si="4"/>
        <v>1.0636531365313653</v>
      </c>
      <c r="AS24" s="5959" t="s">
        <v>1501</v>
      </c>
      <c r="AT24" s="5960"/>
      <c r="AU24" s="5961"/>
      <c r="AV24" s="3951">
        <v>0</v>
      </c>
      <c r="AW24" s="4264">
        <v>0</v>
      </c>
      <c r="AX24" s="4278">
        <f t="shared" si="15"/>
        <v>0</v>
      </c>
      <c r="AY24" s="4301">
        <f>SUM(AQ24*1.07)</f>
        <v>30.842750000000002</v>
      </c>
      <c r="AZ24" s="3728">
        <v>47.51</v>
      </c>
      <c r="BA24" s="3724">
        <f t="shared" si="5"/>
        <v>1.6482220294882914</v>
      </c>
    </row>
    <row r="25" spans="1:53" ht="20.25" customHeight="1">
      <c r="A25" s="1039" t="s">
        <v>84</v>
      </c>
      <c r="B25" s="993">
        <v>2265.5</v>
      </c>
      <c r="C25" s="989">
        <v>2370.8000000000002</v>
      </c>
      <c r="D25" s="1040">
        <f t="shared" si="22"/>
        <v>104.64798057823882</v>
      </c>
      <c r="E25" s="1033">
        <v>3361.3</v>
      </c>
      <c r="F25" s="394">
        <f t="shared" si="23"/>
        <v>141.77914627973681</v>
      </c>
      <c r="G25" s="280">
        <v>3843.8</v>
      </c>
      <c r="H25" s="394">
        <f t="shared" si="6"/>
        <v>114.35456519798888</v>
      </c>
      <c r="I25" s="280">
        <v>2976.4</v>
      </c>
      <c r="J25" s="280">
        <v>2205.8000000000002</v>
      </c>
      <c r="K25" s="280">
        <v>2484.8000000000002</v>
      </c>
      <c r="L25" s="394">
        <v>3864.3</v>
      </c>
      <c r="M25" s="394">
        <f t="shared" si="7"/>
        <v>100.5333263957542</v>
      </c>
      <c r="N25" s="280">
        <v>4898</v>
      </c>
      <c r="O25" s="394">
        <f t="shared" si="24"/>
        <v>126.74999353052299</v>
      </c>
      <c r="P25" s="394">
        <v>3475.4</v>
      </c>
      <c r="Q25" s="394">
        <f t="shared" si="25"/>
        <v>116.76521972853111</v>
      </c>
      <c r="R25" s="394">
        <f t="shared" si="26"/>
        <v>89.936081567166099</v>
      </c>
      <c r="S25" s="280">
        <v>2996.7</v>
      </c>
      <c r="T25" s="1023">
        <v>0</v>
      </c>
      <c r="U25" s="1046">
        <v>4889.2</v>
      </c>
      <c r="V25" s="1027">
        <f t="shared" si="8"/>
        <v>1.4068020947229094</v>
      </c>
      <c r="W25" s="1009">
        <v>4303.2</v>
      </c>
      <c r="X25" s="1009">
        <v>0</v>
      </c>
      <c r="Y25" s="1009">
        <v>0</v>
      </c>
      <c r="Z25" s="1136">
        <v>0</v>
      </c>
      <c r="AA25" s="3746">
        <v>0</v>
      </c>
      <c r="AB25" s="3747">
        <v>0</v>
      </c>
      <c r="AC25" s="3743"/>
      <c r="AD25" s="1009">
        <v>0</v>
      </c>
      <c r="AE25" s="1047">
        <v>0</v>
      </c>
      <c r="AF25" s="1136">
        <f>SUM(Z25*1.1)</f>
        <v>0</v>
      </c>
      <c r="AG25" s="1136">
        <f>AF25</f>
        <v>0</v>
      </c>
      <c r="AH25" s="1030"/>
      <c r="AI25" s="5982" t="s">
        <v>250</v>
      </c>
      <c r="AJ25" s="5983"/>
      <c r="AK25" s="5984"/>
      <c r="AL25" s="2985">
        <v>0</v>
      </c>
      <c r="AM25" s="2842"/>
      <c r="AN25" s="2958"/>
      <c r="AO25" s="2844"/>
      <c r="AP25" s="3722">
        <f>SUM(AJ25*1.1)</f>
        <v>0</v>
      </c>
      <c r="AQ25" s="3723">
        <f t="shared" si="14"/>
        <v>0</v>
      </c>
      <c r="AR25" s="3724"/>
      <c r="AS25" s="5956" t="s">
        <v>250</v>
      </c>
      <c r="AT25" s="5957"/>
      <c r="AU25" s="5958"/>
      <c r="AV25" s="3951">
        <v>0</v>
      </c>
      <c r="AW25" s="4264">
        <v>0</v>
      </c>
      <c r="AX25" s="4278">
        <f t="shared" si="15"/>
        <v>0</v>
      </c>
      <c r="AY25" s="4301">
        <v>0</v>
      </c>
      <c r="AZ25" s="3723">
        <v>0</v>
      </c>
      <c r="BA25" s="3724"/>
    </row>
    <row r="26" spans="1:53" ht="20.25" customHeight="1">
      <c r="A26" s="1039" t="s">
        <v>852</v>
      </c>
      <c r="B26" s="993">
        <f>SUM(B27:B40)</f>
        <v>612.30000000000007</v>
      </c>
      <c r="C26" s="989">
        <f>SUM(C27:C40)</f>
        <v>1059.2000000000003</v>
      </c>
      <c r="D26" s="1040">
        <f t="shared" si="22"/>
        <v>172.98709782786219</v>
      </c>
      <c r="E26" s="1033">
        <f>SUM(E27:E40)</f>
        <v>1540.5</v>
      </c>
      <c r="F26" s="280">
        <f>SUM(F27:F40)</f>
        <v>7226.5100998898079</v>
      </c>
      <c r="G26" s="280">
        <f>SUM(G27:G40)</f>
        <v>1630.6000000000001</v>
      </c>
      <c r="H26" s="394">
        <f t="shared" si="6"/>
        <v>105.84875040571245</v>
      </c>
      <c r="I26" s="280">
        <f>SUM(I27:I42)</f>
        <v>574.80000000000007</v>
      </c>
      <c r="J26" s="280">
        <f>SUM(J27:J41)</f>
        <v>833.19999999999993</v>
      </c>
      <c r="K26" s="280">
        <f>SUM(K27:K42)</f>
        <v>1422.4999999999998</v>
      </c>
      <c r="L26" s="280">
        <f>SUM(L27:L42)</f>
        <v>2181.3999999999996</v>
      </c>
      <c r="M26" s="394">
        <f t="shared" si="7"/>
        <v>133.77897706365752</v>
      </c>
      <c r="N26" s="280">
        <f>SUM(N27:N41)</f>
        <v>1609.2</v>
      </c>
      <c r="O26" s="394">
        <f t="shared" si="24"/>
        <v>73.769139084991309</v>
      </c>
      <c r="P26" s="280">
        <f>SUM(P27:P41)</f>
        <v>688.09999999999991</v>
      </c>
      <c r="Q26" s="394">
        <f t="shared" si="25"/>
        <v>119.71120389700762</v>
      </c>
      <c r="R26" s="394">
        <f t="shared" si="26"/>
        <v>31.543962592830294</v>
      </c>
      <c r="S26" s="280">
        <f>SUM(S27:S42)</f>
        <v>1530.4999999999998</v>
      </c>
      <c r="T26" s="1023">
        <f>SUM(T27:T42)</f>
        <v>1994.6</v>
      </c>
      <c r="U26" s="1009">
        <f t="shared" ref="U26:Y26" si="30">SUM(U27:U44)</f>
        <v>1927.9999999999998</v>
      </c>
      <c r="V26" s="1009">
        <f t="shared" si="30"/>
        <v>20.175819892344588</v>
      </c>
      <c r="W26" s="1009">
        <f t="shared" si="30"/>
        <v>717.20720000000006</v>
      </c>
      <c r="X26" s="1009">
        <f t="shared" si="30"/>
        <v>567.9</v>
      </c>
      <c r="Y26" s="1009">
        <f t="shared" si="30"/>
        <v>1099.3100000000002</v>
      </c>
      <c r="Z26" s="1136">
        <f>SUM(Z27:Z44)</f>
        <v>1771.4000000000003</v>
      </c>
      <c r="AA26" s="3746">
        <f t="shared" ref="AA26:AB26" si="31">SUM(AA27:AA44)</f>
        <v>1836.6</v>
      </c>
      <c r="AB26" s="3747">
        <f t="shared" si="31"/>
        <v>884.60680579999996</v>
      </c>
      <c r="AC26" s="3743">
        <f t="shared" ref="AC26:AC35" si="32">AB26/W26</f>
        <v>1.2334048038000733</v>
      </c>
      <c r="AD26" s="1009">
        <f t="shared" ref="AD26:AG26" si="33">SUM(AD27:AD44)</f>
        <v>1469.5699999999997</v>
      </c>
      <c r="AE26" s="1047">
        <f t="shared" si="33"/>
        <v>2026.9600000000003</v>
      </c>
      <c r="AF26" s="1136">
        <f t="shared" si="33"/>
        <v>2123.25</v>
      </c>
      <c r="AG26" s="1136">
        <f t="shared" si="33"/>
        <v>1245.10448</v>
      </c>
      <c r="AH26" s="1030">
        <f t="shared" si="9"/>
        <v>1.4075230620388248</v>
      </c>
      <c r="AI26" s="5982"/>
      <c r="AJ26" s="5983"/>
      <c r="AK26" s="5984"/>
      <c r="AL26" s="2985">
        <f t="shared" ref="AL26:AN26" si="34">SUM(AL27:AL44)</f>
        <v>2427.5200000000004</v>
      </c>
      <c r="AM26" s="2842">
        <f t="shared" si="34"/>
        <v>895.88</v>
      </c>
      <c r="AN26" s="2958">
        <f t="shared" si="34"/>
        <v>1945.96</v>
      </c>
      <c r="AO26" s="2844">
        <f>SUM(AO27:AO44)</f>
        <v>2531.66</v>
      </c>
      <c r="AP26" s="3722">
        <f t="shared" ref="AP26:AQ26" si="35">SUM(AP27:AP44)</f>
        <v>2444.9756980000006</v>
      </c>
      <c r="AQ26" s="3723">
        <f t="shared" si="35"/>
        <v>1307.1242634015998</v>
      </c>
      <c r="AR26" s="3724">
        <f t="shared" si="4"/>
        <v>1.0498109069542501</v>
      </c>
      <c r="AS26" s="5956"/>
      <c r="AT26" s="5957"/>
      <c r="AU26" s="5958"/>
      <c r="AV26" s="3951">
        <f>SUM(AV27:AV44)</f>
        <v>867.31000000000006</v>
      </c>
      <c r="AW26" s="3952">
        <f t="shared" ref="AW26:AZ26" si="36">SUM(AW27:AW44)</f>
        <v>1534.35</v>
      </c>
      <c r="AX26" s="3606">
        <f t="shared" si="36"/>
        <v>2045.8</v>
      </c>
      <c r="AY26" s="4301">
        <f t="shared" ref="AY26" si="37">AQ26*(1-0.01)*(1+0.058)*(1+0)</f>
        <v>1369.1080959721037</v>
      </c>
      <c r="AZ26" s="4041">
        <f t="shared" si="36"/>
        <v>1339.4136975982876</v>
      </c>
      <c r="BA26" s="4437">
        <f t="shared" si="5"/>
        <v>1.0247026507737369</v>
      </c>
    </row>
    <row r="27" spans="1:53" ht="20.25" customHeight="1">
      <c r="A27" s="1041" t="s">
        <v>550</v>
      </c>
      <c r="B27" s="1038">
        <v>84.7</v>
      </c>
      <c r="C27" s="1037">
        <v>70.5</v>
      </c>
      <c r="D27" s="1040">
        <f t="shared" ref="D27:D40" si="38">C27/B27*100</f>
        <v>83.234946871310498</v>
      </c>
      <c r="E27" s="1033">
        <v>133.5</v>
      </c>
      <c r="F27" s="394">
        <f t="shared" ref="F27:F40" si="39">E27/C27*100</f>
        <v>189.36170212765958</v>
      </c>
      <c r="G27" s="394">
        <v>78.5</v>
      </c>
      <c r="H27" s="394">
        <f t="shared" si="6"/>
        <v>58.801498127340821</v>
      </c>
      <c r="I27" s="394">
        <v>117.7</v>
      </c>
      <c r="J27" s="280">
        <v>78.5</v>
      </c>
      <c r="K27" s="280">
        <v>491.2</v>
      </c>
      <c r="L27" s="394">
        <v>491.2</v>
      </c>
      <c r="M27" s="394">
        <f t="shared" si="7"/>
        <v>625.73248407643302</v>
      </c>
      <c r="N27" s="394">
        <v>123</v>
      </c>
      <c r="O27" s="394">
        <f t="shared" ref="O27:O39" si="40">N27/L27*100</f>
        <v>25.04071661237785</v>
      </c>
      <c r="P27" s="394">
        <v>123</v>
      </c>
      <c r="Q27" s="394">
        <f t="shared" ref="Q27:Q40" si="41">P27/I27*100</f>
        <v>104.50297366185217</v>
      </c>
      <c r="R27" s="394">
        <f t="shared" ref="R27:R42" si="42">P27/L27*100</f>
        <v>25.04071661237785</v>
      </c>
      <c r="S27" s="280">
        <v>192.6</v>
      </c>
      <c r="T27" s="1023">
        <v>192.6</v>
      </c>
      <c r="U27" s="1046">
        <v>240</v>
      </c>
      <c r="V27" s="1027">
        <f t="shared" si="8"/>
        <v>1.9512195121951219</v>
      </c>
      <c r="W27" s="1009">
        <f>P27*1.048</f>
        <v>128.904</v>
      </c>
      <c r="X27" s="1009">
        <v>0</v>
      </c>
      <c r="Y27" s="1009">
        <v>0</v>
      </c>
      <c r="Z27" s="1136">
        <v>242.3</v>
      </c>
      <c r="AA27" s="3746">
        <v>141</v>
      </c>
      <c r="AB27" s="3747">
        <v>141</v>
      </c>
      <c r="AC27" s="3743">
        <f t="shared" si="32"/>
        <v>1.0938372742506051</v>
      </c>
      <c r="AD27" s="1009">
        <v>0</v>
      </c>
      <c r="AE27" s="1047">
        <v>0</v>
      </c>
      <c r="AF27" s="1136">
        <f>SUM(Z27*1.1)</f>
        <v>266.53000000000003</v>
      </c>
      <c r="AG27" s="1136">
        <f>AF27</f>
        <v>266.53000000000003</v>
      </c>
      <c r="AH27" s="1030">
        <f t="shared" si="9"/>
        <v>1.8902836879432625</v>
      </c>
      <c r="AI27" s="5982" t="s">
        <v>250</v>
      </c>
      <c r="AJ27" s="5983"/>
      <c r="AK27" s="5984"/>
      <c r="AL27" s="2985">
        <v>0</v>
      </c>
      <c r="AM27" s="2842">
        <v>0</v>
      </c>
      <c r="AN27" s="2958"/>
      <c r="AO27" s="2844"/>
      <c r="AP27" s="3722">
        <f>SUM(AG27*1.1)</f>
        <v>293.18300000000005</v>
      </c>
      <c r="AQ27" s="3723">
        <f t="shared" si="14"/>
        <v>282.59909370000003</v>
      </c>
      <c r="AR27" s="3724">
        <f t="shared" si="4"/>
        <v>1.06029</v>
      </c>
      <c r="AS27" s="5956" t="s">
        <v>250</v>
      </c>
      <c r="AT27" s="5957"/>
      <c r="AU27" s="5958"/>
      <c r="AV27" s="3951">
        <v>0</v>
      </c>
      <c r="AW27" s="4264">
        <v>0</v>
      </c>
      <c r="AX27" s="4278">
        <f t="shared" si="15"/>
        <v>0</v>
      </c>
      <c r="AY27" s="4301">
        <f t="shared" ref="AY27" si="43">AQ27*(1-0.01)*(1+0.058)*(1+0)</f>
        <v>295.99994272325404</v>
      </c>
      <c r="AZ27" s="3723">
        <f>AQ27*(1-0.01)*(1+0.04)*(1+0)</f>
        <v>290.96402687352003</v>
      </c>
      <c r="BA27" s="3724">
        <f t="shared" si="5"/>
        <v>1.0296000000000001</v>
      </c>
    </row>
    <row r="28" spans="1:53" ht="20.25" customHeight="1">
      <c r="A28" s="1041" t="s">
        <v>551</v>
      </c>
      <c r="B28" s="1038">
        <v>131.6</v>
      </c>
      <c r="C28" s="1037">
        <v>171.2</v>
      </c>
      <c r="D28" s="1040">
        <f t="shared" si="38"/>
        <v>130.09118541033436</v>
      </c>
      <c r="E28" s="1035">
        <v>112.7</v>
      </c>
      <c r="F28" s="394">
        <f t="shared" si="39"/>
        <v>65.829439252336456</v>
      </c>
      <c r="G28" s="394">
        <v>319</v>
      </c>
      <c r="H28" s="394">
        <f t="shared" si="6"/>
        <v>283.05235137533271</v>
      </c>
      <c r="I28" s="394">
        <v>102.5</v>
      </c>
      <c r="J28" s="394">
        <v>56.8</v>
      </c>
      <c r="K28" s="394">
        <v>159.5</v>
      </c>
      <c r="L28" s="394">
        <v>193.1</v>
      </c>
      <c r="M28" s="394">
        <f t="shared" si="7"/>
        <v>60.532915360501562</v>
      </c>
      <c r="N28" s="394">
        <v>245.6</v>
      </c>
      <c r="O28" s="394">
        <f t="shared" si="40"/>
        <v>127.18798549974106</v>
      </c>
      <c r="P28" s="394">
        <v>223.1</v>
      </c>
      <c r="Q28" s="394">
        <f t="shared" si="41"/>
        <v>217.65853658536588</v>
      </c>
      <c r="R28" s="394">
        <f t="shared" si="42"/>
        <v>115.53599171413775</v>
      </c>
      <c r="S28" s="280">
        <v>280</v>
      </c>
      <c r="T28" s="1023">
        <v>321.39999999999998</v>
      </c>
      <c r="U28" s="1046">
        <v>260.8</v>
      </c>
      <c r="V28" s="1027">
        <f t="shared" si="8"/>
        <v>1.1689825190497536</v>
      </c>
      <c r="W28" s="1009">
        <f t="shared" ref="W28:W42" si="44">P28*1.048</f>
        <v>233.80879999999999</v>
      </c>
      <c r="X28" s="1009">
        <v>4.9000000000000004</v>
      </c>
      <c r="Y28" s="1009">
        <v>142.5</v>
      </c>
      <c r="Z28" s="1136">
        <v>203.7</v>
      </c>
      <c r="AA28" s="3746">
        <v>273.2</v>
      </c>
      <c r="AB28" s="3747">
        <v>273.2</v>
      </c>
      <c r="AC28" s="3743">
        <f t="shared" si="32"/>
        <v>1.1684761223700733</v>
      </c>
      <c r="AD28" s="1009">
        <v>65.5</v>
      </c>
      <c r="AE28" s="1047">
        <v>229.74</v>
      </c>
      <c r="AF28" s="1136">
        <f>SUM(AB28*1.1)</f>
        <v>300.52000000000004</v>
      </c>
      <c r="AG28" s="1136">
        <f>AF28</f>
        <v>300.52000000000004</v>
      </c>
      <c r="AH28" s="1030">
        <f t="shared" si="9"/>
        <v>1.1000000000000001</v>
      </c>
      <c r="AI28" s="5982" t="s">
        <v>250</v>
      </c>
      <c r="AJ28" s="5983"/>
      <c r="AK28" s="5984"/>
      <c r="AL28" s="2985">
        <v>299.19</v>
      </c>
      <c r="AM28" s="2842">
        <v>42.02</v>
      </c>
      <c r="AN28" s="2958">
        <v>312.29000000000002</v>
      </c>
      <c r="AO28" s="2844">
        <v>404.68</v>
      </c>
      <c r="AP28" s="3722">
        <f>SUM(AG28*1.1)</f>
        <v>330.57200000000006</v>
      </c>
      <c r="AQ28" s="3723">
        <f t="shared" si="14"/>
        <v>318.63835080000001</v>
      </c>
      <c r="AR28" s="3724">
        <f t="shared" si="4"/>
        <v>1.06029</v>
      </c>
      <c r="AS28" s="5956" t="s">
        <v>250</v>
      </c>
      <c r="AT28" s="5957"/>
      <c r="AU28" s="5958"/>
      <c r="AV28" s="3951">
        <v>42.24</v>
      </c>
      <c r="AW28" s="4264">
        <v>340.21</v>
      </c>
      <c r="AX28" s="4278">
        <f t="shared" si="15"/>
        <v>453.61333333333334</v>
      </c>
      <c r="AY28" s="4301">
        <f t="shared" ref="AY28" si="45">AQ28*(1-0.01)*(1+0.058)*(1+0)</f>
        <v>333.74818139493601</v>
      </c>
      <c r="AZ28" s="3723">
        <f t="shared" ref="AZ28:AZ44" si="46">AQ28*(1-0.01)*(1+0.04)*(1+0)</f>
        <v>328.07004598368002</v>
      </c>
      <c r="BA28" s="3724">
        <f t="shared" si="5"/>
        <v>1.0296000000000001</v>
      </c>
    </row>
    <row r="29" spans="1:53" ht="20.25" customHeight="1">
      <c r="A29" s="1041" t="s">
        <v>1653</v>
      </c>
      <c r="B29" s="1038">
        <v>2</v>
      </c>
      <c r="C29" s="1037">
        <v>5</v>
      </c>
      <c r="D29" s="1040">
        <f t="shared" si="38"/>
        <v>250</v>
      </c>
      <c r="E29" s="1035">
        <v>7.5</v>
      </c>
      <c r="F29" s="394">
        <f t="shared" si="39"/>
        <v>150</v>
      </c>
      <c r="G29" s="394">
        <v>13.9</v>
      </c>
      <c r="H29" s="394">
        <f t="shared" si="6"/>
        <v>185.33333333333331</v>
      </c>
      <c r="I29" s="394">
        <v>6</v>
      </c>
      <c r="J29" s="394">
        <v>2.9</v>
      </c>
      <c r="K29" s="394"/>
      <c r="L29" s="394">
        <v>19.399999999999999</v>
      </c>
      <c r="M29" s="394">
        <f t="shared" si="7"/>
        <v>139.56834532374097</v>
      </c>
      <c r="N29" s="394">
        <v>14.6</v>
      </c>
      <c r="O29" s="394"/>
      <c r="P29" s="394">
        <v>6.3</v>
      </c>
      <c r="Q29" s="394">
        <f t="shared" si="41"/>
        <v>105</v>
      </c>
      <c r="R29" s="394"/>
      <c r="S29" s="280">
        <v>2.5</v>
      </c>
      <c r="T29" s="1023">
        <v>21</v>
      </c>
      <c r="U29" s="1046">
        <v>21</v>
      </c>
      <c r="V29" s="1027">
        <f t="shared" si="8"/>
        <v>3.3333333333333335</v>
      </c>
      <c r="W29" s="1009">
        <f>P29</f>
        <v>6.3</v>
      </c>
      <c r="X29" s="1009">
        <v>2.6</v>
      </c>
      <c r="Y29" s="1009">
        <v>4.91</v>
      </c>
      <c r="Z29" s="1136">
        <v>15.6</v>
      </c>
      <c r="AA29" s="3746">
        <v>6.8</v>
      </c>
      <c r="AB29" s="3747">
        <v>6.8</v>
      </c>
      <c r="AC29" s="3743">
        <f t="shared" si="32"/>
        <v>1.0793650793650793</v>
      </c>
      <c r="AD29" s="1009">
        <v>1.86</v>
      </c>
      <c r="AE29" s="1047">
        <v>12.54</v>
      </c>
      <c r="AF29" s="1136">
        <f>SUM(Z29*1.1)</f>
        <v>17.16</v>
      </c>
      <c r="AG29" s="1136">
        <f>AF29</f>
        <v>17.16</v>
      </c>
      <c r="AH29" s="1030">
        <f t="shared" si="9"/>
        <v>2.5235294117647058</v>
      </c>
      <c r="AI29" s="6061" t="s">
        <v>250</v>
      </c>
      <c r="AJ29" s="6062"/>
      <c r="AK29" s="6063"/>
      <c r="AL29" s="2985">
        <v>15.36</v>
      </c>
      <c r="AM29" s="2842">
        <v>4.38</v>
      </c>
      <c r="AN29" s="2958">
        <v>11.28</v>
      </c>
      <c r="AO29" s="2844">
        <v>18.12</v>
      </c>
      <c r="AP29" s="3722">
        <f>SUM(AG29*1.1)</f>
        <v>18.876000000000001</v>
      </c>
      <c r="AQ29" s="3723">
        <f t="shared" si="14"/>
        <v>18.194576399999999</v>
      </c>
      <c r="AR29" s="3724">
        <f t="shared" si="4"/>
        <v>1.06029</v>
      </c>
      <c r="AS29" s="5941" t="s">
        <v>250</v>
      </c>
      <c r="AT29" s="5942"/>
      <c r="AU29" s="5943"/>
      <c r="AV29" s="3951">
        <v>3.16</v>
      </c>
      <c r="AW29" s="4264">
        <v>13.84</v>
      </c>
      <c r="AX29" s="4278">
        <f t="shared" si="15"/>
        <v>18.453333333333333</v>
      </c>
      <c r="AY29" s="4301">
        <f t="shared" ref="AY29" si="47">AQ29*(1-0.01)*(1+0.058)*(1+0)</f>
        <v>19.057363212887999</v>
      </c>
      <c r="AZ29" s="3723">
        <f t="shared" si="46"/>
        <v>18.733135861439997</v>
      </c>
      <c r="BA29" s="3724">
        <f t="shared" si="5"/>
        <v>1.0295999999999998</v>
      </c>
    </row>
    <row r="30" spans="1:53" ht="20.25" customHeight="1">
      <c r="A30" s="1041" t="s">
        <v>552</v>
      </c>
      <c r="B30" s="1038">
        <v>74.7</v>
      </c>
      <c r="C30" s="1038">
        <v>67.5</v>
      </c>
      <c r="D30" s="1040">
        <f t="shared" si="38"/>
        <v>90.361445783132524</v>
      </c>
      <c r="E30" s="1035">
        <v>69.599999999999994</v>
      </c>
      <c r="F30" s="394">
        <f t="shared" si="39"/>
        <v>103.11111111111111</v>
      </c>
      <c r="G30" s="394">
        <v>69.599999999999994</v>
      </c>
      <c r="H30" s="394">
        <f t="shared" si="6"/>
        <v>100</v>
      </c>
      <c r="I30" s="394">
        <v>66.5</v>
      </c>
      <c r="J30" s="394">
        <v>34.799999999999997</v>
      </c>
      <c r="K30" s="394">
        <v>50.1</v>
      </c>
      <c r="L30" s="394">
        <v>69.400000000000006</v>
      </c>
      <c r="M30" s="394">
        <f t="shared" si="7"/>
        <v>99.712643678160944</v>
      </c>
      <c r="N30" s="394">
        <v>73.900000000000006</v>
      </c>
      <c r="O30" s="394">
        <f t="shared" si="40"/>
        <v>106.48414985590777</v>
      </c>
      <c r="P30" s="394">
        <v>70.099999999999994</v>
      </c>
      <c r="Q30" s="394">
        <f t="shared" si="41"/>
        <v>105.41353383458645</v>
      </c>
      <c r="R30" s="394">
        <f t="shared" si="42"/>
        <v>101.00864553314119</v>
      </c>
      <c r="S30" s="280">
        <v>16.7</v>
      </c>
      <c r="T30" s="1023">
        <v>81.900000000000006</v>
      </c>
      <c r="U30" s="1046">
        <v>82.3</v>
      </c>
      <c r="V30" s="1027">
        <f t="shared" si="8"/>
        <v>1.1740370898716119</v>
      </c>
      <c r="W30" s="1009">
        <f>P30</f>
        <v>70.099999999999994</v>
      </c>
      <c r="X30" s="1009">
        <v>37.799999999999997</v>
      </c>
      <c r="Y30" s="1009">
        <v>56.7</v>
      </c>
      <c r="Z30" s="1136">
        <v>75.599999999999994</v>
      </c>
      <c r="AA30" s="3746">
        <v>84.2</v>
      </c>
      <c r="AB30" s="3747">
        <f>AA30</f>
        <v>84.2</v>
      </c>
      <c r="AC30" s="3743">
        <f t="shared" si="32"/>
        <v>1.2011412268188304</v>
      </c>
      <c r="AD30" s="1009">
        <v>41.55</v>
      </c>
      <c r="AE30" s="1047">
        <v>62.34</v>
      </c>
      <c r="AF30" s="1136">
        <f>SUM(AB30*1.1)</f>
        <v>92.62</v>
      </c>
      <c r="AG30" s="1136">
        <f>AE30/3*4*1.062</f>
        <v>88.273440000000008</v>
      </c>
      <c r="AH30" s="1030">
        <f t="shared" si="9"/>
        <v>1.0483781472684086</v>
      </c>
      <c r="AI30" s="5982" t="s">
        <v>1500</v>
      </c>
      <c r="AJ30" s="5983"/>
      <c r="AK30" s="5984"/>
      <c r="AL30" s="2985">
        <v>83.13</v>
      </c>
      <c r="AM30" s="2842">
        <v>41.58</v>
      </c>
      <c r="AN30" s="2958">
        <v>62.37</v>
      </c>
      <c r="AO30" s="2844">
        <f>SUM(AN30/9*12)</f>
        <v>83.16</v>
      </c>
      <c r="AP30" s="3722">
        <f>SUM(AG30*1.1)</f>
        <v>97.100784000000019</v>
      </c>
      <c r="AQ30" s="3728">
        <v>88.265000000000001</v>
      </c>
      <c r="AR30" s="3724">
        <f t="shared" si="4"/>
        <v>0.99990438800164572</v>
      </c>
      <c r="AS30" s="5956" t="s">
        <v>1500</v>
      </c>
      <c r="AT30" s="5957"/>
      <c r="AU30" s="5958"/>
      <c r="AV30" s="3951">
        <v>41.58</v>
      </c>
      <c r="AW30" s="4264">
        <v>62.37</v>
      </c>
      <c r="AX30" s="4278">
        <f t="shared" si="15"/>
        <v>83.16</v>
      </c>
      <c r="AY30" s="4301">
        <f>SUM(AQ30*1.1)</f>
        <v>97.091500000000011</v>
      </c>
      <c r="AZ30" s="3728">
        <f>SUM(AQ30)</f>
        <v>88.265000000000001</v>
      </c>
      <c r="BA30" s="3724">
        <f t="shared" si="5"/>
        <v>1</v>
      </c>
    </row>
    <row r="31" spans="1:53" ht="20.25" customHeight="1">
      <c r="A31" s="1041" t="s">
        <v>1652</v>
      </c>
      <c r="B31" s="1038">
        <v>17</v>
      </c>
      <c r="C31" s="1037">
        <v>50.1</v>
      </c>
      <c r="D31" s="1040">
        <f t="shared" si="38"/>
        <v>294.70588235294122</v>
      </c>
      <c r="E31" s="1035">
        <v>33</v>
      </c>
      <c r="F31" s="394">
        <f t="shared" si="39"/>
        <v>65.868263473053887</v>
      </c>
      <c r="G31" s="394">
        <v>29.6</v>
      </c>
      <c r="H31" s="394">
        <f t="shared" si="6"/>
        <v>89.696969696969703</v>
      </c>
      <c r="I31" s="394">
        <v>35.6</v>
      </c>
      <c r="J31" s="394">
        <v>6.2</v>
      </c>
      <c r="K31" s="394">
        <v>13.7</v>
      </c>
      <c r="L31" s="394">
        <v>13.7</v>
      </c>
      <c r="M31" s="394">
        <f t="shared" si="7"/>
        <v>46.283783783783775</v>
      </c>
      <c r="N31" s="394">
        <v>37.200000000000003</v>
      </c>
      <c r="O31" s="394">
        <f t="shared" si="40"/>
        <v>271.5328467153285</v>
      </c>
      <c r="P31" s="394">
        <v>19.2</v>
      </c>
      <c r="Q31" s="394">
        <f t="shared" si="41"/>
        <v>53.932584269662918</v>
      </c>
      <c r="R31" s="394">
        <f t="shared" si="42"/>
        <v>140.14598540145985</v>
      </c>
      <c r="S31" s="280">
        <v>23.2</v>
      </c>
      <c r="T31" s="1023">
        <v>23.3</v>
      </c>
      <c r="U31" s="1046">
        <v>20.2</v>
      </c>
      <c r="V31" s="1027">
        <f t="shared" si="8"/>
        <v>1.0520833333333333</v>
      </c>
      <c r="W31" s="1009">
        <f t="shared" si="44"/>
        <v>20.121600000000001</v>
      </c>
      <c r="X31" s="1009">
        <v>37.799999999999997</v>
      </c>
      <c r="Y31" s="1009">
        <v>47</v>
      </c>
      <c r="Z31" s="1136">
        <v>47.2</v>
      </c>
      <c r="AA31" s="3746">
        <v>21.6</v>
      </c>
      <c r="AB31" s="3747">
        <f>AA31</f>
        <v>21.6</v>
      </c>
      <c r="AC31" s="3743">
        <f t="shared" si="32"/>
        <v>1.0734732824427482</v>
      </c>
      <c r="AD31" s="1009">
        <v>39.18</v>
      </c>
      <c r="AE31" s="1047">
        <v>91.2</v>
      </c>
      <c r="AF31" s="1136">
        <f>SUM(Z31*1.1)</f>
        <v>51.920000000000009</v>
      </c>
      <c r="AG31" s="1136">
        <f>AF31</f>
        <v>51.920000000000009</v>
      </c>
      <c r="AH31" s="1030">
        <f t="shared" si="9"/>
        <v>2.4037037037037039</v>
      </c>
      <c r="AI31" s="6061" t="s">
        <v>250</v>
      </c>
      <c r="AJ31" s="6062"/>
      <c r="AK31" s="6063"/>
      <c r="AL31" s="2985">
        <f>64.93+100.5</f>
        <v>165.43</v>
      </c>
      <c r="AM31" s="2842">
        <f>19.98+14.93</f>
        <v>34.909999999999997</v>
      </c>
      <c r="AN31" s="2958">
        <v>225.26</v>
      </c>
      <c r="AO31" s="2844">
        <v>249.52</v>
      </c>
      <c r="AP31" s="3722">
        <f>SUM(AL31*1.1)</f>
        <v>181.97300000000001</v>
      </c>
      <c r="AQ31" s="3723">
        <f t="shared" si="14"/>
        <v>55.050256800000007</v>
      </c>
      <c r="AR31" s="3724">
        <f t="shared" si="4"/>
        <v>1.06029</v>
      </c>
      <c r="AS31" s="5941" t="s">
        <v>250</v>
      </c>
      <c r="AT31" s="5942"/>
      <c r="AU31" s="5943"/>
      <c r="AV31" s="3951">
        <f>20+40.42</f>
        <v>60.42</v>
      </c>
      <c r="AW31" s="4264">
        <v>89.86</v>
      </c>
      <c r="AX31" s="4278">
        <f t="shared" si="15"/>
        <v>119.81333333333333</v>
      </c>
      <c r="AY31" s="4301">
        <f t="shared" ref="AY31" si="48">AQ31*(1-0.01)*(1+0.058)*(1+0)</f>
        <v>57.660739977456011</v>
      </c>
      <c r="AZ31" s="3723">
        <f t="shared" si="46"/>
        <v>56.679744401280011</v>
      </c>
      <c r="BA31" s="3724">
        <f t="shared" si="5"/>
        <v>1.0296000000000001</v>
      </c>
    </row>
    <row r="32" spans="1:53" ht="20.25" customHeight="1">
      <c r="A32" s="1041" t="s">
        <v>554</v>
      </c>
      <c r="B32" s="1038">
        <v>3.9</v>
      </c>
      <c r="C32" s="1037">
        <v>6.4</v>
      </c>
      <c r="D32" s="1040">
        <f t="shared" si="38"/>
        <v>164.10256410256412</v>
      </c>
      <c r="E32" s="1035">
        <v>7.3</v>
      </c>
      <c r="F32" s="394">
        <f t="shared" si="39"/>
        <v>114.0625</v>
      </c>
      <c r="G32" s="394">
        <v>6.3</v>
      </c>
      <c r="H32" s="394">
        <f t="shared" si="6"/>
        <v>86.301369863013704</v>
      </c>
      <c r="I32" s="394">
        <v>6</v>
      </c>
      <c r="J32" s="394">
        <v>3.6</v>
      </c>
      <c r="K32" s="394">
        <v>3.8</v>
      </c>
      <c r="L32" s="394">
        <v>5.5</v>
      </c>
      <c r="M32" s="394">
        <f t="shared" si="7"/>
        <v>87.301587301587304</v>
      </c>
      <c r="N32" s="394">
        <v>6.8</v>
      </c>
      <c r="O32" s="394">
        <f t="shared" si="40"/>
        <v>123.63636363636363</v>
      </c>
      <c r="P32" s="394">
        <v>5.3</v>
      </c>
      <c r="Q32" s="394">
        <f t="shared" si="41"/>
        <v>88.333333333333329</v>
      </c>
      <c r="R32" s="394">
        <f t="shared" si="42"/>
        <v>96.36363636363636</v>
      </c>
      <c r="S32" s="280">
        <v>4.2</v>
      </c>
      <c r="T32" s="1023">
        <v>4.2</v>
      </c>
      <c r="U32" s="1046">
        <v>5.7</v>
      </c>
      <c r="V32" s="1027">
        <f t="shared" si="8"/>
        <v>1.0754716981132075</v>
      </c>
      <c r="W32" s="1009">
        <f>P32</f>
        <v>5.3</v>
      </c>
      <c r="X32" s="1009">
        <v>0</v>
      </c>
      <c r="Y32" s="1009">
        <v>0</v>
      </c>
      <c r="Z32" s="1136"/>
      <c r="AA32" s="3746">
        <v>6</v>
      </c>
      <c r="AB32" s="3747">
        <f>AA32</f>
        <v>6</v>
      </c>
      <c r="AC32" s="3743">
        <f t="shared" si="32"/>
        <v>1.1320754716981132</v>
      </c>
      <c r="AD32" s="1009">
        <v>0.7</v>
      </c>
      <c r="AE32" s="1047">
        <v>0.7</v>
      </c>
      <c r="AF32" s="1136">
        <f>SUM(AB32)</f>
        <v>6</v>
      </c>
      <c r="AG32" s="1136"/>
      <c r="AH32" s="1030">
        <f t="shared" si="9"/>
        <v>0</v>
      </c>
      <c r="AI32" s="5982" t="s">
        <v>1498</v>
      </c>
      <c r="AJ32" s="5983"/>
      <c r="AK32" s="5984"/>
      <c r="AL32" s="2985">
        <v>1.68</v>
      </c>
      <c r="AM32" s="2842">
        <v>0</v>
      </c>
      <c r="AN32" s="2958">
        <v>0</v>
      </c>
      <c r="AO32" s="2844">
        <v>0</v>
      </c>
      <c r="AP32" s="3722">
        <f>SUM(AL32*1.1)</f>
        <v>1.8480000000000001</v>
      </c>
      <c r="AQ32" s="3723">
        <f t="shared" si="14"/>
        <v>0</v>
      </c>
      <c r="AR32" s="3724"/>
      <c r="AS32" s="5956" t="s">
        <v>1498</v>
      </c>
      <c r="AT32" s="5957"/>
      <c r="AU32" s="5958"/>
      <c r="AV32" s="3951">
        <v>0</v>
      </c>
      <c r="AW32" s="4264"/>
      <c r="AX32" s="4278">
        <f t="shared" si="15"/>
        <v>0</v>
      </c>
      <c r="AY32" s="4301">
        <v>0</v>
      </c>
      <c r="AZ32" s="3723">
        <f t="shared" si="46"/>
        <v>0</v>
      </c>
      <c r="BA32" s="3724"/>
    </row>
    <row r="33" spans="1:53" ht="20.25" customHeight="1">
      <c r="A33" s="1041" t="s">
        <v>555</v>
      </c>
      <c r="B33" s="1038">
        <v>12.6</v>
      </c>
      <c r="C33" s="1038">
        <v>3.3</v>
      </c>
      <c r="D33" s="1040">
        <f t="shared" si="38"/>
        <v>26.190476190476193</v>
      </c>
      <c r="E33" s="1035">
        <v>197.5</v>
      </c>
      <c r="F33" s="394">
        <f t="shared" si="39"/>
        <v>5984.848484848485</v>
      </c>
      <c r="G33" s="394">
        <v>73.2</v>
      </c>
      <c r="H33" s="394">
        <f t="shared" si="6"/>
        <v>37.063291139240505</v>
      </c>
      <c r="I33" s="394">
        <v>3.6</v>
      </c>
      <c r="J33" s="394">
        <v>46.2</v>
      </c>
      <c r="K33" s="394">
        <v>40.5</v>
      </c>
      <c r="L33" s="394">
        <v>98.8</v>
      </c>
      <c r="M33" s="394">
        <f t="shared" si="7"/>
        <v>134.9726775956284</v>
      </c>
      <c r="N33" s="394">
        <v>77.3</v>
      </c>
      <c r="O33" s="394">
        <f t="shared" si="40"/>
        <v>78.238866396761125</v>
      </c>
      <c r="P33" s="394">
        <v>56.6</v>
      </c>
      <c r="Q33" s="394">
        <f t="shared" si="41"/>
        <v>1572.2222222222222</v>
      </c>
      <c r="R33" s="394">
        <f t="shared" si="42"/>
        <v>57.287449392712553</v>
      </c>
      <c r="S33" s="280">
        <v>71.400000000000006</v>
      </c>
      <c r="T33" s="1023">
        <v>147.19999999999999</v>
      </c>
      <c r="U33" s="1046">
        <v>104</v>
      </c>
      <c r="V33" s="1027">
        <f t="shared" si="8"/>
        <v>1.8374558303886925</v>
      </c>
      <c r="W33" s="1009">
        <f t="shared" si="44"/>
        <v>59.316800000000001</v>
      </c>
      <c r="X33" s="1009">
        <v>57.1</v>
      </c>
      <c r="Y33" s="1009">
        <v>75.400000000000006</v>
      </c>
      <c r="Z33" s="1136">
        <v>120.8</v>
      </c>
      <c r="AA33" s="3746">
        <v>60.6</v>
      </c>
      <c r="AB33" s="3747">
        <f>AA33</f>
        <v>60.6</v>
      </c>
      <c r="AC33" s="3743">
        <f t="shared" si="32"/>
        <v>1.021632994362474</v>
      </c>
      <c r="AD33" s="1009">
        <v>777.98</v>
      </c>
      <c r="AE33" s="1047">
        <v>815.25</v>
      </c>
      <c r="AF33" s="1136">
        <f t="shared" ref="AF33:AF39" si="49">SUM(Z33*1.1)</f>
        <v>132.88</v>
      </c>
      <c r="AG33" s="2116">
        <v>132.88</v>
      </c>
      <c r="AH33" s="1030">
        <f t="shared" si="9"/>
        <v>2.1927392739273928</v>
      </c>
      <c r="AI33" s="5982" t="s">
        <v>1502</v>
      </c>
      <c r="AJ33" s="5983"/>
      <c r="AK33" s="5984"/>
      <c r="AL33" s="2985">
        <v>795.64</v>
      </c>
      <c r="AM33" s="2842">
        <v>161.78</v>
      </c>
      <c r="AN33" s="2958">
        <v>351.96</v>
      </c>
      <c r="AO33" s="2844">
        <v>386.79</v>
      </c>
      <c r="AP33" s="3722">
        <f>SUM(AL33*1.074*1.1)</f>
        <v>939.96909600000015</v>
      </c>
      <c r="AQ33" s="3723">
        <f t="shared" si="14"/>
        <v>140.89133519999999</v>
      </c>
      <c r="AR33" s="3724">
        <f t="shared" si="4"/>
        <v>1.06029</v>
      </c>
      <c r="AS33" s="5956" t="s">
        <v>1502</v>
      </c>
      <c r="AT33" s="5957"/>
      <c r="AU33" s="5958"/>
      <c r="AV33" s="3951">
        <v>25.65</v>
      </c>
      <c r="AW33" s="4264">
        <v>30.14</v>
      </c>
      <c r="AX33" s="4278">
        <f t="shared" si="15"/>
        <v>40.186666666666667</v>
      </c>
      <c r="AY33" s="4301">
        <f t="shared" ref="AY33" si="50">AQ33*(1-0.01)*(1+0.058)*(1+0)</f>
        <v>147.57240231518398</v>
      </c>
      <c r="AZ33" s="3723">
        <f t="shared" si="46"/>
        <v>145.06171872191999</v>
      </c>
      <c r="BA33" s="3724">
        <f t="shared" si="5"/>
        <v>1.0296000000000001</v>
      </c>
    </row>
    <row r="34" spans="1:53" ht="38.25" customHeight="1">
      <c r="A34" s="1041" t="s">
        <v>556</v>
      </c>
      <c r="B34" s="1038">
        <v>135.5</v>
      </c>
      <c r="C34" s="1038">
        <v>181.6</v>
      </c>
      <c r="D34" s="1040">
        <f t="shared" si="38"/>
        <v>134.02214022140222</v>
      </c>
      <c r="E34" s="1035">
        <v>362.1</v>
      </c>
      <c r="F34" s="394">
        <f t="shared" si="39"/>
        <v>199.39427312775334</v>
      </c>
      <c r="G34" s="394">
        <v>395.9</v>
      </c>
      <c r="H34" s="394">
        <f t="shared" si="6"/>
        <v>109.33443800055231</v>
      </c>
      <c r="I34" s="394">
        <v>133.5</v>
      </c>
      <c r="J34" s="394">
        <v>256.10000000000002</v>
      </c>
      <c r="K34" s="394">
        <v>77.099999999999994</v>
      </c>
      <c r="L34" s="394">
        <v>109.7</v>
      </c>
      <c r="M34" s="394">
        <f t="shared" si="7"/>
        <v>27.709017428643602</v>
      </c>
      <c r="N34" s="394">
        <v>139.5</v>
      </c>
      <c r="O34" s="394">
        <f t="shared" si="40"/>
        <v>127.16499544211486</v>
      </c>
      <c r="P34" s="394">
        <v>107.8</v>
      </c>
      <c r="Q34" s="394">
        <f t="shared" si="41"/>
        <v>80.749063670411985</v>
      </c>
      <c r="R34" s="394">
        <f t="shared" si="42"/>
        <v>98.268003646308117</v>
      </c>
      <c r="S34" s="280">
        <v>214</v>
      </c>
      <c r="T34" s="1023">
        <v>253.7</v>
      </c>
      <c r="U34" s="1046">
        <v>176.8</v>
      </c>
      <c r="V34" s="1027">
        <f t="shared" si="8"/>
        <v>1.6400742115027831</v>
      </c>
      <c r="W34" s="1009">
        <f t="shared" si="44"/>
        <v>112.9744</v>
      </c>
      <c r="X34" s="1009">
        <v>7.9</v>
      </c>
      <c r="Y34" s="1009">
        <v>20.100000000000001</v>
      </c>
      <c r="Z34" s="1136">
        <v>43.2</v>
      </c>
      <c r="AA34" s="3746">
        <v>178</v>
      </c>
      <c r="AB34" s="3747">
        <v>28.16</v>
      </c>
      <c r="AC34" s="3743">
        <f t="shared" si="32"/>
        <v>0.24926000934725034</v>
      </c>
      <c r="AD34" s="1009">
        <v>59.79</v>
      </c>
      <c r="AE34" s="1047">
        <v>117.23</v>
      </c>
      <c r="AF34" s="1136">
        <f t="shared" si="49"/>
        <v>47.52000000000001</v>
      </c>
      <c r="AG34" s="1136">
        <f>AF34</f>
        <v>47.52000000000001</v>
      </c>
      <c r="AH34" s="1030">
        <f t="shared" si="9"/>
        <v>1.6875000000000004</v>
      </c>
      <c r="AI34" s="6061" t="s">
        <v>250</v>
      </c>
      <c r="AJ34" s="6062"/>
      <c r="AK34" s="6063"/>
      <c r="AL34" s="2985">
        <v>147.91</v>
      </c>
      <c r="AM34" s="2842">
        <v>24.34</v>
      </c>
      <c r="AN34" s="2958">
        <v>95.88</v>
      </c>
      <c r="AO34" s="2844">
        <v>122.83</v>
      </c>
      <c r="AP34" s="3722">
        <f>SUM(AL34*1.074*1.1)</f>
        <v>174.74087400000002</v>
      </c>
      <c r="AQ34" s="3723">
        <f t="shared" si="14"/>
        <v>50.384980800000008</v>
      </c>
      <c r="AR34" s="3724">
        <f t="shared" si="4"/>
        <v>1.06029</v>
      </c>
      <c r="AS34" s="5941" t="s">
        <v>250</v>
      </c>
      <c r="AT34" s="5942"/>
      <c r="AU34" s="5943"/>
      <c r="AV34" s="3951">
        <v>17.190000000000001</v>
      </c>
      <c r="AW34" s="4264">
        <v>29.29</v>
      </c>
      <c r="AX34" s="4278">
        <f t="shared" si="15"/>
        <v>39.053333333333327</v>
      </c>
      <c r="AY34" s="4301">
        <f t="shared" ref="AY34" si="51">AQ34*(1-0.01)*(1+0.058)*(1+0)</f>
        <v>52.774236589536009</v>
      </c>
      <c r="AZ34" s="3723">
        <f t="shared" si="46"/>
        <v>51.876376231680013</v>
      </c>
      <c r="BA34" s="3724">
        <f t="shared" si="5"/>
        <v>1.0296000000000001</v>
      </c>
    </row>
    <row r="35" spans="1:53" ht="38.25" customHeight="1">
      <c r="A35" s="1041" t="s">
        <v>557</v>
      </c>
      <c r="B35" s="1038">
        <v>46.1</v>
      </c>
      <c r="C35" s="1037">
        <v>102.2</v>
      </c>
      <c r="D35" s="1040">
        <f t="shared" si="38"/>
        <v>221.69197396963125</v>
      </c>
      <c r="E35" s="1035">
        <v>50.2</v>
      </c>
      <c r="F35" s="394">
        <f t="shared" si="39"/>
        <v>49.119373776908027</v>
      </c>
      <c r="G35" s="394">
        <v>38.799999999999997</v>
      </c>
      <c r="H35" s="394">
        <f t="shared" si="6"/>
        <v>77.290836653386435</v>
      </c>
      <c r="I35" s="394">
        <v>56.8</v>
      </c>
      <c r="J35" s="394">
        <v>23.8</v>
      </c>
      <c r="K35" s="394">
        <v>39.299999999999997</v>
      </c>
      <c r="L35" s="394">
        <v>30.8</v>
      </c>
      <c r="M35" s="394">
        <f t="shared" si="7"/>
        <v>79.381443298969074</v>
      </c>
      <c r="N35" s="394">
        <v>59.4</v>
      </c>
      <c r="O35" s="394">
        <f t="shared" si="40"/>
        <v>192.85714285714283</v>
      </c>
      <c r="P35" s="394">
        <v>55</v>
      </c>
      <c r="Q35" s="394">
        <f t="shared" si="41"/>
        <v>96.83098591549296</v>
      </c>
      <c r="R35" s="394">
        <f t="shared" si="42"/>
        <v>178.57142857142856</v>
      </c>
      <c r="S35" s="280">
        <v>18.2</v>
      </c>
      <c r="T35" s="1023">
        <v>13.8</v>
      </c>
      <c r="U35" s="1046">
        <v>59.6</v>
      </c>
      <c r="V35" s="1027">
        <f t="shared" si="8"/>
        <v>1.0836363636363637</v>
      </c>
      <c r="W35" s="1009">
        <f t="shared" si="44"/>
        <v>57.64</v>
      </c>
      <c r="X35" s="1009">
        <v>3.8</v>
      </c>
      <c r="Y35" s="1009">
        <v>3.8</v>
      </c>
      <c r="Z35" s="1136">
        <v>44.6</v>
      </c>
      <c r="AA35" s="3746">
        <v>65.599999999999994</v>
      </c>
      <c r="AB35" s="3747">
        <f>13.8*1.077*1.049</f>
        <v>15.590867399999999</v>
      </c>
      <c r="AC35" s="3743">
        <f t="shared" si="32"/>
        <v>0.27048694309507282</v>
      </c>
      <c r="AD35" s="1009">
        <v>26.9</v>
      </c>
      <c r="AE35" s="1047">
        <v>26.9</v>
      </c>
      <c r="AF35" s="1136">
        <f t="shared" si="49"/>
        <v>49.06</v>
      </c>
      <c r="AG35" s="1136">
        <f>AF35</f>
        <v>49.06</v>
      </c>
      <c r="AH35" s="1030">
        <f t="shared" si="9"/>
        <v>3.1467139538368474</v>
      </c>
      <c r="AI35" s="5982" t="s">
        <v>250</v>
      </c>
      <c r="AJ35" s="5983"/>
      <c r="AK35" s="5984"/>
      <c r="AL35" s="2985">
        <v>26.9</v>
      </c>
      <c r="AM35" s="2842">
        <v>100.01</v>
      </c>
      <c r="AN35" s="2958">
        <v>100.01</v>
      </c>
      <c r="AO35" s="2844">
        <v>145.01</v>
      </c>
      <c r="AP35" s="3722">
        <f>SUM(AG35*1.1)</f>
        <v>53.966000000000008</v>
      </c>
      <c r="AQ35" s="3723">
        <f t="shared" si="14"/>
        <v>52.017827400000002</v>
      </c>
      <c r="AR35" s="3724">
        <f t="shared" si="4"/>
        <v>1.06029</v>
      </c>
      <c r="AS35" s="5956" t="s">
        <v>250</v>
      </c>
      <c r="AT35" s="5957"/>
      <c r="AU35" s="5958"/>
      <c r="AV35" s="3951">
        <v>40.6</v>
      </c>
      <c r="AW35" s="4264">
        <v>58.6</v>
      </c>
      <c r="AX35" s="4278">
        <f t="shared" si="15"/>
        <v>78.133333333333326</v>
      </c>
      <c r="AY35" s="4301">
        <f t="shared" ref="AY35" si="52">AQ35*(1-0.01)*(1+0.058)*(1+0)</f>
        <v>54.484512775308005</v>
      </c>
      <c r="AZ35" s="3723">
        <f t="shared" si="46"/>
        <v>53.557555091040001</v>
      </c>
      <c r="BA35" s="3724">
        <f t="shared" si="5"/>
        <v>1.0296000000000001</v>
      </c>
    </row>
    <row r="36" spans="1:53" ht="20.25" customHeight="1">
      <c r="A36" s="1042" t="s">
        <v>570</v>
      </c>
      <c r="B36" s="1038">
        <v>21.5</v>
      </c>
      <c r="C36" s="1037">
        <v>304.3</v>
      </c>
      <c r="D36" s="1040">
        <f t="shared" si="38"/>
        <v>1415.3488372093025</v>
      </c>
      <c r="E36" s="1035">
        <v>523.9</v>
      </c>
      <c r="F36" s="394">
        <f t="shared" si="39"/>
        <v>172.16562602694708</v>
      </c>
      <c r="G36" s="394">
        <v>556</v>
      </c>
      <c r="H36" s="394">
        <f t="shared" si="6"/>
        <v>106.12712349685054</v>
      </c>
      <c r="I36" s="394">
        <v>0</v>
      </c>
      <c r="J36" s="394">
        <v>275.10000000000002</v>
      </c>
      <c r="K36" s="394">
        <v>473.8</v>
      </c>
      <c r="L36" s="394">
        <v>672.1</v>
      </c>
      <c r="M36" s="394">
        <f t="shared" si="7"/>
        <v>120.88129496402877</v>
      </c>
      <c r="N36" s="394">
        <v>715</v>
      </c>
      <c r="O36" s="394">
        <f t="shared" si="40"/>
        <v>106.38297872340425</v>
      </c>
      <c r="P36" s="394">
        <v>0</v>
      </c>
      <c r="Q36" s="394"/>
      <c r="R36" s="394">
        <f t="shared" si="42"/>
        <v>0</v>
      </c>
      <c r="S36" s="280">
        <v>540.79999999999995</v>
      </c>
      <c r="T36" s="1023">
        <v>706</v>
      </c>
      <c r="U36" s="1046">
        <v>741.3</v>
      </c>
      <c r="V36" s="1027"/>
      <c r="W36" s="1009">
        <f t="shared" si="44"/>
        <v>0</v>
      </c>
      <c r="X36" s="1009">
        <v>313.60000000000002</v>
      </c>
      <c r="Y36" s="1009">
        <v>497.5</v>
      </c>
      <c r="Z36" s="1136">
        <v>652.29999999999995</v>
      </c>
      <c r="AA36" s="3746">
        <v>735</v>
      </c>
      <c r="AB36" s="3747">
        <v>0</v>
      </c>
      <c r="AC36" s="3743"/>
      <c r="AD36" s="1009">
        <v>306.45999999999998</v>
      </c>
      <c r="AE36" s="1047">
        <v>459.06</v>
      </c>
      <c r="AF36" s="1136">
        <f t="shared" si="49"/>
        <v>717.53</v>
      </c>
      <c r="AG36" s="1136">
        <v>0</v>
      </c>
      <c r="AH36" s="1030"/>
      <c r="AI36" s="6061"/>
      <c r="AJ36" s="6062"/>
      <c r="AK36" s="6063"/>
      <c r="AL36" s="2985">
        <v>629.62</v>
      </c>
      <c r="AM36" s="2842">
        <v>321.20999999999998</v>
      </c>
      <c r="AN36" s="2958">
        <v>474.31</v>
      </c>
      <c r="AO36" s="2844">
        <v>632.22</v>
      </c>
      <c r="AP36" s="3722">
        <f t="shared" ref="AP36:AP37" si="53">SUM(AJ36*1.1)</f>
        <v>0</v>
      </c>
      <c r="AQ36" s="3723">
        <f t="shared" si="14"/>
        <v>0</v>
      </c>
      <c r="AR36" s="3724"/>
      <c r="AS36" s="5941"/>
      <c r="AT36" s="5942"/>
      <c r="AU36" s="5943"/>
      <c r="AV36" s="3951">
        <v>293.04000000000002</v>
      </c>
      <c r="AW36" s="4264">
        <v>428.82</v>
      </c>
      <c r="AX36" s="4278">
        <f t="shared" si="15"/>
        <v>571.76</v>
      </c>
      <c r="AY36" s="4301">
        <f t="shared" ref="AY36" si="54">AQ36*(1-0.01)*(1+0.058)*(1+0)</f>
        <v>0</v>
      </c>
      <c r="AZ36" s="3723">
        <f t="shared" si="46"/>
        <v>0</v>
      </c>
      <c r="BA36" s="3724"/>
    </row>
    <row r="37" spans="1:53" ht="20.25" customHeight="1">
      <c r="A37" s="1042" t="s">
        <v>583</v>
      </c>
      <c r="B37" s="1038"/>
      <c r="C37" s="1037"/>
      <c r="D37" s="1040"/>
      <c r="E37" s="1035"/>
      <c r="F37" s="1113"/>
      <c r="G37" s="1113"/>
      <c r="H37" s="1113"/>
      <c r="I37" s="1113"/>
      <c r="J37" s="1113"/>
      <c r="K37" s="1113"/>
      <c r="L37" s="1113"/>
      <c r="M37" s="1113"/>
      <c r="N37" s="1113"/>
      <c r="O37" s="1113"/>
      <c r="P37" s="1113"/>
      <c r="Q37" s="1113"/>
      <c r="R37" s="1113"/>
      <c r="S37" s="990"/>
      <c r="T37" s="1023"/>
      <c r="U37" s="1046"/>
      <c r="V37" s="1027"/>
      <c r="W37" s="1009"/>
      <c r="X37" s="1009"/>
      <c r="Y37" s="1009"/>
      <c r="Z37" s="1136">
        <v>35.9</v>
      </c>
      <c r="AA37" s="3746"/>
      <c r="AB37" s="3747"/>
      <c r="AC37" s="3743"/>
      <c r="AD37" s="1009">
        <v>21.6</v>
      </c>
      <c r="AE37" s="1047">
        <v>34.4</v>
      </c>
      <c r="AF37" s="1136">
        <f t="shared" si="49"/>
        <v>39.49</v>
      </c>
      <c r="AG37" s="1136">
        <v>0</v>
      </c>
      <c r="AH37" s="1030"/>
      <c r="AI37" s="6033"/>
      <c r="AJ37" s="6034"/>
      <c r="AK37" s="6035"/>
      <c r="AL37" s="2985">
        <v>51.03</v>
      </c>
      <c r="AM37" s="2842">
        <v>23.41</v>
      </c>
      <c r="AN37" s="2958">
        <v>93.87</v>
      </c>
      <c r="AO37" s="2844">
        <v>172.41</v>
      </c>
      <c r="AP37" s="3722">
        <f t="shared" si="53"/>
        <v>0</v>
      </c>
      <c r="AQ37" s="3723">
        <f t="shared" si="14"/>
        <v>0</v>
      </c>
      <c r="AR37" s="3724"/>
      <c r="AS37" s="5953"/>
      <c r="AT37" s="5954"/>
      <c r="AU37" s="5955"/>
      <c r="AV37" s="3951">
        <v>156.1</v>
      </c>
      <c r="AW37" s="4264">
        <v>238.56</v>
      </c>
      <c r="AX37" s="4278">
        <f t="shared" si="15"/>
        <v>318.08000000000004</v>
      </c>
      <c r="AY37" s="4301">
        <f t="shared" ref="AY37:AY38" si="55">AQ37*(1-0.01)*(1+0.058)*(1+0)</f>
        <v>0</v>
      </c>
      <c r="AZ37" s="3723">
        <f t="shared" si="46"/>
        <v>0</v>
      </c>
      <c r="BA37" s="3724"/>
    </row>
    <row r="38" spans="1:53" ht="38.25" customHeight="1">
      <c r="A38" s="1041" t="s">
        <v>558</v>
      </c>
      <c r="B38" s="1038">
        <v>57</v>
      </c>
      <c r="C38" s="1037">
        <v>74.2</v>
      </c>
      <c r="D38" s="1040">
        <f t="shared" si="38"/>
        <v>130.17543859649123</v>
      </c>
      <c r="E38" s="1035">
        <v>24.3</v>
      </c>
      <c r="F38" s="394">
        <f t="shared" si="39"/>
        <v>32.749326145552558</v>
      </c>
      <c r="G38" s="394">
        <v>26.9</v>
      </c>
      <c r="H38" s="394">
        <f t="shared" si="6"/>
        <v>110.69958847736625</v>
      </c>
      <c r="I38" s="394">
        <v>26.1</v>
      </c>
      <c r="J38" s="394">
        <v>12.9</v>
      </c>
      <c r="K38" s="394">
        <v>3.8</v>
      </c>
      <c r="L38" s="394">
        <v>8.1</v>
      </c>
      <c r="M38" s="394">
        <f t="shared" si="7"/>
        <v>30.111524163568777</v>
      </c>
      <c r="N38" s="394">
        <v>27.3</v>
      </c>
      <c r="O38" s="394">
        <f t="shared" si="40"/>
        <v>337.03703703703707</v>
      </c>
      <c r="P38" s="394">
        <v>5.3</v>
      </c>
      <c r="Q38" s="394">
        <f t="shared" si="41"/>
        <v>20.306513409961685</v>
      </c>
      <c r="R38" s="394">
        <f t="shared" si="42"/>
        <v>65.432098765432102</v>
      </c>
      <c r="S38" s="280">
        <v>17.7</v>
      </c>
      <c r="T38" s="1023">
        <v>21.2</v>
      </c>
      <c r="U38" s="1046">
        <v>9.5</v>
      </c>
      <c r="V38" s="1027">
        <f t="shared" si="8"/>
        <v>1.7924528301886793</v>
      </c>
      <c r="W38" s="1009">
        <f t="shared" si="44"/>
        <v>5.5544000000000002</v>
      </c>
      <c r="X38" s="1009">
        <v>14</v>
      </c>
      <c r="Y38" s="1009">
        <v>27.5</v>
      </c>
      <c r="Z38" s="1136">
        <v>48.8</v>
      </c>
      <c r="AA38" s="3746">
        <v>6.4</v>
      </c>
      <c r="AB38" s="3747">
        <f>W38*1.049</f>
        <v>5.8265655999999995</v>
      </c>
      <c r="AC38" s="3743">
        <f>AB38/W38</f>
        <v>1.0489999999999999</v>
      </c>
      <c r="AD38" s="1009">
        <v>18.73</v>
      </c>
      <c r="AE38" s="1047">
        <v>27.19</v>
      </c>
      <c r="AF38" s="1136">
        <f t="shared" si="49"/>
        <v>53.68</v>
      </c>
      <c r="AG38" s="1136">
        <f>AE38/3*4*1.062</f>
        <v>38.501040000000003</v>
      </c>
      <c r="AH38" s="1030">
        <f t="shared" si="9"/>
        <v>6.607844593734602</v>
      </c>
      <c r="AI38" s="5982" t="s">
        <v>1500</v>
      </c>
      <c r="AJ38" s="5983"/>
      <c r="AK38" s="5984"/>
      <c r="AL38" s="2985">
        <v>32.619999999999997</v>
      </c>
      <c r="AM38" s="2842">
        <v>23.12</v>
      </c>
      <c r="AN38" s="2958">
        <v>66.010000000000005</v>
      </c>
      <c r="AO38" s="2844">
        <v>114.88</v>
      </c>
      <c r="AP38" s="3722">
        <f>SUM(AG38*1.1)</f>
        <v>42.351144000000005</v>
      </c>
      <c r="AQ38" s="3723">
        <f t="shared" si="14"/>
        <v>40.822267701600005</v>
      </c>
      <c r="AR38" s="3724">
        <f t="shared" si="4"/>
        <v>1.06029</v>
      </c>
      <c r="AS38" s="5956" t="s">
        <v>1500</v>
      </c>
      <c r="AT38" s="5957"/>
      <c r="AU38" s="5958"/>
      <c r="AV38" s="3951">
        <v>60</v>
      </c>
      <c r="AW38" s="4264">
        <v>74.400000000000006</v>
      </c>
      <c r="AX38" s="4278">
        <f t="shared" si="15"/>
        <v>99.200000000000017</v>
      </c>
      <c r="AY38" s="4301">
        <f t="shared" si="55"/>
        <v>42.758059636009882</v>
      </c>
      <c r="AZ38" s="3723">
        <f t="shared" si="46"/>
        <v>42.030606825567368</v>
      </c>
      <c r="BA38" s="3724">
        <f t="shared" si="5"/>
        <v>1.0296000000000001</v>
      </c>
    </row>
    <row r="39" spans="1:53" ht="38.25" customHeight="1">
      <c r="A39" s="1041" t="s">
        <v>559</v>
      </c>
      <c r="B39" s="1038">
        <v>21.7</v>
      </c>
      <c r="C39" s="1037">
        <v>18.899999999999999</v>
      </c>
      <c r="D39" s="1040">
        <f t="shared" si="38"/>
        <v>87.096774193548384</v>
      </c>
      <c r="E39" s="1035">
        <v>18.899999999999999</v>
      </c>
      <c r="F39" s="394">
        <f t="shared" si="39"/>
        <v>100</v>
      </c>
      <c r="G39" s="394">
        <v>18.2</v>
      </c>
      <c r="H39" s="394">
        <f t="shared" si="6"/>
        <v>96.296296296296305</v>
      </c>
      <c r="I39" s="394">
        <v>15.7</v>
      </c>
      <c r="J39" s="394">
        <v>36.299999999999997</v>
      </c>
      <c r="K39" s="394">
        <v>41.1</v>
      </c>
      <c r="L39" s="394">
        <v>57.5</v>
      </c>
      <c r="M39" s="394">
        <f t="shared" si="7"/>
        <v>315.93406593406598</v>
      </c>
      <c r="N39" s="394">
        <v>16.399999999999999</v>
      </c>
      <c r="O39" s="394">
        <f t="shared" si="40"/>
        <v>28.521739130434781</v>
      </c>
      <c r="P39" s="394">
        <v>16.399999999999999</v>
      </c>
      <c r="Q39" s="394">
        <f t="shared" si="41"/>
        <v>104.45859872611464</v>
      </c>
      <c r="R39" s="394">
        <f t="shared" si="42"/>
        <v>28.521739130434781</v>
      </c>
      <c r="S39" s="280">
        <v>22.1</v>
      </c>
      <c r="T39" s="1023">
        <v>35.799999999999997</v>
      </c>
      <c r="U39" s="1046">
        <v>66.7</v>
      </c>
      <c r="V39" s="1027">
        <f t="shared" si="8"/>
        <v>4.0670731707317076</v>
      </c>
      <c r="W39" s="1009">
        <f t="shared" si="44"/>
        <v>17.187200000000001</v>
      </c>
      <c r="X39" s="1009">
        <v>30.9</v>
      </c>
      <c r="Y39" s="1009">
        <v>47.6</v>
      </c>
      <c r="Z39" s="1136">
        <v>100.9</v>
      </c>
      <c r="AA39" s="3746">
        <v>34.6</v>
      </c>
      <c r="AB39" s="3747">
        <f>W39*1.049</f>
        <v>18.029372800000001</v>
      </c>
      <c r="AC39" s="3743">
        <f>AB39/W39</f>
        <v>1.0489999999999999</v>
      </c>
      <c r="AD39" s="1009">
        <v>79.8</v>
      </c>
      <c r="AE39" s="1047">
        <v>108.69</v>
      </c>
      <c r="AF39" s="1136">
        <f t="shared" si="49"/>
        <v>110.99000000000001</v>
      </c>
      <c r="AG39" s="1136">
        <f>AF39</f>
        <v>110.99000000000001</v>
      </c>
      <c r="AH39" s="1030">
        <f t="shared" si="9"/>
        <v>6.1560655066159597</v>
      </c>
      <c r="AI39" s="6061" t="s">
        <v>250</v>
      </c>
      <c r="AJ39" s="6062"/>
      <c r="AK39" s="6063"/>
      <c r="AL39" s="2985">
        <v>124.92</v>
      </c>
      <c r="AM39" s="2842">
        <v>87.24</v>
      </c>
      <c r="AN39" s="2958">
        <v>102.75</v>
      </c>
      <c r="AO39" s="2844">
        <v>136.12</v>
      </c>
      <c r="AP39" s="3722">
        <f>SUM(AL39*1.074*1.1)</f>
        <v>147.58048800000003</v>
      </c>
      <c r="AQ39" s="3723">
        <f t="shared" si="14"/>
        <v>117.6815871</v>
      </c>
      <c r="AR39" s="3724">
        <f t="shared" si="4"/>
        <v>1.06029</v>
      </c>
      <c r="AS39" s="5941" t="s">
        <v>250</v>
      </c>
      <c r="AT39" s="5942"/>
      <c r="AU39" s="5943"/>
      <c r="AV39" s="3951">
        <v>98.11</v>
      </c>
      <c r="AW39" s="4264">
        <v>124.52</v>
      </c>
      <c r="AX39" s="4278">
        <f t="shared" si="15"/>
        <v>166.02666666666664</v>
      </c>
      <c r="AY39" s="4301">
        <f t="shared" ref="AY39" si="56">AQ39*(1-0.01)*(1+0.058)*(1+0)</f>
        <v>123.262047960282</v>
      </c>
      <c r="AZ39" s="3723">
        <f t="shared" si="46"/>
        <v>121.16496207816</v>
      </c>
      <c r="BA39" s="3724">
        <f t="shared" si="5"/>
        <v>1.0296000000000001</v>
      </c>
    </row>
    <row r="40" spans="1:53" ht="20.25" customHeight="1">
      <c r="A40" s="1041" t="s">
        <v>560</v>
      </c>
      <c r="B40" s="1038">
        <v>4</v>
      </c>
      <c r="C40" s="1038">
        <v>4</v>
      </c>
      <c r="D40" s="1040">
        <f t="shared" si="38"/>
        <v>100</v>
      </c>
      <c r="E40" s="1035">
        <v>0</v>
      </c>
      <c r="F40" s="394">
        <f t="shared" si="39"/>
        <v>0</v>
      </c>
      <c r="G40" s="394">
        <v>4.7</v>
      </c>
      <c r="H40" s="394"/>
      <c r="I40" s="394">
        <v>4.8</v>
      </c>
      <c r="J40" s="394">
        <v>0</v>
      </c>
      <c r="K40" s="394">
        <v>0</v>
      </c>
      <c r="L40" s="394">
        <v>0</v>
      </c>
      <c r="M40" s="394">
        <f t="shared" si="7"/>
        <v>0</v>
      </c>
      <c r="N40" s="394">
        <v>5</v>
      </c>
      <c r="O40" s="394"/>
      <c r="P40" s="394">
        <v>0</v>
      </c>
      <c r="Q40" s="394">
        <f t="shared" si="41"/>
        <v>0</v>
      </c>
      <c r="R40" s="394" t="e">
        <f t="shared" si="42"/>
        <v>#DIV/0!</v>
      </c>
      <c r="S40" s="280">
        <v>0</v>
      </c>
      <c r="T40" s="1023">
        <v>0</v>
      </c>
      <c r="U40" s="1046">
        <v>0</v>
      </c>
      <c r="V40" s="1027"/>
      <c r="W40" s="1009">
        <f t="shared" si="44"/>
        <v>0</v>
      </c>
      <c r="X40" s="1009">
        <v>0</v>
      </c>
      <c r="Y40" s="1009">
        <v>0</v>
      </c>
      <c r="Z40" s="1136">
        <v>0</v>
      </c>
      <c r="AA40" s="3746">
        <v>0</v>
      </c>
      <c r="AB40" s="3747">
        <v>0</v>
      </c>
      <c r="AC40" s="3743"/>
      <c r="AD40" s="1009">
        <v>0</v>
      </c>
      <c r="AE40" s="1047">
        <v>0</v>
      </c>
      <c r="AF40" s="1136">
        <v>0</v>
      </c>
      <c r="AG40" s="1136">
        <v>0</v>
      </c>
      <c r="AH40" s="1030"/>
      <c r="AI40" s="6061"/>
      <c r="AJ40" s="6062"/>
      <c r="AK40" s="6063"/>
      <c r="AL40" s="2985">
        <v>0</v>
      </c>
      <c r="AM40" s="2842"/>
      <c r="AN40" s="2958"/>
      <c r="AO40" s="2844"/>
      <c r="AP40" s="3722">
        <v>0</v>
      </c>
      <c r="AQ40" s="3723">
        <f t="shared" si="14"/>
        <v>0</v>
      </c>
      <c r="AR40" s="3724"/>
      <c r="AS40" s="5941"/>
      <c r="AT40" s="5942"/>
      <c r="AU40" s="5943"/>
      <c r="AV40" s="3951">
        <v>0</v>
      </c>
      <c r="AW40" s="4264"/>
      <c r="AX40" s="4278">
        <f t="shared" si="15"/>
        <v>0</v>
      </c>
      <c r="AY40" s="4301">
        <v>0</v>
      </c>
      <c r="AZ40" s="3723">
        <f t="shared" si="46"/>
        <v>0</v>
      </c>
      <c r="BA40" s="3724"/>
    </row>
    <row r="41" spans="1:53" ht="20.25" customHeight="1">
      <c r="A41" s="1041" t="s">
        <v>561</v>
      </c>
      <c r="B41" s="1038"/>
      <c r="C41" s="1038"/>
      <c r="D41" s="1040"/>
      <c r="E41" s="1035"/>
      <c r="F41" s="394"/>
      <c r="G41" s="394"/>
      <c r="H41" s="394"/>
      <c r="I41" s="394">
        <f>E41*1.03</f>
        <v>0</v>
      </c>
      <c r="J41" s="394"/>
      <c r="K41" s="394">
        <v>0</v>
      </c>
      <c r="L41" s="394">
        <v>127.9</v>
      </c>
      <c r="M41" s="394"/>
      <c r="N41" s="394">
        <v>68.2</v>
      </c>
      <c r="O41" s="394"/>
      <c r="P41" s="394">
        <v>0</v>
      </c>
      <c r="Q41" s="394"/>
      <c r="R41" s="394">
        <f t="shared" si="42"/>
        <v>0</v>
      </c>
      <c r="S41" s="280">
        <v>0</v>
      </c>
      <c r="T41" s="1023">
        <v>172.5</v>
      </c>
      <c r="U41" s="1046">
        <v>140.1</v>
      </c>
      <c r="V41" s="1027"/>
      <c r="W41" s="1009">
        <f t="shared" si="44"/>
        <v>0</v>
      </c>
      <c r="X41" s="1009">
        <v>54</v>
      </c>
      <c r="Y41" s="1009">
        <v>162</v>
      </c>
      <c r="Z41" s="1136">
        <v>128</v>
      </c>
      <c r="AA41" s="3746">
        <v>223.6</v>
      </c>
      <c r="AB41" s="3747">
        <f>AA41</f>
        <v>223.6</v>
      </c>
      <c r="AC41" s="3743"/>
      <c r="AD41" s="1009">
        <v>20.99</v>
      </c>
      <c r="AE41" s="1136">
        <v>31.49</v>
      </c>
      <c r="AF41" s="1146">
        <f>SUM(AB41)</f>
        <v>223.6</v>
      </c>
      <c r="AG41" s="1136">
        <f>Z41</f>
        <v>128</v>
      </c>
      <c r="AH41" s="1030">
        <f t="shared" si="9"/>
        <v>0.57245080500894452</v>
      </c>
      <c r="AI41" s="6061" t="s">
        <v>1499</v>
      </c>
      <c r="AJ41" s="6062"/>
      <c r="AK41" s="6063"/>
      <c r="AL41" s="2985">
        <v>42.01</v>
      </c>
      <c r="AM41" s="2842">
        <v>22.5</v>
      </c>
      <c r="AN41" s="2958">
        <v>33.75</v>
      </c>
      <c r="AO41" s="2844">
        <f>SUM(AN41/9*12)</f>
        <v>45</v>
      </c>
      <c r="AP41" s="3722">
        <f>SUM(AG41*1.1)</f>
        <v>140.80000000000001</v>
      </c>
      <c r="AQ41" s="3728">
        <v>128</v>
      </c>
      <c r="AR41" s="3724">
        <f t="shared" si="4"/>
        <v>1</v>
      </c>
      <c r="AS41" s="5941" t="s">
        <v>1499</v>
      </c>
      <c r="AT41" s="5942"/>
      <c r="AU41" s="5943"/>
      <c r="AV41" s="3951">
        <v>28.32</v>
      </c>
      <c r="AW41" s="4264">
        <v>42.49</v>
      </c>
      <c r="AX41" s="4278">
        <f t="shared" si="15"/>
        <v>56.653333333333336</v>
      </c>
      <c r="AY41" s="4301">
        <f>SUM(AQ41*1.1)</f>
        <v>140.80000000000001</v>
      </c>
      <c r="AZ41" s="3728">
        <f>SUM(AQ41)</f>
        <v>128</v>
      </c>
      <c r="BA41" s="3724">
        <f t="shared" si="5"/>
        <v>1</v>
      </c>
    </row>
    <row r="42" spans="1:53" ht="20.25" customHeight="1">
      <c r="A42" s="1066" t="s">
        <v>300</v>
      </c>
      <c r="B42" s="1067"/>
      <c r="C42" s="1067"/>
      <c r="D42" s="1068"/>
      <c r="E42" s="1069"/>
      <c r="F42" s="1070"/>
      <c r="G42" s="1070"/>
      <c r="H42" s="1070"/>
      <c r="I42" s="1070"/>
      <c r="J42" s="1070"/>
      <c r="K42" s="1070">
        <f>1.4+9.5+17.7</f>
        <v>28.6</v>
      </c>
      <c r="L42" s="1070">
        <v>284.2</v>
      </c>
      <c r="M42" s="1070"/>
      <c r="N42" s="1070"/>
      <c r="O42" s="1070"/>
      <c r="P42" s="1070">
        <v>0</v>
      </c>
      <c r="Q42" s="1070"/>
      <c r="R42" s="1070">
        <f t="shared" si="42"/>
        <v>0</v>
      </c>
      <c r="S42" s="1071">
        <v>127.1</v>
      </c>
      <c r="T42" s="1072">
        <v>0</v>
      </c>
      <c r="U42" s="1046">
        <v>0</v>
      </c>
      <c r="V42" s="1027"/>
      <c r="W42" s="1009">
        <f t="shared" si="44"/>
        <v>0</v>
      </c>
      <c r="X42" s="1009">
        <v>3.5</v>
      </c>
      <c r="Y42" s="1009">
        <v>14.3</v>
      </c>
      <c r="Z42" s="1047"/>
      <c r="AA42" s="3746"/>
      <c r="AB42" s="3747">
        <v>0</v>
      </c>
      <c r="AC42" s="3743"/>
      <c r="AD42" s="1009"/>
      <c r="AE42" s="1136"/>
      <c r="AF42" s="1050">
        <v>0</v>
      </c>
      <c r="AG42" s="1009">
        <v>0</v>
      </c>
      <c r="AH42" s="1030"/>
      <c r="AI42" s="6061"/>
      <c r="AJ42" s="6062"/>
      <c r="AK42" s="6063"/>
      <c r="AL42" s="2985"/>
      <c r="AM42" s="2842"/>
      <c r="AN42" s="2958"/>
      <c r="AO42" s="2844"/>
      <c r="AP42" s="3729">
        <v>0</v>
      </c>
      <c r="AQ42" s="3723">
        <f t="shared" si="14"/>
        <v>0</v>
      </c>
      <c r="AR42" s="3724"/>
      <c r="AS42" s="5941"/>
      <c r="AT42" s="5942"/>
      <c r="AU42" s="5943"/>
      <c r="AV42" s="3951"/>
      <c r="AW42" s="4264"/>
      <c r="AX42" s="4278">
        <f t="shared" si="15"/>
        <v>0</v>
      </c>
      <c r="AY42" s="4303">
        <v>0</v>
      </c>
      <c r="AZ42" s="3723">
        <f t="shared" si="46"/>
        <v>0</v>
      </c>
      <c r="BA42" s="3724"/>
    </row>
    <row r="43" spans="1:53" ht="20.25" customHeight="1">
      <c r="A43" s="1124" t="s">
        <v>851</v>
      </c>
      <c r="B43" s="1125"/>
      <c r="C43" s="1125"/>
      <c r="D43" s="1126"/>
      <c r="E43" s="1127"/>
      <c r="F43" s="1128"/>
      <c r="G43" s="1128"/>
      <c r="H43" s="1128"/>
      <c r="I43" s="1128"/>
      <c r="J43" s="1128"/>
      <c r="K43" s="1128"/>
      <c r="L43" s="1128"/>
      <c r="M43" s="1128"/>
      <c r="N43" s="1128"/>
      <c r="O43" s="1128"/>
      <c r="P43" s="1128"/>
      <c r="Q43" s="1128"/>
      <c r="R43" s="1128"/>
      <c r="S43" s="1129"/>
      <c r="T43" s="1130"/>
      <c r="U43" s="1046"/>
      <c r="V43" s="1027"/>
      <c r="W43" s="1009"/>
      <c r="X43" s="1009"/>
      <c r="Y43" s="1009"/>
      <c r="Z43" s="1047">
        <v>6.4</v>
      </c>
      <c r="AA43" s="3746"/>
      <c r="AB43" s="3747"/>
      <c r="AC43" s="3743"/>
      <c r="AD43" s="1009"/>
      <c r="AE43" s="1136"/>
      <c r="AF43" s="1050">
        <f>SUM(Z43*1.1)</f>
        <v>7.0400000000000009</v>
      </c>
      <c r="AG43" s="1009">
        <f>AF43</f>
        <v>7.0400000000000009</v>
      </c>
      <c r="AH43" s="1030"/>
      <c r="AI43" s="6033"/>
      <c r="AJ43" s="6034"/>
      <c r="AK43" s="6035"/>
      <c r="AL43" s="2985"/>
      <c r="AM43" s="2842"/>
      <c r="AN43" s="2958"/>
      <c r="AO43" s="2844"/>
      <c r="AP43" s="3729">
        <f>SUM(AG43*1.1)</f>
        <v>7.7440000000000015</v>
      </c>
      <c r="AQ43" s="3723">
        <f t="shared" si="14"/>
        <v>7.4644416000000007</v>
      </c>
      <c r="AR43" s="3724">
        <f t="shared" si="4"/>
        <v>1.06029</v>
      </c>
      <c r="AS43" s="5953"/>
      <c r="AT43" s="5954"/>
      <c r="AU43" s="5955"/>
      <c r="AV43" s="3951"/>
      <c r="AW43" s="4264"/>
      <c r="AX43" s="4278">
        <f t="shared" si="15"/>
        <v>0</v>
      </c>
      <c r="AY43" s="4303">
        <v>0</v>
      </c>
      <c r="AZ43" s="3723">
        <f t="shared" si="46"/>
        <v>7.6853890713600013</v>
      </c>
      <c r="BA43" s="3724"/>
    </row>
    <row r="44" spans="1:53" ht="20.25" customHeight="1" thickBot="1">
      <c r="A44" s="1124" t="s">
        <v>613</v>
      </c>
      <c r="B44" s="1125"/>
      <c r="C44" s="1125"/>
      <c r="D44" s="1126"/>
      <c r="E44" s="1127"/>
      <c r="F44" s="1128"/>
      <c r="G44" s="1128"/>
      <c r="H44" s="1128"/>
      <c r="I44" s="1128"/>
      <c r="J44" s="1128"/>
      <c r="K44" s="1128"/>
      <c r="L44" s="1128"/>
      <c r="M44" s="1128"/>
      <c r="N44" s="1128"/>
      <c r="O44" s="1128"/>
      <c r="P44" s="1128"/>
      <c r="Q44" s="1128"/>
      <c r="R44" s="1128"/>
      <c r="S44" s="1129"/>
      <c r="T44" s="1130"/>
      <c r="U44" s="1142"/>
      <c r="V44" s="1063"/>
      <c r="W44" s="1140"/>
      <c r="X44" s="1140"/>
      <c r="Y44" s="1140"/>
      <c r="Z44" s="1141">
        <v>6.1</v>
      </c>
      <c r="AA44" s="3750"/>
      <c r="AB44" s="3751"/>
      <c r="AC44" s="3745"/>
      <c r="AD44" s="1140">
        <v>8.5299999999999994</v>
      </c>
      <c r="AE44" s="1144">
        <v>10.23</v>
      </c>
      <c r="AF44" s="1074">
        <f>SUM(Z44*1.1)</f>
        <v>6.71</v>
      </c>
      <c r="AG44" s="1073">
        <f>AF44</f>
        <v>6.71</v>
      </c>
      <c r="AH44" s="1030"/>
      <c r="AI44" s="6036"/>
      <c r="AJ44" s="6037"/>
      <c r="AK44" s="6038"/>
      <c r="AL44" s="2835">
        <v>12.08</v>
      </c>
      <c r="AM44" s="2843">
        <v>9.3800000000000008</v>
      </c>
      <c r="AN44" s="2963">
        <v>16.22</v>
      </c>
      <c r="AO44" s="2844">
        <v>20.92</v>
      </c>
      <c r="AP44" s="3730">
        <f>SUM(AL44*1.074*1.1)</f>
        <v>14.271312000000004</v>
      </c>
      <c r="AQ44" s="3723">
        <f t="shared" si="14"/>
        <v>7.1145458999999995</v>
      </c>
      <c r="AR44" s="3731">
        <f t="shared" si="4"/>
        <v>1.06029</v>
      </c>
      <c r="AS44" s="5962"/>
      <c r="AT44" s="5963"/>
      <c r="AU44" s="5964"/>
      <c r="AV44" s="3951">
        <v>0.9</v>
      </c>
      <c r="AW44" s="4279">
        <v>1.25</v>
      </c>
      <c r="AX44" s="4278">
        <f t="shared" si="15"/>
        <v>1.6666666666666667</v>
      </c>
      <c r="AY44" s="4301">
        <f t="shared" ref="AY44" si="57">AQ44*(1-0.01)*(1+0.058)*(1+0)</f>
        <v>7.4519176665779998</v>
      </c>
      <c r="AZ44" s="3723">
        <f t="shared" si="46"/>
        <v>7.3251364586399994</v>
      </c>
      <c r="BA44" s="3711">
        <f t="shared" si="5"/>
        <v>1.0296000000000001</v>
      </c>
    </row>
    <row r="45" spans="1:53" ht="20.100000000000001" customHeight="1" thickBot="1">
      <c r="A45" s="1076" t="s">
        <v>54</v>
      </c>
      <c r="B45" s="1077">
        <f>B8+B11+B13+B14+B15+B16+B17+B23+B25+B26</f>
        <v>12622.300000000001</v>
      </c>
      <c r="C45" s="1078">
        <f>C8+C11+C13+C14+C15+C16+C17+C23+C25+C26</f>
        <v>13647.300000000003</v>
      </c>
      <c r="D45" s="1079">
        <f>C45/B45*100</f>
        <v>108.12054855295787</v>
      </c>
      <c r="E45" s="1080">
        <f>E8+E11+E13+E14+E15+E16+E17+E23+E25+E26</f>
        <v>16177.599999999999</v>
      </c>
      <c r="F45" s="1081">
        <f>F8+F11+F13+F14+F15+F16+F17+F23+F25+F26</f>
        <v>8590.9477735046166</v>
      </c>
      <c r="G45" s="1081">
        <f>G8+G11+G13+G14+G15+G16+G17+G23+G25+G26</f>
        <v>18541.900000000001</v>
      </c>
      <c r="H45" s="1082">
        <f t="shared" si="6"/>
        <v>114.61465235881715</v>
      </c>
      <c r="I45" s="1081">
        <f>I8+I11+I13+I14+I15+I16+I17+I23+I25+I26</f>
        <v>15969.009599999999</v>
      </c>
      <c r="J45" s="1081">
        <f>J8+J11+J13+J14+J15+J16+J17+J23+J25+J26</f>
        <v>10071.700000000001</v>
      </c>
      <c r="K45" s="1081">
        <f>K8+K11+K13+K14+K15+K16+K17+K23+K25+K26</f>
        <v>13501.300000000003</v>
      </c>
      <c r="L45" s="1081">
        <f>L8+L11+L13+L14+L15+L16+L17+L23+L25+L26</f>
        <v>19302.900000000001</v>
      </c>
      <c r="M45" s="1082">
        <f t="shared" si="7"/>
        <v>104.10421801433509</v>
      </c>
      <c r="N45" s="1081">
        <f>N8+N11+N13+N14+N15+N16+N17+N23+N25+N26</f>
        <v>22059.200000000001</v>
      </c>
      <c r="O45" s="1082">
        <f>N45/L45*100</f>
        <v>114.27920157074843</v>
      </c>
      <c r="P45" s="1081">
        <f>P8+P11+P13+P14+P15+P16+P17+P23+P25+P26</f>
        <v>17634.2</v>
      </c>
      <c r="Q45" s="1082">
        <f>P45/I45*100</f>
        <v>110.42763729066832</v>
      </c>
      <c r="R45" s="1082">
        <f>P45/L45*100</f>
        <v>91.355184972206246</v>
      </c>
      <c r="S45" s="1081">
        <f>S8+S11+S13+S14+S15+S16+S17+S23+S25+S26</f>
        <v>14829.099999999999</v>
      </c>
      <c r="T45" s="1083">
        <f>T8+T11+T13+T14+T15+T16+T17+T23+T25+T26</f>
        <v>19502.300000000003</v>
      </c>
      <c r="U45" s="1084">
        <f>U8+U11+U13+U14+U15+U16+U17+U23+U25+U26</f>
        <v>23158.7</v>
      </c>
      <c r="V45" s="1085">
        <f t="shared" si="8"/>
        <v>1.3132832790826916</v>
      </c>
      <c r="W45" s="1086">
        <f t="shared" ref="W45:AB45" si="58">W8+W11+W13+W14+W15+W16+W17+W23+W25+W26+W24</f>
        <v>18723.532385356291</v>
      </c>
      <c r="X45" s="1086">
        <f t="shared" si="58"/>
        <v>8462.2999999999993</v>
      </c>
      <c r="Y45" s="1086">
        <f t="shared" si="58"/>
        <v>12163.6</v>
      </c>
      <c r="Z45" s="1087">
        <f t="shared" si="58"/>
        <v>17316.400000000001</v>
      </c>
      <c r="AA45" s="1084">
        <f t="shared" si="58"/>
        <v>21388.100000000002</v>
      </c>
      <c r="AB45" s="1086">
        <f t="shared" si="58"/>
        <v>19700.208228981621</v>
      </c>
      <c r="AC45" s="1088">
        <f>AB45/W45</f>
        <v>1.0521630119532994</v>
      </c>
      <c r="AD45" s="1086">
        <f t="shared" ref="AD45:AG45" si="59">AD8+AD11+AD13+AD14+AD15+AD16+AD17+AD23+AD25+AD26+AD24</f>
        <v>9372.2199999999993</v>
      </c>
      <c r="AE45" s="1087">
        <f t="shared" si="59"/>
        <v>13324.320000000003</v>
      </c>
      <c r="AF45" s="1084">
        <f t="shared" si="59"/>
        <v>23341.413298249798</v>
      </c>
      <c r="AG45" s="1086">
        <f t="shared" si="59"/>
        <v>18719.609230157621</v>
      </c>
      <c r="AH45" s="1089">
        <f t="shared" ref="AH45:AH46" si="60">SUM(AG45/AB45)</f>
        <v>0.95022392720796689</v>
      </c>
      <c r="AI45" s="6051"/>
      <c r="AJ45" s="6052"/>
      <c r="AK45" s="6053"/>
      <c r="AL45" s="2836">
        <f t="shared" ref="AL45:AQ45" si="61">AL8+AL11+AL13+AL14+AL15+AL16+AL17+AL23+AL25+AL26+AL24</f>
        <v>18219.580000000002</v>
      </c>
      <c r="AM45" s="1084">
        <f t="shared" si="61"/>
        <v>8938.89</v>
      </c>
      <c r="AN45" s="1086">
        <f t="shared" si="61"/>
        <v>13483.54</v>
      </c>
      <c r="AO45" s="1087">
        <f t="shared" si="61"/>
        <v>19424.310000000001</v>
      </c>
      <c r="AP45" s="1084">
        <f t="shared" si="61"/>
        <v>21398.076634721609</v>
      </c>
      <c r="AQ45" s="1086">
        <f t="shared" si="61"/>
        <v>19752.050813946229</v>
      </c>
      <c r="AR45" s="3732">
        <f t="shared" si="4"/>
        <v>1.0551529452936084</v>
      </c>
      <c r="AS45" s="5932"/>
      <c r="AT45" s="5933"/>
      <c r="AU45" s="5934"/>
      <c r="AV45" s="2833">
        <f t="shared" ref="AV45:AW45" si="62">AV8+AV11+AV13+AV14+AV15+AV16+AV17+AV23+AV25+AV26+AV24</f>
        <v>10380.380000000001</v>
      </c>
      <c r="AW45" s="2984">
        <f t="shared" si="62"/>
        <v>14596.23</v>
      </c>
      <c r="AX45" s="3607">
        <f t="shared" ref="AX45" si="63">AX8+AX11+AX13+AX14+AX15+AX16+AX17+AX23+AX25+AX26+AX24</f>
        <v>19688.316666666662</v>
      </c>
      <c r="AY45" s="4304">
        <f t="shared" ref="AY45:AZ45" si="64">AY8+AY11+AY13+AY14+AY15+AY16+AY17+AY23+AY25+AY26+AY24</f>
        <v>20785.643793443556</v>
      </c>
      <c r="AZ45" s="1086">
        <f t="shared" si="64"/>
        <v>20407.286516479031</v>
      </c>
      <c r="BA45" s="3732">
        <f t="shared" si="5"/>
        <v>1.0331730466220836</v>
      </c>
    </row>
    <row r="46" spans="1:53" ht="20.100000000000001" customHeight="1" thickBot="1">
      <c r="A46" s="1090" t="s">
        <v>222</v>
      </c>
      <c r="B46" s="1091"/>
      <c r="C46" s="1091"/>
      <c r="D46" s="1092"/>
      <c r="E46" s="1093"/>
      <c r="F46" s="1094"/>
      <c r="G46" s="1094"/>
      <c r="H46" s="1094"/>
      <c r="I46" s="1094"/>
      <c r="J46" s="1094"/>
      <c r="K46" s="1094">
        <f t="shared" ref="K46:X46" si="65">K45-K36</f>
        <v>13027.500000000004</v>
      </c>
      <c r="L46" s="1094">
        <f t="shared" si="65"/>
        <v>18630.800000000003</v>
      </c>
      <c r="M46" s="1094">
        <f t="shared" si="65"/>
        <v>-16.777076949693679</v>
      </c>
      <c r="N46" s="1094">
        <f t="shared" si="65"/>
        <v>21344.2</v>
      </c>
      <c r="O46" s="1094">
        <f t="shared" si="65"/>
        <v>7.8962228473441769</v>
      </c>
      <c r="P46" s="1094">
        <f t="shared" si="65"/>
        <v>17634.2</v>
      </c>
      <c r="Q46" s="1094">
        <f t="shared" si="65"/>
        <v>110.42763729066832</v>
      </c>
      <c r="R46" s="1094">
        <f t="shared" si="65"/>
        <v>91.355184972206246</v>
      </c>
      <c r="S46" s="1094">
        <f t="shared" si="65"/>
        <v>14288.3</v>
      </c>
      <c r="T46" s="1095">
        <f t="shared" si="65"/>
        <v>18796.300000000003</v>
      </c>
      <c r="U46" s="1096">
        <f t="shared" si="65"/>
        <v>22417.4</v>
      </c>
      <c r="V46" s="1097">
        <f t="shared" si="65"/>
        <v>1.3132832790826916</v>
      </c>
      <c r="W46" s="1097">
        <f t="shared" si="65"/>
        <v>18723.532385356291</v>
      </c>
      <c r="X46" s="1097">
        <f t="shared" si="65"/>
        <v>8148.6999999999989</v>
      </c>
      <c r="Y46" s="1097"/>
      <c r="Z46" s="1098">
        <f>SUM(Z45-Z36-Z37)</f>
        <v>16628.2</v>
      </c>
      <c r="AA46" s="1096">
        <f t="shared" ref="AA46:AB46" si="66">SUM(AA45-AA36-AA37)</f>
        <v>20653.100000000002</v>
      </c>
      <c r="AB46" s="1097">
        <f t="shared" si="66"/>
        <v>19700.208228981621</v>
      </c>
      <c r="AC46" s="1088">
        <f>AB46/W46</f>
        <v>1.0521630119532994</v>
      </c>
      <c r="AD46" s="1097">
        <f t="shared" ref="AD46" si="67">SUM(AD45-AD36-AD37)</f>
        <v>9044.16</v>
      </c>
      <c r="AE46" s="1098">
        <f t="shared" ref="AE46" si="68">SUM(AE45-AE36-AE37)</f>
        <v>12830.860000000004</v>
      </c>
      <c r="AF46" s="1096">
        <f t="shared" ref="AF46" si="69">SUM(AF45-AF36-AF37)</f>
        <v>22584.393298249797</v>
      </c>
      <c r="AG46" s="1097">
        <f t="shared" ref="AG46" si="70">SUM(AG45-AG36-AG37)</f>
        <v>18719.609230157621</v>
      </c>
      <c r="AH46" s="1089">
        <f t="shared" si="60"/>
        <v>0.95022392720796689</v>
      </c>
      <c r="AI46" s="6054"/>
      <c r="AJ46" s="6055"/>
      <c r="AK46" s="6056"/>
      <c r="AL46" s="2987">
        <f t="shared" ref="AL46" si="71">SUM(AL45-AL36-AL37)</f>
        <v>17538.930000000004</v>
      </c>
      <c r="AM46" s="1096">
        <f>AM45-AM36-AM37</f>
        <v>8594.27</v>
      </c>
      <c r="AN46" s="1097">
        <f>AN45-AN36-AN37</f>
        <v>12915.36</v>
      </c>
      <c r="AO46" s="1098">
        <f>SUM(AO45-AO36-AO37)</f>
        <v>18619.68</v>
      </c>
      <c r="AP46" s="1096">
        <f t="shared" ref="AP46:AQ46" si="72">SUM(AP45-AP36-AP37)</f>
        <v>21398.076634721609</v>
      </c>
      <c r="AQ46" s="1097">
        <f t="shared" si="72"/>
        <v>19752.050813946229</v>
      </c>
      <c r="AR46" s="3732">
        <f t="shared" si="4"/>
        <v>1.0551529452936084</v>
      </c>
      <c r="AS46" s="5935"/>
      <c r="AT46" s="5936"/>
      <c r="AU46" s="5937"/>
      <c r="AV46" s="4280">
        <f>SUM(AV45-AV36-AV37)</f>
        <v>9931.24</v>
      </c>
      <c r="AW46" s="4281">
        <f>SUM(AW45-AW36-AW37)</f>
        <v>13928.85</v>
      </c>
      <c r="AX46" s="4282">
        <f>SUM(AX45-AX36-AX37)</f>
        <v>18798.476666666662</v>
      </c>
      <c r="AY46" s="4305">
        <f t="shared" ref="AY46:AZ46" si="73">SUM(AY45-AY36-AY37)</f>
        <v>20785.643793443556</v>
      </c>
      <c r="AZ46" s="1097">
        <f t="shared" si="73"/>
        <v>20407.286516479031</v>
      </c>
      <c r="BA46" s="3732">
        <f t="shared" si="5"/>
        <v>1.0331730466220836</v>
      </c>
    </row>
    <row r="47" spans="1:53" ht="19.5" customHeight="1">
      <c r="A47" s="5570" t="s">
        <v>158</v>
      </c>
      <c r="B47" s="5266"/>
      <c r="C47" s="5266"/>
      <c r="D47" s="1102"/>
      <c r="E47" s="1103"/>
      <c r="F47" s="1104"/>
      <c r="G47" s="1104"/>
      <c r="H47" s="1104"/>
      <c r="I47" s="1105">
        <v>1679.5</v>
      </c>
      <c r="J47" s="1104"/>
      <c r="K47" s="1105">
        <f>I47/I45*K46</f>
        <v>1370.1342035638834</v>
      </c>
      <c r="L47" s="1104">
        <f>I47/I45*L46</f>
        <v>1959.4470404726922</v>
      </c>
      <c r="M47" s="1104"/>
      <c r="N47" s="1105">
        <f>вода!O16</f>
        <v>1662.3</v>
      </c>
      <c r="O47" s="1104"/>
      <c r="P47" s="1105">
        <f>N47/N45*P45</f>
        <v>1328.848310908827</v>
      </c>
      <c r="Q47" s="1104"/>
      <c r="R47" s="1104"/>
      <c r="S47" s="1106">
        <v>832.1</v>
      </c>
      <c r="T47" s="1107"/>
      <c r="U47" s="1108">
        <f>вода!Y16</f>
        <v>1803.5</v>
      </c>
      <c r="V47" s="1109"/>
      <c r="W47" s="1109">
        <f>W46*(P47/P46)</f>
        <v>1410.9363841017698</v>
      </c>
      <c r="X47" s="1109">
        <v>658.7</v>
      </c>
      <c r="Y47" s="1109"/>
      <c r="Z47" s="1110">
        <v>1490.4</v>
      </c>
      <c r="AA47" s="1108">
        <f>SUM(AA45*AA51)</f>
        <v>1665.6132835608219</v>
      </c>
      <c r="AB47" s="1109">
        <f>AB46*(W47/W46)</f>
        <v>1484.5350755710156</v>
      </c>
      <c r="AC47" s="1111"/>
      <c r="AD47" s="1109">
        <v>1047.32</v>
      </c>
      <c r="AE47" s="1110">
        <v>1465.34</v>
      </c>
      <c r="AF47" s="1108">
        <f>SUM(AF45*AF51)</f>
        <v>2008.9650493007493</v>
      </c>
      <c r="AG47" s="1109">
        <f>SUM(AG45*AG51)</f>
        <v>1611.1723912953566</v>
      </c>
      <c r="AH47" s="1102"/>
      <c r="AI47" s="6057"/>
      <c r="AJ47" s="6058"/>
      <c r="AK47" s="6059"/>
      <c r="AL47" s="2988">
        <v>1903.85</v>
      </c>
      <c r="AM47" s="1108">
        <v>877.96</v>
      </c>
      <c r="AN47" s="1109">
        <v>1336.29</v>
      </c>
      <c r="AO47" s="1110">
        <v>1817.18</v>
      </c>
      <c r="AP47" s="1108">
        <f>SUM(AP45*AP51)</f>
        <v>2235.9861314593818</v>
      </c>
      <c r="AQ47" s="1109">
        <f>SUM(AQ45*AQ51)</f>
        <v>1847.8407571793698</v>
      </c>
      <c r="AR47" s="1260">
        <f t="shared" si="4"/>
        <v>1.1468920192293859</v>
      </c>
      <c r="AS47" s="5938"/>
      <c r="AT47" s="5939"/>
      <c r="AU47" s="5940"/>
      <c r="AV47" s="4283">
        <v>754.51</v>
      </c>
      <c r="AW47" s="4284">
        <v>1044.05</v>
      </c>
      <c r="AX47" s="4285">
        <f>SUM(AX45*AX51)</f>
        <v>1407.7146416666662</v>
      </c>
      <c r="AY47" s="4306">
        <f>SUM(AY45*AY51)</f>
        <v>1944.5352853496345</v>
      </c>
      <c r="AZ47" s="1109">
        <f>SUM(AZ45*AZ51)</f>
        <v>1459.7075743208986</v>
      </c>
      <c r="BA47" s="1260">
        <f t="shared" si="5"/>
        <v>0.78995312158232955</v>
      </c>
    </row>
    <row r="48" spans="1:53" ht="20.100000000000001" customHeight="1">
      <c r="A48" s="6013" t="s">
        <v>155</v>
      </c>
      <c r="B48" s="6014"/>
      <c r="C48" s="6014"/>
      <c r="D48" s="1043"/>
      <c r="E48" s="1036"/>
      <c r="F48" s="1112"/>
      <c r="G48" s="1112"/>
      <c r="H48" s="1112"/>
      <c r="I48" s="1113">
        <v>8659.2999999999993</v>
      </c>
      <c r="J48" s="1112"/>
      <c r="K48" s="1113">
        <f>I48/I45*K46</f>
        <v>7064.2471622034736</v>
      </c>
      <c r="L48" s="1112">
        <f>I48/I45*L46</f>
        <v>10102.673270357356</v>
      </c>
      <c r="M48" s="1112"/>
      <c r="N48" s="1113">
        <f>вода!O26</f>
        <v>13061</v>
      </c>
      <c r="O48" s="1112"/>
      <c r="P48" s="1113">
        <f>N48/N45*P45</f>
        <v>10441.008114528178</v>
      </c>
      <c r="Q48" s="1112"/>
      <c r="R48" s="1112"/>
      <c r="S48" s="1114">
        <v>7957</v>
      </c>
      <c r="T48" s="1025"/>
      <c r="U48" s="1051">
        <f>вода!Y26</f>
        <v>13533.8</v>
      </c>
      <c r="V48" s="1011"/>
      <c r="W48" s="1011">
        <f>W46*(P48/P46)</f>
        <v>11085.989359774539</v>
      </c>
      <c r="X48" s="1011">
        <v>4626.8999999999996</v>
      </c>
      <c r="Y48" s="1011"/>
      <c r="Z48" s="1052">
        <v>9696.2999999999993</v>
      </c>
      <c r="AA48" s="1051">
        <f>SUM(AA45*AA52)</f>
        <v>12499.072390937314</v>
      </c>
      <c r="AB48" s="1011">
        <f>AB46*(W48/W46)</f>
        <v>11664.267955262609</v>
      </c>
      <c r="AC48" s="1031"/>
      <c r="AD48" s="1011">
        <v>5322.04</v>
      </c>
      <c r="AE48" s="1052">
        <v>7066.56</v>
      </c>
      <c r="AF48" s="1051">
        <f>SUM(AF45*AF52)</f>
        <v>13069.99987086343</v>
      </c>
      <c r="AG48" s="1011">
        <f>SUM(AG45*AG52)</f>
        <v>10482.025535236962</v>
      </c>
      <c r="AH48" s="1043"/>
      <c r="AI48" s="6061"/>
      <c r="AJ48" s="6062"/>
      <c r="AK48" s="6063"/>
      <c r="AL48" s="2989">
        <f>9707.88-629.62-51.03</f>
        <v>9027.2299999999977</v>
      </c>
      <c r="AM48" s="2838">
        <v>4832.79</v>
      </c>
      <c r="AN48" s="2964">
        <v>7109.65</v>
      </c>
      <c r="AO48" s="2839">
        <v>10745.24</v>
      </c>
      <c r="AP48" s="3733">
        <f>SUM(AP45*AP52)</f>
        <v>10602.075313440699</v>
      </c>
      <c r="AQ48" s="3734">
        <f>SUM(AQ45*AQ52)</f>
        <v>10926.541354006786</v>
      </c>
      <c r="AR48" s="3724">
        <f t="shared" si="4"/>
        <v>1.0424074352114021</v>
      </c>
      <c r="AS48" s="5941"/>
      <c r="AT48" s="5942"/>
      <c r="AU48" s="5943"/>
      <c r="AV48" s="4286">
        <v>6891.89</v>
      </c>
      <c r="AW48" s="4287">
        <v>9414.31</v>
      </c>
      <c r="AX48" s="4288">
        <f>SUM(AX45*AX52)</f>
        <v>12698.964249999997</v>
      </c>
      <c r="AY48" s="4307">
        <f>SUM(AY45*AY52)</f>
        <v>11498.309649869745</v>
      </c>
      <c r="AZ48" s="3734">
        <f>SUM(AZ45*AZ52)</f>
        <v>13162.699803128975</v>
      </c>
      <c r="BA48" s="3724">
        <f t="shared" si="5"/>
        <v>1.2046538219801992</v>
      </c>
    </row>
    <row r="49" spans="1:53" ht="20.100000000000001" customHeight="1">
      <c r="A49" s="6013" t="s">
        <v>156</v>
      </c>
      <c r="B49" s="6014"/>
      <c r="C49" s="6014"/>
      <c r="D49" s="1043"/>
      <c r="E49" s="1036"/>
      <c r="F49" s="1112"/>
      <c r="G49" s="1112"/>
      <c r="H49" s="1112"/>
      <c r="I49" s="1113">
        <v>3523.1</v>
      </c>
      <c r="J49" s="1112"/>
      <c r="K49" s="1113">
        <f>I49/I45*K46</f>
        <v>2874.1410018314482</v>
      </c>
      <c r="L49" s="1112">
        <f>I49/I45*L46</f>
        <v>4110.3470486986253</v>
      </c>
      <c r="M49" s="1112"/>
      <c r="N49" s="1113">
        <f>вода!O34</f>
        <v>4691.6000000000004</v>
      </c>
      <c r="O49" s="1112"/>
      <c r="P49" s="1113">
        <f>N49/N45*P45</f>
        <v>3750.4811017625302</v>
      </c>
      <c r="Q49" s="1112"/>
      <c r="R49" s="1112"/>
      <c r="S49" s="1114">
        <v>3991.4</v>
      </c>
      <c r="T49" s="1025"/>
      <c r="U49" s="1051">
        <f>вода!Y34</f>
        <v>5004</v>
      </c>
      <c r="V49" s="1011"/>
      <c r="W49" s="1011">
        <f>W46*(P49/P46)</f>
        <v>3982.1627501966336</v>
      </c>
      <c r="X49" s="1011">
        <v>1750</v>
      </c>
      <c r="Y49" s="1011"/>
      <c r="Z49" s="1052">
        <v>3840.1</v>
      </c>
      <c r="AA49" s="1051">
        <f>SUM(AA45*AA53)</f>
        <v>4621.4188361177448</v>
      </c>
      <c r="AB49" s="1011">
        <f>AB46*(W49/W46)</f>
        <v>4189.8843533351246</v>
      </c>
      <c r="AC49" s="1031"/>
      <c r="AD49" s="1011">
        <v>1853.14</v>
      </c>
      <c r="AE49" s="1052">
        <v>3037.94</v>
      </c>
      <c r="AF49" s="1051">
        <f>SUM(AF45*AF53)</f>
        <v>5176.2122153917117</v>
      </c>
      <c r="AG49" s="1011">
        <f>SUM(AG45*AG53)</f>
        <v>4151.2769054034479</v>
      </c>
      <c r="AH49" s="1043"/>
      <c r="AI49" s="6061"/>
      <c r="AJ49" s="6062"/>
      <c r="AK49" s="6063"/>
      <c r="AL49" s="2989">
        <v>4010.45</v>
      </c>
      <c r="AM49" s="2838">
        <v>2053.5500000000002</v>
      </c>
      <c r="AN49" s="2964">
        <v>3169.88</v>
      </c>
      <c r="AO49" s="2839">
        <v>4356.6499999999996</v>
      </c>
      <c r="AP49" s="3733">
        <f>SUM(AP45*AP53)</f>
        <v>4710.0930120079202</v>
      </c>
      <c r="AQ49" s="3734">
        <f>SUM(AQ45*AQ53)</f>
        <v>4430.158506458084</v>
      </c>
      <c r="AR49" s="3724">
        <f t="shared" si="4"/>
        <v>1.0671797154007323</v>
      </c>
      <c r="AS49" s="5941"/>
      <c r="AT49" s="5942"/>
      <c r="AU49" s="5943"/>
      <c r="AV49" s="4286">
        <v>1647.84</v>
      </c>
      <c r="AW49" s="4287">
        <v>2338.38</v>
      </c>
      <c r="AX49" s="4288">
        <f>SUM(AX45*AX53)</f>
        <v>3154.0683299999996</v>
      </c>
      <c r="AY49" s="4307">
        <f>SUM(AY45*AY53)</f>
        <v>4661.9815598446403</v>
      </c>
      <c r="AZ49" s="3734">
        <f>SUM(AZ45*AZ53)</f>
        <v>3269.2472999399411</v>
      </c>
      <c r="BA49" s="3724">
        <f t="shared" si="5"/>
        <v>0.7379526703557403</v>
      </c>
    </row>
    <row r="50" spans="1:53" ht="20.100000000000001" customHeight="1" thickBot="1">
      <c r="A50" s="6018" t="s">
        <v>157</v>
      </c>
      <c r="B50" s="6019"/>
      <c r="C50" s="6019"/>
      <c r="D50" s="1115"/>
      <c r="E50" s="1116"/>
      <c r="F50" s="1117"/>
      <c r="G50" s="1117"/>
      <c r="H50" s="1117"/>
      <c r="I50" s="1062">
        <v>2107</v>
      </c>
      <c r="J50" s="1117"/>
      <c r="K50" s="1062">
        <f>I50/I45*K46</f>
        <v>1718.888220844955</v>
      </c>
      <c r="L50" s="1117">
        <f>I50/I45*L45</f>
        <v>2546.8837027939417</v>
      </c>
      <c r="M50" s="1117"/>
      <c r="N50" s="1062">
        <f>N45-N47-N48-N49</f>
        <v>2644.3000000000011</v>
      </c>
      <c r="O50" s="1117"/>
      <c r="P50" s="1062">
        <f>N50/N45*P45</f>
        <v>2113.8624728004652</v>
      </c>
      <c r="Q50" s="1117"/>
      <c r="R50" s="1117"/>
      <c r="S50" s="1118">
        <v>2048.6</v>
      </c>
      <c r="T50" s="1119"/>
      <c r="U50" s="1120">
        <f>вода!Y42</f>
        <v>2817.5</v>
      </c>
      <c r="V50" s="1121"/>
      <c r="W50" s="1121">
        <f>W46*(P50/P46)</f>
        <v>2244.4438912833493</v>
      </c>
      <c r="X50" s="1121">
        <v>1113.8</v>
      </c>
      <c r="Y50" s="1121"/>
      <c r="Z50" s="1122">
        <v>2289.6</v>
      </c>
      <c r="AA50" s="1120">
        <f>SUM(AA45*AA54)</f>
        <v>2602.0878438772475</v>
      </c>
      <c r="AB50" s="1121">
        <f>AB46*(W50/W46)</f>
        <v>2361.5208448128728</v>
      </c>
      <c r="AC50" s="1123"/>
      <c r="AD50" s="1121">
        <v>1149.72</v>
      </c>
      <c r="AE50" s="1122">
        <v>1754.48</v>
      </c>
      <c r="AF50" s="1120">
        <f>SUM(AF45*AF54)</f>
        <v>3086.2361626939046</v>
      </c>
      <c r="AG50" s="1121">
        <f>SUM(AG45*AG54)</f>
        <v>2475.1343982218523</v>
      </c>
      <c r="AH50" s="1115"/>
      <c r="AI50" s="6048"/>
      <c r="AJ50" s="6049"/>
      <c r="AK50" s="6050"/>
      <c r="AL50" s="2990">
        <v>2350.87</v>
      </c>
      <c r="AM50" s="2965">
        <v>1174.5899999999999</v>
      </c>
      <c r="AN50" s="2966">
        <v>1867.72</v>
      </c>
      <c r="AO50" s="2967">
        <v>2505.2399999999998</v>
      </c>
      <c r="AP50" s="2965">
        <f>SUM(AP45*AP54)</f>
        <v>2760.9910007951876</v>
      </c>
      <c r="AQ50" s="3735">
        <f>SUM(AQ45*AQ54)</f>
        <v>2547.5101963019865</v>
      </c>
      <c r="AR50" s="3736">
        <f t="shared" si="4"/>
        <v>1.0292411588365178</v>
      </c>
      <c r="AS50" s="5944"/>
      <c r="AT50" s="5945"/>
      <c r="AU50" s="5946"/>
      <c r="AV50" s="4289">
        <v>1086.1400000000001</v>
      </c>
      <c r="AW50" s="4290">
        <v>1799.49</v>
      </c>
      <c r="AX50" s="4291">
        <f>SUM(AX45*AX54)</f>
        <v>2427.5694449999996</v>
      </c>
      <c r="AY50" s="4308">
        <f>SUM(AY45*AY54)</f>
        <v>2680.8172983795316</v>
      </c>
      <c r="AZ50" s="3735">
        <f>SUM(AZ45*AZ54)</f>
        <v>2516.2184274818646</v>
      </c>
      <c r="BA50" s="3711">
        <f t="shared" si="5"/>
        <v>0.98771672479837547</v>
      </c>
    </row>
    <row r="51" spans="1:53" ht="20.100000000000001" customHeight="1">
      <c r="A51" s="5570" t="s">
        <v>846</v>
      </c>
      <c r="B51" s="5266"/>
      <c r="C51" s="5266"/>
      <c r="D51" s="419"/>
      <c r="E51" s="430"/>
      <c r="F51" s="430"/>
      <c r="G51" s="430"/>
      <c r="H51" s="430"/>
      <c r="I51" s="430"/>
      <c r="J51" s="430"/>
      <c r="K51" s="430"/>
      <c r="L51" s="430"/>
      <c r="M51" s="430"/>
      <c r="N51" s="430"/>
      <c r="O51" s="430"/>
      <c r="P51" s="430"/>
      <c r="Q51" s="430"/>
      <c r="R51" s="430"/>
      <c r="S51" s="430"/>
      <c r="T51" s="430"/>
      <c r="U51" s="1099">
        <f>U47/U45</f>
        <v>7.7875701140392162E-2</v>
      </c>
      <c r="V51" s="418"/>
      <c r="W51" s="418"/>
      <c r="X51" s="418"/>
      <c r="Y51" s="496"/>
      <c r="Z51" s="1133">
        <f>Z47/Z45</f>
        <v>8.6068697881776804E-2</v>
      </c>
      <c r="AA51" s="1100">
        <f>U51</f>
        <v>7.7875701140392162E-2</v>
      </c>
      <c r="AB51" s="1101">
        <f>AB47/AB45</f>
        <v>7.535631391890911E-2</v>
      </c>
      <c r="AC51" s="417"/>
      <c r="AD51" s="1101">
        <f t="shared" ref="AD51:AE51" si="74">AD47/AD45</f>
        <v>0.11174727012383405</v>
      </c>
      <c r="AE51" s="1143">
        <f t="shared" si="74"/>
        <v>0.10997484299386381</v>
      </c>
      <c r="AF51" s="1147">
        <f>SUM(Z51)</f>
        <v>8.6068697881776804E-2</v>
      </c>
      <c r="AG51" s="1153">
        <f>SUM(AF51)</f>
        <v>8.6068697881776804E-2</v>
      </c>
      <c r="AH51" s="1150"/>
      <c r="AI51" s="6039"/>
      <c r="AJ51" s="6040"/>
      <c r="AK51" s="6041"/>
      <c r="AL51" s="2991">
        <f t="shared" ref="AL51:AM51" si="75">AL47/AL45</f>
        <v>0.10449472490584304</v>
      </c>
      <c r="AM51" s="2972">
        <f t="shared" si="75"/>
        <v>9.8218011408575348E-2</v>
      </c>
      <c r="AN51" s="2973">
        <f t="shared" ref="AN51" si="76">AN47/AN45</f>
        <v>9.9105279474084693E-2</v>
      </c>
      <c r="AO51" s="1133">
        <f>AO47/AO45</f>
        <v>9.35518430255695E-2</v>
      </c>
      <c r="AP51" s="1100">
        <f>SUM(AL51)</f>
        <v>0.10449472490584304</v>
      </c>
      <c r="AQ51" s="3737">
        <f>SUM(AO51)</f>
        <v>9.35518430255695E-2</v>
      </c>
      <c r="AR51" s="3738">
        <f t="shared" si="4"/>
        <v>1.0869438637734647</v>
      </c>
      <c r="AS51" s="5947"/>
      <c r="AT51" s="5948"/>
      <c r="AU51" s="5949"/>
      <c r="AV51" s="4292">
        <f>AV47/AV45</f>
        <v>7.2686163704989593E-2</v>
      </c>
      <c r="AW51" s="4293">
        <f>AW47/AW45</f>
        <v>7.1528744066104738E-2</v>
      </c>
      <c r="AX51" s="4294">
        <v>7.1499999999999994E-2</v>
      </c>
      <c r="AY51" s="4309">
        <f>SUM(AO51)</f>
        <v>9.35518430255695E-2</v>
      </c>
      <c r="AZ51" s="3737">
        <f>SUM(AW51)</f>
        <v>7.1528744066104738E-2</v>
      </c>
      <c r="BA51" s="3738">
        <f t="shared" si="5"/>
        <v>0.76458936299688474</v>
      </c>
    </row>
    <row r="52" spans="1:53" ht="20.100000000000001" customHeight="1">
      <c r="A52" s="6013" t="s">
        <v>847</v>
      </c>
      <c r="B52" s="6014"/>
      <c r="C52" s="6014"/>
      <c r="D52" s="1044"/>
      <c r="E52" s="430"/>
      <c r="F52" s="430"/>
      <c r="G52" s="430"/>
      <c r="H52" s="430"/>
      <c r="I52" s="430"/>
      <c r="J52" s="430"/>
      <c r="K52" s="430"/>
      <c r="L52" s="430"/>
      <c r="M52" s="430"/>
      <c r="N52" s="430"/>
      <c r="O52" s="430"/>
      <c r="P52" s="430"/>
      <c r="Q52" s="430"/>
      <c r="R52" s="430"/>
      <c r="S52" s="430"/>
      <c r="T52" s="430"/>
      <c r="U52" s="1053">
        <f>U48/U45</f>
        <v>0.58439376994390868</v>
      </c>
      <c r="V52" s="1029"/>
      <c r="W52" s="1029"/>
      <c r="X52" s="1029"/>
      <c r="Y52" s="1131"/>
      <c r="Z52" s="1134">
        <f>Z48/Z45</f>
        <v>0.55994895012820212</v>
      </c>
      <c r="AA52" s="1057">
        <f>U52</f>
        <v>0.58439376994390868</v>
      </c>
      <c r="AB52" s="1028">
        <f>AB48/AB45</f>
        <v>0.59208856168854718</v>
      </c>
      <c r="AC52" s="1032"/>
      <c r="AD52" s="1028">
        <f t="shared" ref="AD52:AE52" si="77">AD48/AD45</f>
        <v>0.56785265390697193</v>
      </c>
      <c r="AE52" s="1134">
        <f t="shared" si="77"/>
        <v>0.53035051694945778</v>
      </c>
      <c r="AF52" s="1148">
        <f>SUM(Z52)</f>
        <v>0.55994895012820212</v>
      </c>
      <c r="AG52" s="1154">
        <f>SUM(AF52)</f>
        <v>0.55994895012820212</v>
      </c>
      <c r="AH52" s="1151"/>
      <c r="AI52" s="6042"/>
      <c r="AJ52" s="6043"/>
      <c r="AK52" s="6044"/>
      <c r="AL52" s="2992">
        <f t="shared" ref="AL52:AM52" si="78">AL48/AL45</f>
        <v>0.49546861124131275</v>
      </c>
      <c r="AM52" s="2968">
        <f t="shared" si="78"/>
        <v>0.54064766430731337</v>
      </c>
      <c r="AN52" s="2974">
        <f t="shared" ref="AN52" si="79">AN48/AN45</f>
        <v>0.52728363619642904</v>
      </c>
      <c r="AO52" s="2969">
        <f>AO48/AO45</f>
        <v>0.55318515818579905</v>
      </c>
      <c r="AP52" s="3739">
        <f>SUM(AL52)</f>
        <v>0.49546861124131275</v>
      </c>
      <c r="AQ52" s="3740">
        <f t="shared" ref="AQ52:AQ54" si="80">SUM(AO52)</f>
        <v>0.55318515818579905</v>
      </c>
      <c r="AR52" s="3724">
        <f t="shared" si="4"/>
        <v>0.98792069894790502</v>
      </c>
      <c r="AS52" s="5950"/>
      <c r="AT52" s="5951"/>
      <c r="AU52" s="5952"/>
      <c r="AV52" s="4295">
        <f>AV48/AV45</f>
        <v>0.6639342683023165</v>
      </c>
      <c r="AW52" s="4296">
        <f>AW48/AW45</f>
        <v>0.64498230022409897</v>
      </c>
      <c r="AX52" s="4297">
        <v>0.64500000000000002</v>
      </c>
      <c r="AY52" s="4310">
        <f>SUM(AO52)</f>
        <v>0.55318515818579905</v>
      </c>
      <c r="AZ52" s="4592">
        <f>SUM(AX52)</f>
        <v>0.64500000000000002</v>
      </c>
      <c r="BA52" s="3694">
        <f t="shared" si="5"/>
        <v>1.1659748828318401</v>
      </c>
    </row>
    <row r="53" spans="1:53" ht="20.100000000000001" customHeight="1">
      <c r="A53" s="6013" t="s">
        <v>848</v>
      </c>
      <c r="B53" s="6014"/>
      <c r="C53" s="6014"/>
      <c r="D53" s="1044"/>
      <c r="E53" s="430"/>
      <c r="F53" s="430"/>
      <c r="G53" s="430"/>
      <c r="H53" s="430"/>
      <c r="I53" s="430"/>
      <c r="J53" s="430"/>
      <c r="K53" s="430"/>
      <c r="L53" s="430"/>
      <c r="M53" s="430"/>
      <c r="N53" s="430"/>
      <c r="O53" s="430"/>
      <c r="P53" s="430"/>
      <c r="Q53" s="430"/>
      <c r="R53" s="430"/>
      <c r="S53" s="430"/>
      <c r="T53" s="430"/>
      <c r="U53" s="1053">
        <f>U49/U45</f>
        <v>0.21607430468895059</v>
      </c>
      <c r="V53" s="1029"/>
      <c r="W53" s="1029"/>
      <c r="X53" s="1029"/>
      <c r="Y53" s="1131"/>
      <c r="Z53" s="1134">
        <f>Z49/Z45</f>
        <v>0.2217608740846827</v>
      </c>
      <c r="AA53" s="1057">
        <f>U53</f>
        <v>0.21607430468895059</v>
      </c>
      <c r="AB53" s="1028">
        <f>AB49/AB45</f>
        <v>0.21268223688982377</v>
      </c>
      <c r="AC53" s="1032"/>
      <c r="AD53" s="1028">
        <f t="shared" ref="AD53:AE53" si="81">AD49/AD45</f>
        <v>0.19772689928320081</v>
      </c>
      <c r="AE53" s="1134">
        <f t="shared" si="81"/>
        <v>0.22799962774835783</v>
      </c>
      <c r="AF53" s="1148">
        <f>SUM(Z53)</f>
        <v>0.2217608740846827</v>
      </c>
      <c r="AG53" s="1154">
        <f>SUM(AF53)</f>
        <v>0.2217608740846827</v>
      </c>
      <c r="AH53" s="1151"/>
      <c r="AI53" s="6042"/>
      <c r="AJ53" s="6043"/>
      <c r="AK53" s="6044"/>
      <c r="AL53" s="2992">
        <f t="shared" ref="AL53:AM53" si="82">AL49/AL45</f>
        <v>0.22011758778193566</v>
      </c>
      <c r="AM53" s="2968">
        <f t="shared" si="82"/>
        <v>0.22973210320297044</v>
      </c>
      <c r="AN53" s="2974">
        <f t="shared" ref="AN53" si="83">AN49/AN45</f>
        <v>0.23509256471223433</v>
      </c>
      <c r="AO53" s="2969">
        <f>AO49/AO45</f>
        <v>0.22428853328638182</v>
      </c>
      <c r="AP53" s="3739">
        <f>SUM(AL53)</f>
        <v>0.22011758778193566</v>
      </c>
      <c r="AQ53" s="3740">
        <f t="shared" si="80"/>
        <v>0.22428853328638182</v>
      </c>
      <c r="AR53" s="3724">
        <f t="shared" si="4"/>
        <v>1.0113981296842016</v>
      </c>
      <c r="AS53" s="5950"/>
      <c r="AT53" s="5951"/>
      <c r="AU53" s="5952"/>
      <c r="AV53" s="4295">
        <f>AV49/AV45</f>
        <v>0.15874563358952173</v>
      </c>
      <c r="AW53" s="4296">
        <f>AW49/AW45</f>
        <v>0.16020438154235719</v>
      </c>
      <c r="AX53" s="4297">
        <v>0.16020000000000001</v>
      </c>
      <c r="AY53" s="4310">
        <f>SUM(AO53)</f>
        <v>0.22428853328638182</v>
      </c>
      <c r="AZ53" s="3740">
        <f t="shared" ref="AZ53:AZ54" si="84">SUM(AX53)</f>
        <v>0.16020000000000001</v>
      </c>
      <c r="BA53" s="3694">
        <f t="shared" si="5"/>
        <v>0.71425853855600074</v>
      </c>
    </row>
    <row r="54" spans="1:53" ht="20.100000000000001" customHeight="1" thickBot="1">
      <c r="A54" s="6018" t="s">
        <v>849</v>
      </c>
      <c r="B54" s="6019"/>
      <c r="C54" s="6019"/>
      <c r="D54" s="415"/>
      <c r="E54" s="430"/>
      <c r="F54" s="430"/>
      <c r="G54" s="430"/>
      <c r="H54" s="430"/>
      <c r="I54" s="430"/>
      <c r="J54" s="430"/>
      <c r="K54" s="430"/>
      <c r="L54" s="430"/>
      <c r="M54" s="430"/>
      <c r="N54" s="430"/>
      <c r="O54" s="430"/>
      <c r="P54" s="430"/>
      <c r="Q54" s="430"/>
      <c r="R54" s="430"/>
      <c r="S54" s="430"/>
      <c r="T54" s="430"/>
      <c r="U54" s="1054">
        <f>U50/U45</f>
        <v>0.12166054225841692</v>
      </c>
      <c r="V54" s="1055"/>
      <c r="W54" s="1055"/>
      <c r="X54" s="1055"/>
      <c r="Y54" s="1132"/>
      <c r="Z54" s="1135">
        <f>Z50/Z45</f>
        <v>0.13222147790533828</v>
      </c>
      <c r="AA54" s="1058">
        <f>U54</f>
        <v>0.12166054225841692</v>
      </c>
      <c r="AB54" s="1059">
        <f>AB50/AB45</f>
        <v>0.11987288750272002</v>
      </c>
      <c r="AC54" s="1045"/>
      <c r="AD54" s="1059">
        <f t="shared" ref="AD54:AE54" si="85">AD50/AD45</f>
        <v>0.1226731766859933</v>
      </c>
      <c r="AE54" s="1135">
        <f t="shared" si="85"/>
        <v>0.1316750123083204</v>
      </c>
      <c r="AF54" s="1149">
        <f>SUM(Z54)</f>
        <v>0.13222147790533828</v>
      </c>
      <c r="AG54" s="1155">
        <f>SUM(AF54)</f>
        <v>0.13222147790533828</v>
      </c>
      <c r="AH54" s="1152"/>
      <c r="AI54" s="6045"/>
      <c r="AJ54" s="6046"/>
      <c r="AK54" s="6047"/>
      <c r="AL54" s="2993">
        <f t="shared" ref="AL54:AM54" si="86">AL50/AL45</f>
        <v>0.12902986786742612</v>
      </c>
      <c r="AM54" s="2970">
        <f t="shared" si="86"/>
        <v>0.13140222108114094</v>
      </c>
      <c r="AN54" s="2975">
        <f t="shared" ref="AN54" si="87">AN50/AN45</f>
        <v>0.13851851961725184</v>
      </c>
      <c r="AO54" s="2971">
        <f>AO50/AO45</f>
        <v>0.12897446550224947</v>
      </c>
      <c r="AP54" s="3741">
        <f>SUM(AL54)</f>
        <v>0.12902986786742612</v>
      </c>
      <c r="AQ54" s="3742">
        <f t="shared" si="80"/>
        <v>0.12897446550224947</v>
      </c>
      <c r="AR54" s="3736">
        <f t="shared" si="4"/>
        <v>0.97544262509746371</v>
      </c>
      <c r="AS54" s="5929"/>
      <c r="AT54" s="5930"/>
      <c r="AU54" s="5931"/>
      <c r="AV54" s="4298">
        <f>AV50/AV45</f>
        <v>0.10463393440317213</v>
      </c>
      <c r="AW54" s="4299">
        <f>AW50/AW45</f>
        <v>0.12328457416743913</v>
      </c>
      <c r="AX54" s="4300">
        <v>0.12330000000000001</v>
      </c>
      <c r="AY54" s="4311">
        <f>SUM(AO54)</f>
        <v>0.12897446550224947</v>
      </c>
      <c r="AZ54" s="4557">
        <f t="shared" si="84"/>
        <v>0.12330000000000001</v>
      </c>
      <c r="BA54" s="3717">
        <f t="shared" si="5"/>
        <v>0.9560031865210521</v>
      </c>
    </row>
    <row r="57" spans="1:53" hidden="1">
      <c r="AH57" s="618"/>
      <c r="AL57" s="618"/>
    </row>
    <row r="58" spans="1:53" hidden="1">
      <c r="A58" s="423"/>
      <c r="B58" s="423"/>
      <c r="C58" s="423"/>
      <c r="D58" s="423"/>
      <c r="E58" s="423"/>
      <c r="F58" s="423"/>
      <c r="G58" s="423"/>
      <c r="H58" s="423"/>
      <c r="I58" s="423"/>
      <c r="J58" s="423"/>
      <c r="K58" s="423"/>
      <c r="L58" s="423"/>
      <c r="M58" s="423"/>
      <c r="N58" s="423"/>
      <c r="O58" s="423"/>
      <c r="P58" s="423"/>
      <c r="Q58" s="423"/>
      <c r="R58" s="423"/>
      <c r="S58" s="423"/>
      <c r="T58" s="423"/>
      <c r="U58" s="2501"/>
      <c r="V58" s="2501"/>
      <c r="W58" s="2501"/>
      <c r="X58" s="2501"/>
      <c r="Y58" s="2501"/>
      <c r="Z58" s="2501"/>
      <c r="AA58" s="2501"/>
      <c r="AB58" s="2501"/>
      <c r="AC58" s="423"/>
      <c r="AD58" s="423"/>
      <c r="AE58" s="423"/>
      <c r="AF58" s="423"/>
      <c r="AG58" s="423"/>
      <c r="AH58" s="423"/>
      <c r="AI58" s="2501"/>
      <c r="AJ58" s="2501"/>
      <c r="AK58" s="2501"/>
      <c r="AL58" s="423"/>
      <c r="AM58" s="423"/>
      <c r="AN58" s="423"/>
      <c r="AO58" s="423"/>
      <c r="AP58" s="423"/>
      <c r="AQ58" s="423"/>
    </row>
    <row r="59" spans="1:53" ht="20.25" hidden="1">
      <c r="A59" s="5726" t="s">
        <v>1763</v>
      </c>
      <c r="B59" s="6080"/>
      <c r="C59" s="6080"/>
      <c r="D59" s="6080"/>
      <c r="E59" s="6080"/>
      <c r="F59" s="6080"/>
      <c r="G59" s="6080"/>
      <c r="H59" s="6080"/>
      <c r="I59" s="6080"/>
      <c r="J59" s="6080"/>
      <c r="K59" s="6080"/>
      <c r="L59" s="6080"/>
      <c r="M59" s="6080"/>
      <c r="N59" s="6080"/>
      <c r="O59" s="6080"/>
      <c r="P59" s="6080"/>
      <c r="Q59" s="6080"/>
      <c r="R59" s="6080"/>
      <c r="S59" s="6080"/>
      <c r="T59" s="6080"/>
      <c r="U59" s="6080"/>
      <c r="V59" s="6080"/>
      <c r="W59" s="6080"/>
      <c r="X59" s="6080"/>
      <c r="Y59" s="6080"/>
      <c r="Z59" s="6080"/>
      <c r="AA59" s="6080"/>
      <c r="AB59" s="6080"/>
      <c r="AC59" s="6080"/>
      <c r="AD59" s="6080"/>
      <c r="AE59" s="6080"/>
      <c r="AF59" s="6080"/>
      <c r="AG59" s="6080"/>
      <c r="AH59" s="6080"/>
      <c r="AI59" s="6080"/>
      <c r="AJ59" s="6080"/>
      <c r="AK59" s="6080"/>
      <c r="AL59" s="6080"/>
      <c r="AM59" s="6080"/>
      <c r="AN59" s="6080"/>
      <c r="AO59" s="6080"/>
      <c r="AP59" s="6080"/>
    </row>
    <row r="60" spans="1:53" hidden="1">
      <c r="A60" s="657"/>
      <c r="B60" s="657"/>
      <c r="C60" s="657"/>
      <c r="D60" s="657"/>
      <c r="E60" s="657"/>
      <c r="F60" s="657"/>
      <c r="G60" s="657"/>
      <c r="H60" s="657"/>
      <c r="I60" s="657"/>
      <c r="J60" s="657"/>
      <c r="K60" s="657"/>
      <c r="L60" s="657"/>
      <c r="M60" s="657"/>
      <c r="N60" s="657"/>
      <c r="O60" s="657"/>
      <c r="P60" s="657"/>
      <c r="Q60" s="657"/>
      <c r="R60" s="657"/>
      <c r="S60" s="657"/>
      <c r="T60" s="657"/>
      <c r="AB60" s="657"/>
      <c r="AC60" s="657"/>
      <c r="AD60" s="657"/>
      <c r="AE60" s="657"/>
      <c r="AF60" s="657"/>
      <c r="AG60" s="657"/>
      <c r="AH60" s="657"/>
      <c r="AL60" s="657"/>
      <c r="AM60" s="657"/>
      <c r="AN60" s="657"/>
      <c r="AO60" s="657"/>
      <c r="AP60" s="657"/>
    </row>
    <row r="61" spans="1:53" ht="18.75" hidden="1">
      <c r="A61" s="6081" t="s">
        <v>545</v>
      </c>
      <c r="B61" s="381"/>
      <c r="C61" s="381"/>
      <c r="D61" s="381"/>
      <c r="E61" s="381"/>
      <c r="F61" s="381"/>
      <c r="G61" s="381"/>
      <c r="H61" s="381"/>
      <c r="I61" s="381"/>
      <c r="J61" s="381"/>
      <c r="K61" s="381"/>
      <c r="L61" s="381"/>
      <c r="M61" s="381"/>
      <c r="N61" s="381"/>
      <c r="O61" s="381"/>
      <c r="P61" s="381"/>
      <c r="Q61" s="381"/>
      <c r="R61" s="381"/>
      <c r="S61" s="381"/>
      <c r="T61" s="381"/>
      <c r="U61" s="6083" t="s">
        <v>1764</v>
      </c>
      <c r="V61" s="640"/>
      <c r="W61" s="6083" t="s">
        <v>575</v>
      </c>
      <c r="X61" s="6083"/>
      <c r="Y61" s="6060" t="s">
        <v>586</v>
      </c>
      <c r="Z61" s="6060" t="s">
        <v>587</v>
      </c>
      <c r="AA61" s="6060" t="s">
        <v>588</v>
      </c>
      <c r="AB61" s="6077" t="s">
        <v>600</v>
      </c>
      <c r="AC61" s="6060" t="s">
        <v>589</v>
      </c>
      <c r="AD61" s="6060" t="s">
        <v>590</v>
      </c>
      <c r="AE61" s="6060" t="s">
        <v>591</v>
      </c>
      <c r="AF61" s="6077" t="s">
        <v>599</v>
      </c>
      <c r="AG61" s="6077" t="s">
        <v>598</v>
      </c>
      <c r="AH61" s="6060" t="s">
        <v>592</v>
      </c>
      <c r="AI61" s="6060" t="s">
        <v>593</v>
      </c>
      <c r="AJ61" s="6060" t="s">
        <v>594</v>
      </c>
      <c r="AK61" s="6077" t="s">
        <v>225</v>
      </c>
      <c r="AL61" s="6074" t="s">
        <v>229</v>
      </c>
      <c r="AM61" s="6078" t="s">
        <v>595</v>
      </c>
      <c r="AN61" s="6078" t="s">
        <v>596</v>
      </c>
      <c r="AO61" s="6078" t="s">
        <v>597</v>
      </c>
      <c r="AP61" s="6074" t="s">
        <v>135</v>
      </c>
      <c r="AQ61" s="6076" t="s">
        <v>601</v>
      </c>
    </row>
    <row r="62" spans="1:53" ht="37.5" hidden="1">
      <c r="A62" s="6082"/>
      <c r="B62" s="381"/>
      <c r="C62" s="381"/>
      <c r="D62" s="381"/>
      <c r="E62" s="381"/>
      <c r="F62" s="381"/>
      <c r="G62" s="381"/>
      <c r="H62" s="381"/>
      <c r="I62" s="381"/>
      <c r="J62" s="381"/>
      <c r="K62" s="381"/>
      <c r="L62" s="381"/>
      <c r="M62" s="381"/>
      <c r="N62" s="381"/>
      <c r="O62" s="381"/>
      <c r="P62" s="381"/>
      <c r="Q62" s="381"/>
      <c r="R62" s="381"/>
      <c r="S62" s="381"/>
      <c r="T62" s="381"/>
      <c r="U62" s="6083"/>
      <c r="V62" s="640"/>
      <c r="W62" s="2473" t="s">
        <v>1553</v>
      </c>
      <c r="X62" s="2473" t="s">
        <v>1554</v>
      </c>
      <c r="Y62" s="6060"/>
      <c r="Z62" s="6060"/>
      <c r="AA62" s="6060"/>
      <c r="AB62" s="6077"/>
      <c r="AC62" s="6060"/>
      <c r="AD62" s="6060"/>
      <c r="AE62" s="6060"/>
      <c r="AF62" s="6077"/>
      <c r="AG62" s="6077"/>
      <c r="AH62" s="6060"/>
      <c r="AI62" s="6060"/>
      <c r="AJ62" s="6060"/>
      <c r="AK62" s="6077"/>
      <c r="AL62" s="6075"/>
      <c r="AM62" s="6079"/>
      <c r="AN62" s="6079"/>
      <c r="AO62" s="6079"/>
      <c r="AP62" s="6075"/>
      <c r="AQ62" s="6076"/>
    </row>
    <row r="63" spans="1:53" ht="18.75" hidden="1">
      <c r="A63" s="2474" t="s">
        <v>1589</v>
      </c>
      <c r="B63" s="381"/>
      <c r="C63" s="381"/>
      <c r="D63" s="381"/>
      <c r="E63" s="381"/>
      <c r="F63" s="381"/>
      <c r="G63" s="381"/>
      <c r="H63" s="381"/>
      <c r="I63" s="381"/>
      <c r="J63" s="381"/>
      <c r="K63" s="381"/>
      <c r="L63" s="381"/>
      <c r="M63" s="381"/>
      <c r="N63" s="381"/>
      <c r="O63" s="381"/>
      <c r="P63" s="381"/>
      <c r="Q63" s="381"/>
      <c r="R63" s="381"/>
      <c r="S63" s="381"/>
      <c r="T63" s="381"/>
      <c r="U63" s="2475">
        <f>SUM(AQ47)</f>
        <v>1847.8407571793698</v>
      </c>
      <c r="V63" s="640"/>
      <c r="W63" s="2475">
        <f>SUM(вода!CA16)</f>
        <v>1837.922991347777</v>
      </c>
      <c r="X63" s="2476">
        <f>SUM(U63-W63)</f>
        <v>9.9177658315927602</v>
      </c>
      <c r="Y63" s="2477">
        <f>SUM(Y64+Y65+Y66+Y67+Y68+Y69+Y70+Y71+Y72+Y76)</f>
        <v>151.00843034297924</v>
      </c>
      <c r="Z63" s="2477">
        <f>SUM(Z64+Z65+Z66+Z67+Z68+Z69+Z70+Z71+Z72+Z76)</f>
        <v>151.00843034297924</v>
      </c>
      <c r="AA63" s="2477">
        <f>SUM(AA64+AA65+AA66+AA67+AA68+AA69+AA70+AA71+AA72+AA76)</f>
        <v>151.00843034297924</v>
      </c>
      <c r="AB63" s="2478">
        <f>SUM(Y63+Z63+AA63)</f>
        <v>453.02529102893772</v>
      </c>
      <c r="AC63" s="2477">
        <f t="shared" ref="AC63:AE63" si="88">SUM(AC64+AC65+AC66+AC67+AC68+AC69+AC70+AC71+AC72+AC76)</f>
        <v>151.03088160817896</v>
      </c>
      <c r="AD63" s="2477">
        <f t="shared" si="88"/>
        <v>151.40257477648558</v>
      </c>
      <c r="AE63" s="2477">
        <f t="shared" si="88"/>
        <v>151.72687082937057</v>
      </c>
      <c r="AF63" s="2478">
        <f>SUM(AC63+AD63+AE63)</f>
        <v>454.16032721403508</v>
      </c>
      <c r="AG63" s="2478">
        <f>SUM(AB63+AF63)</f>
        <v>907.18561824297285</v>
      </c>
      <c r="AH63" s="2477">
        <f t="shared" ref="AH63:AJ63" si="89">SUM(AH64+AH65+AH66+AH67+AH68+AH69+AH70+AH71+AH72+AH76)</f>
        <v>157.27020008796387</v>
      </c>
      <c r="AI63" s="2477">
        <f t="shared" si="89"/>
        <v>157.17291127209839</v>
      </c>
      <c r="AJ63" s="2477">
        <f t="shared" si="89"/>
        <v>156.8486152192134</v>
      </c>
      <c r="AK63" s="2478">
        <f>SUM(AH63+AI63+AJ63)</f>
        <v>471.29172657927569</v>
      </c>
      <c r="AL63" s="2478">
        <f>SUM(AG63+AK63)</f>
        <v>1378.4773448222486</v>
      </c>
      <c r="AM63" s="2477">
        <f t="shared" ref="AM63:AO63" si="90">SUM(AM64+AM65+AM66+AM67+AM68+AM69+AM70+AM71+AM72+AM76)</f>
        <v>156.45447078570706</v>
      </c>
      <c r="AN63" s="2477">
        <f t="shared" si="90"/>
        <v>156.45447078570706</v>
      </c>
      <c r="AO63" s="2477">
        <f t="shared" si="90"/>
        <v>156.45447078570706</v>
      </c>
      <c r="AP63" s="2478">
        <f>SUM(AM63+AN63+AO63)</f>
        <v>469.36341235712121</v>
      </c>
      <c r="AQ63" s="642">
        <f>SUM(AO63+AN63+AM63+AJ63+AI63+AH63+AE63+AD63+AC63+AA63+Z63+Y63)</f>
        <v>1847.8407571793696</v>
      </c>
    </row>
    <row r="64" spans="1:53" ht="18.75" hidden="1">
      <c r="A64" s="2479" t="s">
        <v>72</v>
      </c>
      <c r="B64" s="381"/>
      <c r="C64" s="381"/>
      <c r="D64" s="381"/>
      <c r="E64" s="381"/>
      <c r="F64" s="381"/>
      <c r="G64" s="381"/>
      <c r="H64" s="381"/>
      <c r="I64" s="381"/>
      <c r="J64" s="381"/>
      <c r="K64" s="381"/>
      <c r="L64" s="381"/>
      <c r="M64" s="381"/>
      <c r="N64" s="381"/>
      <c r="O64" s="381"/>
      <c r="P64" s="381"/>
      <c r="Q64" s="381"/>
      <c r="R64" s="381"/>
      <c r="S64" s="381"/>
      <c r="T64" s="381"/>
      <c r="U64" s="2480">
        <f>SUM(U63*46.45%)</f>
        <v>858.32203170981734</v>
      </c>
      <c r="V64" s="640"/>
      <c r="W64" s="2480">
        <f>SUM(U64*вода!CA56/вода!BY56)</f>
        <v>853.71522948104257</v>
      </c>
      <c r="X64" s="2481">
        <f>SUM(U64-W64)</f>
        <v>4.6068022287747681</v>
      </c>
      <c r="Y64" s="2467">
        <f>SUM(U64/2)/(1+(106.03%*100-100)/2/100)/6</f>
        <v>69.433418410734475</v>
      </c>
      <c r="Z64" s="2482">
        <f>SUM(Y64)</f>
        <v>69.433418410734475</v>
      </c>
      <c r="AA64" s="2467">
        <f>SUM(Y64)</f>
        <v>69.433418410734475</v>
      </c>
      <c r="AB64" s="2466">
        <f>SUM(Y64+Z64+AA64)</f>
        <v>208.30025523220343</v>
      </c>
      <c r="AC64" s="2483">
        <f>SUM(Y64)</f>
        <v>69.433418410734475</v>
      </c>
      <c r="AD64" s="2483">
        <f>SUM(Y64)</f>
        <v>69.433418410734475</v>
      </c>
      <c r="AE64" s="2483">
        <f>SUM(Y64)</f>
        <v>69.433418410734475</v>
      </c>
      <c r="AF64" s="2466">
        <f>SUM(AC64+AD64+AE64)</f>
        <v>208.30025523220343</v>
      </c>
      <c r="AG64" s="2466">
        <f>SUM(AB64+AF64)</f>
        <v>416.60051046440685</v>
      </c>
      <c r="AH64" s="2483">
        <f>SUM(U64-AG64)/6</f>
        <v>73.620253540901743</v>
      </c>
      <c r="AI64" s="2483">
        <f>SUM(AH64)</f>
        <v>73.620253540901743</v>
      </c>
      <c r="AJ64" s="2483">
        <f>SUM(AH64)</f>
        <v>73.620253540901743</v>
      </c>
      <c r="AK64" s="2466">
        <f>SUM(AH64+AI64+AJ64)</f>
        <v>220.86076062270524</v>
      </c>
      <c r="AL64" s="2466">
        <f>SUM(AG64+AK64)</f>
        <v>637.4612710871121</v>
      </c>
      <c r="AM64" s="2483">
        <f>SUM(AH64)</f>
        <v>73.620253540901743</v>
      </c>
      <c r="AN64" s="2483">
        <f>SUM(AH64)</f>
        <v>73.620253540901743</v>
      </c>
      <c r="AO64" s="2483">
        <f>SUM(AH64)</f>
        <v>73.620253540901743</v>
      </c>
      <c r="AP64" s="2466">
        <f>SUM(AM64+AN64+AO64)</f>
        <v>220.86076062270524</v>
      </c>
      <c r="AQ64" s="642">
        <f>SUM(AO64+AN64+AM64+AJ64+AI64+AH64+AE64+AD64+AC64+AA64+Z64+Y64)</f>
        <v>858.32203170981734</v>
      </c>
    </row>
    <row r="65" spans="1:43" ht="18.75" hidden="1">
      <c r="A65" s="2479" t="s">
        <v>121</v>
      </c>
      <c r="B65" s="381"/>
      <c r="C65" s="381"/>
      <c r="D65" s="381"/>
      <c r="E65" s="381"/>
      <c r="F65" s="381"/>
      <c r="G65" s="381"/>
      <c r="H65" s="381"/>
      <c r="I65" s="381"/>
      <c r="J65" s="381"/>
      <c r="K65" s="381"/>
      <c r="L65" s="381"/>
      <c r="M65" s="381"/>
      <c r="N65" s="381"/>
      <c r="O65" s="381"/>
      <c r="P65" s="381"/>
      <c r="Q65" s="381"/>
      <c r="R65" s="381"/>
      <c r="S65" s="381"/>
      <c r="T65" s="381"/>
      <c r="U65" s="2480">
        <f>SUM(U63*13.97%)</f>
        <v>258.143353777958</v>
      </c>
      <c r="V65" s="640"/>
      <c r="W65" s="2480">
        <f>SUM(U65*вода!CA56/вода!BY56)</f>
        <v>256.7578418912845</v>
      </c>
      <c r="X65" s="2481">
        <f t="shared" ref="X65:X78" si="91">SUM(U65-W65)</f>
        <v>1.3855118866734983</v>
      </c>
      <c r="Y65" s="2467">
        <f>SUM(Y64*(U65/U64))</f>
        <v>20.882343491882899</v>
      </c>
      <c r="Z65" s="2467">
        <f>SUM(Y65)</f>
        <v>20.882343491882899</v>
      </c>
      <c r="AA65" s="2482">
        <f>SUM(Y65)</f>
        <v>20.882343491882899</v>
      </c>
      <c r="AB65" s="2466">
        <f t="shared" ref="AB65:AB123" si="92">SUM(Y65+Z65+AA65)</f>
        <v>62.647030475648698</v>
      </c>
      <c r="AC65" s="2483">
        <f>SUM(Y65)</f>
        <v>20.882343491882899</v>
      </c>
      <c r="AD65" s="2483">
        <f>SUM(Y65)</f>
        <v>20.882343491882899</v>
      </c>
      <c r="AE65" s="2483">
        <f>SUM(Y65)</f>
        <v>20.882343491882899</v>
      </c>
      <c r="AF65" s="2466">
        <f t="shared" ref="AF65:AF123" si="93">SUM(AC65+AD65+AE65)</f>
        <v>62.647030475648698</v>
      </c>
      <c r="AG65" s="2466">
        <f t="shared" ref="AG65:AG123" si="94">SUM(AB65+AF65)</f>
        <v>125.2940609512974</v>
      </c>
      <c r="AH65" s="2483">
        <f>SUM(U65-AG65)/6</f>
        <v>22.141548804443431</v>
      </c>
      <c r="AI65" s="2483">
        <f>SUM(AH65)</f>
        <v>22.141548804443431</v>
      </c>
      <c r="AJ65" s="2483">
        <f>SUM(AH65)</f>
        <v>22.141548804443431</v>
      </c>
      <c r="AK65" s="2466">
        <f t="shared" ref="AK65:AK123" si="95">SUM(AH65+AI65+AJ65)</f>
        <v>66.424646413330294</v>
      </c>
      <c r="AL65" s="2466">
        <f t="shared" ref="AL65:AL123" si="96">SUM(AG65+AK65)</f>
        <v>191.71870736462768</v>
      </c>
      <c r="AM65" s="2483">
        <f>SUM(AH65)</f>
        <v>22.141548804443431</v>
      </c>
      <c r="AN65" s="2483">
        <f>SUM(AH65)</f>
        <v>22.141548804443431</v>
      </c>
      <c r="AO65" s="2483">
        <f>SUM(AH65)</f>
        <v>22.141548804443431</v>
      </c>
      <c r="AP65" s="2466">
        <f t="shared" ref="AP65:AP123" si="97">SUM(AM65+AN65+AO65)</f>
        <v>66.424646413330294</v>
      </c>
      <c r="AQ65" s="642">
        <f t="shared" ref="AQ65:AQ128" si="98">SUM(AO65+AN65+AM65+AJ65+AI65+AH65+AE65+AD65+AC65+AA65+Z65+Y65)</f>
        <v>258.14335377795794</v>
      </c>
    </row>
    <row r="66" spans="1:43" ht="18.75" hidden="1">
      <c r="A66" s="2479" t="s">
        <v>1555</v>
      </c>
      <c r="B66" s="381"/>
      <c r="C66" s="381"/>
      <c r="D66" s="381"/>
      <c r="E66" s="381"/>
      <c r="F66" s="381"/>
      <c r="G66" s="381"/>
      <c r="H66" s="381"/>
      <c r="I66" s="381"/>
      <c r="J66" s="381"/>
      <c r="K66" s="381"/>
      <c r="L66" s="381"/>
      <c r="M66" s="381"/>
      <c r="N66" s="381"/>
      <c r="O66" s="381"/>
      <c r="P66" s="381"/>
      <c r="Q66" s="381"/>
      <c r="R66" s="381"/>
      <c r="S66" s="381"/>
      <c r="T66" s="381"/>
      <c r="U66" s="2480">
        <f>SUM(U63*25.46%)</f>
        <v>470.46025677786753</v>
      </c>
      <c r="V66" s="640"/>
      <c r="W66" s="2480">
        <f>SUM(U66*вода!CA56/вода!BY56)</f>
        <v>467.93519359714401</v>
      </c>
      <c r="X66" s="2481">
        <f t="shared" si="91"/>
        <v>2.5250631807235209</v>
      </c>
      <c r="Y66" s="2467">
        <f>SUM(U66/12)</f>
        <v>39.20502139815563</v>
      </c>
      <c r="Z66" s="2467">
        <f>SUM(Y66)</f>
        <v>39.20502139815563</v>
      </c>
      <c r="AA66" s="2467">
        <f>SUM(Y66)</f>
        <v>39.20502139815563</v>
      </c>
      <c r="AB66" s="2466">
        <f t="shared" si="92"/>
        <v>117.6150641944669</v>
      </c>
      <c r="AC66" s="2483">
        <f>SUM(Y66)</f>
        <v>39.20502139815563</v>
      </c>
      <c r="AD66" s="2483">
        <f>SUM(Y66)</f>
        <v>39.20502139815563</v>
      </c>
      <c r="AE66" s="2483">
        <f>SUM(Y66)</f>
        <v>39.20502139815563</v>
      </c>
      <c r="AF66" s="2466">
        <f t="shared" si="93"/>
        <v>117.6150641944669</v>
      </c>
      <c r="AG66" s="2466">
        <f t="shared" si="94"/>
        <v>235.23012838893379</v>
      </c>
      <c r="AH66" s="2483">
        <f>SUM(Y66)</f>
        <v>39.20502139815563</v>
      </c>
      <c r="AI66" s="2483">
        <f>SUM(Y66)</f>
        <v>39.20502139815563</v>
      </c>
      <c r="AJ66" s="2483">
        <f>SUM(Y66)</f>
        <v>39.20502139815563</v>
      </c>
      <c r="AK66" s="2466">
        <f t="shared" si="95"/>
        <v>117.6150641944669</v>
      </c>
      <c r="AL66" s="2466">
        <f t="shared" si="96"/>
        <v>352.84519258340072</v>
      </c>
      <c r="AM66" s="2483">
        <f>SUM(Y66)</f>
        <v>39.20502139815563</v>
      </c>
      <c r="AN66" s="2483">
        <f>SUM(Y66)</f>
        <v>39.20502139815563</v>
      </c>
      <c r="AO66" s="2483">
        <f>SUM(Y66)</f>
        <v>39.20502139815563</v>
      </c>
      <c r="AP66" s="2466">
        <f t="shared" si="97"/>
        <v>117.6150641944669</v>
      </c>
      <c r="AQ66" s="642">
        <f t="shared" si="98"/>
        <v>470.46025677786753</v>
      </c>
    </row>
    <row r="67" spans="1:43" ht="18.75" hidden="1">
      <c r="A67" s="2479" t="s">
        <v>52</v>
      </c>
      <c r="B67" s="381"/>
      <c r="C67" s="381"/>
      <c r="D67" s="381"/>
      <c r="E67" s="381"/>
      <c r="F67" s="381"/>
      <c r="G67" s="381"/>
      <c r="H67" s="381"/>
      <c r="I67" s="381"/>
      <c r="J67" s="381"/>
      <c r="K67" s="381"/>
      <c r="L67" s="381"/>
      <c r="M67" s="381"/>
      <c r="N67" s="381"/>
      <c r="O67" s="381"/>
      <c r="P67" s="381"/>
      <c r="Q67" s="381"/>
      <c r="R67" s="381"/>
      <c r="S67" s="381"/>
      <c r="T67" s="381"/>
      <c r="U67" s="2480">
        <f>SUM(U63*0.72%)</f>
        <v>13.304453451691462</v>
      </c>
      <c r="V67" s="640"/>
      <c r="W67" s="2480">
        <f>SUM(U67*вода!CA56/вода!BY56)</f>
        <v>13.233045537703994</v>
      </c>
      <c r="X67" s="2481">
        <f t="shared" si="91"/>
        <v>7.1407913987467708E-2</v>
      </c>
      <c r="Y67" s="2467">
        <f t="shared" ref="Y67:Y71" si="99">SUM(U67/12)</f>
        <v>1.1087044543076219</v>
      </c>
      <c r="Z67" s="2467">
        <f t="shared" ref="Z67:Z78" si="100">SUM(Y67)</f>
        <v>1.1087044543076219</v>
      </c>
      <c r="AA67" s="2467">
        <f t="shared" ref="AA67:AA71" si="101">SUM(Y67)</f>
        <v>1.1087044543076219</v>
      </c>
      <c r="AB67" s="2466">
        <f t="shared" ref="AB67:AB71" si="102">SUM(Y67+Z67+AA67)</f>
        <v>3.3261133629228654</v>
      </c>
      <c r="AC67" s="2483">
        <f t="shared" ref="AC67:AC71" si="103">SUM(Y67)</f>
        <v>1.1087044543076219</v>
      </c>
      <c r="AD67" s="2483">
        <f t="shared" ref="AD67:AD71" si="104">SUM(Y67)</f>
        <v>1.1087044543076219</v>
      </c>
      <c r="AE67" s="2483">
        <f t="shared" ref="AE67:AE71" si="105">SUM(Y67)</f>
        <v>1.1087044543076219</v>
      </c>
      <c r="AF67" s="2466">
        <f t="shared" ref="AF67:AF71" si="106">SUM(AC67+AD67+AE67)</f>
        <v>3.3261133629228654</v>
      </c>
      <c r="AG67" s="2466">
        <f t="shared" si="94"/>
        <v>6.6522267258457308</v>
      </c>
      <c r="AH67" s="2483">
        <f t="shared" ref="AH67:AH71" si="107">SUM(Y67)</f>
        <v>1.1087044543076219</v>
      </c>
      <c r="AI67" s="2483">
        <f t="shared" ref="AI67:AI71" si="108">SUM(Y67)</f>
        <v>1.1087044543076219</v>
      </c>
      <c r="AJ67" s="2483">
        <f t="shared" ref="AJ67:AJ71" si="109">SUM(Y67)</f>
        <v>1.1087044543076219</v>
      </c>
      <c r="AK67" s="2466">
        <f t="shared" ref="AK67:AK71" si="110">SUM(AH67+AI67+AJ67)</f>
        <v>3.3261133629228654</v>
      </c>
      <c r="AL67" s="2466">
        <f t="shared" si="96"/>
        <v>9.9783400887685971</v>
      </c>
      <c r="AM67" s="2483">
        <f t="shared" ref="AM67:AM71" si="111">SUM(Y67)</f>
        <v>1.1087044543076219</v>
      </c>
      <c r="AN67" s="2483">
        <f t="shared" ref="AN67:AN71" si="112">SUM(Y67)</f>
        <v>1.1087044543076219</v>
      </c>
      <c r="AO67" s="2483">
        <f t="shared" ref="AO67:AO71" si="113">SUM(Y67)</f>
        <v>1.1087044543076219</v>
      </c>
      <c r="AP67" s="2466">
        <f t="shared" ref="AP67:AP71" si="114">SUM(AM67+AN67+AO67)</f>
        <v>3.3261133629228654</v>
      </c>
      <c r="AQ67" s="642">
        <f t="shared" si="98"/>
        <v>13.304453451691463</v>
      </c>
    </row>
    <row r="68" spans="1:43" ht="18.75" hidden="1">
      <c r="A68" s="2479" t="s">
        <v>1556</v>
      </c>
      <c r="B68" s="381"/>
      <c r="C68" s="381"/>
      <c r="D68" s="381"/>
      <c r="E68" s="381"/>
      <c r="F68" s="381"/>
      <c r="G68" s="381"/>
      <c r="H68" s="381"/>
      <c r="I68" s="381"/>
      <c r="J68" s="381"/>
      <c r="K68" s="381"/>
      <c r="L68" s="381"/>
      <c r="M68" s="381"/>
      <c r="N68" s="381"/>
      <c r="O68" s="381"/>
      <c r="P68" s="381"/>
      <c r="Q68" s="381"/>
      <c r="R68" s="381"/>
      <c r="S68" s="381"/>
      <c r="T68" s="381"/>
      <c r="U68" s="2480">
        <f>SUM(U63*0.65%)</f>
        <v>12.010964921665904</v>
      </c>
      <c r="V68" s="640"/>
      <c r="W68" s="2480">
        <f>SUM(U68*вода!CA56/вода!BY56)</f>
        <v>11.946499443760551</v>
      </c>
      <c r="X68" s="2481">
        <f t="shared" si="91"/>
        <v>6.4465477905352842E-2</v>
      </c>
      <c r="Y68" s="2467">
        <f t="shared" si="99"/>
        <v>1.0009137434721587</v>
      </c>
      <c r="Z68" s="2467">
        <f t="shared" si="100"/>
        <v>1.0009137434721587</v>
      </c>
      <c r="AA68" s="2467">
        <f t="shared" si="101"/>
        <v>1.0009137434721587</v>
      </c>
      <c r="AB68" s="2466">
        <f t="shared" si="102"/>
        <v>3.002741230416476</v>
      </c>
      <c r="AC68" s="2483">
        <f t="shared" si="103"/>
        <v>1.0009137434721587</v>
      </c>
      <c r="AD68" s="2483">
        <f t="shared" si="104"/>
        <v>1.0009137434721587</v>
      </c>
      <c r="AE68" s="2483">
        <f t="shared" si="105"/>
        <v>1.0009137434721587</v>
      </c>
      <c r="AF68" s="2466">
        <f t="shared" si="106"/>
        <v>3.002741230416476</v>
      </c>
      <c r="AG68" s="2466">
        <f t="shared" si="94"/>
        <v>6.005482460832952</v>
      </c>
      <c r="AH68" s="2483">
        <f t="shared" si="107"/>
        <v>1.0009137434721587</v>
      </c>
      <c r="AI68" s="2483">
        <f t="shared" si="108"/>
        <v>1.0009137434721587</v>
      </c>
      <c r="AJ68" s="2483">
        <f t="shared" si="109"/>
        <v>1.0009137434721587</v>
      </c>
      <c r="AK68" s="2466">
        <f t="shared" si="110"/>
        <v>3.002741230416476</v>
      </c>
      <c r="AL68" s="2466">
        <f t="shared" si="96"/>
        <v>9.0082236912494285</v>
      </c>
      <c r="AM68" s="2483">
        <f t="shared" si="111"/>
        <v>1.0009137434721587</v>
      </c>
      <c r="AN68" s="2483">
        <f t="shared" si="112"/>
        <v>1.0009137434721587</v>
      </c>
      <c r="AO68" s="2483">
        <f t="shared" si="113"/>
        <v>1.0009137434721587</v>
      </c>
      <c r="AP68" s="2466">
        <f t="shared" si="114"/>
        <v>3.002741230416476</v>
      </c>
      <c r="AQ68" s="642">
        <f t="shared" si="98"/>
        <v>12.010964921665908</v>
      </c>
    </row>
    <row r="69" spans="1:43" ht="18.75" hidden="1">
      <c r="A69" s="2479" t="s">
        <v>605</v>
      </c>
      <c r="B69" s="381"/>
      <c r="C69" s="381"/>
      <c r="D69" s="381"/>
      <c r="E69" s="381"/>
      <c r="F69" s="381"/>
      <c r="G69" s="381"/>
      <c r="H69" s="381"/>
      <c r="I69" s="381"/>
      <c r="J69" s="381"/>
      <c r="K69" s="381"/>
      <c r="L69" s="381"/>
      <c r="M69" s="381"/>
      <c r="N69" s="381"/>
      <c r="O69" s="381"/>
      <c r="P69" s="381"/>
      <c r="Q69" s="381"/>
      <c r="R69" s="381"/>
      <c r="S69" s="381"/>
      <c r="T69" s="381"/>
      <c r="U69" s="2480">
        <f>SUM(U63*0.62%)</f>
        <v>11.456612694512092</v>
      </c>
      <c r="V69" s="640"/>
      <c r="W69" s="2480">
        <f>SUM(U69*вода!CA56/вода!BY56)</f>
        <v>11.395122546356216</v>
      </c>
      <c r="X69" s="2481">
        <f t="shared" si="91"/>
        <v>6.1490148155876057E-2</v>
      </c>
      <c r="Y69" s="2467">
        <f t="shared" si="99"/>
        <v>0.95471772454267434</v>
      </c>
      <c r="Z69" s="2467">
        <f t="shared" si="100"/>
        <v>0.95471772454267434</v>
      </c>
      <c r="AA69" s="2467">
        <f t="shared" si="101"/>
        <v>0.95471772454267434</v>
      </c>
      <c r="AB69" s="2466">
        <f t="shared" si="102"/>
        <v>2.864153173628023</v>
      </c>
      <c r="AC69" s="2483">
        <f t="shared" si="103"/>
        <v>0.95471772454267434</v>
      </c>
      <c r="AD69" s="2483">
        <f t="shared" si="104"/>
        <v>0.95471772454267434</v>
      </c>
      <c r="AE69" s="2483">
        <f t="shared" si="105"/>
        <v>0.95471772454267434</v>
      </c>
      <c r="AF69" s="2466">
        <f t="shared" si="106"/>
        <v>2.864153173628023</v>
      </c>
      <c r="AG69" s="2466">
        <f t="shared" si="94"/>
        <v>5.728306347256046</v>
      </c>
      <c r="AH69" s="2483">
        <f t="shared" si="107"/>
        <v>0.95471772454267434</v>
      </c>
      <c r="AI69" s="2483">
        <f t="shared" si="108"/>
        <v>0.95471772454267434</v>
      </c>
      <c r="AJ69" s="2483">
        <f t="shared" si="109"/>
        <v>0.95471772454267434</v>
      </c>
      <c r="AK69" s="2466">
        <f t="shared" si="110"/>
        <v>2.864153173628023</v>
      </c>
      <c r="AL69" s="2466">
        <f t="shared" si="96"/>
        <v>8.5924595208840699</v>
      </c>
      <c r="AM69" s="2483">
        <f t="shared" si="111"/>
        <v>0.95471772454267434</v>
      </c>
      <c r="AN69" s="2483">
        <f t="shared" si="112"/>
        <v>0.95471772454267434</v>
      </c>
      <c r="AO69" s="2483">
        <f t="shared" si="113"/>
        <v>0.95471772454267434</v>
      </c>
      <c r="AP69" s="2466">
        <f t="shared" si="114"/>
        <v>2.864153173628023</v>
      </c>
      <c r="AQ69" s="642">
        <f t="shared" si="98"/>
        <v>11.456612694512096</v>
      </c>
    </row>
    <row r="70" spans="1:43" ht="18.75" hidden="1">
      <c r="A70" s="2479" t="s">
        <v>98</v>
      </c>
      <c r="B70" s="381"/>
      <c r="C70" s="381"/>
      <c r="D70" s="381"/>
      <c r="E70" s="381"/>
      <c r="F70" s="381"/>
      <c r="G70" s="381"/>
      <c r="H70" s="381"/>
      <c r="I70" s="381"/>
      <c r="J70" s="381"/>
      <c r="K70" s="381"/>
      <c r="L70" s="381"/>
      <c r="M70" s="381"/>
      <c r="N70" s="381"/>
      <c r="O70" s="381"/>
      <c r="P70" s="381"/>
      <c r="Q70" s="381"/>
      <c r="R70" s="381"/>
      <c r="S70" s="381"/>
      <c r="T70" s="381"/>
      <c r="U70" s="2480">
        <f>SUM(U63*5.75%)</f>
        <v>106.25084353781376</v>
      </c>
      <c r="V70" s="640"/>
      <c r="W70" s="2480">
        <f>SUM(U70*вода!CA56/вода!BY56)</f>
        <v>105.68057200249719</v>
      </c>
      <c r="X70" s="2481">
        <f t="shared" si="91"/>
        <v>0.57027153531657859</v>
      </c>
      <c r="Y70" s="2467">
        <f t="shared" si="99"/>
        <v>8.8542369614844798</v>
      </c>
      <c r="Z70" s="2467">
        <f t="shared" si="100"/>
        <v>8.8542369614844798</v>
      </c>
      <c r="AA70" s="2467">
        <f t="shared" si="101"/>
        <v>8.8542369614844798</v>
      </c>
      <c r="AB70" s="2466">
        <f t="shared" si="102"/>
        <v>26.562710884453438</v>
      </c>
      <c r="AC70" s="2483">
        <f t="shared" si="103"/>
        <v>8.8542369614844798</v>
      </c>
      <c r="AD70" s="2483">
        <f t="shared" si="104"/>
        <v>8.8542369614844798</v>
      </c>
      <c r="AE70" s="2483">
        <f t="shared" si="105"/>
        <v>8.8542369614844798</v>
      </c>
      <c r="AF70" s="2466">
        <f t="shared" si="106"/>
        <v>26.562710884453438</v>
      </c>
      <c r="AG70" s="2466">
        <f t="shared" si="94"/>
        <v>53.125421768906875</v>
      </c>
      <c r="AH70" s="2483">
        <f t="shared" si="107"/>
        <v>8.8542369614844798</v>
      </c>
      <c r="AI70" s="2483">
        <f t="shared" si="108"/>
        <v>8.8542369614844798</v>
      </c>
      <c r="AJ70" s="2483">
        <f t="shared" si="109"/>
        <v>8.8542369614844798</v>
      </c>
      <c r="AK70" s="2466">
        <f t="shared" si="110"/>
        <v>26.562710884453438</v>
      </c>
      <c r="AL70" s="2466">
        <f t="shared" si="96"/>
        <v>79.688132653360313</v>
      </c>
      <c r="AM70" s="2483">
        <f t="shared" si="111"/>
        <v>8.8542369614844798</v>
      </c>
      <c r="AN70" s="2483">
        <f t="shared" si="112"/>
        <v>8.8542369614844798</v>
      </c>
      <c r="AO70" s="2483">
        <f t="shared" si="113"/>
        <v>8.8542369614844798</v>
      </c>
      <c r="AP70" s="2466">
        <f t="shared" si="114"/>
        <v>26.562710884453438</v>
      </c>
      <c r="AQ70" s="642">
        <f t="shared" si="98"/>
        <v>106.25084353781374</v>
      </c>
    </row>
    <row r="71" spans="1:43" ht="18.75" hidden="1">
      <c r="A71" s="2479" t="s">
        <v>38</v>
      </c>
      <c r="B71" s="381"/>
      <c r="C71" s="381"/>
      <c r="D71" s="381"/>
      <c r="E71" s="381"/>
      <c r="F71" s="381"/>
      <c r="G71" s="381"/>
      <c r="H71" s="381"/>
      <c r="I71" s="381"/>
      <c r="J71" s="381"/>
      <c r="K71" s="381"/>
      <c r="L71" s="381"/>
      <c r="M71" s="381"/>
      <c r="N71" s="381"/>
      <c r="O71" s="381"/>
      <c r="P71" s="381"/>
      <c r="Q71" s="381"/>
      <c r="R71" s="381"/>
      <c r="S71" s="381"/>
      <c r="T71" s="381"/>
      <c r="U71" s="2480">
        <v>0</v>
      </c>
      <c r="V71" s="640"/>
      <c r="W71" s="2480">
        <f>SUM(U71*вода!CA56/вода!BY56)</f>
        <v>0</v>
      </c>
      <c r="X71" s="2481">
        <f t="shared" si="91"/>
        <v>0</v>
      </c>
      <c r="Y71" s="2467">
        <f t="shared" si="99"/>
        <v>0</v>
      </c>
      <c r="Z71" s="2467">
        <f t="shared" si="100"/>
        <v>0</v>
      </c>
      <c r="AA71" s="2467">
        <f t="shared" si="101"/>
        <v>0</v>
      </c>
      <c r="AB71" s="2466">
        <f t="shared" si="102"/>
        <v>0</v>
      </c>
      <c r="AC71" s="2483">
        <f t="shared" si="103"/>
        <v>0</v>
      </c>
      <c r="AD71" s="2483">
        <f t="shared" si="104"/>
        <v>0</v>
      </c>
      <c r="AE71" s="2483">
        <f t="shared" si="105"/>
        <v>0</v>
      </c>
      <c r="AF71" s="2466">
        <f t="shared" si="106"/>
        <v>0</v>
      </c>
      <c r="AG71" s="2466">
        <f t="shared" si="94"/>
        <v>0</v>
      </c>
      <c r="AH71" s="2483">
        <f t="shared" si="107"/>
        <v>0</v>
      </c>
      <c r="AI71" s="2483">
        <f t="shared" si="108"/>
        <v>0</v>
      </c>
      <c r="AJ71" s="2483">
        <f t="shared" si="109"/>
        <v>0</v>
      </c>
      <c r="AK71" s="2466">
        <f t="shared" si="110"/>
        <v>0</v>
      </c>
      <c r="AL71" s="2466">
        <f t="shared" si="96"/>
        <v>0</v>
      </c>
      <c r="AM71" s="2483">
        <f t="shared" si="111"/>
        <v>0</v>
      </c>
      <c r="AN71" s="2483">
        <f t="shared" si="112"/>
        <v>0</v>
      </c>
      <c r="AO71" s="2483">
        <f t="shared" si="113"/>
        <v>0</v>
      </c>
      <c r="AP71" s="2466">
        <f t="shared" si="114"/>
        <v>0</v>
      </c>
      <c r="AQ71" s="642">
        <f t="shared" si="98"/>
        <v>0</v>
      </c>
    </row>
    <row r="72" spans="1:43" ht="18.75" hidden="1">
      <c r="A72" s="2479" t="s">
        <v>606</v>
      </c>
      <c r="B72" s="381"/>
      <c r="C72" s="381"/>
      <c r="D72" s="381"/>
      <c r="E72" s="381"/>
      <c r="F72" s="381"/>
      <c r="G72" s="381"/>
      <c r="H72" s="381"/>
      <c r="I72" s="381"/>
      <c r="J72" s="381"/>
      <c r="K72" s="381"/>
      <c r="L72" s="381"/>
      <c r="M72" s="381"/>
      <c r="N72" s="381"/>
      <c r="O72" s="381"/>
      <c r="P72" s="381"/>
      <c r="Q72" s="381"/>
      <c r="R72" s="381"/>
      <c r="S72" s="381"/>
      <c r="T72" s="381"/>
      <c r="U72" s="2480">
        <f>SUM(U73:U75)</f>
        <v>72.065789529995428</v>
      </c>
      <c r="V72" s="640"/>
      <c r="W72" s="2480">
        <f>SUM(U72*вода!CA56/вода!BY56)</f>
        <v>71.678996662563321</v>
      </c>
      <c r="X72" s="2481">
        <f t="shared" si="91"/>
        <v>0.38679286743210639</v>
      </c>
      <c r="Y72" s="2467">
        <f>SUM(Y73:Y75)</f>
        <v>6.005482460832952</v>
      </c>
      <c r="Z72" s="2467">
        <f>SUM(Z73:Z75)</f>
        <v>6.005482460832952</v>
      </c>
      <c r="AA72" s="2467">
        <f>SUM(AA73:AA75)</f>
        <v>6.005482460832952</v>
      </c>
      <c r="AB72" s="2466">
        <f t="shared" si="92"/>
        <v>18.016447382498857</v>
      </c>
      <c r="AC72" s="2467">
        <f t="shared" ref="AC72:AE72" si="115">SUM(AC73:AC75)</f>
        <v>6.005482460832952</v>
      </c>
      <c r="AD72" s="2467">
        <f t="shared" si="115"/>
        <v>6.005482460832952</v>
      </c>
      <c r="AE72" s="2467">
        <f t="shared" si="115"/>
        <v>6.005482460832952</v>
      </c>
      <c r="AF72" s="2466">
        <f t="shared" si="93"/>
        <v>18.016447382498857</v>
      </c>
      <c r="AG72" s="2466">
        <f t="shared" si="94"/>
        <v>36.032894764997714</v>
      </c>
      <c r="AH72" s="2467">
        <f t="shared" ref="AH72:AJ72" si="116">SUM(AH73:AH75)</f>
        <v>6.005482460832952</v>
      </c>
      <c r="AI72" s="2467">
        <f t="shared" si="116"/>
        <v>6.005482460832952</v>
      </c>
      <c r="AJ72" s="2467">
        <f t="shared" si="116"/>
        <v>6.005482460832952</v>
      </c>
      <c r="AK72" s="2466">
        <f t="shared" si="95"/>
        <v>18.016447382498857</v>
      </c>
      <c r="AL72" s="2466">
        <f t="shared" si="96"/>
        <v>54.049342147496574</v>
      </c>
      <c r="AM72" s="2467">
        <f t="shared" ref="AM72:AO72" si="117">SUM(AM73:AM75)</f>
        <v>6.005482460832952</v>
      </c>
      <c r="AN72" s="2467">
        <f t="shared" si="117"/>
        <v>6.005482460832952</v>
      </c>
      <c r="AO72" s="2467">
        <f t="shared" si="117"/>
        <v>6.005482460832952</v>
      </c>
      <c r="AP72" s="2466">
        <f t="shared" si="97"/>
        <v>18.016447382498857</v>
      </c>
      <c r="AQ72" s="642">
        <f t="shared" si="98"/>
        <v>72.065789529995428</v>
      </c>
    </row>
    <row r="73" spans="1:43" ht="18.75" hidden="1">
      <c r="A73" s="2484" t="s">
        <v>564</v>
      </c>
      <c r="B73" s="381"/>
      <c r="C73" s="381"/>
      <c r="D73" s="381"/>
      <c r="E73" s="381"/>
      <c r="F73" s="381"/>
      <c r="G73" s="381"/>
      <c r="H73" s="381"/>
      <c r="I73" s="381"/>
      <c r="J73" s="381"/>
      <c r="K73" s="381"/>
      <c r="L73" s="381"/>
      <c r="M73" s="381"/>
      <c r="N73" s="381"/>
      <c r="O73" s="381"/>
      <c r="P73" s="381"/>
      <c r="Q73" s="381"/>
      <c r="R73" s="381"/>
      <c r="S73" s="381"/>
      <c r="T73" s="381"/>
      <c r="U73" s="2480">
        <f>SUM(U63*3.85%)</f>
        <v>71.141869151405743</v>
      </c>
      <c r="V73" s="640"/>
      <c r="W73" s="2480">
        <f>SUM(U73*вода!CA56/вода!BY56)</f>
        <v>70.760035166889423</v>
      </c>
      <c r="X73" s="2481">
        <f t="shared" si="91"/>
        <v>0.38183398451631945</v>
      </c>
      <c r="Y73" s="2467">
        <f t="shared" ref="Y73:Y75" si="118">SUM(U73/12)</f>
        <v>5.9284890959504786</v>
      </c>
      <c r="Z73" s="2467">
        <f t="shared" si="100"/>
        <v>5.9284890959504786</v>
      </c>
      <c r="AA73" s="2467">
        <f t="shared" ref="AA73:AA75" si="119">SUM(Y73)</f>
        <v>5.9284890959504786</v>
      </c>
      <c r="AB73" s="2466">
        <f t="shared" si="92"/>
        <v>17.785467287851436</v>
      </c>
      <c r="AC73" s="2483">
        <f t="shared" ref="AC73" si="120">SUM(Y73)</f>
        <v>5.9284890959504786</v>
      </c>
      <c r="AD73" s="2483">
        <f t="shared" ref="AD73" si="121">SUM(Y73)</f>
        <v>5.9284890959504786</v>
      </c>
      <c r="AE73" s="2483">
        <f t="shared" ref="AE73" si="122">SUM(Y73)</f>
        <v>5.9284890959504786</v>
      </c>
      <c r="AF73" s="2466">
        <f t="shared" si="93"/>
        <v>17.785467287851436</v>
      </c>
      <c r="AG73" s="2466">
        <f t="shared" si="94"/>
        <v>35.570934575702871</v>
      </c>
      <c r="AH73" s="2483">
        <f t="shared" ref="AH73" si="123">SUM(Y73)</f>
        <v>5.9284890959504786</v>
      </c>
      <c r="AI73" s="2483">
        <f t="shared" ref="AI73" si="124">SUM(Y73)</f>
        <v>5.9284890959504786</v>
      </c>
      <c r="AJ73" s="2483">
        <f t="shared" ref="AJ73" si="125">SUM(Y73)</f>
        <v>5.9284890959504786</v>
      </c>
      <c r="AK73" s="2466">
        <f t="shared" si="95"/>
        <v>17.785467287851436</v>
      </c>
      <c r="AL73" s="2466">
        <f t="shared" si="96"/>
        <v>53.356401863554311</v>
      </c>
      <c r="AM73" s="2483">
        <f t="shared" ref="AM73" si="126">SUM(Y73)</f>
        <v>5.9284890959504786</v>
      </c>
      <c r="AN73" s="2483">
        <f t="shared" ref="AN73" si="127">SUM(Y73)</f>
        <v>5.9284890959504786</v>
      </c>
      <c r="AO73" s="2483">
        <f t="shared" ref="AO73" si="128">SUM(Y73)</f>
        <v>5.9284890959504786</v>
      </c>
      <c r="AP73" s="2466">
        <f t="shared" si="97"/>
        <v>17.785467287851436</v>
      </c>
      <c r="AQ73" s="642">
        <f t="shared" si="98"/>
        <v>71.141869151405757</v>
      </c>
    </row>
    <row r="74" spans="1:43" ht="18.75" hidden="1">
      <c r="A74" s="2484" t="s">
        <v>563</v>
      </c>
      <c r="B74" s="381"/>
      <c r="C74" s="381"/>
      <c r="D74" s="381"/>
      <c r="E74" s="381"/>
      <c r="F74" s="381"/>
      <c r="G74" s="381"/>
      <c r="H74" s="381"/>
      <c r="I74" s="381"/>
      <c r="J74" s="381"/>
      <c r="K74" s="381"/>
      <c r="L74" s="381"/>
      <c r="M74" s="381"/>
      <c r="N74" s="381"/>
      <c r="O74" s="381"/>
      <c r="P74" s="381"/>
      <c r="Q74" s="381"/>
      <c r="R74" s="381"/>
      <c r="S74" s="381"/>
      <c r="T74" s="381"/>
      <c r="U74" s="2480">
        <v>0</v>
      </c>
      <c r="V74" s="640"/>
      <c r="W74" s="2480">
        <f>SUM(U74*вода!CA56/вода!BY56)</f>
        <v>0</v>
      </c>
      <c r="X74" s="2481">
        <f t="shared" si="91"/>
        <v>0</v>
      </c>
      <c r="Y74" s="2467">
        <f t="shared" si="118"/>
        <v>0</v>
      </c>
      <c r="Z74" s="2467">
        <f t="shared" si="100"/>
        <v>0</v>
      </c>
      <c r="AA74" s="2467">
        <f t="shared" si="119"/>
        <v>0</v>
      </c>
      <c r="AB74" s="2466">
        <f t="shared" ref="AB74:AB75" si="129">SUM(Y74+Z74+AA74)</f>
        <v>0</v>
      </c>
      <c r="AC74" s="2483">
        <f t="shared" ref="AC74:AC75" si="130">SUM(Y74)</f>
        <v>0</v>
      </c>
      <c r="AD74" s="2483">
        <f t="shared" ref="AD74:AD75" si="131">SUM(Y74)</f>
        <v>0</v>
      </c>
      <c r="AE74" s="2483">
        <f t="shared" ref="AE74:AE75" si="132">SUM(Y74)</f>
        <v>0</v>
      </c>
      <c r="AF74" s="2466">
        <f t="shared" ref="AF74:AF75" si="133">SUM(AC74+AD74+AE74)</f>
        <v>0</v>
      </c>
      <c r="AG74" s="2466">
        <f t="shared" si="94"/>
        <v>0</v>
      </c>
      <c r="AH74" s="2483">
        <f t="shared" ref="AH74:AH75" si="134">SUM(Y74)</f>
        <v>0</v>
      </c>
      <c r="AI74" s="2483">
        <f t="shared" ref="AI74:AI75" si="135">SUM(Y74)</f>
        <v>0</v>
      </c>
      <c r="AJ74" s="2483">
        <f t="shared" ref="AJ74:AJ75" si="136">SUM(Y74)</f>
        <v>0</v>
      </c>
      <c r="AK74" s="2466">
        <f t="shared" ref="AK74:AK75" si="137">SUM(AH74+AI74+AJ74)</f>
        <v>0</v>
      </c>
      <c r="AL74" s="2466">
        <f t="shared" si="96"/>
        <v>0</v>
      </c>
      <c r="AM74" s="2483">
        <f t="shared" ref="AM74:AM75" si="138">SUM(Y74)</f>
        <v>0</v>
      </c>
      <c r="AN74" s="2483">
        <f t="shared" ref="AN74:AN75" si="139">SUM(Y74)</f>
        <v>0</v>
      </c>
      <c r="AO74" s="2483">
        <f t="shared" ref="AO74:AO75" si="140">SUM(Y74)</f>
        <v>0</v>
      </c>
      <c r="AP74" s="2466">
        <f t="shared" ref="AP74:AP75" si="141">SUM(AM74+AN74+AO74)</f>
        <v>0</v>
      </c>
      <c r="AQ74" s="642">
        <f t="shared" si="98"/>
        <v>0</v>
      </c>
    </row>
    <row r="75" spans="1:43" ht="18.75" hidden="1">
      <c r="A75" s="2484" t="s">
        <v>565</v>
      </c>
      <c r="B75" s="381"/>
      <c r="C75" s="381"/>
      <c r="D75" s="381"/>
      <c r="E75" s="381"/>
      <c r="F75" s="381"/>
      <c r="G75" s="381"/>
      <c r="H75" s="381"/>
      <c r="I75" s="381"/>
      <c r="J75" s="381"/>
      <c r="K75" s="381"/>
      <c r="L75" s="381"/>
      <c r="M75" s="381"/>
      <c r="N75" s="381"/>
      <c r="O75" s="381"/>
      <c r="P75" s="381"/>
      <c r="Q75" s="381"/>
      <c r="R75" s="381"/>
      <c r="S75" s="381"/>
      <c r="T75" s="381"/>
      <c r="U75" s="2480">
        <f>SUM(U63*0.05%)</f>
        <v>0.9239203785896849</v>
      </c>
      <c r="V75" s="640"/>
      <c r="W75" s="2480">
        <f>SUM(U75*вода!CA56/вода!BY56)</f>
        <v>0.91896149567388852</v>
      </c>
      <c r="X75" s="2481">
        <f t="shared" si="91"/>
        <v>4.958882915796381E-3</v>
      </c>
      <c r="Y75" s="2467">
        <f t="shared" si="118"/>
        <v>7.6993364882473742E-2</v>
      </c>
      <c r="Z75" s="2467">
        <f t="shared" si="100"/>
        <v>7.6993364882473742E-2</v>
      </c>
      <c r="AA75" s="2467">
        <f t="shared" si="119"/>
        <v>7.6993364882473742E-2</v>
      </c>
      <c r="AB75" s="2466">
        <f t="shared" si="129"/>
        <v>0.23098009464742122</v>
      </c>
      <c r="AC75" s="2483">
        <f t="shared" si="130"/>
        <v>7.6993364882473742E-2</v>
      </c>
      <c r="AD75" s="2483">
        <f t="shared" si="131"/>
        <v>7.6993364882473742E-2</v>
      </c>
      <c r="AE75" s="2483">
        <f t="shared" si="132"/>
        <v>7.6993364882473742E-2</v>
      </c>
      <c r="AF75" s="2466">
        <f t="shared" si="133"/>
        <v>0.23098009464742122</v>
      </c>
      <c r="AG75" s="2466">
        <f t="shared" si="94"/>
        <v>0.46196018929484245</v>
      </c>
      <c r="AH75" s="2483">
        <f t="shared" si="134"/>
        <v>7.6993364882473742E-2</v>
      </c>
      <c r="AI75" s="2483">
        <f t="shared" si="135"/>
        <v>7.6993364882473742E-2</v>
      </c>
      <c r="AJ75" s="2483">
        <f t="shared" si="136"/>
        <v>7.6993364882473742E-2</v>
      </c>
      <c r="AK75" s="2466">
        <f t="shared" si="137"/>
        <v>0.23098009464742122</v>
      </c>
      <c r="AL75" s="2466">
        <f t="shared" si="96"/>
        <v>0.6929402839422637</v>
      </c>
      <c r="AM75" s="2483">
        <f t="shared" si="138"/>
        <v>7.6993364882473742E-2</v>
      </c>
      <c r="AN75" s="2483">
        <f t="shared" si="139"/>
        <v>7.6993364882473742E-2</v>
      </c>
      <c r="AO75" s="2483">
        <f t="shared" si="140"/>
        <v>7.6993364882473742E-2</v>
      </c>
      <c r="AP75" s="2466">
        <f t="shared" si="141"/>
        <v>0.23098009464742122</v>
      </c>
      <c r="AQ75" s="642">
        <f t="shared" si="98"/>
        <v>0.92392037858968512</v>
      </c>
    </row>
    <row r="76" spans="1:43" ht="18.75" hidden="1">
      <c r="A76" s="2479" t="s">
        <v>609</v>
      </c>
      <c r="B76" s="381"/>
      <c r="C76" s="381"/>
      <c r="D76" s="381"/>
      <c r="E76" s="381"/>
      <c r="F76" s="381"/>
      <c r="G76" s="381"/>
      <c r="H76" s="381"/>
      <c r="I76" s="381"/>
      <c r="J76" s="381"/>
      <c r="K76" s="381"/>
      <c r="L76" s="381"/>
      <c r="M76" s="381"/>
      <c r="N76" s="381"/>
      <c r="O76" s="381"/>
      <c r="P76" s="381"/>
      <c r="Q76" s="381"/>
      <c r="R76" s="381"/>
      <c r="S76" s="381"/>
      <c r="T76" s="381"/>
      <c r="U76" s="2480">
        <f>SUM(U77:U78)</f>
        <v>45.826450778048375</v>
      </c>
      <c r="V76" s="640"/>
      <c r="W76" s="2480">
        <f>SUM(U76*вода!CA56/вода!BY56)</f>
        <v>45.580490185424878</v>
      </c>
      <c r="X76" s="2481">
        <f t="shared" si="91"/>
        <v>0.24596059262349712</v>
      </c>
      <c r="Y76" s="2467">
        <f>SUM(Y77:Y78)</f>
        <v>3.563591697566368</v>
      </c>
      <c r="Z76" s="2467">
        <f t="shared" ref="Z76:AA76" si="142">SUM(Z77:Z78)</f>
        <v>3.563591697566368</v>
      </c>
      <c r="AA76" s="2467">
        <f t="shared" si="142"/>
        <v>3.563591697566368</v>
      </c>
      <c r="AB76" s="2466">
        <f t="shared" si="92"/>
        <v>10.690775092699104</v>
      </c>
      <c r="AC76" s="2467">
        <f t="shared" ref="AC76:AE76" si="143">SUM(AC77:AC78)</f>
        <v>3.5860429627660975</v>
      </c>
      <c r="AD76" s="2467">
        <f t="shared" si="143"/>
        <v>3.9577361310727279</v>
      </c>
      <c r="AE76" s="2467">
        <f t="shared" si="143"/>
        <v>4.2820321839577069</v>
      </c>
      <c r="AF76" s="2466">
        <f t="shared" si="93"/>
        <v>11.825811277796532</v>
      </c>
      <c r="AG76" s="2466">
        <f t="shared" si="94"/>
        <v>22.516586370495638</v>
      </c>
      <c r="AH76" s="2467">
        <f t="shared" ref="AH76:AJ76" si="144">SUM(AH77:AH78)</f>
        <v>4.379320999823201</v>
      </c>
      <c r="AI76" s="2467">
        <f t="shared" si="144"/>
        <v>4.2820321839577069</v>
      </c>
      <c r="AJ76" s="2467">
        <f t="shared" si="144"/>
        <v>3.9577361310727279</v>
      </c>
      <c r="AK76" s="2466">
        <f t="shared" si="95"/>
        <v>12.619089314853635</v>
      </c>
      <c r="AL76" s="2466">
        <f t="shared" si="96"/>
        <v>35.13567568534927</v>
      </c>
      <c r="AM76" s="2467">
        <f t="shared" ref="AM76:AO76" si="145">SUM(AM77:AM78)</f>
        <v>3.563591697566368</v>
      </c>
      <c r="AN76" s="2467">
        <f t="shared" si="145"/>
        <v>3.563591697566368</v>
      </c>
      <c r="AO76" s="2467">
        <f t="shared" si="145"/>
        <v>3.563591697566368</v>
      </c>
      <c r="AP76" s="2466">
        <f t="shared" si="97"/>
        <v>10.690775092699104</v>
      </c>
      <c r="AQ76" s="642">
        <f t="shared" si="98"/>
        <v>45.826450778048368</v>
      </c>
    </row>
    <row r="77" spans="1:43" ht="18.75" hidden="1">
      <c r="A77" s="2484" t="s">
        <v>551</v>
      </c>
      <c r="B77" s="381"/>
      <c r="C77" s="381"/>
      <c r="D77" s="381"/>
      <c r="E77" s="381"/>
      <c r="F77" s="381"/>
      <c r="G77" s="381"/>
      <c r="H77" s="381"/>
      <c r="I77" s="381"/>
      <c r="J77" s="381"/>
      <c r="K77" s="381"/>
      <c r="L77" s="381"/>
      <c r="M77" s="381"/>
      <c r="N77" s="381"/>
      <c r="O77" s="381"/>
      <c r="P77" s="381"/>
      <c r="Q77" s="381"/>
      <c r="R77" s="381"/>
      <c r="S77" s="381"/>
      <c r="T77" s="381"/>
      <c r="U77" s="2480">
        <f>SUM(U63*1.35%)</f>
        <v>24.945850221921496</v>
      </c>
      <c r="V77" s="640"/>
      <c r="W77" s="2480">
        <f>SUM(U77*вода!CA56/вода!BY56)</f>
        <v>24.811960383194997</v>
      </c>
      <c r="X77" s="2481">
        <f t="shared" si="91"/>
        <v>0.13388983872649973</v>
      </c>
      <c r="Y77" s="2467">
        <f>SUM(U77*7.31%)</f>
        <v>1.8235416512224614</v>
      </c>
      <c r="Z77" s="2467">
        <f>SUM(U77*7.31%)</f>
        <v>1.8235416512224614</v>
      </c>
      <c r="AA77" s="2467">
        <f>SUM(U77*7.31%)</f>
        <v>1.8235416512224614</v>
      </c>
      <c r="AB77" s="2466">
        <f t="shared" si="92"/>
        <v>5.4706249536673841</v>
      </c>
      <c r="AC77" s="2467">
        <f>SUM(U77*7.4%)</f>
        <v>1.8459929164221909</v>
      </c>
      <c r="AD77" s="2467">
        <f>SUM(U77*8.89%)</f>
        <v>2.2176860847288213</v>
      </c>
      <c r="AE77" s="2467">
        <f>SUM(U77*10.19%)</f>
        <v>2.5419821376138003</v>
      </c>
      <c r="AF77" s="2466">
        <f t="shared" si="93"/>
        <v>6.6056611387648125</v>
      </c>
      <c r="AG77" s="2466">
        <f t="shared" si="94"/>
        <v>12.076286092432197</v>
      </c>
      <c r="AH77" s="2467">
        <f>SUM(U77*10.58%)</f>
        <v>2.6392709534792944</v>
      </c>
      <c r="AI77" s="2467">
        <f>SUM(U77*10.19%)</f>
        <v>2.5419821376138003</v>
      </c>
      <c r="AJ77" s="2467">
        <f>SUM(U77*8.89%)</f>
        <v>2.2176860847288213</v>
      </c>
      <c r="AK77" s="2466">
        <f t="shared" si="95"/>
        <v>7.3989391758219156</v>
      </c>
      <c r="AL77" s="2466">
        <f t="shared" si="96"/>
        <v>19.475225268254114</v>
      </c>
      <c r="AM77" s="2467">
        <f>SUM(U77*7.31%)</f>
        <v>1.8235416512224614</v>
      </c>
      <c r="AN77" s="2467">
        <f>SUM(U77*7.31%)</f>
        <v>1.8235416512224614</v>
      </c>
      <c r="AO77" s="2467">
        <f>SUM(U77*7.31%)</f>
        <v>1.8235416512224614</v>
      </c>
      <c r="AP77" s="2466">
        <f t="shared" si="97"/>
        <v>5.4706249536673841</v>
      </c>
      <c r="AQ77" s="642">
        <f t="shared" si="98"/>
        <v>24.945850221921503</v>
      </c>
    </row>
    <row r="78" spans="1:43" ht="18.75" hidden="1">
      <c r="A78" s="2484" t="s">
        <v>643</v>
      </c>
      <c r="B78" s="381"/>
      <c r="C78" s="381"/>
      <c r="D78" s="381"/>
      <c r="E78" s="381"/>
      <c r="F78" s="381"/>
      <c r="G78" s="381"/>
      <c r="H78" s="381"/>
      <c r="I78" s="381"/>
      <c r="J78" s="381"/>
      <c r="K78" s="381"/>
      <c r="L78" s="381"/>
      <c r="M78" s="381"/>
      <c r="N78" s="381"/>
      <c r="O78" s="381"/>
      <c r="P78" s="381"/>
      <c r="Q78" s="381"/>
      <c r="R78" s="381"/>
      <c r="S78" s="381"/>
      <c r="T78" s="381"/>
      <c r="U78" s="2480">
        <f>SUM(U63*1.13%)</f>
        <v>20.880600556126879</v>
      </c>
      <c r="V78" s="640"/>
      <c r="W78" s="2480">
        <f>SUM(U78*вода!CA56/вода!BY56)</f>
        <v>20.768529802229878</v>
      </c>
      <c r="X78" s="2481">
        <f t="shared" si="91"/>
        <v>0.11207075389700094</v>
      </c>
      <c r="Y78" s="2467">
        <f t="shared" ref="Y78" si="146">SUM(U78/12)</f>
        <v>1.7400500463439066</v>
      </c>
      <c r="Z78" s="2467">
        <f t="shared" si="100"/>
        <v>1.7400500463439066</v>
      </c>
      <c r="AA78" s="2467">
        <f t="shared" ref="AA78" si="147">SUM(Y78)</f>
        <v>1.7400500463439066</v>
      </c>
      <c r="AB78" s="2466">
        <f t="shared" si="92"/>
        <v>5.2201501390317198</v>
      </c>
      <c r="AC78" s="2483">
        <f t="shared" ref="AC78" si="148">SUM(Y78)</f>
        <v>1.7400500463439066</v>
      </c>
      <c r="AD78" s="2483">
        <f t="shared" ref="AD78" si="149">SUM(Y78)</f>
        <v>1.7400500463439066</v>
      </c>
      <c r="AE78" s="2483">
        <f t="shared" ref="AE78" si="150">SUM(Y78)</f>
        <v>1.7400500463439066</v>
      </c>
      <c r="AF78" s="2466">
        <f t="shared" si="93"/>
        <v>5.2201501390317198</v>
      </c>
      <c r="AG78" s="2466">
        <f t="shared" si="94"/>
        <v>10.44030027806344</v>
      </c>
      <c r="AH78" s="2483">
        <f t="shared" ref="AH78" si="151">SUM(Y78)</f>
        <v>1.7400500463439066</v>
      </c>
      <c r="AI78" s="2483">
        <f t="shared" ref="AI78" si="152">SUM(Y78)</f>
        <v>1.7400500463439066</v>
      </c>
      <c r="AJ78" s="2483">
        <f t="shared" ref="AJ78" si="153">SUM(Y78)</f>
        <v>1.7400500463439066</v>
      </c>
      <c r="AK78" s="2466">
        <f t="shared" si="95"/>
        <v>5.2201501390317198</v>
      </c>
      <c r="AL78" s="2466">
        <f t="shared" si="96"/>
        <v>15.660450417095159</v>
      </c>
      <c r="AM78" s="2483">
        <f t="shared" ref="AM78" si="154">SUM(Y78)</f>
        <v>1.7400500463439066</v>
      </c>
      <c r="AN78" s="2483">
        <f t="shared" ref="AN78" si="155">SUM(Y78)</f>
        <v>1.7400500463439066</v>
      </c>
      <c r="AO78" s="2483">
        <f t="shared" ref="AO78" si="156">SUM(Y78)</f>
        <v>1.7400500463439066</v>
      </c>
      <c r="AP78" s="2466">
        <f t="shared" si="97"/>
        <v>5.2201501390317198</v>
      </c>
      <c r="AQ78" s="642">
        <f t="shared" si="98"/>
        <v>20.880600556126879</v>
      </c>
    </row>
    <row r="79" spans="1:43" ht="18.75" hidden="1">
      <c r="A79" s="2485" t="s">
        <v>1590</v>
      </c>
      <c r="B79" s="381"/>
      <c r="C79" s="381"/>
      <c r="D79" s="381"/>
      <c r="E79" s="381"/>
      <c r="F79" s="381"/>
      <c r="G79" s="381"/>
      <c r="H79" s="381"/>
      <c r="I79" s="381"/>
      <c r="J79" s="381"/>
      <c r="K79" s="381"/>
      <c r="L79" s="381"/>
      <c r="M79" s="381"/>
      <c r="N79" s="381"/>
      <c r="O79" s="381"/>
      <c r="P79" s="381"/>
      <c r="Q79" s="381"/>
      <c r="R79" s="381"/>
      <c r="S79" s="381"/>
      <c r="T79" s="381"/>
      <c r="U79" s="2475">
        <f>SUM(AQ48)</f>
        <v>10926.541354006786</v>
      </c>
      <c r="V79" s="640"/>
      <c r="W79" s="2475">
        <f>SUM(U79)</f>
        <v>10926.541354006786</v>
      </c>
      <c r="X79" s="2476">
        <v>0</v>
      </c>
      <c r="Y79" s="2477">
        <f>SUM(Y80+Y81+Y82+Y83+Y84+Y85+Y86+Y87+Y88+Y89+Y90+Y91+Y92+Y93+Y94+Y95+Y96+Y101)</f>
        <v>1254.1654658486759</v>
      </c>
      <c r="Z79" s="2477">
        <f t="shared" ref="Z79:AA79" si="157">SUM(Z80+Z81+Z82+Z83+Z84+Z85+Z86+Z87+Z88+Z89+Z90+Z91+Z92+Z93+Z94+Z95+Z96+Z101)</f>
        <v>1152.4454046492083</v>
      </c>
      <c r="AA79" s="2477">
        <f t="shared" si="157"/>
        <v>1108.3929448763633</v>
      </c>
      <c r="AB79" s="2478">
        <f t="shared" si="92"/>
        <v>3515.0038153742476</v>
      </c>
      <c r="AC79" s="2477">
        <f t="shared" ref="AC79:AE79" si="158">SUM(AC80+AC81+AC82+AC83+AC84+AC85+AC86+AC87+AC88+AC89+AC90+AC91+AC92+AC93+AC94+AC95+AC96+AC101)</f>
        <v>954.88215934393997</v>
      </c>
      <c r="AD79" s="2477">
        <f t="shared" si="158"/>
        <v>646.69162291936755</v>
      </c>
      <c r="AE79" s="2477">
        <f t="shared" si="158"/>
        <v>553.4243636729459</v>
      </c>
      <c r="AF79" s="2478">
        <f t="shared" si="93"/>
        <v>2154.9981459362534</v>
      </c>
      <c r="AG79" s="2478">
        <f t="shared" si="94"/>
        <v>5670.0019613105014</v>
      </c>
      <c r="AH79" s="2477">
        <f t="shared" ref="AH79:AJ79" si="159">SUM(AH80+AH81+AH82+AH83+AH84+AH85+AH86+AH87+AH88+AH89+AH90+AH91+AH92+AH93+AH94+AH95+AH96+AH101)</f>
        <v>574.89378417638363</v>
      </c>
      <c r="AI79" s="2477">
        <f t="shared" si="159"/>
        <v>574.15230908010074</v>
      </c>
      <c r="AJ79" s="2477">
        <f t="shared" si="159"/>
        <v>747.12245016725649</v>
      </c>
      <c r="AK79" s="2478">
        <f t="shared" si="95"/>
        <v>1896.1685434237406</v>
      </c>
      <c r="AL79" s="2478">
        <f t="shared" si="96"/>
        <v>7566.1705047342421</v>
      </c>
      <c r="AM79" s="2477">
        <f t="shared" ref="AM79:AO79" si="160">SUM(AM80+AM81+AM82+AM83+AM84+AM85+AM86+AM87+AM88+AM89+AM90+AM91+AM92+AM93+AM94+AM95+AM96+AM101)</f>
        <v>999.935232056583</v>
      </c>
      <c r="AN79" s="2477">
        <f t="shared" si="160"/>
        <v>1110.9623837298986</v>
      </c>
      <c r="AO79" s="2477">
        <f t="shared" si="160"/>
        <v>1249.4732334860601</v>
      </c>
      <c r="AP79" s="2478">
        <f t="shared" si="97"/>
        <v>3360.3708492725418</v>
      </c>
      <c r="AQ79" s="642">
        <f t="shared" si="98"/>
        <v>10926.541354006786</v>
      </c>
    </row>
    <row r="80" spans="1:43" ht="18.75" hidden="1">
      <c r="A80" s="2479" t="s">
        <v>72</v>
      </c>
      <c r="B80" s="381"/>
      <c r="C80" s="381"/>
      <c r="D80" s="381"/>
      <c r="E80" s="381"/>
      <c r="F80" s="381"/>
      <c r="G80" s="381"/>
      <c r="H80" s="381"/>
      <c r="I80" s="381"/>
      <c r="J80" s="381"/>
      <c r="K80" s="381"/>
      <c r="L80" s="381"/>
      <c r="M80" s="381"/>
      <c r="N80" s="381"/>
      <c r="O80" s="381"/>
      <c r="P80" s="381"/>
      <c r="Q80" s="381"/>
      <c r="R80" s="381"/>
      <c r="S80" s="381"/>
      <c r="T80" s="381"/>
      <c r="U80" s="2480">
        <f>SUM(U79*29.9%)</f>
        <v>3267.0358648480287</v>
      </c>
      <c r="V80" s="640"/>
      <c r="W80" s="2480">
        <f>SUM(U80)</f>
        <v>3267.0358648480287</v>
      </c>
      <c r="X80" s="2481">
        <f t="shared" ref="X80:X105" si="161">SUM(U80-W80)</f>
        <v>0</v>
      </c>
      <c r="Y80" s="2467">
        <f>SUM(U80/2)/(1+(106.03%*100-100)/2/100)/6</f>
        <v>264.2848019582932</v>
      </c>
      <c r="Z80" s="2482">
        <f>SUM(Y80)</f>
        <v>264.2848019582932</v>
      </c>
      <c r="AA80" s="2467">
        <f>SUM(Y80)</f>
        <v>264.2848019582932</v>
      </c>
      <c r="AB80" s="2466">
        <f>SUM(Y80+Z80+AA80)</f>
        <v>792.8544058748796</v>
      </c>
      <c r="AC80" s="2483">
        <f>SUM(Y80)</f>
        <v>264.2848019582932</v>
      </c>
      <c r="AD80" s="2483">
        <f>SUM(Y80)</f>
        <v>264.2848019582932</v>
      </c>
      <c r="AE80" s="2483">
        <f>SUM(Y80)</f>
        <v>264.2848019582932</v>
      </c>
      <c r="AF80" s="2466">
        <f>SUM(AC80+AD80+AE80)</f>
        <v>792.8544058748796</v>
      </c>
      <c r="AG80" s="2466">
        <f>SUM(AB80+AF80)</f>
        <v>1585.7088117497592</v>
      </c>
      <c r="AH80" s="2483">
        <f>SUM(U80-AG80)/6</f>
        <v>280.22117551637825</v>
      </c>
      <c r="AI80" s="2483">
        <f>SUM(AH80)</f>
        <v>280.22117551637825</v>
      </c>
      <c r="AJ80" s="2483">
        <f>SUM(AH80)</f>
        <v>280.22117551637825</v>
      </c>
      <c r="AK80" s="2466">
        <f>SUM(AH80+AI80+AJ80)</f>
        <v>840.66352654913476</v>
      </c>
      <c r="AL80" s="2466">
        <f>SUM(AG80+AK80)</f>
        <v>2426.3723382988937</v>
      </c>
      <c r="AM80" s="2483">
        <f>SUM(AH80)</f>
        <v>280.22117551637825</v>
      </c>
      <c r="AN80" s="2483">
        <f>SUM(AH80)</f>
        <v>280.22117551637825</v>
      </c>
      <c r="AO80" s="2483">
        <f>SUM(AH80)</f>
        <v>280.22117551637825</v>
      </c>
      <c r="AP80" s="2466">
        <f>SUM(AM80+AN80+AO80)</f>
        <v>840.66352654913476</v>
      </c>
      <c r="AQ80" s="642">
        <f>SUM(AO80+AN80+AM80+AJ80+AI80+AH80+AE80+AD80+AC80+AA80+Z80+Y80)</f>
        <v>3267.0358648480296</v>
      </c>
    </row>
    <row r="81" spans="1:43" ht="18.75" hidden="1">
      <c r="A81" s="2479" t="s">
        <v>121</v>
      </c>
      <c r="B81" s="381"/>
      <c r="C81" s="381"/>
      <c r="D81" s="381"/>
      <c r="E81" s="381"/>
      <c r="F81" s="381"/>
      <c r="G81" s="381"/>
      <c r="H81" s="381"/>
      <c r="I81" s="381"/>
      <c r="J81" s="381"/>
      <c r="K81" s="381"/>
      <c r="L81" s="381"/>
      <c r="M81" s="381"/>
      <c r="N81" s="381"/>
      <c r="O81" s="381"/>
      <c r="P81" s="381"/>
      <c r="Q81" s="381"/>
      <c r="R81" s="381"/>
      <c r="S81" s="381"/>
      <c r="T81" s="381"/>
      <c r="U81" s="2480">
        <f>SUM(U79*8.99%)</f>
        <v>982.29606772521015</v>
      </c>
      <c r="V81" s="640"/>
      <c r="W81" s="2480">
        <f t="shared" ref="W81:W105" si="162">SUM(U81)</f>
        <v>982.29606772521015</v>
      </c>
      <c r="X81" s="2481">
        <f t="shared" si="161"/>
        <v>0</v>
      </c>
      <c r="Y81" s="2467">
        <f>SUM(Y80*(U81/U80))</f>
        <v>79.46221971923265</v>
      </c>
      <c r="Z81" s="2467">
        <f>SUM(Y81)</f>
        <v>79.46221971923265</v>
      </c>
      <c r="AA81" s="2482">
        <f>SUM(Y81)</f>
        <v>79.46221971923265</v>
      </c>
      <c r="AB81" s="2466">
        <f t="shared" ref="AB81" si="163">SUM(Y81+Z81+AA81)</f>
        <v>238.38665915769795</v>
      </c>
      <c r="AC81" s="2483">
        <f>SUM(Y81)</f>
        <v>79.46221971923265</v>
      </c>
      <c r="AD81" s="2483">
        <f>SUM(Y81)</f>
        <v>79.46221971923265</v>
      </c>
      <c r="AE81" s="2483">
        <f>SUM(Y81)</f>
        <v>79.46221971923265</v>
      </c>
      <c r="AF81" s="2466">
        <f t="shared" ref="AF81" si="164">SUM(AC81+AD81+AE81)</f>
        <v>238.38665915769795</v>
      </c>
      <c r="AG81" s="2466">
        <f t="shared" ref="AG81:AG92" si="165">SUM(AB81+AF81)</f>
        <v>476.7733183153959</v>
      </c>
      <c r="AH81" s="2483">
        <f>SUM(U81-AG81)/6</f>
        <v>84.253791568302375</v>
      </c>
      <c r="AI81" s="2483">
        <f>SUM(AH81)</f>
        <v>84.253791568302375</v>
      </c>
      <c r="AJ81" s="2483">
        <f>SUM(AH81)</f>
        <v>84.253791568302375</v>
      </c>
      <c r="AK81" s="2466">
        <f t="shared" ref="AK81" si="166">SUM(AH81+AI81+AJ81)</f>
        <v>252.76137470490713</v>
      </c>
      <c r="AL81" s="2466">
        <f t="shared" ref="AL81:AL92" si="167">SUM(AG81+AK81)</f>
        <v>729.53469302030305</v>
      </c>
      <c r="AM81" s="2483">
        <f>SUM(AH81)</f>
        <v>84.253791568302375</v>
      </c>
      <c r="AN81" s="2483">
        <f>SUM(AH81)</f>
        <v>84.253791568302375</v>
      </c>
      <c r="AO81" s="2483">
        <f>SUM(AH81)</f>
        <v>84.253791568302375</v>
      </c>
      <c r="AP81" s="2466">
        <f t="shared" ref="AP81" si="168">SUM(AM81+AN81+AO81)</f>
        <v>252.76137470490713</v>
      </c>
      <c r="AQ81" s="642">
        <f t="shared" ref="AQ81" si="169">SUM(AO81+AN81+AM81+AJ81+AI81+AH81+AE81+AD81+AC81+AA81+Z81+Y81)</f>
        <v>982.29606772521004</v>
      </c>
    </row>
    <row r="82" spans="1:43" ht="18.75" hidden="1">
      <c r="A82" s="2479" t="s">
        <v>52</v>
      </c>
      <c r="B82" s="381"/>
      <c r="C82" s="381"/>
      <c r="D82" s="381"/>
      <c r="E82" s="381"/>
      <c r="F82" s="381"/>
      <c r="G82" s="381"/>
      <c r="H82" s="381"/>
      <c r="I82" s="381"/>
      <c r="J82" s="381"/>
      <c r="K82" s="381"/>
      <c r="L82" s="381"/>
      <c r="M82" s="381"/>
      <c r="N82" s="381"/>
      <c r="O82" s="381"/>
      <c r="P82" s="381"/>
      <c r="Q82" s="381"/>
      <c r="R82" s="381"/>
      <c r="S82" s="381"/>
      <c r="T82" s="381"/>
      <c r="U82" s="2480">
        <f>SUM(U79*0.99%)</f>
        <v>108.17275940466716</v>
      </c>
      <c r="V82" s="640"/>
      <c r="W82" s="2480">
        <f t="shared" si="162"/>
        <v>108.17275940466716</v>
      </c>
      <c r="X82" s="2481">
        <f t="shared" si="161"/>
        <v>0</v>
      </c>
      <c r="Y82" s="2467">
        <f t="shared" ref="Y82" si="170">SUM(U82/12)</f>
        <v>9.0143966170555974</v>
      </c>
      <c r="Z82" s="2467">
        <f t="shared" ref="Z82:Z95" si="171">SUM(Y82)</f>
        <v>9.0143966170555974</v>
      </c>
      <c r="AA82" s="2467">
        <f t="shared" ref="AA82:AA95" si="172">SUM(Y82)</f>
        <v>9.0143966170555974</v>
      </c>
      <c r="AB82" s="2466">
        <f t="shared" ref="AB82:AB95" si="173">SUM(Y82+Z82+AA82)</f>
        <v>27.043189851166794</v>
      </c>
      <c r="AC82" s="2483">
        <f t="shared" ref="AC82:AC95" si="174">SUM(Y82)</f>
        <v>9.0143966170555974</v>
      </c>
      <c r="AD82" s="2483">
        <f t="shared" ref="AD82:AD95" si="175">SUM(Y82)</f>
        <v>9.0143966170555974</v>
      </c>
      <c r="AE82" s="2483">
        <f t="shared" ref="AE82:AE95" si="176">SUM(Y82)</f>
        <v>9.0143966170555974</v>
      </c>
      <c r="AF82" s="2466">
        <f t="shared" ref="AF82:AF95" si="177">SUM(AC82+AD82+AE82)</f>
        <v>27.043189851166794</v>
      </c>
      <c r="AG82" s="2466">
        <f t="shared" si="165"/>
        <v>54.086379702333588</v>
      </c>
      <c r="AH82" s="2483">
        <f t="shared" ref="AH82:AH95" si="178">SUM(Y82)</f>
        <v>9.0143966170555974</v>
      </c>
      <c r="AI82" s="2483">
        <f t="shared" ref="AI82:AI95" si="179">SUM(Y82)</f>
        <v>9.0143966170555974</v>
      </c>
      <c r="AJ82" s="2483">
        <f t="shared" ref="AJ82:AJ95" si="180">SUM(Y82)</f>
        <v>9.0143966170555974</v>
      </c>
      <c r="AK82" s="2466">
        <f t="shared" ref="AK82:AK95" si="181">SUM(AH82+AI82+AJ82)</f>
        <v>27.043189851166794</v>
      </c>
      <c r="AL82" s="2466">
        <f t="shared" si="167"/>
        <v>81.129569553500374</v>
      </c>
      <c r="AM82" s="2483">
        <f t="shared" ref="AM82:AM95" si="182">SUM(Y82)</f>
        <v>9.0143966170555974</v>
      </c>
      <c r="AN82" s="2483">
        <f t="shared" ref="AN82:AN95" si="183">SUM(Y82)</f>
        <v>9.0143966170555974</v>
      </c>
      <c r="AO82" s="2483">
        <f t="shared" ref="AO82:AO95" si="184">SUM(Y82)</f>
        <v>9.0143966170555974</v>
      </c>
      <c r="AP82" s="2466">
        <f t="shared" ref="AP82:AP95" si="185">SUM(AM82+AN82+AO82)</f>
        <v>27.043189851166794</v>
      </c>
      <c r="AQ82" s="642">
        <f t="shared" si="98"/>
        <v>108.17275940466716</v>
      </c>
    </row>
    <row r="83" spans="1:43" ht="18.75" hidden="1">
      <c r="A83" s="2479" t="s">
        <v>1556</v>
      </c>
      <c r="B83" s="381"/>
      <c r="C83" s="381"/>
      <c r="D83" s="381"/>
      <c r="E83" s="381"/>
      <c r="F83" s="381"/>
      <c r="G83" s="381"/>
      <c r="H83" s="381"/>
      <c r="I83" s="381"/>
      <c r="J83" s="381"/>
      <c r="K83" s="381"/>
      <c r="L83" s="381"/>
      <c r="M83" s="381"/>
      <c r="N83" s="381"/>
      <c r="O83" s="381"/>
      <c r="P83" s="381"/>
      <c r="Q83" s="381"/>
      <c r="R83" s="381"/>
      <c r="S83" s="381"/>
      <c r="T83" s="381"/>
      <c r="U83" s="2480">
        <f>SUM(U79*0.54%)</f>
        <v>59.003323311636649</v>
      </c>
      <c r="V83" s="640"/>
      <c r="W83" s="2480">
        <f t="shared" si="162"/>
        <v>59.003323311636649</v>
      </c>
      <c r="X83" s="2481">
        <f t="shared" si="161"/>
        <v>0</v>
      </c>
      <c r="Y83" s="2467">
        <f t="shared" ref="Y83:Y90" si="186">SUM(U83/12)</f>
        <v>4.9169436093030541</v>
      </c>
      <c r="Z83" s="2467">
        <f t="shared" si="171"/>
        <v>4.9169436093030541</v>
      </c>
      <c r="AA83" s="2467">
        <f t="shared" si="172"/>
        <v>4.9169436093030541</v>
      </c>
      <c r="AB83" s="2466">
        <f t="shared" si="173"/>
        <v>14.750830827909162</v>
      </c>
      <c r="AC83" s="2483">
        <f t="shared" si="174"/>
        <v>4.9169436093030541</v>
      </c>
      <c r="AD83" s="2483">
        <f t="shared" si="175"/>
        <v>4.9169436093030541</v>
      </c>
      <c r="AE83" s="2483">
        <f t="shared" si="176"/>
        <v>4.9169436093030541</v>
      </c>
      <c r="AF83" s="2466">
        <f t="shared" si="177"/>
        <v>14.750830827909162</v>
      </c>
      <c r="AG83" s="2466">
        <f t="shared" si="165"/>
        <v>29.501661655818324</v>
      </c>
      <c r="AH83" s="2483">
        <f t="shared" si="178"/>
        <v>4.9169436093030541</v>
      </c>
      <c r="AI83" s="2483">
        <f t="shared" si="179"/>
        <v>4.9169436093030541</v>
      </c>
      <c r="AJ83" s="2483">
        <f t="shared" si="180"/>
        <v>4.9169436093030541</v>
      </c>
      <c r="AK83" s="2466">
        <f t="shared" si="181"/>
        <v>14.750830827909162</v>
      </c>
      <c r="AL83" s="2466">
        <f t="shared" si="167"/>
        <v>44.252492483727487</v>
      </c>
      <c r="AM83" s="2483">
        <f t="shared" si="182"/>
        <v>4.9169436093030541</v>
      </c>
      <c r="AN83" s="2483">
        <f t="shared" si="183"/>
        <v>4.9169436093030541</v>
      </c>
      <c r="AO83" s="2483">
        <f t="shared" si="184"/>
        <v>4.9169436093030541</v>
      </c>
      <c r="AP83" s="2466">
        <f t="shared" si="185"/>
        <v>14.750830827909162</v>
      </c>
      <c r="AQ83" s="642">
        <f t="shared" si="98"/>
        <v>59.003323311636649</v>
      </c>
    </row>
    <row r="84" spans="1:43" ht="18.75" hidden="1">
      <c r="A84" s="2479" t="s">
        <v>605</v>
      </c>
      <c r="B84" s="381"/>
      <c r="C84" s="381"/>
      <c r="D84" s="381"/>
      <c r="E84" s="381"/>
      <c r="F84" s="381"/>
      <c r="G84" s="381"/>
      <c r="H84" s="381"/>
      <c r="I84" s="381"/>
      <c r="J84" s="381"/>
      <c r="K84" s="381"/>
      <c r="L84" s="381"/>
      <c r="M84" s="381"/>
      <c r="N84" s="381"/>
      <c r="O84" s="381"/>
      <c r="P84" s="381"/>
      <c r="Q84" s="381"/>
      <c r="R84" s="381"/>
      <c r="S84" s="381"/>
      <c r="T84" s="381"/>
      <c r="U84" s="2480">
        <f>SUM(U79*8.72%)</f>
        <v>952.7944060693917</v>
      </c>
      <c r="V84" s="640"/>
      <c r="W84" s="2480">
        <f t="shared" si="162"/>
        <v>952.7944060693917</v>
      </c>
      <c r="X84" s="2481">
        <f t="shared" si="161"/>
        <v>0</v>
      </c>
      <c r="Y84" s="2467">
        <f t="shared" si="186"/>
        <v>79.399533839115975</v>
      </c>
      <c r="Z84" s="2467">
        <f t="shared" si="171"/>
        <v>79.399533839115975</v>
      </c>
      <c r="AA84" s="2467">
        <f t="shared" si="172"/>
        <v>79.399533839115975</v>
      </c>
      <c r="AB84" s="2466">
        <f t="shared" si="173"/>
        <v>238.19860151734792</v>
      </c>
      <c r="AC84" s="2483">
        <f t="shared" si="174"/>
        <v>79.399533839115975</v>
      </c>
      <c r="AD84" s="2483">
        <f t="shared" si="175"/>
        <v>79.399533839115975</v>
      </c>
      <c r="AE84" s="2483">
        <f t="shared" si="176"/>
        <v>79.399533839115975</v>
      </c>
      <c r="AF84" s="2466">
        <f t="shared" si="177"/>
        <v>238.19860151734792</v>
      </c>
      <c r="AG84" s="2466">
        <f t="shared" si="165"/>
        <v>476.39720303469585</v>
      </c>
      <c r="AH84" s="2483">
        <f t="shared" si="178"/>
        <v>79.399533839115975</v>
      </c>
      <c r="AI84" s="2483">
        <f t="shared" si="179"/>
        <v>79.399533839115975</v>
      </c>
      <c r="AJ84" s="2483">
        <f t="shared" si="180"/>
        <v>79.399533839115975</v>
      </c>
      <c r="AK84" s="2466">
        <f t="shared" si="181"/>
        <v>238.19860151734792</v>
      </c>
      <c r="AL84" s="2466">
        <f t="shared" si="167"/>
        <v>714.59580455204377</v>
      </c>
      <c r="AM84" s="2483">
        <f t="shared" si="182"/>
        <v>79.399533839115975</v>
      </c>
      <c r="AN84" s="2483">
        <f t="shared" si="183"/>
        <v>79.399533839115975</v>
      </c>
      <c r="AO84" s="2483">
        <f t="shared" si="184"/>
        <v>79.399533839115975</v>
      </c>
      <c r="AP84" s="2466">
        <f t="shared" si="185"/>
        <v>238.19860151734792</v>
      </c>
      <c r="AQ84" s="642">
        <f t="shared" si="98"/>
        <v>952.7944060693917</v>
      </c>
    </row>
    <row r="85" spans="1:43" ht="18.75" hidden="1">
      <c r="A85" s="2479" t="s">
        <v>1557</v>
      </c>
      <c r="B85" s="381"/>
      <c r="C85" s="381"/>
      <c r="D85" s="381"/>
      <c r="E85" s="381"/>
      <c r="F85" s="381"/>
      <c r="G85" s="381"/>
      <c r="H85" s="381"/>
      <c r="I85" s="381"/>
      <c r="J85" s="381"/>
      <c r="K85" s="381"/>
      <c r="L85" s="381"/>
      <c r="M85" s="381"/>
      <c r="N85" s="381"/>
      <c r="O85" s="381"/>
      <c r="P85" s="381"/>
      <c r="Q85" s="381"/>
      <c r="R85" s="381"/>
      <c r="S85" s="381"/>
      <c r="T85" s="381"/>
      <c r="U85" s="2480">
        <f>SUM(U79*0.24%)</f>
        <v>26.223699249616285</v>
      </c>
      <c r="V85" s="640"/>
      <c r="W85" s="2480">
        <f t="shared" si="162"/>
        <v>26.223699249616285</v>
      </c>
      <c r="X85" s="2481">
        <f t="shared" si="161"/>
        <v>0</v>
      </c>
      <c r="Y85" s="2467">
        <f t="shared" si="186"/>
        <v>2.1853082708013569</v>
      </c>
      <c r="Z85" s="2467">
        <f t="shared" si="171"/>
        <v>2.1853082708013569</v>
      </c>
      <c r="AA85" s="2467">
        <f t="shared" si="172"/>
        <v>2.1853082708013569</v>
      </c>
      <c r="AB85" s="2466">
        <f t="shared" si="173"/>
        <v>6.5559248124040703</v>
      </c>
      <c r="AC85" s="2483">
        <f t="shared" si="174"/>
        <v>2.1853082708013569</v>
      </c>
      <c r="AD85" s="2483">
        <f t="shared" si="175"/>
        <v>2.1853082708013569</v>
      </c>
      <c r="AE85" s="2483">
        <f t="shared" si="176"/>
        <v>2.1853082708013569</v>
      </c>
      <c r="AF85" s="2466">
        <f t="shared" si="177"/>
        <v>6.5559248124040703</v>
      </c>
      <c r="AG85" s="2466">
        <f t="shared" si="165"/>
        <v>13.111849624808141</v>
      </c>
      <c r="AH85" s="2483">
        <f t="shared" si="178"/>
        <v>2.1853082708013569</v>
      </c>
      <c r="AI85" s="2483">
        <f t="shared" si="179"/>
        <v>2.1853082708013569</v>
      </c>
      <c r="AJ85" s="2483">
        <f t="shared" si="180"/>
        <v>2.1853082708013569</v>
      </c>
      <c r="AK85" s="2466">
        <f t="shared" si="181"/>
        <v>6.5559248124040703</v>
      </c>
      <c r="AL85" s="2466">
        <f t="shared" si="167"/>
        <v>19.667774437212209</v>
      </c>
      <c r="AM85" s="2483">
        <f t="shared" si="182"/>
        <v>2.1853082708013569</v>
      </c>
      <c r="AN85" s="2483">
        <f t="shared" si="183"/>
        <v>2.1853082708013569</v>
      </c>
      <c r="AO85" s="2483">
        <f t="shared" si="184"/>
        <v>2.1853082708013569</v>
      </c>
      <c r="AP85" s="2466">
        <f t="shared" si="185"/>
        <v>6.5559248124040703</v>
      </c>
      <c r="AQ85" s="642">
        <f t="shared" si="98"/>
        <v>26.223699249616285</v>
      </c>
    </row>
    <row r="86" spans="1:43" ht="18.75" hidden="1">
      <c r="A86" s="2479" t="s">
        <v>607</v>
      </c>
      <c r="B86" s="381"/>
      <c r="C86" s="381"/>
      <c r="D86" s="381"/>
      <c r="E86" s="381"/>
      <c r="F86" s="381"/>
      <c r="G86" s="381"/>
      <c r="H86" s="381"/>
      <c r="I86" s="381"/>
      <c r="J86" s="381"/>
      <c r="K86" s="381"/>
      <c r="L86" s="381"/>
      <c r="M86" s="381"/>
      <c r="N86" s="381"/>
      <c r="O86" s="381"/>
      <c r="P86" s="381"/>
      <c r="Q86" s="381"/>
      <c r="R86" s="381"/>
      <c r="S86" s="381"/>
      <c r="T86" s="381"/>
      <c r="U86" s="2480">
        <f>SUM(U79*0.88%)</f>
        <v>96.153563915259724</v>
      </c>
      <c r="V86" s="640"/>
      <c r="W86" s="2480">
        <f t="shared" si="162"/>
        <v>96.153563915259724</v>
      </c>
      <c r="X86" s="2481">
        <f t="shared" si="161"/>
        <v>0</v>
      </c>
      <c r="Y86" s="2467">
        <f t="shared" si="186"/>
        <v>8.0127969929383109</v>
      </c>
      <c r="Z86" s="2467">
        <f t="shared" si="171"/>
        <v>8.0127969929383109</v>
      </c>
      <c r="AA86" s="2467">
        <f t="shared" si="172"/>
        <v>8.0127969929383109</v>
      </c>
      <c r="AB86" s="2466">
        <f t="shared" si="173"/>
        <v>24.038390978814931</v>
      </c>
      <c r="AC86" s="2483">
        <f t="shared" si="174"/>
        <v>8.0127969929383109</v>
      </c>
      <c r="AD86" s="2483">
        <f t="shared" si="175"/>
        <v>8.0127969929383109</v>
      </c>
      <c r="AE86" s="2483">
        <f t="shared" si="176"/>
        <v>8.0127969929383109</v>
      </c>
      <c r="AF86" s="2466">
        <f t="shared" si="177"/>
        <v>24.038390978814931</v>
      </c>
      <c r="AG86" s="2466">
        <f t="shared" si="165"/>
        <v>48.076781957629862</v>
      </c>
      <c r="AH86" s="2483">
        <f t="shared" si="178"/>
        <v>8.0127969929383109</v>
      </c>
      <c r="AI86" s="2483">
        <f t="shared" si="179"/>
        <v>8.0127969929383109</v>
      </c>
      <c r="AJ86" s="2483">
        <f t="shared" si="180"/>
        <v>8.0127969929383109</v>
      </c>
      <c r="AK86" s="2466">
        <f t="shared" si="181"/>
        <v>24.038390978814931</v>
      </c>
      <c r="AL86" s="2466">
        <f t="shared" si="167"/>
        <v>72.115172936444793</v>
      </c>
      <c r="AM86" s="2483">
        <f t="shared" si="182"/>
        <v>8.0127969929383109</v>
      </c>
      <c r="AN86" s="2483">
        <f t="shared" si="183"/>
        <v>8.0127969929383109</v>
      </c>
      <c r="AO86" s="2483">
        <f t="shared" si="184"/>
        <v>8.0127969929383109</v>
      </c>
      <c r="AP86" s="2466">
        <f t="shared" si="185"/>
        <v>24.038390978814931</v>
      </c>
      <c r="AQ86" s="642">
        <f t="shared" si="98"/>
        <v>96.15356391525971</v>
      </c>
    </row>
    <row r="87" spans="1:43" ht="18.75" hidden="1">
      <c r="A87" s="2479" t="s">
        <v>98</v>
      </c>
      <c r="B87" s="381"/>
      <c r="C87" s="381"/>
      <c r="D87" s="381"/>
      <c r="E87" s="381"/>
      <c r="F87" s="381"/>
      <c r="G87" s="381"/>
      <c r="H87" s="381"/>
      <c r="I87" s="381"/>
      <c r="J87" s="381"/>
      <c r="K87" s="381"/>
      <c r="L87" s="381"/>
      <c r="M87" s="381"/>
      <c r="N87" s="381"/>
      <c r="O87" s="381"/>
      <c r="P87" s="381"/>
      <c r="Q87" s="381"/>
      <c r="R87" s="381"/>
      <c r="S87" s="381"/>
      <c r="T87" s="381"/>
      <c r="U87" s="2480">
        <f>SUM(U79*1.22%)</f>
        <v>133.30380451888277</v>
      </c>
      <c r="V87" s="640"/>
      <c r="W87" s="2480">
        <f t="shared" si="162"/>
        <v>133.30380451888277</v>
      </c>
      <c r="X87" s="2481">
        <f t="shared" si="161"/>
        <v>0</v>
      </c>
      <c r="Y87" s="2467">
        <f t="shared" si="186"/>
        <v>11.108650376573564</v>
      </c>
      <c r="Z87" s="2467">
        <f t="shared" si="171"/>
        <v>11.108650376573564</v>
      </c>
      <c r="AA87" s="2467">
        <f t="shared" si="172"/>
        <v>11.108650376573564</v>
      </c>
      <c r="AB87" s="2466">
        <f t="shared" si="173"/>
        <v>33.325951129720693</v>
      </c>
      <c r="AC87" s="2483">
        <f t="shared" si="174"/>
        <v>11.108650376573564</v>
      </c>
      <c r="AD87" s="2483">
        <f t="shared" si="175"/>
        <v>11.108650376573564</v>
      </c>
      <c r="AE87" s="2483">
        <f t="shared" si="176"/>
        <v>11.108650376573564</v>
      </c>
      <c r="AF87" s="2466">
        <f t="shared" si="177"/>
        <v>33.325951129720693</v>
      </c>
      <c r="AG87" s="2466">
        <f t="shared" si="165"/>
        <v>66.651902259441385</v>
      </c>
      <c r="AH87" s="2483">
        <f t="shared" si="178"/>
        <v>11.108650376573564</v>
      </c>
      <c r="AI87" s="2483">
        <f t="shared" si="179"/>
        <v>11.108650376573564</v>
      </c>
      <c r="AJ87" s="2483">
        <f t="shared" si="180"/>
        <v>11.108650376573564</v>
      </c>
      <c r="AK87" s="2466">
        <f t="shared" si="181"/>
        <v>33.325951129720693</v>
      </c>
      <c r="AL87" s="2466">
        <f t="shared" si="167"/>
        <v>99.977853389162078</v>
      </c>
      <c r="AM87" s="2483">
        <f t="shared" si="182"/>
        <v>11.108650376573564</v>
      </c>
      <c r="AN87" s="2483">
        <f t="shared" si="183"/>
        <v>11.108650376573564</v>
      </c>
      <c r="AO87" s="2483">
        <f t="shared" si="184"/>
        <v>11.108650376573564</v>
      </c>
      <c r="AP87" s="2466">
        <f t="shared" si="185"/>
        <v>33.325951129720693</v>
      </c>
      <c r="AQ87" s="642">
        <f t="shared" si="98"/>
        <v>133.30380451888277</v>
      </c>
    </row>
    <row r="88" spans="1:43" ht="18.75" hidden="1">
      <c r="A88" s="2479" t="s">
        <v>608</v>
      </c>
      <c r="B88" s="381"/>
      <c r="C88" s="381"/>
      <c r="D88" s="381"/>
      <c r="E88" s="381"/>
      <c r="F88" s="381"/>
      <c r="G88" s="381"/>
      <c r="H88" s="381"/>
      <c r="I88" s="381"/>
      <c r="J88" s="381"/>
      <c r="K88" s="381"/>
      <c r="L88" s="381"/>
      <c r="M88" s="381"/>
      <c r="N88" s="381"/>
      <c r="O88" s="381"/>
      <c r="P88" s="381"/>
      <c r="Q88" s="381"/>
      <c r="R88" s="381"/>
      <c r="S88" s="381"/>
      <c r="T88" s="381"/>
      <c r="U88" s="2480">
        <f>SUM(U79*0.55%)</f>
        <v>60.095977447037328</v>
      </c>
      <c r="V88" s="640"/>
      <c r="W88" s="2480">
        <f t="shared" si="162"/>
        <v>60.095977447037328</v>
      </c>
      <c r="X88" s="2481">
        <f t="shared" si="161"/>
        <v>0</v>
      </c>
      <c r="Y88" s="2467">
        <f t="shared" si="186"/>
        <v>5.0079981205864437</v>
      </c>
      <c r="Z88" s="2467">
        <f t="shared" si="171"/>
        <v>5.0079981205864437</v>
      </c>
      <c r="AA88" s="2467">
        <f t="shared" si="172"/>
        <v>5.0079981205864437</v>
      </c>
      <c r="AB88" s="2466">
        <f t="shared" si="173"/>
        <v>15.023994361759332</v>
      </c>
      <c r="AC88" s="2483">
        <f t="shared" si="174"/>
        <v>5.0079981205864437</v>
      </c>
      <c r="AD88" s="2483">
        <f t="shared" si="175"/>
        <v>5.0079981205864437</v>
      </c>
      <c r="AE88" s="2483">
        <f t="shared" si="176"/>
        <v>5.0079981205864437</v>
      </c>
      <c r="AF88" s="2466">
        <f t="shared" si="177"/>
        <v>15.023994361759332</v>
      </c>
      <c r="AG88" s="2466">
        <f t="shared" si="165"/>
        <v>30.047988723518664</v>
      </c>
      <c r="AH88" s="2483">
        <f t="shared" si="178"/>
        <v>5.0079981205864437</v>
      </c>
      <c r="AI88" s="2483">
        <f t="shared" si="179"/>
        <v>5.0079981205864437</v>
      </c>
      <c r="AJ88" s="2483">
        <f t="shared" si="180"/>
        <v>5.0079981205864437</v>
      </c>
      <c r="AK88" s="2466">
        <f t="shared" si="181"/>
        <v>15.023994361759332</v>
      </c>
      <c r="AL88" s="2466">
        <f t="shared" si="167"/>
        <v>45.071983085277992</v>
      </c>
      <c r="AM88" s="2483">
        <f t="shared" si="182"/>
        <v>5.0079981205864437</v>
      </c>
      <c r="AN88" s="2483">
        <f t="shared" si="183"/>
        <v>5.0079981205864437</v>
      </c>
      <c r="AO88" s="2483">
        <f t="shared" si="184"/>
        <v>5.0079981205864437</v>
      </c>
      <c r="AP88" s="2466">
        <f t="shared" si="185"/>
        <v>15.023994361759332</v>
      </c>
      <c r="AQ88" s="642">
        <f t="shared" si="98"/>
        <v>60.09597744703732</v>
      </c>
    </row>
    <row r="89" spans="1:43" ht="18.75" hidden="1">
      <c r="A89" s="2479" t="s">
        <v>1558</v>
      </c>
      <c r="B89" s="381"/>
      <c r="C89" s="381"/>
      <c r="D89" s="381"/>
      <c r="E89" s="381"/>
      <c r="F89" s="381"/>
      <c r="G89" s="381"/>
      <c r="H89" s="381"/>
      <c r="I89" s="381"/>
      <c r="J89" s="381"/>
      <c r="K89" s="381"/>
      <c r="L89" s="381"/>
      <c r="M89" s="381"/>
      <c r="N89" s="381"/>
      <c r="O89" s="381"/>
      <c r="P89" s="381"/>
      <c r="Q89" s="381"/>
      <c r="R89" s="381"/>
      <c r="S89" s="381"/>
      <c r="T89" s="381"/>
      <c r="U89" s="2480">
        <f>SUM(U79*0.47%)</f>
        <v>51.354744363831884</v>
      </c>
      <c r="V89" s="640"/>
      <c r="W89" s="2480">
        <f t="shared" si="162"/>
        <v>51.354744363831884</v>
      </c>
      <c r="X89" s="2481">
        <f t="shared" si="161"/>
        <v>0</v>
      </c>
      <c r="Y89" s="2467">
        <f t="shared" si="186"/>
        <v>4.2795620303193234</v>
      </c>
      <c r="Z89" s="2467">
        <f t="shared" si="171"/>
        <v>4.2795620303193234</v>
      </c>
      <c r="AA89" s="2467">
        <f t="shared" si="172"/>
        <v>4.2795620303193234</v>
      </c>
      <c r="AB89" s="2466">
        <f t="shared" si="173"/>
        <v>12.838686090957971</v>
      </c>
      <c r="AC89" s="2483">
        <f t="shared" si="174"/>
        <v>4.2795620303193234</v>
      </c>
      <c r="AD89" s="2483">
        <f t="shared" si="175"/>
        <v>4.2795620303193234</v>
      </c>
      <c r="AE89" s="2483">
        <f t="shared" si="176"/>
        <v>4.2795620303193234</v>
      </c>
      <c r="AF89" s="2466">
        <f t="shared" si="177"/>
        <v>12.838686090957971</v>
      </c>
      <c r="AG89" s="2466">
        <f t="shared" si="165"/>
        <v>25.677372181915942</v>
      </c>
      <c r="AH89" s="2483">
        <f t="shared" si="178"/>
        <v>4.2795620303193234</v>
      </c>
      <c r="AI89" s="2483">
        <f t="shared" si="179"/>
        <v>4.2795620303193234</v>
      </c>
      <c r="AJ89" s="2483">
        <f t="shared" si="180"/>
        <v>4.2795620303193234</v>
      </c>
      <c r="AK89" s="2466">
        <f t="shared" si="181"/>
        <v>12.838686090957971</v>
      </c>
      <c r="AL89" s="2466">
        <f t="shared" si="167"/>
        <v>38.516058272873913</v>
      </c>
      <c r="AM89" s="2483">
        <f t="shared" si="182"/>
        <v>4.2795620303193234</v>
      </c>
      <c r="AN89" s="2483">
        <f t="shared" si="183"/>
        <v>4.2795620303193234</v>
      </c>
      <c r="AO89" s="2483">
        <f t="shared" si="184"/>
        <v>4.2795620303193234</v>
      </c>
      <c r="AP89" s="2466">
        <f t="shared" si="185"/>
        <v>12.838686090957971</v>
      </c>
      <c r="AQ89" s="642">
        <f t="shared" si="98"/>
        <v>51.354744363831891</v>
      </c>
    </row>
    <row r="90" spans="1:43" ht="18.75" hidden="1">
      <c r="A90" s="2479" t="s">
        <v>611</v>
      </c>
      <c r="B90" s="381"/>
      <c r="C90" s="381"/>
      <c r="D90" s="381"/>
      <c r="E90" s="381"/>
      <c r="F90" s="381"/>
      <c r="G90" s="381"/>
      <c r="H90" s="381"/>
      <c r="I90" s="381"/>
      <c r="J90" s="381"/>
      <c r="K90" s="381"/>
      <c r="L90" s="381"/>
      <c r="M90" s="381"/>
      <c r="N90" s="381"/>
      <c r="O90" s="381"/>
      <c r="P90" s="381"/>
      <c r="Q90" s="381"/>
      <c r="R90" s="381"/>
      <c r="S90" s="381"/>
      <c r="T90" s="381"/>
      <c r="U90" s="2480">
        <f>SUM(U79*0.92%)</f>
        <v>100.52418045686242</v>
      </c>
      <c r="V90" s="640"/>
      <c r="W90" s="2480">
        <f t="shared" si="162"/>
        <v>100.52418045686242</v>
      </c>
      <c r="X90" s="2481">
        <f t="shared" si="161"/>
        <v>0</v>
      </c>
      <c r="Y90" s="2467">
        <f t="shared" si="186"/>
        <v>8.3770150380718693</v>
      </c>
      <c r="Z90" s="2467">
        <f t="shared" si="171"/>
        <v>8.3770150380718693</v>
      </c>
      <c r="AA90" s="2467">
        <f t="shared" si="172"/>
        <v>8.3770150380718693</v>
      </c>
      <c r="AB90" s="2466">
        <f t="shared" si="173"/>
        <v>25.13104511421561</v>
      </c>
      <c r="AC90" s="2483">
        <f t="shared" si="174"/>
        <v>8.3770150380718693</v>
      </c>
      <c r="AD90" s="2483">
        <f t="shared" si="175"/>
        <v>8.3770150380718693</v>
      </c>
      <c r="AE90" s="2483">
        <f t="shared" si="176"/>
        <v>8.3770150380718693</v>
      </c>
      <c r="AF90" s="2466">
        <f t="shared" si="177"/>
        <v>25.13104511421561</v>
      </c>
      <c r="AG90" s="2466">
        <f t="shared" si="165"/>
        <v>50.262090228431219</v>
      </c>
      <c r="AH90" s="2483">
        <f t="shared" si="178"/>
        <v>8.3770150380718693</v>
      </c>
      <c r="AI90" s="2483">
        <f t="shared" si="179"/>
        <v>8.3770150380718693</v>
      </c>
      <c r="AJ90" s="2483">
        <f t="shared" si="180"/>
        <v>8.3770150380718693</v>
      </c>
      <c r="AK90" s="2466">
        <f t="shared" si="181"/>
        <v>25.13104511421561</v>
      </c>
      <c r="AL90" s="2466">
        <f t="shared" si="167"/>
        <v>75.393135342646829</v>
      </c>
      <c r="AM90" s="2483">
        <f t="shared" si="182"/>
        <v>8.3770150380718693</v>
      </c>
      <c r="AN90" s="2483">
        <f t="shared" si="183"/>
        <v>8.3770150380718693</v>
      </c>
      <c r="AO90" s="2483">
        <f t="shared" si="184"/>
        <v>8.3770150380718693</v>
      </c>
      <c r="AP90" s="2466">
        <f t="shared" si="185"/>
        <v>25.13104511421561</v>
      </c>
      <c r="AQ90" s="642">
        <f t="shared" si="98"/>
        <v>100.52418045686245</v>
      </c>
    </row>
    <row r="91" spans="1:43" ht="18.75" hidden="1">
      <c r="A91" s="2479" t="s">
        <v>615</v>
      </c>
      <c r="B91" s="2166"/>
      <c r="C91" s="2166"/>
      <c r="D91" s="2166"/>
      <c r="E91" s="2166"/>
      <c r="F91" s="2166"/>
      <c r="G91" s="2166"/>
      <c r="H91" s="2166"/>
      <c r="I91" s="2166"/>
      <c r="J91" s="2166"/>
      <c r="K91" s="2166"/>
      <c r="L91" s="2166"/>
      <c r="M91" s="2166"/>
      <c r="N91" s="2166"/>
      <c r="O91" s="2166"/>
      <c r="P91" s="2166"/>
      <c r="Q91" s="2166"/>
      <c r="R91" s="2166"/>
      <c r="S91" s="2166"/>
      <c r="T91" s="2166"/>
      <c r="U91" s="2486">
        <v>0</v>
      </c>
      <c r="V91" s="646"/>
      <c r="W91" s="2486">
        <f t="shared" si="162"/>
        <v>0</v>
      </c>
      <c r="X91" s="2481">
        <f t="shared" si="161"/>
        <v>0</v>
      </c>
      <c r="Y91" s="2487">
        <f t="shared" ref="Y91:Y92" si="187">SUM(U91/12)</f>
        <v>0</v>
      </c>
      <c r="Z91" s="2487">
        <f t="shared" si="171"/>
        <v>0</v>
      </c>
      <c r="AA91" s="2487">
        <f t="shared" si="172"/>
        <v>0</v>
      </c>
      <c r="AB91" s="2488">
        <f t="shared" si="173"/>
        <v>0</v>
      </c>
      <c r="AC91" s="2489">
        <f t="shared" si="174"/>
        <v>0</v>
      </c>
      <c r="AD91" s="2489">
        <f t="shared" si="175"/>
        <v>0</v>
      </c>
      <c r="AE91" s="2489">
        <f t="shared" si="176"/>
        <v>0</v>
      </c>
      <c r="AF91" s="2488">
        <f t="shared" si="177"/>
        <v>0</v>
      </c>
      <c r="AG91" s="2488">
        <f t="shared" si="165"/>
        <v>0</v>
      </c>
      <c r="AH91" s="2489">
        <f t="shared" si="178"/>
        <v>0</v>
      </c>
      <c r="AI91" s="2489">
        <f t="shared" si="179"/>
        <v>0</v>
      </c>
      <c r="AJ91" s="2489">
        <f t="shared" si="180"/>
        <v>0</v>
      </c>
      <c r="AK91" s="2488">
        <f t="shared" si="181"/>
        <v>0</v>
      </c>
      <c r="AL91" s="2488">
        <f t="shared" si="167"/>
        <v>0</v>
      </c>
      <c r="AM91" s="2489">
        <f t="shared" si="182"/>
        <v>0</v>
      </c>
      <c r="AN91" s="2489">
        <f t="shared" si="183"/>
        <v>0</v>
      </c>
      <c r="AO91" s="2489">
        <f t="shared" si="184"/>
        <v>0</v>
      </c>
      <c r="AP91" s="2488">
        <f t="shared" si="185"/>
        <v>0</v>
      </c>
      <c r="AQ91" s="649">
        <f t="shared" si="98"/>
        <v>0</v>
      </c>
    </row>
    <row r="92" spans="1:43" ht="18.75" hidden="1">
      <c r="A92" s="2479" t="s">
        <v>612</v>
      </c>
      <c r="B92" s="2166"/>
      <c r="C92" s="2166"/>
      <c r="D92" s="2166"/>
      <c r="E92" s="2166"/>
      <c r="F92" s="2166"/>
      <c r="G92" s="2166"/>
      <c r="H92" s="2166"/>
      <c r="I92" s="2166"/>
      <c r="J92" s="2166"/>
      <c r="K92" s="2166"/>
      <c r="L92" s="2166"/>
      <c r="M92" s="2166"/>
      <c r="N92" s="2166"/>
      <c r="O92" s="2166"/>
      <c r="P92" s="2166"/>
      <c r="Q92" s="2166"/>
      <c r="R92" s="2166"/>
      <c r="S92" s="2166"/>
      <c r="T92" s="2166"/>
      <c r="U92" s="2486">
        <v>0</v>
      </c>
      <c r="V92" s="646"/>
      <c r="W92" s="2486">
        <f t="shared" si="162"/>
        <v>0</v>
      </c>
      <c r="X92" s="2481">
        <f t="shared" si="161"/>
        <v>0</v>
      </c>
      <c r="Y92" s="2487">
        <f t="shared" si="187"/>
        <v>0</v>
      </c>
      <c r="Z92" s="2487">
        <f t="shared" si="171"/>
        <v>0</v>
      </c>
      <c r="AA92" s="2487">
        <f t="shared" si="172"/>
        <v>0</v>
      </c>
      <c r="AB92" s="2488">
        <f t="shared" si="173"/>
        <v>0</v>
      </c>
      <c r="AC92" s="2489">
        <f t="shared" si="174"/>
        <v>0</v>
      </c>
      <c r="AD92" s="2489">
        <f t="shared" si="175"/>
        <v>0</v>
      </c>
      <c r="AE92" s="2489">
        <f t="shared" si="176"/>
        <v>0</v>
      </c>
      <c r="AF92" s="2488">
        <f t="shared" si="177"/>
        <v>0</v>
      </c>
      <c r="AG92" s="2488">
        <f t="shared" si="165"/>
        <v>0</v>
      </c>
      <c r="AH92" s="2489">
        <f t="shared" si="178"/>
        <v>0</v>
      </c>
      <c r="AI92" s="2489">
        <f t="shared" si="179"/>
        <v>0</v>
      </c>
      <c r="AJ92" s="2489">
        <f t="shared" si="180"/>
        <v>0</v>
      </c>
      <c r="AK92" s="2488">
        <f t="shared" si="181"/>
        <v>0</v>
      </c>
      <c r="AL92" s="2488">
        <f t="shared" si="167"/>
        <v>0</v>
      </c>
      <c r="AM92" s="2489">
        <f t="shared" si="182"/>
        <v>0</v>
      </c>
      <c r="AN92" s="2489">
        <f t="shared" si="183"/>
        <v>0</v>
      </c>
      <c r="AO92" s="2489">
        <f t="shared" si="184"/>
        <v>0</v>
      </c>
      <c r="AP92" s="2488">
        <f t="shared" si="185"/>
        <v>0</v>
      </c>
      <c r="AQ92" s="649">
        <f t="shared" si="98"/>
        <v>0</v>
      </c>
    </row>
    <row r="93" spans="1:43" ht="18.75" hidden="1">
      <c r="A93" s="2479" t="s">
        <v>1559</v>
      </c>
      <c r="B93" s="381"/>
      <c r="C93" s="381"/>
      <c r="D93" s="381"/>
      <c r="E93" s="381"/>
      <c r="F93" s="381"/>
      <c r="G93" s="381"/>
      <c r="H93" s="381"/>
      <c r="I93" s="381"/>
      <c r="J93" s="381"/>
      <c r="K93" s="381"/>
      <c r="L93" s="381"/>
      <c r="M93" s="381"/>
      <c r="N93" s="381"/>
      <c r="O93" s="381"/>
      <c r="P93" s="381"/>
      <c r="Q93" s="381"/>
      <c r="R93" s="381"/>
      <c r="S93" s="381"/>
      <c r="T93" s="381"/>
      <c r="U93" s="2480">
        <f>SUM(U79*1.28%)</f>
        <v>139.85972933128687</v>
      </c>
      <c r="V93" s="640"/>
      <c r="W93" s="2480">
        <f t="shared" si="162"/>
        <v>139.85972933128687</v>
      </c>
      <c r="X93" s="2481">
        <f t="shared" si="161"/>
        <v>0</v>
      </c>
      <c r="Y93" s="2467">
        <f t="shared" ref="Y93:Y95" si="188">SUM(U93/12)</f>
        <v>11.654977444273905</v>
      </c>
      <c r="Z93" s="2467">
        <f t="shared" si="171"/>
        <v>11.654977444273905</v>
      </c>
      <c r="AA93" s="2467">
        <f t="shared" si="172"/>
        <v>11.654977444273905</v>
      </c>
      <c r="AB93" s="2466">
        <f t="shared" si="173"/>
        <v>34.964932332821718</v>
      </c>
      <c r="AC93" s="2483">
        <f t="shared" si="174"/>
        <v>11.654977444273905</v>
      </c>
      <c r="AD93" s="2483">
        <f t="shared" si="175"/>
        <v>11.654977444273905</v>
      </c>
      <c r="AE93" s="2483">
        <f t="shared" si="176"/>
        <v>11.654977444273905</v>
      </c>
      <c r="AF93" s="2466">
        <f t="shared" si="177"/>
        <v>34.964932332821718</v>
      </c>
      <c r="AG93" s="2466">
        <f t="shared" si="94"/>
        <v>69.929864665643436</v>
      </c>
      <c r="AH93" s="2483">
        <f t="shared" si="178"/>
        <v>11.654977444273905</v>
      </c>
      <c r="AI93" s="2483">
        <f t="shared" si="179"/>
        <v>11.654977444273905</v>
      </c>
      <c r="AJ93" s="2483">
        <f t="shared" si="180"/>
        <v>11.654977444273905</v>
      </c>
      <c r="AK93" s="2466">
        <f t="shared" si="181"/>
        <v>34.964932332821718</v>
      </c>
      <c r="AL93" s="2466">
        <f t="shared" si="96"/>
        <v>104.89479699846515</v>
      </c>
      <c r="AM93" s="2483">
        <f t="shared" si="182"/>
        <v>11.654977444273905</v>
      </c>
      <c r="AN93" s="2483">
        <f t="shared" si="183"/>
        <v>11.654977444273905</v>
      </c>
      <c r="AO93" s="2483">
        <f t="shared" si="184"/>
        <v>11.654977444273905</v>
      </c>
      <c r="AP93" s="2466">
        <f t="shared" si="185"/>
        <v>34.964932332821718</v>
      </c>
      <c r="AQ93" s="642">
        <f t="shared" si="98"/>
        <v>139.85972933128687</v>
      </c>
    </row>
    <row r="94" spans="1:43" ht="18.75" hidden="1">
      <c r="A94" s="2479" t="s">
        <v>38</v>
      </c>
      <c r="B94" s="381"/>
      <c r="C94" s="381"/>
      <c r="D94" s="381"/>
      <c r="E94" s="381"/>
      <c r="F94" s="381"/>
      <c r="G94" s="381"/>
      <c r="H94" s="381"/>
      <c r="I94" s="381"/>
      <c r="J94" s="381"/>
      <c r="K94" s="381"/>
      <c r="L94" s="381"/>
      <c r="M94" s="381"/>
      <c r="N94" s="381"/>
      <c r="O94" s="381"/>
      <c r="P94" s="381"/>
      <c r="Q94" s="381"/>
      <c r="R94" s="381"/>
      <c r="S94" s="381"/>
      <c r="T94" s="381"/>
      <c r="U94" s="2480">
        <f>SUM(U79*0.52%)</f>
        <v>56.818015040835284</v>
      </c>
      <c r="V94" s="640"/>
      <c r="W94" s="2480">
        <f t="shared" si="162"/>
        <v>56.818015040835284</v>
      </c>
      <c r="X94" s="2481">
        <f t="shared" si="161"/>
        <v>0</v>
      </c>
      <c r="Y94" s="2467">
        <f t="shared" si="188"/>
        <v>4.734834586736274</v>
      </c>
      <c r="Z94" s="2467">
        <f t="shared" si="171"/>
        <v>4.734834586736274</v>
      </c>
      <c r="AA94" s="2467">
        <f t="shared" si="172"/>
        <v>4.734834586736274</v>
      </c>
      <c r="AB94" s="2466">
        <f t="shared" si="173"/>
        <v>14.204503760208823</v>
      </c>
      <c r="AC94" s="2483">
        <f t="shared" si="174"/>
        <v>4.734834586736274</v>
      </c>
      <c r="AD94" s="2483">
        <f t="shared" si="175"/>
        <v>4.734834586736274</v>
      </c>
      <c r="AE94" s="2483">
        <f t="shared" si="176"/>
        <v>4.734834586736274</v>
      </c>
      <c r="AF94" s="2466">
        <f t="shared" si="177"/>
        <v>14.204503760208823</v>
      </c>
      <c r="AG94" s="2466">
        <f t="shared" si="94"/>
        <v>28.409007520417646</v>
      </c>
      <c r="AH94" s="2483">
        <f t="shared" si="178"/>
        <v>4.734834586736274</v>
      </c>
      <c r="AI94" s="2483">
        <f t="shared" si="179"/>
        <v>4.734834586736274</v>
      </c>
      <c r="AJ94" s="2483">
        <f t="shared" si="180"/>
        <v>4.734834586736274</v>
      </c>
      <c r="AK94" s="2466">
        <f t="shared" si="181"/>
        <v>14.204503760208823</v>
      </c>
      <c r="AL94" s="2466">
        <f t="shared" si="96"/>
        <v>42.613511280626469</v>
      </c>
      <c r="AM94" s="2483">
        <f t="shared" si="182"/>
        <v>4.734834586736274</v>
      </c>
      <c r="AN94" s="2483">
        <f t="shared" si="183"/>
        <v>4.734834586736274</v>
      </c>
      <c r="AO94" s="2483">
        <f t="shared" si="184"/>
        <v>4.734834586736274</v>
      </c>
      <c r="AP94" s="2466">
        <f t="shared" si="185"/>
        <v>14.204503760208823</v>
      </c>
      <c r="AQ94" s="642">
        <f t="shared" si="98"/>
        <v>56.818015040835299</v>
      </c>
    </row>
    <row r="95" spans="1:43" ht="18.75" hidden="1">
      <c r="A95" s="2479" t="s">
        <v>32</v>
      </c>
      <c r="B95" s="381"/>
      <c r="C95" s="381"/>
      <c r="D95" s="381"/>
      <c r="E95" s="381"/>
      <c r="F95" s="381"/>
      <c r="G95" s="381"/>
      <c r="H95" s="381"/>
      <c r="I95" s="381"/>
      <c r="J95" s="381"/>
      <c r="K95" s="381"/>
      <c r="L95" s="381"/>
      <c r="M95" s="381"/>
      <c r="N95" s="381"/>
      <c r="O95" s="381"/>
      <c r="P95" s="381"/>
      <c r="Q95" s="381"/>
      <c r="R95" s="381"/>
      <c r="S95" s="381"/>
      <c r="T95" s="381"/>
      <c r="U95" s="2480">
        <f>SUM(U79*0.23%)</f>
        <v>25.131045114215606</v>
      </c>
      <c r="V95" s="640"/>
      <c r="W95" s="2480">
        <f t="shared" si="162"/>
        <v>25.131045114215606</v>
      </c>
      <c r="X95" s="2481">
        <f t="shared" si="161"/>
        <v>0</v>
      </c>
      <c r="Y95" s="2467">
        <f t="shared" si="188"/>
        <v>2.0942537595179673</v>
      </c>
      <c r="Z95" s="2467">
        <f t="shared" si="171"/>
        <v>2.0942537595179673</v>
      </c>
      <c r="AA95" s="2467">
        <f t="shared" si="172"/>
        <v>2.0942537595179673</v>
      </c>
      <c r="AB95" s="2466">
        <f t="shared" si="173"/>
        <v>6.2827612785539024</v>
      </c>
      <c r="AC95" s="2483">
        <f t="shared" si="174"/>
        <v>2.0942537595179673</v>
      </c>
      <c r="AD95" s="2483">
        <f t="shared" si="175"/>
        <v>2.0942537595179673</v>
      </c>
      <c r="AE95" s="2483">
        <f t="shared" si="176"/>
        <v>2.0942537595179673</v>
      </c>
      <c r="AF95" s="2466">
        <f t="shared" si="177"/>
        <v>6.2827612785539024</v>
      </c>
      <c r="AG95" s="2466">
        <f t="shared" si="94"/>
        <v>12.565522557107805</v>
      </c>
      <c r="AH95" s="2483">
        <f t="shared" si="178"/>
        <v>2.0942537595179673</v>
      </c>
      <c r="AI95" s="2483">
        <f t="shared" si="179"/>
        <v>2.0942537595179673</v>
      </c>
      <c r="AJ95" s="2483">
        <f t="shared" si="180"/>
        <v>2.0942537595179673</v>
      </c>
      <c r="AK95" s="2466">
        <f t="shared" si="181"/>
        <v>6.2827612785539024</v>
      </c>
      <c r="AL95" s="2466">
        <f t="shared" si="96"/>
        <v>18.848283835661707</v>
      </c>
      <c r="AM95" s="2483">
        <f t="shared" si="182"/>
        <v>2.0942537595179673</v>
      </c>
      <c r="AN95" s="2483">
        <f t="shared" si="183"/>
        <v>2.0942537595179673</v>
      </c>
      <c r="AO95" s="2483">
        <f t="shared" si="184"/>
        <v>2.0942537595179673</v>
      </c>
      <c r="AP95" s="2466">
        <f t="shared" si="185"/>
        <v>6.2827612785539024</v>
      </c>
      <c r="AQ95" s="642">
        <f t="shared" si="98"/>
        <v>25.131045114215613</v>
      </c>
    </row>
    <row r="96" spans="1:43" ht="18.75" hidden="1">
      <c r="A96" s="2479" t="s">
        <v>606</v>
      </c>
      <c r="B96" s="381"/>
      <c r="C96" s="381"/>
      <c r="D96" s="381"/>
      <c r="E96" s="381"/>
      <c r="F96" s="381"/>
      <c r="G96" s="381"/>
      <c r="H96" s="381"/>
      <c r="I96" s="381"/>
      <c r="J96" s="381"/>
      <c r="K96" s="381"/>
      <c r="L96" s="381"/>
      <c r="M96" s="381"/>
      <c r="N96" s="381"/>
      <c r="O96" s="381"/>
      <c r="P96" s="381"/>
      <c r="Q96" s="381"/>
      <c r="R96" s="381"/>
      <c r="S96" s="381"/>
      <c r="T96" s="381"/>
      <c r="U96" s="2480">
        <f>SUM(U97:U100)</f>
        <v>4604.4445265784589</v>
      </c>
      <c r="V96" s="640"/>
      <c r="W96" s="2480">
        <f>SUM(W97:W100)</f>
        <v>4604.4445265784589</v>
      </c>
      <c r="X96" s="2480">
        <f>SUM(X97:X100)</f>
        <v>0</v>
      </c>
      <c r="Y96" s="2482">
        <f t="shared" ref="Y96:AA96" si="189">SUM(Y97:Y100)</f>
        <v>739.63361622005391</v>
      </c>
      <c r="Z96" s="2482">
        <f t="shared" si="189"/>
        <v>637.91355502058639</v>
      </c>
      <c r="AA96" s="2482">
        <f t="shared" si="189"/>
        <v>593.86109524774156</v>
      </c>
      <c r="AB96" s="2466">
        <f t="shared" si="92"/>
        <v>1971.4082664883817</v>
      </c>
      <c r="AC96" s="2482">
        <f t="shared" ref="AC96:AE96" si="190">SUM(AC97:AC100)</f>
        <v>440.17920007771431</v>
      </c>
      <c r="AD96" s="2482">
        <f t="shared" si="190"/>
        <v>129.15584854170214</v>
      </c>
      <c r="AE96" s="2482">
        <f t="shared" si="190"/>
        <v>33.417005641004089</v>
      </c>
      <c r="AF96" s="2466">
        <f t="shared" si="93"/>
        <v>602.75205426042055</v>
      </c>
      <c r="AG96" s="2466">
        <f t="shared" si="94"/>
        <v>2574.1603207488024</v>
      </c>
      <c r="AH96" s="2482">
        <f t="shared" ref="AH96:AJ96" si="191">SUM(AH97:AH100)</f>
        <v>33.417005641004089</v>
      </c>
      <c r="AI96" s="2482">
        <f t="shared" si="191"/>
        <v>33.417005641004089</v>
      </c>
      <c r="AJ96" s="2482">
        <f t="shared" si="191"/>
        <v>208.85873038243622</v>
      </c>
      <c r="AK96" s="2466">
        <f t="shared" si="95"/>
        <v>275.69274166444438</v>
      </c>
      <c r="AL96" s="2466">
        <f t="shared" si="96"/>
        <v>2849.8530624132468</v>
      </c>
      <c r="AM96" s="2482">
        <f t="shared" ref="AM96:AO96" si="192">SUM(AM97:AM100)</f>
        <v>464.67543702080616</v>
      </c>
      <c r="AN96" s="2482">
        <f t="shared" si="192"/>
        <v>575.70258869412203</v>
      </c>
      <c r="AO96" s="2482">
        <f t="shared" si="192"/>
        <v>714.21343845028343</v>
      </c>
      <c r="AP96" s="2466">
        <f t="shared" si="97"/>
        <v>1754.5914641652116</v>
      </c>
      <c r="AQ96" s="642">
        <f t="shared" si="98"/>
        <v>4604.4445265784589</v>
      </c>
    </row>
    <row r="97" spans="1:43" ht="18.75" hidden="1">
      <c r="A97" s="2484" t="s">
        <v>562</v>
      </c>
      <c r="B97" s="381"/>
      <c r="C97" s="381"/>
      <c r="D97" s="381"/>
      <c r="E97" s="381"/>
      <c r="F97" s="381"/>
      <c r="G97" s="381"/>
      <c r="H97" s="381"/>
      <c r="I97" s="381"/>
      <c r="J97" s="381"/>
      <c r="K97" s="381"/>
      <c r="L97" s="381"/>
      <c r="M97" s="381"/>
      <c r="N97" s="381"/>
      <c r="O97" s="381"/>
      <c r="P97" s="381"/>
      <c r="Q97" s="381"/>
      <c r="R97" s="381"/>
      <c r="S97" s="381"/>
      <c r="T97" s="381"/>
      <c r="U97" s="2480">
        <f>SUM(U79*38.47%)</f>
        <v>4203.4404588864099</v>
      </c>
      <c r="V97" s="640"/>
      <c r="W97" s="2480">
        <f t="shared" si="162"/>
        <v>4203.4404588864099</v>
      </c>
      <c r="X97" s="2481">
        <f t="shared" si="161"/>
        <v>0</v>
      </c>
      <c r="Y97" s="2467">
        <f>SUM(U97/2094.54)/(1+(104%*100-100)/2/100)*358.94</f>
        <v>706.21661057904987</v>
      </c>
      <c r="Z97" s="2467">
        <f>SUM(U97/2094.54)/(1+(104%*100-100)/2/100)*307.24</f>
        <v>604.49654937958235</v>
      </c>
      <c r="AA97" s="2467">
        <f>SUM(U97/2094.54)/(1+(104%*100-100)/2/100)*284.85</f>
        <v>560.44408960673752</v>
      </c>
      <c r="AB97" s="2466">
        <f t="shared" si="92"/>
        <v>1871.15724956537</v>
      </c>
      <c r="AC97" s="2467">
        <f>SUM(U97/2094.54)/(1+(104%*100-100)/2/100)*206.74</f>
        <v>406.76219443671022</v>
      </c>
      <c r="AD97" s="2467">
        <f>SUM(U97/2094.54)/(1+(104%*100-100)/2/100)*48.66</f>
        <v>95.73884290069806</v>
      </c>
      <c r="AE97" s="2467">
        <v>0</v>
      </c>
      <c r="AF97" s="2466">
        <f t="shared" si="93"/>
        <v>502.50103733740826</v>
      </c>
      <c r="AG97" s="2466">
        <f t="shared" si="94"/>
        <v>2373.6582869027784</v>
      </c>
      <c r="AH97" s="2467">
        <v>0</v>
      </c>
      <c r="AI97" s="2467">
        <v>0</v>
      </c>
      <c r="AJ97" s="2467">
        <f>SUM(U97/2094.54)/(1+(104%*100-100)/2/100)*104%*85.74</f>
        <v>175.44172474143213</v>
      </c>
      <c r="AK97" s="2466">
        <f t="shared" si="95"/>
        <v>175.44172474143213</v>
      </c>
      <c r="AL97" s="2466">
        <f t="shared" si="96"/>
        <v>2549.1000116442106</v>
      </c>
      <c r="AM97" s="2467">
        <f>SUM(U97/2094.54)/(1+(104%*100-100)/2/100)*104%*210.76</f>
        <v>431.25843137980212</v>
      </c>
      <c r="AN97" s="2467">
        <f>SUM(U97/2094.54)/(1+(104%*100-100)/2/100)*104%*265.02</f>
        <v>542.28558305311799</v>
      </c>
      <c r="AO97" s="2467">
        <f>SUM(U97-AL97-AM97-AN97)</f>
        <v>680.79643280927939</v>
      </c>
      <c r="AP97" s="2466">
        <f t="shared" si="97"/>
        <v>1654.3404472421994</v>
      </c>
      <c r="AQ97" s="642">
        <f t="shared" si="98"/>
        <v>4203.4404588864099</v>
      </c>
    </row>
    <row r="98" spans="1:43" ht="18.75" hidden="1">
      <c r="A98" s="2484" t="s">
        <v>564</v>
      </c>
      <c r="B98" s="381"/>
      <c r="C98" s="381"/>
      <c r="D98" s="381"/>
      <c r="E98" s="381"/>
      <c r="F98" s="381"/>
      <c r="G98" s="381"/>
      <c r="H98" s="381"/>
      <c r="I98" s="381"/>
      <c r="J98" s="381"/>
      <c r="K98" s="381"/>
      <c r="L98" s="381"/>
      <c r="M98" s="381"/>
      <c r="N98" s="381"/>
      <c r="O98" s="381"/>
      <c r="P98" s="381"/>
      <c r="Q98" s="381"/>
      <c r="R98" s="381"/>
      <c r="S98" s="381"/>
      <c r="T98" s="381"/>
      <c r="U98" s="2480">
        <f>SUM(U79*3.12%)</f>
        <v>340.90809024501175</v>
      </c>
      <c r="V98" s="640"/>
      <c r="W98" s="2480">
        <f t="shared" si="162"/>
        <v>340.90809024501175</v>
      </c>
      <c r="X98" s="2481">
        <f t="shared" si="161"/>
        <v>0</v>
      </c>
      <c r="Y98" s="2467">
        <f t="shared" ref="Y98:Y100" si="193">SUM(U98/12)</f>
        <v>28.409007520417646</v>
      </c>
      <c r="Z98" s="2467">
        <f t="shared" ref="Z98:Z100" si="194">SUM(Y98)</f>
        <v>28.409007520417646</v>
      </c>
      <c r="AA98" s="2467">
        <f t="shared" ref="AA98:AA100" si="195">SUM(Y98)</f>
        <v>28.409007520417646</v>
      </c>
      <c r="AB98" s="2466">
        <f t="shared" ref="AB98:AB100" si="196">SUM(Y98+Z98+AA98)</f>
        <v>85.227022561252937</v>
      </c>
      <c r="AC98" s="2483">
        <f t="shared" ref="AC98:AC100" si="197">SUM(Y98)</f>
        <v>28.409007520417646</v>
      </c>
      <c r="AD98" s="2483">
        <f t="shared" ref="AD98:AD100" si="198">SUM(Y98)</f>
        <v>28.409007520417646</v>
      </c>
      <c r="AE98" s="2483">
        <f t="shared" ref="AE98:AE100" si="199">SUM(Y98)</f>
        <v>28.409007520417646</v>
      </c>
      <c r="AF98" s="2466">
        <f t="shared" ref="AF98:AF100" si="200">SUM(AC98+AD98+AE98)</f>
        <v>85.227022561252937</v>
      </c>
      <c r="AG98" s="2466">
        <f t="shared" si="94"/>
        <v>170.45404512250587</v>
      </c>
      <c r="AH98" s="2483">
        <f t="shared" ref="AH98:AH100" si="201">SUM(Y98)</f>
        <v>28.409007520417646</v>
      </c>
      <c r="AI98" s="2483">
        <f t="shared" ref="AI98:AI100" si="202">SUM(Y98)</f>
        <v>28.409007520417646</v>
      </c>
      <c r="AJ98" s="2483">
        <f t="shared" ref="AJ98:AJ100" si="203">SUM(Y98)</f>
        <v>28.409007520417646</v>
      </c>
      <c r="AK98" s="2466">
        <f t="shared" ref="AK98:AK100" si="204">SUM(AH98+AI98+AJ98)</f>
        <v>85.227022561252937</v>
      </c>
      <c r="AL98" s="2466">
        <f t="shared" si="96"/>
        <v>255.68106768375881</v>
      </c>
      <c r="AM98" s="2483">
        <f t="shared" ref="AM98:AM100" si="205">SUM(Y98)</f>
        <v>28.409007520417646</v>
      </c>
      <c r="AN98" s="2483">
        <f t="shared" ref="AN98:AN100" si="206">SUM(Y98)</f>
        <v>28.409007520417646</v>
      </c>
      <c r="AO98" s="2483">
        <f t="shared" ref="AO98:AO100" si="207">SUM(Y98)</f>
        <v>28.409007520417646</v>
      </c>
      <c r="AP98" s="2466">
        <f t="shared" ref="AP98:AP100" si="208">SUM(AM98+AN98+AO98)</f>
        <v>85.227022561252937</v>
      </c>
      <c r="AQ98" s="642">
        <f t="shared" si="98"/>
        <v>340.90809024501175</v>
      </c>
    </row>
    <row r="99" spans="1:43" ht="18.75" hidden="1">
      <c r="A99" s="2484" t="s">
        <v>563</v>
      </c>
      <c r="B99" s="381"/>
      <c r="C99" s="381"/>
      <c r="D99" s="381"/>
      <c r="E99" s="381"/>
      <c r="F99" s="381"/>
      <c r="G99" s="381"/>
      <c r="H99" s="381"/>
      <c r="I99" s="381"/>
      <c r="J99" s="381"/>
      <c r="K99" s="381"/>
      <c r="L99" s="381"/>
      <c r="M99" s="381"/>
      <c r="N99" s="381"/>
      <c r="O99" s="381"/>
      <c r="P99" s="381"/>
      <c r="Q99" s="381"/>
      <c r="R99" s="381"/>
      <c r="S99" s="381"/>
      <c r="T99" s="381"/>
      <c r="U99" s="2480">
        <f>SUM(U79*0.22%)</f>
        <v>24.038390978814931</v>
      </c>
      <c r="V99" s="640"/>
      <c r="W99" s="2480">
        <f t="shared" si="162"/>
        <v>24.038390978814931</v>
      </c>
      <c r="X99" s="2481">
        <f t="shared" si="161"/>
        <v>0</v>
      </c>
      <c r="Y99" s="2467">
        <f t="shared" si="193"/>
        <v>2.0031992482345777</v>
      </c>
      <c r="Z99" s="2467">
        <f t="shared" si="194"/>
        <v>2.0031992482345777</v>
      </c>
      <c r="AA99" s="2467">
        <f t="shared" si="195"/>
        <v>2.0031992482345777</v>
      </c>
      <c r="AB99" s="2466">
        <f t="shared" si="196"/>
        <v>6.0095977447037328</v>
      </c>
      <c r="AC99" s="2483">
        <f t="shared" si="197"/>
        <v>2.0031992482345777</v>
      </c>
      <c r="AD99" s="2483">
        <f t="shared" si="198"/>
        <v>2.0031992482345777</v>
      </c>
      <c r="AE99" s="2483">
        <f t="shared" si="199"/>
        <v>2.0031992482345777</v>
      </c>
      <c r="AF99" s="2466">
        <f t="shared" si="200"/>
        <v>6.0095977447037328</v>
      </c>
      <c r="AG99" s="2466">
        <f t="shared" si="94"/>
        <v>12.019195489407466</v>
      </c>
      <c r="AH99" s="2483">
        <f t="shared" si="201"/>
        <v>2.0031992482345777</v>
      </c>
      <c r="AI99" s="2483">
        <f t="shared" si="202"/>
        <v>2.0031992482345777</v>
      </c>
      <c r="AJ99" s="2483">
        <f t="shared" si="203"/>
        <v>2.0031992482345777</v>
      </c>
      <c r="AK99" s="2466">
        <f t="shared" si="204"/>
        <v>6.0095977447037328</v>
      </c>
      <c r="AL99" s="2466">
        <f t="shared" si="96"/>
        <v>18.028793234111198</v>
      </c>
      <c r="AM99" s="2483">
        <f t="shared" si="205"/>
        <v>2.0031992482345777</v>
      </c>
      <c r="AN99" s="2483">
        <f t="shared" si="206"/>
        <v>2.0031992482345777</v>
      </c>
      <c r="AO99" s="2483">
        <f t="shared" si="207"/>
        <v>2.0031992482345777</v>
      </c>
      <c r="AP99" s="2466">
        <f t="shared" si="208"/>
        <v>6.0095977447037328</v>
      </c>
      <c r="AQ99" s="642">
        <f t="shared" si="98"/>
        <v>24.038390978814927</v>
      </c>
    </row>
    <row r="100" spans="1:43" ht="18.75" hidden="1">
      <c r="A100" s="2484" t="s">
        <v>565</v>
      </c>
      <c r="B100" s="381"/>
      <c r="C100" s="381"/>
      <c r="D100" s="381"/>
      <c r="E100" s="381"/>
      <c r="F100" s="381"/>
      <c r="G100" s="381"/>
      <c r="H100" s="381"/>
      <c r="I100" s="381"/>
      <c r="J100" s="381"/>
      <c r="K100" s="381"/>
      <c r="L100" s="381"/>
      <c r="M100" s="381"/>
      <c r="N100" s="381"/>
      <c r="O100" s="381"/>
      <c r="P100" s="381"/>
      <c r="Q100" s="381"/>
      <c r="R100" s="381"/>
      <c r="S100" s="381"/>
      <c r="T100" s="381"/>
      <c r="U100" s="2480">
        <f>SUM(U79*0.33%)</f>
        <v>36.057586468222389</v>
      </c>
      <c r="V100" s="640"/>
      <c r="W100" s="2480">
        <f t="shared" si="162"/>
        <v>36.057586468222389</v>
      </c>
      <c r="X100" s="2481">
        <f t="shared" si="161"/>
        <v>0</v>
      </c>
      <c r="Y100" s="2467">
        <f t="shared" si="193"/>
        <v>3.0047988723518659</v>
      </c>
      <c r="Z100" s="2467">
        <f t="shared" si="194"/>
        <v>3.0047988723518659</v>
      </c>
      <c r="AA100" s="2467">
        <f t="shared" si="195"/>
        <v>3.0047988723518659</v>
      </c>
      <c r="AB100" s="2466">
        <f t="shared" si="196"/>
        <v>9.0143966170555974</v>
      </c>
      <c r="AC100" s="2483">
        <f t="shared" si="197"/>
        <v>3.0047988723518659</v>
      </c>
      <c r="AD100" s="2483">
        <f t="shared" si="198"/>
        <v>3.0047988723518659</v>
      </c>
      <c r="AE100" s="2483">
        <f t="shared" si="199"/>
        <v>3.0047988723518659</v>
      </c>
      <c r="AF100" s="2466">
        <f t="shared" si="200"/>
        <v>9.0143966170555974</v>
      </c>
      <c r="AG100" s="2466">
        <f t="shared" si="94"/>
        <v>18.028793234111195</v>
      </c>
      <c r="AH100" s="2483">
        <f t="shared" si="201"/>
        <v>3.0047988723518659</v>
      </c>
      <c r="AI100" s="2483">
        <f t="shared" si="202"/>
        <v>3.0047988723518659</v>
      </c>
      <c r="AJ100" s="2483">
        <f t="shared" si="203"/>
        <v>3.0047988723518659</v>
      </c>
      <c r="AK100" s="2466">
        <f t="shared" si="204"/>
        <v>9.0143966170555974</v>
      </c>
      <c r="AL100" s="2466">
        <f t="shared" si="96"/>
        <v>27.043189851166794</v>
      </c>
      <c r="AM100" s="2483">
        <f t="shared" si="205"/>
        <v>3.0047988723518659</v>
      </c>
      <c r="AN100" s="2483">
        <f t="shared" si="206"/>
        <v>3.0047988723518659</v>
      </c>
      <c r="AO100" s="2483">
        <f t="shared" si="207"/>
        <v>3.0047988723518659</v>
      </c>
      <c r="AP100" s="2466">
        <f t="shared" si="208"/>
        <v>9.0143966170555974</v>
      </c>
      <c r="AQ100" s="642">
        <f t="shared" si="98"/>
        <v>36.057586468222389</v>
      </c>
    </row>
    <row r="101" spans="1:43" ht="18.75" hidden="1">
      <c r="A101" s="2479" t="s">
        <v>609</v>
      </c>
      <c r="B101" s="381"/>
      <c r="C101" s="381"/>
      <c r="D101" s="381"/>
      <c r="E101" s="381"/>
      <c r="F101" s="381"/>
      <c r="G101" s="381"/>
      <c r="H101" s="381"/>
      <c r="I101" s="381"/>
      <c r="J101" s="381"/>
      <c r="K101" s="381"/>
      <c r="L101" s="381"/>
      <c r="M101" s="381"/>
      <c r="N101" s="381"/>
      <c r="O101" s="381"/>
      <c r="P101" s="381"/>
      <c r="Q101" s="381"/>
      <c r="R101" s="381"/>
      <c r="S101" s="381"/>
      <c r="T101" s="381"/>
      <c r="U101" s="2480">
        <f>SUM(U102:U105)</f>
        <v>263.32964663156349</v>
      </c>
      <c r="V101" s="640"/>
      <c r="W101" s="2480">
        <f>SUM(W102:W105)</f>
        <v>263.32964663156349</v>
      </c>
      <c r="X101" s="2480">
        <f>SUM(X102:X105)</f>
        <v>0</v>
      </c>
      <c r="Y101" s="2482">
        <f t="shared" ref="Y101:AA101" si="209">SUM(Y102:Y105)</f>
        <v>19.998557265802511</v>
      </c>
      <c r="Z101" s="2482">
        <f t="shared" si="209"/>
        <v>19.998557265802511</v>
      </c>
      <c r="AA101" s="2482">
        <f t="shared" si="209"/>
        <v>19.998557265802511</v>
      </c>
      <c r="AB101" s="2466">
        <f t="shared" si="92"/>
        <v>59.995671797407532</v>
      </c>
      <c r="AC101" s="2482">
        <f t="shared" ref="AC101:AE101" si="210">SUM(AC102:AC105)</f>
        <v>20.169666903406259</v>
      </c>
      <c r="AD101" s="2482">
        <f t="shared" si="210"/>
        <v>23.002482014846059</v>
      </c>
      <c r="AE101" s="2482">
        <f t="shared" si="210"/>
        <v>25.474065669122389</v>
      </c>
      <c r="AF101" s="2466">
        <f t="shared" si="93"/>
        <v>68.646214587374715</v>
      </c>
      <c r="AG101" s="2466">
        <f t="shared" si="94"/>
        <v>128.64188638478225</v>
      </c>
      <c r="AH101" s="2482">
        <f t="shared" ref="AH101:AJ101" si="211">SUM(AH102:AH105)</f>
        <v>26.215540765405294</v>
      </c>
      <c r="AI101" s="2482">
        <f t="shared" si="211"/>
        <v>25.474065669122389</v>
      </c>
      <c r="AJ101" s="2482">
        <f t="shared" si="211"/>
        <v>23.002482014846059</v>
      </c>
      <c r="AK101" s="2466">
        <f t="shared" si="95"/>
        <v>74.692088449373742</v>
      </c>
      <c r="AL101" s="2466">
        <f t="shared" si="96"/>
        <v>203.33397483415598</v>
      </c>
      <c r="AM101" s="2482">
        <f t="shared" ref="AM101:AO101" si="212">SUM(AM102:AM105)</f>
        <v>19.998557265802511</v>
      </c>
      <c r="AN101" s="2482">
        <f t="shared" si="212"/>
        <v>19.998557265802511</v>
      </c>
      <c r="AO101" s="2482">
        <f t="shared" si="212"/>
        <v>19.998557265802511</v>
      </c>
      <c r="AP101" s="2466">
        <f t="shared" si="97"/>
        <v>59.995671797407532</v>
      </c>
      <c r="AQ101" s="642">
        <f t="shared" si="98"/>
        <v>263.32964663156355</v>
      </c>
    </row>
    <row r="102" spans="1:43" ht="18.75" hidden="1">
      <c r="A102" s="2484" t="s">
        <v>551</v>
      </c>
      <c r="B102" s="381"/>
      <c r="C102" s="381"/>
      <c r="D102" s="381"/>
      <c r="E102" s="381"/>
      <c r="F102" s="381"/>
      <c r="G102" s="381"/>
      <c r="H102" s="381"/>
      <c r="I102" s="381"/>
      <c r="J102" s="381"/>
      <c r="K102" s="381"/>
      <c r="L102" s="381"/>
      <c r="M102" s="381"/>
      <c r="N102" s="381"/>
      <c r="O102" s="381"/>
      <c r="P102" s="381"/>
      <c r="Q102" s="381"/>
      <c r="R102" s="381"/>
      <c r="S102" s="381"/>
      <c r="T102" s="381"/>
      <c r="U102" s="2480">
        <f>SUM(U79*1.74%)</f>
        <v>190.12181955971806</v>
      </c>
      <c r="V102" s="640"/>
      <c r="W102" s="2480">
        <f t="shared" si="162"/>
        <v>190.12181955971806</v>
      </c>
      <c r="X102" s="2481">
        <f t="shared" si="161"/>
        <v>0</v>
      </c>
      <c r="Y102" s="2467">
        <f>SUM(U102*7.31%)</f>
        <v>13.897905009815391</v>
      </c>
      <c r="Z102" s="2467">
        <f>SUM(U102*7.31%)</f>
        <v>13.897905009815391</v>
      </c>
      <c r="AA102" s="2467">
        <f>SUM(U102*7.31%)</f>
        <v>13.897905009815391</v>
      </c>
      <c r="AB102" s="2466">
        <f t="shared" ref="AB102:AB105" si="213">SUM(Y102+Z102+AA102)</f>
        <v>41.693715029446174</v>
      </c>
      <c r="AC102" s="2467">
        <f>SUM(U102*7.4%)</f>
        <v>14.069014647419138</v>
      </c>
      <c r="AD102" s="2467">
        <f>SUM(U102*8.89%)</f>
        <v>16.901829758858938</v>
      </c>
      <c r="AE102" s="2467">
        <f>SUM(U102*10.19%)</f>
        <v>19.373413413135268</v>
      </c>
      <c r="AF102" s="2466">
        <f t="shared" ref="AF102:AF105" si="214">SUM(AC102+AD102+AE102)</f>
        <v>50.344257819413343</v>
      </c>
      <c r="AG102" s="2466">
        <f t="shared" si="94"/>
        <v>92.037972848859511</v>
      </c>
      <c r="AH102" s="2467">
        <f>SUM(U102*10.58%)</f>
        <v>20.114888509418172</v>
      </c>
      <c r="AI102" s="2467">
        <f>SUM(U102*10.19%)</f>
        <v>19.373413413135268</v>
      </c>
      <c r="AJ102" s="2467">
        <f>SUM(U102*8.89%)</f>
        <v>16.901829758858938</v>
      </c>
      <c r="AK102" s="2466">
        <f t="shared" ref="AK102:AK105" si="215">SUM(AH102+AI102+AJ102)</f>
        <v>56.390131681412377</v>
      </c>
      <c r="AL102" s="2466">
        <f t="shared" si="96"/>
        <v>148.4281045302719</v>
      </c>
      <c r="AM102" s="2467">
        <f>SUM(U102*7.31%)</f>
        <v>13.897905009815391</v>
      </c>
      <c r="AN102" s="2467">
        <f>SUM(U102*7.31%)</f>
        <v>13.897905009815391</v>
      </c>
      <c r="AO102" s="2467">
        <f>SUM(U102*7.31%)</f>
        <v>13.897905009815391</v>
      </c>
      <c r="AP102" s="2466">
        <f t="shared" ref="AP102:AP105" si="216">SUM(AM102+AN102+AO102)</f>
        <v>41.693715029446174</v>
      </c>
      <c r="AQ102" s="642">
        <f t="shared" si="98"/>
        <v>190.12181955971803</v>
      </c>
    </row>
    <row r="103" spans="1:43" ht="18.75" hidden="1">
      <c r="A103" s="2484" t="s">
        <v>643</v>
      </c>
      <c r="B103" s="381"/>
      <c r="C103" s="381"/>
      <c r="D103" s="381"/>
      <c r="E103" s="381"/>
      <c r="F103" s="381"/>
      <c r="G103" s="381"/>
      <c r="H103" s="381"/>
      <c r="I103" s="381"/>
      <c r="J103" s="381"/>
      <c r="K103" s="381"/>
      <c r="L103" s="381"/>
      <c r="M103" s="381"/>
      <c r="N103" s="381"/>
      <c r="O103" s="381"/>
      <c r="P103" s="381"/>
      <c r="Q103" s="381"/>
      <c r="R103" s="381"/>
      <c r="S103" s="381"/>
      <c r="T103" s="381"/>
      <c r="U103" s="2480">
        <f>SUM(U79*0.29%)</f>
        <v>31.686969926619675</v>
      </c>
      <c r="V103" s="640"/>
      <c r="W103" s="2480">
        <f t="shared" si="162"/>
        <v>31.686969926619675</v>
      </c>
      <c r="X103" s="2481">
        <f t="shared" si="161"/>
        <v>0</v>
      </c>
      <c r="Y103" s="2467">
        <f t="shared" ref="Y103:Y105" si="217">SUM(U103/12)</f>
        <v>2.6405808272183062</v>
      </c>
      <c r="Z103" s="2467">
        <f t="shared" ref="Z103:Z105" si="218">SUM(Y103)</f>
        <v>2.6405808272183062</v>
      </c>
      <c r="AA103" s="2467">
        <f t="shared" ref="AA103:AA105" si="219">SUM(Y103)</f>
        <v>2.6405808272183062</v>
      </c>
      <c r="AB103" s="2466">
        <f t="shared" si="213"/>
        <v>7.9217424816549187</v>
      </c>
      <c r="AC103" s="2483">
        <f t="shared" ref="AC103:AC105" si="220">SUM(Y103)</f>
        <v>2.6405808272183062</v>
      </c>
      <c r="AD103" s="2483">
        <f t="shared" ref="AD103:AD105" si="221">SUM(Y103)</f>
        <v>2.6405808272183062</v>
      </c>
      <c r="AE103" s="2483">
        <f t="shared" ref="AE103:AE105" si="222">SUM(Y103)</f>
        <v>2.6405808272183062</v>
      </c>
      <c r="AF103" s="2466">
        <f t="shared" si="214"/>
        <v>7.9217424816549187</v>
      </c>
      <c r="AG103" s="2466">
        <f t="shared" si="94"/>
        <v>15.843484963309837</v>
      </c>
      <c r="AH103" s="2483">
        <f t="shared" ref="AH103:AH105" si="223">SUM(Y103)</f>
        <v>2.6405808272183062</v>
      </c>
      <c r="AI103" s="2483">
        <f t="shared" ref="AI103:AI105" si="224">SUM(Y103)</f>
        <v>2.6405808272183062</v>
      </c>
      <c r="AJ103" s="2483">
        <f t="shared" ref="AJ103:AJ105" si="225">SUM(Y103)</f>
        <v>2.6405808272183062</v>
      </c>
      <c r="AK103" s="2466">
        <f t="shared" si="215"/>
        <v>7.9217424816549187</v>
      </c>
      <c r="AL103" s="2466">
        <f t="shared" si="96"/>
        <v>23.765227444964758</v>
      </c>
      <c r="AM103" s="2483">
        <f t="shared" ref="AM103:AM105" si="226">SUM(Y103)</f>
        <v>2.6405808272183062</v>
      </c>
      <c r="AN103" s="2483">
        <f t="shared" ref="AN103:AN105" si="227">SUM(Y103)</f>
        <v>2.6405808272183062</v>
      </c>
      <c r="AO103" s="2483">
        <f t="shared" ref="AO103:AO105" si="228">SUM(Y103)</f>
        <v>2.6405808272183062</v>
      </c>
      <c r="AP103" s="2466">
        <f t="shared" si="216"/>
        <v>7.9217424816549187</v>
      </c>
      <c r="AQ103" s="642">
        <f t="shared" si="98"/>
        <v>31.686969926619682</v>
      </c>
    </row>
    <row r="104" spans="1:43" ht="18.75" hidden="1">
      <c r="A104" s="2484" t="s">
        <v>559</v>
      </c>
      <c r="B104" s="381"/>
      <c r="C104" s="381"/>
      <c r="D104" s="381"/>
      <c r="E104" s="381"/>
      <c r="F104" s="381"/>
      <c r="G104" s="381"/>
      <c r="H104" s="381"/>
      <c r="I104" s="381"/>
      <c r="J104" s="381"/>
      <c r="K104" s="381"/>
      <c r="L104" s="381"/>
      <c r="M104" s="381"/>
      <c r="N104" s="381"/>
      <c r="O104" s="381"/>
      <c r="P104" s="381"/>
      <c r="Q104" s="381"/>
      <c r="R104" s="381"/>
      <c r="S104" s="381"/>
      <c r="T104" s="381"/>
      <c r="U104" s="2480">
        <f>SUM(U79*0.31%)</f>
        <v>33.872278197421032</v>
      </c>
      <c r="V104" s="640"/>
      <c r="W104" s="2480">
        <f t="shared" si="162"/>
        <v>33.872278197421032</v>
      </c>
      <c r="X104" s="2481">
        <f t="shared" si="161"/>
        <v>0</v>
      </c>
      <c r="Y104" s="2467">
        <f t="shared" si="217"/>
        <v>2.8226898497850859</v>
      </c>
      <c r="Z104" s="2467">
        <f t="shared" si="218"/>
        <v>2.8226898497850859</v>
      </c>
      <c r="AA104" s="2467">
        <f t="shared" si="219"/>
        <v>2.8226898497850859</v>
      </c>
      <c r="AB104" s="2466">
        <f t="shared" si="213"/>
        <v>8.468069549355258</v>
      </c>
      <c r="AC104" s="2483">
        <f t="shared" si="220"/>
        <v>2.8226898497850859</v>
      </c>
      <c r="AD104" s="2483">
        <f t="shared" si="221"/>
        <v>2.8226898497850859</v>
      </c>
      <c r="AE104" s="2483">
        <f t="shared" si="222"/>
        <v>2.8226898497850859</v>
      </c>
      <c r="AF104" s="2466">
        <f t="shared" si="214"/>
        <v>8.468069549355258</v>
      </c>
      <c r="AG104" s="2466">
        <f t="shared" si="94"/>
        <v>16.936139098710516</v>
      </c>
      <c r="AH104" s="2483">
        <f t="shared" si="223"/>
        <v>2.8226898497850859</v>
      </c>
      <c r="AI104" s="2483">
        <f t="shared" si="224"/>
        <v>2.8226898497850859</v>
      </c>
      <c r="AJ104" s="2483">
        <f t="shared" si="225"/>
        <v>2.8226898497850859</v>
      </c>
      <c r="AK104" s="2466">
        <f t="shared" si="215"/>
        <v>8.468069549355258</v>
      </c>
      <c r="AL104" s="2466">
        <f t="shared" si="96"/>
        <v>25.404208648065776</v>
      </c>
      <c r="AM104" s="2483">
        <f t="shared" si="226"/>
        <v>2.8226898497850859</v>
      </c>
      <c r="AN104" s="2483">
        <f t="shared" si="227"/>
        <v>2.8226898497850859</v>
      </c>
      <c r="AO104" s="2483">
        <f t="shared" si="228"/>
        <v>2.8226898497850859</v>
      </c>
      <c r="AP104" s="2466">
        <f t="shared" si="216"/>
        <v>8.468069549355258</v>
      </c>
      <c r="AQ104" s="642">
        <f t="shared" si="98"/>
        <v>33.872278197421032</v>
      </c>
    </row>
    <row r="105" spans="1:43" ht="18.75" hidden="1">
      <c r="A105" s="2484" t="s">
        <v>613</v>
      </c>
      <c r="B105" s="381"/>
      <c r="C105" s="381"/>
      <c r="D105" s="381"/>
      <c r="E105" s="381"/>
      <c r="F105" s="381"/>
      <c r="G105" s="381"/>
      <c r="H105" s="381"/>
      <c r="I105" s="381"/>
      <c r="J105" s="381"/>
      <c r="K105" s="381"/>
      <c r="L105" s="381"/>
      <c r="M105" s="381"/>
      <c r="N105" s="381"/>
      <c r="O105" s="381"/>
      <c r="P105" s="381"/>
      <c r="Q105" s="381"/>
      <c r="R105" s="381"/>
      <c r="S105" s="381"/>
      <c r="T105" s="381"/>
      <c r="U105" s="2480">
        <f>SUM(U79*0.07%)</f>
        <v>7.6485789478047508</v>
      </c>
      <c r="V105" s="640"/>
      <c r="W105" s="2480">
        <f t="shared" si="162"/>
        <v>7.6485789478047508</v>
      </c>
      <c r="X105" s="2481">
        <f t="shared" si="161"/>
        <v>0</v>
      </c>
      <c r="Y105" s="2467">
        <f t="shared" si="217"/>
        <v>0.63738157898372927</v>
      </c>
      <c r="Z105" s="2467">
        <f t="shared" si="218"/>
        <v>0.63738157898372927</v>
      </c>
      <c r="AA105" s="2467">
        <f t="shared" si="219"/>
        <v>0.63738157898372927</v>
      </c>
      <c r="AB105" s="2466">
        <f t="shared" si="213"/>
        <v>1.9121447369511877</v>
      </c>
      <c r="AC105" s="2483">
        <f t="shared" si="220"/>
        <v>0.63738157898372927</v>
      </c>
      <c r="AD105" s="2483">
        <f t="shared" si="221"/>
        <v>0.63738157898372927</v>
      </c>
      <c r="AE105" s="2483">
        <f t="shared" si="222"/>
        <v>0.63738157898372927</v>
      </c>
      <c r="AF105" s="2466">
        <f t="shared" si="214"/>
        <v>1.9121447369511877</v>
      </c>
      <c r="AG105" s="2466">
        <f t="shared" si="94"/>
        <v>3.8242894739023754</v>
      </c>
      <c r="AH105" s="2483">
        <f t="shared" si="223"/>
        <v>0.63738157898372927</v>
      </c>
      <c r="AI105" s="2483">
        <f t="shared" si="224"/>
        <v>0.63738157898372927</v>
      </c>
      <c r="AJ105" s="2483">
        <f t="shared" si="225"/>
        <v>0.63738157898372927</v>
      </c>
      <c r="AK105" s="2466">
        <f t="shared" si="215"/>
        <v>1.9121447369511877</v>
      </c>
      <c r="AL105" s="2466">
        <f t="shared" si="96"/>
        <v>5.7364342108535631</v>
      </c>
      <c r="AM105" s="2483">
        <f t="shared" si="226"/>
        <v>0.63738157898372927</v>
      </c>
      <c r="AN105" s="2483">
        <f t="shared" si="227"/>
        <v>0.63738157898372927</v>
      </c>
      <c r="AO105" s="2483">
        <f t="shared" si="228"/>
        <v>0.63738157898372927</v>
      </c>
      <c r="AP105" s="2466">
        <f t="shared" si="216"/>
        <v>1.9121447369511877</v>
      </c>
      <c r="AQ105" s="642">
        <f t="shared" si="98"/>
        <v>7.6485789478047499</v>
      </c>
    </row>
    <row r="106" spans="1:43" ht="18.75" hidden="1">
      <c r="A106" s="2485" t="s">
        <v>1591</v>
      </c>
      <c r="B106" s="381"/>
      <c r="C106" s="381"/>
      <c r="D106" s="381"/>
      <c r="E106" s="381"/>
      <c r="F106" s="381"/>
      <c r="G106" s="381"/>
      <c r="H106" s="381"/>
      <c r="I106" s="381"/>
      <c r="J106" s="381"/>
      <c r="K106" s="381"/>
      <c r="L106" s="381"/>
      <c r="M106" s="381"/>
      <c r="N106" s="381"/>
      <c r="O106" s="381"/>
      <c r="P106" s="381"/>
      <c r="Q106" s="381"/>
      <c r="R106" s="381"/>
      <c r="S106" s="381"/>
      <c r="T106" s="381"/>
      <c r="U106" s="2475">
        <f>SUM(AQ49)</f>
        <v>4430.158506458084</v>
      </c>
      <c r="V106" s="640"/>
      <c r="W106" s="2475">
        <f>SUM(U106*вода!CA56/вода!BY56)</f>
        <v>4406.3808760030888</v>
      </c>
      <c r="X106" s="2476">
        <f>SUM(U106-W106)</f>
        <v>23.777630454995233</v>
      </c>
      <c r="Y106" s="2477">
        <f>SUM(Y107+Y108+Y109+Y110+Y111+Y112+Y113+Y114+Y115+Y116+Y117+Y119)</f>
        <v>363.11582780302911</v>
      </c>
      <c r="Z106" s="2477">
        <f t="shared" ref="Z106:AA106" si="229">SUM(Z107+Z108+Z109+Z110+Z111+Z112+Z113+Z114+Z115+Z116+Z117+Z119)</f>
        <v>363.11582780302911</v>
      </c>
      <c r="AA106" s="2477">
        <f t="shared" si="229"/>
        <v>363.11582780302911</v>
      </c>
      <c r="AB106" s="2478">
        <f t="shared" si="92"/>
        <v>1089.3474834090873</v>
      </c>
      <c r="AC106" s="2477">
        <f t="shared" ref="AC106:AE106" si="230">SUM(AC107+AC108+AC109+AC110+AC111+AC112+AC113+AC114+AC115+AC116+AC117+AC119)</f>
        <v>363.18560279950583</v>
      </c>
      <c r="AD106" s="2477">
        <f t="shared" si="230"/>
        <v>364.34076663006476</v>
      </c>
      <c r="AE106" s="2477">
        <f t="shared" si="230"/>
        <v>365.34862769028399</v>
      </c>
      <c r="AF106" s="2478">
        <f t="shared" si="93"/>
        <v>1092.8749971198547</v>
      </c>
      <c r="AG106" s="2478">
        <f t="shared" si="94"/>
        <v>2182.222480528942</v>
      </c>
      <c r="AH106" s="2477">
        <f t="shared" ref="AH106:AJ106" si="231">SUM(AH107+AH108+AH109+AH110+AH111+AH112+AH113+AH114+AH115+AH116+AH117+AH119)</f>
        <v>376.19234637357573</v>
      </c>
      <c r="AI106" s="2477">
        <f t="shared" si="231"/>
        <v>375.88998805550995</v>
      </c>
      <c r="AJ106" s="2477">
        <f t="shared" si="231"/>
        <v>374.88212699529072</v>
      </c>
      <c r="AK106" s="2478">
        <f t="shared" si="95"/>
        <v>1126.9644614243764</v>
      </c>
      <c r="AL106" s="2478">
        <f t="shared" si="96"/>
        <v>3309.1869419533186</v>
      </c>
      <c r="AM106" s="2477">
        <f t="shared" ref="AM106:AO106" si="232">SUM(AM107+AM108+AM109+AM110+AM111+AM112+AM113+AM114+AM115+AM116+AM117+AM119)</f>
        <v>373.65718816825506</v>
      </c>
      <c r="AN106" s="2477">
        <f t="shared" si="232"/>
        <v>373.65718816825506</v>
      </c>
      <c r="AO106" s="2477">
        <f t="shared" si="232"/>
        <v>373.65718816825506</v>
      </c>
      <c r="AP106" s="2478">
        <f t="shared" si="97"/>
        <v>1120.9715645047652</v>
      </c>
      <c r="AQ106" s="642">
        <f t="shared" si="98"/>
        <v>4430.1585064580831</v>
      </c>
    </row>
    <row r="107" spans="1:43" ht="18.75" hidden="1">
      <c r="A107" s="2479" t="s">
        <v>72</v>
      </c>
      <c r="B107" s="381"/>
      <c r="C107" s="381"/>
      <c r="D107" s="381"/>
      <c r="E107" s="381"/>
      <c r="F107" s="381"/>
      <c r="G107" s="381"/>
      <c r="H107" s="381"/>
      <c r="I107" s="381"/>
      <c r="J107" s="381"/>
      <c r="K107" s="381"/>
      <c r="L107" s="381"/>
      <c r="M107" s="381"/>
      <c r="N107" s="381"/>
      <c r="O107" s="381"/>
      <c r="P107" s="381"/>
      <c r="Q107" s="381"/>
      <c r="R107" s="381"/>
      <c r="S107" s="381"/>
      <c r="T107" s="381"/>
      <c r="U107" s="2480">
        <f>SUM(U106*37.5%)</f>
        <v>1661.3094399217816</v>
      </c>
      <c r="V107" s="640"/>
      <c r="W107" s="2480">
        <f>SUM(U107*вода!CA56/вода!BY56)</f>
        <v>1652.3928285011584</v>
      </c>
      <c r="X107" s="2481">
        <f t="shared" ref="X107:X116" si="233">SUM(U107-W107)</f>
        <v>8.9166114206232123</v>
      </c>
      <c r="Y107" s="2467">
        <f>SUM(U107/2)/(1+(106.03%*100-100)/2/100)/6</f>
        <v>134.39057741767235</v>
      </c>
      <c r="Z107" s="2482">
        <f>SUM(Y107)</f>
        <v>134.39057741767235</v>
      </c>
      <c r="AA107" s="2467">
        <f>SUM(Y107)</f>
        <v>134.39057741767235</v>
      </c>
      <c r="AB107" s="2466">
        <f>SUM(Y107+Z107+AA107)</f>
        <v>403.17173225301701</v>
      </c>
      <c r="AC107" s="2483">
        <f>SUM(Y107)</f>
        <v>134.39057741767235</v>
      </c>
      <c r="AD107" s="2483">
        <f>SUM(Y107)</f>
        <v>134.39057741767235</v>
      </c>
      <c r="AE107" s="2483">
        <f>SUM(Y107)</f>
        <v>134.39057741767235</v>
      </c>
      <c r="AF107" s="2466">
        <f>SUM(AC107+AD107+AE107)</f>
        <v>403.17173225301701</v>
      </c>
      <c r="AG107" s="2466">
        <f>SUM(AB107+AF107)</f>
        <v>806.34346450603402</v>
      </c>
      <c r="AH107" s="2483">
        <f>SUM(U107-AG107)/6</f>
        <v>142.49432923595793</v>
      </c>
      <c r="AI107" s="2483">
        <f>SUM(AH107)</f>
        <v>142.49432923595793</v>
      </c>
      <c r="AJ107" s="2483">
        <f>SUM(AH107)</f>
        <v>142.49432923595793</v>
      </c>
      <c r="AK107" s="2466">
        <f>SUM(AH107+AI107+AJ107)</f>
        <v>427.4829877078738</v>
      </c>
      <c r="AL107" s="2466">
        <f>SUM(AG107+AK107)</f>
        <v>1233.8264522139079</v>
      </c>
      <c r="AM107" s="2483">
        <f>SUM(AH107)</f>
        <v>142.49432923595793</v>
      </c>
      <c r="AN107" s="2483">
        <f>SUM(AH107)</f>
        <v>142.49432923595793</v>
      </c>
      <c r="AO107" s="2483">
        <f>SUM(AH107)</f>
        <v>142.49432923595793</v>
      </c>
      <c r="AP107" s="2466">
        <f>SUM(AM107+AN107+AO107)</f>
        <v>427.4829877078738</v>
      </c>
      <c r="AQ107" s="642">
        <f>SUM(AO107+AN107+AM107+AJ107+AI107+AH107+AE107+AD107+AC107+AA107+Z107+Y107)</f>
        <v>1661.3094399217819</v>
      </c>
    </row>
    <row r="108" spans="1:43" ht="18.75" hidden="1">
      <c r="A108" s="2479" t="s">
        <v>121</v>
      </c>
      <c r="B108" s="381"/>
      <c r="C108" s="381"/>
      <c r="D108" s="381"/>
      <c r="E108" s="381"/>
      <c r="F108" s="381"/>
      <c r="G108" s="381"/>
      <c r="H108" s="381"/>
      <c r="I108" s="381"/>
      <c r="J108" s="381"/>
      <c r="K108" s="381"/>
      <c r="L108" s="381"/>
      <c r="M108" s="381"/>
      <c r="N108" s="381"/>
      <c r="O108" s="381"/>
      <c r="P108" s="381"/>
      <c r="Q108" s="381"/>
      <c r="R108" s="381"/>
      <c r="S108" s="381"/>
      <c r="T108" s="381"/>
      <c r="U108" s="2480">
        <f>SUM(U106*11.28%)</f>
        <v>499.72187952847185</v>
      </c>
      <c r="V108" s="640"/>
      <c r="W108" s="2480">
        <f>SUM(U108*вода!CA56/вода!BY56)</f>
        <v>497.03976281314834</v>
      </c>
      <c r="X108" s="2481">
        <f t="shared" si="233"/>
        <v>2.6821167153235024</v>
      </c>
      <c r="Y108" s="2467">
        <f>SUM(Y107*(U108/U107))</f>
        <v>40.424685687235836</v>
      </c>
      <c r="Z108" s="2467">
        <f>SUM(Y108)</f>
        <v>40.424685687235836</v>
      </c>
      <c r="AA108" s="2482">
        <f>SUM(Y108)</f>
        <v>40.424685687235836</v>
      </c>
      <c r="AB108" s="2466">
        <f t="shared" ref="AB108" si="234">SUM(Y108+Z108+AA108)</f>
        <v>121.27405706170751</v>
      </c>
      <c r="AC108" s="2483">
        <f>SUM(Y108)</f>
        <v>40.424685687235836</v>
      </c>
      <c r="AD108" s="2483">
        <f>SUM(Y108)</f>
        <v>40.424685687235836</v>
      </c>
      <c r="AE108" s="2483">
        <f>SUM(Y108)</f>
        <v>40.424685687235836</v>
      </c>
      <c r="AF108" s="2466">
        <f t="shared" ref="AF108" si="235">SUM(AC108+AD108+AE108)</f>
        <v>121.27405706170751</v>
      </c>
      <c r="AG108" s="2466">
        <f t="shared" ref="AG108:AG116" si="236">SUM(AB108+AF108)</f>
        <v>242.54811412341502</v>
      </c>
      <c r="AH108" s="2483">
        <f>SUM(U108-AG108)/6</f>
        <v>42.86229423417614</v>
      </c>
      <c r="AI108" s="2483">
        <f>SUM(AH108)</f>
        <v>42.86229423417614</v>
      </c>
      <c r="AJ108" s="2483">
        <f>SUM(AH108)</f>
        <v>42.86229423417614</v>
      </c>
      <c r="AK108" s="2466">
        <f t="shared" ref="AK108" si="237">SUM(AH108+AI108+AJ108)</f>
        <v>128.58688270252841</v>
      </c>
      <c r="AL108" s="2466">
        <f t="shared" ref="AL108:AL116" si="238">SUM(AG108+AK108)</f>
        <v>371.1349968259434</v>
      </c>
      <c r="AM108" s="2483">
        <f>SUM(AH108)</f>
        <v>42.86229423417614</v>
      </c>
      <c r="AN108" s="2483">
        <f>SUM(AH108)</f>
        <v>42.86229423417614</v>
      </c>
      <c r="AO108" s="2483">
        <f>SUM(AH108)</f>
        <v>42.86229423417614</v>
      </c>
      <c r="AP108" s="2466">
        <f t="shared" ref="AP108" si="239">SUM(AM108+AN108+AO108)</f>
        <v>128.58688270252841</v>
      </c>
      <c r="AQ108" s="642">
        <f t="shared" ref="AQ108" si="240">SUM(AO108+AN108+AM108+AJ108+AI108+AH108+AE108+AD108+AC108+AA108+Z108+Y108)</f>
        <v>499.72187952847196</v>
      </c>
    </row>
    <row r="109" spans="1:43" ht="18.75" hidden="1">
      <c r="A109" s="2479" t="s">
        <v>52</v>
      </c>
      <c r="B109" s="381"/>
      <c r="C109" s="381"/>
      <c r="D109" s="381"/>
      <c r="E109" s="381"/>
      <c r="F109" s="381"/>
      <c r="G109" s="381"/>
      <c r="H109" s="381"/>
      <c r="I109" s="381"/>
      <c r="J109" s="381"/>
      <c r="K109" s="381"/>
      <c r="L109" s="381"/>
      <c r="M109" s="381"/>
      <c r="N109" s="381"/>
      <c r="O109" s="381"/>
      <c r="P109" s="381"/>
      <c r="Q109" s="381"/>
      <c r="R109" s="381"/>
      <c r="S109" s="381"/>
      <c r="T109" s="381"/>
      <c r="U109" s="2480">
        <f>SUM(U106*0.16%)</f>
        <v>7.0882536103329352</v>
      </c>
      <c r="V109" s="640"/>
      <c r="W109" s="2480">
        <f>SUM(U109*вода!CA56/вода!BY56)</f>
        <v>7.0502094016049428</v>
      </c>
      <c r="X109" s="2481">
        <f t="shared" si="233"/>
        <v>3.8044208727992412E-2</v>
      </c>
      <c r="Y109" s="2467">
        <f t="shared" ref="Y109:Y116" si="241">SUM(U109/12)</f>
        <v>0.59068780086107797</v>
      </c>
      <c r="Z109" s="2467">
        <f t="shared" ref="Z109:Z116" si="242">SUM(Y109)</f>
        <v>0.59068780086107797</v>
      </c>
      <c r="AA109" s="2467">
        <f t="shared" ref="AA109:AA116" si="243">SUM(Y109)</f>
        <v>0.59068780086107797</v>
      </c>
      <c r="AB109" s="2466">
        <f t="shared" ref="AB109:AB116" si="244">SUM(Y109+Z109+AA109)</f>
        <v>1.772063402583234</v>
      </c>
      <c r="AC109" s="2483">
        <f t="shared" ref="AC109:AC116" si="245">SUM(Y109)</f>
        <v>0.59068780086107797</v>
      </c>
      <c r="AD109" s="2483">
        <f t="shared" ref="AD109:AD116" si="246">SUM(Y109)</f>
        <v>0.59068780086107797</v>
      </c>
      <c r="AE109" s="2483">
        <f t="shared" ref="AE109:AE116" si="247">SUM(Y109)</f>
        <v>0.59068780086107797</v>
      </c>
      <c r="AF109" s="2466">
        <f t="shared" ref="AF109:AF116" si="248">SUM(AC109+AD109+AE109)</f>
        <v>1.772063402583234</v>
      </c>
      <c r="AG109" s="2466">
        <f t="shared" si="236"/>
        <v>3.5441268051664681</v>
      </c>
      <c r="AH109" s="2483">
        <f t="shared" ref="AH109:AH116" si="249">SUM(Y109)</f>
        <v>0.59068780086107797</v>
      </c>
      <c r="AI109" s="2483">
        <f t="shared" ref="AI109:AI116" si="250">SUM(Y109)</f>
        <v>0.59068780086107797</v>
      </c>
      <c r="AJ109" s="2483">
        <f t="shared" ref="AJ109:AJ116" si="251">SUM(Y109)</f>
        <v>0.59068780086107797</v>
      </c>
      <c r="AK109" s="2466">
        <f t="shared" ref="AK109:AK116" si="252">SUM(AH109+AI109+AJ109)</f>
        <v>1.772063402583234</v>
      </c>
      <c r="AL109" s="2466">
        <f t="shared" si="238"/>
        <v>5.3161902077497025</v>
      </c>
      <c r="AM109" s="2483">
        <f t="shared" ref="AM109:AM116" si="253">SUM(Y109)</f>
        <v>0.59068780086107797</v>
      </c>
      <c r="AN109" s="2483">
        <f t="shared" ref="AN109:AN116" si="254">SUM(Y109)</f>
        <v>0.59068780086107797</v>
      </c>
      <c r="AO109" s="2483">
        <f t="shared" ref="AO109:AO116" si="255">SUM(Y109)</f>
        <v>0.59068780086107797</v>
      </c>
      <c r="AP109" s="2466">
        <f t="shared" ref="AP109:AP116" si="256">SUM(AM109+AN109+AO109)</f>
        <v>1.772063402583234</v>
      </c>
      <c r="AQ109" s="642">
        <f t="shared" si="98"/>
        <v>7.0882536103329352</v>
      </c>
    </row>
    <row r="110" spans="1:43" ht="18.75" hidden="1">
      <c r="A110" s="2479" t="s">
        <v>603</v>
      </c>
      <c r="B110" s="381"/>
      <c r="C110" s="381"/>
      <c r="D110" s="381"/>
      <c r="E110" s="381"/>
      <c r="F110" s="381"/>
      <c r="G110" s="381"/>
      <c r="H110" s="381"/>
      <c r="I110" s="381"/>
      <c r="J110" s="381"/>
      <c r="K110" s="381"/>
      <c r="L110" s="381"/>
      <c r="M110" s="381"/>
      <c r="N110" s="381"/>
      <c r="O110" s="381"/>
      <c r="P110" s="381"/>
      <c r="Q110" s="381"/>
      <c r="R110" s="381"/>
      <c r="S110" s="381"/>
      <c r="T110" s="381"/>
      <c r="U110" s="2480">
        <f>SUM(U106*44.05%)</f>
        <v>1951.4848220947858</v>
      </c>
      <c r="V110" s="640"/>
      <c r="W110" s="2480">
        <f>SUM(U110*вода!CA56/вода!BY56)</f>
        <v>1941.0107758793602</v>
      </c>
      <c r="X110" s="2481">
        <f t="shared" si="233"/>
        <v>10.474046215425687</v>
      </c>
      <c r="Y110" s="2467">
        <f t="shared" si="241"/>
        <v>162.6237351745655</v>
      </c>
      <c r="Z110" s="2467">
        <f t="shared" si="242"/>
        <v>162.6237351745655</v>
      </c>
      <c r="AA110" s="2467">
        <f t="shared" si="243"/>
        <v>162.6237351745655</v>
      </c>
      <c r="AB110" s="2466">
        <f t="shared" si="244"/>
        <v>487.87120552369652</v>
      </c>
      <c r="AC110" s="2483">
        <f t="shared" si="245"/>
        <v>162.6237351745655</v>
      </c>
      <c r="AD110" s="2483">
        <f t="shared" si="246"/>
        <v>162.6237351745655</v>
      </c>
      <c r="AE110" s="2483">
        <f t="shared" si="247"/>
        <v>162.6237351745655</v>
      </c>
      <c r="AF110" s="2466">
        <f t="shared" si="248"/>
        <v>487.87120552369652</v>
      </c>
      <c r="AG110" s="2466">
        <f t="shared" si="236"/>
        <v>975.74241104739303</v>
      </c>
      <c r="AH110" s="2483">
        <f t="shared" si="249"/>
        <v>162.6237351745655</v>
      </c>
      <c r="AI110" s="2483">
        <f t="shared" si="250"/>
        <v>162.6237351745655</v>
      </c>
      <c r="AJ110" s="2483">
        <f t="shared" si="251"/>
        <v>162.6237351745655</v>
      </c>
      <c r="AK110" s="2466">
        <f t="shared" si="252"/>
        <v>487.87120552369652</v>
      </c>
      <c r="AL110" s="2466">
        <f t="shared" si="238"/>
        <v>1463.6136165710896</v>
      </c>
      <c r="AM110" s="2483">
        <f t="shared" si="253"/>
        <v>162.6237351745655</v>
      </c>
      <c r="AN110" s="2483">
        <f t="shared" si="254"/>
        <v>162.6237351745655</v>
      </c>
      <c r="AO110" s="2483">
        <f t="shared" si="255"/>
        <v>162.6237351745655</v>
      </c>
      <c r="AP110" s="2466">
        <f t="shared" si="256"/>
        <v>487.87120552369652</v>
      </c>
      <c r="AQ110" s="642">
        <f t="shared" si="98"/>
        <v>1951.4848220947863</v>
      </c>
    </row>
    <row r="111" spans="1:43" ht="18.75" hidden="1">
      <c r="A111" s="2479" t="s">
        <v>605</v>
      </c>
      <c r="B111" s="381"/>
      <c r="C111" s="381"/>
      <c r="D111" s="381"/>
      <c r="E111" s="381"/>
      <c r="F111" s="381"/>
      <c r="G111" s="381"/>
      <c r="H111" s="381"/>
      <c r="I111" s="381"/>
      <c r="J111" s="381"/>
      <c r="K111" s="381"/>
      <c r="L111" s="381"/>
      <c r="M111" s="381"/>
      <c r="N111" s="381"/>
      <c r="O111" s="381"/>
      <c r="P111" s="381"/>
      <c r="Q111" s="381"/>
      <c r="R111" s="381"/>
      <c r="S111" s="381"/>
      <c r="T111" s="381"/>
      <c r="U111" s="2480">
        <f>SUM(U106*2.32%)</f>
        <v>102.77967734982754</v>
      </c>
      <c r="V111" s="640"/>
      <c r="W111" s="2480">
        <f>SUM(U111*вода!CA56/вода!BY56)</f>
        <v>102.22803632327164</v>
      </c>
      <c r="X111" s="2481">
        <f t="shared" si="233"/>
        <v>0.55164102655589886</v>
      </c>
      <c r="Y111" s="2467">
        <f t="shared" si="241"/>
        <v>8.5649731124856281</v>
      </c>
      <c r="Z111" s="2467">
        <f t="shared" si="242"/>
        <v>8.5649731124856281</v>
      </c>
      <c r="AA111" s="2467">
        <f t="shared" si="243"/>
        <v>8.5649731124856281</v>
      </c>
      <c r="AB111" s="2466">
        <f t="shared" si="244"/>
        <v>25.694919337456884</v>
      </c>
      <c r="AC111" s="2483">
        <f t="shared" si="245"/>
        <v>8.5649731124856281</v>
      </c>
      <c r="AD111" s="2483">
        <f t="shared" si="246"/>
        <v>8.5649731124856281</v>
      </c>
      <c r="AE111" s="2483">
        <f t="shared" si="247"/>
        <v>8.5649731124856281</v>
      </c>
      <c r="AF111" s="2466">
        <f t="shared" si="248"/>
        <v>25.694919337456884</v>
      </c>
      <c r="AG111" s="2466">
        <f t="shared" si="236"/>
        <v>51.389838674913769</v>
      </c>
      <c r="AH111" s="2483">
        <f t="shared" si="249"/>
        <v>8.5649731124856281</v>
      </c>
      <c r="AI111" s="2483">
        <f t="shared" si="250"/>
        <v>8.5649731124856281</v>
      </c>
      <c r="AJ111" s="2483">
        <f t="shared" si="251"/>
        <v>8.5649731124856281</v>
      </c>
      <c r="AK111" s="2466">
        <f t="shared" si="252"/>
        <v>25.694919337456884</v>
      </c>
      <c r="AL111" s="2466">
        <f t="shared" si="238"/>
        <v>77.084758012370656</v>
      </c>
      <c r="AM111" s="2483">
        <f t="shared" si="253"/>
        <v>8.5649731124856281</v>
      </c>
      <c r="AN111" s="2483">
        <f t="shared" si="254"/>
        <v>8.5649731124856281</v>
      </c>
      <c r="AO111" s="2483">
        <f t="shared" si="255"/>
        <v>8.5649731124856281</v>
      </c>
      <c r="AP111" s="2466">
        <f t="shared" si="256"/>
        <v>25.694919337456884</v>
      </c>
      <c r="AQ111" s="642">
        <f t="shared" si="98"/>
        <v>102.77967734982757</v>
      </c>
    </row>
    <row r="112" spans="1:43" ht="18.75" hidden="1">
      <c r="A112" s="2479" t="s">
        <v>604</v>
      </c>
      <c r="B112" s="381"/>
      <c r="C112" s="381"/>
      <c r="D112" s="381"/>
      <c r="E112" s="381"/>
      <c r="F112" s="381"/>
      <c r="G112" s="381"/>
      <c r="H112" s="381"/>
      <c r="I112" s="381"/>
      <c r="J112" s="381"/>
      <c r="K112" s="381"/>
      <c r="L112" s="381"/>
      <c r="M112" s="381"/>
      <c r="N112" s="381"/>
      <c r="O112" s="381"/>
      <c r="P112" s="381"/>
      <c r="Q112" s="381"/>
      <c r="R112" s="381"/>
      <c r="S112" s="381"/>
      <c r="T112" s="381"/>
      <c r="U112" s="2480">
        <f>SUM(U106*1.61%)</f>
        <v>71.32555195397515</v>
      </c>
      <c r="V112" s="640"/>
      <c r="W112" s="2480">
        <f>SUM(U112*вода!CA56/вода!BY56)</f>
        <v>70.942732103649718</v>
      </c>
      <c r="X112" s="2481">
        <f t="shared" si="233"/>
        <v>0.38281985032543275</v>
      </c>
      <c r="Y112" s="2467">
        <f t="shared" si="241"/>
        <v>5.9437959961645959</v>
      </c>
      <c r="Z112" s="2467">
        <f t="shared" si="242"/>
        <v>5.9437959961645959</v>
      </c>
      <c r="AA112" s="2467">
        <f t="shared" si="243"/>
        <v>5.9437959961645959</v>
      </c>
      <c r="AB112" s="2466">
        <f t="shared" si="244"/>
        <v>17.831387988493788</v>
      </c>
      <c r="AC112" s="2483">
        <f t="shared" si="245"/>
        <v>5.9437959961645959</v>
      </c>
      <c r="AD112" s="2483">
        <f t="shared" si="246"/>
        <v>5.9437959961645959</v>
      </c>
      <c r="AE112" s="2483">
        <f t="shared" si="247"/>
        <v>5.9437959961645959</v>
      </c>
      <c r="AF112" s="2466">
        <f t="shared" si="248"/>
        <v>17.831387988493788</v>
      </c>
      <c r="AG112" s="2466">
        <f t="shared" si="236"/>
        <v>35.662775976987575</v>
      </c>
      <c r="AH112" s="2483">
        <f t="shared" si="249"/>
        <v>5.9437959961645959</v>
      </c>
      <c r="AI112" s="2483">
        <f t="shared" si="250"/>
        <v>5.9437959961645959</v>
      </c>
      <c r="AJ112" s="2483">
        <f t="shared" si="251"/>
        <v>5.9437959961645959</v>
      </c>
      <c r="AK112" s="2466">
        <f t="shared" si="252"/>
        <v>17.831387988493788</v>
      </c>
      <c r="AL112" s="2466">
        <f t="shared" si="238"/>
        <v>53.494163965481363</v>
      </c>
      <c r="AM112" s="2483">
        <f t="shared" si="253"/>
        <v>5.9437959961645959</v>
      </c>
      <c r="AN112" s="2483">
        <f t="shared" si="254"/>
        <v>5.9437959961645959</v>
      </c>
      <c r="AO112" s="2483">
        <f t="shared" si="255"/>
        <v>5.9437959961645959</v>
      </c>
      <c r="AP112" s="2466">
        <f t="shared" si="256"/>
        <v>17.831387988493788</v>
      </c>
      <c r="AQ112" s="642">
        <f t="shared" si="98"/>
        <v>71.32555195397515</v>
      </c>
    </row>
    <row r="113" spans="1:43" ht="18.75" hidden="1">
      <c r="A113" s="2479" t="s">
        <v>614</v>
      </c>
      <c r="B113" s="381"/>
      <c r="C113" s="381"/>
      <c r="D113" s="381"/>
      <c r="E113" s="381"/>
      <c r="F113" s="381"/>
      <c r="G113" s="381"/>
      <c r="H113" s="381"/>
      <c r="I113" s="381"/>
      <c r="J113" s="381"/>
      <c r="K113" s="381"/>
      <c r="L113" s="381"/>
      <c r="M113" s="381"/>
      <c r="N113" s="381"/>
      <c r="O113" s="381"/>
      <c r="P113" s="381"/>
      <c r="Q113" s="381"/>
      <c r="R113" s="381"/>
      <c r="S113" s="381"/>
      <c r="T113" s="381"/>
      <c r="U113" s="2480">
        <f>SUM(U106*0.29%)</f>
        <v>12.847459668728442</v>
      </c>
      <c r="V113" s="640"/>
      <c r="W113" s="2480">
        <f>SUM(U113*вода!CA56/вода!BY56)</f>
        <v>12.778504540408955</v>
      </c>
      <c r="X113" s="2481">
        <f t="shared" si="233"/>
        <v>6.8955128319487358E-2</v>
      </c>
      <c r="Y113" s="2467">
        <f t="shared" si="241"/>
        <v>1.0706216390607035</v>
      </c>
      <c r="Z113" s="2467">
        <f t="shared" si="242"/>
        <v>1.0706216390607035</v>
      </c>
      <c r="AA113" s="2467">
        <f t="shared" si="243"/>
        <v>1.0706216390607035</v>
      </c>
      <c r="AB113" s="2466">
        <f t="shared" si="244"/>
        <v>3.2118649171821105</v>
      </c>
      <c r="AC113" s="2483">
        <f t="shared" si="245"/>
        <v>1.0706216390607035</v>
      </c>
      <c r="AD113" s="2483">
        <f t="shared" si="246"/>
        <v>1.0706216390607035</v>
      </c>
      <c r="AE113" s="2483">
        <f t="shared" si="247"/>
        <v>1.0706216390607035</v>
      </c>
      <c r="AF113" s="2466">
        <f t="shared" si="248"/>
        <v>3.2118649171821105</v>
      </c>
      <c r="AG113" s="2466">
        <f t="shared" si="236"/>
        <v>6.4237298343642211</v>
      </c>
      <c r="AH113" s="2483">
        <f t="shared" si="249"/>
        <v>1.0706216390607035</v>
      </c>
      <c r="AI113" s="2483">
        <f t="shared" si="250"/>
        <v>1.0706216390607035</v>
      </c>
      <c r="AJ113" s="2483">
        <f t="shared" si="251"/>
        <v>1.0706216390607035</v>
      </c>
      <c r="AK113" s="2466">
        <f t="shared" si="252"/>
        <v>3.2118649171821105</v>
      </c>
      <c r="AL113" s="2466">
        <f t="shared" si="238"/>
        <v>9.635594751546332</v>
      </c>
      <c r="AM113" s="2483">
        <f t="shared" si="253"/>
        <v>1.0706216390607035</v>
      </c>
      <c r="AN113" s="2483">
        <f t="shared" si="254"/>
        <v>1.0706216390607035</v>
      </c>
      <c r="AO113" s="2483">
        <f t="shared" si="255"/>
        <v>1.0706216390607035</v>
      </c>
      <c r="AP113" s="2466">
        <f t="shared" si="256"/>
        <v>3.2118649171821105</v>
      </c>
      <c r="AQ113" s="642">
        <f t="shared" si="98"/>
        <v>12.847459668728446</v>
      </c>
    </row>
    <row r="114" spans="1:43" ht="18.75" hidden="1">
      <c r="A114" s="2479" t="s">
        <v>41</v>
      </c>
      <c r="B114" s="381"/>
      <c r="C114" s="381"/>
      <c r="D114" s="381"/>
      <c r="E114" s="381"/>
      <c r="F114" s="381"/>
      <c r="G114" s="381"/>
      <c r="H114" s="381"/>
      <c r="I114" s="381"/>
      <c r="J114" s="381"/>
      <c r="K114" s="381"/>
      <c r="L114" s="381"/>
      <c r="M114" s="381"/>
      <c r="N114" s="381"/>
      <c r="O114" s="381"/>
      <c r="P114" s="381"/>
      <c r="Q114" s="381"/>
      <c r="R114" s="381"/>
      <c r="S114" s="381"/>
      <c r="T114" s="381"/>
      <c r="U114" s="2480">
        <v>0</v>
      </c>
      <c r="V114" s="640"/>
      <c r="W114" s="2480">
        <f>SUM(U114*вода!CA56/вода!BY56)</f>
        <v>0</v>
      </c>
      <c r="X114" s="2481">
        <f t="shared" si="233"/>
        <v>0</v>
      </c>
      <c r="Y114" s="2467">
        <f t="shared" si="241"/>
        <v>0</v>
      </c>
      <c r="Z114" s="2467">
        <f t="shared" si="242"/>
        <v>0</v>
      </c>
      <c r="AA114" s="2467">
        <f t="shared" si="243"/>
        <v>0</v>
      </c>
      <c r="AB114" s="2466">
        <f t="shared" si="244"/>
        <v>0</v>
      </c>
      <c r="AC114" s="2483">
        <f t="shared" si="245"/>
        <v>0</v>
      </c>
      <c r="AD114" s="2483">
        <f t="shared" si="246"/>
        <v>0</v>
      </c>
      <c r="AE114" s="2483">
        <f t="shared" si="247"/>
        <v>0</v>
      </c>
      <c r="AF114" s="2466">
        <f t="shared" si="248"/>
        <v>0</v>
      </c>
      <c r="AG114" s="2466">
        <f t="shared" si="236"/>
        <v>0</v>
      </c>
      <c r="AH114" s="2483">
        <f t="shared" si="249"/>
        <v>0</v>
      </c>
      <c r="AI114" s="2483">
        <f t="shared" si="250"/>
        <v>0</v>
      </c>
      <c r="AJ114" s="2483">
        <f t="shared" si="251"/>
        <v>0</v>
      </c>
      <c r="AK114" s="2466">
        <f t="shared" si="252"/>
        <v>0</v>
      </c>
      <c r="AL114" s="2466">
        <f t="shared" si="238"/>
        <v>0</v>
      </c>
      <c r="AM114" s="2483">
        <f t="shared" si="253"/>
        <v>0</v>
      </c>
      <c r="AN114" s="2483">
        <f t="shared" si="254"/>
        <v>0</v>
      </c>
      <c r="AO114" s="2483">
        <f t="shared" si="255"/>
        <v>0</v>
      </c>
      <c r="AP114" s="2466">
        <f t="shared" si="256"/>
        <v>0</v>
      </c>
      <c r="AQ114" s="642">
        <f t="shared" si="98"/>
        <v>0</v>
      </c>
    </row>
    <row r="115" spans="1:43" ht="18.75" hidden="1">
      <c r="A115" s="2479" t="s">
        <v>38</v>
      </c>
      <c r="B115" s="381"/>
      <c r="C115" s="381"/>
      <c r="D115" s="381"/>
      <c r="E115" s="381"/>
      <c r="F115" s="381"/>
      <c r="G115" s="381"/>
      <c r="H115" s="381"/>
      <c r="I115" s="381"/>
      <c r="J115" s="381"/>
      <c r="K115" s="381"/>
      <c r="L115" s="381"/>
      <c r="M115" s="381"/>
      <c r="N115" s="381"/>
      <c r="O115" s="381"/>
      <c r="P115" s="381"/>
      <c r="Q115" s="381"/>
      <c r="R115" s="381"/>
      <c r="S115" s="381"/>
      <c r="T115" s="381"/>
      <c r="U115" s="2480">
        <v>0</v>
      </c>
      <c r="V115" s="640"/>
      <c r="W115" s="2480">
        <f>SUM(U115*вода!CA56/вода!BY56)</f>
        <v>0</v>
      </c>
      <c r="X115" s="2481">
        <f t="shared" si="233"/>
        <v>0</v>
      </c>
      <c r="Y115" s="2467">
        <f t="shared" si="241"/>
        <v>0</v>
      </c>
      <c r="Z115" s="2467">
        <f t="shared" si="242"/>
        <v>0</v>
      </c>
      <c r="AA115" s="2467">
        <f t="shared" si="243"/>
        <v>0</v>
      </c>
      <c r="AB115" s="2466">
        <f t="shared" si="244"/>
        <v>0</v>
      </c>
      <c r="AC115" s="2483">
        <f t="shared" si="245"/>
        <v>0</v>
      </c>
      <c r="AD115" s="2483">
        <f t="shared" si="246"/>
        <v>0</v>
      </c>
      <c r="AE115" s="2483">
        <f t="shared" si="247"/>
        <v>0</v>
      </c>
      <c r="AF115" s="2466">
        <f t="shared" si="248"/>
        <v>0</v>
      </c>
      <c r="AG115" s="2466">
        <f t="shared" si="236"/>
        <v>0</v>
      </c>
      <c r="AH115" s="2483">
        <f t="shared" si="249"/>
        <v>0</v>
      </c>
      <c r="AI115" s="2483">
        <f t="shared" si="250"/>
        <v>0</v>
      </c>
      <c r="AJ115" s="2483">
        <f t="shared" si="251"/>
        <v>0</v>
      </c>
      <c r="AK115" s="2466">
        <f t="shared" si="252"/>
        <v>0</v>
      </c>
      <c r="AL115" s="2466">
        <f t="shared" si="238"/>
        <v>0</v>
      </c>
      <c r="AM115" s="2483">
        <f t="shared" si="253"/>
        <v>0</v>
      </c>
      <c r="AN115" s="2483">
        <f t="shared" si="254"/>
        <v>0</v>
      </c>
      <c r="AO115" s="2483">
        <f t="shared" si="255"/>
        <v>0</v>
      </c>
      <c r="AP115" s="2466">
        <f t="shared" si="256"/>
        <v>0</v>
      </c>
      <c r="AQ115" s="642">
        <f t="shared" si="98"/>
        <v>0</v>
      </c>
    </row>
    <row r="116" spans="1:43" ht="18.75" hidden="1">
      <c r="A116" s="2479" t="s">
        <v>32</v>
      </c>
      <c r="B116" s="381"/>
      <c r="C116" s="381"/>
      <c r="D116" s="381"/>
      <c r="E116" s="381"/>
      <c r="F116" s="381"/>
      <c r="G116" s="381"/>
      <c r="H116" s="381"/>
      <c r="I116" s="381"/>
      <c r="J116" s="381"/>
      <c r="K116" s="381"/>
      <c r="L116" s="381"/>
      <c r="M116" s="381"/>
      <c r="N116" s="381"/>
      <c r="O116" s="381"/>
      <c r="P116" s="381"/>
      <c r="Q116" s="381"/>
      <c r="R116" s="381"/>
      <c r="S116" s="381"/>
      <c r="T116" s="381"/>
      <c r="U116" s="2480">
        <f>SUM(U106*0.11%)</f>
        <v>4.8731743571038928</v>
      </c>
      <c r="V116" s="640"/>
      <c r="W116" s="2480">
        <f>SUM(U116*вода!CA56/вода!BY56)</f>
        <v>4.8470189636033973</v>
      </c>
      <c r="X116" s="2481">
        <f t="shared" si="233"/>
        <v>2.615539350049545E-2</v>
      </c>
      <c r="Y116" s="2467">
        <f t="shared" si="241"/>
        <v>0.40609786309199108</v>
      </c>
      <c r="Z116" s="2467">
        <f t="shared" si="242"/>
        <v>0.40609786309199108</v>
      </c>
      <c r="AA116" s="2467">
        <f t="shared" si="243"/>
        <v>0.40609786309199108</v>
      </c>
      <c r="AB116" s="2466">
        <f t="shared" si="244"/>
        <v>1.2182935892759732</v>
      </c>
      <c r="AC116" s="2483">
        <f t="shared" si="245"/>
        <v>0.40609786309199108</v>
      </c>
      <c r="AD116" s="2483">
        <f t="shared" si="246"/>
        <v>0.40609786309199108</v>
      </c>
      <c r="AE116" s="2483">
        <f t="shared" si="247"/>
        <v>0.40609786309199108</v>
      </c>
      <c r="AF116" s="2466">
        <f t="shared" si="248"/>
        <v>1.2182935892759732</v>
      </c>
      <c r="AG116" s="2466">
        <f t="shared" si="236"/>
        <v>2.4365871785519464</v>
      </c>
      <c r="AH116" s="2483">
        <f t="shared" si="249"/>
        <v>0.40609786309199108</v>
      </c>
      <c r="AI116" s="2483">
        <f t="shared" si="250"/>
        <v>0.40609786309199108</v>
      </c>
      <c r="AJ116" s="2483">
        <f t="shared" si="251"/>
        <v>0.40609786309199108</v>
      </c>
      <c r="AK116" s="2466">
        <f t="shared" si="252"/>
        <v>1.2182935892759732</v>
      </c>
      <c r="AL116" s="2466">
        <f t="shared" si="238"/>
        <v>3.6548807678279198</v>
      </c>
      <c r="AM116" s="2483">
        <f t="shared" si="253"/>
        <v>0.40609786309199108</v>
      </c>
      <c r="AN116" s="2483">
        <f t="shared" si="254"/>
        <v>0.40609786309199108</v>
      </c>
      <c r="AO116" s="2483">
        <f t="shared" si="255"/>
        <v>0.40609786309199108</v>
      </c>
      <c r="AP116" s="2466">
        <f t="shared" si="256"/>
        <v>1.2182935892759732</v>
      </c>
      <c r="AQ116" s="642">
        <f t="shared" si="98"/>
        <v>4.8731743571038919</v>
      </c>
    </row>
    <row r="117" spans="1:43" ht="18.75" hidden="1">
      <c r="A117" s="2479" t="s">
        <v>606</v>
      </c>
      <c r="B117" s="381"/>
      <c r="C117" s="381"/>
      <c r="D117" s="381"/>
      <c r="E117" s="381"/>
      <c r="F117" s="381"/>
      <c r="G117" s="381"/>
      <c r="H117" s="381"/>
      <c r="I117" s="381"/>
      <c r="J117" s="381"/>
      <c r="K117" s="381"/>
      <c r="L117" s="381"/>
      <c r="M117" s="381"/>
      <c r="N117" s="381"/>
      <c r="O117" s="381"/>
      <c r="P117" s="381"/>
      <c r="Q117" s="381"/>
      <c r="R117" s="381"/>
      <c r="S117" s="381"/>
      <c r="T117" s="381"/>
      <c r="U117" s="2480">
        <f>SUM(U118)</f>
        <v>18.606665727123954</v>
      </c>
      <c r="V117" s="640"/>
      <c r="W117" s="2480">
        <f>SUM(U117*вода!CA56/вода!BY56)</f>
        <v>18.506799679212975</v>
      </c>
      <c r="X117" s="2480">
        <f t="shared" ref="X117:AE117" si="257">SUM(X118)</f>
        <v>9.986604791097875E-2</v>
      </c>
      <c r="Y117" s="2482">
        <f t="shared" si="257"/>
        <v>1.5505554772603294</v>
      </c>
      <c r="Z117" s="2482">
        <f t="shared" si="257"/>
        <v>1.5505554772603294</v>
      </c>
      <c r="AA117" s="2482">
        <f t="shared" si="257"/>
        <v>1.5505554772603294</v>
      </c>
      <c r="AB117" s="2466">
        <f t="shared" si="92"/>
        <v>4.6516664317809884</v>
      </c>
      <c r="AC117" s="2482">
        <f t="shared" si="257"/>
        <v>1.5505554772603294</v>
      </c>
      <c r="AD117" s="2482">
        <f t="shared" si="257"/>
        <v>1.5505554772603294</v>
      </c>
      <c r="AE117" s="2482">
        <f t="shared" si="257"/>
        <v>1.5505554772603294</v>
      </c>
      <c r="AF117" s="2466">
        <f t="shared" si="93"/>
        <v>4.6516664317809884</v>
      </c>
      <c r="AG117" s="2466">
        <f t="shared" si="94"/>
        <v>9.3033328635619768</v>
      </c>
      <c r="AH117" s="2482">
        <f t="shared" ref="AH117:AJ117" si="258">SUM(AH118)</f>
        <v>1.5505554772603294</v>
      </c>
      <c r="AI117" s="2482">
        <f t="shared" si="258"/>
        <v>1.5505554772603294</v>
      </c>
      <c r="AJ117" s="2482">
        <f t="shared" si="258"/>
        <v>1.5505554772603294</v>
      </c>
      <c r="AK117" s="2466">
        <f t="shared" si="95"/>
        <v>4.6516664317809884</v>
      </c>
      <c r="AL117" s="2466">
        <f t="shared" si="96"/>
        <v>13.954999295342965</v>
      </c>
      <c r="AM117" s="2482">
        <f t="shared" ref="AM117:AO117" si="259">SUM(AM118)</f>
        <v>1.5505554772603294</v>
      </c>
      <c r="AN117" s="2482">
        <f t="shared" si="259"/>
        <v>1.5505554772603294</v>
      </c>
      <c r="AO117" s="2482">
        <f t="shared" si="259"/>
        <v>1.5505554772603294</v>
      </c>
      <c r="AP117" s="2466">
        <f t="shared" si="97"/>
        <v>4.6516664317809884</v>
      </c>
      <c r="AQ117" s="642">
        <f t="shared" si="98"/>
        <v>18.606665727123954</v>
      </c>
    </row>
    <row r="118" spans="1:43" ht="18.75" hidden="1">
      <c r="A118" s="2484" t="s">
        <v>564</v>
      </c>
      <c r="B118" s="381"/>
      <c r="C118" s="381"/>
      <c r="D118" s="381"/>
      <c r="E118" s="381"/>
      <c r="F118" s="381"/>
      <c r="G118" s="381"/>
      <c r="H118" s="381"/>
      <c r="I118" s="381"/>
      <c r="J118" s="381"/>
      <c r="K118" s="381"/>
      <c r="L118" s="381"/>
      <c r="M118" s="381"/>
      <c r="N118" s="381"/>
      <c r="O118" s="381"/>
      <c r="P118" s="381"/>
      <c r="Q118" s="381"/>
      <c r="R118" s="381"/>
      <c r="S118" s="381"/>
      <c r="T118" s="381"/>
      <c r="U118" s="2480">
        <f>SUM(U106*0.42%)</f>
        <v>18.606665727123954</v>
      </c>
      <c r="V118" s="640"/>
      <c r="W118" s="2480">
        <f>SUM(U118*вода!CA56/вода!BY56)</f>
        <v>18.506799679212975</v>
      </c>
      <c r="X118" s="2481">
        <f t="shared" ref="X118" si="260">SUM(U118-W118)</f>
        <v>9.986604791097875E-2</v>
      </c>
      <c r="Y118" s="2467">
        <f t="shared" ref="Y118" si="261">SUM(U118/12)</f>
        <v>1.5505554772603294</v>
      </c>
      <c r="Z118" s="2467">
        <f t="shared" ref="Z118" si="262">SUM(Y118)</f>
        <v>1.5505554772603294</v>
      </c>
      <c r="AA118" s="2467">
        <f t="shared" ref="AA118" si="263">SUM(Y118)</f>
        <v>1.5505554772603294</v>
      </c>
      <c r="AB118" s="2466">
        <f t="shared" ref="AB118" si="264">SUM(Y118+Z118+AA118)</f>
        <v>4.6516664317809884</v>
      </c>
      <c r="AC118" s="2467">
        <f t="shared" ref="AC118" si="265">SUM(Y118)</f>
        <v>1.5505554772603294</v>
      </c>
      <c r="AD118" s="2467">
        <f t="shared" ref="AD118" si="266">SUM(Y118)</f>
        <v>1.5505554772603294</v>
      </c>
      <c r="AE118" s="2467">
        <f t="shared" ref="AE118" si="267">SUM(Y118)</f>
        <v>1.5505554772603294</v>
      </c>
      <c r="AF118" s="2466">
        <f t="shared" ref="AF118" si="268">SUM(AC118+AD118+AE118)</f>
        <v>4.6516664317809884</v>
      </c>
      <c r="AG118" s="2466">
        <f t="shared" si="94"/>
        <v>9.3033328635619768</v>
      </c>
      <c r="AH118" s="2467">
        <f t="shared" ref="AH118" si="269">SUM(Y118)</f>
        <v>1.5505554772603294</v>
      </c>
      <c r="AI118" s="2467">
        <f t="shared" ref="AI118" si="270">SUM(Y118)</f>
        <v>1.5505554772603294</v>
      </c>
      <c r="AJ118" s="2467">
        <f t="shared" ref="AJ118" si="271">SUM(Y118)</f>
        <v>1.5505554772603294</v>
      </c>
      <c r="AK118" s="2466">
        <f t="shared" ref="AK118" si="272">SUM(AH118+AI118+AJ118)</f>
        <v>4.6516664317809884</v>
      </c>
      <c r="AL118" s="2466">
        <f t="shared" si="96"/>
        <v>13.954999295342965</v>
      </c>
      <c r="AM118" s="2467">
        <f t="shared" ref="AM118" si="273">SUM(Y118)</f>
        <v>1.5505554772603294</v>
      </c>
      <c r="AN118" s="2467">
        <f t="shared" ref="AN118" si="274">SUM(Y118)</f>
        <v>1.5505554772603294</v>
      </c>
      <c r="AO118" s="2467">
        <f t="shared" ref="AO118" si="275">SUM(Y118)</f>
        <v>1.5505554772603294</v>
      </c>
      <c r="AP118" s="2466">
        <f t="shared" ref="AP118" si="276">SUM(AM118+AN118+AO118)</f>
        <v>4.6516664317809884</v>
      </c>
      <c r="AQ118" s="642">
        <f t="shared" si="98"/>
        <v>18.606665727123954</v>
      </c>
    </row>
    <row r="119" spans="1:43" ht="18.75" hidden="1">
      <c r="A119" s="2479" t="s">
        <v>609</v>
      </c>
      <c r="B119" s="381"/>
      <c r="C119" s="381"/>
      <c r="D119" s="381"/>
      <c r="E119" s="381"/>
      <c r="F119" s="381"/>
      <c r="G119" s="381"/>
      <c r="H119" s="381"/>
      <c r="I119" s="381"/>
      <c r="J119" s="381"/>
      <c r="K119" s="381"/>
      <c r="L119" s="381"/>
      <c r="M119" s="381"/>
      <c r="N119" s="381"/>
      <c r="O119" s="381"/>
      <c r="P119" s="381"/>
      <c r="Q119" s="381"/>
      <c r="R119" s="381"/>
      <c r="S119" s="381"/>
      <c r="T119" s="381"/>
      <c r="U119" s="2480">
        <f>SUM(U120:U122)</f>
        <v>100.12158224595271</v>
      </c>
      <c r="V119" s="640"/>
      <c r="W119" s="2480">
        <f>SUM(U119*вода!CA56/вода!BY56)</f>
        <v>99.584207797669819</v>
      </c>
      <c r="X119" s="2480">
        <f t="shared" ref="X119:AE119" si="277">SUM(X120:X122)</f>
        <v>0.53737444828288616</v>
      </c>
      <c r="Y119" s="2482">
        <f t="shared" si="277"/>
        <v>7.5500976346311903</v>
      </c>
      <c r="Z119" s="2482">
        <f t="shared" si="277"/>
        <v>7.5500976346311903</v>
      </c>
      <c r="AA119" s="2482">
        <f t="shared" si="277"/>
        <v>7.5500976346311903</v>
      </c>
      <c r="AB119" s="2466">
        <f t="shared" si="92"/>
        <v>22.650292903893572</v>
      </c>
      <c r="AC119" s="2482">
        <f t="shared" si="277"/>
        <v>7.6198726311079064</v>
      </c>
      <c r="AD119" s="2482">
        <f t="shared" si="277"/>
        <v>8.7750364616668506</v>
      </c>
      <c r="AE119" s="2482">
        <f t="shared" si="277"/>
        <v>9.7828975218860634</v>
      </c>
      <c r="AF119" s="2466">
        <f t="shared" si="93"/>
        <v>26.17780661466082</v>
      </c>
      <c r="AG119" s="2466">
        <f t="shared" si="94"/>
        <v>48.828099518554396</v>
      </c>
      <c r="AH119" s="2482">
        <f t="shared" ref="AH119:AJ119" si="278">SUM(AH120:AH122)</f>
        <v>10.085255839951829</v>
      </c>
      <c r="AI119" s="2482">
        <f t="shared" si="278"/>
        <v>9.7828975218860634</v>
      </c>
      <c r="AJ119" s="2482">
        <f t="shared" si="278"/>
        <v>8.7750364616668506</v>
      </c>
      <c r="AK119" s="2466">
        <f t="shared" si="95"/>
        <v>28.643189823504741</v>
      </c>
      <c r="AL119" s="2466">
        <f t="shared" si="96"/>
        <v>77.471289342059137</v>
      </c>
      <c r="AM119" s="2482">
        <f t="shared" ref="AM119:AO119" si="279">SUM(AM120:AM122)</f>
        <v>7.5500976346311903</v>
      </c>
      <c r="AN119" s="2482">
        <f t="shared" si="279"/>
        <v>7.5500976346311903</v>
      </c>
      <c r="AO119" s="2482">
        <f t="shared" si="279"/>
        <v>7.5500976346311903</v>
      </c>
      <c r="AP119" s="2466">
        <f t="shared" si="97"/>
        <v>22.650292903893572</v>
      </c>
      <c r="AQ119" s="642">
        <f t="shared" si="98"/>
        <v>100.12158224595269</v>
      </c>
    </row>
    <row r="120" spans="1:43" ht="18.75" hidden="1">
      <c r="A120" s="2484" t="s">
        <v>551</v>
      </c>
      <c r="B120" s="381"/>
      <c r="C120" s="381"/>
      <c r="D120" s="381"/>
      <c r="E120" s="381"/>
      <c r="F120" s="381"/>
      <c r="G120" s="381"/>
      <c r="H120" s="381"/>
      <c r="I120" s="381"/>
      <c r="J120" s="381"/>
      <c r="K120" s="381"/>
      <c r="L120" s="381"/>
      <c r="M120" s="381"/>
      <c r="N120" s="381"/>
      <c r="O120" s="381"/>
      <c r="P120" s="381"/>
      <c r="Q120" s="381"/>
      <c r="R120" s="381"/>
      <c r="S120" s="381"/>
      <c r="T120" s="381"/>
      <c r="U120" s="2480">
        <f>SUM(U106*1.75%)</f>
        <v>77.527773863016478</v>
      </c>
      <c r="V120" s="640"/>
      <c r="W120" s="2480">
        <f>SUM(U120*вода!CA56/вода!BY56)</f>
        <v>77.111665330054066</v>
      </c>
      <c r="X120" s="2481">
        <f t="shared" ref="X120:X122" si="280">SUM(U120-W120)</f>
        <v>0.41610853296241146</v>
      </c>
      <c r="Y120" s="2467">
        <f>SUM(U120*7.31%)</f>
        <v>5.6672802693865041</v>
      </c>
      <c r="Z120" s="2467">
        <f>SUM(U120*7.31%)</f>
        <v>5.6672802693865041</v>
      </c>
      <c r="AA120" s="2467">
        <f>SUM(U120*7.31%)</f>
        <v>5.6672802693865041</v>
      </c>
      <c r="AB120" s="2466">
        <f t="shared" ref="AB120:AB122" si="281">SUM(Y120+Z120+AA120)</f>
        <v>17.001840808159514</v>
      </c>
      <c r="AC120" s="2467">
        <f>SUM(U120*7.4%)</f>
        <v>5.7370552658632201</v>
      </c>
      <c r="AD120" s="2467">
        <f>SUM(U120*8.89%)</f>
        <v>6.8922190964221652</v>
      </c>
      <c r="AE120" s="2467">
        <f>SUM(U120*10.19%)</f>
        <v>7.9000801566413781</v>
      </c>
      <c r="AF120" s="2466">
        <f t="shared" ref="AF120:AF122" si="282">SUM(AC120+AD120+AE120)</f>
        <v>20.529354518926766</v>
      </c>
      <c r="AG120" s="2466">
        <f t="shared" si="94"/>
        <v>37.53119532708628</v>
      </c>
      <c r="AH120" s="2467">
        <f>SUM(U120*10.58%)</f>
        <v>8.2024384747071437</v>
      </c>
      <c r="AI120" s="2467">
        <f>SUM(U120*10.19%)</f>
        <v>7.9000801566413781</v>
      </c>
      <c r="AJ120" s="2467">
        <f>SUM(U120*8.89%)</f>
        <v>6.8922190964221652</v>
      </c>
      <c r="AK120" s="2466">
        <f t="shared" ref="AK120:AK122" si="283">SUM(AH120+AI120+AJ120)</f>
        <v>22.994737727770691</v>
      </c>
      <c r="AL120" s="2466">
        <f t="shared" si="96"/>
        <v>60.525933054856971</v>
      </c>
      <c r="AM120" s="2467">
        <f>SUM(U120*7.31%)</f>
        <v>5.6672802693865041</v>
      </c>
      <c r="AN120" s="2467">
        <f>SUM(U120*7.31%)</f>
        <v>5.6672802693865041</v>
      </c>
      <c r="AO120" s="2467">
        <f>SUM(U120*7.31%)</f>
        <v>5.6672802693865041</v>
      </c>
      <c r="AP120" s="2466">
        <f t="shared" ref="AP120:AP122" si="284">SUM(AM120+AN120+AO120)</f>
        <v>17.001840808159514</v>
      </c>
      <c r="AQ120" s="642">
        <f t="shared" si="98"/>
        <v>77.527773863016492</v>
      </c>
    </row>
    <row r="121" spans="1:43" ht="18.75" hidden="1">
      <c r="A121" s="2484" t="s">
        <v>559</v>
      </c>
      <c r="B121" s="381"/>
      <c r="C121" s="381"/>
      <c r="D121" s="381"/>
      <c r="E121" s="381"/>
      <c r="F121" s="381"/>
      <c r="G121" s="381"/>
      <c r="H121" s="381"/>
      <c r="I121" s="381"/>
      <c r="J121" s="381"/>
      <c r="K121" s="381"/>
      <c r="L121" s="381"/>
      <c r="M121" s="381"/>
      <c r="N121" s="381"/>
      <c r="O121" s="381"/>
      <c r="P121" s="381"/>
      <c r="Q121" s="381"/>
      <c r="R121" s="381"/>
      <c r="S121" s="381"/>
      <c r="T121" s="381"/>
      <c r="U121" s="2480">
        <f>SUM(U106*0.51%)</f>
        <v>22.593808382936231</v>
      </c>
      <c r="V121" s="640"/>
      <c r="W121" s="2480">
        <f>SUM(U121*вода!CA56/вода!BY56)</f>
        <v>22.472542467615757</v>
      </c>
      <c r="X121" s="2481">
        <f t="shared" si="280"/>
        <v>0.1212659153204747</v>
      </c>
      <c r="Y121" s="2467">
        <f t="shared" ref="Y121:Y122" si="285">SUM(U121/12)</f>
        <v>1.882817365244686</v>
      </c>
      <c r="Z121" s="2467">
        <f t="shared" ref="Z121:Z122" si="286">SUM(Y121)</f>
        <v>1.882817365244686</v>
      </c>
      <c r="AA121" s="2467">
        <f t="shared" ref="AA121:AA122" si="287">SUM(Y121)</f>
        <v>1.882817365244686</v>
      </c>
      <c r="AB121" s="2466">
        <f t="shared" si="281"/>
        <v>5.6484520957340578</v>
      </c>
      <c r="AC121" s="2483">
        <f t="shared" ref="AC121:AC122" si="288">SUM(Y121)</f>
        <v>1.882817365244686</v>
      </c>
      <c r="AD121" s="2483">
        <f t="shared" ref="AD121:AD122" si="289">SUM(Y121)</f>
        <v>1.882817365244686</v>
      </c>
      <c r="AE121" s="2483">
        <f t="shared" ref="AE121:AE122" si="290">SUM(Y121)</f>
        <v>1.882817365244686</v>
      </c>
      <c r="AF121" s="2466">
        <f t="shared" si="282"/>
        <v>5.6484520957340578</v>
      </c>
      <c r="AG121" s="2466">
        <f t="shared" si="94"/>
        <v>11.296904191468116</v>
      </c>
      <c r="AH121" s="2483">
        <f t="shared" ref="AH121:AH122" si="291">SUM(Y121)</f>
        <v>1.882817365244686</v>
      </c>
      <c r="AI121" s="2483">
        <f t="shared" ref="AI121:AI122" si="292">SUM(Y121)</f>
        <v>1.882817365244686</v>
      </c>
      <c r="AJ121" s="2483">
        <f t="shared" ref="AJ121:AJ122" si="293">SUM(Y121)</f>
        <v>1.882817365244686</v>
      </c>
      <c r="AK121" s="2466">
        <f t="shared" si="283"/>
        <v>5.6484520957340578</v>
      </c>
      <c r="AL121" s="2466">
        <f t="shared" si="96"/>
        <v>16.945356287202173</v>
      </c>
      <c r="AM121" s="2483">
        <f t="shared" ref="AM121:AM122" si="294">SUM(Y121)</f>
        <v>1.882817365244686</v>
      </c>
      <c r="AN121" s="2483">
        <f t="shared" ref="AN121:AN122" si="295">SUM(Y121)</f>
        <v>1.882817365244686</v>
      </c>
      <c r="AO121" s="2483">
        <f t="shared" ref="AO121:AO122" si="296">SUM(Y121)</f>
        <v>1.882817365244686</v>
      </c>
      <c r="AP121" s="2466">
        <f t="shared" si="284"/>
        <v>5.6484520957340578</v>
      </c>
      <c r="AQ121" s="642">
        <f t="shared" si="98"/>
        <v>22.593808382936235</v>
      </c>
    </row>
    <row r="122" spans="1:43" ht="18.75" hidden="1">
      <c r="A122" s="2484" t="s">
        <v>613</v>
      </c>
      <c r="B122" s="381"/>
      <c r="C122" s="381"/>
      <c r="D122" s="381"/>
      <c r="E122" s="381"/>
      <c r="F122" s="381"/>
      <c r="G122" s="381"/>
      <c r="H122" s="381"/>
      <c r="I122" s="381"/>
      <c r="J122" s="381"/>
      <c r="K122" s="381"/>
      <c r="L122" s="381"/>
      <c r="M122" s="381"/>
      <c r="N122" s="381"/>
      <c r="O122" s="381"/>
      <c r="P122" s="381"/>
      <c r="Q122" s="381"/>
      <c r="R122" s="381"/>
      <c r="S122" s="381"/>
      <c r="T122" s="381"/>
      <c r="U122" s="2480">
        <v>0</v>
      </c>
      <c r="V122" s="640"/>
      <c r="W122" s="2480">
        <f>SUM(U122*вода!CA56/вода!BY56)</f>
        <v>0</v>
      </c>
      <c r="X122" s="2481">
        <f t="shared" si="280"/>
        <v>0</v>
      </c>
      <c r="Y122" s="2467">
        <f t="shared" si="285"/>
        <v>0</v>
      </c>
      <c r="Z122" s="2467">
        <f t="shared" si="286"/>
        <v>0</v>
      </c>
      <c r="AA122" s="2467">
        <f t="shared" si="287"/>
        <v>0</v>
      </c>
      <c r="AB122" s="2466">
        <f t="shared" si="281"/>
        <v>0</v>
      </c>
      <c r="AC122" s="2483">
        <f t="shared" si="288"/>
        <v>0</v>
      </c>
      <c r="AD122" s="2483">
        <f t="shared" si="289"/>
        <v>0</v>
      </c>
      <c r="AE122" s="2483">
        <f t="shared" si="290"/>
        <v>0</v>
      </c>
      <c r="AF122" s="2466">
        <f t="shared" si="282"/>
        <v>0</v>
      </c>
      <c r="AG122" s="2466">
        <f t="shared" si="94"/>
        <v>0</v>
      </c>
      <c r="AH122" s="2483">
        <f t="shared" si="291"/>
        <v>0</v>
      </c>
      <c r="AI122" s="2483">
        <f t="shared" si="292"/>
        <v>0</v>
      </c>
      <c r="AJ122" s="2483">
        <f t="shared" si="293"/>
        <v>0</v>
      </c>
      <c r="AK122" s="2466">
        <f t="shared" si="283"/>
        <v>0</v>
      </c>
      <c r="AL122" s="2466">
        <f t="shared" si="96"/>
        <v>0</v>
      </c>
      <c r="AM122" s="2483">
        <f t="shared" si="294"/>
        <v>0</v>
      </c>
      <c r="AN122" s="2483">
        <f t="shared" si="295"/>
        <v>0</v>
      </c>
      <c r="AO122" s="2483">
        <f t="shared" si="296"/>
        <v>0</v>
      </c>
      <c r="AP122" s="2466">
        <f t="shared" si="284"/>
        <v>0</v>
      </c>
      <c r="AQ122" s="642">
        <f t="shared" si="98"/>
        <v>0</v>
      </c>
    </row>
    <row r="123" spans="1:43" ht="18.75" hidden="1">
      <c r="A123" s="2490" t="s">
        <v>1592</v>
      </c>
      <c r="B123" s="381"/>
      <c r="C123" s="381"/>
      <c r="D123" s="381"/>
      <c r="E123" s="381"/>
      <c r="F123" s="381"/>
      <c r="G123" s="381"/>
      <c r="H123" s="381"/>
      <c r="I123" s="381"/>
      <c r="J123" s="381"/>
      <c r="K123" s="381"/>
      <c r="L123" s="381"/>
      <c r="M123" s="381"/>
      <c r="N123" s="381"/>
      <c r="O123" s="381"/>
      <c r="P123" s="381"/>
      <c r="Q123" s="381"/>
      <c r="R123" s="381"/>
      <c r="S123" s="381"/>
      <c r="T123" s="381"/>
      <c r="U123" s="2475">
        <f>SUM(AQ50)</f>
        <v>2547.5101963019865</v>
      </c>
      <c r="V123" s="640"/>
      <c r="W123" s="2475">
        <f>SUM(U123*вода!CA56/вода!BY56)</f>
        <v>2533.8371514346977</v>
      </c>
      <c r="X123" s="2476">
        <f>SUM(U123-W123)</f>
        <v>13.673044867288809</v>
      </c>
      <c r="Y123" s="2477">
        <f>SUM(Y124+Y125+Y126+Y127+Y128+Y129+Y130+Y132)</f>
        <v>204.96901861925033</v>
      </c>
      <c r="Z123" s="2477">
        <f t="shared" ref="Z123:AA123" si="297">SUM(Z124+Z125+Z126+Z127+Z128+Z129+Z130+Z132)</f>
        <v>204.96901861925033</v>
      </c>
      <c r="AA123" s="2477">
        <f t="shared" si="297"/>
        <v>204.96901861925033</v>
      </c>
      <c r="AB123" s="2478">
        <f t="shared" si="92"/>
        <v>614.90705585775095</v>
      </c>
      <c r="AC123" s="2477">
        <f t="shared" ref="AC123:AE123" si="298">SUM(AC124+AC125+AC126+AC127+AC128+AC129+AC130+AC132)</f>
        <v>204.99836593671174</v>
      </c>
      <c r="AD123" s="2477">
        <f t="shared" si="298"/>
        <v>205.48422708135044</v>
      </c>
      <c r="AE123" s="2477">
        <f t="shared" si="298"/>
        <v>205.9081327780151</v>
      </c>
      <c r="AF123" s="2478">
        <f t="shared" si="93"/>
        <v>616.39072579607728</v>
      </c>
      <c r="AG123" s="2478">
        <f t="shared" si="94"/>
        <v>1231.2977816538282</v>
      </c>
      <c r="AH123" s="2477">
        <f t="shared" ref="AH123:AJ123" si="299">SUM(AH124+AH125+AH126+AH127+AH128+AH129+AH130+AH132)</f>
        <v>220.01492022768565</v>
      </c>
      <c r="AI123" s="2477">
        <f t="shared" si="299"/>
        <v>219.88774851868627</v>
      </c>
      <c r="AJ123" s="2477">
        <f t="shared" si="299"/>
        <v>219.4638428220216</v>
      </c>
      <c r="AK123" s="2478">
        <f t="shared" si="95"/>
        <v>659.36651156839343</v>
      </c>
      <c r="AL123" s="2478">
        <f t="shared" si="96"/>
        <v>1890.6642932222217</v>
      </c>
      <c r="AM123" s="2477">
        <f t="shared" ref="AM123:AO123" si="300">SUM(AM124+AM125+AM126+AM127+AM128+AM129+AM130+AM132)</f>
        <v>218.9486343599215</v>
      </c>
      <c r="AN123" s="2477">
        <f t="shared" si="300"/>
        <v>218.9486343599215</v>
      </c>
      <c r="AO123" s="2477">
        <f t="shared" si="300"/>
        <v>218.9486343599215</v>
      </c>
      <c r="AP123" s="2478">
        <f t="shared" si="97"/>
        <v>656.84590307976453</v>
      </c>
      <c r="AQ123" s="642">
        <f t="shared" si="98"/>
        <v>2547.5101963019861</v>
      </c>
    </row>
    <row r="124" spans="1:43" ht="18.75" hidden="1">
      <c r="A124" s="2479" t="s">
        <v>72</v>
      </c>
      <c r="B124" s="381"/>
      <c r="C124" s="381"/>
      <c r="D124" s="381"/>
      <c r="E124" s="381"/>
      <c r="F124" s="381"/>
      <c r="G124" s="381"/>
      <c r="H124" s="381"/>
      <c r="I124" s="381"/>
      <c r="J124" s="381"/>
      <c r="K124" s="381"/>
      <c r="L124" s="381"/>
      <c r="M124" s="381"/>
      <c r="N124" s="381"/>
      <c r="O124" s="381"/>
      <c r="P124" s="381"/>
      <c r="Q124" s="381"/>
      <c r="R124" s="381"/>
      <c r="S124" s="381"/>
      <c r="T124" s="381"/>
      <c r="U124" s="2480">
        <f>SUM(U123*70.95%)</f>
        <v>1807.4584842762595</v>
      </c>
      <c r="V124" s="640"/>
      <c r="W124" s="2480">
        <f>SUM(U124*вода!CA56/вода!BY56)</f>
        <v>1797.7574589429182</v>
      </c>
      <c r="X124" s="2481">
        <f t="shared" ref="X124:X129" si="301">SUM(U124-W124)</f>
        <v>9.7010253333412493</v>
      </c>
      <c r="Y124" s="2467">
        <f>SUM(U124/2)/(1+(107.4%*100-100)/2/100)/6</f>
        <v>145.24738703602216</v>
      </c>
      <c r="Z124" s="2482">
        <f>SUM(Y124)</f>
        <v>145.24738703602216</v>
      </c>
      <c r="AA124" s="2467">
        <f>SUM(Y124)</f>
        <v>145.24738703602216</v>
      </c>
      <c r="AB124" s="2466">
        <f>SUM(Y124+Z124+AA124)</f>
        <v>435.74216110806651</v>
      </c>
      <c r="AC124" s="2483">
        <f>SUM(Y124)</f>
        <v>145.24738703602216</v>
      </c>
      <c r="AD124" s="2483">
        <f>SUM(Y124)</f>
        <v>145.24738703602216</v>
      </c>
      <c r="AE124" s="2483">
        <f>SUM(Y124)</f>
        <v>145.24738703602216</v>
      </c>
      <c r="AF124" s="2466">
        <f>SUM(AC124+AD124+AE124)</f>
        <v>435.74216110806651</v>
      </c>
      <c r="AG124" s="2466">
        <f>SUM(AB124+AF124)</f>
        <v>871.48432221613302</v>
      </c>
      <c r="AH124" s="2483">
        <f>SUM(U124-AG124)/6</f>
        <v>155.99569367668775</v>
      </c>
      <c r="AI124" s="2483">
        <f>SUM(AH124)</f>
        <v>155.99569367668775</v>
      </c>
      <c r="AJ124" s="2483">
        <f>SUM(AH124)</f>
        <v>155.99569367668775</v>
      </c>
      <c r="AK124" s="2466">
        <f>SUM(AH124+AI124+AJ124)</f>
        <v>467.98708103006322</v>
      </c>
      <c r="AL124" s="2466">
        <f>SUM(AG124+AK124)</f>
        <v>1339.4714032461961</v>
      </c>
      <c r="AM124" s="2483">
        <f>SUM(AH124)</f>
        <v>155.99569367668775</v>
      </c>
      <c r="AN124" s="2483">
        <f>SUM(AH124)</f>
        <v>155.99569367668775</v>
      </c>
      <c r="AO124" s="2483">
        <f>SUM(AH124)</f>
        <v>155.99569367668775</v>
      </c>
      <c r="AP124" s="2466">
        <f>SUM(AM124+AN124+AO124)</f>
        <v>467.98708103006322</v>
      </c>
      <c r="AQ124" s="642">
        <f>SUM(AO124+AN124+AM124+AJ124+AI124+AH124+AE124+AD124+AC124+AA124+Z124+Y124)</f>
        <v>1807.4584842762599</v>
      </c>
    </row>
    <row r="125" spans="1:43" ht="18.75" hidden="1">
      <c r="A125" s="2479" t="s">
        <v>121</v>
      </c>
      <c r="B125" s="381"/>
      <c r="C125" s="381"/>
      <c r="D125" s="381"/>
      <c r="E125" s="381"/>
      <c r="F125" s="381"/>
      <c r="G125" s="381"/>
      <c r="H125" s="381"/>
      <c r="I125" s="381"/>
      <c r="J125" s="381"/>
      <c r="K125" s="381"/>
      <c r="L125" s="381"/>
      <c r="M125" s="381"/>
      <c r="N125" s="381"/>
      <c r="O125" s="381"/>
      <c r="P125" s="381"/>
      <c r="Q125" s="381"/>
      <c r="R125" s="381"/>
      <c r="S125" s="381"/>
      <c r="T125" s="381"/>
      <c r="U125" s="2480">
        <f>SUM(U123*21.33%)</f>
        <v>543.38392487121371</v>
      </c>
      <c r="V125" s="640"/>
      <c r="W125" s="2480">
        <f>SUM(U125*вода!CA56/вода!BY56)</f>
        <v>540.46746440102106</v>
      </c>
      <c r="X125" s="2481">
        <f t="shared" si="301"/>
        <v>2.9164604701926464</v>
      </c>
      <c r="Y125" s="2467">
        <f>SUM(Y124*(U125/U124))</f>
        <v>43.666339189265017</v>
      </c>
      <c r="Z125" s="2467">
        <f>SUM(Y125)</f>
        <v>43.666339189265017</v>
      </c>
      <c r="AA125" s="2482">
        <f>SUM(Y125)</f>
        <v>43.666339189265017</v>
      </c>
      <c r="AB125" s="2466">
        <f t="shared" ref="AB125" si="302">SUM(Y125+Z125+AA125)</f>
        <v>130.99901756779505</v>
      </c>
      <c r="AC125" s="2483">
        <f>SUM(Y125)</f>
        <v>43.666339189265017</v>
      </c>
      <c r="AD125" s="2483">
        <f>SUM(Y125)</f>
        <v>43.666339189265017</v>
      </c>
      <c r="AE125" s="2483">
        <f>SUM(Y125)</f>
        <v>43.666339189265017</v>
      </c>
      <c r="AF125" s="2466">
        <f t="shared" ref="AF125" si="303">SUM(AC125+AD125+AE125)</f>
        <v>130.99901756779505</v>
      </c>
      <c r="AG125" s="2466">
        <f t="shared" ref="AG125:AG137" si="304">SUM(AB125+AF125)</f>
        <v>261.9980351355901</v>
      </c>
      <c r="AH125" s="2483">
        <f>SUM(U125-AG125)/6</f>
        <v>46.897648289270599</v>
      </c>
      <c r="AI125" s="2483">
        <f>SUM(AH125)</f>
        <v>46.897648289270599</v>
      </c>
      <c r="AJ125" s="2483">
        <f>SUM(AH125)</f>
        <v>46.897648289270599</v>
      </c>
      <c r="AK125" s="2466">
        <f t="shared" ref="AK125" si="305">SUM(AH125+AI125+AJ125)</f>
        <v>140.6929448678118</v>
      </c>
      <c r="AL125" s="2466">
        <f t="shared" ref="AL125:AL137" si="306">SUM(AG125+AK125)</f>
        <v>402.69098000340193</v>
      </c>
      <c r="AM125" s="2483">
        <f>SUM(AH125)</f>
        <v>46.897648289270599</v>
      </c>
      <c r="AN125" s="2483">
        <f>SUM(AH125)</f>
        <v>46.897648289270599</v>
      </c>
      <c r="AO125" s="2483">
        <f>SUM(AH125)</f>
        <v>46.897648289270599</v>
      </c>
      <c r="AP125" s="2466">
        <f t="shared" ref="AP125" si="307">SUM(AM125+AN125+AO125)</f>
        <v>140.6929448678118</v>
      </c>
      <c r="AQ125" s="642">
        <f t="shared" ref="AQ125" si="308">SUM(AO125+AN125+AM125+AJ125+AI125+AH125+AE125+AD125+AC125+AA125+Z125+Y125)</f>
        <v>543.38392487121382</v>
      </c>
    </row>
    <row r="126" spans="1:43" ht="18.75" hidden="1">
      <c r="A126" s="2479" t="s">
        <v>52</v>
      </c>
      <c r="B126" s="381"/>
      <c r="C126" s="381"/>
      <c r="D126" s="381"/>
      <c r="E126" s="381"/>
      <c r="F126" s="381"/>
      <c r="G126" s="381"/>
      <c r="H126" s="381"/>
      <c r="I126" s="381"/>
      <c r="J126" s="381"/>
      <c r="K126" s="381"/>
      <c r="L126" s="381"/>
      <c r="M126" s="381"/>
      <c r="N126" s="381"/>
      <c r="O126" s="381"/>
      <c r="P126" s="381"/>
      <c r="Q126" s="381"/>
      <c r="R126" s="381"/>
      <c r="S126" s="381"/>
      <c r="T126" s="381"/>
      <c r="U126" s="2480">
        <f>SUM(U123*0.5%)</f>
        <v>12.737550981509933</v>
      </c>
      <c r="V126" s="640"/>
      <c r="W126" s="2480">
        <f>SUM(U126*вода!CA56/вода!BY56)</f>
        <v>12.669185757173491</v>
      </c>
      <c r="X126" s="2481">
        <f t="shared" si="301"/>
        <v>6.8365224336442765E-2</v>
      </c>
      <c r="Y126" s="2467">
        <f t="shared" ref="Y126:Y129" si="309">SUM(U126/12)</f>
        <v>1.0614625817924945</v>
      </c>
      <c r="Z126" s="2467">
        <f t="shared" ref="Z126:Z129" si="310">SUM(Y126)</f>
        <v>1.0614625817924945</v>
      </c>
      <c r="AA126" s="2467">
        <f t="shared" ref="AA126:AA129" si="311">SUM(Y126)</f>
        <v>1.0614625817924945</v>
      </c>
      <c r="AB126" s="2466">
        <f t="shared" ref="AB126:AB129" si="312">SUM(Y126+Z126+AA126)</f>
        <v>3.1843877453774834</v>
      </c>
      <c r="AC126" s="2483">
        <f t="shared" ref="AC126:AC129" si="313">SUM(Y126)</f>
        <v>1.0614625817924945</v>
      </c>
      <c r="AD126" s="2483">
        <f t="shared" ref="AD126:AD129" si="314">SUM(Y126)</f>
        <v>1.0614625817924945</v>
      </c>
      <c r="AE126" s="2483">
        <f t="shared" ref="AE126:AE129" si="315">SUM(Y126)</f>
        <v>1.0614625817924945</v>
      </c>
      <c r="AF126" s="2466">
        <f t="shared" ref="AF126:AF129" si="316">SUM(AC126+AD126+AE126)</f>
        <v>3.1843877453774834</v>
      </c>
      <c r="AG126" s="2466">
        <f t="shared" si="304"/>
        <v>6.3687754907549667</v>
      </c>
      <c r="AH126" s="2483">
        <f t="shared" ref="AH126:AH129" si="317">SUM(Y126)</f>
        <v>1.0614625817924945</v>
      </c>
      <c r="AI126" s="2483">
        <f t="shared" ref="AI126:AI129" si="318">SUM(Y126)</f>
        <v>1.0614625817924945</v>
      </c>
      <c r="AJ126" s="2483">
        <f t="shared" ref="AJ126:AJ129" si="319">SUM(Y126)</f>
        <v>1.0614625817924945</v>
      </c>
      <c r="AK126" s="2466">
        <f t="shared" ref="AK126:AK129" si="320">SUM(AH126+AI126+AJ126)</f>
        <v>3.1843877453774834</v>
      </c>
      <c r="AL126" s="2466">
        <f t="shared" si="306"/>
        <v>9.5531632361324501</v>
      </c>
      <c r="AM126" s="2483">
        <f t="shared" ref="AM126:AM129" si="321">SUM(Y126)</f>
        <v>1.0614625817924945</v>
      </c>
      <c r="AN126" s="2483">
        <f t="shared" ref="AN126:AN129" si="322">SUM(Y126)</f>
        <v>1.0614625817924945</v>
      </c>
      <c r="AO126" s="2483">
        <f t="shared" ref="AO126:AO129" si="323">SUM(Y126)</f>
        <v>1.0614625817924945</v>
      </c>
      <c r="AP126" s="2466">
        <f t="shared" ref="AP126:AP129" si="324">SUM(AM126+AN126+AO126)</f>
        <v>3.1843877453774834</v>
      </c>
      <c r="AQ126" s="642">
        <f t="shared" si="98"/>
        <v>12.737550981509932</v>
      </c>
    </row>
    <row r="127" spans="1:43" ht="18.75" hidden="1">
      <c r="A127" s="2479" t="s">
        <v>605</v>
      </c>
      <c r="B127" s="381"/>
      <c r="C127" s="381"/>
      <c r="D127" s="381"/>
      <c r="E127" s="381"/>
      <c r="F127" s="381"/>
      <c r="G127" s="381"/>
      <c r="H127" s="381"/>
      <c r="I127" s="381"/>
      <c r="J127" s="381"/>
      <c r="K127" s="381"/>
      <c r="L127" s="381"/>
      <c r="M127" s="381"/>
      <c r="N127" s="381"/>
      <c r="O127" s="381"/>
      <c r="P127" s="381"/>
      <c r="Q127" s="381"/>
      <c r="R127" s="381"/>
      <c r="S127" s="381"/>
      <c r="T127" s="381"/>
      <c r="U127" s="2480">
        <f>SUM(U123*3.88%)</f>
        <v>98.843395616517086</v>
      </c>
      <c r="V127" s="640"/>
      <c r="W127" s="2480">
        <f>SUM(U127*вода!CA56/вода!BY56)</f>
        <v>98.312881475666288</v>
      </c>
      <c r="X127" s="2481">
        <f t="shared" si="301"/>
        <v>0.53051414085079784</v>
      </c>
      <c r="Y127" s="2467">
        <f t="shared" si="309"/>
        <v>8.2369496347097577</v>
      </c>
      <c r="Z127" s="2467">
        <f t="shared" si="310"/>
        <v>8.2369496347097577</v>
      </c>
      <c r="AA127" s="2467">
        <f t="shared" si="311"/>
        <v>8.2369496347097577</v>
      </c>
      <c r="AB127" s="2466">
        <f t="shared" si="312"/>
        <v>24.710848904129271</v>
      </c>
      <c r="AC127" s="2483">
        <f t="shared" si="313"/>
        <v>8.2369496347097577</v>
      </c>
      <c r="AD127" s="2483">
        <f t="shared" si="314"/>
        <v>8.2369496347097577</v>
      </c>
      <c r="AE127" s="2483">
        <f t="shared" si="315"/>
        <v>8.2369496347097577</v>
      </c>
      <c r="AF127" s="2466">
        <f t="shared" si="316"/>
        <v>24.710848904129271</v>
      </c>
      <c r="AG127" s="2466">
        <f t="shared" si="304"/>
        <v>49.421697808258543</v>
      </c>
      <c r="AH127" s="2483">
        <f t="shared" si="317"/>
        <v>8.2369496347097577</v>
      </c>
      <c r="AI127" s="2483">
        <f t="shared" si="318"/>
        <v>8.2369496347097577</v>
      </c>
      <c r="AJ127" s="2483">
        <f t="shared" si="319"/>
        <v>8.2369496347097577</v>
      </c>
      <c r="AK127" s="2466">
        <f t="shared" si="320"/>
        <v>24.710848904129271</v>
      </c>
      <c r="AL127" s="2466">
        <f t="shared" si="306"/>
        <v>74.132546712387807</v>
      </c>
      <c r="AM127" s="2483">
        <f t="shared" si="321"/>
        <v>8.2369496347097577</v>
      </c>
      <c r="AN127" s="2483">
        <f t="shared" si="322"/>
        <v>8.2369496347097577</v>
      </c>
      <c r="AO127" s="2483">
        <f t="shared" si="323"/>
        <v>8.2369496347097577</v>
      </c>
      <c r="AP127" s="2466">
        <f t="shared" si="324"/>
        <v>24.710848904129271</v>
      </c>
      <c r="AQ127" s="642">
        <f t="shared" si="98"/>
        <v>98.8433956165171</v>
      </c>
    </row>
    <row r="128" spans="1:43" ht="18.75" hidden="1">
      <c r="A128" s="2479" t="s">
        <v>38</v>
      </c>
      <c r="B128" s="381"/>
      <c r="C128" s="381"/>
      <c r="D128" s="381"/>
      <c r="E128" s="381"/>
      <c r="F128" s="381"/>
      <c r="G128" s="381"/>
      <c r="H128" s="381"/>
      <c r="I128" s="381"/>
      <c r="J128" s="381"/>
      <c r="K128" s="381"/>
      <c r="L128" s="381"/>
      <c r="M128" s="381"/>
      <c r="N128" s="381"/>
      <c r="O128" s="381"/>
      <c r="P128" s="381"/>
      <c r="Q128" s="381"/>
      <c r="R128" s="381"/>
      <c r="S128" s="381"/>
      <c r="T128" s="381"/>
      <c r="U128" s="2480">
        <v>0</v>
      </c>
      <c r="V128" s="640"/>
      <c r="W128" s="2480">
        <f>SUM(U128*вода!CA56/вода!BY56)</f>
        <v>0</v>
      </c>
      <c r="X128" s="2481">
        <f t="shared" si="301"/>
        <v>0</v>
      </c>
      <c r="Y128" s="2467">
        <f t="shared" si="309"/>
        <v>0</v>
      </c>
      <c r="Z128" s="2467">
        <f t="shared" si="310"/>
        <v>0</v>
      </c>
      <c r="AA128" s="2467">
        <f t="shared" si="311"/>
        <v>0</v>
      </c>
      <c r="AB128" s="2466">
        <f t="shared" si="312"/>
        <v>0</v>
      </c>
      <c r="AC128" s="2483">
        <f t="shared" si="313"/>
        <v>0</v>
      </c>
      <c r="AD128" s="2483">
        <f t="shared" si="314"/>
        <v>0</v>
      </c>
      <c r="AE128" s="2483">
        <f t="shared" si="315"/>
        <v>0</v>
      </c>
      <c r="AF128" s="2466">
        <f t="shared" si="316"/>
        <v>0</v>
      </c>
      <c r="AG128" s="2466">
        <f t="shared" si="304"/>
        <v>0</v>
      </c>
      <c r="AH128" s="2483">
        <f t="shared" si="317"/>
        <v>0</v>
      </c>
      <c r="AI128" s="2483">
        <f t="shared" si="318"/>
        <v>0</v>
      </c>
      <c r="AJ128" s="2483">
        <f t="shared" si="319"/>
        <v>0</v>
      </c>
      <c r="AK128" s="2466">
        <f t="shared" si="320"/>
        <v>0</v>
      </c>
      <c r="AL128" s="2466">
        <f t="shared" si="306"/>
        <v>0</v>
      </c>
      <c r="AM128" s="2483">
        <f t="shared" si="321"/>
        <v>0</v>
      </c>
      <c r="AN128" s="2483">
        <f t="shared" si="322"/>
        <v>0</v>
      </c>
      <c r="AO128" s="2483">
        <f t="shared" si="323"/>
        <v>0</v>
      </c>
      <c r="AP128" s="2466">
        <f t="shared" si="324"/>
        <v>0</v>
      </c>
      <c r="AQ128" s="642">
        <f t="shared" si="98"/>
        <v>0</v>
      </c>
    </row>
    <row r="129" spans="1:43" ht="18.75" hidden="1">
      <c r="A129" s="2479" t="s">
        <v>32</v>
      </c>
      <c r="B129" s="381"/>
      <c r="C129" s="381"/>
      <c r="D129" s="381"/>
      <c r="E129" s="381"/>
      <c r="F129" s="381"/>
      <c r="G129" s="381"/>
      <c r="H129" s="381"/>
      <c r="I129" s="381"/>
      <c r="J129" s="381"/>
      <c r="K129" s="381"/>
      <c r="L129" s="381"/>
      <c r="M129" s="381"/>
      <c r="N129" s="381"/>
      <c r="O129" s="381"/>
      <c r="P129" s="381"/>
      <c r="Q129" s="381"/>
      <c r="R129" s="381"/>
      <c r="S129" s="381"/>
      <c r="T129" s="381"/>
      <c r="U129" s="2480">
        <f>SUM(U123*0.21%)</f>
        <v>5.3497714122341717</v>
      </c>
      <c r="V129" s="640"/>
      <c r="W129" s="2480">
        <f>SUM(U129*вода!CA56/вода!BY56)</f>
        <v>5.3210580180128657</v>
      </c>
      <c r="X129" s="2481">
        <f t="shared" si="301"/>
        <v>2.8713394221306032E-2</v>
      </c>
      <c r="Y129" s="2467">
        <f t="shared" si="309"/>
        <v>0.44581428435284765</v>
      </c>
      <c r="Z129" s="2467">
        <f t="shared" si="310"/>
        <v>0.44581428435284765</v>
      </c>
      <c r="AA129" s="2467">
        <f t="shared" si="311"/>
        <v>0.44581428435284765</v>
      </c>
      <c r="AB129" s="2466">
        <f t="shared" si="312"/>
        <v>1.3374428530585429</v>
      </c>
      <c r="AC129" s="2467">
        <f t="shared" si="313"/>
        <v>0.44581428435284765</v>
      </c>
      <c r="AD129" s="2467">
        <f t="shared" si="314"/>
        <v>0.44581428435284765</v>
      </c>
      <c r="AE129" s="2467">
        <f t="shared" si="315"/>
        <v>0.44581428435284765</v>
      </c>
      <c r="AF129" s="2466">
        <f t="shared" si="316"/>
        <v>1.3374428530585429</v>
      </c>
      <c r="AG129" s="2466">
        <f t="shared" si="304"/>
        <v>2.6748857061170859</v>
      </c>
      <c r="AH129" s="2483">
        <f t="shared" si="317"/>
        <v>0.44581428435284765</v>
      </c>
      <c r="AI129" s="2483">
        <f t="shared" si="318"/>
        <v>0.44581428435284765</v>
      </c>
      <c r="AJ129" s="2483">
        <f t="shared" si="319"/>
        <v>0.44581428435284765</v>
      </c>
      <c r="AK129" s="2466">
        <f t="shared" si="320"/>
        <v>1.3374428530585429</v>
      </c>
      <c r="AL129" s="2466">
        <f t="shared" si="306"/>
        <v>4.0123285591756286</v>
      </c>
      <c r="AM129" s="2483">
        <f t="shared" si="321"/>
        <v>0.44581428435284765</v>
      </c>
      <c r="AN129" s="2483">
        <f t="shared" si="322"/>
        <v>0.44581428435284765</v>
      </c>
      <c r="AO129" s="2483">
        <f t="shared" si="323"/>
        <v>0.44581428435284765</v>
      </c>
      <c r="AP129" s="2466">
        <f t="shared" si="324"/>
        <v>1.3374428530585429</v>
      </c>
      <c r="AQ129" s="642">
        <f t="shared" ref="AQ129:AQ137" si="325">SUM(AO129+AN129+AM129+AJ129+AI129+AH129+AE129+AD129+AC129+AA129+Z129+Y129)</f>
        <v>5.34977141223417</v>
      </c>
    </row>
    <row r="130" spans="1:43" ht="18.75" hidden="1">
      <c r="A130" s="2479" t="s">
        <v>606</v>
      </c>
      <c r="B130" s="381"/>
      <c r="C130" s="381"/>
      <c r="D130" s="381"/>
      <c r="E130" s="381"/>
      <c r="F130" s="381"/>
      <c r="G130" s="381"/>
      <c r="H130" s="381"/>
      <c r="I130" s="381"/>
      <c r="J130" s="381"/>
      <c r="K130" s="381"/>
      <c r="L130" s="381"/>
      <c r="M130" s="381"/>
      <c r="N130" s="381"/>
      <c r="O130" s="381"/>
      <c r="P130" s="381"/>
      <c r="Q130" s="381"/>
      <c r="R130" s="381"/>
      <c r="S130" s="381"/>
      <c r="T130" s="381"/>
      <c r="U130" s="2480">
        <f>SUM(U131)</f>
        <v>45.345681494175359</v>
      </c>
      <c r="V130" s="640"/>
      <c r="W130" s="2480">
        <f>SUM(U130*вода!CA56/вода!BY56)</f>
        <v>45.102301295537622</v>
      </c>
      <c r="X130" s="2480">
        <f t="shared" ref="X130:AE130" si="326">SUM(X131)</f>
        <v>0.24338019863773752</v>
      </c>
      <c r="Y130" s="2482">
        <f t="shared" si="326"/>
        <v>3.7788067911812799</v>
      </c>
      <c r="Z130" s="2482">
        <f t="shared" si="326"/>
        <v>3.7788067911812799</v>
      </c>
      <c r="AA130" s="2482">
        <f t="shared" si="326"/>
        <v>3.7788067911812799</v>
      </c>
      <c r="AB130" s="2466">
        <f t="shared" ref="AB130:AB137" si="327">SUM(Y130+Z130+AA130)</f>
        <v>11.33642037354384</v>
      </c>
      <c r="AC130" s="2482">
        <f t="shared" si="326"/>
        <v>3.7788067911812799</v>
      </c>
      <c r="AD130" s="2482">
        <f t="shared" si="326"/>
        <v>3.7788067911812799</v>
      </c>
      <c r="AE130" s="2482">
        <f t="shared" si="326"/>
        <v>3.7788067911812799</v>
      </c>
      <c r="AF130" s="2466">
        <f t="shared" ref="AF130:AF137" si="328">SUM(AC130+AD130+AE130)</f>
        <v>11.33642037354384</v>
      </c>
      <c r="AG130" s="2466">
        <f t="shared" si="304"/>
        <v>22.67284074708768</v>
      </c>
      <c r="AH130" s="2482">
        <f t="shared" ref="AH130:AJ130" si="329">SUM(AH131)</f>
        <v>3.7788067911812799</v>
      </c>
      <c r="AI130" s="2482">
        <f t="shared" si="329"/>
        <v>3.7788067911812799</v>
      </c>
      <c r="AJ130" s="2482">
        <f t="shared" si="329"/>
        <v>3.7788067911812799</v>
      </c>
      <c r="AK130" s="2466">
        <f t="shared" ref="AK130:AK137" si="330">SUM(AH130+AI130+AJ130)</f>
        <v>11.33642037354384</v>
      </c>
      <c r="AL130" s="2466">
        <f t="shared" si="306"/>
        <v>34.009261120631521</v>
      </c>
      <c r="AM130" s="2482">
        <f t="shared" ref="AM130:AO130" si="331">SUM(AM131)</f>
        <v>3.7788067911812799</v>
      </c>
      <c r="AN130" s="2482">
        <f t="shared" si="331"/>
        <v>3.7788067911812799</v>
      </c>
      <c r="AO130" s="2482">
        <f t="shared" si="331"/>
        <v>3.7788067911812799</v>
      </c>
      <c r="AP130" s="2466">
        <f t="shared" ref="AP130:AP137" si="332">SUM(AM130+AN130+AO130)</f>
        <v>11.33642037354384</v>
      </c>
      <c r="AQ130" s="642">
        <f t="shared" si="325"/>
        <v>45.345681494175373</v>
      </c>
    </row>
    <row r="131" spans="1:43" ht="18.75" hidden="1">
      <c r="A131" s="2484" t="s">
        <v>564</v>
      </c>
      <c r="B131" s="381"/>
      <c r="C131" s="381"/>
      <c r="D131" s="381"/>
      <c r="E131" s="381"/>
      <c r="F131" s="381"/>
      <c r="G131" s="381"/>
      <c r="H131" s="381"/>
      <c r="I131" s="381"/>
      <c r="J131" s="381"/>
      <c r="K131" s="381"/>
      <c r="L131" s="381"/>
      <c r="M131" s="381"/>
      <c r="N131" s="381"/>
      <c r="O131" s="381"/>
      <c r="P131" s="381"/>
      <c r="Q131" s="381"/>
      <c r="R131" s="381"/>
      <c r="S131" s="381"/>
      <c r="T131" s="381"/>
      <c r="U131" s="2480">
        <f>SUM(U123*1.78%)</f>
        <v>45.345681494175359</v>
      </c>
      <c r="V131" s="640"/>
      <c r="W131" s="2480">
        <f>SUM(U131*вода!CA56/вода!BY56)</f>
        <v>45.102301295537622</v>
      </c>
      <c r="X131" s="2481">
        <f t="shared" ref="X131" si="333">SUM(U131-W131)</f>
        <v>0.24338019863773752</v>
      </c>
      <c r="Y131" s="2467">
        <f t="shared" ref="Y131" si="334">SUM(U131/12)</f>
        <v>3.7788067911812799</v>
      </c>
      <c r="Z131" s="2467">
        <f t="shared" ref="Z131" si="335">SUM(Y131)</f>
        <v>3.7788067911812799</v>
      </c>
      <c r="AA131" s="2467">
        <f t="shared" ref="AA131" si="336">SUM(Y131)</f>
        <v>3.7788067911812799</v>
      </c>
      <c r="AB131" s="2466">
        <f t="shared" si="327"/>
        <v>11.33642037354384</v>
      </c>
      <c r="AC131" s="2467">
        <f t="shared" ref="AC131" si="337">SUM(Y131)</f>
        <v>3.7788067911812799</v>
      </c>
      <c r="AD131" s="2467">
        <f t="shared" ref="AD131" si="338">SUM(Y131)</f>
        <v>3.7788067911812799</v>
      </c>
      <c r="AE131" s="2467">
        <f t="shared" ref="AE131" si="339">SUM(Y131)</f>
        <v>3.7788067911812799</v>
      </c>
      <c r="AF131" s="2466">
        <f t="shared" si="328"/>
        <v>11.33642037354384</v>
      </c>
      <c r="AG131" s="2466">
        <f t="shared" si="304"/>
        <v>22.67284074708768</v>
      </c>
      <c r="AH131" s="2467">
        <f t="shared" ref="AH131" si="340">SUM(Y131)</f>
        <v>3.7788067911812799</v>
      </c>
      <c r="AI131" s="2467">
        <f t="shared" ref="AI131" si="341">SUM(Y131)</f>
        <v>3.7788067911812799</v>
      </c>
      <c r="AJ131" s="2467">
        <f t="shared" ref="AJ131" si="342">SUM(Y131)</f>
        <v>3.7788067911812799</v>
      </c>
      <c r="AK131" s="2466">
        <f t="shared" si="330"/>
        <v>11.33642037354384</v>
      </c>
      <c r="AL131" s="2466">
        <f t="shared" si="306"/>
        <v>34.009261120631521</v>
      </c>
      <c r="AM131" s="2467">
        <f t="shared" ref="AM131" si="343">SUM(Y131)</f>
        <v>3.7788067911812799</v>
      </c>
      <c r="AN131" s="2467">
        <f t="shared" ref="AN131" si="344">SUM(Y131)</f>
        <v>3.7788067911812799</v>
      </c>
      <c r="AO131" s="2467">
        <f t="shared" ref="AO131" si="345">SUM(Y131)</f>
        <v>3.7788067911812799</v>
      </c>
      <c r="AP131" s="2466">
        <f t="shared" si="332"/>
        <v>11.33642037354384</v>
      </c>
      <c r="AQ131" s="642">
        <f t="shared" si="325"/>
        <v>45.345681494175373</v>
      </c>
    </row>
    <row r="132" spans="1:43" ht="18.75" hidden="1">
      <c r="A132" s="2479" t="s">
        <v>609</v>
      </c>
      <c r="B132" s="381"/>
      <c r="C132" s="381"/>
      <c r="D132" s="381"/>
      <c r="E132" s="381"/>
      <c r="F132" s="381"/>
      <c r="G132" s="381"/>
      <c r="H132" s="381"/>
      <c r="I132" s="381"/>
      <c r="J132" s="381"/>
      <c r="K132" s="381"/>
      <c r="L132" s="381"/>
      <c r="M132" s="381"/>
      <c r="N132" s="381"/>
      <c r="O132" s="381"/>
      <c r="P132" s="381"/>
      <c r="Q132" s="381"/>
      <c r="R132" s="381"/>
      <c r="S132" s="381"/>
      <c r="T132" s="381"/>
      <c r="U132" s="2480">
        <f>SUM(U133:U135)</f>
        <v>34.391387650076815</v>
      </c>
      <c r="V132" s="640"/>
      <c r="W132" s="2480">
        <f>SUM(U132*вода!CA56/вода!BY56)</f>
        <v>34.206801544368417</v>
      </c>
      <c r="X132" s="2480">
        <f t="shared" ref="X132:AE132" si="346">SUM(X133:X135)</f>
        <v>0.18458610570839329</v>
      </c>
      <c r="Y132" s="2482">
        <f t="shared" si="346"/>
        <v>2.5322591019267917</v>
      </c>
      <c r="Z132" s="2482">
        <f t="shared" si="346"/>
        <v>2.5322591019267917</v>
      </c>
      <c r="AA132" s="2482">
        <f t="shared" si="346"/>
        <v>2.5322591019267917</v>
      </c>
      <c r="AB132" s="2466">
        <f t="shared" si="327"/>
        <v>7.5967773057803747</v>
      </c>
      <c r="AC132" s="2482">
        <f t="shared" si="346"/>
        <v>2.5616064193881911</v>
      </c>
      <c r="AD132" s="2482">
        <f t="shared" si="346"/>
        <v>3.0474675640269058</v>
      </c>
      <c r="AE132" s="2482">
        <f t="shared" si="346"/>
        <v>3.4713732606915557</v>
      </c>
      <c r="AF132" s="2466">
        <f t="shared" si="328"/>
        <v>9.0804472441066526</v>
      </c>
      <c r="AG132" s="2466">
        <f t="shared" si="304"/>
        <v>16.677224549887029</v>
      </c>
      <c r="AH132" s="2482">
        <f t="shared" ref="AH132:AJ132" si="347">SUM(AH133:AH135)</f>
        <v>3.5985449696909515</v>
      </c>
      <c r="AI132" s="2482">
        <f t="shared" si="347"/>
        <v>3.4713732606915557</v>
      </c>
      <c r="AJ132" s="2482">
        <f t="shared" si="347"/>
        <v>3.0474675640269058</v>
      </c>
      <c r="AK132" s="2466">
        <f t="shared" si="330"/>
        <v>10.117385794409413</v>
      </c>
      <c r="AL132" s="2466">
        <f t="shared" si="306"/>
        <v>26.794610344296444</v>
      </c>
      <c r="AM132" s="2482">
        <f t="shared" ref="AM132:AO132" si="348">SUM(AM133:AM135)</f>
        <v>2.5322591019267917</v>
      </c>
      <c r="AN132" s="2482">
        <f t="shared" si="348"/>
        <v>2.5322591019267917</v>
      </c>
      <c r="AO132" s="2482">
        <f t="shared" si="348"/>
        <v>2.5322591019267917</v>
      </c>
      <c r="AP132" s="2466">
        <f t="shared" si="332"/>
        <v>7.5967773057803747</v>
      </c>
      <c r="AQ132" s="642">
        <f t="shared" si="325"/>
        <v>34.391387650076815</v>
      </c>
    </row>
    <row r="133" spans="1:43" ht="18.75" hidden="1">
      <c r="A133" s="2484" t="s">
        <v>551</v>
      </c>
      <c r="B133" s="381"/>
      <c r="C133" s="381"/>
      <c r="D133" s="381"/>
      <c r="E133" s="381"/>
      <c r="F133" s="381"/>
      <c r="G133" s="381"/>
      <c r="H133" s="381"/>
      <c r="I133" s="381"/>
      <c r="J133" s="381"/>
      <c r="K133" s="381"/>
      <c r="L133" s="381"/>
      <c r="M133" s="381"/>
      <c r="N133" s="381"/>
      <c r="O133" s="381"/>
      <c r="P133" s="381"/>
      <c r="Q133" s="381"/>
      <c r="R133" s="381"/>
      <c r="S133" s="381"/>
      <c r="T133" s="381"/>
      <c r="U133" s="2480">
        <f>SUM(U123*1.28%)</f>
        <v>32.608130512665426</v>
      </c>
      <c r="V133" s="640"/>
      <c r="W133" s="2480">
        <f>SUM(U133*вода!CA56/вода!BY56)</f>
        <v>32.433115538364135</v>
      </c>
      <c r="X133" s="2481">
        <f t="shared" ref="X133:X135" si="349">SUM(U133-W133)</f>
        <v>0.1750149743012912</v>
      </c>
      <c r="Y133" s="2467">
        <f>SUM(U133*7.31%)</f>
        <v>2.3836543404758426</v>
      </c>
      <c r="Z133" s="2467">
        <f>SUM(U133*7.31%)</f>
        <v>2.3836543404758426</v>
      </c>
      <c r="AA133" s="2467">
        <f>SUM(U133*7.31%)</f>
        <v>2.3836543404758426</v>
      </c>
      <c r="AB133" s="2466">
        <f t="shared" ref="AB133:AB135" si="350">SUM(Y133+Z133+AA133)</f>
        <v>7.1509630214275273</v>
      </c>
      <c r="AC133" s="2467">
        <f>SUM(U133*7.4%)</f>
        <v>2.413001657937242</v>
      </c>
      <c r="AD133" s="2467">
        <f>SUM(U133*8.89%)</f>
        <v>2.8988628025759566</v>
      </c>
      <c r="AE133" s="2467">
        <f>SUM(U133*10.19%)</f>
        <v>3.3227684992406066</v>
      </c>
      <c r="AF133" s="2466">
        <f t="shared" ref="AF133:AF135" si="351">SUM(AC133+AD133+AE133)</f>
        <v>8.6346329597538052</v>
      </c>
      <c r="AG133" s="2466">
        <f t="shared" si="304"/>
        <v>15.785595981181332</v>
      </c>
      <c r="AH133" s="2467">
        <f>SUM(U133*10.58%)</f>
        <v>3.4499402082400024</v>
      </c>
      <c r="AI133" s="2467">
        <f>SUM(U133*10.19%)</f>
        <v>3.3227684992406066</v>
      </c>
      <c r="AJ133" s="2467">
        <f>SUM(U133*8.89%)</f>
        <v>2.8988628025759566</v>
      </c>
      <c r="AK133" s="2466">
        <f t="shared" ref="AK133:AK135" si="352">SUM(AH133+AI133+AJ133)</f>
        <v>9.671571510056566</v>
      </c>
      <c r="AL133" s="2466">
        <f t="shared" si="306"/>
        <v>25.457167491237897</v>
      </c>
      <c r="AM133" s="2467">
        <f>SUM(U133*7.31%)</f>
        <v>2.3836543404758426</v>
      </c>
      <c r="AN133" s="2467">
        <f>SUM(U133*7.31%)</f>
        <v>2.3836543404758426</v>
      </c>
      <c r="AO133" s="2467">
        <f>SUM(U133*7.31%)</f>
        <v>2.3836543404758426</v>
      </c>
      <c r="AP133" s="2466">
        <f t="shared" ref="AP133:AP135" si="353">SUM(AM133+AN133+AO133)</f>
        <v>7.1509630214275273</v>
      </c>
      <c r="AQ133" s="642">
        <f t="shared" si="325"/>
        <v>32.608130512665426</v>
      </c>
    </row>
    <row r="134" spans="1:43" ht="18.75" hidden="1">
      <c r="A134" s="2484" t="s">
        <v>643</v>
      </c>
      <c r="B134" s="381"/>
      <c r="C134" s="381"/>
      <c r="D134" s="381"/>
      <c r="E134" s="381"/>
      <c r="F134" s="381"/>
      <c r="G134" s="381"/>
      <c r="H134" s="381"/>
      <c r="I134" s="381"/>
      <c r="J134" s="381"/>
      <c r="K134" s="381"/>
      <c r="L134" s="381"/>
      <c r="M134" s="381"/>
      <c r="N134" s="381"/>
      <c r="O134" s="381"/>
      <c r="P134" s="381"/>
      <c r="Q134" s="381"/>
      <c r="R134" s="381"/>
      <c r="S134" s="381"/>
      <c r="T134" s="381"/>
      <c r="U134" s="2480">
        <f>SUM(U123*0.07%)</f>
        <v>1.7832571374113908</v>
      </c>
      <c r="V134" s="640"/>
      <c r="W134" s="2480">
        <f>SUM(U134*вода!CA56/вода!BY56)</f>
        <v>1.7736860060042887</v>
      </c>
      <c r="X134" s="2481">
        <f t="shared" si="349"/>
        <v>9.5711314071020848E-3</v>
      </c>
      <c r="Y134" s="2467">
        <f t="shared" ref="Y134:Y135" si="354">SUM(U134/12)</f>
        <v>0.14860476145094922</v>
      </c>
      <c r="Z134" s="2467">
        <f t="shared" ref="Z134:Z135" si="355">SUM(Y134)</f>
        <v>0.14860476145094922</v>
      </c>
      <c r="AA134" s="2467">
        <f t="shared" ref="AA134:AA135" si="356">SUM(Y134)</f>
        <v>0.14860476145094922</v>
      </c>
      <c r="AB134" s="2466">
        <f t="shared" si="350"/>
        <v>0.44581428435284765</v>
      </c>
      <c r="AC134" s="2483">
        <f t="shared" ref="AC134:AC135" si="357">SUM(Y134)</f>
        <v>0.14860476145094922</v>
      </c>
      <c r="AD134" s="2483">
        <f t="shared" ref="AD134:AD135" si="358">SUM(Y134)</f>
        <v>0.14860476145094922</v>
      </c>
      <c r="AE134" s="2483">
        <f t="shared" ref="AE134:AE135" si="359">SUM(Y134)</f>
        <v>0.14860476145094922</v>
      </c>
      <c r="AF134" s="2466">
        <f t="shared" si="351"/>
        <v>0.44581428435284765</v>
      </c>
      <c r="AG134" s="2466">
        <f t="shared" si="304"/>
        <v>0.89162856870569529</v>
      </c>
      <c r="AH134" s="2483">
        <f t="shared" ref="AH134:AH135" si="360">SUM(Y134)</f>
        <v>0.14860476145094922</v>
      </c>
      <c r="AI134" s="2483">
        <f t="shared" ref="AI134:AI135" si="361">SUM(Y134)</f>
        <v>0.14860476145094922</v>
      </c>
      <c r="AJ134" s="2483">
        <f t="shared" ref="AJ134:AJ135" si="362">SUM(Y134)</f>
        <v>0.14860476145094922</v>
      </c>
      <c r="AK134" s="2466">
        <f t="shared" si="352"/>
        <v>0.44581428435284765</v>
      </c>
      <c r="AL134" s="2466">
        <f t="shared" si="306"/>
        <v>1.3374428530585429</v>
      </c>
      <c r="AM134" s="2483">
        <f t="shared" ref="AM134:AM135" si="363">SUM(Y134)</f>
        <v>0.14860476145094922</v>
      </c>
      <c r="AN134" s="2483">
        <f t="shared" ref="AN134:AN135" si="364">SUM(Y134)</f>
        <v>0.14860476145094922</v>
      </c>
      <c r="AO134" s="2483">
        <f t="shared" ref="AO134:AO135" si="365">SUM(Y134)</f>
        <v>0.14860476145094922</v>
      </c>
      <c r="AP134" s="2466">
        <f t="shared" si="353"/>
        <v>0.44581428435284765</v>
      </c>
      <c r="AQ134" s="642">
        <f t="shared" si="325"/>
        <v>1.7832571374113904</v>
      </c>
    </row>
    <row r="135" spans="1:43" ht="18.75" hidden="1">
      <c r="A135" s="2491" t="s">
        <v>613</v>
      </c>
      <c r="B135" s="381"/>
      <c r="C135" s="381"/>
      <c r="D135" s="381"/>
      <c r="E135" s="381"/>
      <c r="F135" s="381"/>
      <c r="G135" s="381"/>
      <c r="H135" s="381"/>
      <c r="I135" s="381"/>
      <c r="J135" s="381"/>
      <c r="K135" s="381"/>
      <c r="L135" s="381"/>
      <c r="M135" s="381"/>
      <c r="N135" s="381"/>
      <c r="O135" s="381"/>
      <c r="P135" s="381"/>
      <c r="Q135" s="381"/>
      <c r="R135" s="381"/>
      <c r="S135" s="381"/>
      <c r="T135" s="381"/>
      <c r="U135" s="2492">
        <v>0</v>
      </c>
      <c r="V135" s="640"/>
      <c r="W135" s="2480">
        <f>SUM(U135*вода!CA56/вода!BY56)</f>
        <v>0</v>
      </c>
      <c r="X135" s="2493">
        <f t="shared" si="349"/>
        <v>0</v>
      </c>
      <c r="Y135" s="2494">
        <f t="shared" si="354"/>
        <v>0</v>
      </c>
      <c r="Z135" s="2494">
        <f t="shared" si="355"/>
        <v>0</v>
      </c>
      <c r="AA135" s="2494">
        <f t="shared" si="356"/>
        <v>0</v>
      </c>
      <c r="AB135" s="2468">
        <f t="shared" si="350"/>
        <v>0</v>
      </c>
      <c r="AC135" s="2495">
        <f t="shared" si="357"/>
        <v>0</v>
      </c>
      <c r="AD135" s="2495">
        <f t="shared" si="358"/>
        <v>0</v>
      </c>
      <c r="AE135" s="2495">
        <f t="shared" si="359"/>
        <v>0</v>
      </c>
      <c r="AF135" s="2468">
        <f t="shared" si="351"/>
        <v>0</v>
      </c>
      <c r="AG135" s="2468">
        <f t="shared" si="304"/>
        <v>0</v>
      </c>
      <c r="AH135" s="2495">
        <f t="shared" si="360"/>
        <v>0</v>
      </c>
      <c r="AI135" s="2495">
        <f t="shared" si="361"/>
        <v>0</v>
      </c>
      <c r="AJ135" s="2495">
        <f t="shared" si="362"/>
        <v>0</v>
      </c>
      <c r="AK135" s="2468">
        <f t="shared" si="352"/>
        <v>0</v>
      </c>
      <c r="AL135" s="2468">
        <f t="shared" si="306"/>
        <v>0</v>
      </c>
      <c r="AM135" s="2495">
        <f t="shared" si="363"/>
        <v>0</v>
      </c>
      <c r="AN135" s="2495">
        <f t="shared" si="364"/>
        <v>0</v>
      </c>
      <c r="AO135" s="2495">
        <f t="shared" si="365"/>
        <v>0</v>
      </c>
      <c r="AP135" s="2468">
        <f t="shared" si="353"/>
        <v>0</v>
      </c>
      <c r="AQ135" s="642">
        <f t="shared" si="325"/>
        <v>0</v>
      </c>
    </row>
    <row r="136" spans="1:43" ht="19.5" hidden="1">
      <c r="A136" s="2496" t="s">
        <v>54</v>
      </c>
      <c r="B136" s="2497"/>
      <c r="C136" s="2497"/>
      <c r="D136" s="2497"/>
      <c r="E136" s="2497"/>
      <c r="F136" s="2497"/>
      <c r="G136" s="2497"/>
      <c r="H136" s="2497"/>
      <c r="I136" s="2497"/>
      <c r="J136" s="2497"/>
      <c r="K136" s="2497"/>
      <c r="L136" s="2497"/>
      <c r="M136" s="2497"/>
      <c r="N136" s="2497"/>
      <c r="O136" s="2497"/>
      <c r="P136" s="2497"/>
      <c r="Q136" s="2497"/>
      <c r="R136" s="2497"/>
      <c r="S136" s="2497"/>
      <c r="T136" s="2497"/>
      <c r="U136" s="2475">
        <f>SUM(U63+U79+U106+U123)</f>
        <v>19752.050813946229</v>
      </c>
      <c r="V136" s="2498"/>
      <c r="W136" s="2475">
        <f>SUM(W63+W79+W106+W123)</f>
        <v>19704.682372792351</v>
      </c>
      <c r="X136" s="2475">
        <f>SUM(X63+X79+X106+X123)</f>
        <v>47.368441153876802</v>
      </c>
      <c r="Y136" s="2477">
        <f>SUM(Y63+Y79+Y106+Y123)</f>
        <v>1973.2587426139346</v>
      </c>
      <c r="Z136" s="2477">
        <f t="shared" ref="Z136:AA136" si="366">SUM(Z63+Z79+Z106+Z123)</f>
        <v>1871.538681414467</v>
      </c>
      <c r="AA136" s="2477">
        <f t="shared" si="366"/>
        <v>1827.486221641622</v>
      </c>
      <c r="AB136" s="2478">
        <f t="shared" si="327"/>
        <v>5672.2836456700234</v>
      </c>
      <c r="AC136" s="2477">
        <f>SUM(AC63+AC79+AC106+AC123)</f>
        <v>1674.0970096883366</v>
      </c>
      <c r="AD136" s="2477">
        <f t="shared" ref="AD136:AE136" si="367">SUM(AD63+AD79+AD106+AD123)</f>
        <v>1367.9191914072683</v>
      </c>
      <c r="AE136" s="2477">
        <f t="shared" si="367"/>
        <v>1276.4079949706156</v>
      </c>
      <c r="AF136" s="2478">
        <f t="shared" si="328"/>
        <v>4318.4241960662202</v>
      </c>
      <c r="AG136" s="2478">
        <f t="shared" si="304"/>
        <v>9990.7078417362427</v>
      </c>
      <c r="AH136" s="2477">
        <f>SUM(AH63+AH79+AH106+AH123)</f>
        <v>1328.371250865609</v>
      </c>
      <c r="AI136" s="2477">
        <f t="shared" ref="AI136:AJ136" si="368">SUM(AI63+AI79+AI106+AI123)</f>
        <v>1327.1029569263953</v>
      </c>
      <c r="AJ136" s="2477">
        <f t="shared" si="368"/>
        <v>1498.3170352037823</v>
      </c>
      <c r="AK136" s="2478">
        <f t="shared" si="330"/>
        <v>4153.7912429957869</v>
      </c>
      <c r="AL136" s="2478">
        <f t="shared" si="306"/>
        <v>14144.49908473203</v>
      </c>
      <c r="AM136" s="2477">
        <f>SUM(AM63+AM79+AM106+AM123)</f>
        <v>1748.9955253704666</v>
      </c>
      <c r="AN136" s="2477">
        <f t="shared" ref="AN136:AO136" si="369">SUM(AN63+AN79+AN106+AN123)</f>
        <v>1860.0226770437823</v>
      </c>
      <c r="AO136" s="2477">
        <f t="shared" si="369"/>
        <v>1998.5335267999437</v>
      </c>
      <c r="AP136" s="2478">
        <f t="shared" si="332"/>
        <v>5607.5517292141922</v>
      </c>
      <c r="AQ136" s="642">
        <f t="shared" si="325"/>
        <v>19752.050813946225</v>
      </c>
    </row>
    <row r="137" spans="1:43" ht="19.5" hidden="1">
      <c r="A137" s="2496" t="s">
        <v>610</v>
      </c>
      <c r="B137" s="2496" t="s">
        <v>54</v>
      </c>
      <c r="C137" s="2496" t="s">
        <v>54</v>
      </c>
      <c r="D137" s="2496" t="s">
        <v>54</v>
      </c>
      <c r="E137" s="2496" t="s">
        <v>54</v>
      </c>
      <c r="F137" s="2496" t="s">
        <v>54</v>
      </c>
      <c r="G137" s="2496" t="s">
        <v>54</v>
      </c>
      <c r="H137" s="2496" t="s">
        <v>54</v>
      </c>
      <c r="I137" s="2496" t="s">
        <v>54</v>
      </c>
      <c r="J137" s="2496" t="s">
        <v>54</v>
      </c>
      <c r="K137" s="2496" t="s">
        <v>54</v>
      </c>
      <c r="L137" s="2496" t="s">
        <v>54</v>
      </c>
      <c r="M137" s="2496" t="s">
        <v>54</v>
      </c>
      <c r="N137" s="2496" t="s">
        <v>54</v>
      </c>
      <c r="O137" s="2496" t="s">
        <v>54</v>
      </c>
      <c r="P137" s="2496" t="s">
        <v>54</v>
      </c>
      <c r="Q137" s="2496" t="s">
        <v>54</v>
      </c>
      <c r="R137" s="2496" t="s">
        <v>54</v>
      </c>
      <c r="S137" s="2496" t="s">
        <v>54</v>
      </c>
      <c r="T137" s="2496" t="s">
        <v>54</v>
      </c>
      <c r="U137" s="2499">
        <f>SUM(U136-U91-U92)</f>
        <v>19752.050813946229</v>
      </c>
      <c r="V137" s="2498"/>
      <c r="W137" s="2499">
        <f>SUM(W136-W91-W92)</f>
        <v>19704.682372792351</v>
      </c>
      <c r="X137" s="2499">
        <f>SUM(X136-X91-X92)</f>
        <v>47.368441153876802</v>
      </c>
      <c r="Y137" s="2500">
        <f>SUM(Y136-Y91-Y92)</f>
        <v>1973.2587426139346</v>
      </c>
      <c r="Z137" s="2500">
        <f t="shared" ref="Z137:AA137" si="370">SUM(Z136-Z91-Z92)</f>
        <v>1871.538681414467</v>
      </c>
      <c r="AA137" s="2500">
        <f t="shared" si="370"/>
        <v>1827.486221641622</v>
      </c>
      <c r="AB137" s="2478">
        <f t="shared" si="327"/>
        <v>5672.2836456700234</v>
      </c>
      <c r="AC137" s="2500">
        <f>SUM(AC136-AC91-AC92)</f>
        <v>1674.0970096883366</v>
      </c>
      <c r="AD137" s="2500">
        <f t="shared" ref="AD137:AE137" si="371">SUM(AD136-AD91-AD92)</f>
        <v>1367.9191914072683</v>
      </c>
      <c r="AE137" s="2500">
        <f t="shared" si="371"/>
        <v>1276.4079949706156</v>
      </c>
      <c r="AF137" s="2478">
        <f t="shared" si="328"/>
        <v>4318.4241960662202</v>
      </c>
      <c r="AG137" s="2478">
        <f t="shared" si="304"/>
        <v>9990.7078417362427</v>
      </c>
      <c r="AH137" s="2500">
        <f>SUM(AH136-AH91-AH92)</f>
        <v>1328.371250865609</v>
      </c>
      <c r="AI137" s="2500">
        <f t="shared" ref="AI137:AJ137" si="372">SUM(AI136-AI91-AI92)</f>
        <v>1327.1029569263953</v>
      </c>
      <c r="AJ137" s="2500">
        <f t="shared" si="372"/>
        <v>1498.3170352037823</v>
      </c>
      <c r="AK137" s="2478">
        <f t="shared" si="330"/>
        <v>4153.7912429957869</v>
      </c>
      <c r="AL137" s="2478">
        <f t="shared" si="306"/>
        <v>14144.49908473203</v>
      </c>
      <c r="AM137" s="2500">
        <f>SUM(AM136-AM91-AM92)</f>
        <v>1748.9955253704666</v>
      </c>
      <c r="AN137" s="2500">
        <f t="shared" ref="AN137:AO137" si="373">SUM(AN136-AN91-AN92)</f>
        <v>1860.0226770437823</v>
      </c>
      <c r="AO137" s="2500">
        <f t="shared" si="373"/>
        <v>1998.5335267999437</v>
      </c>
      <c r="AP137" s="2478">
        <f t="shared" si="332"/>
        <v>5607.5517292141922</v>
      </c>
      <c r="AQ137" s="642">
        <f t="shared" si="325"/>
        <v>19752.050813946225</v>
      </c>
    </row>
    <row r="138" spans="1:43" hidden="1"/>
    <row r="139" spans="1:43" hidden="1"/>
    <row r="140" spans="1:43" hidden="1"/>
    <row r="141" spans="1:43" hidden="1"/>
    <row r="142" spans="1:43" hidden="1"/>
    <row r="143" spans="1:43" hidden="1"/>
    <row r="144" spans="1:43" hidden="1">
      <c r="U144" s="381">
        <v>1</v>
      </c>
      <c r="W144" s="381">
        <v>2</v>
      </c>
      <c r="X144" s="381">
        <v>3</v>
      </c>
      <c r="Y144" s="381">
        <v>4</v>
      </c>
      <c r="Z144" s="381">
        <v>5</v>
      </c>
      <c r="AA144" s="381">
        <v>6</v>
      </c>
      <c r="AB144" s="381">
        <v>7</v>
      </c>
      <c r="AC144" s="381">
        <v>8</v>
      </c>
      <c r="AD144" s="381">
        <v>9</v>
      </c>
      <c r="AE144" s="381">
        <v>10</v>
      </c>
      <c r="AF144" s="381">
        <v>11</v>
      </c>
      <c r="AG144" s="381">
        <v>12</v>
      </c>
      <c r="AH144" t="s">
        <v>301</v>
      </c>
      <c r="AI144"/>
    </row>
    <row r="145" spans="1:35" hidden="1">
      <c r="A145" t="s">
        <v>37</v>
      </c>
      <c r="U145" s="2508">
        <v>3800</v>
      </c>
      <c r="W145" s="2508">
        <f>SUM(U145)</f>
        <v>3800</v>
      </c>
      <c r="X145" s="2508">
        <f>SUM(U145)</f>
        <v>3800</v>
      </c>
      <c r="Y145" s="2508">
        <v>3850</v>
      </c>
      <c r="Z145" s="2508">
        <v>4625</v>
      </c>
      <c r="AA145" s="2508">
        <v>5300</v>
      </c>
      <c r="AB145" s="127">
        <v>5500</v>
      </c>
      <c r="AC145" s="127">
        <v>5300</v>
      </c>
      <c r="AD145" s="127">
        <v>4625</v>
      </c>
      <c r="AE145" s="127">
        <f>SUM(U145)</f>
        <v>3800</v>
      </c>
      <c r="AF145" s="127">
        <f>SUM(U145)</f>
        <v>3800</v>
      </c>
      <c r="AG145" s="127">
        <f>SUM(U145)</f>
        <v>3800</v>
      </c>
      <c r="AH145">
        <v>52000</v>
      </c>
      <c r="AI145" s="127">
        <f>SUM(U145:AG145)</f>
        <v>52000</v>
      </c>
    </row>
    <row r="146" spans="1:35" hidden="1">
      <c r="U146" s="2508">
        <f>SUM(U145/AH145*100)</f>
        <v>7.3076923076923084</v>
      </c>
      <c r="W146" s="2508">
        <f>SUM(W145/AH145*100)</f>
        <v>7.3076923076923084</v>
      </c>
      <c r="X146" s="2508">
        <f>SUM(X145/AH145*100)</f>
        <v>7.3076923076923084</v>
      </c>
      <c r="Y146" s="2508">
        <f>SUM(Y145/AH145*100)</f>
        <v>7.4038461538461542</v>
      </c>
      <c r="Z146" s="2508">
        <f>SUM(Z145/AH145*100)</f>
        <v>8.8942307692307701</v>
      </c>
      <c r="AA146" s="2508">
        <f>SUM(AA145/AH145*100)</f>
        <v>10.192307692307692</v>
      </c>
      <c r="AB146" s="2508">
        <f>SUM(AB145/AH145*100)</f>
        <v>10.576923076923077</v>
      </c>
      <c r="AC146" s="2508">
        <f>SUM(AC145/AH145*100)</f>
        <v>10.192307692307692</v>
      </c>
      <c r="AD146" s="2508">
        <f>SUM(AD145/AH145*100)</f>
        <v>8.8942307692307701</v>
      </c>
      <c r="AE146" s="2508">
        <f>SUM(AE145/AH145*100)</f>
        <v>7.3076923076923084</v>
      </c>
      <c r="AF146" s="2508">
        <f>SUM(AF145/AH145*100)</f>
        <v>7.3076923076923084</v>
      </c>
      <c r="AG146" s="2508">
        <f>SUM(AG145/AH145*100)</f>
        <v>7.3076923076923084</v>
      </c>
      <c r="AH146" s="127">
        <f>SUM(U146:AG146)</f>
        <v>100.00000000000001</v>
      </c>
      <c r="AI146"/>
    </row>
  </sheetData>
  <mergeCells count="185">
    <mergeCell ref="AV4:AX4"/>
    <mergeCell ref="AV5:AV7"/>
    <mergeCell ref="AW5:AW7"/>
    <mergeCell ref="AX5:AX7"/>
    <mergeCell ref="AP61:AP62"/>
    <mergeCell ref="AQ61:AQ62"/>
    <mergeCell ref="AK61:AK62"/>
    <mergeCell ref="AL61:AL62"/>
    <mergeCell ref="AM61:AM62"/>
    <mergeCell ref="AN61:AN62"/>
    <mergeCell ref="AO61:AO62"/>
    <mergeCell ref="A59:AP59"/>
    <mergeCell ref="A61:A62"/>
    <mergeCell ref="U61:U62"/>
    <mergeCell ref="W61:X61"/>
    <mergeCell ref="Y61:Y62"/>
    <mergeCell ref="Z61:Z62"/>
    <mergeCell ref="AA61:AA62"/>
    <mergeCell ref="AB61:AB62"/>
    <mergeCell ref="AC61:AC62"/>
    <mergeCell ref="AD61:AD62"/>
    <mergeCell ref="AE61:AE62"/>
    <mergeCell ref="AF61:AF62"/>
    <mergeCell ref="AG61:AG62"/>
    <mergeCell ref="AH61:AH62"/>
    <mergeCell ref="AI61:AI62"/>
    <mergeCell ref="AJ61:AJ62"/>
    <mergeCell ref="AI28:AK28"/>
    <mergeCell ref="AI29:AK29"/>
    <mergeCell ref="AI48:AK48"/>
    <mergeCell ref="AI49:AK49"/>
    <mergeCell ref="AI38:AK38"/>
    <mergeCell ref="AI39:AK39"/>
    <mergeCell ref="AI40:AK40"/>
    <mergeCell ref="AI41:AK41"/>
    <mergeCell ref="AI32:AK32"/>
    <mergeCell ref="AI33:AK33"/>
    <mergeCell ref="AI30:AK30"/>
    <mergeCell ref="AI31:AK31"/>
    <mergeCell ref="AI34:AK34"/>
    <mergeCell ref="AI35:AK35"/>
    <mergeCell ref="AI36:AK36"/>
    <mergeCell ref="AI42:AK42"/>
    <mergeCell ref="D5:D7"/>
    <mergeCell ref="Q5:Q7"/>
    <mergeCell ref="AI23:AK23"/>
    <mergeCell ref="AI24:AK24"/>
    <mergeCell ref="AI25:AK25"/>
    <mergeCell ref="AI26:AK26"/>
    <mergeCell ref="AI27:AK27"/>
    <mergeCell ref="A53:C53"/>
    <mergeCell ref="A54:C54"/>
    <mergeCell ref="AI37:AK37"/>
    <mergeCell ref="AI43:AK43"/>
    <mergeCell ref="AI44:AK44"/>
    <mergeCell ref="AI51:AK51"/>
    <mergeCell ref="AI52:AK52"/>
    <mergeCell ref="AI53:AK53"/>
    <mergeCell ref="AI54:AK54"/>
    <mergeCell ref="AI50:AK50"/>
    <mergeCell ref="AI45:AK45"/>
    <mergeCell ref="AI46:AK46"/>
    <mergeCell ref="AI47:AK47"/>
    <mergeCell ref="A48:C48"/>
    <mergeCell ref="A51:C51"/>
    <mergeCell ref="A52:C52"/>
    <mergeCell ref="A47:C47"/>
    <mergeCell ref="F5:F7"/>
    <mergeCell ref="U4:Z4"/>
    <mergeCell ref="A49:C49"/>
    <mergeCell ref="E5:E7"/>
    <mergeCell ref="B4:B7"/>
    <mergeCell ref="C4:D4"/>
    <mergeCell ref="C5:C7"/>
    <mergeCell ref="E4:F4"/>
    <mergeCell ref="A50:C50"/>
    <mergeCell ref="A4:A7"/>
    <mergeCell ref="N4:T4"/>
    <mergeCell ref="T5:T7"/>
    <mergeCell ref="I4:M4"/>
    <mergeCell ref="M5:M7"/>
    <mergeCell ref="H5:H7"/>
    <mergeCell ref="K5:K7"/>
    <mergeCell ref="L5:L7"/>
    <mergeCell ref="G4:H4"/>
    <mergeCell ref="I5:I7"/>
    <mergeCell ref="J5:J7"/>
    <mergeCell ref="P5:P7"/>
    <mergeCell ref="R5:R7"/>
    <mergeCell ref="N5:N7"/>
    <mergeCell ref="O5:O7"/>
    <mergeCell ref="Z5:Z7"/>
    <mergeCell ref="AD5:AD7"/>
    <mergeCell ref="AE5:AE7"/>
    <mergeCell ref="AF5:AF7"/>
    <mergeCell ref="AG5:AG7"/>
    <mergeCell ref="AH5:AH7"/>
    <mergeCell ref="AA5:AA7"/>
    <mergeCell ref="G5:G7"/>
    <mergeCell ref="U5:U7"/>
    <mergeCell ref="V5:V7"/>
    <mergeCell ref="S5:S7"/>
    <mergeCell ref="W5:W7"/>
    <mergeCell ref="X5:X7"/>
    <mergeCell ref="Y5:Y7"/>
    <mergeCell ref="AI22:AK22"/>
    <mergeCell ref="AB5:AB7"/>
    <mergeCell ref="AC5:AC7"/>
    <mergeCell ref="AI14:AK14"/>
    <mergeCell ref="AI15:AK15"/>
    <mergeCell ref="AI16:AK16"/>
    <mergeCell ref="AI17:AK17"/>
    <mergeCell ref="AI18:AK18"/>
    <mergeCell ref="AI4:AK7"/>
    <mergeCell ref="AI8:AK8"/>
    <mergeCell ref="AI11:AK11"/>
    <mergeCell ref="AI12:AK12"/>
    <mergeCell ref="AI13:AK13"/>
    <mergeCell ref="AI9:AK9"/>
    <mergeCell ref="AI10:AK10"/>
    <mergeCell ref="AI19:AK19"/>
    <mergeCell ref="AI20:AK20"/>
    <mergeCell ref="AA4:AE4"/>
    <mergeCell ref="AF4:AH4"/>
    <mergeCell ref="AP4:AR4"/>
    <mergeCell ref="AS4:AU7"/>
    <mergeCell ref="AP5:AP7"/>
    <mergeCell ref="AQ5:AQ7"/>
    <mergeCell ref="AR5:AR7"/>
    <mergeCell ref="AS8:AU8"/>
    <mergeCell ref="AM4:AO7"/>
    <mergeCell ref="AL4:AL7"/>
    <mergeCell ref="AI21:AK21"/>
    <mergeCell ref="AS9:AU9"/>
    <mergeCell ref="AS10:AU10"/>
    <mergeCell ref="AS11:AU11"/>
    <mergeCell ref="AS12:AU12"/>
    <mergeCell ref="AS13:AU13"/>
    <mergeCell ref="AS14:AU14"/>
    <mergeCell ref="AS15:AU15"/>
    <mergeCell ref="AS16:AU16"/>
    <mergeCell ref="AS17:AU17"/>
    <mergeCell ref="AS18:AU18"/>
    <mergeCell ref="AS19:AU19"/>
    <mergeCell ref="AS20:AU20"/>
    <mergeCell ref="AS21:AU21"/>
    <mergeCell ref="AS22:AU22"/>
    <mergeCell ref="AS23:AU23"/>
    <mergeCell ref="AS24:AU24"/>
    <mergeCell ref="AS25:AU25"/>
    <mergeCell ref="AS26:AU26"/>
    <mergeCell ref="AS44:AU44"/>
    <mergeCell ref="AS27:AU27"/>
    <mergeCell ref="AS28:AU28"/>
    <mergeCell ref="AS29:AU29"/>
    <mergeCell ref="AS30:AU30"/>
    <mergeCell ref="AS31:AU31"/>
    <mergeCell ref="AS32:AU32"/>
    <mergeCell ref="AS33:AU33"/>
    <mergeCell ref="AS34:AU34"/>
    <mergeCell ref="AS35:AU35"/>
    <mergeCell ref="AY4:BA4"/>
    <mergeCell ref="AY5:AY7"/>
    <mergeCell ref="AZ5:AZ7"/>
    <mergeCell ref="BA5:BA7"/>
    <mergeCell ref="A1:BA1"/>
    <mergeCell ref="A2:BA2"/>
    <mergeCell ref="AS54:AU54"/>
    <mergeCell ref="AS45:AU45"/>
    <mergeCell ref="AS46:AU46"/>
    <mergeCell ref="AS47:AU47"/>
    <mergeCell ref="AS48:AU48"/>
    <mergeCell ref="AS49:AU49"/>
    <mergeCell ref="AS50:AU50"/>
    <mergeCell ref="AS51:AU51"/>
    <mergeCell ref="AS52:AU52"/>
    <mergeCell ref="AS53:AU53"/>
    <mergeCell ref="AS36:AU36"/>
    <mergeCell ref="AS37:AU37"/>
    <mergeCell ref="AS38:AU38"/>
    <mergeCell ref="AS39:AU39"/>
    <mergeCell ref="AS40:AU40"/>
    <mergeCell ref="AS41:AU41"/>
    <mergeCell ref="AS42:AU42"/>
    <mergeCell ref="AS43:AU43"/>
  </mergeCells>
  <phoneticPr fontId="9" type="noConversion"/>
  <printOptions horizontalCentered="1" verticalCentered="1"/>
  <pageMargins left="0.35433070866141736" right="0.35433070866141736" top="0.39370078740157483" bottom="0.39370078740157483" header="0" footer="0"/>
  <pageSetup paperSize="9" scale="21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>
  <sheetPr>
    <tabColor rgb="FF7030A0"/>
    <pageSetUpPr fitToPage="1"/>
  </sheetPr>
  <dimension ref="A1:W88"/>
  <sheetViews>
    <sheetView zoomScale="60" zoomScaleNormal="60" workbookViewId="0">
      <selection activeCell="B22" sqref="B22"/>
    </sheetView>
  </sheetViews>
  <sheetFormatPr defaultRowHeight="12.75"/>
  <cols>
    <col min="1" max="1" width="48.140625" customWidth="1"/>
    <col min="2" max="23" width="12.7109375" customWidth="1"/>
  </cols>
  <sheetData>
    <row r="1" spans="1:23" ht="20.25">
      <c r="A1" s="5726" t="s">
        <v>1966</v>
      </c>
      <c r="B1" s="6080"/>
      <c r="C1" s="6080"/>
      <c r="D1" s="6080"/>
      <c r="E1" s="6080"/>
      <c r="F1" s="6080"/>
      <c r="G1" s="6080"/>
      <c r="H1" s="6080"/>
      <c r="I1" s="6080"/>
      <c r="J1" s="6080"/>
      <c r="K1" s="6080"/>
      <c r="L1" s="6080"/>
      <c r="M1" s="6080"/>
      <c r="N1" s="6080"/>
      <c r="O1" s="6080"/>
      <c r="P1" s="6080"/>
      <c r="Q1" s="6080"/>
      <c r="R1" s="6080"/>
      <c r="S1" s="6080"/>
      <c r="T1" s="6080"/>
      <c r="U1" s="6080"/>
      <c r="V1" s="6080"/>
    </row>
    <row r="2" spans="1:23">
      <c r="A2" s="657"/>
      <c r="B2" s="4593"/>
      <c r="C2" s="381"/>
      <c r="D2" s="381"/>
      <c r="E2" s="381"/>
      <c r="F2" s="381"/>
      <c r="G2" s="381"/>
      <c r="H2" s="657"/>
      <c r="I2" s="657"/>
      <c r="J2" s="657"/>
      <c r="K2" s="657"/>
      <c r="L2" s="657"/>
      <c r="M2" s="657"/>
      <c r="N2" s="657"/>
      <c r="O2" s="657"/>
      <c r="P2" s="657"/>
      <c r="Q2" s="657"/>
      <c r="R2" s="657"/>
      <c r="S2" s="657"/>
      <c r="T2" s="657"/>
      <c r="U2" s="657"/>
      <c r="V2" s="657"/>
    </row>
    <row r="3" spans="1:23" ht="18.75">
      <c r="A3" s="6081" t="s">
        <v>545</v>
      </c>
      <c r="B3" s="6083" t="s">
        <v>1965</v>
      </c>
      <c r="C3" s="6083" t="s">
        <v>575</v>
      </c>
      <c r="D3" s="6083"/>
      <c r="E3" s="6060" t="s">
        <v>586</v>
      </c>
      <c r="F3" s="6060" t="s">
        <v>587</v>
      </c>
      <c r="G3" s="6060" t="s">
        <v>588</v>
      </c>
      <c r="H3" s="6077" t="s">
        <v>600</v>
      </c>
      <c r="I3" s="6060" t="s">
        <v>589</v>
      </c>
      <c r="J3" s="6060" t="s">
        <v>590</v>
      </c>
      <c r="K3" s="6060" t="s">
        <v>591</v>
      </c>
      <c r="L3" s="6077" t="s">
        <v>599</v>
      </c>
      <c r="M3" s="6077" t="s">
        <v>598</v>
      </c>
      <c r="N3" s="6060" t="s">
        <v>592</v>
      </c>
      <c r="O3" s="6060" t="s">
        <v>593</v>
      </c>
      <c r="P3" s="6060" t="s">
        <v>594</v>
      </c>
      <c r="Q3" s="6077" t="s">
        <v>225</v>
      </c>
      <c r="R3" s="6074" t="s">
        <v>229</v>
      </c>
      <c r="S3" s="6078" t="s">
        <v>595</v>
      </c>
      <c r="T3" s="6078" t="s">
        <v>596</v>
      </c>
      <c r="U3" s="6078" t="s">
        <v>597</v>
      </c>
      <c r="V3" s="6074" t="s">
        <v>135</v>
      </c>
      <c r="W3" s="6076" t="s">
        <v>601</v>
      </c>
    </row>
    <row r="4" spans="1:23" ht="37.5">
      <c r="A4" s="6082"/>
      <c r="B4" s="6083"/>
      <c r="C4" s="2473" t="s">
        <v>1553</v>
      </c>
      <c r="D4" s="2473" t="s">
        <v>1554</v>
      </c>
      <c r="E4" s="6060"/>
      <c r="F4" s="6060"/>
      <c r="G4" s="6060"/>
      <c r="H4" s="6077"/>
      <c r="I4" s="6060"/>
      <c r="J4" s="6060"/>
      <c r="K4" s="6060"/>
      <c r="L4" s="6077"/>
      <c r="M4" s="6077"/>
      <c r="N4" s="6060"/>
      <c r="O4" s="6060"/>
      <c r="P4" s="6060"/>
      <c r="Q4" s="6077"/>
      <c r="R4" s="6075"/>
      <c r="S4" s="6079"/>
      <c r="T4" s="6079"/>
      <c r="U4" s="6079"/>
      <c r="V4" s="6075"/>
      <c r="W4" s="6076"/>
    </row>
    <row r="5" spans="1:23" ht="18.75">
      <c r="A5" s="2474" t="s">
        <v>1589</v>
      </c>
      <c r="B5" s="2475">
        <f>SUM('цех вода'!AZ47)</f>
        <v>1459.7075743208986</v>
      </c>
      <c r="C5" s="2475">
        <f>SUM(вода!CS16)</f>
        <v>1449.1896572049802</v>
      </c>
      <c r="D5" s="2476">
        <f t="shared" ref="D5:D20" si="0">SUM(B5-C5)</f>
        <v>10.517917115918408</v>
      </c>
      <c r="E5" s="2477">
        <f>SUM(E6+E7+E8+E9+E10+E11+E12+E13+E14+E18)</f>
        <v>121.1687735886571</v>
      </c>
      <c r="F5" s="2477">
        <f>SUM(F6+F7+F8+F9+F10+F11+F12+F13+F14+F18)</f>
        <v>121.1687735886571</v>
      </c>
      <c r="G5" s="2477">
        <f>SUM(G6+G7+G8+G9+G10+G11+G12+G13+G14+G18)</f>
        <v>121.1687735886571</v>
      </c>
      <c r="H5" s="2478">
        <f>SUM(E5+F5+G5)</f>
        <v>363.50632076597128</v>
      </c>
      <c r="I5" s="2477">
        <f t="shared" ref="I5:K5" si="1">SUM(I6+I7+I8+I9+I10+I11+I12+I13+I14+I18)</f>
        <v>121.21041904575249</v>
      </c>
      <c r="J5" s="2477">
        <f t="shared" si="1"/>
        <v>121.89988272433148</v>
      </c>
      <c r="K5" s="2477">
        <f t="shared" si="1"/>
        <v>122.50142821570913</v>
      </c>
      <c r="L5" s="2478">
        <f>SUM(I5+J5+K5)</f>
        <v>365.61172998579309</v>
      </c>
      <c r="M5" s="2478">
        <f>SUM(H5+L5)</f>
        <v>729.11805075176437</v>
      </c>
      <c r="N5" s="2477">
        <f t="shared" ref="N5:P5" si="2">SUM(N6+N7+N8+N9+N10+N11+N12+N13+N14+N18)</f>
        <v>122.68189186312242</v>
      </c>
      <c r="O5" s="2477">
        <f t="shared" si="2"/>
        <v>122.50142821570913</v>
      </c>
      <c r="P5" s="2477">
        <f t="shared" si="2"/>
        <v>121.89988272433148</v>
      </c>
      <c r="Q5" s="2478">
        <f>SUM(N5+O5+P5)</f>
        <v>367.08320280316303</v>
      </c>
      <c r="R5" s="2478">
        <f>SUM(M5+Q5)</f>
        <v>1096.2012535549275</v>
      </c>
      <c r="S5" s="2477">
        <f t="shared" ref="S5:U5" si="3">SUM(S6+S7+S8+S9+S10+S11+S12+S13+S14+S18)</f>
        <v>121.1687735886571</v>
      </c>
      <c r="T5" s="2477">
        <f t="shared" si="3"/>
        <v>121.1687735886571</v>
      </c>
      <c r="U5" s="2477">
        <f t="shared" si="3"/>
        <v>121.1687735886571</v>
      </c>
      <c r="V5" s="2478">
        <f>SUM(S5+T5+U5)</f>
        <v>363.50632076597128</v>
      </c>
      <c r="W5" s="642">
        <f>SUM(U5+T5+S5+P5+O5+N5+K5+J5+I5+G5+F5+E5)</f>
        <v>1459.7075743208989</v>
      </c>
    </row>
    <row r="6" spans="1:23" ht="18.75">
      <c r="A6" s="2479" t="s">
        <v>72</v>
      </c>
      <c r="B6" s="2480">
        <f>SUM(B5*0%)</f>
        <v>0</v>
      </c>
      <c r="C6" s="2480">
        <f>SUM(C5*0%)</f>
        <v>0</v>
      </c>
      <c r="D6" s="2481">
        <f t="shared" si="0"/>
        <v>0</v>
      </c>
      <c r="E6" s="2467">
        <f>SUM(B6/2)/(1+(104%*100-100)/2/100)/6</f>
        <v>0</v>
      </c>
      <c r="F6" s="2482">
        <f>SUM(E6)</f>
        <v>0</v>
      </c>
      <c r="G6" s="2467">
        <f>SUM(E6)</f>
        <v>0</v>
      </c>
      <c r="H6" s="2466">
        <f>SUM(E6+F6+G6)</f>
        <v>0</v>
      </c>
      <c r="I6" s="2483">
        <f>SUM(E6)</f>
        <v>0</v>
      </c>
      <c r="J6" s="2483">
        <f>SUM(E6)</f>
        <v>0</v>
      </c>
      <c r="K6" s="2483">
        <f>SUM(E6)</f>
        <v>0</v>
      </c>
      <c r="L6" s="2466">
        <f>SUM(I6+J6+K6)</f>
        <v>0</v>
      </c>
      <c r="M6" s="2466">
        <f>SUM(H6+L6)</f>
        <v>0</v>
      </c>
      <c r="N6" s="2483">
        <f>SUM(B6-M6)/6</f>
        <v>0</v>
      </c>
      <c r="O6" s="2483">
        <f>SUM(N6)</f>
        <v>0</v>
      </c>
      <c r="P6" s="2483">
        <f>SUM(N6)</f>
        <v>0</v>
      </c>
      <c r="Q6" s="2466">
        <f>SUM(N6+O6+P6)</f>
        <v>0</v>
      </c>
      <c r="R6" s="2466">
        <f>SUM(M6+Q6)</f>
        <v>0</v>
      </c>
      <c r="S6" s="2483">
        <f>SUM(N6)</f>
        <v>0</v>
      </c>
      <c r="T6" s="2483">
        <f>SUM(N6)</f>
        <v>0</v>
      </c>
      <c r="U6" s="2483">
        <f>SUM(N6)</f>
        <v>0</v>
      </c>
      <c r="V6" s="2466">
        <f>SUM(S6+T6+U6)</f>
        <v>0</v>
      </c>
      <c r="W6" s="642">
        <f>SUM(U6+T6+S6+P6+O6+N6+K6+J6+I6+G6+F6+E6)</f>
        <v>0</v>
      </c>
    </row>
    <row r="7" spans="1:23" ht="18.75">
      <c r="A7" s="2479" t="s">
        <v>121</v>
      </c>
      <c r="B7" s="2480">
        <f>SUM(B5*0%)</f>
        <v>0</v>
      </c>
      <c r="C7" s="2480">
        <f>SUM(C5*0%)</f>
        <v>0</v>
      </c>
      <c r="D7" s="2481">
        <f t="shared" ref="D7:D13" si="4">SUM(B7-C7)</f>
        <v>0</v>
      </c>
      <c r="E7" s="2467">
        <v>0</v>
      </c>
      <c r="F7" s="2467">
        <f>SUM(E7)</f>
        <v>0</v>
      </c>
      <c r="G7" s="2482">
        <f>SUM(E7)</f>
        <v>0</v>
      </c>
      <c r="H7" s="2466">
        <f t="shared" ref="H7:H66" si="5">SUM(E7+F7+G7)</f>
        <v>0</v>
      </c>
      <c r="I7" s="2483">
        <f>SUM(E7)</f>
        <v>0</v>
      </c>
      <c r="J7" s="2483">
        <f>SUM(E7)</f>
        <v>0</v>
      </c>
      <c r="K7" s="2483">
        <f>SUM(E7)</f>
        <v>0</v>
      </c>
      <c r="L7" s="2466">
        <f t="shared" ref="L7:L66" si="6">SUM(I7+J7+K7)</f>
        <v>0</v>
      </c>
      <c r="M7" s="2466">
        <f t="shared" ref="M7:M66" si="7">SUM(H7+L7)</f>
        <v>0</v>
      </c>
      <c r="N7" s="2483">
        <f>SUM(B7-M7)/6</f>
        <v>0</v>
      </c>
      <c r="O7" s="2483">
        <f>SUM(N7)</f>
        <v>0</v>
      </c>
      <c r="P7" s="2483">
        <f>SUM(N7)</f>
        <v>0</v>
      </c>
      <c r="Q7" s="2466">
        <f t="shared" ref="Q7:Q66" si="8">SUM(N7+O7+P7)</f>
        <v>0</v>
      </c>
      <c r="R7" s="2466">
        <f t="shared" ref="R7:R66" si="9">SUM(M7+Q7)</f>
        <v>0</v>
      </c>
      <c r="S7" s="2483">
        <f>SUM(N7)</f>
        <v>0</v>
      </c>
      <c r="T7" s="2483">
        <f>SUM(N7)</f>
        <v>0</v>
      </c>
      <c r="U7" s="2483">
        <f>SUM(N7)</f>
        <v>0</v>
      </c>
      <c r="V7" s="2466">
        <f t="shared" ref="V7:V66" si="10">SUM(S7+T7+U7)</f>
        <v>0</v>
      </c>
      <c r="W7" s="642">
        <f t="shared" ref="W7:W71" si="11">SUM(U7+T7+S7+P7+O7+N7+K7+J7+I7+G7+F7+E7)</f>
        <v>0</v>
      </c>
    </row>
    <row r="8" spans="1:23" ht="18.75">
      <c r="A8" s="2479" t="s">
        <v>1555</v>
      </c>
      <c r="B8" s="2480">
        <f>SUM(B5*75.15%)</f>
        <v>1096.9702421021555</v>
      </c>
      <c r="C8" s="2480">
        <f>SUM(C5*75.15%)</f>
        <v>1089.0660273895428</v>
      </c>
      <c r="D8" s="2481">
        <f t="shared" si="4"/>
        <v>7.9042147126126565</v>
      </c>
      <c r="E8" s="2467">
        <f>SUM(B8/12)</f>
        <v>91.414186841846288</v>
      </c>
      <c r="F8" s="2467">
        <f>SUM(E8)</f>
        <v>91.414186841846288</v>
      </c>
      <c r="G8" s="2467">
        <f>SUM(E8)</f>
        <v>91.414186841846288</v>
      </c>
      <c r="H8" s="2466">
        <f t="shared" si="5"/>
        <v>274.24256052553886</v>
      </c>
      <c r="I8" s="2483">
        <f>SUM(E8)</f>
        <v>91.414186841846288</v>
      </c>
      <c r="J8" s="2483">
        <f>SUM(E8)</f>
        <v>91.414186841846288</v>
      </c>
      <c r="K8" s="2483">
        <f>SUM(E8)</f>
        <v>91.414186841846288</v>
      </c>
      <c r="L8" s="2466">
        <f t="shared" si="6"/>
        <v>274.24256052553886</v>
      </c>
      <c r="M8" s="2466">
        <f t="shared" si="7"/>
        <v>548.48512105107773</v>
      </c>
      <c r="N8" s="2483">
        <f>SUM(E8)</f>
        <v>91.414186841846288</v>
      </c>
      <c r="O8" s="2483">
        <f>SUM(E8)</f>
        <v>91.414186841846288</v>
      </c>
      <c r="P8" s="2483">
        <f>SUM(E8)</f>
        <v>91.414186841846288</v>
      </c>
      <c r="Q8" s="2466">
        <f t="shared" si="8"/>
        <v>274.24256052553886</v>
      </c>
      <c r="R8" s="2466">
        <f t="shared" si="9"/>
        <v>822.72768157661653</v>
      </c>
      <c r="S8" s="2483">
        <f>SUM(E8)</f>
        <v>91.414186841846288</v>
      </c>
      <c r="T8" s="2483">
        <f>SUM(E8)</f>
        <v>91.414186841846288</v>
      </c>
      <c r="U8" s="2483">
        <f>SUM(E8)</f>
        <v>91.414186841846288</v>
      </c>
      <c r="V8" s="2466">
        <f t="shared" si="10"/>
        <v>274.24256052553886</v>
      </c>
      <c r="W8" s="642">
        <f t="shared" si="11"/>
        <v>1096.9702421021552</v>
      </c>
    </row>
    <row r="9" spans="1:23" ht="18.75">
      <c r="A9" s="2479" t="s">
        <v>52</v>
      </c>
      <c r="B9" s="2480">
        <f>SUM(B5*1.26%)</f>
        <v>18.392315436443322</v>
      </c>
      <c r="C9" s="2480">
        <f>SUM(C5*1.26%)</f>
        <v>18.259789680782752</v>
      </c>
      <c r="D9" s="2481">
        <f t="shared" si="4"/>
        <v>0.1325257556605699</v>
      </c>
      <c r="E9" s="2467">
        <f t="shared" ref="E9:E13" si="12">SUM(B9/12)</f>
        <v>1.5326929530369435</v>
      </c>
      <c r="F9" s="2467">
        <f t="shared" ref="F9:F20" si="13">SUM(E9)</f>
        <v>1.5326929530369435</v>
      </c>
      <c r="G9" s="2467">
        <f t="shared" ref="G9:G13" si="14">SUM(E9)</f>
        <v>1.5326929530369435</v>
      </c>
      <c r="H9" s="2466">
        <f t="shared" ref="H9:H13" si="15">SUM(E9+F9+G9)</f>
        <v>4.5980788591108306</v>
      </c>
      <c r="I9" s="2483">
        <f t="shared" ref="I9:I13" si="16">SUM(E9)</f>
        <v>1.5326929530369435</v>
      </c>
      <c r="J9" s="2483">
        <f t="shared" ref="J9:J13" si="17">SUM(E9)</f>
        <v>1.5326929530369435</v>
      </c>
      <c r="K9" s="2483">
        <f t="shared" ref="K9:K13" si="18">SUM(E9)</f>
        <v>1.5326929530369435</v>
      </c>
      <c r="L9" s="2466">
        <f t="shared" ref="L9:L13" si="19">SUM(I9+J9+K9)</f>
        <v>4.5980788591108306</v>
      </c>
      <c r="M9" s="2466">
        <f t="shared" si="7"/>
        <v>9.1961577182216612</v>
      </c>
      <c r="N9" s="2483">
        <f t="shared" ref="N9:N13" si="20">SUM(E9)</f>
        <v>1.5326929530369435</v>
      </c>
      <c r="O9" s="2483">
        <f t="shared" ref="O9:O13" si="21">SUM(E9)</f>
        <v>1.5326929530369435</v>
      </c>
      <c r="P9" s="2483">
        <f t="shared" ref="P9:P13" si="22">SUM(E9)</f>
        <v>1.5326929530369435</v>
      </c>
      <c r="Q9" s="2466">
        <f t="shared" ref="Q9:Q13" si="23">SUM(N9+O9+P9)</f>
        <v>4.5980788591108306</v>
      </c>
      <c r="R9" s="2466">
        <f t="shared" si="9"/>
        <v>13.794236577332491</v>
      </c>
      <c r="S9" s="2483">
        <f t="shared" ref="S9:S13" si="24">SUM(E9)</f>
        <v>1.5326929530369435</v>
      </c>
      <c r="T9" s="2483">
        <f t="shared" ref="T9:T13" si="25">SUM(E9)</f>
        <v>1.5326929530369435</v>
      </c>
      <c r="U9" s="2483">
        <f t="shared" ref="U9:U13" si="26">SUM(E9)</f>
        <v>1.5326929530369435</v>
      </c>
      <c r="V9" s="2466">
        <f t="shared" ref="V9:V13" si="27">SUM(S9+T9+U9)</f>
        <v>4.5980788591108306</v>
      </c>
      <c r="W9" s="642">
        <f t="shared" si="11"/>
        <v>18.392315436443319</v>
      </c>
    </row>
    <row r="10" spans="1:23" ht="18.75">
      <c r="A10" s="2479" t="s">
        <v>1556</v>
      </c>
      <c r="B10" s="2480">
        <f>SUM(B5*1.52%)</f>
        <v>22.187555129677659</v>
      </c>
      <c r="C10" s="2480">
        <f>SUM(C5*1.52%)</f>
        <v>22.027682789515698</v>
      </c>
      <c r="D10" s="2481">
        <f t="shared" si="4"/>
        <v>0.15987234016196084</v>
      </c>
      <c r="E10" s="2467">
        <f t="shared" si="12"/>
        <v>1.8489629274731383</v>
      </c>
      <c r="F10" s="2467">
        <f t="shared" si="13"/>
        <v>1.8489629274731383</v>
      </c>
      <c r="G10" s="2467">
        <f t="shared" si="14"/>
        <v>1.8489629274731383</v>
      </c>
      <c r="H10" s="2466">
        <f t="shared" si="15"/>
        <v>5.5468887824194146</v>
      </c>
      <c r="I10" s="2483">
        <f t="shared" si="16"/>
        <v>1.8489629274731383</v>
      </c>
      <c r="J10" s="2483">
        <f t="shared" si="17"/>
        <v>1.8489629274731383</v>
      </c>
      <c r="K10" s="2483">
        <f t="shared" si="18"/>
        <v>1.8489629274731383</v>
      </c>
      <c r="L10" s="2466">
        <f t="shared" si="19"/>
        <v>5.5468887824194146</v>
      </c>
      <c r="M10" s="2466">
        <f t="shared" si="7"/>
        <v>11.093777564838829</v>
      </c>
      <c r="N10" s="2483">
        <f t="shared" si="20"/>
        <v>1.8489629274731383</v>
      </c>
      <c r="O10" s="2483">
        <f t="shared" si="21"/>
        <v>1.8489629274731383</v>
      </c>
      <c r="P10" s="2483">
        <f t="shared" si="22"/>
        <v>1.8489629274731383</v>
      </c>
      <c r="Q10" s="2466">
        <f t="shared" si="23"/>
        <v>5.5468887824194146</v>
      </c>
      <c r="R10" s="2466">
        <f t="shared" si="9"/>
        <v>16.640666347258243</v>
      </c>
      <c r="S10" s="2483">
        <f t="shared" si="24"/>
        <v>1.8489629274731383</v>
      </c>
      <c r="T10" s="2483">
        <f t="shared" si="25"/>
        <v>1.8489629274731383</v>
      </c>
      <c r="U10" s="2483">
        <f t="shared" si="26"/>
        <v>1.8489629274731383</v>
      </c>
      <c r="V10" s="2466">
        <f t="shared" si="27"/>
        <v>5.5468887824194146</v>
      </c>
      <c r="W10" s="642">
        <f t="shared" si="11"/>
        <v>22.187555129677659</v>
      </c>
    </row>
    <row r="11" spans="1:23" ht="18.75">
      <c r="A11" s="2479" t="s">
        <v>605</v>
      </c>
      <c r="B11" s="2480">
        <f>SUM(B5*8.76%)</f>
        <v>127.87038351051072</v>
      </c>
      <c r="C11" s="2480">
        <f>SUM(C5*8.76%)</f>
        <v>126.94901397115626</v>
      </c>
      <c r="D11" s="2481">
        <f t="shared" si="4"/>
        <v>0.92136953935445831</v>
      </c>
      <c r="E11" s="2467">
        <f t="shared" si="12"/>
        <v>10.655865292542559</v>
      </c>
      <c r="F11" s="2467">
        <f t="shared" si="13"/>
        <v>10.655865292542559</v>
      </c>
      <c r="G11" s="2467">
        <f t="shared" si="14"/>
        <v>10.655865292542559</v>
      </c>
      <c r="H11" s="2466">
        <f t="shared" si="15"/>
        <v>31.96759587762768</v>
      </c>
      <c r="I11" s="2483">
        <f t="shared" si="16"/>
        <v>10.655865292542559</v>
      </c>
      <c r="J11" s="2483">
        <f t="shared" si="17"/>
        <v>10.655865292542559</v>
      </c>
      <c r="K11" s="2483">
        <f t="shared" si="18"/>
        <v>10.655865292542559</v>
      </c>
      <c r="L11" s="2466">
        <f t="shared" si="19"/>
        <v>31.96759587762768</v>
      </c>
      <c r="M11" s="2466">
        <f t="shared" si="7"/>
        <v>63.93519175525536</v>
      </c>
      <c r="N11" s="2483">
        <f t="shared" si="20"/>
        <v>10.655865292542559</v>
      </c>
      <c r="O11" s="2483">
        <f t="shared" si="21"/>
        <v>10.655865292542559</v>
      </c>
      <c r="P11" s="2483">
        <f t="shared" si="22"/>
        <v>10.655865292542559</v>
      </c>
      <c r="Q11" s="2466">
        <f t="shared" si="23"/>
        <v>31.96759587762768</v>
      </c>
      <c r="R11" s="2466">
        <f t="shared" si="9"/>
        <v>95.902787632883047</v>
      </c>
      <c r="S11" s="2483">
        <f t="shared" si="24"/>
        <v>10.655865292542559</v>
      </c>
      <c r="T11" s="2483">
        <f t="shared" si="25"/>
        <v>10.655865292542559</v>
      </c>
      <c r="U11" s="2483">
        <f t="shared" si="26"/>
        <v>10.655865292542559</v>
      </c>
      <c r="V11" s="2466">
        <f t="shared" si="27"/>
        <v>31.96759587762768</v>
      </c>
      <c r="W11" s="642">
        <f t="shared" si="11"/>
        <v>127.87038351051071</v>
      </c>
    </row>
    <row r="12" spans="1:23" ht="18.75">
      <c r="A12" s="2479" t="s">
        <v>98</v>
      </c>
      <c r="B12" s="2480">
        <f>SUM(B5*1.93%)</f>
        <v>28.17235618439334</v>
      </c>
      <c r="C12" s="2480">
        <f>SUM(C5*1.93%)</f>
        <v>27.969360384056117</v>
      </c>
      <c r="D12" s="2481">
        <f t="shared" si="4"/>
        <v>0.20299580033722364</v>
      </c>
      <c r="E12" s="2467">
        <f t="shared" si="12"/>
        <v>2.3476963486994449</v>
      </c>
      <c r="F12" s="2467">
        <f t="shared" si="13"/>
        <v>2.3476963486994449</v>
      </c>
      <c r="G12" s="2467">
        <f t="shared" si="14"/>
        <v>2.3476963486994449</v>
      </c>
      <c r="H12" s="2466">
        <f t="shared" si="15"/>
        <v>7.0430890460983342</v>
      </c>
      <c r="I12" s="2483">
        <f t="shared" si="16"/>
        <v>2.3476963486994449</v>
      </c>
      <c r="J12" s="2483">
        <f t="shared" si="17"/>
        <v>2.3476963486994449</v>
      </c>
      <c r="K12" s="2483">
        <f t="shared" si="18"/>
        <v>2.3476963486994449</v>
      </c>
      <c r="L12" s="2466">
        <f t="shared" si="19"/>
        <v>7.0430890460983342</v>
      </c>
      <c r="M12" s="2466">
        <f t="shared" si="7"/>
        <v>14.086178092196668</v>
      </c>
      <c r="N12" s="2483">
        <f t="shared" si="20"/>
        <v>2.3476963486994449</v>
      </c>
      <c r="O12" s="2483">
        <f t="shared" si="21"/>
        <v>2.3476963486994449</v>
      </c>
      <c r="P12" s="2483">
        <f t="shared" si="22"/>
        <v>2.3476963486994449</v>
      </c>
      <c r="Q12" s="2466">
        <f t="shared" si="23"/>
        <v>7.0430890460983342</v>
      </c>
      <c r="R12" s="2466">
        <f t="shared" si="9"/>
        <v>21.129267138295003</v>
      </c>
      <c r="S12" s="2483">
        <f t="shared" si="24"/>
        <v>2.3476963486994449</v>
      </c>
      <c r="T12" s="2483">
        <f t="shared" si="25"/>
        <v>2.3476963486994449</v>
      </c>
      <c r="U12" s="2483">
        <f t="shared" si="26"/>
        <v>2.3476963486994449</v>
      </c>
      <c r="V12" s="2466">
        <f t="shared" si="27"/>
        <v>7.0430890460983342</v>
      </c>
      <c r="W12" s="642">
        <f t="shared" si="11"/>
        <v>28.172356184393333</v>
      </c>
    </row>
    <row r="13" spans="1:23" ht="18.75">
      <c r="A13" s="2479" t="s">
        <v>38</v>
      </c>
      <c r="B13" s="2480">
        <f>SUM(B5*0.92%)</f>
        <v>13.429309683752267</v>
      </c>
      <c r="C13" s="2480">
        <f>SUM(C5*0.92%)</f>
        <v>13.332544846285817</v>
      </c>
      <c r="D13" s="2481">
        <f t="shared" si="4"/>
        <v>9.676483746645026E-2</v>
      </c>
      <c r="E13" s="2467">
        <f t="shared" si="12"/>
        <v>1.1191091403126889</v>
      </c>
      <c r="F13" s="2467">
        <f t="shared" si="13"/>
        <v>1.1191091403126889</v>
      </c>
      <c r="G13" s="2467">
        <f t="shared" si="14"/>
        <v>1.1191091403126889</v>
      </c>
      <c r="H13" s="2466">
        <f t="shared" si="15"/>
        <v>3.3573274209380668</v>
      </c>
      <c r="I13" s="2483">
        <f t="shared" si="16"/>
        <v>1.1191091403126889</v>
      </c>
      <c r="J13" s="2483">
        <f t="shared" si="17"/>
        <v>1.1191091403126889</v>
      </c>
      <c r="K13" s="2483">
        <f t="shared" si="18"/>
        <v>1.1191091403126889</v>
      </c>
      <c r="L13" s="2466">
        <f t="shared" si="19"/>
        <v>3.3573274209380668</v>
      </c>
      <c r="M13" s="2466">
        <f t="shared" si="7"/>
        <v>6.7146548418761336</v>
      </c>
      <c r="N13" s="2483">
        <f t="shared" si="20"/>
        <v>1.1191091403126889</v>
      </c>
      <c r="O13" s="2483">
        <f t="shared" si="21"/>
        <v>1.1191091403126889</v>
      </c>
      <c r="P13" s="2483">
        <f t="shared" si="22"/>
        <v>1.1191091403126889</v>
      </c>
      <c r="Q13" s="2466">
        <f t="shared" si="23"/>
        <v>3.3573274209380668</v>
      </c>
      <c r="R13" s="2466">
        <f t="shared" si="9"/>
        <v>10.071982262814201</v>
      </c>
      <c r="S13" s="2483">
        <f t="shared" si="24"/>
        <v>1.1191091403126889</v>
      </c>
      <c r="T13" s="2483">
        <f t="shared" si="25"/>
        <v>1.1191091403126889</v>
      </c>
      <c r="U13" s="2483">
        <f t="shared" si="26"/>
        <v>1.1191091403126889</v>
      </c>
      <c r="V13" s="2466">
        <f t="shared" si="27"/>
        <v>3.3573274209380668</v>
      </c>
      <c r="W13" s="642">
        <f t="shared" si="11"/>
        <v>13.429309683752271</v>
      </c>
    </row>
    <row r="14" spans="1:23" ht="18.75">
      <c r="A14" s="2479" t="s">
        <v>606</v>
      </c>
      <c r="B14" s="2480">
        <f>SUM(B15:B17)</f>
        <v>38.682250719503813</v>
      </c>
      <c r="C14" s="2480">
        <f t="shared" ref="C14:D14" si="28">SUM(C15:C17)</f>
        <v>38.403525915931979</v>
      </c>
      <c r="D14" s="2480">
        <f t="shared" si="28"/>
        <v>0.27872480357183704</v>
      </c>
      <c r="E14" s="2467">
        <f>SUM(E15:E17)</f>
        <v>3.2235208932919845</v>
      </c>
      <c r="F14" s="2467">
        <f>SUM(F15:F17)</f>
        <v>3.2235208932919845</v>
      </c>
      <c r="G14" s="2467">
        <f>SUM(G15:G17)</f>
        <v>3.2235208932919845</v>
      </c>
      <c r="H14" s="2466">
        <f t="shared" si="5"/>
        <v>9.6705626798759532</v>
      </c>
      <c r="I14" s="2467">
        <f t="shared" ref="I14:K14" si="29">SUM(I15:I17)</f>
        <v>3.2235208932919845</v>
      </c>
      <c r="J14" s="2467">
        <f t="shared" si="29"/>
        <v>3.2235208932919845</v>
      </c>
      <c r="K14" s="2467">
        <f t="shared" si="29"/>
        <v>3.2235208932919845</v>
      </c>
      <c r="L14" s="2466">
        <f t="shared" si="6"/>
        <v>9.6705626798759532</v>
      </c>
      <c r="M14" s="2466">
        <f t="shared" si="7"/>
        <v>19.341125359751906</v>
      </c>
      <c r="N14" s="2467">
        <f t="shared" ref="N14:P14" si="30">SUM(N15:N17)</f>
        <v>3.2235208932919845</v>
      </c>
      <c r="O14" s="2467">
        <f t="shared" si="30"/>
        <v>3.2235208932919845</v>
      </c>
      <c r="P14" s="2467">
        <f t="shared" si="30"/>
        <v>3.2235208932919845</v>
      </c>
      <c r="Q14" s="2466">
        <f t="shared" si="8"/>
        <v>9.6705626798759532</v>
      </c>
      <c r="R14" s="2466">
        <f t="shared" si="9"/>
        <v>29.01168803962786</v>
      </c>
      <c r="S14" s="2467">
        <f t="shared" ref="S14:U14" si="31">SUM(S15:S17)</f>
        <v>3.2235208932919845</v>
      </c>
      <c r="T14" s="2467">
        <f t="shared" si="31"/>
        <v>3.2235208932919845</v>
      </c>
      <c r="U14" s="2467">
        <f t="shared" si="31"/>
        <v>3.2235208932919845</v>
      </c>
      <c r="V14" s="2466">
        <f t="shared" si="10"/>
        <v>9.6705626798759532</v>
      </c>
      <c r="W14" s="642">
        <f t="shared" si="11"/>
        <v>38.682250719503806</v>
      </c>
    </row>
    <row r="15" spans="1:23" ht="18.75">
      <c r="A15" s="2484" t="s">
        <v>564</v>
      </c>
      <c r="B15" s="2480">
        <f>SUM(B5*2.56%)</f>
        <v>37.368513902615007</v>
      </c>
      <c r="C15" s="2480">
        <f>SUM(C5*2.56%)</f>
        <v>37.099255224447496</v>
      </c>
      <c r="D15" s="2481">
        <f t="shared" si="0"/>
        <v>0.26925867816751037</v>
      </c>
      <c r="E15" s="2467">
        <f t="shared" ref="E15:E17" si="32">SUM(B15/12)</f>
        <v>3.1140428252179171</v>
      </c>
      <c r="F15" s="2467">
        <f t="shared" si="13"/>
        <v>3.1140428252179171</v>
      </c>
      <c r="G15" s="2467">
        <f t="shared" ref="G15:G17" si="33">SUM(E15)</f>
        <v>3.1140428252179171</v>
      </c>
      <c r="H15" s="2466">
        <f t="shared" si="5"/>
        <v>9.3421284756537517</v>
      </c>
      <c r="I15" s="2483">
        <f t="shared" ref="I15" si="34">SUM(E15)</f>
        <v>3.1140428252179171</v>
      </c>
      <c r="J15" s="2483">
        <f t="shared" ref="J15" si="35">SUM(E15)</f>
        <v>3.1140428252179171</v>
      </c>
      <c r="K15" s="2483">
        <f t="shared" ref="K15" si="36">SUM(E15)</f>
        <v>3.1140428252179171</v>
      </c>
      <c r="L15" s="2466">
        <f t="shared" si="6"/>
        <v>9.3421284756537517</v>
      </c>
      <c r="M15" s="2466">
        <f t="shared" si="7"/>
        <v>18.684256951307503</v>
      </c>
      <c r="N15" s="2483">
        <f t="shared" ref="N15" si="37">SUM(E15)</f>
        <v>3.1140428252179171</v>
      </c>
      <c r="O15" s="2483">
        <f t="shared" ref="O15" si="38">SUM(E15)</f>
        <v>3.1140428252179171</v>
      </c>
      <c r="P15" s="2483">
        <f t="shared" ref="P15" si="39">SUM(E15)</f>
        <v>3.1140428252179171</v>
      </c>
      <c r="Q15" s="2466">
        <f t="shared" si="8"/>
        <v>9.3421284756537517</v>
      </c>
      <c r="R15" s="2466">
        <f t="shared" si="9"/>
        <v>28.026385426961255</v>
      </c>
      <c r="S15" s="2483">
        <f t="shared" ref="S15" si="40">SUM(E15)</f>
        <v>3.1140428252179171</v>
      </c>
      <c r="T15" s="2483">
        <f t="shared" ref="T15" si="41">SUM(E15)</f>
        <v>3.1140428252179171</v>
      </c>
      <c r="U15" s="2483">
        <f t="shared" ref="U15" si="42">SUM(E15)</f>
        <v>3.1140428252179171</v>
      </c>
      <c r="V15" s="2466">
        <f t="shared" si="10"/>
        <v>9.3421284756537517</v>
      </c>
      <c r="W15" s="642">
        <f t="shared" si="11"/>
        <v>37.368513902615007</v>
      </c>
    </row>
    <row r="16" spans="1:23" ht="18.75">
      <c r="A16" s="2484" t="s">
        <v>563</v>
      </c>
      <c r="B16" s="2480">
        <v>0</v>
      </c>
      <c r="C16" s="2480">
        <v>0</v>
      </c>
      <c r="D16" s="2481">
        <f t="shared" si="0"/>
        <v>0</v>
      </c>
      <c r="E16" s="2467">
        <f t="shared" si="32"/>
        <v>0</v>
      </c>
      <c r="F16" s="2467">
        <f t="shared" si="13"/>
        <v>0</v>
      </c>
      <c r="G16" s="2467">
        <f t="shared" si="33"/>
        <v>0</v>
      </c>
      <c r="H16" s="2466">
        <f t="shared" ref="H16:H17" si="43">SUM(E16+F16+G16)</f>
        <v>0</v>
      </c>
      <c r="I16" s="2483">
        <f t="shared" ref="I16:I17" si="44">SUM(E16)</f>
        <v>0</v>
      </c>
      <c r="J16" s="2483">
        <f t="shared" ref="J16:J17" si="45">SUM(E16)</f>
        <v>0</v>
      </c>
      <c r="K16" s="2483">
        <f t="shared" ref="K16:K17" si="46">SUM(E16)</f>
        <v>0</v>
      </c>
      <c r="L16" s="2466">
        <f t="shared" ref="L16:L17" si="47">SUM(I16+J16+K16)</f>
        <v>0</v>
      </c>
      <c r="M16" s="2466">
        <f t="shared" si="7"/>
        <v>0</v>
      </c>
      <c r="N16" s="2483">
        <f t="shared" ref="N16:N17" si="48">SUM(E16)</f>
        <v>0</v>
      </c>
      <c r="O16" s="2483">
        <f t="shared" ref="O16:O17" si="49">SUM(E16)</f>
        <v>0</v>
      </c>
      <c r="P16" s="2483">
        <f t="shared" ref="P16:P17" si="50">SUM(E16)</f>
        <v>0</v>
      </c>
      <c r="Q16" s="2466">
        <f t="shared" ref="Q16:Q17" si="51">SUM(N16+O16+P16)</f>
        <v>0</v>
      </c>
      <c r="R16" s="2466">
        <f t="shared" si="9"/>
        <v>0</v>
      </c>
      <c r="S16" s="2483">
        <f t="shared" ref="S16:S17" si="52">SUM(E16)</f>
        <v>0</v>
      </c>
      <c r="T16" s="2483">
        <f t="shared" ref="T16:T17" si="53">SUM(E16)</f>
        <v>0</v>
      </c>
      <c r="U16" s="2483">
        <f t="shared" ref="U16:U17" si="54">SUM(E16)</f>
        <v>0</v>
      </c>
      <c r="V16" s="2466">
        <f t="shared" ref="V16:V17" si="55">SUM(S16+T16+U16)</f>
        <v>0</v>
      </c>
      <c r="W16" s="642">
        <f t="shared" si="11"/>
        <v>0</v>
      </c>
    </row>
    <row r="17" spans="1:23" ht="18.75">
      <c r="A17" s="2484" t="s">
        <v>565</v>
      </c>
      <c r="B17" s="2480">
        <f>SUM(B5*0.09%)</f>
        <v>1.3137368168888088</v>
      </c>
      <c r="C17" s="2480">
        <f>SUM(C5*0.09%)</f>
        <v>1.3042706914844822</v>
      </c>
      <c r="D17" s="2481">
        <f t="shared" si="0"/>
        <v>9.4661254043266752E-3</v>
      </c>
      <c r="E17" s="2467">
        <f t="shared" si="32"/>
        <v>0.1094780680740674</v>
      </c>
      <c r="F17" s="2467">
        <f t="shared" si="13"/>
        <v>0.1094780680740674</v>
      </c>
      <c r="G17" s="2467">
        <f t="shared" si="33"/>
        <v>0.1094780680740674</v>
      </c>
      <c r="H17" s="2466">
        <f t="shared" si="43"/>
        <v>0.32843420422220221</v>
      </c>
      <c r="I17" s="2483">
        <f t="shared" si="44"/>
        <v>0.1094780680740674</v>
      </c>
      <c r="J17" s="2483">
        <f t="shared" si="45"/>
        <v>0.1094780680740674</v>
      </c>
      <c r="K17" s="2483">
        <f t="shared" si="46"/>
        <v>0.1094780680740674</v>
      </c>
      <c r="L17" s="2466">
        <f t="shared" si="47"/>
        <v>0.32843420422220221</v>
      </c>
      <c r="M17" s="2466">
        <f t="shared" si="7"/>
        <v>0.65686840844440442</v>
      </c>
      <c r="N17" s="2483">
        <f t="shared" si="48"/>
        <v>0.1094780680740674</v>
      </c>
      <c r="O17" s="2483">
        <f t="shared" si="49"/>
        <v>0.1094780680740674</v>
      </c>
      <c r="P17" s="2483">
        <f t="shared" si="50"/>
        <v>0.1094780680740674</v>
      </c>
      <c r="Q17" s="2466">
        <f t="shared" si="51"/>
        <v>0.32843420422220221</v>
      </c>
      <c r="R17" s="2466">
        <f t="shared" si="9"/>
        <v>0.98530261266660668</v>
      </c>
      <c r="S17" s="2483">
        <f t="shared" si="52"/>
        <v>0.1094780680740674</v>
      </c>
      <c r="T17" s="2483">
        <f t="shared" si="53"/>
        <v>0.1094780680740674</v>
      </c>
      <c r="U17" s="2483">
        <f t="shared" si="54"/>
        <v>0.1094780680740674</v>
      </c>
      <c r="V17" s="2466">
        <f t="shared" si="55"/>
        <v>0.32843420422220221</v>
      </c>
      <c r="W17" s="642">
        <f t="shared" si="11"/>
        <v>1.3137368168888093</v>
      </c>
    </row>
    <row r="18" spans="1:23" ht="18.75">
      <c r="A18" s="2479" t="s">
        <v>609</v>
      </c>
      <c r="B18" s="2480">
        <f>SUM(B19:B20)</f>
        <v>114.00316155446218</v>
      </c>
      <c r="C18" s="2480">
        <f t="shared" ref="C18:D18" si="56">SUM(C19:C20)</f>
        <v>113.18171222770894</v>
      </c>
      <c r="D18" s="2480">
        <f t="shared" si="56"/>
        <v>0.8214493267532319</v>
      </c>
      <c r="E18" s="2467">
        <f>SUM(E19:E20)</f>
        <v>9.0267391914540624</v>
      </c>
      <c r="F18" s="2467">
        <f t="shared" ref="F18:G18" si="57">SUM(F19:F20)</f>
        <v>9.0267391914540624</v>
      </c>
      <c r="G18" s="2467">
        <f t="shared" si="57"/>
        <v>9.0267391914540624</v>
      </c>
      <c r="H18" s="2466">
        <f t="shared" si="5"/>
        <v>27.080217574362187</v>
      </c>
      <c r="I18" s="2467">
        <f t="shared" ref="I18:K18" si="58">SUM(I19:I20)</f>
        <v>9.0683846485494399</v>
      </c>
      <c r="J18" s="2467">
        <f t="shared" si="58"/>
        <v>9.7578483271284284</v>
      </c>
      <c r="K18" s="2467">
        <f t="shared" si="58"/>
        <v>10.359393818506071</v>
      </c>
      <c r="L18" s="2466">
        <f t="shared" si="6"/>
        <v>29.185626794183939</v>
      </c>
      <c r="M18" s="2466">
        <f t="shared" si="7"/>
        <v>56.265844368546126</v>
      </c>
      <c r="N18" s="2467">
        <f t="shared" ref="N18:P18" si="59">SUM(N19:N20)</f>
        <v>10.539857465919365</v>
      </c>
      <c r="O18" s="2467">
        <f t="shared" si="59"/>
        <v>10.359393818506071</v>
      </c>
      <c r="P18" s="2467">
        <f t="shared" si="59"/>
        <v>9.7578483271284284</v>
      </c>
      <c r="Q18" s="2466">
        <f t="shared" si="8"/>
        <v>30.657099611553864</v>
      </c>
      <c r="R18" s="2466">
        <f t="shared" si="9"/>
        <v>86.922943980099987</v>
      </c>
      <c r="S18" s="2467">
        <f t="shared" ref="S18:U18" si="60">SUM(S19:S20)</f>
        <v>9.0267391914540624</v>
      </c>
      <c r="T18" s="2467">
        <f t="shared" si="60"/>
        <v>9.0267391914540624</v>
      </c>
      <c r="U18" s="2467">
        <f t="shared" si="60"/>
        <v>9.0267391914540624</v>
      </c>
      <c r="V18" s="2466">
        <f t="shared" si="10"/>
        <v>27.080217574362187</v>
      </c>
      <c r="W18" s="642">
        <f t="shared" si="11"/>
        <v>114.00316155446217</v>
      </c>
    </row>
    <row r="19" spans="1:23" ht="18.75">
      <c r="A19" s="2484" t="s">
        <v>551</v>
      </c>
      <c r="B19" s="2480">
        <f>SUM(B5*3.17%)</f>
        <v>46.272730105972485</v>
      </c>
      <c r="C19" s="2480">
        <f>SUM(C5*3.17%)</f>
        <v>45.93931213339787</v>
      </c>
      <c r="D19" s="2481">
        <f t="shared" si="0"/>
        <v>0.33341797257461536</v>
      </c>
      <c r="E19" s="2467">
        <f>SUM(B19*7.31%)</f>
        <v>3.3825365707465886</v>
      </c>
      <c r="F19" s="2467">
        <f>SUM(B19*7.31%)</f>
        <v>3.3825365707465886</v>
      </c>
      <c r="G19" s="2467">
        <f>SUM(B19*7.31%)</f>
        <v>3.3825365707465886</v>
      </c>
      <c r="H19" s="2466">
        <f t="shared" si="5"/>
        <v>10.147609712239767</v>
      </c>
      <c r="I19" s="2467">
        <f>SUM(B19*7.4%)</f>
        <v>3.4241820278419643</v>
      </c>
      <c r="J19" s="2467">
        <f>SUM(B19*8.89%)</f>
        <v>4.1136457064209546</v>
      </c>
      <c r="K19" s="2467">
        <f>SUM(B19*10.19%)</f>
        <v>4.7151911977985961</v>
      </c>
      <c r="L19" s="2466">
        <f t="shared" si="6"/>
        <v>12.253018932061515</v>
      </c>
      <c r="M19" s="2466">
        <f t="shared" si="7"/>
        <v>22.400628644301282</v>
      </c>
      <c r="N19" s="2467">
        <f>SUM(B19*10.58%)</f>
        <v>4.8956548452118893</v>
      </c>
      <c r="O19" s="2467">
        <f>SUM(B19*10.19%)</f>
        <v>4.7151911977985961</v>
      </c>
      <c r="P19" s="2467">
        <f>SUM(B19*8.89%)</f>
        <v>4.1136457064209546</v>
      </c>
      <c r="Q19" s="2466">
        <f t="shared" si="8"/>
        <v>13.72449174943144</v>
      </c>
      <c r="R19" s="2466">
        <f t="shared" si="9"/>
        <v>36.125120393732722</v>
      </c>
      <c r="S19" s="2467">
        <f>SUM(B19*7.31%)</f>
        <v>3.3825365707465886</v>
      </c>
      <c r="T19" s="2467">
        <f>SUM(B19*7.31%)</f>
        <v>3.3825365707465886</v>
      </c>
      <c r="U19" s="2467">
        <f>SUM(B19*7.31%)</f>
        <v>3.3825365707465886</v>
      </c>
      <c r="V19" s="2466">
        <f t="shared" si="10"/>
        <v>10.147609712239767</v>
      </c>
      <c r="W19" s="642">
        <f t="shared" si="11"/>
        <v>46.272730105972485</v>
      </c>
    </row>
    <row r="20" spans="1:23" ht="18.75">
      <c r="A20" s="2484" t="s">
        <v>643</v>
      </c>
      <c r="B20" s="2480">
        <f>SUM(B5*4.64%)</f>
        <v>67.730431448489696</v>
      </c>
      <c r="C20" s="2480">
        <f>SUM(C5*4.64%)</f>
        <v>67.24240009431108</v>
      </c>
      <c r="D20" s="2481">
        <f t="shared" si="0"/>
        <v>0.48803135417861654</v>
      </c>
      <c r="E20" s="2467">
        <f t="shared" ref="E20" si="61">SUM(B20/12)</f>
        <v>5.6442026207074747</v>
      </c>
      <c r="F20" s="2467">
        <f t="shared" si="13"/>
        <v>5.6442026207074747</v>
      </c>
      <c r="G20" s="2467">
        <f t="shared" ref="G20" si="62">SUM(E20)</f>
        <v>5.6442026207074747</v>
      </c>
      <c r="H20" s="2466">
        <f t="shared" si="5"/>
        <v>16.932607862122424</v>
      </c>
      <c r="I20" s="2483">
        <f t="shared" ref="I20" si="63">SUM(E20)</f>
        <v>5.6442026207074747</v>
      </c>
      <c r="J20" s="2483">
        <f t="shared" ref="J20" si="64">SUM(E20)</f>
        <v>5.6442026207074747</v>
      </c>
      <c r="K20" s="2483">
        <f t="shared" ref="K20" si="65">SUM(E20)</f>
        <v>5.6442026207074747</v>
      </c>
      <c r="L20" s="2466">
        <f t="shared" si="6"/>
        <v>16.932607862122424</v>
      </c>
      <c r="M20" s="2466">
        <f t="shared" si="7"/>
        <v>33.865215724244848</v>
      </c>
      <c r="N20" s="2483">
        <f t="shared" ref="N20" si="66">SUM(E20)</f>
        <v>5.6442026207074747</v>
      </c>
      <c r="O20" s="2483">
        <f t="shared" ref="O20" si="67">SUM(E20)</f>
        <v>5.6442026207074747</v>
      </c>
      <c r="P20" s="2483">
        <f t="shared" ref="P20" si="68">SUM(E20)</f>
        <v>5.6442026207074747</v>
      </c>
      <c r="Q20" s="2466">
        <f t="shared" si="8"/>
        <v>16.932607862122424</v>
      </c>
      <c r="R20" s="2466">
        <f t="shared" si="9"/>
        <v>50.797823586367272</v>
      </c>
      <c r="S20" s="2483">
        <f t="shared" ref="S20" si="69">SUM(E20)</f>
        <v>5.6442026207074747</v>
      </c>
      <c r="T20" s="2483">
        <f t="shared" ref="T20" si="70">SUM(E20)</f>
        <v>5.6442026207074747</v>
      </c>
      <c r="U20" s="2483">
        <f t="shared" ref="U20" si="71">SUM(E20)</f>
        <v>5.6442026207074747</v>
      </c>
      <c r="V20" s="2466">
        <f t="shared" si="10"/>
        <v>16.932607862122424</v>
      </c>
      <c r="W20" s="642">
        <f t="shared" si="11"/>
        <v>67.730431448489696</v>
      </c>
    </row>
    <row r="21" spans="1:23" ht="18.75">
      <c r="A21" s="2485" t="s">
        <v>1590</v>
      </c>
      <c r="B21" s="2475">
        <f>SUM('цех вода'!AZ48)</f>
        <v>13162.699803128975</v>
      </c>
      <c r="C21" s="2475">
        <f>SUM(вода!CS26)</f>
        <v>13162.699803128975</v>
      </c>
      <c r="D21" s="2476">
        <v>0</v>
      </c>
      <c r="E21" s="2477">
        <f>SUM(E22+E23+E24+E25+E26+E27+E28+E29+E31+E32+E33+E34+E35+E36+E37+E38+E39+E44)</f>
        <v>1497.5716980386871</v>
      </c>
      <c r="F21" s="2477">
        <f t="shared" ref="F21:G21" si="72">SUM(F22+F23+F24+F25+F26+F27+F28+F29+F31+F32+F33+F34+F35+F36+F37+F38+F39+F44)</f>
        <v>1379.621030969105</v>
      </c>
      <c r="G21" s="2477">
        <f t="shared" si="72"/>
        <v>1328.5394944954505</v>
      </c>
      <c r="H21" s="2478">
        <f t="shared" si="5"/>
        <v>4205.7322235032425</v>
      </c>
      <c r="I21" s="2477">
        <f t="shared" ref="I21:K21" si="73">SUM(I22+I23+I24+I25+I26+I27+I28+I29+I31+I32+I33+I34+I35+I36+I37+I38+I39+I44)</f>
        <v>1150.5621519277927</v>
      </c>
      <c r="J21" s="2477">
        <f t="shared" si="73"/>
        <v>793.6574196287977</v>
      </c>
      <c r="K21" s="2477">
        <f t="shared" si="73"/>
        <v>685.91064140179344</v>
      </c>
      <c r="L21" s="2478">
        <f t="shared" si="6"/>
        <v>2630.1302129583837</v>
      </c>
      <c r="M21" s="2478">
        <f t="shared" si="7"/>
        <v>6835.8624364616262</v>
      </c>
      <c r="N21" s="2477">
        <f t="shared" ref="N21:P21" si="74">SUM(N22+N23+N24+N25+N26+N27+N28+N29+N31+N32+N33+N34+N35+N36+N37+N38+N39+N44)</f>
        <v>705.83079340463087</v>
      </c>
      <c r="O21" s="2477">
        <f t="shared" si="74"/>
        <v>704.85030389629583</v>
      </c>
      <c r="P21" s="2477">
        <f t="shared" si="74"/>
        <v>905.0174755995464</v>
      </c>
      <c r="Q21" s="2478">
        <f t="shared" si="8"/>
        <v>2315.6985729004732</v>
      </c>
      <c r="R21" s="2478">
        <f t="shared" si="9"/>
        <v>9151.5610093620999</v>
      </c>
      <c r="S21" s="2477">
        <f t="shared" ref="S21:U21" si="75">SUM(S22+S23+S24+S25+S26+S27+S28+S29+S31+S32+S33+S34+S35+S36+S37+S38+S39+S44)</f>
        <v>1197.6804409450415</v>
      </c>
      <c r="T21" s="2477">
        <f t="shared" si="75"/>
        <v>1326.4232518348545</v>
      </c>
      <c r="U21" s="2477">
        <f t="shared" si="75"/>
        <v>1487.0351009869801</v>
      </c>
      <c r="V21" s="2478">
        <f t="shared" si="10"/>
        <v>4011.138793766876</v>
      </c>
      <c r="W21" s="642">
        <f t="shared" si="11"/>
        <v>13162.699803128975</v>
      </c>
    </row>
    <row r="22" spans="1:23" ht="18.75">
      <c r="A22" s="2479" t="s">
        <v>72</v>
      </c>
      <c r="B22" s="2480">
        <f>SUM(B21*33.82%)</f>
        <v>4451.6250734182195</v>
      </c>
      <c r="C22" s="2480">
        <f>SUM(B22)</f>
        <v>4451.6250734182195</v>
      </c>
      <c r="D22" s="2481">
        <f t="shared" ref="D22:D38" si="76">SUM(B22-C22)</f>
        <v>0</v>
      </c>
      <c r="E22" s="2467">
        <f>SUM(B22/2)/(1+(104%*100-100)/2/100)/6</f>
        <v>363.69485893939697</v>
      </c>
      <c r="F22" s="2482">
        <f>SUM(E22)</f>
        <v>363.69485893939697</v>
      </c>
      <c r="G22" s="2467">
        <f>SUM(E22)</f>
        <v>363.69485893939697</v>
      </c>
      <c r="H22" s="2466">
        <f>SUM(E22+F22+G22)</f>
        <v>1091.084576818191</v>
      </c>
      <c r="I22" s="2483">
        <f>SUM(E22)</f>
        <v>363.69485893939697</v>
      </c>
      <c r="J22" s="2483">
        <f>SUM(E22)</f>
        <v>363.69485893939697</v>
      </c>
      <c r="K22" s="2483">
        <f>SUM(E22)</f>
        <v>363.69485893939697</v>
      </c>
      <c r="L22" s="2466">
        <f>SUM(I22+J22+K22)</f>
        <v>1091.084576818191</v>
      </c>
      <c r="M22" s="2466">
        <f>SUM(H22+L22)</f>
        <v>2182.1691536363819</v>
      </c>
      <c r="N22" s="2483">
        <f>SUM(B22-M22)/6</f>
        <v>378.24265329697295</v>
      </c>
      <c r="O22" s="2483">
        <f>SUM(N22)</f>
        <v>378.24265329697295</v>
      </c>
      <c r="P22" s="2483">
        <f>SUM(N22)</f>
        <v>378.24265329697295</v>
      </c>
      <c r="Q22" s="2466">
        <f>SUM(N22+O22+P22)</f>
        <v>1134.7279598909188</v>
      </c>
      <c r="R22" s="2466">
        <f>SUM(M22+Q22)</f>
        <v>3316.8971135273005</v>
      </c>
      <c r="S22" s="2483">
        <f>SUM(N22)</f>
        <v>378.24265329697295</v>
      </c>
      <c r="T22" s="2483">
        <f>SUM(N22)</f>
        <v>378.24265329697295</v>
      </c>
      <c r="U22" s="2483">
        <f>SUM(N22)</f>
        <v>378.24265329697295</v>
      </c>
      <c r="V22" s="2466">
        <f>SUM(S22+T22+U22)</f>
        <v>1134.7279598909188</v>
      </c>
      <c r="W22" s="642">
        <f>SUM(U22+T22+S22+P22+O22+N22+K22+J22+I22+G22+F22+E22)</f>
        <v>4451.6250734182195</v>
      </c>
    </row>
    <row r="23" spans="1:23" ht="18.75">
      <c r="A23" s="2479" t="s">
        <v>121</v>
      </c>
      <c r="B23" s="2480">
        <f>SUM(B21*10.21%)</f>
        <v>1343.9116498994686</v>
      </c>
      <c r="C23" s="2480">
        <f t="shared" ref="C23:C38" si="77">SUM(B23)</f>
        <v>1343.9116498994686</v>
      </c>
      <c r="D23" s="2481">
        <f t="shared" si="76"/>
        <v>0</v>
      </c>
      <c r="E23" s="2467">
        <f>SUM(E22*(B23/B22))</f>
        <v>109.79670342315917</v>
      </c>
      <c r="F23" s="2467">
        <f>SUM(E23)</f>
        <v>109.79670342315917</v>
      </c>
      <c r="G23" s="2482">
        <f>SUM(E23)</f>
        <v>109.79670342315917</v>
      </c>
      <c r="H23" s="2466">
        <f t="shared" ref="H23" si="78">SUM(E23+F23+G23)</f>
        <v>329.39011026947753</v>
      </c>
      <c r="I23" s="2483">
        <f>SUM(E23)</f>
        <v>109.79670342315917</v>
      </c>
      <c r="J23" s="2483">
        <f>SUM(E23)</f>
        <v>109.79670342315917</v>
      </c>
      <c r="K23" s="2483">
        <f>SUM(E23)</f>
        <v>109.79670342315917</v>
      </c>
      <c r="L23" s="2466">
        <f t="shared" ref="L23" si="79">SUM(I23+J23+K23)</f>
        <v>329.39011026947753</v>
      </c>
      <c r="M23" s="2466">
        <f t="shared" ref="M23:M35" si="80">SUM(H23+L23)</f>
        <v>658.78022053895506</v>
      </c>
      <c r="N23" s="2483">
        <f>SUM(B23-M23)/6</f>
        <v>114.18857156008558</v>
      </c>
      <c r="O23" s="2483">
        <f>SUM(N23)</f>
        <v>114.18857156008558</v>
      </c>
      <c r="P23" s="2483">
        <f>SUM(N23)</f>
        <v>114.18857156008558</v>
      </c>
      <c r="Q23" s="2466">
        <f t="shared" ref="Q23" si="81">SUM(N23+O23+P23)</f>
        <v>342.56571468025675</v>
      </c>
      <c r="R23" s="2466">
        <f t="shared" ref="R23:R35" si="82">SUM(M23+Q23)</f>
        <v>1001.3459352192118</v>
      </c>
      <c r="S23" s="2483">
        <f>SUM(N23)</f>
        <v>114.18857156008558</v>
      </c>
      <c r="T23" s="2483">
        <f>SUM(N23)</f>
        <v>114.18857156008558</v>
      </c>
      <c r="U23" s="2483">
        <f>SUM(N23)</f>
        <v>114.18857156008558</v>
      </c>
      <c r="V23" s="2466">
        <f t="shared" ref="V23" si="83">SUM(S23+T23+U23)</f>
        <v>342.56571468025675</v>
      </c>
      <c r="W23" s="642">
        <f t="shared" ref="W23" si="84">SUM(U23+T23+S23+P23+O23+N23+K23+J23+I23+G23+F23+E23)</f>
        <v>1343.9116498994688</v>
      </c>
    </row>
    <row r="24" spans="1:23" ht="18.75">
      <c r="A24" s="2479" t="s">
        <v>52</v>
      </c>
      <c r="B24" s="2480">
        <f>SUM(B21*0.79%)</f>
        <v>103.98532844471892</v>
      </c>
      <c r="C24" s="2480">
        <f t="shared" si="77"/>
        <v>103.98532844471892</v>
      </c>
      <c r="D24" s="2481">
        <f t="shared" si="76"/>
        <v>0</v>
      </c>
      <c r="E24" s="2467">
        <f t="shared" ref="E24" si="85">SUM(B24/12)</f>
        <v>8.6654440370599097</v>
      </c>
      <c r="F24" s="2467">
        <f t="shared" ref="F24:F38" si="86">SUM(E24)</f>
        <v>8.6654440370599097</v>
      </c>
      <c r="G24" s="2467">
        <f t="shared" ref="G24:G38" si="87">SUM(E24)</f>
        <v>8.6654440370599097</v>
      </c>
      <c r="H24" s="2466">
        <f t="shared" ref="H24:H38" si="88">SUM(E24+F24+G24)</f>
        <v>25.996332111179729</v>
      </c>
      <c r="I24" s="2483">
        <f t="shared" ref="I24:I38" si="89">SUM(E24)</f>
        <v>8.6654440370599097</v>
      </c>
      <c r="J24" s="2483">
        <f t="shared" ref="J24:J38" si="90">SUM(E24)</f>
        <v>8.6654440370599097</v>
      </c>
      <c r="K24" s="2483">
        <f t="shared" ref="K24:K38" si="91">SUM(E24)</f>
        <v>8.6654440370599097</v>
      </c>
      <c r="L24" s="2466">
        <f t="shared" ref="L24:L38" si="92">SUM(I24+J24+K24)</f>
        <v>25.996332111179729</v>
      </c>
      <c r="M24" s="2466">
        <f t="shared" si="80"/>
        <v>51.992664222359458</v>
      </c>
      <c r="N24" s="2483">
        <f t="shared" ref="N24:N38" si="93">SUM(E24)</f>
        <v>8.6654440370599097</v>
      </c>
      <c r="O24" s="2483">
        <f t="shared" ref="O24:O38" si="94">SUM(E24)</f>
        <v>8.6654440370599097</v>
      </c>
      <c r="P24" s="2483">
        <f t="shared" ref="P24:P38" si="95">SUM(E24)</f>
        <v>8.6654440370599097</v>
      </c>
      <c r="Q24" s="2466">
        <f t="shared" ref="Q24:Q38" si="96">SUM(N24+O24+P24)</f>
        <v>25.996332111179729</v>
      </c>
      <c r="R24" s="2466">
        <f t="shared" si="82"/>
        <v>77.988996333539191</v>
      </c>
      <c r="S24" s="2483">
        <f t="shared" ref="S24:S38" si="97">SUM(E24)</f>
        <v>8.6654440370599097</v>
      </c>
      <c r="T24" s="2483">
        <f t="shared" ref="T24:T38" si="98">SUM(E24)</f>
        <v>8.6654440370599097</v>
      </c>
      <c r="U24" s="2483">
        <f t="shared" ref="U24:U38" si="99">SUM(E24)</f>
        <v>8.6654440370599097</v>
      </c>
      <c r="V24" s="2466">
        <f t="shared" ref="V24:V38" si="100">SUM(S24+T24+U24)</f>
        <v>25.996332111179729</v>
      </c>
      <c r="W24" s="642">
        <f t="shared" si="11"/>
        <v>103.98532844471895</v>
      </c>
    </row>
    <row r="25" spans="1:23" ht="18.75">
      <c r="A25" s="2479" t="s">
        <v>1556</v>
      </c>
      <c r="B25" s="2480">
        <f>SUM(B21*0.17%)</f>
        <v>22.376589665319258</v>
      </c>
      <c r="C25" s="2480">
        <f t="shared" si="77"/>
        <v>22.376589665319258</v>
      </c>
      <c r="D25" s="2481">
        <f t="shared" si="76"/>
        <v>0</v>
      </c>
      <c r="E25" s="2467">
        <f t="shared" ref="E25:E33" si="101">SUM(B25/12)</f>
        <v>1.8647158054432715</v>
      </c>
      <c r="F25" s="2467">
        <f t="shared" si="86"/>
        <v>1.8647158054432715</v>
      </c>
      <c r="G25" s="2467">
        <f t="shared" si="87"/>
        <v>1.8647158054432715</v>
      </c>
      <c r="H25" s="2466">
        <f t="shared" si="88"/>
        <v>5.5941474163298146</v>
      </c>
      <c r="I25" s="2483">
        <f t="shared" si="89"/>
        <v>1.8647158054432715</v>
      </c>
      <c r="J25" s="2483">
        <f t="shared" si="90"/>
        <v>1.8647158054432715</v>
      </c>
      <c r="K25" s="2483">
        <f t="shared" si="91"/>
        <v>1.8647158054432715</v>
      </c>
      <c r="L25" s="2466">
        <f t="shared" si="92"/>
        <v>5.5941474163298146</v>
      </c>
      <c r="M25" s="2466">
        <f t="shared" si="80"/>
        <v>11.188294832659629</v>
      </c>
      <c r="N25" s="2483">
        <f t="shared" si="93"/>
        <v>1.8647158054432715</v>
      </c>
      <c r="O25" s="2483">
        <f t="shared" si="94"/>
        <v>1.8647158054432715</v>
      </c>
      <c r="P25" s="2483">
        <f t="shared" si="95"/>
        <v>1.8647158054432715</v>
      </c>
      <c r="Q25" s="2466">
        <f t="shared" si="96"/>
        <v>5.5941474163298146</v>
      </c>
      <c r="R25" s="2466">
        <f t="shared" si="82"/>
        <v>16.782442248989444</v>
      </c>
      <c r="S25" s="2483">
        <f t="shared" si="97"/>
        <v>1.8647158054432715</v>
      </c>
      <c r="T25" s="2483">
        <f t="shared" si="98"/>
        <v>1.8647158054432715</v>
      </c>
      <c r="U25" s="2483">
        <f t="shared" si="99"/>
        <v>1.8647158054432715</v>
      </c>
      <c r="V25" s="2466">
        <f t="shared" si="100"/>
        <v>5.5941474163298146</v>
      </c>
      <c r="W25" s="642">
        <f t="shared" si="11"/>
        <v>22.376589665319258</v>
      </c>
    </row>
    <row r="26" spans="1:23" ht="18.75">
      <c r="A26" s="2479" t="s">
        <v>605</v>
      </c>
      <c r="B26" s="2480">
        <f>SUM(B21*4.27%)</f>
        <v>562.04728159360718</v>
      </c>
      <c r="C26" s="2480">
        <f t="shared" si="77"/>
        <v>562.04728159360718</v>
      </c>
      <c r="D26" s="2481">
        <f t="shared" si="76"/>
        <v>0</v>
      </c>
      <c r="E26" s="2467">
        <f t="shared" si="101"/>
        <v>46.837273466133929</v>
      </c>
      <c r="F26" s="2467">
        <f t="shared" si="86"/>
        <v>46.837273466133929</v>
      </c>
      <c r="G26" s="2467">
        <f t="shared" si="87"/>
        <v>46.837273466133929</v>
      </c>
      <c r="H26" s="2466">
        <f t="shared" si="88"/>
        <v>140.5118203984018</v>
      </c>
      <c r="I26" s="2483">
        <f t="shared" si="89"/>
        <v>46.837273466133929</v>
      </c>
      <c r="J26" s="2483">
        <f t="shared" si="90"/>
        <v>46.837273466133929</v>
      </c>
      <c r="K26" s="2483">
        <f t="shared" si="91"/>
        <v>46.837273466133929</v>
      </c>
      <c r="L26" s="2466">
        <f t="shared" si="92"/>
        <v>140.5118203984018</v>
      </c>
      <c r="M26" s="2466">
        <f t="shared" si="80"/>
        <v>281.02364079680359</v>
      </c>
      <c r="N26" s="2483">
        <f t="shared" si="93"/>
        <v>46.837273466133929</v>
      </c>
      <c r="O26" s="2483">
        <f t="shared" si="94"/>
        <v>46.837273466133929</v>
      </c>
      <c r="P26" s="2483">
        <f t="shared" si="95"/>
        <v>46.837273466133929</v>
      </c>
      <c r="Q26" s="2466">
        <f t="shared" si="96"/>
        <v>140.5118203984018</v>
      </c>
      <c r="R26" s="2466">
        <f t="shared" si="82"/>
        <v>421.53546119520536</v>
      </c>
      <c r="S26" s="2483">
        <f t="shared" si="97"/>
        <v>46.837273466133929</v>
      </c>
      <c r="T26" s="2483">
        <f t="shared" si="98"/>
        <v>46.837273466133929</v>
      </c>
      <c r="U26" s="2483">
        <f t="shared" si="99"/>
        <v>46.837273466133929</v>
      </c>
      <c r="V26" s="2466">
        <f t="shared" si="100"/>
        <v>140.5118203984018</v>
      </c>
      <c r="W26" s="642">
        <f t="shared" si="11"/>
        <v>562.04728159360718</v>
      </c>
    </row>
    <row r="27" spans="1:23" ht="18.75">
      <c r="A27" s="2479" t="s">
        <v>1557</v>
      </c>
      <c r="B27" s="2480">
        <f>SUM(B21*3.52%)</f>
        <v>463.32703307013992</v>
      </c>
      <c r="C27" s="2480">
        <f t="shared" si="77"/>
        <v>463.32703307013992</v>
      </c>
      <c r="D27" s="2481">
        <f t="shared" si="76"/>
        <v>0</v>
      </c>
      <c r="E27" s="2467">
        <f t="shared" si="101"/>
        <v>38.610586089178327</v>
      </c>
      <c r="F27" s="2467">
        <f t="shared" si="86"/>
        <v>38.610586089178327</v>
      </c>
      <c r="G27" s="2467">
        <f t="shared" si="87"/>
        <v>38.610586089178327</v>
      </c>
      <c r="H27" s="2466">
        <f t="shared" si="88"/>
        <v>115.83175826753498</v>
      </c>
      <c r="I27" s="2483">
        <f t="shared" si="89"/>
        <v>38.610586089178327</v>
      </c>
      <c r="J27" s="2483">
        <f t="shared" si="90"/>
        <v>38.610586089178327</v>
      </c>
      <c r="K27" s="2483">
        <f t="shared" si="91"/>
        <v>38.610586089178327</v>
      </c>
      <c r="L27" s="2466">
        <f t="shared" si="92"/>
        <v>115.83175826753498</v>
      </c>
      <c r="M27" s="2466">
        <f t="shared" si="80"/>
        <v>231.66351653506996</v>
      </c>
      <c r="N27" s="2483">
        <f t="shared" si="93"/>
        <v>38.610586089178327</v>
      </c>
      <c r="O27" s="2483">
        <f t="shared" si="94"/>
        <v>38.610586089178327</v>
      </c>
      <c r="P27" s="2483">
        <f t="shared" si="95"/>
        <v>38.610586089178327</v>
      </c>
      <c r="Q27" s="2466">
        <f t="shared" si="96"/>
        <v>115.83175826753498</v>
      </c>
      <c r="R27" s="2466">
        <f t="shared" si="82"/>
        <v>347.49527480260497</v>
      </c>
      <c r="S27" s="2483">
        <f t="shared" si="97"/>
        <v>38.610586089178327</v>
      </c>
      <c r="T27" s="2483">
        <f t="shared" si="98"/>
        <v>38.610586089178327</v>
      </c>
      <c r="U27" s="2483">
        <f t="shared" si="99"/>
        <v>38.610586089178327</v>
      </c>
      <c r="V27" s="2466">
        <f t="shared" si="100"/>
        <v>115.83175826753498</v>
      </c>
      <c r="W27" s="642">
        <f t="shared" si="11"/>
        <v>463.32703307014003</v>
      </c>
    </row>
    <row r="28" spans="1:23" ht="18.75">
      <c r="A28" s="2479" t="s">
        <v>607</v>
      </c>
      <c r="B28" s="2480">
        <f>SUM(B21*0.67%)</f>
        <v>88.190088680964138</v>
      </c>
      <c r="C28" s="2480">
        <f t="shared" si="77"/>
        <v>88.190088680964138</v>
      </c>
      <c r="D28" s="2481">
        <f t="shared" si="76"/>
        <v>0</v>
      </c>
      <c r="E28" s="2467">
        <f t="shared" si="101"/>
        <v>7.3491740567470112</v>
      </c>
      <c r="F28" s="2467">
        <f t="shared" si="86"/>
        <v>7.3491740567470112</v>
      </c>
      <c r="G28" s="2467">
        <f t="shared" si="87"/>
        <v>7.3491740567470112</v>
      </c>
      <c r="H28" s="2466">
        <f t="shared" si="88"/>
        <v>22.047522170241034</v>
      </c>
      <c r="I28" s="2483">
        <f t="shared" si="89"/>
        <v>7.3491740567470112</v>
      </c>
      <c r="J28" s="2483">
        <f t="shared" si="90"/>
        <v>7.3491740567470112</v>
      </c>
      <c r="K28" s="2483">
        <f t="shared" si="91"/>
        <v>7.3491740567470112</v>
      </c>
      <c r="L28" s="2466">
        <f t="shared" si="92"/>
        <v>22.047522170241034</v>
      </c>
      <c r="M28" s="2466">
        <f t="shared" si="80"/>
        <v>44.095044340482069</v>
      </c>
      <c r="N28" s="2483">
        <f t="shared" si="93"/>
        <v>7.3491740567470112</v>
      </c>
      <c r="O28" s="2483">
        <f t="shared" si="94"/>
        <v>7.3491740567470112</v>
      </c>
      <c r="P28" s="2483">
        <f t="shared" si="95"/>
        <v>7.3491740567470112</v>
      </c>
      <c r="Q28" s="2466">
        <f t="shared" si="96"/>
        <v>22.047522170241034</v>
      </c>
      <c r="R28" s="2466">
        <f t="shared" si="82"/>
        <v>66.1425665107231</v>
      </c>
      <c r="S28" s="2483">
        <f t="shared" si="97"/>
        <v>7.3491740567470112</v>
      </c>
      <c r="T28" s="2483">
        <f t="shared" si="98"/>
        <v>7.3491740567470112</v>
      </c>
      <c r="U28" s="2483">
        <f t="shared" si="99"/>
        <v>7.3491740567470112</v>
      </c>
      <c r="V28" s="2466">
        <f t="shared" si="100"/>
        <v>22.047522170241034</v>
      </c>
      <c r="W28" s="642">
        <f t="shared" si="11"/>
        <v>88.190088680964152</v>
      </c>
    </row>
    <row r="29" spans="1:23" ht="18.75">
      <c r="A29" s="2479" t="s">
        <v>98</v>
      </c>
      <c r="B29" s="2480">
        <f>SUM(B21*0.41%)</f>
        <v>53.967069192828788</v>
      </c>
      <c r="C29" s="2480">
        <f t="shared" si="77"/>
        <v>53.967069192828788</v>
      </c>
      <c r="D29" s="2481">
        <f t="shared" si="76"/>
        <v>0</v>
      </c>
      <c r="E29" s="2467">
        <f t="shared" si="101"/>
        <v>4.497255766069066</v>
      </c>
      <c r="F29" s="2467">
        <f t="shared" si="86"/>
        <v>4.497255766069066</v>
      </c>
      <c r="G29" s="2467">
        <f t="shared" si="87"/>
        <v>4.497255766069066</v>
      </c>
      <c r="H29" s="2466">
        <f t="shared" si="88"/>
        <v>13.491767298207197</v>
      </c>
      <c r="I29" s="2483">
        <f t="shared" si="89"/>
        <v>4.497255766069066</v>
      </c>
      <c r="J29" s="2483">
        <f t="shared" si="90"/>
        <v>4.497255766069066</v>
      </c>
      <c r="K29" s="2483">
        <f t="shared" si="91"/>
        <v>4.497255766069066</v>
      </c>
      <c r="L29" s="2466">
        <f t="shared" si="92"/>
        <v>13.491767298207197</v>
      </c>
      <c r="M29" s="2466">
        <f t="shared" si="80"/>
        <v>26.983534596414394</v>
      </c>
      <c r="N29" s="2483">
        <f t="shared" si="93"/>
        <v>4.497255766069066</v>
      </c>
      <c r="O29" s="2483">
        <f t="shared" si="94"/>
        <v>4.497255766069066</v>
      </c>
      <c r="P29" s="2483">
        <f t="shared" si="95"/>
        <v>4.497255766069066</v>
      </c>
      <c r="Q29" s="2466">
        <f t="shared" si="96"/>
        <v>13.491767298207197</v>
      </c>
      <c r="R29" s="2466">
        <f t="shared" si="82"/>
        <v>40.475301894621595</v>
      </c>
      <c r="S29" s="2483">
        <f t="shared" si="97"/>
        <v>4.497255766069066</v>
      </c>
      <c r="T29" s="2483">
        <f t="shared" si="98"/>
        <v>4.497255766069066</v>
      </c>
      <c r="U29" s="2483">
        <f t="shared" si="99"/>
        <v>4.497255766069066</v>
      </c>
      <c r="V29" s="2466">
        <f t="shared" si="100"/>
        <v>13.491767298207197</v>
      </c>
      <c r="W29" s="642">
        <f t="shared" si="11"/>
        <v>53.967069192828795</v>
      </c>
    </row>
    <row r="30" spans="1:23" ht="18.75">
      <c r="A30" s="4790" t="s">
        <v>42</v>
      </c>
      <c r="B30" s="2480">
        <f>SUM(B21*0%)</f>
        <v>0</v>
      </c>
      <c r="C30" s="2480">
        <f t="shared" ref="C30" si="102">SUM(B30)</f>
        <v>0</v>
      </c>
      <c r="D30" s="2481">
        <f t="shared" ref="D30" si="103">SUM(B30-C30)</f>
        <v>0</v>
      </c>
      <c r="E30" s="2467">
        <f t="shared" ref="E30" si="104">SUM(B30/12)</f>
        <v>0</v>
      </c>
      <c r="F30" s="2467">
        <f t="shared" ref="F30" si="105">SUM(E30)</f>
        <v>0</v>
      </c>
      <c r="G30" s="2467">
        <f t="shared" ref="G30" si="106">SUM(E30)</f>
        <v>0</v>
      </c>
      <c r="H30" s="2466">
        <f t="shared" ref="H30" si="107">SUM(E30+F30+G30)</f>
        <v>0</v>
      </c>
      <c r="I30" s="2483">
        <f t="shared" ref="I30" si="108">SUM(E30)</f>
        <v>0</v>
      </c>
      <c r="J30" s="2483">
        <f t="shared" ref="J30" si="109">SUM(E30)</f>
        <v>0</v>
      </c>
      <c r="K30" s="2483">
        <f t="shared" ref="K30" si="110">SUM(E30)</f>
        <v>0</v>
      </c>
      <c r="L30" s="2466">
        <f t="shared" ref="L30" si="111">SUM(I30+J30+K30)</f>
        <v>0</v>
      </c>
      <c r="M30" s="2466">
        <f t="shared" ref="M30" si="112">SUM(H30+L30)</f>
        <v>0</v>
      </c>
      <c r="N30" s="2483">
        <f t="shared" ref="N30" si="113">SUM(E30)</f>
        <v>0</v>
      </c>
      <c r="O30" s="2483">
        <f t="shared" ref="O30" si="114">SUM(E30)</f>
        <v>0</v>
      </c>
      <c r="P30" s="2483">
        <f t="shared" ref="P30" si="115">SUM(E30)</f>
        <v>0</v>
      </c>
      <c r="Q30" s="2466">
        <f t="shared" ref="Q30" si="116">SUM(N30+O30+P30)</f>
        <v>0</v>
      </c>
      <c r="R30" s="2466">
        <f t="shared" ref="R30" si="117">SUM(M30+Q30)</f>
        <v>0</v>
      </c>
      <c r="S30" s="2483">
        <f t="shared" ref="S30" si="118">SUM(E30)</f>
        <v>0</v>
      </c>
      <c r="T30" s="2483">
        <f t="shared" ref="T30" si="119">SUM(E30)</f>
        <v>0</v>
      </c>
      <c r="U30" s="2483">
        <f t="shared" ref="U30" si="120">SUM(E30)</f>
        <v>0</v>
      </c>
      <c r="V30" s="2466">
        <f t="shared" ref="V30" si="121">SUM(S30+T30+U30)</f>
        <v>0</v>
      </c>
      <c r="W30" s="642">
        <f t="shared" ref="W30" si="122">SUM(U30+T30+S30+P30+O30+N30+K30+J30+I30+G30+F30+E30)</f>
        <v>0</v>
      </c>
    </row>
    <row r="31" spans="1:23" ht="18.75">
      <c r="A31" s="2479" t="s">
        <v>608</v>
      </c>
      <c r="B31" s="2480">
        <f>SUM(B21*0.64%)</f>
        <v>84.24127874002545</v>
      </c>
      <c r="C31" s="2480">
        <f t="shared" si="77"/>
        <v>84.24127874002545</v>
      </c>
      <c r="D31" s="2481">
        <f t="shared" si="76"/>
        <v>0</v>
      </c>
      <c r="E31" s="2467">
        <f t="shared" si="101"/>
        <v>7.0201065616687872</v>
      </c>
      <c r="F31" s="2467">
        <f t="shared" si="86"/>
        <v>7.0201065616687872</v>
      </c>
      <c r="G31" s="2467">
        <f t="shared" si="87"/>
        <v>7.0201065616687872</v>
      </c>
      <c r="H31" s="2466">
        <f t="shared" si="88"/>
        <v>21.060319685006363</v>
      </c>
      <c r="I31" s="2483">
        <f t="shared" si="89"/>
        <v>7.0201065616687872</v>
      </c>
      <c r="J31" s="2483">
        <f t="shared" si="90"/>
        <v>7.0201065616687872</v>
      </c>
      <c r="K31" s="2483">
        <f t="shared" si="91"/>
        <v>7.0201065616687872</v>
      </c>
      <c r="L31" s="2466">
        <f t="shared" si="92"/>
        <v>21.060319685006363</v>
      </c>
      <c r="M31" s="2466">
        <f t="shared" si="80"/>
        <v>42.120639370012725</v>
      </c>
      <c r="N31" s="2483">
        <f t="shared" si="93"/>
        <v>7.0201065616687872</v>
      </c>
      <c r="O31" s="2483">
        <f t="shared" si="94"/>
        <v>7.0201065616687872</v>
      </c>
      <c r="P31" s="2483">
        <f t="shared" si="95"/>
        <v>7.0201065616687872</v>
      </c>
      <c r="Q31" s="2466">
        <f t="shared" si="96"/>
        <v>21.060319685006363</v>
      </c>
      <c r="R31" s="2466">
        <f t="shared" si="82"/>
        <v>63.180959055019088</v>
      </c>
      <c r="S31" s="2483">
        <f t="shared" si="97"/>
        <v>7.0201065616687872</v>
      </c>
      <c r="T31" s="2483">
        <f t="shared" si="98"/>
        <v>7.0201065616687872</v>
      </c>
      <c r="U31" s="2483">
        <f t="shared" si="99"/>
        <v>7.0201065616687872</v>
      </c>
      <c r="V31" s="2466">
        <f t="shared" si="100"/>
        <v>21.060319685006363</v>
      </c>
      <c r="W31" s="642">
        <f t="shared" si="11"/>
        <v>84.24127874002545</v>
      </c>
    </row>
    <row r="32" spans="1:23" ht="18.75">
      <c r="A32" s="2479" t="s">
        <v>1558</v>
      </c>
      <c r="B32" s="2480">
        <f>SUM(B21*0.32%)</f>
        <v>42.120639370012725</v>
      </c>
      <c r="C32" s="2480">
        <f t="shared" si="77"/>
        <v>42.120639370012725</v>
      </c>
      <c r="D32" s="2481">
        <f t="shared" si="76"/>
        <v>0</v>
      </c>
      <c r="E32" s="2467">
        <f t="shared" si="101"/>
        <v>3.5100532808343936</v>
      </c>
      <c r="F32" s="2467">
        <f t="shared" si="86"/>
        <v>3.5100532808343936</v>
      </c>
      <c r="G32" s="2467">
        <f t="shared" si="87"/>
        <v>3.5100532808343936</v>
      </c>
      <c r="H32" s="2466">
        <f t="shared" si="88"/>
        <v>10.530159842503181</v>
      </c>
      <c r="I32" s="2483">
        <f t="shared" si="89"/>
        <v>3.5100532808343936</v>
      </c>
      <c r="J32" s="2483">
        <f t="shared" si="90"/>
        <v>3.5100532808343936</v>
      </c>
      <c r="K32" s="2483">
        <f t="shared" si="91"/>
        <v>3.5100532808343936</v>
      </c>
      <c r="L32" s="2466">
        <f t="shared" si="92"/>
        <v>10.530159842503181</v>
      </c>
      <c r="M32" s="2466">
        <f t="shared" si="80"/>
        <v>21.060319685006363</v>
      </c>
      <c r="N32" s="2483">
        <f t="shared" si="93"/>
        <v>3.5100532808343936</v>
      </c>
      <c r="O32" s="2483">
        <f t="shared" si="94"/>
        <v>3.5100532808343936</v>
      </c>
      <c r="P32" s="2483">
        <f t="shared" si="95"/>
        <v>3.5100532808343936</v>
      </c>
      <c r="Q32" s="2466">
        <f t="shared" si="96"/>
        <v>10.530159842503181</v>
      </c>
      <c r="R32" s="2466">
        <f t="shared" si="82"/>
        <v>31.590479527509544</v>
      </c>
      <c r="S32" s="2483">
        <f t="shared" si="97"/>
        <v>3.5100532808343936</v>
      </c>
      <c r="T32" s="2483">
        <f t="shared" si="98"/>
        <v>3.5100532808343936</v>
      </c>
      <c r="U32" s="2483">
        <f t="shared" si="99"/>
        <v>3.5100532808343936</v>
      </c>
      <c r="V32" s="2466">
        <f t="shared" si="100"/>
        <v>10.530159842503181</v>
      </c>
      <c r="W32" s="642">
        <f t="shared" si="11"/>
        <v>42.120639370012725</v>
      </c>
    </row>
    <row r="33" spans="1:23" ht="18.75">
      <c r="A33" s="2479" t="s">
        <v>611</v>
      </c>
      <c r="B33" s="2480">
        <f>SUM(B21*0.32%)</f>
        <v>42.120639370012725</v>
      </c>
      <c r="C33" s="2480">
        <f t="shared" si="77"/>
        <v>42.120639370012725</v>
      </c>
      <c r="D33" s="2481">
        <f t="shared" si="76"/>
        <v>0</v>
      </c>
      <c r="E33" s="2467">
        <f t="shared" si="101"/>
        <v>3.5100532808343936</v>
      </c>
      <c r="F33" s="2467">
        <f t="shared" si="86"/>
        <v>3.5100532808343936</v>
      </c>
      <c r="G33" s="2467">
        <f t="shared" si="87"/>
        <v>3.5100532808343936</v>
      </c>
      <c r="H33" s="2466">
        <f t="shared" si="88"/>
        <v>10.530159842503181</v>
      </c>
      <c r="I33" s="2483">
        <f t="shared" si="89"/>
        <v>3.5100532808343936</v>
      </c>
      <c r="J33" s="2483">
        <f t="shared" si="90"/>
        <v>3.5100532808343936</v>
      </c>
      <c r="K33" s="2483">
        <f t="shared" si="91"/>
        <v>3.5100532808343936</v>
      </c>
      <c r="L33" s="2466">
        <f t="shared" si="92"/>
        <v>10.530159842503181</v>
      </c>
      <c r="M33" s="2466">
        <f t="shared" si="80"/>
        <v>21.060319685006363</v>
      </c>
      <c r="N33" s="2483">
        <f t="shared" si="93"/>
        <v>3.5100532808343936</v>
      </c>
      <c r="O33" s="2483">
        <f t="shared" si="94"/>
        <v>3.5100532808343936</v>
      </c>
      <c r="P33" s="2483">
        <f t="shared" si="95"/>
        <v>3.5100532808343936</v>
      </c>
      <c r="Q33" s="2466">
        <f t="shared" si="96"/>
        <v>10.530159842503181</v>
      </c>
      <c r="R33" s="2466">
        <f t="shared" si="82"/>
        <v>31.590479527509544</v>
      </c>
      <c r="S33" s="2483">
        <f t="shared" si="97"/>
        <v>3.5100532808343936</v>
      </c>
      <c r="T33" s="2483">
        <f t="shared" si="98"/>
        <v>3.5100532808343936</v>
      </c>
      <c r="U33" s="2483">
        <f t="shared" si="99"/>
        <v>3.5100532808343936</v>
      </c>
      <c r="V33" s="2466">
        <f t="shared" si="100"/>
        <v>10.530159842503181</v>
      </c>
      <c r="W33" s="642">
        <f t="shared" si="11"/>
        <v>42.120639370012725</v>
      </c>
    </row>
    <row r="34" spans="1:23" ht="18.75">
      <c r="A34" s="2479" t="s">
        <v>615</v>
      </c>
      <c r="B34" s="2486">
        <v>0</v>
      </c>
      <c r="C34" s="2480">
        <f t="shared" si="77"/>
        <v>0</v>
      </c>
      <c r="D34" s="2481">
        <f t="shared" si="76"/>
        <v>0</v>
      </c>
      <c r="E34" s="2487">
        <f t="shared" ref="E34:E35" si="123">SUM(B34/12)</f>
        <v>0</v>
      </c>
      <c r="F34" s="2487">
        <f t="shared" si="86"/>
        <v>0</v>
      </c>
      <c r="G34" s="2487">
        <f t="shared" si="87"/>
        <v>0</v>
      </c>
      <c r="H34" s="2488">
        <f t="shared" si="88"/>
        <v>0</v>
      </c>
      <c r="I34" s="2489">
        <f t="shared" si="89"/>
        <v>0</v>
      </c>
      <c r="J34" s="2489">
        <f t="shared" si="90"/>
        <v>0</v>
      </c>
      <c r="K34" s="2489">
        <f t="shared" si="91"/>
        <v>0</v>
      </c>
      <c r="L34" s="2488">
        <f t="shared" si="92"/>
        <v>0</v>
      </c>
      <c r="M34" s="2488">
        <f t="shared" si="80"/>
        <v>0</v>
      </c>
      <c r="N34" s="2489">
        <f t="shared" si="93"/>
        <v>0</v>
      </c>
      <c r="O34" s="2489">
        <f t="shared" si="94"/>
        <v>0</v>
      </c>
      <c r="P34" s="2489">
        <f t="shared" si="95"/>
        <v>0</v>
      </c>
      <c r="Q34" s="2488">
        <f t="shared" si="96"/>
        <v>0</v>
      </c>
      <c r="R34" s="2488">
        <f t="shared" si="82"/>
        <v>0</v>
      </c>
      <c r="S34" s="2489">
        <f t="shared" si="97"/>
        <v>0</v>
      </c>
      <c r="T34" s="2489">
        <f t="shared" si="98"/>
        <v>0</v>
      </c>
      <c r="U34" s="2489">
        <f t="shared" si="99"/>
        <v>0</v>
      </c>
      <c r="V34" s="2488">
        <f t="shared" si="100"/>
        <v>0</v>
      </c>
      <c r="W34" s="649">
        <f t="shared" si="11"/>
        <v>0</v>
      </c>
    </row>
    <row r="35" spans="1:23" ht="18.75">
      <c r="A35" s="2479" t="s">
        <v>612</v>
      </c>
      <c r="B35" s="2486">
        <v>0</v>
      </c>
      <c r="C35" s="2480">
        <f t="shared" si="77"/>
        <v>0</v>
      </c>
      <c r="D35" s="2481">
        <f t="shared" si="76"/>
        <v>0</v>
      </c>
      <c r="E35" s="2487">
        <f t="shared" si="123"/>
        <v>0</v>
      </c>
      <c r="F35" s="2487">
        <f t="shared" si="86"/>
        <v>0</v>
      </c>
      <c r="G35" s="2487">
        <f t="shared" si="87"/>
        <v>0</v>
      </c>
      <c r="H35" s="2488">
        <f t="shared" si="88"/>
        <v>0</v>
      </c>
      <c r="I35" s="2489">
        <f t="shared" si="89"/>
        <v>0</v>
      </c>
      <c r="J35" s="2489">
        <f t="shared" si="90"/>
        <v>0</v>
      </c>
      <c r="K35" s="2489">
        <f t="shared" si="91"/>
        <v>0</v>
      </c>
      <c r="L35" s="2488">
        <f t="shared" si="92"/>
        <v>0</v>
      </c>
      <c r="M35" s="2488">
        <f t="shared" si="80"/>
        <v>0</v>
      </c>
      <c r="N35" s="2489">
        <f t="shared" si="93"/>
        <v>0</v>
      </c>
      <c r="O35" s="2489">
        <f t="shared" si="94"/>
        <v>0</v>
      </c>
      <c r="P35" s="2489">
        <f t="shared" si="95"/>
        <v>0</v>
      </c>
      <c r="Q35" s="2488">
        <f t="shared" si="96"/>
        <v>0</v>
      </c>
      <c r="R35" s="2488">
        <f t="shared" si="82"/>
        <v>0</v>
      </c>
      <c r="S35" s="2489">
        <f t="shared" si="97"/>
        <v>0</v>
      </c>
      <c r="T35" s="2489">
        <f t="shared" si="98"/>
        <v>0</v>
      </c>
      <c r="U35" s="2489">
        <f t="shared" si="99"/>
        <v>0</v>
      </c>
      <c r="V35" s="2488">
        <f t="shared" si="100"/>
        <v>0</v>
      </c>
      <c r="W35" s="649">
        <f t="shared" si="11"/>
        <v>0</v>
      </c>
    </row>
    <row r="36" spans="1:23" ht="18.75">
      <c r="A36" s="2479" t="s">
        <v>1559</v>
      </c>
      <c r="B36" s="2480">
        <v>0</v>
      </c>
      <c r="C36" s="2480">
        <f t="shared" si="77"/>
        <v>0</v>
      </c>
      <c r="D36" s="2481">
        <f t="shared" si="76"/>
        <v>0</v>
      </c>
      <c r="E36" s="2467">
        <f t="shared" ref="E36:E38" si="124">SUM(B36/12)</f>
        <v>0</v>
      </c>
      <c r="F36" s="2467">
        <f t="shared" si="86"/>
        <v>0</v>
      </c>
      <c r="G36" s="2467">
        <f t="shared" si="87"/>
        <v>0</v>
      </c>
      <c r="H36" s="2466">
        <f t="shared" si="88"/>
        <v>0</v>
      </c>
      <c r="I36" s="2483">
        <f t="shared" si="89"/>
        <v>0</v>
      </c>
      <c r="J36" s="2483">
        <f t="shared" si="90"/>
        <v>0</v>
      </c>
      <c r="K36" s="2483">
        <f t="shared" si="91"/>
        <v>0</v>
      </c>
      <c r="L36" s="2466">
        <f t="shared" si="92"/>
        <v>0</v>
      </c>
      <c r="M36" s="2466">
        <f t="shared" si="7"/>
        <v>0</v>
      </c>
      <c r="N36" s="2483">
        <f t="shared" si="93"/>
        <v>0</v>
      </c>
      <c r="O36" s="2483">
        <f t="shared" si="94"/>
        <v>0</v>
      </c>
      <c r="P36" s="2483">
        <f t="shared" si="95"/>
        <v>0</v>
      </c>
      <c r="Q36" s="2466">
        <f t="shared" si="96"/>
        <v>0</v>
      </c>
      <c r="R36" s="2466">
        <f t="shared" si="9"/>
        <v>0</v>
      </c>
      <c r="S36" s="2483">
        <f t="shared" si="97"/>
        <v>0</v>
      </c>
      <c r="T36" s="2483">
        <f t="shared" si="98"/>
        <v>0</v>
      </c>
      <c r="U36" s="2483">
        <f t="shared" si="99"/>
        <v>0</v>
      </c>
      <c r="V36" s="2466">
        <f t="shared" si="100"/>
        <v>0</v>
      </c>
      <c r="W36" s="642">
        <f t="shared" si="11"/>
        <v>0</v>
      </c>
    </row>
    <row r="37" spans="1:23" ht="18.75">
      <c r="A37" s="2479" t="s">
        <v>38</v>
      </c>
      <c r="B37" s="2480">
        <f>SUM(B21*0.35%)</f>
        <v>46.069449310951406</v>
      </c>
      <c r="C37" s="2480">
        <f t="shared" si="77"/>
        <v>46.069449310951406</v>
      </c>
      <c r="D37" s="2481">
        <f t="shared" si="76"/>
        <v>0</v>
      </c>
      <c r="E37" s="2467">
        <f t="shared" si="124"/>
        <v>3.8391207759126171</v>
      </c>
      <c r="F37" s="2467">
        <f t="shared" si="86"/>
        <v>3.8391207759126171</v>
      </c>
      <c r="G37" s="2467">
        <f t="shared" si="87"/>
        <v>3.8391207759126171</v>
      </c>
      <c r="H37" s="2466">
        <f t="shared" si="88"/>
        <v>11.517362327737851</v>
      </c>
      <c r="I37" s="2483">
        <f t="shared" si="89"/>
        <v>3.8391207759126171</v>
      </c>
      <c r="J37" s="2483">
        <f t="shared" si="90"/>
        <v>3.8391207759126171</v>
      </c>
      <c r="K37" s="2483">
        <f t="shared" si="91"/>
        <v>3.8391207759126171</v>
      </c>
      <c r="L37" s="2466">
        <f t="shared" si="92"/>
        <v>11.517362327737851</v>
      </c>
      <c r="M37" s="2466">
        <f t="shared" si="7"/>
        <v>23.034724655475703</v>
      </c>
      <c r="N37" s="2483">
        <f t="shared" si="93"/>
        <v>3.8391207759126171</v>
      </c>
      <c r="O37" s="2483">
        <f t="shared" si="94"/>
        <v>3.8391207759126171</v>
      </c>
      <c r="P37" s="2483">
        <f t="shared" si="95"/>
        <v>3.8391207759126171</v>
      </c>
      <c r="Q37" s="2466">
        <f t="shared" si="96"/>
        <v>11.517362327737851</v>
      </c>
      <c r="R37" s="2466">
        <f t="shared" si="9"/>
        <v>34.552086983213556</v>
      </c>
      <c r="S37" s="2483">
        <f t="shared" si="97"/>
        <v>3.8391207759126171</v>
      </c>
      <c r="T37" s="2483">
        <f t="shared" si="98"/>
        <v>3.8391207759126171</v>
      </c>
      <c r="U37" s="2483">
        <f t="shared" si="99"/>
        <v>3.8391207759126171</v>
      </c>
      <c r="V37" s="2466">
        <f t="shared" si="100"/>
        <v>11.517362327737851</v>
      </c>
      <c r="W37" s="642">
        <f t="shared" si="11"/>
        <v>46.06944931095142</v>
      </c>
    </row>
    <row r="38" spans="1:23" ht="18.75">
      <c r="A38" s="2479" t="s">
        <v>32</v>
      </c>
      <c r="B38" s="2480">
        <f>SUM(B21*0.37%)</f>
        <v>48.701989271577212</v>
      </c>
      <c r="C38" s="2480">
        <f t="shared" si="77"/>
        <v>48.701989271577212</v>
      </c>
      <c r="D38" s="2481">
        <f t="shared" si="76"/>
        <v>0</v>
      </c>
      <c r="E38" s="2467">
        <f t="shared" si="124"/>
        <v>4.0584991059647679</v>
      </c>
      <c r="F38" s="2467">
        <f t="shared" si="86"/>
        <v>4.0584991059647679</v>
      </c>
      <c r="G38" s="2467">
        <f t="shared" si="87"/>
        <v>4.0584991059647679</v>
      </c>
      <c r="H38" s="2466">
        <f t="shared" si="88"/>
        <v>12.175497317894305</v>
      </c>
      <c r="I38" s="2483">
        <f t="shared" si="89"/>
        <v>4.0584991059647679</v>
      </c>
      <c r="J38" s="2483">
        <f t="shared" si="90"/>
        <v>4.0584991059647679</v>
      </c>
      <c r="K38" s="2483">
        <f t="shared" si="91"/>
        <v>4.0584991059647679</v>
      </c>
      <c r="L38" s="2466">
        <f t="shared" si="92"/>
        <v>12.175497317894305</v>
      </c>
      <c r="M38" s="2466">
        <f t="shared" si="7"/>
        <v>24.350994635788609</v>
      </c>
      <c r="N38" s="2483">
        <f t="shared" si="93"/>
        <v>4.0584991059647679</v>
      </c>
      <c r="O38" s="2483">
        <f t="shared" si="94"/>
        <v>4.0584991059647679</v>
      </c>
      <c r="P38" s="2483">
        <f t="shared" si="95"/>
        <v>4.0584991059647679</v>
      </c>
      <c r="Q38" s="2466">
        <f t="shared" si="96"/>
        <v>12.175497317894305</v>
      </c>
      <c r="R38" s="2466">
        <f t="shared" si="9"/>
        <v>36.526491953682914</v>
      </c>
      <c r="S38" s="2483">
        <f t="shared" si="97"/>
        <v>4.0584991059647679</v>
      </c>
      <c r="T38" s="2483">
        <f t="shared" si="98"/>
        <v>4.0584991059647679</v>
      </c>
      <c r="U38" s="2483">
        <f t="shared" si="99"/>
        <v>4.0584991059647679</v>
      </c>
      <c r="V38" s="2466">
        <f t="shared" si="100"/>
        <v>12.175497317894305</v>
      </c>
      <c r="W38" s="642">
        <f t="shared" si="11"/>
        <v>48.701989271577226</v>
      </c>
    </row>
    <row r="39" spans="1:23" ht="18.75">
      <c r="A39" s="2479" t="s">
        <v>606</v>
      </c>
      <c r="B39" s="2480">
        <f>SUM(B40:B43)</f>
        <v>5483.5807379835305</v>
      </c>
      <c r="C39" s="2480">
        <f t="shared" ref="C39:D39" si="125">SUM(C40:C43)</f>
        <v>5483.5807379835305</v>
      </c>
      <c r="D39" s="2480">
        <f t="shared" si="125"/>
        <v>0</v>
      </c>
      <c r="E39" s="2482">
        <f t="shared" ref="E39:G39" si="126">SUM(E40:E43)</f>
        <v>869.6876779516715</v>
      </c>
      <c r="F39" s="2482">
        <f t="shared" si="126"/>
        <v>751.73701088208952</v>
      </c>
      <c r="G39" s="2482">
        <f t="shared" si="126"/>
        <v>700.655474408435</v>
      </c>
      <c r="H39" s="2466">
        <f t="shared" si="5"/>
        <v>2322.0801632421962</v>
      </c>
      <c r="I39" s="2482">
        <f t="shared" ref="I39:K39" si="127">SUM(I40:I43)</f>
        <v>522.45186503116122</v>
      </c>
      <c r="J39" s="2482">
        <f t="shared" si="127"/>
        <v>161.8011599951937</v>
      </c>
      <c r="K39" s="2482">
        <f t="shared" si="127"/>
        <v>50.786083407072617</v>
      </c>
      <c r="L39" s="2466">
        <f t="shared" si="6"/>
        <v>735.03910843342749</v>
      </c>
      <c r="M39" s="2466">
        <f t="shared" si="7"/>
        <v>3057.1192716756236</v>
      </c>
      <c r="N39" s="2482">
        <f t="shared" ref="N39:P39" si="128">SUM(N40:N43)</f>
        <v>50.786083407072617</v>
      </c>
      <c r="O39" s="2482">
        <f t="shared" si="128"/>
        <v>50.786083407072617</v>
      </c>
      <c r="P39" s="2482">
        <f t="shared" si="128"/>
        <v>254.2215534714401</v>
      </c>
      <c r="Q39" s="2466">
        <f t="shared" si="8"/>
        <v>355.79372028558532</v>
      </c>
      <c r="R39" s="2466">
        <f t="shared" si="9"/>
        <v>3412.9129919612087</v>
      </c>
      <c r="S39" s="2482">
        <f t="shared" ref="S39:U39" si="129">SUM(S40:S43)</f>
        <v>550.85675836352334</v>
      </c>
      <c r="T39" s="2482">
        <f t="shared" si="129"/>
        <v>679.59956925333654</v>
      </c>
      <c r="U39" s="2482">
        <f t="shared" si="129"/>
        <v>840.21141840546215</v>
      </c>
      <c r="V39" s="2466">
        <f t="shared" si="10"/>
        <v>2070.6677460223218</v>
      </c>
      <c r="W39" s="642">
        <f t="shared" si="11"/>
        <v>5483.5807379835305</v>
      </c>
    </row>
    <row r="40" spans="1:23" ht="18.75">
      <c r="A40" s="2484" t="s">
        <v>562</v>
      </c>
      <c r="B40" s="2480">
        <f>SUM(B21*37.03%)</f>
        <v>4874.1477370986595</v>
      </c>
      <c r="C40" s="2480">
        <f>SUM(C21*37.03%)</f>
        <v>4874.1477370986595</v>
      </c>
      <c r="D40" s="2481">
        <f>SUM(B40-C40)</f>
        <v>0</v>
      </c>
      <c r="E40" s="2467">
        <f>SUM(B40/2094.54)/(1+(104%*100-100)/2/100)*358.94</f>
        <v>818.90159454459888</v>
      </c>
      <c r="F40" s="2467">
        <f>SUM(B40/2094.54)/(1+(104%*100-100)/2/100)*307.24</f>
        <v>700.9509274750169</v>
      </c>
      <c r="G40" s="2467">
        <f>SUM(B40/2094.54)/(1+(104%*100-100)/2/100)*284.85</f>
        <v>649.86939100136237</v>
      </c>
      <c r="H40" s="2466">
        <f t="shared" si="5"/>
        <v>2169.7219130209778</v>
      </c>
      <c r="I40" s="2467">
        <f>SUM(B40/2094.54)/(1+(104%*100-100)/2/100)*206.74</f>
        <v>471.66578162408865</v>
      </c>
      <c r="J40" s="2467">
        <f>SUM(B40/2094.54)/(1+(104%*100-100)/2/100)*48.66</f>
        <v>111.01507658812108</v>
      </c>
      <c r="K40" s="2467">
        <v>0</v>
      </c>
      <c r="L40" s="2466">
        <f t="shared" si="6"/>
        <v>582.68085821220973</v>
      </c>
      <c r="M40" s="2466">
        <f t="shared" si="7"/>
        <v>2752.4027712331877</v>
      </c>
      <c r="N40" s="2467">
        <v>0</v>
      </c>
      <c r="O40" s="2467">
        <v>0</v>
      </c>
      <c r="P40" s="2467">
        <f>SUM(B40/2094.54)/(1+(104%*100-100)/2/100)*104%*85.74</f>
        <v>203.43547006436748</v>
      </c>
      <c r="Q40" s="2466">
        <f t="shared" si="8"/>
        <v>203.43547006436748</v>
      </c>
      <c r="R40" s="2466">
        <f t="shared" si="9"/>
        <v>2955.8382412975552</v>
      </c>
      <c r="S40" s="2467">
        <f>SUM(B40/2094.54)/(1+(104%*100-100)/2/100)*104%*210.76</f>
        <v>500.07067495645077</v>
      </c>
      <c r="T40" s="2467">
        <f>SUM(B40/2094.54)/(1+(104%*100-100)/2/100)*104%*265.02</f>
        <v>628.81348584626392</v>
      </c>
      <c r="U40" s="2467">
        <f>SUM(B40-R40-S40-T40)</f>
        <v>789.42533499838953</v>
      </c>
      <c r="V40" s="2466">
        <f t="shared" si="10"/>
        <v>1918.3094958011043</v>
      </c>
      <c r="W40" s="642">
        <f t="shared" si="11"/>
        <v>4874.1477370986604</v>
      </c>
    </row>
    <row r="41" spans="1:23" ht="18.75">
      <c r="A41" s="2484" t="s">
        <v>564</v>
      </c>
      <c r="B41" s="2480">
        <f>SUM(B21*4.39%)</f>
        <v>577.84252135736187</v>
      </c>
      <c r="C41" s="2480">
        <f>SUM(C21*4.39%)</f>
        <v>577.84252135736187</v>
      </c>
      <c r="D41" s="2481">
        <f>SUM(B41-C41)</f>
        <v>0</v>
      </c>
      <c r="E41" s="2467">
        <f t="shared" ref="E41:E43" si="130">SUM(B41/12)</f>
        <v>48.153543446446825</v>
      </c>
      <c r="F41" s="2467">
        <f t="shared" ref="F41:F43" si="131">SUM(E41)</f>
        <v>48.153543446446825</v>
      </c>
      <c r="G41" s="2467">
        <f t="shared" ref="G41:G43" si="132">SUM(E41)</f>
        <v>48.153543446446825</v>
      </c>
      <c r="H41" s="2466">
        <f t="shared" ref="H41:H43" si="133">SUM(E41+F41+G41)</f>
        <v>144.46063033934047</v>
      </c>
      <c r="I41" s="2483">
        <f t="shared" ref="I41:I43" si="134">SUM(E41)</f>
        <v>48.153543446446825</v>
      </c>
      <c r="J41" s="2483">
        <f t="shared" ref="J41:J43" si="135">SUM(E41)</f>
        <v>48.153543446446825</v>
      </c>
      <c r="K41" s="2483">
        <f t="shared" ref="K41:K43" si="136">SUM(E41)</f>
        <v>48.153543446446825</v>
      </c>
      <c r="L41" s="2466">
        <f t="shared" ref="L41:L43" si="137">SUM(I41+J41+K41)</f>
        <v>144.46063033934047</v>
      </c>
      <c r="M41" s="2466">
        <f t="shared" si="7"/>
        <v>288.92126067868094</v>
      </c>
      <c r="N41" s="2483">
        <f t="shared" ref="N41:N43" si="138">SUM(E41)</f>
        <v>48.153543446446825</v>
      </c>
      <c r="O41" s="2483">
        <f t="shared" ref="O41:O43" si="139">SUM(E41)</f>
        <v>48.153543446446825</v>
      </c>
      <c r="P41" s="2483">
        <f t="shared" ref="P41:P43" si="140">SUM(E41)</f>
        <v>48.153543446446825</v>
      </c>
      <c r="Q41" s="2466">
        <f t="shared" ref="Q41:Q43" si="141">SUM(N41+O41+P41)</f>
        <v>144.46063033934047</v>
      </c>
      <c r="R41" s="2466">
        <f t="shared" si="9"/>
        <v>433.38189101802141</v>
      </c>
      <c r="S41" s="2483">
        <f t="shared" ref="S41:S43" si="142">SUM(E41)</f>
        <v>48.153543446446825</v>
      </c>
      <c r="T41" s="2483">
        <f t="shared" ref="T41:T43" si="143">SUM(E41)</f>
        <v>48.153543446446825</v>
      </c>
      <c r="U41" s="2483">
        <f t="shared" ref="U41:U43" si="144">SUM(E41)</f>
        <v>48.153543446446825</v>
      </c>
      <c r="V41" s="2466">
        <f t="shared" ref="V41:V43" si="145">SUM(S41+T41+U41)</f>
        <v>144.46063033934047</v>
      </c>
      <c r="W41" s="642">
        <f t="shared" si="11"/>
        <v>577.84252135736187</v>
      </c>
    </row>
    <row r="42" spans="1:23" ht="18.75">
      <c r="A42" s="2484" t="s">
        <v>563</v>
      </c>
      <c r="B42" s="2480">
        <f>SUM(B21*0%)</f>
        <v>0</v>
      </c>
      <c r="C42" s="2480">
        <f>SUM(C21*0%)</f>
        <v>0</v>
      </c>
      <c r="D42" s="2481">
        <f>SUM(B42-C42)</f>
        <v>0</v>
      </c>
      <c r="E42" s="2467">
        <f t="shared" si="130"/>
        <v>0</v>
      </c>
      <c r="F42" s="2467">
        <f t="shared" si="131"/>
        <v>0</v>
      </c>
      <c r="G42" s="2467">
        <f t="shared" si="132"/>
        <v>0</v>
      </c>
      <c r="H42" s="2466">
        <f t="shared" si="133"/>
        <v>0</v>
      </c>
      <c r="I42" s="2483">
        <f t="shared" si="134"/>
        <v>0</v>
      </c>
      <c r="J42" s="2483">
        <f t="shared" si="135"/>
        <v>0</v>
      </c>
      <c r="K42" s="2483">
        <f t="shared" si="136"/>
        <v>0</v>
      </c>
      <c r="L42" s="2466">
        <f t="shared" si="137"/>
        <v>0</v>
      </c>
      <c r="M42" s="2466">
        <f t="shared" si="7"/>
        <v>0</v>
      </c>
      <c r="N42" s="2483">
        <f t="shared" si="138"/>
        <v>0</v>
      </c>
      <c r="O42" s="2483">
        <f t="shared" si="139"/>
        <v>0</v>
      </c>
      <c r="P42" s="2483">
        <f t="shared" si="140"/>
        <v>0</v>
      </c>
      <c r="Q42" s="2466">
        <f t="shared" si="141"/>
        <v>0</v>
      </c>
      <c r="R42" s="2466">
        <f t="shared" si="9"/>
        <v>0</v>
      </c>
      <c r="S42" s="2483">
        <f t="shared" si="142"/>
        <v>0</v>
      </c>
      <c r="T42" s="2483">
        <f t="shared" si="143"/>
        <v>0</v>
      </c>
      <c r="U42" s="2483">
        <f t="shared" si="144"/>
        <v>0</v>
      </c>
      <c r="V42" s="2466">
        <f t="shared" si="145"/>
        <v>0</v>
      </c>
      <c r="W42" s="642">
        <f t="shared" si="11"/>
        <v>0</v>
      </c>
    </row>
    <row r="43" spans="1:23" ht="18.75">
      <c r="A43" s="2484" t="s">
        <v>565</v>
      </c>
      <c r="B43" s="2480">
        <f>SUM(B21*0.24%)</f>
        <v>31.590479527509537</v>
      </c>
      <c r="C43" s="2480">
        <f>SUM(C21*0.24%)</f>
        <v>31.590479527509537</v>
      </c>
      <c r="D43" s="2481">
        <f>SUM(B43-C43)</f>
        <v>0</v>
      </c>
      <c r="E43" s="2467">
        <f t="shared" si="130"/>
        <v>2.6325399606257949</v>
      </c>
      <c r="F43" s="2467">
        <f t="shared" si="131"/>
        <v>2.6325399606257949</v>
      </c>
      <c r="G43" s="2467">
        <f t="shared" si="132"/>
        <v>2.6325399606257949</v>
      </c>
      <c r="H43" s="2466">
        <f t="shared" si="133"/>
        <v>7.8976198818773842</v>
      </c>
      <c r="I43" s="2483">
        <f t="shared" si="134"/>
        <v>2.6325399606257949</v>
      </c>
      <c r="J43" s="2483">
        <f t="shared" si="135"/>
        <v>2.6325399606257949</v>
      </c>
      <c r="K43" s="2483">
        <f t="shared" si="136"/>
        <v>2.6325399606257949</v>
      </c>
      <c r="L43" s="2466">
        <f t="shared" si="137"/>
        <v>7.8976198818773842</v>
      </c>
      <c r="M43" s="2466">
        <f t="shared" si="7"/>
        <v>15.795239763754768</v>
      </c>
      <c r="N43" s="2483">
        <f t="shared" si="138"/>
        <v>2.6325399606257949</v>
      </c>
      <c r="O43" s="2483">
        <f t="shared" si="139"/>
        <v>2.6325399606257949</v>
      </c>
      <c r="P43" s="2483">
        <f t="shared" si="140"/>
        <v>2.6325399606257949</v>
      </c>
      <c r="Q43" s="2466">
        <f t="shared" si="141"/>
        <v>7.8976198818773842</v>
      </c>
      <c r="R43" s="2466">
        <f t="shared" si="9"/>
        <v>23.692859645632154</v>
      </c>
      <c r="S43" s="2483">
        <f t="shared" si="142"/>
        <v>2.6325399606257949</v>
      </c>
      <c r="T43" s="2483">
        <f t="shared" si="143"/>
        <v>2.6325399606257949</v>
      </c>
      <c r="U43" s="2483">
        <f t="shared" si="144"/>
        <v>2.6325399606257949</v>
      </c>
      <c r="V43" s="2466">
        <f t="shared" si="145"/>
        <v>7.8976198818773842</v>
      </c>
      <c r="W43" s="642">
        <f t="shared" si="11"/>
        <v>31.59047952750954</v>
      </c>
    </row>
    <row r="44" spans="1:23" ht="18.75">
      <c r="A44" s="2479" t="s">
        <v>609</v>
      </c>
      <c r="B44" s="2480">
        <f>SUM(B45:B48)</f>
        <v>326.43495511759858</v>
      </c>
      <c r="C44" s="2480">
        <f t="shared" ref="C44:D44" si="146">SUM(C45:C48)</f>
        <v>326.43495511759858</v>
      </c>
      <c r="D44" s="2480">
        <f t="shared" si="146"/>
        <v>0</v>
      </c>
      <c r="E44" s="2482">
        <f t="shared" ref="E44:G44" si="147">SUM(E45:E48)</f>
        <v>24.630175498612967</v>
      </c>
      <c r="F44" s="2482">
        <f t="shared" si="147"/>
        <v>24.630175498612967</v>
      </c>
      <c r="G44" s="2482">
        <f t="shared" si="147"/>
        <v>24.630175498612967</v>
      </c>
      <c r="H44" s="2466">
        <f t="shared" si="5"/>
        <v>73.890526495838898</v>
      </c>
      <c r="I44" s="2482">
        <f t="shared" ref="I44:K44" si="148">SUM(I45:I48)</f>
        <v>24.856442308228758</v>
      </c>
      <c r="J44" s="2482">
        <f t="shared" si="148"/>
        <v>28.60241504520123</v>
      </c>
      <c r="K44" s="2482">
        <f t="shared" si="148"/>
        <v>31.870713406318153</v>
      </c>
      <c r="L44" s="2466">
        <f t="shared" si="6"/>
        <v>85.329570759748151</v>
      </c>
      <c r="M44" s="2466">
        <f t="shared" si="7"/>
        <v>159.22009725558706</v>
      </c>
      <c r="N44" s="2482">
        <f t="shared" ref="N44:P44" si="149">SUM(N45:N48)</f>
        <v>32.851202914653229</v>
      </c>
      <c r="O44" s="2482">
        <f t="shared" si="149"/>
        <v>31.870713406318153</v>
      </c>
      <c r="P44" s="2482">
        <f t="shared" si="149"/>
        <v>28.60241504520123</v>
      </c>
      <c r="Q44" s="2466">
        <f t="shared" si="8"/>
        <v>93.324331366172615</v>
      </c>
      <c r="R44" s="2466">
        <f t="shared" si="9"/>
        <v>252.54442862175966</v>
      </c>
      <c r="S44" s="2482">
        <f t="shared" ref="S44:U44" si="150">SUM(S45:S48)</f>
        <v>24.630175498612967</v>
      </c>
      <c r="T44" s="2482">
        <f t="shared" si="150"/>
        <v>24.630175498612967</v>
      </c>
      <c r="U44" s="2482">
        <f t="shared" si="150"/>
        <v>24.630175498612967</v>
      </c>
      <c r="V44" s="2466">
        <f t="shared" si="10"/>
        <v>73.890526495838898</v>
      </c>
      <c r="W44" s="642">
        <f t="shared" si="11"/>
        <v>326.43495511759858</v>
      </c>
    </row>
    <row r="45" spans="1:23" ht="18.75">
      <c r="A45" s="2484" t="s">
        <v>551</v>
      </c>
      <c r="B45" s="2480">
        <f>SUM(B21*1.91%)</f>
        <v>251.40756623976341</v>
      </c>
      <c r="C45" s="2480">
        <f>SUM(C21*1.91%)</f>
        <v>251.40756623976341</v>
      </c>
      <c r="D45" s="2481">
        <f>SUM(B45-C45)</f>
        <v>0</v>
      </c>
      <c r="E45" s="2467">
        <f>SUM(B45*7.31%)</f>
        <v>18.377893092126705</v>
      </c>
      <c r="F45" s="2467">
        <f>SUM(B45*7.31%)</f>
        <v>18.377893092126705</v>
      </c>
      <c r="G45" s="2467">
        <f>SUM(B45*7.31%)</f>
        <v>18.377893092126705</v>
      </c>
      <c r="H45" s="2466">
        <f t="shared" ref="H45:H48" si="151">SUM(E45+F45+G45)</f>
        <v>55.133679276380114</v>
      </c>
      <c r="I45" s="2467">
        <f>SUM(B45*7.4%)</f>
        <v>18.604159901742495</v>
      </c>
      <c r="J45" s="2467">
        <f>SUM(B45*8.89%)</f>
        <v>22.350132638714967</v>
      </c>
      <c r="K45" s="2467">
        <f>SUM(B45*10.19%)</f>
        <v>25.61843099983189</v>
      </c>
      <c r="L45" s="2466">
        <f t="shared" ref="L45:L48" si="152">SUM(I45+J45+K45)</f>
        <v>66.572723540289346</v>
      </c>
      <c r="M45" s="2466">
        <f t="shared" si="7"/>
        <v>121.70640281666945</v>
      </c>
      <c r="N45" s="2467">
        <f>SUM(B45*10.58%)</f>
        <v>26.59892050816697</v>
      </c>
      <c r="O45" s="2467">
        <f>SUM(B45*10.19%)</f>
        <v>25.61843099983189</v>
      </c>
      <c r="P45" s="2467">
        <f>SUM(B45*8.89%)</f>
        <v>22.350132638714967</v>
      </c>
      <c r="Q45" s="2466">
        <f t="shared" ref="Q45:Q48" si="153">SUM(N45+O45+P45)</f>
        <v>74.567484146713824</v>
      </c>
      <c r="R45" s="2466">
        <f t="shared" si="9"/>
        <v>196.27388696338329</v>
      </c>
      <c r="S45" s="2467">
        <f>SUM(B45*7.31%)</f>
        <v>18.377893092126705</v>
      </c>
      <c r="T45" s="2467">
        <f>SUM(B45*7.31%)</f>
        <v>18.377893092126705</v>
      </c>
      <c r="U45" s="2467">
        <f>SUM(B45*7.31%)</f>
        <v>18.377893092126705</v>
      </c>
      <c r="V45" s="2466">
        <f t="shared" ref="V45:V48" si="154">SUM(S45+T45+U45)</f>
        <v>55.133679276380114</v>
      </c>
      <c r="W45" s="642">
        <f t="shared" si="11"/>
        <v>251.40756623976338</v>
      </c>
    </row>
    <row r="46" spans="1:23" ht="18.75">
      <c r="A46" s="2484" t="s">
        <v>643</v>
      </c>
      <c r="B46" s="2480">
        <f>SUM(B21*0.09%)</f>
        <v>11.846429822816077</v>
      </c>
      <c r="C46" s="2480">
        <f>SUM(C21*0.09%)</f>
        <v>11.846429822816077</v>
      </c>
      <c r="D46" s="2481">
        <f>SUM(B46-C46)</f>
        <v>0</v>
      </c>
      <c r="E46" s="2467">
        <f t="shared" ref="E46:E48" si="155">SUM(B46/12)</f>
        <v>0.98720248523467313</v>
      </c>
      <c r="F46" s="2467">
        <f t="shared" ref="F46:F48" si="156">SUM(E46)</f>
        <v>0.98720248523467313</v>
      </c>
      <c r="G46" s="2467">
        <f t="shared" ref="G46:G48" si="157">SUM(E46)</f>
        <v>0.98720248523467313</v>
      </c>
      <c r="H46" s="2466">
        <f t="shared" si="151"/>
        <v>2.9616074557040193</v>
      </c>
      <c r="I46" s="2483">
        <f t="shared" ref="I46:I48" si="158">SUM(E46)</f>
        <v>0.98720248523467313</v>
      </c>
      <c r="J46" s="2483">
        <f t="shared" ref="J46:J48" si="159">SUM(E46)</f>
        <v>0.98720248523467313</v>
      </c>
      <c r="K46" s="2483">
        <f t="shared" ref="K46:K48" si="160">SUM(E46)</f>
        <v>0.98720248523467313</v>
      </c>
      <c r="L46" s="2466">
        <f t="shared" si="152"/>
        <v>2.9616074557040193</v>
      </c>
      <c r="M46" s="2466">
        <f t="shared" si="7"/>
        <v>5.9232149114080386</v>
      </c>
      <c r="N46" s="2483">
        <f t="shared" ref="N46:N48" si="161">SUM(E46)</f>
        <v>0.98720248523467313</v>
      </c>
      <c r="O46" s="2483">
        <f t="shared" ref="O46:O48" si="162">SUM(E46)</f>
        <v>0.98720248523467313</v>
      </c>
      <c r="P46" s="2483">
        <f t="shared" ref="P46:P48" si="163">SUM(E46)</f>
        <v>0.98720248523467313</v>
      </c>
      <c r="Q46" s="2466">
        <f t="shared" si="153"/>
        <v>2.9616074557040193</v>
      </c>
      <c r="R46" s="2466">
        <f t="shared" si="9"/>
        <v>8.8848223671120579</v>
      </c>
      <c r="S46" s="2483">
        <f t="shared" ref="S46:S48" si="164">SUM(E46)</f>
        <v>0.98720248523467313</v>
      </c>
      <c r="T46" s="2483">
        <f t="shared" ref="T46:T48" si="165">SUM(E46)</f>
        <v>0.98720248523467313</v>
      </c>
      <c r="U46" s="2483">
        <f t="shared" ref="U46:U48" si="166">SUM(E46)</f>
        <v>0.98720248523467313</v>
      </c>
      <c r="V46" s="2466">
        <f t="shared" si="154"/>
        <v>2.9616074557040193</v>
      </c>
      <c r="W46" s="642">
        <f t="shared" si="11"/>
        <v>11.846429822816079</v>
      </c>
    </row>
    <row r="47" spans="1:23" ht="18.75">
      <c r="A47" s="2484" t="s">
        <v>559</v>
      </c>
      <c r="B47" s="2480">
        <f>SUM(B21*0.47%)</f>
        <v>61.86468907470617</v>
      </c>
      <c r="C47" s="2480">
        <f>SUM(C21*0.47%)</f>
        <v>61.86468907470617</v>
      </c>
      <c r="D47" s="2481">
        <f>SUM(B47-C47)</f>
        <v>0</v>
      </c>
      <c r="E47" s="2467">
        <f t="shared" si="155"/>
        <v>5.1553907562255139</v>
      </c>
      <c r="F47" s="2467">
        <f t="shared" si="156"/>
        <v>5.1553907562255139</v>
      </c>
      <c r="G47" s="2467">
        <f t="shared" si="157"/>
        <v>5.1553907562255139</v>
      </c>
      <c r="H47" s="2466">
        <f t="shared" si="151"/>
        <v>15.466172268676541</v>
      </c>
      <c r="I47" s="2483">
        <f t="shared" si="158"/>
        <v>5.1553907562255139</v>
      </c>
      <c r="J47" s="2483">
        <f t="shared" si="159"/>
        <v>5.1553907562255139</v>
      </c>
      <c r="K47" s="2483">
        <f t="shared" si="160"/>
        <v>5.1553907562255139</v>
      </c>
      <c r="L47" s="2466">
        <f t="shared" si="152"/>
        <v>15.466172268676541</v>
      </c>
      <c r="M47" s="2466">
        <f t="shared" si="7"/>
        <v>30.932344537353082</v>
      </c>
      <c r="N47" s="2483">
        <f t="shared" si="161"/>
        <v>5.1553907562255139</v>
      </c>
      <c r="O47" s="2483">
        <f t="shared" si="162"/>
        <v>5.1553907562255139</v>
      </c>
      <c r="P47" s="2483">
        <f t="shared" si="163"/>
        <v>5.1553907562255139</v>
      </c>
      <c r="Q47" s="2466">
        <f t="shared" si="153"/>
        <v>15.466172268676541</v>
      </c>
      <c r="R47" s="2466">
        <f t="shared" si="9"/>
        <v>46.398516806029619</v>
      </c>
      <c r="S47" s="2483">
        <f t="shared" si="164"/>
        <v>5.1553907562255139</v>
      </c>
      <c r="T47" s="2483">
        <f t="shared" si="165"/>
        <v>5.1553907562255139</v>
      </c>
      <c r="U47" s="2483">
        <f t="shared" si="166"/>
        <v>5.1553907562255139</v>
      </c>
      <c r="V47" s="2466">
        <f t="shared" si="154"/>
        <v>15.466172268676541</v>
      </c>
      <c r="W47" s="642">
        <f t="shared" si="11"/>
        <v>61.86468907470617</v>
      </c>
    </row>
    <row r="48" spans="1:23" ht="18.75">
      <c r="A48" s="2484" t="s">
        <v>613</v>
      </c>
      <c r="B48" s="2480">
        <f>SUM(B21*0.01%)</f>
        <v>1.3162699803128977</v>
      </c>
      <c r="C48" s="2480">
        <f>SUM(C21*0.01%)</f>
        <v>1.3162699803128977</v>
      </c>
      <c r="D48" s="2481">
        <f>SUM(B48-C48)</f>
        <v>0</v>
      </c>
      <c r="E48" s="2467">
        <f t="shared" si="155"/>
        <v>0.1096891650260748</v>
      </c>
      <c r="F48" s="2467">
        <f t="shared" si="156"/>
        <v>0.1096891650260748</v>
      </c>
      <c r="G48" s="2467">
        <f t="shared" si="157"/>
        <v>0.1096891650260748</v>
      </c>
      <c r="H48" s="2466">
        <f t="shared" si="151"/>
        <v>0.32906749507822441</v>
      </c>
      <c r="I48" s="2483">
        <f t="shared" si="158"/>
        <v>0.1096891650260748</v>
      </c>
      <c r="J48" s="2483">
        <f t="shared" si="159"/>
        <v>0.1096891650260748</v>
      </c>
      <c r="K48" s="2483">
        <f t="shared" si="160"/>
        <v>0.1096891650260748</v>
      </c>
      <c r="L48" s="2466">
        <f t="shared" si="152"/>
        <v>0.32906749507822441</v>
      </c>
      <c r="M48" s="2466">
        <f t="shared" si="7"/>
        <v>0.65813499015644883</v>
      </c>
      <c r="N48" s="2483">
        <f t="shared" si="161"/>
        <v>0.1096891650260748</v>
      </c>
      <c r="O48" s="2483">
        <f t="shared" si="162"/>
        <v>0.1096891650260748</v>
      </c>
      <c r="P48" s="2483">
        <f t="shared" si="163"/>
        <v>0.1096891650260748</v>
      </c>
      <c r="Q48" s="2466">
        <f t="shared" si="153"/>
        <v>0.32906749507822441</v>
      </c>
      <c r="R48" s="2466">
        <f t="shared" si="9"/>
        <v>0.98720248523467324</v>
      </c>
      <c r="S48" s="2483">
        <f t="shared" si="164"/>
        <v>0.1096891650260748</v>
      </c>
      <c r="T48" s="2483">
        <f t="shared" si="165"/>
        <v>0.1096891650260748</v>
      </c>
      <c r="U48" s="2483">
        <f t="shared" si="166"/>
        <v>0.1096891650260748</v>
      </c>
      <c r="V48" s="2466">
        <f t="shared" si="154"/>
        <v>0.32906749507822441</v>
      </c>
      <c r="W48" s="642">
        <f t="shared" si="11"/>
        <v>1.3162699803128977</v>
      </c>
    </row>
    <row r="49" spans="1:23" ht="18.75">
      <c r="A49" s="2485" t="s">
        <v>1591</v>
      </c>
      <c r="B49" s="2475">
        <f>SUM('цех вода'!AZ49)</f>
        <v>3269.2472999399411</v>
      </c>
      <c r="C49" s="2475">
        <f>SUM(вода!CS34)</f>
        <v>3244.0308196776305</v>
      </c>
      <c r="D49" s="2476">
        <f>SUM(вода!CT34)</f>
        <v>25.216480262310743</v>
      </c>
      <c r="E49" s="2477">
        <f>SUM(E50+E51+E52+E53+E54+E55+E56+E57+E58+E59+E60+E62)</f>
        <v>271.3031404141729</v>
      </c>
      <c r="F49" s="2477">
        <f t="shared" ref="F49:G49" si="167">SUM(F50+F51+F52+F53+F54+F55+F56+F57+F58+F59+F60+F62)</f>
        <v>271.3031404141729</v>
      </c>
      <c r="G49" s="2477">
        <f t="shared" si="167"/>
        <v>271.3031404141729</v>
      </c>
      <c r="H49" s="2478">
        <f t="shared" si="5"/>
        <v>813.90942124251865</v>
      </c>
      <c r="I49" s="2477">
        <f t="shared" ref="I49:K49" si="168">SUM(I50+I51+I52+I53+I54+I55+I56+I57+I58+I59+I60+I62)</f>
        <v>271.40288514929409</v>
      </c>
      <c r="J49" s="2477">
        <f t="shared" si="168"/>
        <v>273.05421465296678</v>
      </c>
      <c r="K49" s="2477">
        <f t="shared" si="168"/>
        <v>274.4949719380503</v>
      </c>
      <c r="L49" s="2478">
        <f t="shared" si="6"/>
        <v>818.95207174031123</v>
      </c>
      <c r="M49" s="2478">
        <f t="shared" si="7"/>
        <v>1632.86149298283</v>
      </c>
      <c r="N49" s="2477">
        <f t="shared" ref="N49:P49" si="169">SUM(N50+N51+N52+N53+N54+N55+N56+N57+N58+N59+N60+N62)</f>
        <v>274.92719912357535</v>
      </c>
      <c r="O49" s="2477">
        <f t="shared" si="169"/>
        <v>274.4949719380503</v>
      </c>
      <c r="P49" s="2477">
        <f t="shared" si="169"/>
        <v>273.05421465296678</v>
      </c>
      <c r="Q49" s="2478">
        <f t="shared" si="8"/>
        <v>822.47638571459242</v>
      </c>
      <c r="R49" s="2478">
        <f t="shared" si="9"/>
        <v>2455.3378786974226</v>
      </c>
      <c r="S49" s="2477">
        <f t="shared" ref="S49:U49" si="170">SUM(S50+S51+S52+S53+S54+S55+S56+S57+S58+S59+S60+S62)</f>
        <v>271.3031404141729</v>
      </c>
      <c r="T49" s="2477">
        <f t="shared" si="170"/>
        <v>271.3031404141729</v>
      </c>
      <c r="U49" s="2477">
        <f t="shared" si="170"/>
        <v>271.3031404141729</v>
      </c>
      <c r="V49" s="2478">
        <f t="shared" si="10"/>
        <v>813.90942124251865</v>
      </c>
      <c r="W49" s="642">
        <f t="shared" si="11"/>
        <v>3269.2472999399411</v>
      </c>
    </row>
    <row r="50" spans="1:23" ht="18.75">
      <c r="A50" s="2479" t="s">
        <v>72</v>
      </c>
      <c r="B50" s="2480">
        <f>SUM(B49*0%)</f>
        <v>0</v>
      </c>
      <c r="C50" s="2480">
        <f>SUM(C49*0%)</f>
        <v>0</v>
      </c>
      <c r="D50" s="2481">
        <f t="shared" ref="D50:D59" si="171">SUM(B50-C50)</f>
        <v>0</v>
      </c>
      <c r="E50" s="2467">
        <f>SUM(B50/2)/(1+(106.03%*100-100)/2/100)/6</f>
        <v>0</v>
      </c>
      <c r="F50" s="2482">
        <f>SUM(E50)</f>
        <v>0</v>
      </c>
      <c r="G50" s="2467">
        <f>SUM(E50)</f>
        <v>0</v>
      </c>
      <c r="H50" s="2466">
        <f>SUM(E50+F50+G50)</f>
        <v>0</v>
      </c>
      <c r="I50" s="2483">
        <f>SUM(E50)</f>
        <v>0</v>
      </c>
      <c r="J50" s="2483">
        <f>SUM(E50)</f>
        <v>0</v>
      </c>
      <c r="K50" s="2483">
        <f>SUM(E50)</f>
        <v>0</v>
      </c>
      <c r="L50" s="2466">
        <f>SUM(I50+J50+K50)</f>
        <v>0</v>
      </c>
      <c r="M50" s="2466">
        <f>SUM(H50+L50)</f>
        <v>0</v>
      </c>
      <c r="N50" s="2483">
        <f>SUM(B50-M50)/6</f>
        <v>0</v>
      </c>
      <c r="O50" s="2483">
        <f>SUM(N50)</f>
        <v>0</v>
      </c>
      <c r="P50" s="2483">
        <f>SUM(N50)</f>
        <v>0</v>
      </c>
      <c r="Q50" s="2466">
        <f>SUM(N50+O50+P50)</f>
        <v>0</v>
      </c>
      <c r="R50" s="2466">
        <f>SUM(M50+Q50)</f>
        <v>0</v>
      </c>
      <c r="S50" s="2483">
        <f>SUM(N50)</f>
        <v>0</v>
      </c>
      <c r="T50" s="2483">
        <f>SUM(N50)</f>
        <v>0</v>
      </c>
      <c r="U50" s="2483">
        <f>SUM(N50)</f>
        <v>0</v>
      </c>
      <c r="V50" s="2466">
        <f>SUM(S50+T50+U50)</f>
        <v>0</v>
      </c>
      <c r="W50" s="642">
        <f>SUM(U50+T50+S50+P50+O50+N50+K50+J50+I50+G50+F50+E50)</f>
        <v>0</v>
      </c>
    </row>
    <row r="51" spans="1:23" ht="18.75">
      <c r="A51" s="2479" t="s">
        <v>121</v>
      </c>
      <c r="B51" s="2480">
        <f>SUM(B49*0%)</f>
        <v>0</v>
      </c>
      <c r="C51" s="2480">
        <f>SUM(C49*0%)</f>
        <v>0</v>
      </c>
      <c r="D51" s="2481">
        <f t="shared" si="171"/>
        <v>0</v>
      </c>
      <c r="E51" s="2467">
        <v>0</v>
      </c>
      <c r="F51" s="2467">
        <f>SUM(E51)</f>
        <v>0</v>
      </c>
      <c r="G51" s="2482">
        <f>SUM(E51)</f>
        <v>0</v>
      </c>
      <c r="H51" s="2466">
        <f t="shared" ref="H51" si="172">SUM(E51+F51+G51)</f>
        <v>0</v>
      </c>
      <c r="I51" s="2483">
        <f>SUM(E51)</f>
        <v>0</v>
      </c>
      <c r="J51" s="2483">
        <f>SUM(E51)</f>
        <v>0</v>
      </c>
      <c r="K51" s="2483">
        <f>SUM(E51)</f>
        <v>0</v>
      </c>
      <c r="L51" s="2466">
        <f t="shared" ref="L51" si="173">SUM(I51+J51+K51)</f>
        <v>0</v>
      </c>
      <c r="M51" s="2466">
        <f t="shared" ref="M51:M59" si="174">SUM(H51+L51)</f>
        <v>0</v>
      </c>
      <c r="N51" s="2483">
        <f>SUM(B51-M51)/6</f>
        <v>0</v>
      </c>
      <c r="O51" s="2483">
        <f>SUM(N51)</f>
        <v>0</v>
      </c>
      <c r="P51" s="2483">
        <f>SUM(N51)</f>
        <v>0</v>
      </c>
      <c r="Q51" s="2466">
        <f t="shared" ref="Q51" si="175">SUM(N51+O51+P51)</f>
        <v>0</v>
      </c>
      <c r="R51" s="2466">
        <f t="shared" ref="R51:R59" si="176">SUM(M51+Q51)</f>
        <v>0</v>
      </c>
      <c r="S51" s="2483">
        <f>SUM(N51)</f>
        <v>0</v>
      </c>
      <c r="T51" s="2483">
        <f>SUM(N51)</f>
        <v>0</v>
      </c>
      <c r="U51" s="2483">
        <f>SUM(N51)</f>
        <v>0</v>
      </c>
      <c r="V51" s="2466">
        <f t="shared" ref="V51" si="177">SUM(S51+T51+U51)</f>
        <v>0</v>
      </c>
      <c r="W51" s="642">
        <f t="shared" ref="W51" si="178">SUM(U51+T51+S51+P51+O51+N51+K51+J51+I51+G51+F51+E51)</f>
        <v>0</v>
      </c>
    </row>
    <row r="52" spans="1:23" ht="18.75">
      <c r="A52" s="2479" t="s">
        <v>52</v>
      </c>
      <c r="B52" s="2480">
        <f>SUM(B49*0.23%)</f>
        <v>7.5192687898618642</v>
      </c>
      <c r="C52" s="2480">
        <f>SUM(C49*0.23%)</f>
        <v>7.4612708852585499</v>
      </c>
      <c r="D52" s="2481">
        <f t="shared" si="171"/>
        <v>5.7997904603314332E-2</v>
      </c>
      <c r="E52" s="2467">
        <f t="shared" ref="E52:E59" si="179">SUM(B52/12)</f>
        <v>0.62660573248848872</v>
      </c>
      <c r="F52" s="2467">
        <f t="shared" ref="F52:F59" si="180">SUM(E52)</f>
        <v>0.62660573248848872</v>
      </c>
      <c r="G52" s="2467">
        <f t="shared" ref="G52:G59" si="181">SUM(E52)</f>
        <v>0.62660573248848872</v>
      </c>
      <c r="H52" s="2466">
        <f t="shared" ref="H52:H59" si="182">SUM(E52+F52+G52)</f>
        <v>1.8798171974654663</v>
      </c>
      <c r="I52" s="2483">
        <f t="shared" ref="I52:I59" si="183">SUM(E52)</f>
        <v>0.62660573248848872</v>
      </c>
      <c r="J52" s="2483">
        <f t="shared" ref="J52:J59" si="184">SUM(E52)</f>
        <v>0.62660573248848872</v>
      </c>
      <c r="K52" s="2483">
        <f t="shared" ref="K52:K59" si="185">SUM(E52)</f>
        <v>0.62660573248848872</v>
      </c>
      <c r="L52" s="2466">
        <f t="shared" ref="L52:L59" si="186">SUM(I52+J52+K52)</f>
        <v>1.8798171974654663</v>
      </c>
      <c r="M52" s="2466">
        <f t="shared" si="174"/>
        <v>3.7596343949309325</v>
      </c>
      <c r="N52" s="2483">
        <f t="shared" ref="N52:N59" si="187">SUM(E52)</f>
        <v>0.62660573248848872</v>
      </c>
      <c r="O52" s="2483">
        <f t="shared" ref="O52:O59" si="188">SUM(E52)</f>
        <v>0.62660573248848872</v>
      </c>
      <c r="P52" s="2483">
        <f t="shared" ref="P52:P59" si="189">SUM(E52)</f>
        <v>0.62660573248848872</v>
      </c>
      <c r="Q52" s="2466">
        <f t="shared" ref="Q52:Q59" si="190">SUM(N52+O52+P52)</f>
        <v>1.8798171974654663</v>
      </c>
      <c r="R52" s="2466">
        <f t="shared" si="176"/>
        <v>5.6394515923963988</v>
      </c>
      <c r="S52" s="2483">
        <f t="shared" ref="S52:S59" si="191">SUM(E52)</f>
        <v>0.62660573248848872</v>
      </c>
      <c r="T52" s="2483">
        <f t="shared" ref="T52:T59" si="192">SUM(E52)</f>
        <v>0.62660573248848872</v>
      </c>
      <c r="U52" s="2483">
        <f t="shared" ref="U52:U59" si="193">SUM(E52)</f>
        <v>0.62660573248848872</v>
      </c>
      <c r="V52" s="2466">
        <f t="shared" ref="V52:V59" si="194">SUM(S52+T52+U52)</f>
        <v>1.8798171974654663</v>
      </c>
      <c r="W52" s="642">
        <f t="shared" si="11"/>
        <v>7.519268789861866</v>
      </c>
    </row>
    <row r="53" spans="1:23" ht="18.75">
      <c r="A53" s="2479" t="s">
        <v>603</v>
      </c>
      <c r="B53" s="2480">
        <f>SUM(B49*69.84%)</f>
        <v>2283.2423142780549</v>
      </c>
      <c r="C53" s="2480">
        <f>SUM(C49*69.84%)</f>
        <v>2265.6311244628573</v>
      </c>
      <c r="D53" s="2481">
        <f t="shared" si="171"/>
        <v>17.611189815197577</v>
      </c>
      <c r="E53" s="2467">
        <f t="shared" si="179"/>
        <v>190.27019285650456</v>
      </c>
      <c r="F53" s="2467">
        <f t="shared" si="180"/>
        <v>190.27019285650456</v>
      </c>
      <c r="G53" s="2467">
        <f t="shared" si="181"/>
        <v>190.27019285650456</v>
      </c>
      <c r="H53" s="2466">
        <f t="shared" si="182"/>
        <v>570.81057856951372</v>
      </c>
      <c r="I53" s="2483">
        <f t="shared" si="183"/>
        <v>190.27019285650456</v>
      </c>
      <c r="J53" s="2483">
        <f t="shared" si="184"/>
        <v>190.27019285650456</v>
      </c>
      <c r="K53" s="2483">
        <f t="shared" si="185"/>
        <v>190.27019285650456</v>
      </c>
      <c r="L53" s="2466">
        <f t="shared" si="186"/>
        <v>570.81057856951372</v>
      </c>
      <c r="M53" s="2466">
        <f t="shared" si="174"/>
        <v>1141.6211571390274</v>
      </c>
      <c r="N53" s="2483">
        <f t="shared" si="187"/>
        <v>190.27019285650456</v>
      </c>
      <c r="O53" s="2483">
        <f t="shared" si="188"/>
        <v>190.27019285650456</v>
      </c>
      <c r="P53" s="2483">
        <f t="shared" si="189"/>
        <v>190.27019285650456</v>
      </c>
      <c r="Q53" s="2466">
        <f t="shared" si="190"/>
        <v>570.81057856951372</v>
      </c>
      <c r="R53" s="2466">
        <f t="shared" si="176"/>
        <v>1712.4317357085411</v>
      </c>
      <c r="S53" s="2483">
        <f t="shared" si="191"/>
        <v>190.27019285650456</v>
      </c>
      <c r="T53" s="2483">
        <f t="shared" si="192"/>
        <v>190.27019285650456</v>
      </c>
      <c r="U53" s="2483">
        <f t="shared" si="193"/>
        <v>190.27019285650456</v>
      </c>
      <c r="V53" s="2466">
        <f t="shared" si="194"/>
        <v>570.81057856951372</v>
      </c>
      <c r="W53" s="642">
        <f t="shared" si="11"/>
        <v>2283.2423142780549</v>
      </c>
    </row>
    <row r="54" spans="1:23" ht="18.75">
      <c r="A54" s="2479" t="s">
        <v>605</v>
      </c>
      <c r="B54" s="2480">
        <f>SUM(B49*6.16%)</f>
        <v>201.38563367630039</v>
      </c>
      <c r="C54" s="2480">
        <f>SUM(C49*6.16%)</f>
        <v>199.83229849214203</v>
      </c>
      <c r="D54" s="2481">
        <f t="shared" si="171"/>
        <v>1.5533351841583567</v>
      </c>
      <c r="E54" s="2467">
        <f t="shared" si="179"/>
        <v>16.782136139691698</v>
      </c>
      <c r="F54" s="2467">
        <f t="shared" si="180"/>
        <v>16.782136139691698</v>
      </c>
      <c r="G54" s="2467">
        <f t="shared" si="181"/>
        <v>16.782136139691698</v>
      </c>
      <c r="H54" s="2466">
        <f t="shared" si="182"/>
        <v>50.34640841907509</v>
      </c>
      <c r="I54" s="2483">
        <f t="shared" si="183"/>
        <v>16.782136139691698</v>
      </c>
      <c r="J54" s="2483">
        <f t="shared" si="184"/>
        <v>16.782136139691698</v>
      </c>
      <c r="K54" s="2483">
        <f t="shared" si="185"/>
        <v>16.782136139691698</v>
      </c>
      <c r="L54" s="2466">
        <f t="shared" si="186"/>
        <v>50.34640841907509</v>
      </c>
      <c r="M54" s="2466">
        <f t="shared" si="174"/>
        <v>100.69281683815018</v>
      </c>
      <c r="N54" s="2483">
        <f t="shared" si="187"/>
        <v>16.782136139691698</v>
      </c>
      <c r="O54" s="2483">
        <f t="shared" si="188"/>
        <v>16.782136139691698</v>
      </c>
      <c r="P54" s="2483">
        <f t="shared" si="189"/>
        <v>16.782136139691698</v>
      </c>
      <c r="Q54" s="2466">
        <f t="shared" si="190"/>
        <v>50.34640841907509</v>
      </c>
      <c r="R54" s="2466">
        <f t="shared" si="176"/>
        <v>151.03922525722527</v>
      </c>
      <c r="S54" s="2483">
        <f t="shared" si="191"/>
        <v>16.782136139691698</v>
      </c>
      <c r="T54" s="2483">
        <f t="shared" si="192"/>
        <v>16.782136139691698</v>
      </c>
      <c r="U54" s="2483">
        <f t="shared" si="193"/>
        <v>16.782136139691698</v>
      </c>
      <c r="V54" s="2466">
        <f t="shared" si="194"/>
        <v>50.34640841907509</v>
      </c>
      <c r="W54" s="642">
        <f t="shared" si="11"/>
        <v>201.38563367630033</v>
      </c>
    </row>
    <row r="55" spans="1:23" ht="18.75">
      <c r="A55" s="2479" t="s">
        <v>604</v>
      </c>
      <c r="B55" s="2480">
        <f>SUM(B49*3.85%)</f>
        <v>125.86602104768772</v>
      </c>
      <c r="C55" s="2480">
        <f>SUM(C49*3.85%)</f>
        <v>124.89518655758877</v>
      </c>
      <c r="D55" s="2481">
        <f t="shared" si="171"/>
        <v>0.97083449009895162</v>
      </c>
      <c r="E55" s="2467">
        <f t="shared" si="179"/>
        <v>10.48883508730731</v>
      </c>
      <c r="F55" s="2467">
        <f t="shared" si="180"/>
        <v>10.48883508730731</v>
      </c>
      <c r="G55" s="2467">
        <f t="shared" si="181"/>
        <v>10.48883508730731</v>
      </c>
      <c r="H55" s="2466">
        <f t="shared" si="182"/>
        <v>31.466505261921931</v>
      </c>
      <c r="I55" s="2483">
        <f t="shared" si="183"/>
        <v>10.48883508730731</v>
      </c>
      <c r="J55" s="2483">
        <f t="shared" si="184"/>
        <v>10.48883508730731</v>
      </c>
      <c r="K55" s="2483">
        <f t="shared" si="185"/>
        <v>10.48883508730731</v>
      </c>
      <c r="L55" s="2466">
        <f t="shared" si="186"/>
        <v>31.466505261921931</v>
      </c>
      <c r="M55" s="2466">
        <f t="shared" si="174"/>
        <v>62.933010523843862</v>
      </c>
      <c r="N55" s="2483">
        <f t="shared" si="187"/>
        <v>10.48883508730731</v>
      </c>
      <c r="O55" s="2483">
        <f t="shared" si="188"/>
        <v>10.48883508730731</v>
      </c>
      <c r="P55" s="2483">
        <f t="shared" si="189"/>
        <v>10.48883508730731</v>
      </c>
      <c r="Q55" s="2466">
        <f t="shared" si="190"/>
        <v>31.466505261921931</v>
      </c>
      <c r="R55" s="2466">
        <f t="shared" si="176"/>
        <v>94.3995157857658</v>
      </c>
      <c r="S55" s="2483">
        <f t="shared" si="191"/>
        <v>10.48883508730731</v>
      </c>
      <c r="T55" s="2483">
        <f t="shared" si="192"/>
        <v>10.48883508730731</v>
      </c>
      <c r="U55" s="2483">
        <f t="shared" si="193"/>
        <v>10.48883508730731</v>
      </c>
      <c r="V55" s="2466">
        <f t="shared" si="194"/>
        <v>31.466505261921931</v>
      </c>
      <c r="W55" s="642">
        <f t="shared" si="11"/>
        <v>125.86602104768771</v>
      </c>
    </row>
    <row r="56" spans="1:23" ht="18.75">
      <c r="A56" s="2479" t="s">
        <v>614</v>
      </c>
      <c r="B56" s="2480">
        <f>SUM(B49*1.76%)</f>
        <v>57.538752478942968</v>
      </c>
      <c r="C56" s="2480">
        <f>SUM(C49*1.76%)</f>
        <v>57.094942426326298</v>
      </c>
      <c r="D56" s="2481">
        <f t="shared" si="171"/>
        <v>0.44381005261666928</v>
      </c>
      <c r="E56" s="2467">
        <f t="shared" si="179"/>
        <v>4.7948960399119143</v>
      </c>
      <c r="F56" s="2467">
        <f t="shared" si="180"/>
        <v>4.7948960399119143</v>
      </c>
      <c r="G56" s="2467">
        <f t="shared" si="181"/>
        <v>4.7948960399119143</v>
      </c>
      <c r="H56" s="2466">
        <f t="shared" si="182"/>
        <v>14.384688119735742</v>
      </c>
      <c r="I56" s="2483">
        <f t="shared" si="183"/>
        <v>4.7948960399119143</v>
      </c>
      <c r="J56" s="2483">
        <f t="shared" si="184"/>
        <v>4.7948960399119143</v>
      </c>
      <c r="K56" s="2483">
        <f t="shared" si="185"/>
        <v>4.7948960399119143</v>
      </c>
      <c r="L56" s="2466">
        <f t="shared" si="186"/>
        <v>14.384688119735742</v>
      </c>
      <c r="M56" s="2466">
        <f t="shared" si="174"/>
        <v>28.769376239471484</v>
      </c>
      <c r="N56" s="2483">
        <f t="shared" si="187"/>
        <v>4.7948960399119143</v>
      </c>
      <c r="O56" s="2483">
        <f t="shared" si="188"/>
        <v>4.7948960399119143</v>
      </c>
      <c r="P56" s="2483">
        <f t="shared" si="189"/>
        <v>4.7948960399119143</v>
      </c>
      <c r="Q56" s="2466">
        <f t="shared" si="190"/>
        <v>14.384688119735742</v>
      </c>
      <c r="R56" s="2466">
        <f t="shared" si="176"/>
        <v>43.154064359207226</v>
      </c>
      <c r="S56" s="2483">
        <f t="shared" si="191"/>
        <v>4.7948960399119143</v>
      </c>
      <c r="T56" s="2483">
        <f t="shared" si="192"/>
        <v>4.7948960399119143</v>
      </c>
      <c r="U56" s="2483">
        <f t="shared" si="193"/>
        <v>4.7948960399119143</v>
      </c>
      <c r="V56" s="2466">
        <f t="shared" si="194"/>
        <v>14.384688119735742</v>
      </c>
      <c r="W56" s="642">
        <f t="shared" si="11"/>
        <v>57.538752478942961</v>
      </c>
    </row>
    <row r="57" spans="1:23" ht="18.75">
      <c r="A57" s="2479" t="s">
        <v>41</v>
      </c>
      <c r="B57" s="2480">
        <v>0</v>
      </c>
      <c r="C57" s="2480">
        <v>0</v>
      </c>
      <c r="D57" s="2481">
        <f t="shared" si="171"/>
        <v>0</v>
      </c>
      <c r="E57" s="2467">
        <f t="shared" si="179"/>
        <v>0</v>
      </c>
      <c r="F57" s="2467">
        <f t="shared" si="180"/>
        <v>0</v>
      </c>
      <c r="G57" s="2467">
        <f t="shared" si="181"/>
        <v>0</v>
      </c>
      <c r="H57" s="2466">
        <f t="shared" si="182"/>
        <v>0</v>
      </c>
      <c r="I57" s="2483">
        <f t="shared" si="183"/>
        <v>0</v>
      </c>
      <c r="J57" s="2483">
        <f t="shared" si="184"/>
        <v>0</v>
      </c>
      <c r="K57" s="2483">
        <f t="shared" si="185"/>
        <v>0</v>
      </c>
      <c r="L57" s="2466">
        <f t="shared" si="186"/>
        <v>0</v>
      </c>
      <c r="M57" s="2466">
        <f t="shared" si="174"/>
        <v>0</v>
      </c>
      <c r="N57" s="2483">
        <f t="shared" si="187"/>
        <v>0</v>
      </c>
      <c r="O57" s="2483">
        <f t="shared" si="188"/>
        <v>0</v>
      </c>
      <c r="P57" s="2483">
        <f t="shared" si="189"/>
        <v>0</v>
      </c>
      <c r="Q57" s="2466">
        <f t="shared" si="190"/>
        <v>0</v>
      </c>
      <c r="R57" s="2466">
        <f t="shared" si="176"/>
        <v>0</v>
      </c>
      <c r="S57" s="2483">
        <f t="shared" si="191"/>
        <v>0</v>
      </c>
      <c r="T57" s="2483">
        <f t="shared" si="192"/>
        <v>0</v>
      </c>
      <c r="U57" s="2483">
        <f t="shared" si="193"/>
        <v>0</v>
      </c>
      <c r="V57" s="2466">
        <f t="shared" si="194"/>
        <v>0</v>
      </c>
      <c r="W57" s="642">
        <f t="shared" si="11"/>
        <v>0</v>
      </c>
    </row>
    <row r="58" spans="1:23" ht="18.75">
      <c r="A58" s="2479" t="s">
        <v>38</v>
      </c>
      <c r="B58" s="2480">
        <f>SUM(B49*0.2%)</f>
        <v>6.5384945998798827</v>
      </c>
      <c r="C58" s="2480">
        <f>SUM(C49*0.2%)</f>
        <v>6.4880616393552613</v>
      </c>
      <c r="D58" s="2481">
        <f t="shared" si="171"/>
        <v>5.0432960524621429E-2</v>
      </c>
      <c r="E58" s="2467">
        <f t="shared" si="179"/>
        <v>0.54487454998999019</v>
      </c>
      <c r="F58" s="2467">
        <f t="shared" si="180"/>
        <v>0.54487454998999019</v>
      </c>
      <c r="G58" s="2467">
        <f t="shared" si="181"/>
        <v>0.54487454998999019</v>
      </c>
      <c r="H58" s="2466">
        <f t="shared" si="182"/>
        <v>1.6346236499699707</v>
      </c>
      <c r="I58" s="2483">
        <f t="shared" si="183"/>
        <v>0.54487454998999019</v>
      </c>
      <c r="J58" s="2483">
        <f t="shared" si="184"/>
        <v>0.54487454998999019</v>
      </c>
      <c r="K58" s="2483">
        <f t="shared" si="185"/>
        <v>0.54487454998999019</v>
      </c>
      <c r="L58" s="2466">
        <f t="shared" si="186"/>
        <v>1.6346236499699707</v>
      </c>
      <c r="M58" s="2466">
        <f t="shared" si="174"/>
        <v>3.2692472999399413</v>
      </c>
      <c r="N58" s="2483">
        <f t="shared" si="187"/>
        <v>0.54487454998999019</v>
      </c>
      <c r="O58" s="2483">
        <f t="shared" si="188"/>
        <v>0.54487454998999019</v>
      </c>
      <c r="P58" s="2483">
        <f t="shared" si="189"/>
        <v>0.54487454998999019</v>
      </c>
      <c r="Q58" s="2466">
        <f t="shared" si="190"/>
        <v>1.6346236499699707</v>
      </c>
      <c r="R58" s="2466">
        <f t="shared" si="176"/>
        <v>4.903870949909912</v>
      </c>
      <c r="S58" s="2483">
        <f t="shared" si="191"/>
        <v>0.54487454998999019</v>
      </c>
      <c r="T58" s="2483">
        <f t="shared" si="192"/>
        <v>0.54487454998999019</v>
      </c>
      <c r="U58" s="2483">
        <f t="shared" si="193"/>
        <v>0.54487454998999019</v>
      </c>
      <c r="V58" s="2466">
        <f t="shared" si="194"/>
        <v>1.6346236499699707</v>
      </c>
      <c r="W58" s="642">
        <f t="shared" si="11"/>
        <v>6.5384945998798836</v>
      </c>
    </row>
    <row r="59" spans="1:23" ht="18.75">
      <c r="A59" s="2479" t="s">
        <v>32</v>
      </c>
      <c r="B59" s="2480">
        <f>SUM(B49*2.15%)</f>
        <v>70.288816948708728</v>
      </c>
      <c r="C59" s="2480">
        <f>SUM(C49*2.15%)</f>
        <v>69.746662623069042</v>
      </c>
      <c r="D59" s="2481">
        <f t="shared" si="171"/>
        <v>0.54215432563968591</v>
      </c>
      <c r="E59" s="2467">
        <f t="shared" si="179"/>
        <v>5.8574014123923943</v>
      </c>
      <c r="F59" s="2467">
        <f t="shared" si="180"/>
        <v>5.8574014123923943</v>
      </c>
      <c r="G59" s="2467">
        <f t="shared" si="181"/>
        <v>5.8574014123923943</v>
      </c>
      <c r="H59" s="2466">
        <f t="shared" si="182"/>
        <v>17.572204237177182</v>
      </c>
      <c r="I59" s="2483">
        <f t="shared" si="183"/>
        <v>5.8574014123923943</v>
      </c>
      <c r="J59" s="2483">
        <f t="shared" si="184"/>
        <v>5.8574014123923943</v>
      </c>
      <c r="K59" s="2483">
        <f t="shared" si="185"/>
        <v>5.8574014123923943</v>
      </c>
      <c r="L59" s="2466">
        <f t="shared" si="186"/>
        <v>17.572204237177182</v>
      </c>
      <c r="M59" s="2466">
        <f t="shared" si="174"/>
        <v>35.144408474354364</v>
      </c>
      <c r="N59" s="2483">
        <f t="shared" si="187"/>
        <v>5.8574014123923943</v>
      </c>
      <c r="O59" s="2483">
        <f t="shared" si="188"/>
        <v>5.8574014123923943</v>
      </c>
      <c r="P59" s="2483">
        <f t="shared" si="189"/>
        <v>5.8574014123923943</v>
      </c>
      <c r="Q59" s="2466">
        <f t="shared" si="190"/>
        <v>17.572204237177182</v>
      </c>
      <c r="R59" s="2466">
        <f t="shared" si="176"/>
        <v>52.716612711531546</v>
      </c>
      <c r="S59" s="2483">
        <f t="shared" si="191"/>
        <v>5.8574014123923943</v>
      </c>
      <c r="T59" s="2483">
        <f t="shared" si="192"/>
        <v>5.8574014123923943</v>
      </c>
      <c r="U59" s="2483">
        <f t="shared" si="193"/>
        <v>5.8574014123923943</v>
      </c>
      <c r="V59" s="2466">
        <f t="shared" si="194"/>
        <v>17.572204237177182</v>
      </c>
      <c r="W59" s="642">
        <f t="shared" si="11"/>
        <v>70.288816948708714</v>
      </c>
    </row>
    <row r="60" spans="1:23" ht="18.75">
      <c r="A60" s="2479" t="s">
        <v>606</v>
      </c>
      <c r="B60" s="2480">
        <f>SUM(B61)</f>
        <v>267.81673881107997</v>
      </c>
      <c r="C60" s="2480">
        <f>SUM(C61)</f>
        <v>265.75100474799149</v>
      </c>
      <c r="D60" s="2480">
        <f t="shared" ref="D60" si="195">SUM(D61)</f>
        <v>2.0657340630884846</v>
      </c>
      <c r="E60" s="2482">
        <f t="shared" ref="E60:K60" si="196">SUM(E61)</f>
        <v>22.318061567589996</v>
      </c>
      <c r="F60" s="2482">
        <f t="shared" si="196"/>
        <v>22.318061567589996</v>
      </c>
      <c r="G60" s="2482">
        <f t="shared" si="196"/>
        <v>22.318061567589996</v>
      </c>
      <c r="H60" s="2466">
        <f t="shared" si="5"/>
        <v>66.954184702769993</v>
      </c>
      <c r="I60" s="2482">
        <f t="shared" si="196"/>
        <v>22.318061567589996</v>
      </c>
      <c r="J60" s="2482">
        <f t="shared" si="196"/>
        <v>22.318061567589996</v>
      </c>
      <c r="K60" s="2482">
        <f t="shared" si="196"/>
        <v>22.318061567589996</v>
      </c>
      <c r="L60" s="2466">
        <f t="shared" si="6"/>
        <v>66.954184702769993</v>
      </c>
      <c r="M60" s="2466">
        <f t="shared" si="7"/>
        <v>133.90836940553999</v>
      </c>
      <c r="N60" s="2482">
        <f t="shared" ref="N60:P60" si="197">SUM(N61)</f>
        <v>22.318061567589996</v>
      </c>
      <c r="O60" s="2482">
        <f t="shared" si="197"/>
        <v>22.318061567589996</v>
      </c>
      <c r="P60" s="2482">
        <f t="shared" si="197"/>
        <v>22.318061567589996</v>
      </c>
      <c r="Q60" s="2466">
        <f t="shared" si="8"/>
        <v>66.954184702769993</v>
      </c>
      <c r="R60" s="2466">
        <f t="shared" si="9"/>
        <v>200.86255410830998</v>
      </c>
      <c r="S60" s="2482">
        <f t="shared" ref="S60:U60" si="198">SUM(S61)</f>
        <v>22.318061567589996</v>
      </c>
      <c r="T60" s="2482">
        <f t="shared" si="198"/>
        <v>22.318061567589996</v>
      </c>
      <c r="U60" s="2482">
        <f t="shared" si="198"/>
        <v>22.318061567589996</v>
      </c>
      <c r="V60" s="2466">
        <f t="shared" si="10"/>
        <v>66.954184702769993</v>
      </c>
      <c r="W60" s="642">
        <f t="shared" si="11"/>
        <v>267.81673881108003</v>
      </c>
    </row>
    <row r="61" spans="1:23" ht="18.75">
      <c r="A61" s="2484" t="s">
        <v>564</v>
      </c>
      <c r="B61" s="2480">
        <f>SUM(B49*8.192%)</f>
        <v>267.81673881107997</v>
      </c>
      <c r="C61" s="2480">
        <f>SUM(C49*8.192%)</f>
        <v>265.75100474799149</v>
      </c>
      <c r="D61" s="2481">
        <f>SUM(B61-C61)</f>
        <v>2.0657340630884846</v>
      </c>
      <c r="E61" s="2467">
        <f t="shared" ref="E61" si="199">SUM(B61/12)</f>
        <v>22.318061567589996</v>
      </c>
      <c r="F61" s="2467">
        <f t="shared" ref="F61" si="200">SUM(E61)</f>
        <v>22.318061567589996</v>
      </c>
      <c r="G61" s="2467">
        <f t="shared" ref="G61" si="201">SUM(E61)</f>
        <v>22.318061567589996</v>
      </c>
      <c r="H61" s="2466">
        <f t="shared" ref="H61" si="202">SUM(E61+F61+G61)</f>
        <v>66.954184702769993</v>
      </c>
      <c r="I61" s="2467">
        <f t="shared" ref="I61" si="203">SUM(E61)</f>
        <v>22.318061567589996</v>
      </c>
      <c r="J61" s="2467">
        <f t="shared" ref="J61" si="204">SUM(E61)</f>
        <v>22.318061567589996</v>
      </c>
      <c r="K61" s="2467">
        <f t="shared" ref="K61" si="205">SUM(E61)</f>
        <v>22.318061567589996</v>
      </c>
      <c r="L61" s="2466">
        <f t="shared" ref="L61" si="206">SUM(I61+J61+K61)</f>
        <v>66.954184702769993</v>
      </c>
      <c r="M61" s="2466">
        <f t="shared" si="7"/>
        <v>133.90836940553999</v>
      </c>
      <c r="N61" s="2467">
        <f t="shared" ref="N61" si="207">SUM(E61)</f>
        <v>22.318061567589996</v>
      </c>
      <c r="O61" s="2467">
        <f t="shared" ref="O61" si="208">SUM(E61)</f>
        <v>22.318061567589996</v>
      </c>
      <c r="P61" s="2467">
        <f t="shared" ref="P61" si="209">SUM(E61)</f>
        <v>22.318061567589996</v>
      </c>
      <c r="Q61" s="2466">
        <f t="shared" ref="Q61" si="210">SUM(N61+O61+P61)</f>
        <v>66.954184702769993</v>
      </c>
      <c r="R61" s="2466">
        <f t="shared" si="9"/>
        <v>200.86255410830998</v>
      </c>
      <c r="S61" s="2467">
        <f t="shared" ref="S61" si="211">SUM(E61)</f>
        <v>22.318061567589996</v>
      </c>
      <c r="T61" s="2467">
        <f t="shared" ref="T61" si="212">SUM(E61)</f>
        <v>22.318061567589996</v>
      </c>
      <c r="U61" s="2467">
        <f t="shared" ref="U61" si="213">SUM(E61)</f>
        <v>22.318061567589996</v>
      </c>
      <c r="V61" s="2466">
        <f t="shared" ref="V61" si="214">SUM(S61+T61+U61)</f>
        <v>66.954184702769993</v>
      </c>
      <c r="W61" s="642">
        <f t="shared" si="11"/>
        <v>267.81673881108003</v>
      </c>
    </row>
    <row r="62" spans="1:23" ht="18.75">
      <c r="A62" s="2479" t="s">
        <v>609</v>
      </c>
      <c r="B62" s="2480">
        <f>SUM(B63:B65)</f>
        <v>249.05125930942472</v>
      </c>
      <c r="C62" s="2480">
        <f t="shared" ref="C62:D62" si="215">SUM(C63:C65)</f>
        <v>247.13026784304188</v>
      </c>
      <c r="D62" s="2480">
        <f t="shared" si="215"/>
        <v>1.9209914663828194</v>
      </c>
      <c r="E62" s="2482">
        <f t="shared" ref="E62:K62" si="216">SUM(E63:E65)</f>
        <v>19.620137028296561</v>
      </c>
      <c r="F62" s="2482">
        <f t="shared" si="216"/>
        <v>19.620137028296561</v>
      </c>
      <c r="G62" s="2482">
        <f t="shared" si="216"/>
        <v>19.620137028296561</v>
      </c>
      <c r="H62" s="2466">
        <f t="shared" si="5"/>
        <v>58.860411084889684</v>
      </c>
      <c r="I62" s="2482">
        <f t="shared" si="216"/>
        <v>19.719881763417732</v>
      </c>
      <c r="J62" s="2482">
        <f t="shared" si="216"/>
        <v>21.371211267090395</v>
      </c>
      <c r="K62" s="2482">
        <f t="shared" si="216"/>
        <v>22.811968552173923</v>
      </c>
      <c r="L62" s="2466">
        <f t="shared" si="6"/>
        <v>63.903061582682049</v>
      </c>
      <c r="M62" s="2466">
        <f t="shared" si="7"/>
        <v>122.76347266757173</v>
      </c>
      <c r="N62" s="2482">
        <f t="shared" ref="N62:P62" si="217">SUM(N63:N65)</f>
        <v>23.244195737698988</v>
      </c>
      <c r="O62" s="2482">
        <f t="shared" si="217"/>
        <v>22.811968552173923</v>
      </c>
      <c r="P62" s="2482">
        <f t="shared" si="217"/>
        <v>21.371211267090395</v>
      </c>
      <c r="Q62" s="2466">
        <f t="shared" si="8"/>
        <v>67.427375556963312</v>
      </c>
      <c r="R62" s="2466">
        <f t="shared" si="9"/>
        <v>190.19084822453505</v>
      </c>
      <c r="S62" s="2482">
        <f t="shared" ref="S62:U62" si="218">SUM(S63:S65)</f>
        <v>19.620137028296561</v>
      </c>
      <c r="T62" s="2482">
        <f t="shared" si="218"/>
        <v>19.620137028296561</v>
      </c>
      <c r="U62" s="2482">
        <f t="shared" si="218"/>
        <v>19.620137028296561</v>
      </c>
      <c r="V62" s="2466">
        <f t="shared" si="10"/>
        <v>58.860411084889684</v>
      </c>
      <c r="W62" s="642">
        <f t="shared" si="11"/>
        <v>249.05125930942472</v>
      </c>
    </row>
    <row r="63" spans="1:23" ht="18.75">
      <c r="A63" s="2484" t="s">
        <v>551</v>
      </c>
      <c r="B63" s="2480">
        <f>SUM(B49*3.39%)</f>
        <v>110.827483467964</v>
      </c>
      <c r="C63" s="2480">
        <f>SUM(C49*3.39%)</f>
        <v>109.97264478707167</v>
      </c>
      <c r="D63" s="2481">
        <f>SUM(B63-C63)</f>
        <v>0.85483868089232828</v>
      </c>
      <c r="E63" s="2467">
        <f>SUM(B63*7.31%)</f>
        <v>8.1014890415081684</v>
      </c>
      <c r="F63" s="2467">
        <f>SUM(B63*7.31%)</f>
        <v>8.1014890415081684</v>
      </c>
      <c r="G63" s="2467">
        <f>SUM(B63*7.31%)</f>
        <v>8.1014890415081684</v>
      </c>
      <c r="H63" s="2466">
        <f t="shared" ref="H63:H65" si="219">SUM(E63+F63+G63)</f>
        <v>24.304467124524507</v>
      </c>
      <c r="I63" s="2467">
        <f>SUM(B63*7.4%)</f>
        <v>8.2012337766293371</v>
      </c>
      <c r="J63" s="2467">
        <f>SUM(B63*8.89%)</f>
        <v>9.8525632803020002</v>
      </c>
      <c r="K63" s="2467">
        <f>SUM(B63*10.19%)</f>
        <v>11.29332056538553</v>
      </c>
      <c r="L63" s="2466">
        <f t="shared" ref="L63:L65" si="220">SUM(I63+J63+K63)</f>
        <v>29.347117622316865</v>
      </c>
      <c r="M63" s="2466">
        <f t="shared" si="7"/>
        <v>53.651584746841372</v>
      </c>
      <c r="N63" s="2467">
        <f>SUM(B63*10.58%)</f>
        <v>11.725547750910591</v>
      </c>
      <c r="O63" s="2467">
        <f>SUM(B63*10.19%)</f>
        <v>11.29332056538553</v>
      </c>
      <c r="P63" s="2467">
        <f>SUM(B63*8.89%)</f>
        <v>9.8525632803020002</v>
      </c>
      <c r="Q63" s="2466">
        <f t="shared" ref="Q63:Q65" si="221">SUM(N63+O63+P63)</f>
        <v>32.871431596598121</v>
      </c>
      <c r="R63" s="2466">
        <f t="shared" si="9"/>
        <v>86.523016343439494</v>
      </c>
      <c r="S63" s="2467">
        <f>SUM(B63*7.31%)</f>
        <v>8.1014890415081684</v>
      </c>
      <c r="T63" s="2467">
        <f>SUM(B63*7.31%)</f>
        <v>8.1014890415081684</v>
      </c>
      <c r="U63" s="2467">
        <f>SUM(B63*7.31%)</f>
        <v>8.1014890415081684</v>
      </c>
      <c r="V63" s="2466">
        <f t="shared" ref="V63:V65" si="222">SUM(S63+T63+U63)</f>
        <v>24.304467124524507</v>
      </c>
      <c r="W63" s="642">
        <f t="shared" si="11"/>
        <v>110.82748346796402</v>
      </c>
    </row>
    <row r="64" spans="1:23" ht="18.75">
      <c r="A64" s="2484" t="s">
        <v>559</v>
      </c>
      <c r="B64" s="2480">
        <f>SUM(B49*3.97%)</f>
        <v>129.78911780761567</v>
      </c>
      <c r="C64" s="2480">
        <f>SUM(C49*3.97%)</f>
        <v>128.78802354120194</v>
      </c>
      <c r="D64" s="2481">
        <f>SUM(B64-C64)</f>
        <v>1.0010942664137303</v>
      </c>
      <c r="E64" s="2467">
        <f t="shared" ref="E64:E65" si="223">SUM(B64/12)</f>
        <v>10.815759817301306</v>
      </c>
      <c r="F64" s="2467">
        <f t="shared" ref="F64:F65" si="224">SUM(E64)</f>
        <v>10.815759817301306</v>
      </c>
      <c r="G64" s="2467">
        <f t="shared" ref="G64:G65" si="225">SUM(E64)</f>
        <v>10.815759817301306</v>
      </c>
      <c r="H64" s="2466">
        <f t="shared" si="219"/>
        <v>32.447279451903917</v>
      </c>
      <c r="I64" s="2483">
        <f t="shared" ref="I64:I65" si="226">SUM(E64)</f>
        <v>10.815759817301306</v>
      </c>
      <c r="J64" s="2483">
        <f t="shared" ref="J64:J65" si="227">SUM(E64)</f>
        <v>10.815759817301306</v>
      </c>
      <c r="K64" s="2483">
        <f t="shared" ref="K64:K65" si="228">SUM(E64)</f>
        <v>10.815759817301306</v>
      </c>
      <c r="L64" s="2466">
        <f t="shared" si="220"/>
        <v>32.447279451903917</v>
      </c>
      <c r="M64" s="2466">
        <f t="shared" si="7"/>
        <v>64.894558903807834</v>
      </c>
      <c r="N64" s="2483">
        <f t="shared" ref="N64:N65" si="229">SUM(E64)</f>
        <v>10.815759817301306</v>
      </c>
      <c r="O64" s="2483">
        <f t="shared" ref="O64:O65" si="230">SUM(E64)</f>
        <v>10.815759817301306</v>
      </c>
      <c r="P64" s="2483">
        <f t="shared" ref="P64:P65" si="231">SUM(E64)</f>
        <v>10.815759817301306</v>
      </c>
      <c r="Q64" s="2466">
        <f t="shared" si="221"/>
        <v>32.447279451903917</v>
      </c>
      <c r="R64" s="2466">
        <f t="shared" si="9"/>
        <v>97.341838355711758</v>
      </c>
      <c r="S64" s="2483">
        <f t="shared" ref="S64:S65" si="232">SUM(E64)</f>
        <v>10.815759817301306</v>
      </c>
      <c r="T64" s="2483">
        <f t="shared" ref="T64:T65" si="233">SUM(E64)</f>
        <v>10.815759817301306</v>
      </c>
      <c r="U64" s="2483">
        <f t="shared" ref="U64:U65" si="234">SUM(E64)</f>
        <v>10.815759817301306</v>
      </c>
      <c r="V64" s="2466">
        <f t="shared" si="222"/>
        <v>32.447279451903917</v>
      </c>
      <c r="W64" s="642">
        <f t="shared" si="11"/>
        <v>129.7891178076157</v>
      </c>
    </row>
    <row r="65" spans="1:23" ht="18.75">
      <c r="A65" s="2484" t="s">
        <v>613</v>
      </c>
      <c r="B65" s="2480">
        <f>SUM(B49*0.258%)</f>
        <v>8.4346580338450483</v>
      </c>
      <c r="C65" s="2480">
        <f>SUM(C49*0.258%)</f>
        <v>8.3695995147682876</v>
      </c>
      <c r="D65" s="2481">
        <f>SUM(B65-C65)</f>
        <v>6.5058519076760746E-2</v>
      </c>
      <c r="E65" s="2467">
        <f t="shared" si="223"/>
        <v>0.70288816948708732</v>
      </c>
      <c r="F65" s="2467">
        <f t="shared" si="224"/>
        <v>0.70288816948708732</v>
      </c>
      <c r="G65" s="2467">
        <f t="shared" si="225"/>
        <v>0.70288816948708732</v>
      </c>
      <c r="H65" s="2466">
        <f t="shared" si="219"/>
        <v>2.1086645084612621</v>
      </c>
      <c r="I65" s="2483">
        <f t="shared" si="226"/>
        <v>0.70288816948708732</v>
      </c>
      <c r="J65" s="2483">
        <f t="shared" si="227"/>
        <v>0.70288816948708732</v>
      </c>
      <c r="K65" s="2483">
        <f t="shared" si="228"/>
        <v>0.70288816948708732</v>
      </c>
      <c r="L65" s="2466">
        <f t="shared" si="220"/>
        <v>2.1086645084612621</v>
      </c>
      <c r="M65" s="2466">
        <f t="shared" si="7"/>
        <v>4.2173290169225242</v>
      </c>
      <c r="N65" s="2483">
        <f t="shared" si="229"/>
        <v>0.70288816948708732</v>
      </c>
      <c r="O65" s="2483">
        <f t="shared" si="230"/>
        <v>0.70288816948708732</v>
      </c>
      <c r="P65" s="2483">
        <f t="shared" si="231"/>
        <v>0.70288816948708732</v>
      </c>
      <c r="Q65" s="2466">
        <f t="shared" si="221"/>
        <v>2.1086645084612621</v>
      </c>
      <c r="R65" s="2466">
        <f t="shared" si="9"/>
        <v>6.3259935253837867</v>
      </c>
      <c r="S65" s="2483">
        <f t="shared" si="232"/>
        <v>0.70288816948708732</v>
      </c>
      <c r="T65" s="2483">
        <f t="shared" si="233"/>
        <v>0.70288816948708732</v>
      </c>
      <c r="U65" s="2483">
        <f t="shared" si="234"/>
        <v>0.70288816948708732</v>
      </c>
      <c r="V65" s="2466">
        <f t="shared" si="222"/>
        <v>2.1086645084612621</v>
      </c>
      <c r="W65" s="642">
        <f t="shared" si="11"/>
        <v>8.4346580338450483</v>
      </c>
    </row>
    <row r="66" spans="1:23" ht="18.75">
      <c r="A66" s="2490" t="s">
        <v>1592</v>
      </c>
      <c r="B66" s="2475">
        <f>SUM('цех вода'!AZ50)</f>
        <v>2516.2184274818646</v>
      </c>
      <c r="C66" s="2475">
        <f>SUM(вода!CS42)</f>
        <v>2501.717989068783</v>
      </c>
      <c r="D66" s="2476">
        <f>SUM(вода!CT42)</f>
        <v>14.500438413081838</v>
      </c>
      <c r="E66" s="2477">
        <f>SUM(E67+E68+E69+E70+E71+E72+E73+E75)</f>
        <v>204.77142160441312</v>
      </c>
      <c r="F66" s="2477">
        <f t="shared" ref="F66:G66" si="235">SUM(F67+F68+F69+F70+F71+F72+F73+F75)</f>
        <v>204.77142160441312</v>
      </c>
      <c r="G66" s="2477">
        <f t="shared" si="235"/>
        <v>204.77142160441312</v>
      </c>
      <c r="H66" s="2478">
        <f t="shared" si="5"/>
        <v>614.31426481323933</v>
      </c>
      <c r="I66" s="2477">
        <f t="shared" ref="I66:K66" si="236">SUM(I67+I68+I69+I70+I71+I72+I73+I75)</f>
        <v>204.89688025520735</v>
      </c>
      <c r="J66" s="2477">
        <f t="shared" si="236"/>
        <v>206.97391791835653</v>
      </c>
      <c r="K66" s="2477">
        <f t="shared" si="236"/>
        <v>208.78609842982897</v>
      </c>
      <c r="L66" s="2478">
        <f t="shared" si="6"/>
        <v>620.65689660339285</v>
      </c>
      <c r="M66" s="2478">
        <f t="shared" si="7"/>
        <v>1234.9711614166322</v>
      </c>
      <c r="N66" s="2477">
        <f t="shared" ref="N66:P66" si="237">SUM(N67+N68+N69+N70+N71+N72+N73+N75)</f>
        <v>216.30362463669351</v>
      </c>
      <c r="O66" s="2477">
        <f t="shared" si="237"/>
        <v>215.75997048325178</v>
      </c>
      <c r="P66" s="2477">
        <f t="shared" si="237"/>
        <v>213.94778997177934</v>
      </c>
      <c r="Q66" s="2478">
        <f t="shared" si="8"/>
        <v>646.01138509172461</v>
      </c>
      <c r="R66" s="2478">
        <f t="shared" si="9"/>
        <v>1880.9825465083568</v>
      </c>
      <c r="S66" s="2477">
        <f t="shared" ref="S66:U66" si="238">SUM(S67+S68+S69+S70+S71+S72+S73+S75)</f>
        <v>211.74529365783593</v>
      </c>
      <c r="T66" s="2477">
        <f t="shared" si="238"/>
        <v>211.74529365783593</v>
      </c>
      <c r="U66" s="2477">
        <f t="shared" si="238"/>
        <v>211.74529365783593</v>
      </c>
      <c r="V66" s="2478">
        <f t="shared" si="10"/>
        <v>635.23588097350785</v>
      </c>
      <c r="W66" s="642">
        <f t="shared" si="11"/>
        <v>2516.2184274818651</v>
      </c>
    </row>
    <row r="67" spans="1:23" ht="18.75">
      <c r="A67" s="2479" t="s">
        <v>72</v>
      </c>
      <c r="B67" s="2480">
        <f>SUM(B66*65.14%)</f>
        <v>1639.0646836616866</v>
      </c>
      <c r="C67" s="2480">
        <f>SUM(C66*65.14%)</f>
        <v>1629.6190980794051</v>
      </c>
      <c r="D67" s="2481">
        <f t="shared" ref="D67:D72" si="239">SUM(B67-C67)</f>
        <v>9.4455855822814101</v>
      </c>
      <c r="E67" s="2467">
        <f>SUM(B67/2)/(1+(104%*100-100)/2/100)/6</f>
        <v>133.91051337105282</v>
      </c>
      <c r="F67" s="2482">
        <f>SUM(E67)</f>
        <v>133.91051337105282</v>
      </c>
      <c r="G67" s="2467">
        <f>SUM(E67)</f>
        <v>133.91051337105282</v>
      </c>
      <c r="H67" s="2466">
        <f>SUM(E67+F67+G67)</f>
        <v>401.73154011315842</v>
      </c>
      <c r="I67" s="2483">
        <f>SUM(E67)</f>
        <v>133.91051337105282</v>
      </c>
      <c r="J67" s="2483">
        <f>SUM(E67)</f>
        <v>133.91051337105282</v>
      </c>
      <c r="K67" s="2483">
        <f>SUM(E67)</f>
        <v>133.91051337105282</v>
      </c>
      <c r="L67" s="2466">
        <f>SUM(I67+J67+K67)</f>
        <v>401.73154011315842</v>
      </c>
      <c r="M67" s="2466">
        <f>SUM(H67+L67)</f>
        <v>803.46308022631683</v>
      </c>
      <c r="N67" s="2483">
        <f>SUM(B67-M67)/6</f>
        <v>139.26693390589494</v>
      </c>
      <c r="O67" s="2483">
        <f>SUM(N67)</f>
        <v>139.26693390589494</v>
      </c>
      <c r="P67" s="2483">
        <f>SUM(N67)</f>
        <v>139.26693390589494</v>
      </c>
      <c r="Q67" s="2466">
        <f>SUM(N67+O67+P67)</f>
        <v>417.80080171768486</v>
      </c>
      <c r="R67" s="2466">
        <f>SUM(M67+Q67)</f>
        <v>1221.2638819440017</v>
      </c>
      <c r="S67" s="2483">
        <f>SUM(N67)</f>
        <v>139.26693390589494</v>
      </c>
      <c r="T67" s="2483">
        <f>SUM(N67)</f>
        <v>139.26693390589494</v>
      </c>
      <c r="U67" s="2483">
        <f>SUM(N67)</f>
        <v>139.26693390589494</v>
      </c>
      <c r="V67" s="2466">
        <f>SUM(S67+T67+U67)</f>
        <v>417.80080171768486</v>
      </c>
      <c r="W67" s="642">
        <f>SUM(U67+T67+S67+P67+O67+N67+K67+J67+I67+G67+F67+E67)</f>
        <v>1639.0646836616861</v>
      </c>
    </row>
    <row r="68" spans="1:23" ht="18.75">
      <c r="A68" s="2479" t="s">
        <v>121</v>
      </c>
      <c r="B68" s="2480">
        <f>SUM(B66*19.67%)</f>
        <v>494.94016468568282</v>
      </c>
      <c r="C68" s="2480">
        <f>SUM(C66*19.67%)</f>
        <v>492.08792844982963</v>
      </c>
      <c r="D68" s="2481">
        <f t="shared" si="239"/>
        <v>2.8522362358531836</v>
      </c>
      <c r="E68" s="2467">
        <f>SUM(E67*(B68/B67))</f>
        <v>40.436287964516566</v>
      </c>
      <c r="F68" s="2467">
        <f>SUM(E68)</f>
        <v>40.436287964516566</v>
      </c>
      <c r="G68" s="2482">
        <f>SUM(E68)</f>
        <v>40.436287964516566</v>
      </c>
      <c r="H68" s="2466">
        <f t="shared" ref="H68" si="240">SUM(E68+F68+G68)</f>
        <v>121.3088638935497</v>
      </c>
      <c r="I68" s="2483">
        <f>SUM(E68)</f>
        <v>40.436287964516566</v>
      </c>
      <c r="J68" s="2483">
        <f>SUM(E68)</f>
        <v>40.436287964516566</v>
      </c>
      <c r="K68" s="2483">
        <f>SUM(E68)</f>
        <v>40.436287964516566</v>
      </c>
      <c r="L68" s="2466">
        <f t="shared" ref="L68" si="241">SUM(I68+J68+K68)</f>
        <v>121.3088638935497</v>
      </c>
      <c r="M68" s="2466">
        <f t="shared" ref="M68:M80" si="242">SUM(H68+L68)</f>
        <v>242.6177277870994</v>
      </c>
      <c r="N68" s="2483">
        <f>SUM(B68-M68)/6</f>
        <v>42.053739483097239</v>
      </c>
      <c r="O68" s="2483">
        <f>SUM(N68)</f>
        <v>42.053739483097239</v>
      </c>
      <c r="P68" s="2483">
        <f>SUM(N68)</f>
        <v>42.053739483097239</v>
      </c>
      <c r="Q68" s="2466">
        <f t="shared" ref="Q68" si="243">SUM(N68+O68+P68)</f>
        <v>126.16121844929171</v>
      </c>
      <c r="R68" s="2466">
        <f t="shared" ref="R68:R80" si="244">SUM(M68+Q68)</f>
        <v>368.77894623639111</v>
      </c>
      <c r="S68" s="2483">
        <f>SUM(N68)</f>
        <v>42.053739483097239</v>
      </c>
      <c r="T68" s="2483">
        <f>SUM(N68)</f>
        <v>42.053739483097239</v>
      </c>
      <c r="U68" s="2483">
        <f>SUM(N68)</f>
        <v>42.053739483097239</v>
      </c>
      <c r="V68" s="2466">
        <f t="shared" ref="V68" si="245">SUM(S68+T68+U68)</f>
        <v>126.16121844929171</v>
      </c>
      <c r="W68" s="642">
        <f t="shared" ref="W68" si="246">SUM(U68+T68+S68+P68+O68+N68+K68+J68+I68+G68+F68+E68)</f>
        <v>494.94016468568287</v>
      </c>
    </row>
    <row r="69" spans="1:23" ht="18.75">
      <c r="A69" s="2479" t="s">
        <v>52</v>
      </c>
      <c r="B69" s="2480">
        <f>SUM(B66*0.37%)</f>
        <v>9.3100081816828997</v>
      </c>
      <c r="C69" s="2480">
        <f>SUM(C66*0.37%)</f>
        <v>9.2563565595544972</v>
      </c>
      <c r="D69" s="2481">
        <f t="shared" si="239"/>
        <v>5.3651622128402465E-2</v>
      </c>
      <c r="E69" s="2467">
        <f t="shared" ref="E69:E72" si="247">SUM(B69/12)</f>
        <v>0.77583401514024164</v>
      </c>
      <c r="F69" s="2467">
        <f t="shared" ref="F69:F72" si="248">SUM(E69)</f>
        <v>0.77583401514024164</v>
      </c>
      <c r="G69" s="2467">
        <f t="shared" ref="G69:G72" si="249">SUM(E69)</f>
        <v>0.77583401514024164</v>
      </c>
      <c r="H69" s="2466">
        <f t="shared" ref="H69:H80" si="250">SUM(E69+F69+G69)</f>
        <v>2.3275020454207249</v>
      </c>
      <c r="I69" s="2483">
        <f t="shared" ref="I69:I72" si="251">SUM(E69)</f>
        <v>0.77583401514024164</v>
      </c>
      <c r="J69" s="2483">
        <f t="shared" ref="J69:J72" si="252">SUM(E69)</f>
        <v>0.77583401514024164</v>
      </c>
      <c r="K69" s="2483">
        <f t="shared" ref="K69:K72" si="253">SUM(E69)</f>
        <v>0.77583401514024164</v>
      </c>
      <c r="L69" s="2466">
        <f t="shared" ref="L69:L80" si="254">SUM(I69+J69+K69)</f>
        <v>2.3275020454207249</v>
      </c>
      <c r="M69" s="2466">
        <f t="shared" si="242"/>
        <v>4.6550040908414498</v>
      </c>
      <c r="N69" s="2483">
        <f t="shared" ref="N69:N72" si="255">SUM(E69)</f>
        <v>0.77583401514024164</v>
      </c>
      <c r="O69" s="2483">
        <f t="shared" ref="O69:O72" si="256">SUM(E69)</f>
        <v>0.77583401514024164</v>
      </c>
      <c r="P69" s="2483">
        <f t="shared" ref="P69:P72" si="257">SUM(E69)</f>
        <v>0.77583401514024164</v>
      </c>
      <c r="Q69" s="2466">
        <f t="shared" ref="Q69:Q80" si="258">SUM(N69+O69+P69)</f>
        <v>2.3275020454207249</v>
      </c>
      <c r="R69" s="2466">
        <f t="shared" si="244"/>
        <v>6.9825061362621748</v>
      </c>
      <c r="S69" s="2483">
        <f t="shared" ref="S69:S72" si="259">SUM(E69)</f>
        <v>0.77583401514024164</v>
      </c>
      <c r="T69" s="2483">
        <f t="shared" ref="T69:T72" si="260">SUM(E69)</f>
        <v>0.77583401514024164</v>
      </c>
      <c r="U69" s="2483">
        <f t="shared" ref="U69:U72" si="261">SUM(E69)</f>
        <v>0.77583401514024164</v>
      </c>
      <c r="V69" s="2466">
        <f t="shared" ref="V69:V80" si="262">SUM(S69+T69+U69)</f>
        <v>2.3275020454207249</v>
      </c>
      <c r="W69" s="642">
        <f t="shared" si="11"/>
        <v>9.3100081816828997</v>
      </c>
    </row>
    <row r="70" spans="1:23" ht="18.75">
      <c r="A70" s="2479" t="s">
        <v>605</v>
      </c>
      <c r="B70" s="2480">
        <f>SUM(B66*6.78%)</f>
        <v>170.59960938327043</v>
      </c>
      <c r="C70" s="2480">
        <f>SUM(C66*6.78%)</f>
        <v>169.61647965886348</v>
      </c>
      <c r="D70" s="2481">
        <f t="shared" si="239"/>
        <v>0.98312972440695034</v>
      </c>
      <c r="E70" s="2467">
        <f t="shared" si="247"/>
        <v>14.216634115272536</v>
      </c>
      <c r="F70" s="2467">
        <f t="shared" si="248"/>
        <v>14.216634115272536</v>
      </c>
      <c r="G70" s="2467">
        <f t="shared" si="249"/>
        <v>14.216634115272536</v>
      </c>
      <c r="H70" s="2466">
        <f t="shared" si="250"/>
        <v>42.649902345817608</v>
      </c>
      <c r="I70" s="2483">
        <f t="shared" si="251"/>
        <v>14.216634115272536</v>
      </c>
      <c r="J70" s="2483">
        <f t="shared" si="252"/>
        <v>14.216634115272536</v>
      </c>
      <c r="K70" s="2483">
        <f t="shared" si="253"/>
        <v>14.216634115272536</v>
      </c>
      <c r="L70" s="2466">
        <f t="shared" si="254"/>
        <v>42.649902345817608</v>
      </c>
      <c r="M70" s="2466">
        <f t="shared" si="242"/>
        <v>85.299804691635217</v>
      </c>
      <c r="N70" s="2483">
        <f t="shared" si="255"/>
        <v>14.216634115272536</v>
      </c>
      <c r="O70" s="2483">
        <f t="shared" si="256"/>
        <v>14.216634115272536</v>
      </c>
      <c r="P70" s="2483">
        <f t="shared" si="257"/>
        <v>14.216634115272536</v>
      </c>
      <c r="Q70" s="2466">
        <f t="shared" si="258"/>
        <v>42.649902345817608</v>
      </c>
      <c r="R70" s="2466">
        <f t="shared" si="244"/>
        <v>127.94970703745282</v>
      </c>
      <c r="S70" s="2483">
        <f t="shared" si="259"/>
        <v>14.216634115272536</v>
      </c>
      <c r="T70" s="2483">
        <f t="shared" si="260"/>
        <v>14.216634115272536</v>
      </c>
      <c r="U70" s="2483">
        <f t="shared" si="261"/>
        <v>14.216634115272536</v>
      </c>
      <c r="V70" s="2466">
        <f t="shared" si="262"/>
        <v>42.649902345817608</v>
      </c>
      <c r="W70" s="642">
        <f t="shared" si="11"/>
        <v>170.59960938327046</v>
      </c>
    </row>
    <row r="71" spans="1:23" ht="18.75">
      <c r="A71" s="2479" t="s">
        <v>38</v>
      </c>
      <c r="B71" s="2480">
        <f>SUM(B66*1.44%)</f>
        <v>36.233545355738848</v>
      </c>
      <c r="C71" s="2480">
        <f>SUM(C66*1.44%)</f>
        <v>36.024739042590475</v>
      </c>
      <c r="D71" s="2481">
        <f t="shared" si="239"/>
        <v>0.20880631314837217</v>
      </c>
      <c r="E71" s="2467">
        <f t="shared" si="247"/>
        <v>3.0194621129782373</v>
      </c>
      <c r="F71" s="2467">
        <f t="shared" si="248"/>
        <v>3.0194621129782373</v>
      </c>
      <c r="G71" s="2467">
        <f t="shared" si="249"/>
        <v>3.0194621129782373</v>
      </c>
      <c r="H71" s="2466">
        <f t="shared" si="250"/>
        <v>9.0583863389347119</v>
      </c>
      <c r="I71" s="2483">
        <f t="shared" si="251"/>
        <v>3.0194621129782373</v>
      </c>
      <c r="J71" s="2483">
        <f t="shared" si="252"/>
        <v>3.0194621129782373</v>
      </c>
      <c r="K71" s="2483">
        <f t="shared" si="253"/>
        <v>3.0194621129782373</v>
      </c>
      <c r="L71" s="2466">
        <f t="shared" si="254"/>
        <v>9.0583863389347119</v>
      </c>
      <c r="M71" s="2466">
        <f t="shared" si="242"/>
        <v>18.116772677869424</v>
      </c>
      <c r="N71" s="2483">
        <f t="shared" si="255"/>
        <v>3.0194621129782373</v>
      </c>
      <c r="O71" s="2483">
        <f t="shared" si="256"/>
        <v>3.0194621129782373</v>
      </c>
      <c r="P71" s="2483">
        <f t="shared" si="257"/>
        <v>3.0194621129782373</v>
      </c>
      <c r="Q71" s="2466">
        <f t="shared" si="258"/>
        <v>9.0583863389347119</v>
      </c>
      <c r="R71" s="2466">
        <f t="shared" si="244"/>
        <v>27.175159016804137</v>
      </c>
      <c r="S71" s="2483">
        <f t="shared" si="259"/>
        <v>3.0194621129782373</v>
      </c>
      <c r="T71" s="2483">
        <f t="shared" si="260"/>
        <v>3.0194621129782373</v>
      </c>
      <c r="U71" s="2483">
        <f t="shared" si="261"/>
        <v>3.0194621129782373</v>
      </c>
      <c r="V71" s="2466">
        <f t="shared" si="262"/>
        <v>9.0583863389347119</v>
      </c>
      <c r="W71" s="642">
        <f t="shared" si="11"/>
        <v>36.233545355738855</v>
      </c>
    </row>
    <row r="72" spans="1:23" ht="18.75">
      <c r="A72" s="2479" t="s">
        <v>32</v>
      </c>
      <c r="B72" s="2480">
        <f>SUM(B66*0.13%)</f>
        <v>3.2710839557264237</v>
      </c>
      <c r="C72" s="2480">
        <f>SUM(C66*0.13%)</f>
        <v>3.2522333857894177</v>
      </c>
      <c r="D72" s="2481">
        <f t="shared" si="239"/>
        <v>1.8850569937006068E-2</v>
      </c>
      <c r="E72" s="2467">
        <f t="shared" si="247"/>
        <v>0.27259032964386865</v>
      </c>
      <c r="F72" s="2467">
        <f t="shared" si="248"/>
        <v>0.27259032964386865</v>
      </c>
      <c r="G72" s="2467">
        <f t="shared" si="249"/>
        <v>0.27259032964386865</v>
      </c>
      <c r="H72" s="2466">
        <f t="shared" si="250"/>
        <v>0.81777098893160594</v>
      </c>
      <c r="I72" s="2467">
        <f t="shared" si="251"/>
        <v>0.27259032964386865</v>
      </c>
      <c r="J72" s="2467">
        <f t="shared" si="252"/>
        <v>0.27259032964386865</v>
      </c>
      <c r="K72" s="2467">
        <f t="shared" si="253"/>
        <v>0.27259032964386865</v>
      </c>
      <c r="L72" s="2466">
        <f t="shared" si="254"/>
        <v>0.81777098893160594</v>
      </c>
      <c r="M72" s="2466">
        <f t="shared" si="242"/>
        <v>1.6355419778632119</v>
      </c>
      <c r="N72" s="2483">
        <f t="shared" si="255"/>
        <v>0.27259032964386865</v>
      </c>
      <c r="O72" s="2483">
        <f t="shared" si="256"/>
        <v>0.27259032964386865</v>
      </c>
      <c r="P72" s="2483">
        <f t="shared" si="257"/>
        <v>0.27259032964386865</v>
      </c>
      <c r="Q72" s="2466">
        <f t="shared" si="258"/>
        <v>0.81777098893160594</v>
      </c>
      <c r="R72" s="2466">
        <f t="shared" si="244"/>
        <v>2.4533129667948179</v>
      </c>
      <c r="S72" s="2483">
        <f t="shared" si="259"/>
        <v>0.27259032964386865</v>
      </c>
      <c r="T72" s="2483">
        <f t="shared" si="260"/>
        <v>0.27259032964386865</v>
      </c>
      <c r="U72" s="2483">
        <f t="shared" si="261"/>
        <v>0.27259032964386865</v>
      </c>
      <c r="V72" s="2466">
        <f t="shared" si="262"/>
        <v>0.81777098893160594</v>
      </c>
      <c r="W72" s="642">
        <f t="shared" ref="W72:W80" si="263">SUM(U72+T72+S72+P72+O72+N72+K72+J72+I72+G72+F72+E72)</f>
        <v>3.2710839557264246</v>
      </c>
    </row>
    <row r="73" spans="1:23" ht="18.75">
      <c r="A73" s="2479" t="s">
        <v>606</v>
      </c>
      <c r="B73" s="2480">
        <f>SUM(B74)</f>
        <v>19.878125577106733</v>
      </c>
      <c r="C73" s="2480">
        <f t="shared" ref="C73:D73" si="264">SUM(C74)</f>
        <v>19.763572113643388</v>
      </c>
      <c r="D73" s="2480">
        <f t="shared" si="264"/>
        <v>0.11455346346334494</v>
      </c>
      <c r="E73" s="2482">
        <f t="shared" ref="E73:K73" si="265">SUM(E74)</f>
        <v>1.6565104647588944</v>
      </c>
      <c r="F73" s="2482">
        <f t="shared" si="265"/>
        <v>1.6565104647588944</v>
      </c>
      <c r="G73" s="2482">
        <f t="shared" si="265"/>
        <v>1.6565104647588944</v>
      </c>
      <c r="H73" s="2466">
        <f t="shared" si="250"/>
        <v>4.9695313942766832</v>
      </c>
      <c r="I73" s="2482">
        <f t="shared" si="265"/>
        <v>1.6565104647588944</v>
      </c>
      <c r="J73" s="2482">
        <f t="shared" si="265"/>
        <v>1.6565104647588944</v>
      </c>
      <c r="K73" s="2482">
        <f t="shared" si="265"/>
        <v>1.6565104647588944</v>
      </c>
      <c r="L73" s="2466">
        <f t="shared" si="254"/>
        <v>4.9695313942766832</v>
      </c>
      <c r="M73" s="2466">
        <f t="shared" si="242"/>
        <v>9.9390627885533664</v>
      </c>
      <c r="N73" s="2482">
        <f t="shared" ref="N73:P73" si="266">SUM(N74)</f>
        <v>1.6565104647588944</v>
      </c>
      <c r="O73" s="2482">
        <f t="shared" si="266"/>
        <v>1.6565104647588944</v>
      </c>
      <c r="P73" s="2482">
        <f t="shared" si="266"/>
        <v>1.6565104647588944</v>
      </c>
      <c r="Q73" s="2466">
        <f t="shared" si="258"/>
        <v>4.9695313942766832</v>
      </c>
      <c r="R73" s="2466">
        <f t="shared" si="244"/>
        <v>14.908594182830051</v>
      </c>
      <c r="S73" s="2482">
        <f t="shared" ref="S73:U73" si="267">SUM(S74)</f>
        <v>1.6565104647588944</v>
      </c>
      <c r="T73" s="2482">
        <f t="shared" si="267"/>
        <v>1.6565104647588944</v>
      </c>
      <c r="U73" s="2482">
        <f t="shared" si="267"/>
        <v>1.6565104647588944</v>
      </c>
      <c r="V73" s="2466">
        <f t="shared" si="262"/>
        <v>4.9695313942766832</v>
      </c>
      <c r="W73" s="642">
        <f t="shared" si="263"/>
        <v>19.87812557710674</v>
      </c>
    </row>
    <row r="74" spans="1:23" ht="18.75">
      <c r="A74" s="2484" t="s">
        <v>564</v>
      </c>
      <c r="B74" s="2480">
        <f>SUM(B66*0.79%)</f>
        <v>19.878125577106733</v>
      </c>
      <c r="C74" s="2480">
        <f>SUM(C66*0.79%)</f>
        <v>19.763572113643388</v>
      </c>
      <c r="D74" s="2481">
        <f>SUM(B74-C74)</f>
        <v>0.11455346346334494</v>
      </c>
      <c r="E74" s="2467">
        <f t="shared" ref="E74" si="268">SUM(B74/12)</f>
        <v>1.6565104647588944</v>
      </c>
      <c r="F74" s="2467">
        <f t="shared" ref="F74" si="269">SUM(E74)</f>
        <v>1.6565104647588944</v>
      </c>
      <c r="G74" s="2467">
        <f t="shared" ref="G74" si="270">SUM(E74)</f>
        <v>1.6565104647588944</v>
      </c>
      <c r="H74" s="2466">
        <f t="shared" si="250"/>
        <v>4.9695313942766832</v>
      </c>
      <c r="I74" s="2467">
        <f t="shared" ref="I74" si="271">SUM(E74)</f>
        <v>1.6565104647588944</v>
      </c>
      <c r="J74" s="2467">
        <f t="shared" ref="J74" si="272">SUM(E74)</f>
        <v>1.6565104647588944</v>
      </c>
      <c r="K74" s="2467">
        <f t="shared" ref="K74" si="273">SUM(E74)</f>
        <v>1.6565104647588944</v>
      </c>
      <c r="L74" s="2466">
        <f t="shared" si="254"/>
        <v>4.9695313942766832</v>
      </c>
      <c r="M74" s="2466">
        <f t="shared" si="242"/>
        <v>9.9390627885533664</v>
      </c>
      <c r="N74" s="2467">
        <f t="shared" ref="N74" si="274">SUM(E74)</f>
        <v>1.6565104647588944</v>
      </c>
      <c r="O74" s="2467">
        <f t="shared" ref="O74" si="275">SUM(E74)</f>
        <v>1.6565104647588944</v>
      </c>
      <c r="P74" s="2467">
        <f t="shared" ref="P74" si="276">SUM(E74)</f>
        <v>1.6565104647588944</v>
      </c>
      <c r="Q74" s="2466">
        <f t="shared" si="258"/>
        <v>4.9695313942766832</v>
      </c>
      <c r="R74" s="2466">
        <f t="shared" si="244"/>
        <v>14.908594182830051</v>
      </c>
      <c r="S74" s="2467">
        <f t="shared" ref="S74" si="277">SUM(E74)</f>
        <v>1.6565104647588944</v>
      </c>
      <c r="T74" s="2467">
        <f t="shared" ref="T74" si="278">SUM(E74)</f>
        <v>1.6565104647588944</v>
      </c>
      <c r="U74" s="2467">
        <f t="shared" ref="U74" si="279">SUM(E74)</f>
        <v>1.6565104647588944</v>
      </c>
      <c r="V74" s="2466">
        <f t="shared" si="262"/>
        <v>4.9695313942766832</v>
      </c>
      <c r="W74" s="642">
        <f t="shared" si="263"/>
        <v>19.87812557710674</v>
      </c>
    </row>
    <row r="75" spans="1:23" ht="18.75">
      <c r="A75" s="2479" t="s">
        <v>609</v>
      </c>
      <c r="B75" s="2480">
        <f>SUM(B76:B78)</f>
        <v>142.9212066809699</v>
      </c>
      <c r="C75" s="2480">
        <f t="shared" ref="C75:D75" si="280">SUM(C76:C78)</f>
        <v>142.09758177910686</v>
      </c>
      <c r="D75" s="2480">
        <f t="shared" si="280"/>
        <v>0.82362490186303816</v>
      </c>
      <c r="E75" s="2482">
        <f t="shared" ref="E75:K75" si="281">SUM(E76:E78)</f>
        <v>10.483589231049956</v>
      </c>
      <c r="F75" s="2482">
        <f t="shared" si="281"/>
        <v>10.483589231049956</v>
      </c>
      <c r="G75" s="2482">
        <f t="shared" si="281"/>
        <v>10.483589231049956</v>
      </c>
      <c r="H75" s="2466">
        <f t="shared" si="250"/>
        <v>31.450767693149871</v>
      </c>
      <c r="I75" s="2482">
        <f t="shared" si="281"/>
        <v>10.609047881844203</v>
      </c>
      <c r="J75" s="2482">
        <f t="shared" si="281"/>
        <v>12.686085544993384</v>
      </c>
      <c r="K75" s="2482">
        <f t="shared" si="281"/>
        <v>14.49826605646582</v>
      </c>
      <c r="L75" s="2466">
        <f t="shared" si="254"/>
        <v>37.793399483303403</v>
      </c>
      <c r="M75" s="2466">
        <f t="shared" si="242"/>
        <v>69.244167176453274</v>
      </c>
      <c r="N75" s="2482">
        <f t="shared" ref="N75:P75" si="282">SUM(N76:N78)</f>
        <v>15.041920209907554</v>
      </c>
      <c r="O75" s="2482">
        <f t="shared" si="282"/>
        <v>14.49826605646582</v>
      </c>
      <c r="P75" s="2482">
        <f t="shared" si="282"/>
        <v>12.686085544993384</v>
      </c>
      <c r="Q75" s="2466">
        <f t="shared" si="258"/>
        <v>42.226271811366757</v>
      </c>
      <c r="R75" s="2466">
        <f t="shared" si="244"/>
        <v>111.47043898782003</v>
      </c>
      <c r="S75" s="2482">
        <f t="shared" ref="S75:U75" si="283">SUM(S76:S78)</f>
        <v>10.483589231049956</v>
      </c>
      <c r="T75" s="2482">
        <f t="shared" si="283"/>
        <v>10.483589231049956</v>
      </c>
      <c r="U75" s="2482">
        <f t="shared" si="283"/>
        <v>10.483589231049956</v>
      </c>
      <c r="V75" s="2466">
        <f t="shared" si="262"/>
        <v>31.450767693149871</v>
      </c>
      <c r="W75" s="642">
        <f t="shared" si="263"/>
        <v>142.92120668096993</v>
      </c>
    </row>
    <row r="76" spans="1:23" ht="18.75">
      <c r="A76" s="2484" t="s">
        <v>551</v>
      </c>
      <c r="B76" s="2480">
        <f>SUM(B66*5.54%)</f>
        <v>139.39850088249528</v>
      </c>
      <c r="C76" s="2480">
        <f>SUM(C66*5.54%)</f>
        <v>138.59517659441056</v>
      </c>
      <c r="D76" s="2481">
        <f>SUM(B76-C76)</f>
        <v>0.803324288084724</v>
      </c>
      <c r="E76" s="2467">
        <f>SUM(B76*7.31%)</f>
        <v>10.190030414510405</v>
      </c>
      <c r="F76" s="2467">
        <f>SUM(B76*7.31%)</f>
        <v>10.190030414510405</v>
      </c>
      <c r="G76" s="2467">
        <f>SUM(B76*7.31%)</f>
        <v>10.190030414510405</v>
      </c>
      <c r="H76" s="2466">
        <f t="shared" si="250"/>
        <v>30.570091243531216</v>
      </c>
      <c r="I76" s="2467">
        <f>SUM(B76*7.4%)</f>
        <v>10.315489065304652</v>
      </c>
      <c r="J76" s="2467">
        <f>SUM(B76*8.89%)</f>
        <v>12.392526728453833</v>
      </c>
      <c r="K76" s="2467">
        <f>SUM(B76*10.19%)</f>
        <v>14.204707239926268</v>
      </c>
      <c r="L76" s="2466">
        <f t="shared" si="254"/>
        <v>36.912723033684756</v>
      </c>
      <c r="M76" s="2466">
        <f t="shared" si="242"/>
        <v>67.482814277215965</v>
      </c>
      <c r="N76" s="2467">
        <f>SUM(B76*10.58%)</f>
        <v>14.748361393368002</v>
      </c>
      <c r="O76" s="2467">
        <f>SUM(B76*10.19%)</f>
        <v>14.204707239926268</v>
      </c>
      <c r="P76" s="2467">
        <f>SUM(B76*8.89%)</f>
        <v>12.392526728453833</v>
      </c>
      <c r="Q76" s="2466">
        <f t="shared" si="258"/>
        <v>41.345595361748103</v>
      </c>
      <c r="R76" s="2466">
        <f t="shared" si="244"/>
        <v>108.82840963896408</v>
      </c>
      <c r="S76" s="2467">
        <f>SUM(B76*7.31%)</f>
        <v>10.190030414510405</v>
      </c>
      <c r="T76" s="2467">
        <f>SUM(B76*7.31%)</f>
        <v>10.190030414510405</v>
      </c>
      <c r="U76" s="2467">
        <f>SUM(B76*7.31%)</f>
        <v>10.190030414510405</v>
      </c>
      <c r="V76" s="2466">
        <f t="shared" si="262"/>
        <v>30.570091243531216</v>
      </c>
      <c r="W76" s="642">
        <f t="shared" si="263"/>
        <v>139.39850088249528</v>
      </c>
    </row>
    <row r="77" spans="1:23" ht="18.75">
      <c r="A77" s="2484" t="s">
        <v>643</v>
      </c>
      <c r="B77" s="2480">
        <f>SUM(B66*0.14%)</f>
        <v>3.5227057984746111</v>
      </c>
      <c r="C77" s="2480">
        <f>SUM(C66*0.14%)</f>
        <v>3.5024051846962969</v>
      </c>
      <c r="D77" s="2481">
        <f>SUM(B77-C77)</f>
        <v>2.0300613778314158E-2</v>
      </c>
      <c r="E77" s="2467">
        <f t="shared" ref="E77:E78" si="284">SUM(B77/12)</f>
        <v>0.2935588165395509</v>
      </c>
      <c r="F77" s="2467">
        <f t="shared" ref="F77:F78" si="285">SUM(E77)</f>
        <v>0.2935588165395509</v>
      </c>
      <c r="G77" s="2467">
        <f t="shared" ref="G77:G78" si="286">SUM(E77)</f>
        <v>0.2935588165395509</v>
      </c>
      <c r="H77" s="2466">
        <f t="shared" si="250"/>
        <v>0.88067644961865277</v>
      </c>
      <c r="I77" s="2483">
        <f t="shared" ref="I77:I78" si="287">SUM(E77)</f>
        <v>0.2935588165395509</v>
      </c>
      <c r="J77" s="2483">
        <f t="shared" ref="J77:J78" si="288">SUM(E77)</f>
        <v>0.2935588165395509</v>
      </c>
      <c r="K77" s="2483">
        <f t="shared" ref="K77:K78" si="289">SUM(E77)</f>
        <v>0.2935588165395509</v>
      </c>
      <c r="L77" s="2466">
        <f t="shared" si="254"/>
        <v>0.88067644961865277</v>
      </c>
      <c r="M77" s="2466">
        <f t="shared" si="242"/>
        <v>1.7613528992373055</v>
      </c>
      <c r="N77" s="2483">
        <f t="shared" ref="N77:N78" si="290">SUM(E77)</f>
        <v>0.2935588165395509</v>
      </c>
      <c r="O77" s="2483">
        <f t="shared" ref="O77:O78" si="291">SUM(E77)</f>
        <v>0.2935588165395509</v>
      </c>
      <c r="P77" s="2483">
        <f t="shared" ref="P77:P78" si="292">SUM(E77)</f>
        <v>0.2935588165395509</v>
      </c>
      <c r="Q77" s="2466">
        <f t="shared" si="258"/>
        <v>0.88067644961865277</v>
      </c>
      <c r="R77" s="2466">
        <f t="shared" si="244"/>
        <v>2.6420293488559583</v>
      </c>
      <c r="S77" s="2483">
        <f t="shared" ref="S77:S78" si="293">SUM(E77)</f>
        <v>0.2935588165395509</v>
      </c>
      <c r="T77" s="2483">
        <f t="shared" ref="T77:T78" si="294">SUM(E77)</f>
        <v>0.2935588165395509</v>
      </c>
      <c r="U77" s="2483">
        <f t="shared" ref="U77:U78" si="295">SUM(E77)</f>
        <v>0.2935588165395509</v>
      </c>
      <c r="V77" s="2466">
        <f t="shared" si="262"/>
        <v>0.88067644961865277</v>
      </c>
      <c r="W77" s="642">
        <f t="shared" si="263"/>
        <v>3.5227057984746115</v>
      </c>
    </row>
    <row r="78" spans="1:23" ht="18.75">
      <c r="A78" s="2491" t="s">
        <v>613</v>
      </c>
      <c r="B78" s="2492">
        <v>0</v>
      </c>
      <c r="C78" s="2492">
        <v>0</v>
      </c>
      <c r="D78" s="2493">
        <f>SUM(B78-C78)</f>
        <v>0</v>
      </c>
      <c r="E78" s="2494">
        <f t="shared" si="284"/>
        <v>0</v>
      </c>
      <c r="F78" s="2494">
        <f t="shared" si="285"/>
        <v>0</v>
      </c>
      <c r="G78" s="2494">
        <f t="shared" si="286"/>
        <v>0</v>
      </c>
      <c r="H78" s="2468">
        <f t="shared" si="250"/>
        <v>0</v>
      </c>
      <c r="I78" s="2495">
        <f t="shared" si="287"/>
        <v>0</v>
      </c>
      <c r="J78" s="2495">
        <f t="shared" si="288"/>
        <v>0</v>
      </c>
      <c r="K78" s="2495">
        <f t="shared" si="289"/>
        <v>0</v>
      </c>
      <c r="L78" s="2468">
        <f t="shared" si="254"/>
        <v>0</v>
      </c>
      <c r="M78" s="2468">
        <f t="shared" si="242"/>
        <v>0</v>
      </c>
      <c r="N78" s="2495">
        <f t="shared" si="290"/>
        <v>0</v>
      </c>
      <c r="O78" s="2495">
        <f t="shared" si="291"/>
        <v>0</v>
      </c>
      <c r="P78" s="2495">
        <f t="shared" si="292"/>
        <v>0</v>
      </c>
      <c r="Q78" s="2468">
        <f t="shared" si="258"/>
        <v>0</v>
      </c>
      <c r="R78" s="2468">
        <f t="shared" si="244"/>
        <v>0</v>
      </c>
      <c r="S78" s="2495">
        <f t="shared" si="293"/>
        <v>0</v>
      </c>
      <c r="T78" s="2495">
        <f t="shared" si="294"/>
        <v>0</v>
      </c>
      <c r="U78" s="2495">
        <f t="shared" si="295"/>
        <v>0</v>
      </c>
      <c r="V78" s="2468">
        <f t="shared" si="262"/>
        <v>0</v>
      </c>
      <c r="W78" s="642">
        <f t="shared" si="263"/>
        <v>0</v>
      </c>
    </row>
    <row r="79" spans="1:23" ht="19.5">
      <c r="A79" s="2496" t="s">
        <v>54</v>
      </c>
      <c r="B79" s="2475">
        <f>SUM(B5+B21+B49+B66)</f>
        <v>20407.87310487168</v>
      </c>
      <c r="C79" s="2475">
        <f>SUM(C5+C21+C49+C66)</f>
        <v>20357.638269080369</v>
      </c>
      <c r="D79" s="2475">
        <f>SUM(D5+D21+D49+D66)</f>
        <v>50.234835791310985</v>
      </c>
      <c r="E79" s="2477">
        <f>SUM(E5+E21+E49+E66)</f>
        <v>2094.8150336459303</v>
      </c>
      <c r="F79" s="2477">
        <f t="shared" ref="F79:G79" si="296">SUM(F5+F21+F49+F66)</f>
        <v>1976.8643665763482</v>
      </c>
      <c r="G79" s="2477">
        <f t="shared" si="296"/>
        <v>1925.7828301026937</v>
      </c>
      <c r="H79" s="2478">
        <f t="shared" si="250"/>
        <v>5997.4622303249726</v>
      </c>
      <c r="I79" s="2477">
        <f>SUM(I5+I21+I49+I66)</f>
        <v>1748.0723363780469</v>
      </c>
      <c r="J79" s="2477">
        <f t="shared" ref="J79:K79" si="297">SUM(J5+J21+J49+J66)</f>
        <v>1395.5854349244526</v>
      </c>
      <c r="K79" s="2477">
        <f t="shared" si="297"/>
        <v>1291.693139985382</v>
      </c>
      <c r="L79" s="2478">
        <f t="shared" si="254"/>
        <v>4435.3509112878819</v>
      </c>
      <c r="M79" s="2478">
        <f t="shared" si="242"/>
        <v>10432.813141612854</v>
      </c>
      <c r="N79" s="2477">
        <f>SUM(N5+N21+N49+N66)</f>
        <v>1319.7435090280221</v>
      </c>
      <c r="O79" s="2477">
        <f t="shared" ref="O79:P79" si="298">SUM(O5+O21+O49+O66)</f>
        <v>1317.6066745333069</v>
      </c>
      <c r="P79" s="2477">
        <f t="shared" si="298"/>
        <v>1513.919362948624</v>
      </c>
      <c r="Q79" s="2478">
        <f t="shared" si="258"/>
        <v>4151.2695465099532</v>
      </c>
      <c r="R79" s="2478">
        <f t="shared" si="244"/>
        <v>14584.082688122808</v>
      </c>
      <c r="S79" s="2477">
        <f>SUM(S5+S21+S49+S66)</f>
        <v>1801.8976486057074</v>
      </c>
      <c r="T79" s="2477">
        <f t="shared" ref="T79:U79" si="299">SUM(T5+T21+T49+T66)</f>
        <v>1930.6404594955204</v>
      </c>
      <c r="U79" s="2477">
        <f t="shared" si="299"/>
        <v>2091.2523086476463</v>
      </c>
      <c r="V79" s="2478">
        <f t="shared" si="262"/>
        <v>5823.7904167488741</v>
      </c>
      <c r="W79" s="642">
        <f t="shared" si="263"/>
        <v>20407.873104871676</v>
      </c>
    </row>
    <row r="80" spans="1:23" ht="19.5">
      <c r="A80" s="2496" t="s">
        <v>610</v>
      </c>
      <c r="B80" s="2499">
        <f>SUM(B79-B34-B35)</f>
        <v>20407.87310487168</v>
      </c>
      <c r="C80" s="2499">
        <f>SUM(C79-C34-C35)</f>
        <v>20357.638269080369</v>
      </c>
      <c r="D80" s="2499">
        <f>SUM(D79-D34-D35)</f>
        <v>50.234835791310985</v>
      </c>
      <c r="E80" s="2500">
        <f>SUM(E79-E34-E35)</f>
        <v>2094.8150336459303</v>
      </c>
      <c r="F80" s="2500">
        <f t="shared" ref="F80:G80" si="300">SUM(F79-F34-F35)</f>
        <v>1976.8643665763482</v>
      </c>
      <c r="G80" s="2500">
        <f t="shared" si="300"/>
        <v>1925.7828301026937</v>
      </c>
      <c r="H80" s="2478">
        <f t="shared" si="250"/>
        <v>5997.4622303249726</v>
      </c>
      <c r="I80" s="2500">
        <f>SUM(I79-I34-I35)</f>
        <v>1748.0723363780469</v>
      </c>
      <c r="J80" s="2500">
        <f t="shared" ref="J80:K80" si="301">SUM(J79-J34-J35)</f>
        <v>1395.5854349244526</v>
      </c>
      <c r="K80" s="2500">
        <f t="shared" si="301"/>
        <v>1291.693139985382</v>
      </c>
      <c r="L80" s="2478">
        <f t="shared" si="254"/>
        <v>4435.3509112878819</v>
      </c>
      <c r="M80" s="2478">
        <f t="shared" si="242"/>
        <v>10432.813141612854</v>
      </c>
      <c r="N80" s="2500">
        <f>SUM(N79-N34-N35)</f>
        <v>1319.7435090280221</v>
      </c>
      <c r="O80" s="2500">
        <f t="shared" ref="O80:P80" si="302">SUM(O79-O34-O35)</f>
        <v>1317.6066745333069</v>
      </c>
      <c r="P80" s="2500">
        <f t="shared" si="302"/>
        <v>1513.919362948624</v>
      </c>
      <c r="Q80" s="2478">
        <f t="shared" si="258"/>
        <v>4151.2695465099532</v>
      </c>
      <c r="R80" s="2478">
        <f t="shared" si="244"/>
        <v>14584.082688122808</v>
      </c>
      <c r="S80" s="2500">
        <f>SUM(S79-S34-S35)</f>
        <v>1801.8976486057074</v>
      </c>
      <c r="T80" s="2500">
        <f t="shared" ref="T80:U80" si="303">SUM(T79-T34-T35)</f>
        <v>1930.6404594955204</v>
      </c>
      <c r="U80" s="2500">
        <f t="shared" si="303"/>
        <v>2091.2523086476463</v>
      </c>
      <c r="V80" s="2478">
        <f t="shared" si="262"/>
        <v>5823.7904167488741</v>
      </c>
      <c r="W80" s="642">
        <f t="shared" si="263"/>
        <v>20407.873104871676</v>
      </c>
    </row>
    <row r="81" spans="2:23" ht="18">
      <c r="B81" s="4594"/>
      <c r="C81" s="4594"/>
    </row>
    <row r="83" spans="2:23" ht="18.75">
      <c r="B83" s="4595">
        <f>SUM(B6+B7+B8+B9+B10+B11+B12+B13+B14+B18)</f>
        <v>1459.7075743208986</v>
      </c>
      <c r="C83" s="4595">
        <f>SUM(C6+C7+C8+C9+C10+C11+C12+C13+C14+C18)</f>
        <v>1449.1896572049802</v>
      </c>
      <c r="D83" s="4595">
        <f>SUM(D6+D7+D8+D9+D10+D11+D12+D13+D14+D18)</f>
        <v>10.517917115918388</v>
      </c>
      <c r="E83" s="4595">
        <f t="shared" ref="E83:V83" si="304">SUM(E6+E7+E8+E9+E10+E11+E12+E13+E14+E18)</f>
        <v>121.1687735886571</v>
      </c>
      <c r="F83" s="4595">
        <f t="shared" si="304"/>
        <v>121.1687735886571</v>
      </c>
      <c r="G83" s="4595">
        <f t="shared" si="304"/>
        <v>121.1687735886571</v>
      </c>
      <c r="H83" s="4595">
        <f t="shared" si="304"/>
        <v>363.50632076597128</v>
      </c>
      <c r="I83" s="4595">
        <f t="shared" si="304"/>
        <v>121.21041904575249</v>
      </c>
      <c r="J83" s="4595">
        <f t="shared" si="304"/>
        <v>121.89988272433148</v>
      </c>
      <c r="K83" s="4595">
        <f t="shared" si="304"/>
        <v>122.50142821570913</v>
      </c>
      <c r="L83" s="4595">
        <f t="shared" si="304"/>
        <v>365.61172998579303</v>
      </c>
      <c r="M83" s="4595">
        <f t="shared" si="304"/>
        <v>729.11805075176437</v>
      </c>
      <c r="N83" s="4595">
        <f t="shared" si="304"/>
        <v>122.68189186312242</v>
      </c>
      <c r="O83" s="4595">
        <f t="shared" si="304"/>
        <v>122.50142821570913</v>
      </c>
      <c r="P83" s="4595">
        <f t="shared" si="304"/>
        <v>121.89988272433148</v>
      </c>
      <c r="Q83" s="4595">
        <f t="shared" si="304"/>
        <v>367.08320280316298</v>
      </c>
      <c r="R83" s="4595">
        <f t="shared" si="304"/>
        <v>1096.2012535549275</v>
      </c>
      <c r="S83" s="4595">
        <f t="shared" si="304"/>
        <v>121.1687735886571</v>
      </c>
      <c r="T83" s="4595">
        <f t="shared" si="304"/>
        <v>121.1687735886571</v>
      </c>
      <c r="U83" s="4595">
        <f t="shared" si="304"/>
        <v>121.1687735886571</v>
      </c>
      <c r="V83" s="4595">
        <f t="shared" si="304"/>
        <v>363.50632076597128</v>
      </c>
      <c r="W83" s="642">
        <f t="shared" ref="W83:W87" si="305">SUM(U83+T83+S83+P83+O83+N83+K83+J83+I83+G83+F83+E83)</f>
        <v>1459.7075743208989</v>
      </c>
    </row>
    <row r="84" spans="2:23" ht="18.75">
      <c r="B84" s="4595">
        <f>SUM(B22+B23+B24+B25+B26+B27+B28+B29+B31+B32+B33+B34+B35+B36+B37+B38+B39+B44)</f>
        <v>13162.699803128975</v>
      </c>
      <c r="C84" s="4595">
        <f>SUM(C22+C23+C24+C25+C26+C27+C28+C29+C31+C32+C33+C34+C35+C36+C37+C38+C39+C44)</f>
        <v>13162.699803128975</v>
      </c>
      <c r="D84" s="4595">
        <f>SUM(D22+D23+D24+D25+D26+D27+D28+D29+D31+D32+D33+D34+D35+D36+D37+D38+D39+D44)</f>
        <v>0</v>
      </c>
      <c r="E84" s="4595">
        <f t="shared" ref="E84:V84" si="306">SUM(E22+E23+E24+E25+E26+E27+E28+E29+E31+E32+E33+E34+E35+E36+E37+E38+E39+E44)</f>
        <v>1497.5716980386871</v>
      </c>
      <c r="F84" s="4595">
        <f t="shared" si="306"/>
        <v>1379.621030969105</v>
      </c>
      <c r="G84" s="4595">
        <f t="shared" si="306"/>
        <v>1328.5394944954505</v>
      </c>
      <c r="H84" s="4595">
        <f t="shared" si="306"/>
        <v>4205.7322235032425</v>
      </c>
      <c r="I84" s="4595">
        <f t="shared" si="306"/>
        <v>1150.5621519277927</v>
      </c>
      <c r="J84" s="4595">
        <f t="shared" si="306"/>
        <v>793.6574196287977</v>
      </c>
      <c r="K84" s="4595">
        <f t="shared" si="306"/>
        <v>685.91064140179344</v>
      </c>
      <c r="L84" s="4595">
        <f t="shared" si="306"/>
        <v>2630.1302129583837</v>
      </c>
      <c r="M84" s="4595">
        <f t="shared" si="306"/>
        <v>6835.8624364616271</v>
      </c>
      <c r="N84" s="4595">
        <f t="shared" si="306"/>
        <v>705.83079340463087</v>
      </c>
      <c r="O84" s="4595">
        <f t="shared" si="306"/>
        <v>704.85030389629583</v>
      </c>
      <c r="P84" s="4595">
        <f t="shared" si="306"/>
        <v>905.0174755995464</v>
      </c>
      <c r="Q84" s="4595">
        <f t="shared" si="306"/>
        <v>2315.6985729004732</v>
      </c>
      <c r="R84" s="4595">
        <f t="shared" si="306"/>
        <v>9151.561009362098</v>
      </c>
      <c r="S84" s="4595">
        <f t="shared" si="306"/>
        <v>1197.6804409450415</v>
      </c>
      <c r="T84" s="4595">
        <f t="shared" si="306"/>
        <v>1326.4232518348545</v>
      </c>
      <c r="U84" s="4595">
        <f t="shared" si="306"/>
        <v>1487.0351009869801</v>
      </c>
      <c r="V84" s="4595">
        <f t="shared" si="306"/>
        <v>4011.1387937668756</v>
      </c>
      <c r="W84" s="642">
        <f t="shared" si="305"/>
        <v>13162.699803128975</v>
      </c>
    </row>
    <row r="85" spans="2:23" ht="18.75">
      <c r="B85" s="4595">
        <f>SUM(B50+B51+B52+B53+B54+B55+B56+B57+B58+B59+B60+B62)</f>
        <v>3269.2472999399415</v>
      </c>
      <c r="C85" s="4595">
        <f>SUM(C50+C51+C52+C53+C54+C55+C56+C57+C58+C59+C60+C62)</f>
        <v>3244.0308196776305</v>
      </c>
      <c r="D85" s="4595">
        <f>SUM(D50+D51+D52+D53+D54+D55+D56+D57+D58+D59+D60+D62)</f>
        <v>25.21648026231048</v>
      </c>
      <c r="E85" s="4595">
        <f t="shared" ref="E85:V85" si="307">SUM(E50+E51+E52+E53+E54+E55+E56+E57+E58+E59+E60+E62)</f>
        <v>271.3031404141729</v>
      </c>
      <c r="F85" s="4595">
        <f t="shared" si="307"/>
        <v>271.3031404141729</v>
      </c>
      <c r="G85" s="4595">
        <f t="shared" si="307"/>
        <v>271.3031404141729</v>
      </c>
      <c r="H85" s="4595">
        <f t="shared" si="307"/>
        <v>813.90942124251887</v>
      </c>
      <c r="I85" s="4595">
        <f t="shared" si="307"/>
        <v>271.40288514929409</v>
      </c>
      <c r="J85" s="4595">
        <f t="shared" si="307"/>
        <v>273.05421465296678</v>
      </c>
      <c r="K85" s="4595">
        <f t="shared" si="307"/>
        <v>274.4949719380503</v>
      </c>
      <c r="L85" s="4595">
        <f t="shared" si="307"/>
        <v>818.95207174031123</v>
      </c>
      <c r="M85" s="4595">
        <f t="shared" si="307"/>
        <v>1632.86149298283</v>
      </c>
      <c r="N85" s="4595">
        <f t="shared" si="307"/>
        <v>274.92719912357535</v>
      </c>
      <c r="O85" s="4595">
        <f t="shared" si="307"/>
        <v>274.4949719380503</v>
      </c>
      <c r="P85" s="4595">
        <f t="shared" si="307"/>
        <v>273.05421465296678</v>
      </c>
      <c r="Q85" s="4595">
        <f t="shared" si="307"/>
        <v>822.47638571459242</v>
      </c>
      <c r="R85" s="4595">
        <f t="shared" si="307"/>
        <v>2455.3378786974226</v>
      </c>
      <c r="S85" s="4595">
        <f t="shared" si="307"/>
        <v>271.3031404141729</v>
      </c>
      <c r="T85" s="4595">
        <f t="shared" si="307"/>
        <v>271.3031404141729</v>
      </c>
      <c r="U85" s="4595">
        <f t="shared" si="307"/>
        <v>271.3031404141729</v>
      </c>
      <c r="V85" s="4595">
        <f t="shared" si="307"/>
        <v>813.90942124251887</v>
      </c>
      <c r="W85" s="642">
        <f t="shared" si="305"/>
        <v>3269.2472999399411</v>
      </c>
    </row>
    <row r="86" spans="2:23" ht="18.75">
      <c r="B86" s="4595">
        <f>SUM(B67+B68+B69+B70+B71+B72+B73+B75)</f>
        <v>2516.2184274818646</v>
      </c>
      <c r="C86" s="4595">
        <f>SUM(C67+C68+C69+C70+C71+C72+C73+C75)</f>
        <v>2501.7179890687839</v>
      </c>
      <c r="D86" s="4595">
        <f>SUM(D67+D68+D69+D70+D71+D72+D73+D75)</f>
        <v>14.500438413081708</v>
      </c>
      <c r="E86" s="4595">
        <f t="shared" ref="E86:V86" si="308">SUM(E67+E68+E69+E70+E71+E72+E73+E75)</f>
        <v>204.77142160441312</v>
      </c>
      <c r="F86" s="4595">
        <f t="shared" si="308"/>
        <v>204.77142160441312</v>
      </c>
      <c r="G86" s="4595">
        <f t="shared" si="308"/>
        <v>204.77142160441312</v>
      </c>
      <c r="H86" s="4595">
        <f t="shared" si="308"/>
        <v>614.31426481323922</v>
      </c>
      <c r="I86" s="4595">
        <f t="shared" si="308"/>
        <v>204.89688025520735</v>
      </c>
      <c r="J86" s="4595">
        <f t="shared" si="308"/>
        <v>206.97391791835653</v>
      </c>
      <c r="K86" s="4595">
        <f t="shared" si="308"/>
        <v>208.78609842982897</v>
      </c>
      <c r="L86" s="4595">
        <f t="shared" si="308"/>
        <v>620.65689660339285</v>
      </c>
      <c r="M86" s="4595">
        <f t="shared" si="308"/>
        <v>1234.971161416632</v>
      </c>
      <c r="N86" s="4595">
        <f t="shared" si="308"/>
        <v>216.30362463669351</v>
      </c>
      <c r="O86" s="4595">
        <f t="shared" si="308"/>
        <v>215.75997048325178</v>
      </c>
      <c r="P86" s="4595">
        <f t="shared" si="308"/>
        <v>213.94778997177934</v>
      </c>
      <c r="Q86" s="4595">
        <f t="shared" si="308"/>
        <v>646.01138509172461</v>
      </c>
      <c r="R86" s="4595">
        <f t="shared" si="308"/>
        <v>1880.9825465083568</v>
      </c>
      <c r="S86" s="4595">
        <f t="shared" si="308"/>
        <v>211.74529365783593</v>
      </c>
      <c r="T86" s="4595">
        <f t="shared" si="308"/>
        <v>211.74529365783593</v>
      </c>
      <c r="U86" s="4595">
        <f t="shared" si="308"/>
        <v>211.74529365783593</v>
      </c>
      <c r="V86" s="4595">
        <f t="shared" si="308"/>
        <v>635.23588097350773</v>
      </c>
      <c r="W86" s="642">
        <f t="shared" si="305"/>
        <v>2516.2184274818651</v>
      </c>
    </row>
    <row r="87" spans="2:23" ht="18.75">
      <c r="B87" s="4595">
        <f>SUM(B83:B86)</f>
        <v>20407.87310487168</v>
      </c>
      <c r="C87" s="4595">
        <f>SUM(C83:C86)</f>
        <v>20357.638269080369</v>
      </c>
      <c r="D87" s="4595">
        <f>SUM(D83:D86)</f>
        <v>50.23483579131058</v>
      </c>
      <c r="E87" s="4595">
        <f t="shared" ref="E87:V87" si="309">SUM(E83:E86)</f>
        <v>2094.8150336459303</v>
      </c>
      <c r="F87" s="4595">
        <f t="shared" si="309"/>
        <v>1976.8643665763482</v>
      </c>
      <c r="G87" s="4595">
        <f t="shared" si="309"/>
        <v>1925.7828301026937</v>
      </c>
      <c r="H87" s="4595">
        <f t="shared" si="309"/>
        <v>5997.4622303249716</v>
      </c>
      <c r="I87" s="4595">
        <f t="shared" si="309"/>
        <v>1748.0723363780469</v>
      </c>
      <c r="J87" s="4595">
        <f t="shared" si="309"/>
        <v>1395.5854349244526</v>
      </c>
      <c r="K87" s="4595">
        <f t="shared" si="309"/>
        <v>1291.693139985382</v>
      </c>
      <c r="L87" s="4595">
        <f t="shared" si="309"/>
        <v>4435.3509112878801</v>
      </c>
      <c r="M87" s="4595">
        <f t="shared" si="309"/>
        <v>10432.813141612854</v>
      </c>
      <c r="N87" s="4595">
        <f t="shared" si="309"/>
        <v>1319.7435090280221</v>
      </c>
      <c r="O87" s="4595">
        <f t="shared" si="309"/>
        <v>1317.6066745333069</v>
      </c>
      <c r="P87" s="4595">
        <f t="shared" si="309"/>
        <v>1513.919362948624</v>
      </c>
      <c r="Q87" s="4595">
        <f t="shared" si="309"/>
        <v>4151.2695465099532</v>
      </c>
      <c r="R87" s="4595">
        <f t="shared" si="309"/>
        <v>14584.082688122806</v>
      </c>
      <c r="S87" s="4595">
        <f t="shared" si="309"/>
        <v>1801.8976486057074</v>
      </c>
      <c r="T87" s="4595">
        <f t="shared" si="309"/>
        <v>1930.6404594955204</v>
      </c>
      <c r="U87" s="4595">
        <f t="shared" si="309"/>
        <v>2091.2523086476463</v>
      </c>
      <c r="V87" s="4595">
        <f t="shared" si="309"/>
        <v>5823.7904167488732</v>
      </c>
      <c r="W87" s="642">
        <f t="shared" si="305"/>
        <v>20407.873104871676</v>
      </c>
    </row>
    <row r="88" spans="2:23" ht="18">
      <c r="B88" s="375"/>
    </row>
  </sheetData>
  <mergeCells count="23">
    <mergeCell ref="W3:W4"/>
    <mergeCell ref="Q3:Q4"/>
    <mergeCell ref="R3:R4"/>
    <mergeCell ref="S3:S4"/>
    <mergeCell ref="T3:T4"/>
    <mergeCell ref="U3:U4"/>
    <mergeCell ref="V3:V4"/>
    <mergeCell ref="P3:P4"/>
    <mergeCell ref="A1:V1"/>
    <mergeCell ref="A3:A4"/>
    <mergeCell ref="B3:B4"/>
    <mergeCell ref="C3:D3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N3:N4"/>
    <mergeCell ref="O3:O4"/>
  </mergeCells>
  <printOptions horizontalCentered="1"/>
  <pageMargins left="0.70866141732283472" right="0.70866141732283472" top="0.15748031496062992" bottom="0.15748031496062992" header="0.31496062992125984" footer="0.31496062992125984"/>
  <pageSetup paperSize="9" scale="36" orientation="landscape" horizontalDpi="0" verticalDpi="0" r:id="rId1"/>
</worksheet>
</file>

<file path=xl/worksheets/sheet38.xml><?xml version="1.0" encoding="utf-8"?>
<worksheet xmlns="http://schemas.openxmlformats.org/spreadsheetml/2006/main" xmlns:r="http://schemas.openxmlformats.org/officeDocument/2006/relationships">
  <sheetPr>
    <tabColor rgb="FF7030A0"/>
    <pageSetUpPr fitToPage="1"/>
  </sheetPr>
  <dimension ref="A1:W67"/>
  <sheetViews>
    <sheetView zoomScale="70" zoomScaleNormal="70" workbookViewId="0">
      <selection activeCell="E17" sqref="E17"/>
    </sheetView>
  </sheetViews>
  <sheetFormatPr defaultRowHeight="12.75"/>
  <cols>
    <col min="1" max="1" width="51.7109375" customWidth="1"/>
    <col min="2" max="23" width="12.5703125" customWidth="1"/>
  </cols>
  <sheetData>
    <row r="1" spans="1:23" ht="20.25">
      <c r="A1" s="5726" t="s">
        <v>1970</v>
      </c>
      <c r="B1" s="6080"/>
      <c r="C1" s="6080"/>
      <c r="D1" s="6080"/>
      <c r="E1" s="6080"/>
      <c r="F1" s="6080"/>
      <c r="G1" s="6080"/>
      <c r="H1" s="6080"/>
      <c r="I1" s="6080"/>
      <c r="J1" s="6080"/>
      <c r="K1" s="6080"/>
      <c r="L1" s="6080"/>
      <c r="M1" s="6080"/>
      <c r="N1" s="6080"/>
      <c r="O1" s="6080"/>
      <c r="P1" s="6080"/>
      <c r="Q1" s="6080"/>
      <c r="R1" s="6080"/>
      <c r="S1" s="6080"/>
      <c r="T1" s="4894"/>
      <c r="U1" s="4894"/>
      <c r="V1" s="4894"/>
    </row>
    <row r="2" spans="1:23" ht="18.75">
      <c r="A2" s="5"/>
      <c r="B2" s="4610"/>
      <c r="C2" s="4611"/>
      <c r="D2" s="436"/>
      <c r="E2" s="436"/>
      <c r="F2" s="5"/>
      <c r="G2" s="5"/>
    </row>
    <row r="3" spans="1:23" ht="18.75" customHeight="1">
      <c r="A3" s="6081" t="s">
        <v>545</v>
      </c>
      <c r="B3" s="6083" t="s">
        <v>1965</v>
      </c>
      <c r="C3" s="6084" t="s">
        <v>575</v>
      </c>
      <c r="D3" s="6085"/>
      <c r="E3" s="6060" t="s">
        <v>586</v>
      </c>
      <c r="F3" s="6060" t="s">
        <v>587</v>
      </c>
      <c r="G3" s="6060" t="s">
        <v>588</v>
      </c>
      <c r="H3" s="6077" t="s">
        <v>600</v>
      </c>
      <c r="I3" s="6060" t="s">
        <v>589</v>
      </c>
      <c r="J3" s="6060" t="s">
        <v>590</v>
      </c>
      <c r="K3" s="6060" t="s">
        <v>591</v>
      </c>
      <c r="L3" s="6077" t="s">
        <v>599</v>
      </c>
      <c r="M3" s="6077" t="s">
        <v>598</v>
      </c>
      <c r="N3" s="6060" t="s">
        <v>592</v>
      </c>
      <c r="O3" s="6060" t="s">
        <v>593</v>
      </c>
      <c r="P3" s="6060" t="s">
        <v>594</v>
      </c>
      <c r="Q3" s="6077" t="s">
        <v>225</v>
      </c>
      <c r="R3" s="6077" t="s">
        <v>229</v>
      </c>
      <c r="S3" s="6060" t="s">
        <v>595</v>
      </c>
      <c r="T3" s="6060" t="s">
        <v>596</v>
      </c>
      <c r="U3" s="6060" t="s">
        <v>597</v>
      </c>
      <c r="V3" s="6077" t="s">
        <v>135</v>
      </c>
      <c r="W3" s="6076" t="s">
        <v>601</v>
      </c>
    </row>
    <row r="4" spans="1:23" ht="56.25">
      <c r="A4" s="6082"/>
      <c r="B4" s="6083"/>
      <c r="C4" s="4598" t="s">
        <v>351</v>
      </c>
      <c r="D4" s="4598" t="s">
        <v>653</v>
      </c>
      <c r="E4" s="6060"/>
      <c r="F4" s="6060"/>
      <c r="G4" s="6060"/>
      <c r="H4" s="6077"/>
      <c r="I4" s="6060"/>
      <c r="J4" s="6060"/>
      <c r="K4" s="6060"/>
      <c r="L4" s="6077"/>
      <c r="M4" s="6077"/>
      <c r="N4" s="6060"/>
      <c r="O4" s="6060"/>
      <c r="P4" s="6060"/>
      <c r="Q4" s="6077"/>
      <c r="R4" s="6077"/>
      <c r="S4" s="6060"/>
      <c r="T4" s="6060"/>
      <c r="U4" s="6060"/>
      <c r="V4" s="6077"/>
      <c r="W4" s="6076"/>
    </row>
    <row r="5" spans="1:23" ht="18.75">
      <c r="A5" s="2474" t="s">
        <v>619</v>
      </c>
      <c r="B5" s="2475">
        <f>SUM('цех стоки'!AX47)</f>
        <v>333.34196940942883</v>
      </c>
      <c r="C5" s="2475">
        <f>SUM(стоки!CN16)</f>
        <v>333.34196940942883</v>
      </c>
      <c r="D5" s="2476">
        <f>SUM(стоки!CO16)</f>
        <v>0</v>
      </c>
      <c r="E5" s="2477">
        <f>SUM(E6+E7+E8+E9+E10+E11+E14)</f>
        <v>27.112631310931832</v>
      </c>
      <c r="F5" s="2477">
        <f t="shared" ref="F5:G5" si="0">SUM(F6+F7+F8+F9+F10+F11+F14)</f>
        <v>27.112631310931832</v>
      </c>
      <c r="G5" s="2477">
        <f t="shared" si="0"/>
        <v>27.112631310931832</v>
      </c>
      <c r="H5" s="2478">
        <f>SUM(E5+F5+G5)</f>
        <v>81.337893932795495</v>
      </c>
      <c r="I5" s="2477">
        <f t="shared" ref="I5:K5" si="1">SUM(I6+I7+I8+I9+I10+I11+I14)</f>
        <v>27.171192828117682</v>
      </c>
      <c r="J5" s="2477">
        <f t="shared" si="1"/>
        <v>28.140711279305616</v>
      </c>
      <c r="K5" s="2477">
        <f t="shared" si="1"/>
        <v>28.986599860878982</v>
      </c>
      <c r="L5" s="2478">
        <f>SUM(I5+J5+K5)</f>
        <v>84.298503968302285</v>
      </c>
      <c r="M5" s="2478">
        <f>SUM(H5+L5)</f>
        <v>165.63639790109778</v>
      </c>
      <c r="N5" s="2477">
        <f t="shared" ref="N5:P5" si="2">SUM(N6+N7+N8+N9+N10+N11+N14)</f>
        <v>29.240366435350992</v>
      </c>
      <c r="O5" s="2477">
        <f t="shared" si="2"/>
        <v>28.986599860878982</v>
      </c>
      <c r="P5" s="2477">
        <f t="shared" si="2"/>
        <v>28.140711279305616</v>
      </c>
      <c r="Q5" s="2478">
        <f>SUM(N5+O5+P5)</f>
        <v>86.367677575535595</v>
      </c>
      <c r="R5" s="2478">
        <f>SUM(M5+Q5)</f>
        <v>252.00407547663337</v>
      </c>
      <c r="S5" s="2477">
        <f t="shared" ref="S5:U5" si="3">SUM(S6+S7+S8+S9+S10+S11+S14)</f>
        <v>27.112631310931832</v>
      </c>
      <c r="T5" s="2477">
        <f t="shared" si="3"/>
        <v>27.112631310931832</v>
      </c>
      <c r="U5" s="2477">
        <f t="shared" si="3"/>
        <v>27.112631310931832</v>
      </c>
      <c r="V5" s="2478">
        <f>SUM(S5+T5+U5)</f>
        <v>81.337893932795495</v>
      </c>
      <c r="W5" s="642">
        <f>SUM(U5+T5+S5+P5+O5+N5+K5+J5+I5+G5+F5+E5)</f>
        <v>333.34196940942883</v>
      </c>
    </row>
    <row r="6" spans="1:23" ht="18.75">
      <c r="A6" s="2479" t="s">
        <v>72</v>
      </c>
      <c r="B6" s="2480">
        <f>SUM(B5*0%)</f>
        <v>0</v>
      </c>
      <c r="C6" s="2480">
        <f>SUM(B6)</f>
        <v>0</v>
      </c>
      <c r="D6" s="2481">
        <f t="shared" ref="D6:D15" si="4">SUM(B6-C6)</f>
        <v>0</v>
      </c>
      <c r="E6" s="2467">
        <f>SUM(B6/2)/(1+(104%*100-100)/2/100)/6</f>
        <v>0</v>
      </c>
      <c r="F6" s="2482">
        <f>SUM(E6)</f>
        <v>0</v>
      </c>
      <c r="G6" s="2467">
        <f>SUM(E6)</f>
        <v>0</v>
      </c>
      <c r="H6" s="2466">
        <f>SUM(E6+F6+G6)</f>
        <v>0</v>
      </c>
      <c r="I6" s="2483">
        <f>SUM(E6)</f>
        <v>0</v>
      </c>
      <c r="J6" s="2483">
        <f>SUM(E6)</f>
        <v>0</v>
      </c>
      <c r="K6" s="2483">
        <f>SUM(E6)</f>
        <v>0</v>
      </c>
      <c r="L6" s="2466">
        <f>SUM(I6+J6+K6)</f>
        <v>0</v>
      </c>
      <c r="M6" s="2466">
        <f>SUM(H6+L6)</f>
        <v>0</v>
      </c>
      <c r="N6" s="2483">
        <f>SUM(B6-M6)/6</f>
        <v>0</v>
      </c>
      <c r="O6" s="2483">
        <f>SUM(N6)</f>
        <v>0</v>
      </c>
      <c r="P6" s="2483">
        <f>SUM(N6)</f>
        <v>0</v>
      </c>
      <c r="Q6" s="2466">
        <f>SUM(N6+O6+P6)</f>
        <v>0</v>
      </c>
      <c r="R6" s="2466">
        <f>SUM(M6+Q6)</f>
        <v>0</v>
      </c>
      <c r="S6" s="2483">
        <f>SUM(N6)</f>
        <v>0</v>
      </c>
      <c r="T6" s="2483">
        <f>SUM(N6)</f>
        <v>0</v>
      </c>
      <c r="U6" s="2483">
        <f>SUM(N6)</f>
        <v>0</v>
      </c>
      <c r="V6" s="2466">
        <f>SUM(S6+T6+U6)</f>
        <v>0</v>
      </c>
      <c r="W6" s="642">
        <f>SUM(U6+T6+S6+P6+O6+N6+K6+J6+I6+G6+F6+E6)</f>
        <v>0</v>
      </c>
    </row>
    <row r="7" spans="1:23" ht="18.75">
      <c r="A7" s="2479" t="s">
        <v>121</v>
      </c>
      <c r="B7" s="2480">
        <f>SUM(B5*0%)</f>
        <v>0</v>
      </c>
      <c r="C7" s="2480">
        <f t="shared" ref="C7:C10" si="5">SUM(B7)</f>
        <v>0</v>
      </c>
      <c r="D7" s="2481">
        <f t="shared" si="4"/>
        <v>0</v>
      </c>
      <c r="E7" s="2467">
        <v>0</v>
      </c>
      <c r="F7" s="2467">
        <f>SUM(E7)</f>
        <v>0</v>
      </c>
      <c r="G7" s="2482">
        <f>SUM(E7)</f>
        <v>0</v>
      </c>
      <c r="H7" s="2466">
        <f t="shared" ref="H7:H55" si="6">SUM(E7+F7+G7)</f>
        <v>0</v>
      </c>
      <c r="I7" s="2483">
        <f>SUM(E7)</f>
        <v>0</v>
      </c>
      <c r="J7" s="2483">
        <f>SUM(E7)</f>
        <v>0</v>
      </c>
      <c r="K7" s="2483">
        <f>SUM(E7)</f>
        <v>0</v>
      </c>
      <c r="L7" s="2466">
        <f t="shared" ref="L7:L55" si="7">SUM(I7+J7+K7)</f>
        <v>0</v>
      </c>
      <c r="M7" s="2466">
        <f t="shared" ref="M7:M55" si="8">SUM(H7+L7)</f>
        <v>0</v>
      </c>
      <c r="N7" s="2483">
        <f>SUM(B7-M7)/6</f>
        <v>0</v>
      </c>
      <c r="O7" s="2483">
        <f>SUM(N7)</f>
        <v>0</v>
      </c>
      <c r="P7" s="2483">
        <f>SUM(N7)</f>
        <v>0</v>
      </c>
      <c r="Q7" s="2466">
        <f t="shared" ref="Q7:Q55" si="9">SUM(N7+O7+P7)</f>
        <v>0</v>
      </c>
      <c r="R7" s="2466">
        <f t="shared" ref="R7:R55" si="10">SUM(M7+Q7)</f>
        <v>0</v>
      </c>
      <c r="S7" s="2483">
        <f>SUM(N7)</f>
        <v>0</v>
      </c>
      <c r="T7" s="2483">
        <f>SUM(N7)</f>
        <v>0</v>
      </c>
      <c r="U7" s="2483">
        <f>SUM(N7)</f>
        <v>0</v>
      </c>
      <c r="V7" s="2466">
        <f t="shared" ref="V7:V55" si="11">SUM(S7+T7+U7)</f>
        <v>0</v>
      </c>
      <c r="W7" s="642">
        <f t="shared" ref="W7:W66" si="12">SUM(U7+T7+S7+P7+O7+N7+K7+J7+I7+G7+F7+E7)</f>
        <v>0</v>
      </c>
    </row>
    <row r="8" spans="1:23" ht="18.75">
      <c r="A8" s="2479" t="s">
        <v>52</v>
      </c>
      <c r="B8" s="2480">
        <f>SUM(B5*4.81%)</f>
        <v>16.033748728593526</v>
      </c>
      <c r="C8" s="2480">
        <f t="shared" si="5"/>
        <v>16.033748728593526</v>
      </c>
      <c r="D8" s="2481">
        <f t="shared" si="4"/>
        <v>0</v>
      </c>
      <c r="E8" s="2467">
        <f>SUM(B8/12)</f>
        <v>1.3361457273827939</v>
      </c>
      <c r="F8" s="2467">
        <f t="shared" ref="F8:F13" si="13">SUM(E8)</f>
        <v>1.3361457273827939</v>
      </c>
      <c r="G8" s="2467">
        <f t="shared" ref="G8:G10" si="14">SUM(E8)</f>
        <v>1.3361457273827939</v>
      </c>
      <c r="H8" s="2466">
        <f t="shared" ref="H8:H10" si="15">SUM(E8+F8+G8)</f>
        <v>4.0084371821483815</v>
      </c>
      <c r="I8" s="2483">
        <f t="shared" ref="I8:I10" si="16">SUM(E8)</f>
        <v>1.3361457273827939</v>
      </c>
      <c r="J8" s="2483">
        <f t="shared" ref="J8:J10" si="17">SUM(E8)</f>
        <v>1.3361457273827939</v>
      </c>
      <c r="K8" s="2483">
        <f t="shared" ref="K8:K10" si="18">SUM(E8)</f>
        <v>1.3361457273827939</v>
      </c>
      <c r="L8" s="2466">
        <f t="shared" ref="L8:L10" si="19">SUM(I8+J8+K8)</f>
        <v>4.0084371821483815</v>
      </c>
      <c r="M8" s="2466">
        <f t="shared" si="8"/>
        <v>8.016874364296763</v>
      </c>
      <c r="N8" s="2483">
        <f t="shared" ref="N8:N10" si="20">SUM(E8)</f>
        <v>1.3361457273827939</v>
      </c>
      <c r="O8" s="2483">
        <f t="shared" ref="O8:O10" si="21">SUM(E8)</f>
        <v>1.3361457273827939</v>
      </c>
      <c r="P8" s="2483">
        <f t="shared" ref="P8:P10" si="22">SUM(E8)</f>
        <v>1.3361457273827939</v>
      </c>
      <c r="Q8" s="2466">
        <f t="shared" ref="Q8:Q10" si="23">SUM(N8+O8+P8)</f>
        <v>4.0084371821483815</v>
      </c>
      <c r="R8" s="2466">
        <f t="shared" si="10"/>
        <v>12.025311546445145</v>
      </c>
      <c r="S8" s="2483">
        <f t="shared" ref="S8:S10" si="24">SUM(E8)</f>
        <v>1.3361457273827939</v>
      </c>
      <c r="T8" s="2483">
        <f t="shared" ref="T8:T10" si="25">SUM(E8)</f>
        <v>1.3361457273827939</v>
      </c>
      <c r="U8" s="2483">
        <f t="shared" ref="U8:U10" si="26">SUM(E8)</f>
        <v>1.3361457273827939</v>
      </c>
      <c r="V8" s="2466">
        <f t="shared" ref="V8:V10" si="27">SUM(S8+T8+U8)</f>
        <v>4.0084371821483815</v>
      </c>
      <c r="W8" s="642">
        <f t="shared" si="12"/>
        <v>16.033748728593526</v>
      </c>
    </row>
    <row r="9" spans="1:23" ht="18.75">
      <c r="A9" s="2479" t="s">
        <v>605</v>
      </c>
      <c r="B9" s="2480">
        <f>SUM(B5*18.89%)</f>
        <v>62.968298021441107</v>
      </c>
      <c r="C9" s="2480">
        <f t="shared" si="5"/>
        <v>62.968298021441107</v>
      </c>
      <c r="D9" s="2481">
        <f t="shared" si="4"/>
        <v>0</v>
      </c>
      <c r="E9" s="2467">
        <f>SUM(B9/12)</f>
        <v>5.2473581684534256</v>
      </c>
      <c r="F9" s="2467">
        <f t="shared" si="13"/>
        <v>5.2473581684534256</v>
      </c>
      <c r="G9" s="2467">
        <f t="shared" si="14"/>
        <v>5.2473581684534256</v>
      </c>
      <c r="H9" s="2466">
        <f t="shared" si="15"/>
        <v>15.742074505360277</v>
      </c>
      <c r="I9" s="2483">
        <f t="shared" si="16"/>
        <v>5.2473581684534256</v>
      </c>
      <c r="J9" s="2483">
        <f t="shared" si="17"/>
        <v>5.2473581684534256</v>
      </c>
      <c r="K9" s="2483">
        <f t="shared" si="18"/>
        <v>5.2473581684534256</v>
      </c>
      <c r="L9" s="2466">
        <f t="shared" si="19"/>
        <v>15.742074505360277</v>
      </c>
      <c r="M9" s="2466">
        <f t="shared" si="8"/>
        <v>31.484149010720554</v>
      </c>
      <c r="N9" s="2483">
        <f t="shared" si="20"/>
        <v>5.2473581684534256</v>
      </c>
      <c r="O9" s="2483">
        <f t="shared" si="21"/>
        <v>5.2473581684534256</v>
      </c>
      <c r="P9" s="2483">
        <f t="shared" si="22"/>
        <v>5.2473581684534256</v>
      </c>
      <c r="Q9" s="2466">
        <f t="shared" si="23"/>
        <v>15.742074505360277</v>
      </c>
      <c r="R9" s="2466">
        <f t="shared" si="10"/>
        <v>47.226223516080829</v>
      </c>
      <c r="S9" s="2483">
        <f t="shared" si="24"/>
        <v>5.2473581684534256</v>
      </c>
      <c r="T9" s="2483">
        <f t="shared" si="25"/>
        <v>5.2473581684534256</v>
      </c>
      <c r="U9" s="2483">
        <f t="shared" si="26"/>
        <v>5.2473581684534256</v>
      </c>
      <c r="V9" s="2466">
        <f t="shared" si="27"/>
        <v>15.742074505360277</v>
      </c>
      <c r="W9" s="642">
        <f t="shared" si="12"/>
        <v>62.968298021441093</v>
      </c>
    </row>
    <row r="10" spans="1:23" ht="18.75">
      <c r="A10" s="2539" t="s">
        <v>1594</v>
      </c>
      <c r="B10" s="2480">
        <f>SUM(B5*54.81%)</f>
        <v>182.70473343330795</v>
      </c>
      <c r="C10" s="2480">
        <f t="shared" si="5"/>
        <v>182.70473343330795</v>
      </c>
      <c r="D10" s="2481">
        <f t="shared" si="4"/>
        <v>0</v>
      </c>
      <c r="E10" s="2467">
        <f>SUM(B10/12)</f>
        <v>15.225394452775662</v>
      </c>
      <c r="F10" s="2467">
        <f t="shared" si="13"/>
        <v>15.225394452775662</v>
      </c>
      <c r="G10" s="2467">
        <f t="shared" si="14"/>
        <v>15.225394452775662</v>
      </c>
      <c r="H10" s="2466">
        <f t="shared" si="15"/>
        <v>45.676183358326988</v>
      </c>
      <c r="I10" s="2483">
        <f t="shared" si="16"/>
        <v>15.225394452775662</v>
      </c>
      <c r="J10" s="2483">
        <f t="shared" si="17"/>
        <v>15.225394452775662</v>
      </c>
      <c r="K10" s="2483">
        <f t="shared" si="18"/>
        <v>15.225394452775662</v>
      </c>
      <c r="L10" s="2466">
        <f t="shared" si="19"/>
        <v>45.676183358326988</v>
      </c>
      <c r="M10" s="2466">
        <f t="shared" si="8"/>
        <v>91.352366716653975</v>
      </c>
      <c r="N10" s="2483">
        <f t="shared" si="20"/>
        <v>15.225394452775662</v>
      </c>
      <c r="O10" s="2483">
        <f t="shared" si="21"/>
        <v>15.225394452775662</v>
      </c>
      <c r="P10" s="2483">
        <f t="shared" si="22"/>
        <v>15.225394452775662</v>
      </c>
      <c r="Q10" s="2466">
        <f t="shared" si="23"/>
        <v>45.676183358326988</v>
      </c>
      <c r="R10" s="2466">
        <f t="shared" si="10"/>
        <v>137.02855007498096</v>
      </c>
      <c r="S10" s="2483">
        <f t="shared" si="24"/>
        <v>15.225394452775662</v>
      </c>
      <c r="T10" s="2483">
        <f t="shared" si="25"/>
        <v>15.225394452775662</v>
      </c>
      <c r="U10" s="2483">
        <f t="shared" si="26"/>
        <v>15.225394452775662</v>
      </c>
      <c r="V10" s="2466">
        <f t="shared" si="27"/>
        <v>45.676183358326988</v>
      </c>
      <c r="W10" s="642">
        <f t="shared" si="12"/>
        <v>182.70473343330798</v>
      </c>
    </row>
    <row r="11" spans="1:23" ht="18.75">
      <c r="A11" s="2479" t="s">
        <v>606</v>
      </c>
      <c r="B11" s="2480">
        <f>SUM(B12:B13)</f>
        <v>6.566836797365748</v>
      </c>
      <c r="C11" s="2480">
        <f>SUM(C12:C13)</f>
        <v>6.566836797365748</v>
      </c>
      <c r="D11" s="2481">
        <f t="shared" si="4"/>
        <v>0</v>
      </c>
      <c r="E11" s="2467">
        <f>SUM(E12:E13)</f>
        <v>0.547236399780479</v>
      </c>
      <c r="F11" s="2467">
        <f>SUM(F12:F13)</f>
        <v>0.547236399780479</v>
      </c>
      <c r="G11" s="2467">
        <f>SUM(G12:G13)</f>
        <v>0.547236399780479</v>
      </c>
      <c r="H11" s="2466">
        <f t="shared" si="6"/>
        <v>1.641709199341437</v>
      </c>
      <c r="I11" s="2467">
        <f>SUM(I12:I13)</f>
        <v>0.547236399780479</v>
      </c>
      <c r="J11" s="2467">
        <f>SUM(J12:J13)</f>
        <v>0.547236399780479</v>
      </c>
      <c r="K11" s="2467">
        <f>SUM(K12:K13)</f>
        <v>0.547236399780479</v>
      </c>
      <c r="L11" s="2466">
        <f t="shared" si="7"/>
        <v>1.641709199341437</v>
      </c>
      <c r="M11" s="2466">
        <f t="shared" si="8"/>
        <v>3.283418398682874</v>
      </c>
      <c r="N11" s="2467">
        <f>SUM(N12:N13)</f>
        <v>0.547236399780479</v>
      </c>
      <c r="O11" s="2467">
        <f>SUM(O12:O13)</f>
        <v>0.547236399780479</v>
      </c>
      <c r="P11" s="2467">
        <f>SUM(P12:P13)</f>
        <v>0.547236399780479</v>
      </c>
      <c r="Q11" s="2466">
        <f t="shared" si="9"/>
        <v>1.641709199341437</v>
      </c>
      <c r="R11" s="2466">
        <f t="shared" si="10"/>
        <v>4.9251275980243108</v>
      </c>
      <c r="S11" s="2467">
        <f>SUM(S12:S13)</f>
        <v>0.547236399780479</v>
      </c>
      <c r="T11" s="2467">
        <f>SUM(T12:T13)</f>
        <v>0.547236399780479</v>
      </c>
      <c r="U11" s="2467">
        <f>SUM(U12:U13)</f>
        <v>0.547236399780479</v>
      </c>
      <c r="V11" s="2466">
        <f t="shared" si="11"/>
        <v>1.641709199341437</v>
      </c>
      <c r="W11" s="642">
        <f t="shared" si="12"/>
        <v>6.5668367973657462</v>
      </c>
    </row>
    <row r="12" spans="1:23" ht="18.75">
      <c r="A12" s="2484" t="s">
        <v>564</v>
      </c>
      <c r="B12" s="2480">
        <f>SUM(B5*1.78%)</f>
        <v>5.9334870554878334</v>
      </c>
      <c r="C12" s="2480">
        <f t="shared" ref="C12:C15" si="28">SUM(B12)</f>
        <v>5.9334870554878334</v>
      </c>
      <c r="D12" s="2481">
        <f t="shared" si="4"/>
        <v>0</v>
      </c>
      <c r="E12" s="2467">
        <f>SUM(B12/12)</f>
        <v>0.4944572546239861</v>
      </c>
      <c r="F12" s="2467">
        <f t="shared" si="13"/>
        <v>0.4944572546239861</v>
      </c>
      <c r="G12" s="2467">
        <f t="shared" ref="G12:G13" si="29">SUM(E12)</f>
        <v>0.4944572546239861</v>
      </c>
      <c r="H12" s="2466">
        <f t="shared" si="6"/>
        <v>1.4833717638719583</v>
      </c>
      <c r="I12" s="2483">
        <f t="shared" ref="I12" si="30">SUM(E12)</f>
        <v>0.4944572546239861</v>
      </c>
      <c r="J12" s="2483">
        <f t="shared" ref="J12" si="31">SUM(E12)</f>
        <v>0.4944572546239861</v>
      </c>
      <c r="K12" s="2483">
        <f t="shared" ref="K12" si="32">SUM(E12)</f>
        <v>0.4944572546239861</v>
      </c>
      <c r="L12" s="2466">
        <f t="shared" si="7"/>
        <v>1.4833717638719583</v>
      </c>
      <c r="M12" s="2466">
        <f t="shared" si="8"/>
        <v>2.9667435277439167</v>
      </c>
      <c r="N12" s="2483">
        <f t="shared" ref="N12" si="33">SUM(E12)</f>
        <v>0.4944572546239861</v>
      </c>
      <c r="O12" s="2483">
        <f t="shared" ref="O12" si="34">SUM(E12)</f>
        <v>0.4944572546239861</v>
      </c>
      <c r="P12" s="2483">
        <f t="shared" ref="P12" si="35">SUM(E12)</f>
        <v>0.4944572546239861</v>
      </c>
      <c r="Q12" s="2466">
        <f t="shared" si="9"/>
        <v>1.4833717638719583</v>
      </c>
      <c r="R12" s="2466">
        <f t="shared" si="10"/>
        <v>4.4501152916158748</v>
      </c>
      <c r="S12" s="2483">
        <f t="shared" ref="S12" si="36">SUM(E12)</f>
        <v>0.4944572546239861</v>
      </c>
      <c r="T12" s="2483">
        <f t="shared" ref="T12" si="37">SUM(E12)</f>
        <v>0.4944572546239861</v>
      </c>
      <c r="U12" s="2483">
        <f t="shared" ref="U12" si="38">SUM(E12)</f>
        <v>0.4944572546239861</v>
      </c>
      <c r="V12" s="2466">
        <f t="shared" si="11"/>
        <v>1.4833717638719583</v>
      </c>
      <c r="W12" s="642">
        <f t="shared" si="12"/>
        <v>5.9334870554878343</v>
      </c>
    </row>
    <row r="13" spans="1:23" ht="18.75">
      <c r="A13" s="2484" t="s">
        <v>565</v>
      </c>
      <c r="B13" s="2480">
        <f>SUM(B5*0.19%)</f>
        <v>0.63334974187791482</v>
      </c>
      <c r="C13" s="2480">
        <f t="shared" si="28"/>
        <v>0.63334974187791482</v>
      </c>
      <c r="D13" s="2481">
        <f t="shared" si="4"/>
        <v>0</v>
      </c>
      <c r="E13" s="2467">
        <f>SUM(B13/12)</f>
        <v>5.2779145156492902E-2</v>
      </c>
      <c r="F13" s="2467">
        <f t="shared" si="13"/>
        <v>5.2779145156492902E-2</v>
      </c>
      <c r="G13" s="2467">
        <f t="shared" si="29"/>
        <v>5.2779145156492902E-2</v>
      </c>
      <c r="H13" s="2466">
        <f t="shared" ref="H13" si="39">SUM(E13+F13+G13)</f>
        <v>0.1583374354694787</v>
      </c>
      <c r="I13" s="2483">
        <f t="shared" ref="I13" si="40">SUM(E13)</f>
        <v>5.2779145156492902E-2</v>
      </c>
      <c r="J13" s="2483">
        <f t="shared" ref="J13" si="41">SUM(E13)</f>
        <v>5.2779145156492902E-2</v>
      </c>
      <c r="K13" s="2483">
        <f t="shared" ref="K13" si="42">SUM(E13)</f>
        <v>5.2779145156492902E-2</v>
      </c>
      <c r="L13" s="2466">
        <f t="shared" ref="L13" si="43">SUM(I13+J13+K13)</f>
        <v>0.1583374354694787</v>
      </c>
      <c r="M13" s="2466">
        <f t="shared" si="8"/>
        <v>0.31667487093895741</v>
      </c>
      <c r="N13" s="2483">
        <f t="shared" ref="N13" si="44">SUM(E13)</f>
        <v>5.2779145156492902E-2</v>
      </c>
      <c r="O13" s="2483">
        <f t="shared" ref="O13" si="45">SUM(E13)</f>
        <v>5.2779145156492902E-2</v>
      </c>
      <c r="P13" s="2483">
        <f t="shared" ref="P13" si="46">SUM(E13)</f>
        <v>5.2779145156492902E-2</v>
      </c>
      <c r="Q13" s="2466">
        <f t="shared" ref="Q13" si="47">SUM(N13+O13+P13)</f>
        <v>0.1583374354694787</v>
      </c>
      <c r="R13" s="2466">
        <f t="shared" si="10"/>
        <v>0.47501230640843611</v>
      </c>
      <c r="S13" s="2483">
        <f t="shared" ref="S13" si="48">SUM(E13)</f>
        <v>5.2779145156492902E-2</v>
      </c>
      <c r="T13" s="2483">
        <f t="shared" ref="T13" si="49">SUM(E13)</f>
        <v>5.2779145156492902E-2</v>
      </c>
      <c r="U13" s="2483">
        <f t="shared" ref="U13" si="50">SUM(E13)</f>
        <v>5.2779145156492902E-2</v>
      </c>
      <c r="V13" s="2466">
        <f t="shared" ref="V13" si="51">SUM(S13+T13+U13)</f>
        <v>0.1583374354694787</v>
      </c>
      <c r="W13" s="642">
        <f t="shared" si="12"/>
        <v>0.63334974187791482</v>
      </c>
    </row>
    <row r="14" spans="1:23" ht="18.75">
      <c r="A14" s="2479" t="s">
        <v>609</v>
      </c>
      <c r="B14" s="2480">
        <f>SUM(B15:B15)</f>
        <v>65.068352428720502</v>
      </c>
      <c r="C14" s="2480">
        <f t="shared" si="28"/>
        <v>65.068352428720502</v>
      </c>
      <c r="D14" s="2481">
        <f t="shared" si="4"/>
        <v>0</v>
      </c>
      <c r="E14" s="2467">
        <f>SUM(E15:E15)</f>
        <v>4.7564965625394686</v>
      </c>
      <c r="F14" s="2467">
        <f>SUM(F15:F15)</f>
        <v>4.7564965625394686</v>
      </c>
      <c r="G14" s="2467">
        <f>SUM(G15:G15)</f>
        <v>4.7564965625394686</v>
      </c>
      <c r="H14" s="2466">
        <f t="shared" si="6"/>
        <v>14.269489687618407</v>
      </c>
      <c r="I14" s="2467">
        <f>SUM(I15:I15)</f>
        <v>4.8150580797253175</v>
      </c>
      <c r="J14" s="2467">
        <f>SUM(J15:J15)</f>
        <v>5.7845765309132533</v>
      </c>
      <c r="K14" s="2467">
        <f>SUM(K15:K15)</f>
        <v>6.6304651124866183</v>
      </c>
      <c r="L14" s="2466">
        <f t="shared" si="7"/>
        <v>17.230099723125189</v>
      </c>
      <c r="M14" s="2466">
        <f t="shared" si="8"/>
        <v>31.499589410743596</v>
      </c>
      <c r="N14" s="2467">
        <f>SUM(N15:N15)</f>
        <v>6.8842316869586293</v>
      </c>
      <c r="O14" s="2467">
        <f>SUM(O15:O15)</f>
        <v>6.6304651124866183</v>
      </c>
      <c r="P14" s="2467">
        <f>SUM(P15:P15)</f>
        <v>5.7845765309132533</v>
      </c>
      <c r="Q14" s="2466">
        <f t="shared" si="9"/>
        <v>19.299273330358499</v>
      </c>
      <c r="R14" s="2466">
        <f t="shared" si="10"/>
        <v>50.798862741102099</v>
      </c>
      <c r="S14" s="2467">
        <f>SUM(S15:S15)</f>
        <v>4.7564965625394686</v>
      </c>
      <c r="T14" s="2467">
        <f>SUM(T15:T15)</f>
        <v>4.7564965625394686</v>
      </c>
      <c r="U14" s="2467">
        <f>SUM(U15:U15)</f>
        <v>4.7564965625394686</v>
      </c>
      <c r="V14" s="2466">
        <f t="shared" si="11"/>
        <v>14.269489687618407</v>
      </c>
      <c r="W14" s="642">
        <f t="shared" si="12"/>
        <v>65.068352428720502</v>
      </c>
    </row>
    <row r="15" spans="1:23" ht="18.75">
      <c r="A15" s="2484" t="s">
        <v>551</v>
      </c>
      <c r="B15" s="2480">
        <f>SUM(B5*19.52%)</f>
        <v>65.068352428720502</v>
      </c>
      <c r="C15" s="2480">
        <f t="shared" si="28"/>
        <v>65.068352428720502</v>
      </c>
      <c r="D15" s="2481">
        <f t="shared" si="4"/>
        <v>0</v>
      </c>
      <c r="E15" s="2467">
        <f>SUM(B15*7.31%)</f>
        <v>4.7564965625394686</v>
      </c>
      <c r="F15" s="2467">
        <f>SUM(C15*7.31%)</f>
        <v>4.7564965625394686</v>
      </c>
      <c r="G15" s="2467">
        <f>SUM(C15*7.31%)</f>
        <v>4.7564965625394686</v>
      </c>
      <c r="H15" s="2466">
        <f t="shared" si="6"/>
        <v>14.269489687618407</v>
      </c>
      <c r="I15" s="2467">
        <f>SUM(C15*7.4%)</f>
        <v>4.8150580797253175</v>
      </c>
      <c r="J15" s="2467">
        <f>SUM(C15*8.89%)</f>
        <v>5.7845765309132533</v>
      </c>
      <c r="K15" s="2467">
        <f>SUM(C15*10.19%)</f>
        <v>6.6304651124866183</v>
      </c>
      <c r="L15" s="2466">
        <f t="shared" si="7"/>
        <v>17.230099723125189</v>
      </c>
      <c r="M15" s="2466">
        <f t="shared" si="8"/>
        <v>31.499589410743596</v>
      </c>
      <c r="N15" s="2467">
        <f>SUM(B15*10.58%)</f>
        <v>6.8842316869586293</v>
      </c>
      <c r="O15" s="2467">
        <f>SUM(C15*10.19%)</f>
        <v>6.6304651124866183</v>
      </c>
      <c r="P15" s="2467">
        <f>SUM(C15*8.89%)</f>
        <v>5.7845765309132533</v>
      </c>
      <c r="Q15" s="2466">
        <f t="shared" si="9"/>
        <v>19.299273330358499</v>
      </c>
      <c r="R15" s="2466">
        <f t="shared" si="10"/>
        <v>50.798862741102099</v>
      </c>
      <c r="S15" s="2467">
        <f>SUM(C15*7.31%)</f>
        <v>4.7564965625394686</v>
      </c>
      <c r="T15" s="2467">
        <f>SUM(C15*7.31%)</f>
        <v>4.7564965625394686</v>
      </c>
      <c r="U15" s="2467">
        <f>SUM(C15*7.31%)</f>
        <v>4.7564965625394686</v>
      </c>
      <c r="V15" s="2466">
        <f t="shared" si="11"/>
        <v>14.269489687618407</v>
      </c>
      <c r="W15" s="642">
        <f t="shared" si="12"/>
        <v>65.068352428720502</v>
      </c>
    </row>
    <row r="16" spans="1:23" ht="18.75">
      <c r="A16" s="2485" t="s">
        <v>620</v>
      </c>
      <c r="B16" s="2475">
        <f>SUM('цех стоки'!AX48)</f>
        <v>7896.9928694103428</v>
      </c>
      <c r="C16" s="2475">
        <f>SUM(стоки!CN26)</f>
        <v>7842.8894508629037</v>
      </c>
      <c r="D16" s="2476">
        <f>SUM(стоки!CO26)</f>
        <v>54.103418547438842</v>
      </c>
      <c r="E16" s="2477">
        <f>SUM(E17+E18+E19+E20+E21+E22+E23+E25+E24+E26+E27+E28+E29+E30+E31+E32+E37)</f>
        <v>677.89111381039743</v>
      </c>
      <c r="F16" s="2477">
        <f t="shared" ref="F16:G16" si="52">SUM(F17+F18+F19+F20+F21+F22+F23+F25+F24+F26+F27+F28+F29+F30+F31+F32+F37)</f>
        <v>669.10045771143484</v>
      </c>
      <c r="G16" s="2477">
        <f t="shared" si="52"/>
        <v>665.29344049565577</v>
      </c>
      <c r="H16" s="2478">
        <f t="shared" si="6"/>
        <v>2012.285012017488</v>
      </c>
      <c r="I16" s="2477">
        <f t="shared" ref="I16:K16" si="53">SUM(I17+I18+I19+I20+I21+I22+I23+I25+I24+I26+I27+I28+I29+I30+I31+I32+I37)</f>
        <v>652.14443406944304</v>
      </c>
      <c r="J16" s="2477">
        <f t="shared" si="53"/>
        <v>627.45434291845493</v>
      </c>
      <c r="K16" s="2477">
        <f t="shared" si="53"/>
        <v>621.09007707521596</v>
      </c>
      <c r="L16" s="2478">
        <f t="shared" si="7"/>
        <v>1900.6888540631139</v>
      </c>
      <c r="M16" s="2478">
        <f t="shared" si="8"/>
        <v>3912.973866080602</v>
      </c>
      <c r="N16" s="2477">
        <f t="shared" ref="N16:P16" si="54">SUM(N17+N18+N19+N20+N21+N22+N23+N25+N24+N26+N27+N28+N29+N30+N31+N32+N37)</f>
        <v>640.55893205882001</v>
      </c>
      <c r="O16" s="2477">
        <f t="shared" si="54"/>
        <v>639.98608419607297</v>
      </c>
      <c r="P16" s="2477">
        <f t="shared" si="54"/>
        <v>653.23827967773616</v>
      </c>
      <c r="Q16" s="2478">
        <f t="shared" si="9"/>
        <v>1933.7832959326292</v>
      </c>
      <c r="R16" s="2478">
        <f t="shared" si="10"/>
        <v>5846.7571620132312</v>
      </c>
      <c r="S16" s="2477">
        <f t="shared" ref="S16:U16" si="55">SUM(S17+S18+S19+S20+S21+S22+S23+S25+S24+S26+S27+S28+S29+S30+S31+S32+S37)</f>
        <v>673.02521235161055</v>
      </c>
      <c r="T16" s="2477">
        <f t="shared" si="55"/>
        <v>682.62018797882331</v>
      </c>
      <c r="U16" s="2477">
        <f t="shared" si="55"/>
        <v>694.59030706667806</v>
      </c>
      <c r="V16" s="2478">
        <f t="shared" si="11"/>
        <v>2050.235707397112</v>
      </c>
      <c r="W16" s="642">
        <f t="shared" si="12"/>
        <v>7896.9928694103437</v>
      </c>
    </row>
    <row r="17" spans="1:23" ht="18.75">
      <c r="A17" s="2479" t="s">
        <v>72</v>
      </c>
      <c r="B17" s="2480">
        <f>SUM(B16*56.31%)</f>
        <v>4446.7966847649641</v>
      </c>
      <c r="C17" s="2480">
        <f>SUM(C16*56.31%)</f>
        <v>4416.3310497809016</v>
      </c>
      <c r="D17" s="2481">
        <f>SUM(B17-C17)</f>
        <v>30.46563498406249</v>
      </c>
      <c r="E17" s="2467">
        <f>SUM(B17/2)/(1+(104%*100-100)/2/100)/6</f>
        <v>363.30038274223563</v>
      </c>
      <c r="F17" s="2482">
        <f>SUM(E17)</f>
        <v>363.30038274223563</v>
      </c>
      <c r="G17" s="2467">
        <f>SUM(E17)</f>
        <v>363.30038274223563</v>
      </c>
      <c r="H17" s="2466">
        <f>SUM(E17+F17+G17)</f>
        <v>1089.9011482267069</v>
      </c>
      <c r="I17" s="2483">
        <f>SUM(E17)</f>
        <v>363.30038274223563</v>
      </c>
      <c r="J17" s="2483">
        <f>SUM(E17)</f>
        <v>363.30038274223563</v>
      </c>
      <c r="K17" s="2483">
        <f>SUM(E17)</f>
        <v>363.30038274223563</v>
      </c>
      <c r="L17" s="2466">
        <f>SUM(I17+J17+K17)</f>
        <v>1089.9011482267069</v>
      </c>
      <c r="M17" s="2466">
        <f>SUM(H17+L17)</f>
        <v>2179.8022964534139</v>
      </c>
      <c r="N17" s="2483">
        <f>SUM(B17-M17)/6</f>
        <v>377.83239805192505</v>
      </c>
      <c r="O17" s="2483">
        <f>SUM(N17)</f>
        <v>377.83239805192505</v>
      </c>
      <c r="P17" s="2483">
        <f>SUM(N17)</f>
        <v>377.83239805192505</v>
      </c>
      <c r="Q17" s="2466">
        <f>SUM(N17+O17+P17)</f>
        <v>1133.4971941557751</v>
      </c>
      <c r="R17" s="2466">
        <f>SUM(M17+Q17)</f>
        <v>3313.299490609189</v>
      </c>
      <c r="S17" s="2483">
        <f>SUM(N17)</f>
        <v>377.83239805192505</v>
      </c>
      <c r="T17" s="2483">
        <f>SUM(N17)</f>
        <v>377.83239805192505</v>
      </c>
      <c r="U17" s="2483">
        <f>SUM(N17)</f>
        <v>377.83239805192505</v>
      </c>
      <c r="V17" s="2466">
        <f>SUM(S17+T17+U17)</f>
        <v>1133.4971941557751</v>
      </c>
      <c r="W17" s="642">
        <f>SUM(U17+T17+S17+P17+O17+N17+K17+J17+I17+G17+F17+E17)</f>
        <v>4446.796684764965</v>
      </c>
    </row>
    <row r="18" spans="1:23" ht="18.75">
      <c r="A18" s="2479" t="s">
        <v>121</v>
      </c>
      <c r="B18" s="2480">
        <f>SUM(B16*16.91%)</f>
        <v>1335.3814942172889</v>
      </c>
      <c r="C18" s="2480">
        <f>SUM(C16*16.91%)</f>
        <v>1326.2326061409169</v>
      </c>
      <c r="D18" s="2481">
        <f t="shared" ref="D18:D31" si="56">SUM(B18-C18)</f>
        <v>9.1488880763720317</v>
      </c>
      <c r="E18" s="2467">
        <f>SUM(E17*(B18/B17))</f>
        <v>109.09979527919027</v>
      </c>
      <c r="F18" s="2467">
        <f>SUM(E18)</f>
        <v>109.09979527919027</v>
      </c>
      <c r="G18" s="2482">
        <f>SUM(E18)</f>
        <v>109.09979527919027</v>
      </c>
      <c r="H18" s="2466">
        <f t="shared" ref="H18" si="57">SUM(E18+F18+G18)</f>
        <v>327.29938583757081</v>
      </c>
      <c r="I18" s="2483">
        <f>SUM(E18)</f>
        <v>109.09979527919027</v>
      </c>
      <c r="J18" s="2483">
        <f>SUM(E18)</f>
        <v>109.09979527919027</v>
      </c>
      <c r="K18" s="2483">
        <f>SUM(E18)</f>
        <v>109.09979527919027</v>
      </c>
      <c r="L18" s="2466">
        <f t="shared" ref="L18" si="58">SUM(I18+J18+K18)</f>
        <v>327.29938583757081</v>
      </c>
      <c r="M18" s="2466">
        <f t="shared" ref="M18:M30" si="59">SUM(H18+L18)</f>
        <v>654.59877167514162</v>
      </c>
      <c r="N18" s="2483">
        <f>SUM(B18-M18)/6</f>
        <v>113.46378709035788</v>
      </c>
      <c r="O18" s="2483">
        <f>SUM(N18)</f>
        <v>113.46378709035788</v>
      </c>
      <c r="P18" s="2483">
        <f>SUM(N18)</f>
        <v>113.46378709035788</v>
      </c>
      <c r="Q18" s="2466">
        <f t="shared" ref="Q18" si="60">SUM(N18+O18+P18)</f>
        <v>340.39136127107366</v>
      </c>
      <c r="R18" s="2466">
        <f t="shared" ref="R18:R30" si="61">SUM(M18+Q18)</f>
        <v>994.99013294621523</v>
      </c>
      <c r="S18" s="2483">
        <f>SUM(N18)</f>
        <v>113.46378709035788</v>
      </c>
      <c r="T18" s="2483">
        <f>SUM(N18)</f>
        <v>113.46378709035788</v>
      </c>
      <c r="U18" s="2483">
        <f>SUM(N18)</f>
        <v>113.46378709035788</v>
      </c>
      <c r="V18" s="2466">
        <f t="shared" ref="V18" si="62">SUM(S18+T18+U18)</f>
        <v>340.39136127107366</v>
      </c>
      <c r="W18" s="642">
        <f t="shared" ref="W18" si="63">SUM(U18+T18+S18+P18+O18+N18+K18+J18+I18+G18+F18+E18)</f>
        <v>1335.3814942172887</v>
      </c>
    </row>
    <row r="19" spans="1:23" ht="18.75">
      <c r="A19" s="2479" t="s">
        <v>52</v>
      </c>
      <c r="B19" s="2480">
        <f>SUM(B16*0.27%)</f>
        <v>21.321880747407928</v>
      </c>
      <c r="C19" s="2480">
        <f>SUM(C16*0.27%)</f>
        <v>21.175801517329841</v>
      </c>
      <c r="D19" s="2481">
        <f t="shared" si="56"/>
        <v>0.14607923007808665</v>
      </c>
      <c r="E19" s="2467">
        <f t="shared" ref="E19:E31" si="64">SUM(B19/12)</f>
        <v>1.7768233956173274</v>
      </c>
      <c r="F19" s="2467">
        <f t="shared" ref="F19:F31" si="65">SUM(E19)</f>
        <v>1.7768233956173274</v>
      </c>
      <c r="G19" s="2467">
        <f t="shared" ref="G19:G31" si="66">SUM(E19)</f>
        <v>1.7768233956173274</v>
      </c>
      <c r="H19" s="2466">
        <f t="shared" ref="H19:H31" si="67">SUM(E19+F19+G19)</f>
        <v>5.3304701868519819</v>
      </c>
      <c r="I19" s="2483">
        <f t="shared" ref="I19:I31" si="68">SUM(E19)</f>
        <v>1.7768233956173274</v>
      </c>
      <c r="J19" s="2483">
        <f t="shared" ref="J19:J31" si="69">SUM(E19)</f>
        <v>1.7768233956173274</v>
      </c>
      <c r="K19" s="2483">
        <f t="shared" ref="K19:K31" si="70">SUM(E19)</f>
        <v>1.7768233956173274</v>
      </c>
      <c r="L19" s="2466">
        <f t="shared" ref="L19:L31" si="71">SUM(I19+J19+K19)</f>
        <v>5.3304701868519819</v>
      </c>
      <c r="M19" s="2466">
        <f t="shared" si="59"/>
        <v>10.660940373703964</v>
      </c>
      <c r="N19" s="2483">
        <f t="shared" ref="N19:N31" si="72">SUM(E19)</f>
        <v>1.7768233956173274</v>
      </c>
      <c r="O19" s="2483">
        <f t="shared" ref="O19:O31" si="73">SUM(E19)</f>
        <v>1.7768233956173274</v>
      </c>
      <c r="P19" s="2483">
        <f t="shared" ref="P19:P31" si="74">SUM(E19)</f>
        <v>1.7768233956173274</v>
      </c>
      <c r="Q19" s="2466">
        <f t="shared" ref="Q19:Q31" si="75">SUM(N19+O19+P19)</f>
        <v>5.3304701868519819</v>
      </c>
      <c r="R19" s="2466">
        <f t="shared" si="61"/>
        <v>15.991410560555945</v>
      </c>
      <c r="S19" s="2483">
        <f t="shared" ref="S19:S31" si="76">SUM(E19)</f>
        <v>1.7768233956173274</v>
      </c>
      <c r="T19" s="2483">
        <f t="shared" ref="T19:T31" si="77">SUM(E19)</f>
        <v>1.7768233956173274</v>
      </c>
      <c r="U19" s="2483">
        <f t="shared" ref="U19:U31" si="78">SUM(E19)</f>
        <v>1.7768233956173274</v>
      </c>
      <c r="V19" s="2466">
        <f t="shared" ref="V19:V31" si="79">SUM(S19+T19+U19)</f>
        <v>5.3304701868519819</v>
      </c>
      <c r="W19" s="642">
        <f t="shared" si="12"/>
        <v>21.321880747407928</v>
      </c>
    </row>
    <row r="20" spans="1:23" ht="18.75">
      <c r="A20" s="2479" t="s">
        <v>637</v>
      </c>
      <c r="B20" s="2480">
        <f>SUM(B16*0.42%)</f>
        <v>33.167370051523434</v>
      </c>
      <c r="C20" s="2480">
        <f>SUM(C16*0.42%)</f>
        <v>32.940135693624192</v>
      </c>
      <c r="D20" s="2481">
        <f t="shared" si="56"/>
        <v>0.22723435789924196</v>
      </c>
      <c r="E20" s="2467">
        <f t="shared" si="64"/>
        <v>2.7639475042936197</v>
      </c>
      <c r="F20" s="2467">
        <f t="shared" si="65"/>
        <v>2.7639475042936197</v>
      </c>
      <c r="G20" s="2467">
        <f t="shared" si="66"/>
        <v>2.7639475042936197</v>
      </c>
      <c r="H20" s="2466">
        <f t="shared" si="67"/>
        <v>8.2918425128808586</v>
      </c>
      <c r="I20" s="2483">
        <f t="shared" si="68"/>
        <v>2.7639475042936197</v>
      </c>
      <c r="J20" s="2483">
        <f t="shared" si="69"/>
        <v>2.7639475042936197</v>
      </c>
      <c r="K20" s="2483">
        <f t="shared" si="70"/>
        <v>2.7639475042936197</v>
      </c>
      <c r="L20" s="2466">
        <f t="shared" si="71"/>
        <v>8.2918425128808586</v>
      </c>
      <c r="M20" s="2466">
        <f t="shared" si="59"/>
        <v>16.583685025761717</v>
      </c>
      <c r="N20" s="2483">
        <f t="shared" si="72"/>
        <v>2.7639475042936197</v>
      </c>
      <c r="O20" s="2483">
        <f t="shared" si="73"/>
        <v>2.7639475042936197</v>
      </c>
      <c r="P20" s="2483">
        <f t="shared" si="74"/>
        <v>2.7639475042936197</v>
      </c>
      <c r="Q20" s="2466">
        <f t="shared" si="75"/>
        <v>8.2918425128808586</v>
      </c>
      <c r="R20" s="2466">
        <f t="shared" si="61"/>
        <v>24.875527538642576</v>
      </c>
      <c r="S20" s="2483">
        <f t="shared" si="76"/>
        <v>2.7639475042936197</v>
      </c>
      <c r="T20" s="2483">
        <f t="shared" si="77"/>
        <v>2.7639475042936197</v>
      </c>
      <c r="U20" s="2483">
        <f t="shared" si="78"/>
        <v>2.7639475042936197</v>
      </c>
      <c r="V20" s="2466">
        <f t="shared" si="79"/>
        <v>8.2918425128808586</v>
      </c>
      <c r="W20" s="642">
        <f t="shared" si="12"/>
        <v>33.167370051523427</v>
      </c>
    </row>
    <row r="21" spans="1:23" ht="18.75">
      <c r="A21" s="2479" t="s">
        <v>639</v>
      </c>
      <c r="B21" s="2480">
        <f>SUM(B16*0.5%)</f>
        <v>39.484964347051715</v>
      </c>
      <c r="C21" s="2480">
        <f>SUM(C16*0.5%)</f>
        <v>39.214447254314521</v>
      </c>
      <c r="D21" s="2481">
        <f t="shared" si="56"/>
        <v>0.27051709273719382</v>
      </c>
      <c r="E21" s="2467">
        <f t="shared" si="64"/>
        <v>3.2904136955876431</v>
      </c>
      <c r="F21" s="2467">
        <f t="shared" si="65"/>
        <v>3.2904136955876431</v>
      </c>
      <c r="G21" s="2467">
        <f t="shared" si="66"/>
        <v>3.2904136955876431</v>
      </c>
      <c r="H21" s="2466">
        <f t="shared" si="67"/>
        <v>9.8712410867629288</v>
      </c>
      <c r="I21" s="2483">
        <f t="shared" si="68"/>
        <v>3.2904136955876431</v>
      </c>
      <c r="J21" s="2483">
        <f t="shared" si="69"/>
        <v>3.2904136955876431</v>
      </c>
      <c r="K21" s="2483">
        <f t="shared" si="70"/>
        <v>3.2904136955876431</v>
      </c>
      <c r="L21" s="2466">
        <f t="shared" si="71"/>
        <v>9.8712410867629288</v>
      </c>
      <c r="M21" s="2466">
        <f t="shared" si="59"/>
        <v>19.742482173525858</v>
      </c>
      <c r="N21" s="2483">
        <f t="shared" si="72"/>
        <v>3.2904136955876431</v>
      </c>
      <c r="O21" s="2483">
        <f t="shared" si="73"/>
        <v>3.2904136955876431</v>
      </c>
      <c r="P21" s="2483">
        <f t="shared" si="74"/>
        <v>3.2904136955876431</v>
      </c>
      <c r="Q21" s="2466">
        <f t="shared" si="75"/>
        <v>9.8712410867629288</v>
      </c>
      <c r="R21" s="2466">
        <f t="shared" si="61"/>
        <v>29.613723260288786</v>
      </c>
      <c r="S21" s="2483">
        <f t="shared" si="76"/>
        <v>3.2904136955876431</v>
      </c>
      <c r="T21" s="2483">
        <f t="shared" si="77"/>
        <v>3.2904136955876431</v>
      </c>
      <c r="U21" s="2483">
        <f t="shared" si="78"/>
        <v>3.2904136955876431</v>
      </c>
      <c r="V21" s="2466">
        <f t="shared" si="79"/>
        <v>9.8712410867629288</v>
      </c>
      <c r="W21" s="642">
        <f t="shared" si="12"/>
        <v>39.484964347051715</v>
      </c>
    </row>
    <row r="22" spans="1:23" ht="18.75">
      <c r="A22" s="2479" t="s">
        <v>605</v>
      </c>
      <c r="B22" s="2480">
        <f>SUM(B16*6.89%)</f>
        <v>544.10280870237261</v>
      </c>
      <c r="C22" s="2480">
        <f>SUM(C16*6.89%)</f>
        <v>540.37508316445405</v>
      </c>
      <c r="D22" s="2481">
        <f t="shared" si="56"/>
        <v>3.727725537918559</v>
      </c>
      <c r="E22" s="2467">
        <f t="shared" si="64"/>
        <v>45.341900725197718</v>
      </c>
      <c r="F22" s="2467">
        <f t="shared" si="65"/>
        <v>45.341900725197718</v>
      </c>
      <c r="G22" s="2467">
        <f t="shared" si="66"/>
        <v>45.341900725197718</v>
      </c>
      <c r="H22" s="2466">
        <f t="shared" si="67"/>
        <v>136.02570217559315</v>
      </c>
      <c r="I22" s="2483">
        <f t="shared" si="68"/>
        <v>45.341900725197718</v>
      </c>
      <c r="J22" s="2483">
        <f t="shared" si="69"/>
        <v>45.341900725197718</v>
      </c>
      <c r="K22" s="2483">
        <f t="shared" si="70"/>
        <v>45.341900725197718</v>
      </c>
      <c r="L22" s="2466">
        <f t="shared" si="71"/>
        <v>136.02570217559315</v>
      </c>
      <c r="M22" s="2466">
        <f t="shared" si="59"/>
        <v>272.05140435118631</v>
      </c>
      <c r="N22" s="2483">
        <f t="shared" si="72"/>
        <v>45.341900725197718</v>
      </c>
      <c r="O22" s="2483">
        <f t="shared" si="73"/>
        <v>45.341900725197718</v>
      </c>
      <c r="P22" s="2483">
        <f t="shared" si="74"/>
        <v>45.341900725197718</v>
      </c>
      <c r="Q22" s="2466">
        <f t="shared" si="75"/>
        <v>136.02570217559315</v>
      </c>
      <c r="R22" s="2466">
        <f t="shared" si="61"/>
        <v>408.07710652677946</v>
      </c>
      <c r="S22" s="2483">
        <f t="shared" si="76"/>
        <v>45.341900725197718</v>
      </c>
      <c r="T22" s="2483">
        <f t="shared" si="77"/>
        <v>45.341900725197718</v>
      </c>
      <c r="U22" s="2483">
        <f t="shared" si="78"/>
        <v>45.341900725197718</v>
      </c>
      <c r="V22" s="2466">
        <f t="shared" si="79"/>
        <v>136.02570217559315</v>
      </c>
      <c r="W22" s="642">
        <f t="shared" si="12"/>
        <v>544.10280870237261</v>
      </c>
    </row>
    <row r="23" spans="1:23" ht="18.75">
      <c r="A23" s="2479" t="s">
        <v>42</v>
      </c>
      <c r="B23" s="2480">
        <f>SUM(B16*0.58%)</f>
        <v>45.802558642579982</v>
      </c>
      <c r="C23" s="2480">
        <f>SUM(C16*0.58%)</f>
        <v>45.488758815004836</v>
      </c>
      <c r="D23" s="2481">
        <f t="shared" si="56"/>
        <v>0.31379982757514568</v>
      </c>
      <c r="E23" s="2467">
        <f t="shared" si="64"/>
        <v>3.8168798868816651</v>
      </c>
      <c r="F23" s="2467">
        <f t="shared" si="65"/>
        <v>3.8168798868816651</v>
      </c>
      <c r="G23" s="2467">
        <f t="shared" si="66"/>
        <v>3.8168798868816651</v>
      </c>
      <c r="H23" s="2466">
        <f t="shared" si="67"/>
        <v>11.450639660644995</v>
      </c>
      <c r="I23" s="2483">
        <f t="shared" si="68"/>
        <v>3.8168798868816651</v>
      </c>
      <c r="J23" s="2483">
        <f t="shared" si="69"/>
        <v>3.8168798868816651</v>
      </c>
      <c r="K23" s="2483">
        <f t="shared" si="70"/>
        <v>3.8168798868816651</v>
      </c>
      <c r="L23" s="2466">
        <f t="shared" si="71"/>
        <v>11.450639660644995</v>
      </c>
      <c r="M23" s="2466">
        <f t="shared" si="59"/>
        <v>22.901279321289991</v>
      </c>
      <c r="N23" s="2483">
        <f t="shared" si="72"/>
        <v>3.8168798868816651</v>
      </c>
      <c r="O23" s="2483">
        <f t="shared" si="73"/>
        <v>3.8168798868816651</v>
      </c>
      <c r="P23" s="2483">
        <f t="shared" si="74"/>
        <v>3.8168798868816651</v>
      </c>
      <c r="Q23" s="2466">
        <f t="shared" si="75"/>
        <v>11.450639660644995</v>
      </c>
      <c r="R23" s="2466">
        <f t="shared" si="61"/>
        <v>34.351918981934986</v>
      </c>
      <c r="S23" s="2483">
        <f t="shared" si="76"/>
        <v>3.8168798868816651</v>
      </c>
      <c r="T23" s="2483">
        <f t="shared" si="77"/>
        <v>3.8168798868816651</v>
      </c>
      <c r="U23" s="2483">
        <f t="shared" si="78"/>
        <v>3.8168798868816651</v>
      </c>
      <c r="V23" s="2466">
        <f t="shared" si="79"/>
        <v>11.450639660644995</v>
      </c>
      <c r="W23" s="642">
        <f t="shared" si="12"/>
        <v>45.802558642579982</v>
      </c>
    </row>
    <row r="24" spans="1:23" ht="18.75">
      <c r="A24" s="2479" t="s">
        <v>38</v>
      </c>
      <c r="B24" s="2480">
        <f>SUM(B16*0.35%)</f>
        <v>27.639475042936198</v>
      </c>
      <c r="C24" s="2480">
        <f>SUM(C16*0.35%)</f>
        <v>27.450113078020159</v>
      </c>
      <c r="D24" s="2481">
        <f t="shared" si="56"/>
        <v>0.18936196491603852</v>
      </c>
      <c r="E24" s="2467">
        <f t="shared" si="64"/>
        <v>2.3032895869113497</v>
      </c>
      <c r="F24" s="2467">
        <f t="shared" si="65"/>
        <v>2.3032895869113497</v>
      </c>
      <c r="G24" s="2467">
        <f t="shared" si="66"/>
        <v>2.3032895869113497</v>
      </c>
      <c r="H24" s="2466">
        <f t="shared" si="67"/>
        <v>6.9098687607340494</v>
      </c>
      <c r="I24" s="2483">
        <f t="shared" ref="I24" si="80">SUM(E24)</f>
        <v>2.3032895869113497</v>
      </c>
      <c r="J24" s="2483">
        <f t="shared" si="69"/>
        <v>2.3032895869113497</v>
      </c>
      <c r="K24" s="2483">
        <f t="shared" si="70"/>
        <v>2.3032895869113497</v>
      </c>
      <c r="L24" s="2466">
        <f t="shared" ref="L24" si="81">SUM(I24+J24+K24)</f>
        <v>6.9098687607340494</v>
      </c>
      <c r="M24" s="2466">
        <f t="shared" si="59"/>
        <v>13.819737521468099</v>
      </c>
      <c r="N24" s="2483">
        <f t="shared" si="72"/>
        <v>2.3032895869113497</v>
      </c>
      <c r="O24" s="2483">
        <f t="shared" si="73"/>
        <v>2.3032895869113497</v>
      </c>
      <c r="P24" s="2483">
        <f t="shared" si="74"/>
        <v>2.3032895869113497</v>
      </c>
      <c r="Q24" s="2466">
        <f t="shared" si="75"/>
        <v>6.9098687607340494</v>
      </c>
      <c r="R24" s="2466">
        <f t="shared" si="61"/>
        <v>20.729606282202148</v>
      </c>
      <c r="S24" s="2483">
        <f t="shared" si="76"/>
        <v>2.3032895869113497</v>
      </c>
      <c r="T24" s="2483">
        <f t="shared" si="77"/>
        <v>2.3032895869113497</v>
      </c>
      <c r="U24" s="2483">
        <f t="shared" si="78"/>
        <v>2.3032895869113497</v>
      </c>
      <c r="V24" s="2466">
        <f t="shared" si="79"/>
        <v>6.9098687607340494</v>
      </c>
      <c r="W24" s="642">
        <f t="shared" si="12"/>
        <v>27.639475042936201</v>
      </c>
    </row>
    <row r="25" spans="1:23" ht="18.75">
      <c r="A25" s="2479" t="s">
        <v>607</v>
      </c>
      <c r="B25" s="2480">
        <f>SUM(B16*0.87%)</f>
        <v>68.703837963869972</v>
      </c>
      <c r="C25" s="2480">
        <f>SUM(C16*0.87%)</f>
        <v>68.233138222507264</v>
      </c>
      <c r="D25" s="2481">
        <f t="shared" si="56"/>
        <v>0.47069974136270787</v>
      </c>
      <c r="E25" s="2467">
        <f t="shared" si="64"/>
        <v>5.7253198303224977</v>
      </c>
      <c r="F25" s="2467">
        <f t="shared" si="65"/>
        <v>5.7253198303224977</v>
      </c>
      <c r="G25" s="2467">
        <f t="shared" si="66"/>
        <v>5.7253198303224977</v>
      </c>
      <c r="H25" s="2466">
        <f t="shared" si="67"/>
        <v>17.175959490967493</v>
      </c>
      <c r="I25" s="2483">
        <f t="shared" si="68"/>
        <v>5.7253198303224977</v>
      </c>
      <c r="J25" s="2483">
        <f t="shared" si="69"/>
        <v>5.7253198303224977</v>
      </c>
      <c r="K25" s="2483">
        <f t="shared" si="70"/>
        <v>5.7253198303224977</v>
      </c>
      <c r="L25" s="2466">
        <f t="shared" si="71"/>
        <v>17.175959490967493</v>
      </c>
      <c r="M25" s="2466">
        <f t="shared" si="59"/>
        <v>34.351918981934986</v>
      </c>
      <c r="N25" s="2483">
        <f t="shared" si="72"/>
        <v>5.7253198303224977</v>
      </c>
      <c r="O25" s="2483">
        <f t="shared" si="73"/>
        <v>5.7253198303224977</v>
      </c>
      <c r="P25" s="2483">
        <f t="shared" si="74"/>
        <v>5.7253198303224977</v>
      </c>
      <c r="Q25" s="2466">
        <f t="shared" si="75"/>
        <v>17.175959490967493</v>
      </c>
      <c r="R25" s="2466">
        <f t="shared" si="61"/>
        <v>51.527878472902479</v>
      </c>
      <c r="S25" s="2483">
        <f t="shared" si="76"/>
        <v>5.7253198303224977</v>
      </c>
      <c r="T25" s="2483">
        <f t="shared" si="77"/>
        <v>5.7253198303224977</v>
      </c>
      <c r="U25" s="2483">
        <f t="shared" si="78"/>
        <v>5.7253198303224977</v>
      </c>
      <c r="V25" s="2466">
        <f t="shared" si="79"/>
        <v>17.175959490967493</v>
      </c>
      <c r="W25" s="642">
        <f t="shared" si="12"/>
        <v>68.703837963869972</v>
      </c>
    </row>
    <row r="26" spans="1:23" ht="18.75">
      <c r="A26" s="2479" t="s">
        <v>98</v>
      </c>
      <c r="B26" s="2480">
        <f>SUM(B16*0.83%)</f>
        <v>65.545040816105839</v>
      </c>
      <c r="C26" s="2480">
        <f>SUM(C16*0.83%)</f>
        <v>65.095982442162097</v>
      </c>
      <c r="D26" s="2481">
        <f t="shared" si="56"/>
        <v>0.44905837394374259</v>
      </c>
      <c r="E26" s="2467">
        <f t="shared" si="64"/>
        <v>5.4620867346754869</v>
      </c>
      <c r="F26" s="2467">
        <f t="shared" si="65"/>
        <v>5.4620867346754869</v>
      </c>
      <c r="G26" s="2467">
        <f t="shared" si="66"/>
        <v>5.4620867346754869</v>
      </c>
      <c r="H26" s="2466">
        <f t="shared" si="67"/>
        <v>16.38626020402646</v>
      </c>
      <c r="I26" s="2483">
        <f t="shared" si="68"/>
        <v>5.4620867346754869</v>
      </c>
      <c r="J26" s="2483">
        <f t="shared" si="69"/>
        <v>5.4620867346754869</v>
      </c>
      <c r="K26" s="2483">
        <f t="shared" si="70"/>
        <v>5.4620867346754869</v>
      </c>
      <c r="L26" s="2466">
        <f t="shared" si="71"/>
        <v>16.38626020402646</v>
      </c>
      <c r="M26" s="2466">
        <f t="shared" si="59"/>
        <v>32.77252040805292</v>
      </c>
      <c r="N26" s="2483">
        <f t="shared" si="72"/>
        <v>5.4620867346754869</v>
      </c>
      <c r="O26" s="2483">
        <f t="shared" si="73"/>
        <v>5.4620867346754869</v>
      </c>
      <c r="P26" s="2483">
        <f t="shared" si="74"/>
        <v>5.4620867346754869</v>
      </c>
      <c r="Q26" s="2466">
        <f t="shared" si="75"/>
        <v>16.38626020402646</v>
      </c>
      <c r="R26" s="2466">
        <f t="shared" si="61"/>
        <v>49.158780612079383</v>
      </c>
      <c r="S26" s="2483">
        <f t="shared" si="76"/>
        <v>5.4620867346754869</v>
      </c>
      <c r="T26" s="2483">
        <f t="shared" si="77"/>
        <v>5.4620867346754869</v>
      </c>
      <c r="U26" s="2483">
        <f t="shared" si="78"/>
        <v>5.4620867346754869</v>
      </c>
      <c r="V26" s="2466">
        <f t="shared" si="79"/>
        <v>16.38626020402646</v>
      </c>
      <c r="W26" s="642">
        <f t="shared" si="12"/>
        <v>65.545040816105839</v>
      </c>
    </row>
    <row r="27" spans="1:23" ht="18.75">
      <c r="A27" s="2479" t="s">
        <v>608</v>
      </c>
      <c r="B27" s="2480">
        <f>SUM(B16*0.82%)</f>
        <v>64.755341529164809</v>
      </c>
      <c r="C27" s="2480">
        <f>SUM(C16*0.82%)</f>
        <v>64.311693497075808</v>
      </c>
      <c r="D27" s="2481">
        <f t="shared" si="56"/>
        <v>0.44364803208900128</v>
      </c>
      <c r="E27" s="2467">
        <f t="shared" si="64"/>
        <v>5.3962784607637344</v>
      </c>
      <c r="F27" s="2467">
        <f t="shared" si="65"/>
        <v>5.3962784607637344</v>
      </c>
      <c r="G27" s="2467">
        <f t="shared" si="66"/>
        <v>5.3962784607637344</v>
      </c>
      <c r="H27" s="2466">
        <f t="shared" si="67"/>
        <v>16.188835382291202</v>
      </c>
      <c r="I27" s="2483">
        <f t="shared" si="68"/>
        <v>5.3962784607637344</v>
      </c>
      <c r="J27" s="2483">
        <f t="shared" si="69"/>
        <v>5.3962784607637344</v>
      </c>
      <c r="K27" s="2483">
        <f t="shared" si="70"/>
        <v>5.3962784607637344</v>
      </c>
      <c r="L27" s="2466">
        <f t="shared" si="71"/>
        <v>16.188835382291202</v>
      </c>
      <c r="M27" s="2466">
        <f t="shared" si="59"/>
        <v>32.377670764582405</v>
      </c>
      <c r="N27" s="2483">
        <f t="shared" si="72"/>
        <v>5.3962784607637344</v>
      </c>
      <c r="O27" s="2483">
        <f t="shared" si="73"/>
        <v>5.3962784607637344</v>
      </c>
      <c r="P27" s="2483">
        <f t="shared" si="74"/>
        <v>5.3962784607637344</v>
      </c>
      <c r="Q27" s="2466">
        <f t="shared" si="75"/>
        <v>16.188835382291202</v>
      </c>
      <c r="R27" s="2466">
        <f t="shared" si="61"/>
        <v>48.566506146873607</v>
      </c>
      <c r="S27" s="2483">
        <f t="shared" si="76"/>
        <v>5.3962784607637344</v>
      </c>
      <c r="T27" s="2483">
        <f t="shared" si="77"/>
        <v>5.3962784607637344</v>
      </c>
      <c r="U27" s="2483">
        <f t="shared" si="78"/>
        <v>5.3962784607637344</v>
      </c>
      <c r="V27" s="2466">
        <f t="shared" si="79"/>
        <v>16.188835382291202</v>
      </c>
      <c r="W27" s="642">
        <f t="shared" si="12"/>
        <v>64.755341529164795</v>
      </c>
    </row>
    <row r="28" spans="1:23" ht="18.75">
      <c r="A28" s="2479" t="s">
        <v>611</v>
      </c>
      <c r="B28" s="2480">
        <f>SUM(B16*1.29%)</f>
        <v>101.87120801539342</v>
      </c>
      <c r="C28" s="2480">
        <f>SUM(C16*1.29%)</f>
        <v>101.17327391613146</v>
      </c>
      <c r="D28" s="2481">
        <f t="shared" si="56"/>
        <v>0.69793409926195693</v>
      </c>
      <c r="E28" s="2467">
        <f t="shared" si="64"/>
        <v>8.4892673346161178</v>
      </c>
      <c r="F28" s="2467">
        <f t="shared" si="65"/>
        <v>8.4892673346161178</v>
      </c>
      <c r="G28" s="2467">
        <f t="shared" si="66"/>
        <v>8.4892673346161178</v>
      </c>
      <c r="H28" s="2466">
        <f t="shared" si="67"/>
        <v>25.467802003848355</v>
      </c>
      <c r="I28" s="2483">
        <f t="shared" si="68"/>
        <v>8.4892673346161178</v>
      </c>
      <c r="J28" s="2483">
        <f t="shared" si="69"/>
        <v>8.4892673346161178</v>
      </c>
      <c r="K28" s="2483">
        <f t="shared" si="70"/>
        <v>8.4892673346161178</v>
      </c>
      <c r="L28" s="2466">
        <f t="shared" si="71"/>
        <v>25.467802003848355</v>
      </c>
      <c r="M28" s="2466">
        <f t="shared" si="59"/>
        <v>50.93560400769671</v>
      </c>
      <c r="N28" s="2483">
        <f t="shared" si="72"/>
        <v>8.4892673346161178</v>
      </c>
      <c r="O28" s="2483">
        <f t="shared" si="73"/>
        <v>8.4892673346161178</v>
      </c>
      <c r="P28" s="2483">
        <f t="shared" si="74"/>
        <v>8.4892673346161178</v>
      </c>
      <c r="Q28" s="2466">
        <f t="shared" si="75"/>
        <v>25.467802003848355</v>
      </c>
      <c r="R28" s="2466">
        <f t="shared" si="61"/>
        <v>76.403406011545059</v>
      </c>
      <c r="S28" s="2483">
        <f t="shared" si="76"/>
        <v>8.4892673346161178</v>
      </c>
      <c r="T28" s="2483">
        <f t="shared" si="77"/>
        <v>8.4892673346161178</v>
      </c>
      <c r="U28" s="2483">
        <f t="shared" si="78"/>
        <v>8.4892673346161178</v>
      </c>
      <c r="V28" s="2466">
        <f t="shared" si="79"/>
        <v>25.467802003848355</v>
      </c>
      <c r="W28" s="642">
        <f t="shared" si="12"/>
        <v>101.87120801539341</v>
      </c>
    </row>
    <row r="29" spans="1:23" ht="18.75">
      <c r="A29" s="2479" t="s">
        <v>615</v>
      </c>
      <c r="B29" s="2486">
        <v>0</v>
      </c>
      <c r="C29" s="2486">
        <v>0</v>
      </c>
      <c r="D29" s="2481">
        <f t="shared" si="56"/>
        <v>0</v>
      </c>
      <c r="E29" s="2487">
        <f t="shared" si="64"/>
        <v>0</v>
      </c>
      <c r="F29" s="2487">
        <f t="shared" si="65"/>
        <v>0</v>
      </c>
      <c r="G29" s="2487">
        <f t="shared" si="66"/>
        <v>0</v>
      </c>
      <c r="H29" s="2488">
        <f t="shared" si="67"/>
        <v>0</v>
      </c>
      <c r="I29" s="2489">
        <f t="shared" si="68"/>
        <v>0</v>
      </c>
      <c r="J29" s="2489">
        <f t="shared" si="69"/>
        <v>0</v>
      </c>
      <c r="K29" s="2489">
        <f t="shared" si="70"/>
        <v>0</v>
      </c>
      <c r="L29" s="2488">
        <f t="shared" si="71"/>
        <v>0</v>
      </c>
      <c r="M29" s="2488">
        <f t="shared" si="59"/>
        <v>0</v>
      </c>
      <c r="N29" s="2489">
        <f t="shared" si="72"/>
        <v>0</v>
      </c>
      <c r="O29" s="2489">
        <f t="shared" si="73"/>
        <v>0</v>
      </c>
      <c r="P29" s="2489">
        <f t="shared" si="74"/>
        <v>0</v>
      </c>
      <c r="Q29" s="2488">
        <f t="shared" si="75"/>
        <v>0</v>
      </c>
      <c r="R29" s="2488">
        <f t="shared" si="61"/>
        <v>0</v>
      </c>
      <c r="S29" s="2489">
        <f t="shared" si="76"/>
        <v>0</v>
      </c>
      <c r="T29" s="2489">
        <f t="shared" si="77"/>
        <v>0</v>
      </c>
      <c r="U29" s="2489">
        <f t="shared" si="78"/>
        <v>0</v>
      </c>
      <c r="V29" s="2488">
        <f t="shared" si="79"/>
        <v>0</v>
      </c>
      <c r="W29" s="649">
        <f t="shared" si="12"/>
        <v>0</v>
      </c>
    </row>
    <row r="30" spans="1:23" ht="18.75">
      <c r="A30" s="2479" t="s">
        <v>612</v>
      </c>
      <c r="B30" s="2486">
        <v>0</v>
      </c>
      <c r="C30" s="2486">
        <v>0</v>
      </c>
      <c r="D30" s="2481">
        <f t="shared" si="56"/>
        <v>0</v>
      </c>
      <c r="E30" s="2487">
        <f t="shared" si="64"/>
        <v>0</v>
      </c>
      <c r="F30" s="2487">
        <f t="shared" si="65"/>
        <v>0</v>
      </c>
      <c r="G30" s="2487">
        <f t="shared" si="66"/>
        <v>0</v>
      </c>
      <c r="H30" s="2488">
        <f t="shared" si="67"/>
        <v>0</v>
      </c>
      <c r="I30" s="2489">
        <f t="shared" si="68"/>
        <v>0</v>
      </c>
      <c r="J30" s="2489">
        <f t="shared" si="69"/>
        <v>0</v>
      </c>
      <c r="K30" s="2489">
        <f t="shared" si="70"/>
        <v>0</v>
      </c>
      <c r="L30" s="2488">
        <f t="shared" si="71"/>
        <v>0</v>
      </c>
      <c r="M30" s="2488">
        <f t="shared" si="59"/>
        <v>0</v>
      </c>
      <c r="N30" s="2489">
        <f t="shared" si="72"/>
        <v>0</v>
      </c>
      <c r="O30" s="2489">
        <f t="shared" si="73"/>
        <v>0</v>
      </c>
      <c r="P30" s="2489">
        <f t="shared" si="74"/>
        <v>0</v>
      </c>
      <c r="Q30" s="2488">
        <f t="shared" si="75"/>
        <v>0</v>
      </c>
      <c r="R30" s="2488">
        <f t="shared" si="61"/>
        <v>0</v>
      </c>
      <c r="S30" s="2489">
        <f t="shared" si="76"/>
        <v>0</v>
      </c>
      <c r="T30" s="2489">
        <f t="shared" si="77"/>
        <v>0</v>
      </c>
      <c r="U30" s="2489">
        <f t="shared" si="78"/>
        <v>0</v>
      </c>
      <c r="V30" s="2488">
        <f t="shared" si="79"/>
        <v>0</v>
      </c>
      <c r="W30" s="649">
        <f t="shared" si="12"/>
        <v>0</v>
      </c>
    </row>
    <row r="31" spans="1:23" ht="18.75">
      <c r="A31" s="2479" t="s">
        <v>32</v>
      </c>
      <c r="B31" s="2480">
        <f>SUM(B16*0%)</f>
        <v>0</v>
      </c>
      <c r="C31" s="2480">
        <f>SUM(C16*0%)</f>
        <v>0</v>
      </c>
      <c r="D31" s="2481">
        <f t="shared" si="56"/>
        <v>0</v>
      </c>
      <c r="E31" s="2467">
        <f t="shared" si="64"/>
        <v>0</v>
      </c>
      <c r="F31" s="2467">
        <f t="shared" si="65"/>
        <v>0</v>
      </c>
      <c r="G31" s="2467">
        <f t="shared" si="66"/>
        <v>0</v>
      </c>
      <c r="H31" s="2466">
        <f t="shared" si="67"/>
        <v>0</v>
      </c>
      <c r="I31" s="2483">
        <f t="shared" si="68"/>
        <v>0</v>
      </c>
      <c r="J31" s="2483">
        <f t="shared" si="69"/>
        <v>0</v>
      </c>
      <c r="K31" s="2483">
        <f t="shared" si="70"/>
        <v>0</v>
      </c>
      <c r="L31" s="2466">
        <f t="shared" si="71"/>
        <v>0</v>
      </c>
      <c r="M31" s="2466">
        <f t="shared" si="8"/>
        <v>0</v>
      </c>
      <c r="N31" s="2483">
        <f t="shared" si="72"/>
        <v>0</v>
      </c>
      <c r="O31" s="2483">
        <f t="shared" si="73"/>
        <v>0</v>
      </c>
      <c r="P31" s="2483">
        <f t="shared" si="74"/>
        <v>0</v>
      </c>
      <c r="Q31" s="2466">
        <f t="shared" si="75"/>
        <v>0</v>
      </c>
      <c r="R31" s="2466">
        <f t="shared" si="10"/>
        <v>0</v>
      </c>
      <c r="S31" s="2483">
        <f t="shared" si="76"/>
        <v>0</v>
      </c>
      <c r="T31" s="2483">
        <f t="shared" si="77"/>
        <v>0</v>
      </c>
      <c r="U31" s="2483">
        <f t="shared" si="78"/>
        <v>0</v>
      </c>
      <c r="V31" s="2466">
        <f t="shared" si="79"/>
        <v>0</v>
      </c>
      <c r="W31" s="642">
        <f t="shared" si="12"/>
        <v>0</v>
      </c>
    </row>
    <row r="32" spans="1:23" ht="18.75">
      <c r="A32" s="2479" t="s">
        <v>606</v>
      </c>
      <c r="B32" s="2480">
        <f>SUM(B33:B36)</f>
        <v>458.02558642579993</v>
      </c>
      <c r="C32" s="2480">
        <f>SUM(C33:C36)</f>
        <v>454.88758815004843</v>
      </c>
      <c r="D32" s="2480">
        <f>SUM(D33:D36)</f>
        <v>3.1379982757514711</v>
      </c>
      <c r="E32" s="2482">
        <f t="shared" ref="E32:G32" si="82">SUM(E33:E36)</f>
        <v>68.928290744877614</v>
      </c>
      <c r="F32" s="2482">
        <f t="shared" si="82"/>
        <v>60.13763464591495</v>
      </c>
      <c r="G32" s="2482">
        <f t="shared" si="82"/>
        <v>56.330617430135959</v>
      </c>
      <c r="H32" s="2466">
        <f t="shared" si="6"/>
        <v>185.39654282092852</v>
      </c>
      <c r="I32" s="2482">
        <f t="shared" ref="I32:K32" si="83">SUM(I33:I36)</f>
        <v>43.049415343289276</v>
      </c>
      <c r="J32" s="2482">
        <f t="shared" si="83"/>
        <v>16.170751588472687</v>
      </c>
      <c r="K32" s="2482">
        <f t="shared" si="83"/>
        <v>7.896992869410342</v>
      </c>
      <c r="L32" s="2466">
        <f t="shared" si="7"/>
        <v>67.117159801172306</v>
      </c>
      <c r="M32" s="2466">
        <f t="shared" si="8"/>
        <v>252.51370262210082</v>
      </c>
      <c r="N32" s="2482">
        <f t="shared" ref="N32:P32" si="84">SUM(N33:N36)</f>
        <v>7.896992869410342</v>
      </c>
      <c r="O32" s="2482">
        <f t="shared" si="84"/>
        <v>7.896992869410342</v>
      </c>
      <c r="P32" s="2482">
        <f t="shared" si="84"/>
        <v>23.058681226897015</v>
      </c>
      <c r="Q32" s="2466">
        <f t="shared" si="9"/>
        <v>38.852666965717702</v>
      </c>
      <c r="R32" s="2466">
        <f t="shared" si="10"/>
        <v>291.36636958781855</v>
      </c>
      <c r="S32" s="2482">
        <f t="shared" ref="S32:U32" si="85">SUM(S33:S36)</f>
        <v>45.166382165233657</v>
      </c>
      <c r="T32" s="2482">
        <f t="shared" si="85"/>
        <v>54.761357792446468</v>
      </c>
      <c r="U32" s="2482">
        <f t="shared" si="85"/>
        <v>66.731476880301273</v>
      </c>
      <c r="V32" s="2466">
        <f t="shared" si="11"/>
        <v>166.6592168379814</v>
      </c>
      <c r="W32" s="642">
        <f t="shared" si="12"/>
        <v>458.02558642579993</v>
      </c>
    </row>
    <row r="33" spans="1:23" ht="18.75">
      <c r="A33" s="2484" t="s">
        <v>651</v>
      </c>
      <c r="B33" s="2480">
        <f>SUM(B16*4.6%)</f>
        <v>363.26167199287579</v>
      </c>
      <c r="C33" s="2480">
        <f>SUM(C16*4.6%)</f>
        <v>360.77291473969359</v>
      </c>
      <c r="D33" s="2481">
        <f t="shared" ref="D33:D36" si="86">SUM(B33-C33)</f>
        <v>2.4887572531822002</v>
      </c>
      <c r="E33" s="2467">
        <f>SUM(B33/2094.54)/(1+(104%*100-100)/2/100)*358.94</f>
        <v>61.031297875467267</v>
      </c>
      <c r="F33" s="2467">
        <f>SUM(B33/2094.54)/(1+(104%*100-100)/2/100)*307.24</f>
        <v>52.24064177650461</v>
      </c>
      <c r="G33" s="2467">
        <f>SUM(B33/2094.54)/(1+(104%*100-100)/2/100)*284.85</f>
        <v>48.433624560725619</v>
      </c>
      <c r="H33" s="2466">
        <f t="shared" si="6"/>
        <v>161.70556421269748</v>
      </c>
      <c r="I33" s="2467">
        <f>SUM(B33/2094.54)/(1+(104%*100-100)/2/100)*206.74</f>
        <v>35.152422473878936</v>
      </c>
      <c r="J33" s="2467">
        <f>SUM(B33/2094.54)/(1+(104%*100-100)/2/100)*48.66</f>
        <v>8.2737587190623429</v>
      </c>
      <c r="K33" s="2467">
        <v>0</v>
      </c>
      <c r="L33" s="2466">
        <f t="shared" si="7"/>
        <v>43.426181192941279</v>
      </c>
      <c r="M33" s="2466">
        <f t="shared" si="8"/>
        <v>205.13174540563875</v>
      </c>
      <c r="N33" s="2467">
        <v>0</v>
      </c>
      <c r="O33" s="2467">
        <v>0</v>
      </c>
      <c r="P33" s="2467">
        <f>SUM(B33/2094.54)/(1+(104%*100-100)/2/100)*104%*85.74</f>
        <v>15.161688357486671</v>
      </c>
      <c r="Q33" s="2466">
        <f t="shared" si="9"/>
        <v>15.161688357486671</v>
      </c>
      <c r="R33" s="2466">
        <f t="shared" si="10"/>
        <v>220.29343376312542</v>
      </c>
      <c r="S33" s="2467">
        <f>SUM(B33/2094.54)/(1+(104%*100-100)/2/100)*104%*210.76</f>
        <v>37.269389295823316</v>
      </c>
      <c r="T33" s="2467">
        <f>SUM(B33/2094.54)/(1+(104%*100-100)/2/100)*104%*265.02</f>
        <v>46.864364923036128</v>
      </c>
      <c r="U33" s="2467">
        <f>SUM(B33-R33-S33-T33)</f>
        <v>58.834484010890925</v>
      </c>
      <c r="V33" s="2466">
        <f t="shared" si="11"/>
        <v>142.96823822975037</v>
      </c>
      <c r="W33" s="642">
        <f t="shared" si="12"/>
        <v>363.26167199287585</v>
      </c>
    </row>
    <row r="34" spans="1:23" ht="18.75">
      <c r="A34" s="2484" t="s">
        <v>564</v>
      </c>
      <c r="B34" s="2480">
        <f>SUM(B16*0.74%)</f>
        <v>58.437747233636536</v>
      </c>
      <c r="C34" s="2480">
        <f>SUM(C16*0.74%)</f>
        <v>58.037381936385486</v>
      </c>
      <c r="D34" s="2481">
        <f t="shared" si="86"/>
        <v>0.40036529725104941</v>
      </c>
      <c r="E34" s="2467">
        <f>SUM(B34/12)</f>
        <v>4.869812269469711</v>
      </c>
      <c r="F34" s="2467">
        <f t="shared" ref="F34:F36" si="87">SUM(E34)</f>
        <v>4.869812269469711</v>
      </c>
      <c r="G34" s="2467">
        <f t="shared" ref="G34:G36" si="88">SUM(E34)</f>
        <v>4.869812269469711</v>
      </c>
      <c r="H34" s="2466">
        <f t="shared" ref="H34:H36" si="89">SUM(E34+F34+G34)</f>
        <v>14.609436808409132</v>
      </c>
      <c r="I34" s="2483">
        <f t="shared" ref="I34:I36" si="90">SUM(E34)</f>
        <v>4.869812269469711</v>
      </c>
      <c r="J34" s="2483">
        <f t="shared" ref="J34:J36" si="91">SUM(E34)</f>
        <v>4.869812269469711</v>
      </c>
      <c r="K34" s="2483">
        <f t="shared" ref="K34:K36" si="92">SUM(E34)</f>
        <v>4.869812269469711</v>
      </c>
      <c r="L34" s="2466">
        <f t="shared" ref="L34:L36" si="93">SUM(I34+J34+K34)</f>
        <v>14.609436808409132</v>
      </c>
      <c r="M34" s="2466">
        <f t="shared" si="8"/>
        <v>29.218873616818264</v>
      </c>
      <c r="N34" s="2483">
        <f t="shared" ref="N34:N36" si="94">SUM(E34)</f>
        <v>4.869812269469711</v>
      </c>
      <c r="O34" s="2483">
        <f t="shared" ref="O34:O36" si="95">SUM(E34)</f>
        <v>4.869812269469711</v>
      </c>
      <c r="P34" s="2483">
        <f t="shared" ref="P34:P36" si="96">SUM(E34)</f>
        <v>4.869812269469711</v>
      </c>
      <c r="Q34" s="2466">
        <f t="shared" ref="Q34:Q36" si="97">SUM(N34+O34+P34)</f>
        <v>14.609436808409132</v>
      </c>
      <c r="R34" s="2466">
        <f t="shared" si="10"/>
        <v>43.8283104252274</v>
      </c>
      <c r="S34" s="2483">
        <f t="shared" ref="S34:S36" si="98">SUM(E34)</f>
        <v>4.869812269469711</v>
      </c>
      <c r="T34" s="2483">
        <f t="shared" ref="T34:T36" si="99">SUM(E34)</f>
        <v>4.869812269469711</v>
      </c>
      <c r="U34" s="2483">
        <f t="shared" ref="U34:U36" si="100">SUM(E34)</f>
        <v>4.869812269469711</v>
      </c>
      <c r="V34" s="2466">
        <f t="shared" ref="V34:V36" si="101">SUM(S34+T34+U34)</f>
        <v>14.609436808409132</v>
      </c>
      <c r="W34" s="642">
        <f t="shared" si="12"/>
        <v>58.437747233636536</v>
      </c>
    </row>
    <row r="35" spans="1:23" ht="18.75">
      <c r="A35" s="2484" t="s">
        <v>563</v>
      </c>
      <c r="B35" s="2480">
        <f>SUM(B16*0.11%)</f>
        <v>8.686692156351377</v>
      </c>
      <c r="C35" s="2480">
        <f>SUM(C16*0.11%)</f>
        <v>8.6271783959491941</v>
      </c>
      <c r="D35" s="2481">
        <f t="shared" si="86"/>
        <v>5.9513760402182925E-2</v>
      </c>
      <c r="E35" s="2467">
        <f>SUM(B35/12)</f>
        <v>0.72389101302928138</v>
      </c>
      <c r="F35" s="2467">
        <f t="shared" si="87"/>
        <v>0.72389101302928138</v>
      </c>
      <c r="G35" s="2467">
        <f t="shared" si="88"/>
        <v>0.72389101302928138</v>
      </c>
      <c r="H35" s="2466">
        <f t="shared" si="89"/>
        <v>2.1716730390878443</v>
      </c>
      <c r="I35" s="2483">
        <f t="shared" si="90"/>
        <v>0.72389101302928138</v>
      </c>
      <c r="J35" s="2483">
        <f t="shared" si="91"/>
        <v>0.72389101302928138</v>
      </c>
      <c r="K35" s="2483">
        <f t="shared" si="92"/>
        <v>0.72389101302928138</v>
      </c>
      <c r="L35" s="2466">
        <f t="shared" si="93"/>
        <v>2.1716730390878443</v>
      </c>
      <c r="M35" s="2466">
        <f t="shared" si="8"/>
        <v>4.3433460781756885</v>
      </c>
      <c r="N35" s="2483">
        <f t="shared" si="94"/>
        <v>0.72389101302928138</v>
      </c>
      <c r="O35" s="2483">
        <f t="shared" si="95"/>
        <v>0.72389101302928138</v>
      </c>
      <c r="P35" s="2483">
        <f t="shared" si="96"/>
        <v>0.72389101302928138</v>
      </c>
      <c r="Q35" s="2466">
        <f t="shared" si="97"/>
        <v>2.1716730390878443</v>
      </c>
      <c r="R35" s="2466">
        <f t="shared" si="10"/>
        <v>6.5150191172635328</v>
      </c>
      <c r="S35" s="2483">
        <f t="shared" si="98"/>
        <v>0.72389101302928138</v>
      </c>
      <c r="T35" s="2483">
        <f t="shared" si="99"/>
        <v>0.72389101302928138</v>
      </c>
      <c r="U35" s="2483">
        <f t="shared" si="100"/>
        <v>0.72389101302928138</v>
      </c>
      <c r="V35" s="2466">
        <f t="shared" si="101"/>
        <v>2.1716730390878443</v>
      </c>
      <c r="W35" s="642">
        <f t="shared" si="12"/>
        <v>8.6866921563513788</v>
      </c>
    </row>
    <row r="36" spans="1:23" ht="18.75">
      <c r="A36" s="2484" t="s">
        <v>565</v>
      </c>
      <c r="B36" s="2480">
        <f>SUM(B16*0.35%)</f>
        <v>27.639475042936198</v>
      </c>
      <c r="C36" s="2480">
        <f>SUM(C16*0.35%)</f>
        <v>27.450113078020159</v>
      </c>
      <c r="D36" s="2481">
        <f t="shared" si="86"/>
        <v>0.18936196491603852</v>
      </c>
      <c r="E36" s="2467">
        <f>SUM(B36/12)</f>
        <v>2.3032895869113497</v>
      </c>
      <c r="F36" s="2467">
        <f t="shared" si="87"/>
        <v>2.3032895869113497</v>
      </c>
      <c r="G36" s="2467">
        <f t="shared" si="88"/>
        <v>2.3032895869113497</v>
      </c>
      <c r="H36" s="2466">
        <f t="shared" si="89"/>
        <v>6.9098687607340494</v>
      </c>
      <c r="I36" s="2483">
        <f t="shared" si="90"/>
        <v>2.3032895869113497</v>
      </c>
      <c r="J36" s="2483">
        <f t="shared" si="91"/>
        <v>2.3032895869113497</v>
      </c>
      <c r="K36" s="2483">
        <f t="shared" si="92"/>
        <v>2.3032895869113497</v>
      </c>
      <c r="L36" s="2466">
        <f t="shared" si="93"/>
        <v>6.9098687607340494</v>
      </c>
      <c r="M36" s="2466">
        <f t="shared" si="8"/>
        <v>13.819737521468099</v>
      </c>
      <c r="N36" s="2483">
        <f t="shared" si="94"/>
        <v>2.3032895869113497</v>
      </c>
      <c r="O36" s="2483">
        <f t="shared" si="95"/>
        <v>2.3032895869113497</v>
      </c>
      <c r="P36" s="2483">
        <f t="shared" si="96"/>
        <v>2.3032895869113497</v>
      </c>
      <c r="Q36" s="2466">
        <f t="shared" si="97"/>
        <v>6.9098687607340494</v>
      </c>
      <c r="R36" s="2466">
        <f t="shared" si="10"/>
        <v>20.729606282202148</v>
      </c>
      <c r="S36" s="2483">
        <f t="shared" si="98"/>
        <v>2.3032895869113497</v>
      </c>
      <c r="T36" s="2483">
        <f t="shared" si="99"/>
        <v>2.3032895869113497</v>
      </c>
      <c r="U36" s="2483">
        <f t="shared" si="100"/>
        <v>2.3032895869113497</v>
      </c>
      <c r="V36" s="2466">
        <f t="shared" si="101"/>
        <v>6.9098687607340494</v>
      </c>
      <c r="W36" s="642">
        <f t="shared" si="12"/>
        <v>27.639475042936201</v>
      </c>
    </row>
    <row r="37" spans="1:23" ht="18.75">
      <c r="A37" s="2479" t="s">
        <v>609</v>
      </c>
      <c r="B37" s="2480">
        <f>SUM(B38:B41)</f>
        <v>644.39461814388403</v>
      </c>
      <c r="C37" s="2480">
        <f t="shared" ref="C37:D37" si="102">SUM(C38:C41)</f>
        <v>639.97977919041296</v>
      </c>
      <c r="D37" s="2480">
        <f t="shared" si="102"/>
        <v>4.414838953471012</v>
      </c>
      <c r="E37" s="2482">
        <f t="shared" ref="E37:G37" si="103">SUM(E38:E41)</f>
        <v>52.196437889226772</v>
      </c>
      <c r="F37" s="2482">
        <f t="shared" si="103"/>
        <v>52.196437889226772</v>
      </c>
      <c r="G37" s="2482">
        <f t="shared" si="103"/>
        <v>52.196437889226772</v>
      </c>
      <c r="H37" s="2466">
        <f t="shared" si="6"/>
        <v>156.5893136676803</v>
      </c>
      <c r="I37" s="2482">
        <f t="shared" ref="I37:K37" si="104">SUM(I38:I41)</f>
        <v>52.328633549860704</v>
      </c>
      <c r="J37" s="2482">
        <f t="shared" si="104"/>
        <v>54.517206153689088</v>
      </c>
      <c r="K37" s="2482">
        <f t="shared" si="104"/>
        <v>56.426699029512505</v>
      </c>
      <c r="L37" s="2466">
        <f t="shared" si="7"/>
        <v>163.27253873306228</v>
      </c>
      <c r="M37" s="2466">
        <f t="shared" si="8"/>
        <v>319.86185240074258</v>
      </c>
      <c r="N37" s="2482">
        <f t="shared" ref="N37:P37" si="105">SUM(N38:N41)</f>
        <v>56.999546892259531</v>
      </c>
      <c r="O37" s="2482">
        <f t="shared" si="105"/>
        <v>56.426699029512505</v>
      </c>
      <c r="P37" s="2482">
        <f t="shared" si="105"/>
        <v>54.517206153689088</v>
      </c>
      <c r="Q37" s="2466">
        <f t="shared" si="9"/>
        <v>167.94345207546112</v>
      </c>
      <c r="R37" s="2466">
        <f t="shared" si="10"/>
        <v>487.80530447620367</v>
      </c>
      <c r="S37" s="2482">
        <f t="shared" ref="S37:U37" si="106">SUM(S38:S41)</f>
        <v>52.196437889226772</v>
      </c>
      <c r="T37" s="2482">
        <f t="shared" si="106"/>
        <v>52.196437889226772</v>
      </c>
      <c r="U37" s="2482">
        <f t="shared" si="106"/>
        <v>52.196437889226772</v>
      </c>
      <c r="V37" s="2466">
        <f t="shared" si="11"/>
        <v>156.5893136676803</v>
      </c>
      <c r="W37" s="642">
        <f t="shared" si="12"/>
        <v>644.39461814388403</v>
      </c>
    </row>
    <row r="38" spans="1:23" ht="18.75">
      <c r="A38" s="2484" t="s">
        <v>551</v>
      </c>
      <c r="B38" s="2480">
        <f>SUM(B16*1.86%)</f>
        <v>146.88406737103239</v>
      </c>
      <c r="C38" s="2480">
        <f>SUM(C16*1.86%)</f>
        <v>145.87774378605002</v>
      </c>
      <c r="D38" s="2481">
        <f t="shared" ref="D38:D41" si="107">SUM(B38-C38)</f>
        <v>1.0063235849823684</v>
      </c>
      <c r="E38" s="2467">
        <f>SUM(B38*7.31%)</f>
        <v>10.737225324822468</v>
      </c>
      <c r="F38" s="2467">
        <f>SUM(B38*7.31%)</f>
        <v>10.737225324822468</v>
      </c>
      <c r="G38" s="2467">
        <f>SUM(B38*7.31%)</f>
        <v>10.737225324822468</v>
      </c>
      <c r="H38" s="2466">
        <f t="shared" ref="H38:H41" si="108">SUM(E38+F38+G38)</f>
        <v>32.211675974467404</v>
      </c>
      <c r="I38" s="2467">
        <f>SUM(B38*7.4%)</f>
        <v>10.869420985456399</v>
      </c>
      <c r="J38" s="2467">
        <f>SUM(B38*8.89%)</f>
        <v>13.057993589284781</v>
      </c>
      <c r="K38" s="2467">
        <f>SUM(B38*10.19%)</f>
        <v>14.967486465108198</v>
      </c>
      <c r="L38" s="2466">
        <f t="shared" ref="L38:L41" si="109">SUM(I38+J38+K38)</f>
        <v>38.894901039849373</v>
      </c>
      <c r="M38" s="2466">
        <f t="shared" si="8"/>
        <v>71.10657701431677</v>
      </c>
      <c r="N38" s="2467">
        <f>SUM(B38*10.58%)</f>
        <v>15.540334327855227</v>
      </c>
      <c r="O38" s="2467">
        <f>SUM(B38*10.19%)</f>
        <v>14.967486465108198</v>
      </c>
      <c r="P38" s="2467">
        <f>SUM(B38*8.89%)</f>
        <v>13.057993589284781</v>
      </c>
      <c r="Q38" s="2466">
        <f t="shared" ref="Q38:Q41" si="110">SUM(N38+O38+P38)</f>
        <v>43.565814382248206</v>
      </c>
      <c r="R38" s="2466">
        <f t="shared" si="10"/>
        <v>114.67239139656498</v>
      </c>
      <c r="S38" s="2467">
        <f>SUM(B38*7.31%)</f>
        <v>10.737225324822468</v>
      </c>
      <c r="T38" s="2467">
        <f>SUM(B38*7.31%)</f>
        <v>10.737225324822468</v>
      </c>
      <c r="U38" s="2467">
        <f>SUM(B38*7.31%)</f>
        <v>10.737225324822468</v>
      </c>
      <c r="V38" s="2466">
        <f t="shared" ref="V38:V41" si="111">SUM(S38+T38+U38)</f>
        <v>32.211675974467404</v>
      </c>
      <c r="W38" s="642">
        <f t="shared" si="12"/>
        <v>146.88406737103242</v>
      </c>
    </row>
    <row r="39" spans="1:23" ht="18.75">
      <c r="A39" s="2484" t="s">
        <v>643</v>
      </c>
      <c r="B39" s="2480">
        <f>SUM(B16*5.58%)</f>
        <v>440.65220211309713</v>
      </c>
      <c r="C39" s="2480">
        <f>SUM(C16*5.58%)</f>
        <v>437.63323135815006</v>
      </c>
      <c r="D39" s="2481">
        <f t="shared" si="107"/>
        <v>3.0189707549470768</v>
      </c>
      <c r="E39" s="2467">
        <f>SUM(B39/12)</f>
        <v>36.721016842758097</v>
      </c>
      <c r="F39" s="2467">
        <f t="shared" ref="F39:F41" si="112">SUM(E39)</f>
        <v>36.721016842758097</v>
      </c>
      <c r="G39" s="2467">
        <f t="shared" ref="G39:G41" si="113">SUM(E39)</f>
        <v>36.721016842758097</v>
      </c>
      <c r="H39" s="2466">
        <f t="shared" si="108"/>
        <v>110.16305052827428</v>
      </c>
      <c r="I39" s="2483">
        <f t="shared" ref="I39:I41" si="114">SUM(E39)</f>
        <v>36.721016842758097</v>
      </c>
      <c r="J39" s="2483">
        <f t="shared" ref="J39:J41" si="115">SUM(E39)</f>
        <v>36.721016842758097</v>
      </c>
      <c r="K39" s="2483">
        <f t="shared" ref="K39:K41" si="116">SUM(E39)</f>
        <v>36.721016842758097</v>
      </c>
      <c r="L39" s="2466">
        <f t="shared" si="109"/>
        <v>110.16305052827428</v>
      </c>
      <c r="M39" s="2466">
        <f t="shared" si="8"/>
        <v>220.32610105654857</v>
      </c>
      <c r="N39" s="2483">
        <f t="shared" ref="N39:N41" si="117">SUM(E39)</f>
        <v>36.721016842758097</v>
      </c>
      <c r="O39" s="2483">
        <f t="shared" ref="O39:O41" si="118">SUM(E39)</f>
        <v>36.721016842758097</v>
      </c>
      <c r="P39" s="2483">
        <f t="shared" ref="P39:P41" si="119">SUM(E39)</f>
        <v>36.721016842758097</v>
      </c>
      <c r="Q39" s="2466">
        <f t="shared" si="110"/>
        <v>110.16305052827428</v>
      </c>
      <c r="R39" s="2466">
        <f t="shared" si="10"/>
        <v>330.48915158482282</v>
      </c>
      <c r="S39" s="2483">
        <f t="shared" ref="S39:S41" si="120">SUM(E39)</f>
        <v>36.721016842758097</v>
      </c>
      <c r="T39" s="2483">
        <f t="shared" ref="T39:T41" si="121">SUM(E39)</f>
        <v>36.721016842758097</v>
      </c>
      <c r="U39" s="2483">
        <f t="shared" ref="U39:U41" si="122">SUM(E39)</f>
        <v>36.721016842758097</v>
      </c>
      <c r="V39" s="2466">
        <f t="shared" si="111"/>
        <v>110.16305052827428</v>
      </c>
      <c r="W39" s="642">
        <f t="shared" si="12"/>
        <v>440.65220211309719</v>
      </c>
    </row>
    <row r="40" spans="1:23" ht="18.75">
      <c r="A40" s="2484" t="s">
        <v>559</v>
      </c>
      <c r="B40" s="2480">
        <f>SUM(B16*0.72%)</f>
        <v>56.858348659754469</v>
      </c>
      <c r="C40" s="2480">
        <f>SUM(C16*0.72%)</f>
        <v>56.468804046212902</v>
      </c>
      <c r="D40" s="2481">
        <f t="shared" si="107"/>
        <v>0.38954461354156678</v>
      </c>
      <c r="E40" s="2467">
        <f>SUM(B40/12)</f>
        <v>4.7381957216462061</v>
      </c>
      <c r="F40" s="2467">
        <f t="shared" si="112"/>
        <v>4.7381957216462061</v>
      </c>
      <c r="G40" s="2467">
        <f t="shared" si="113"/>
        <v>4.7381957216462061</v>
      </c>
      <c r="H40" s="2466">
        <f t="shared" si="108"/>
        <v>14.214587164938617</v>
      </c>
      <c r="I40" s="2483">
        <f t="shared" si="114"/>
        <v>4.7381957216462061</v>
      </c>
      <c r="J40" s="2483">
        <f t="shared" si="115"/>
        <v>4.7381957216462061</v>
      </c>
      <c r="K40" s="2483">
        <f t="shared" si="116"/>
        <v>4.7381957216462061</v>
      </c>
      <c r="L40" s="2466">
        <f t="shared" si="109"/>
        <v>14.214587164938617</v>
      </c>
      <c r="M40" s="2466">
        <f t="shared" si="8"/>
        <v>28.429174329877235</v>
      </c>
      <c r="N40" s="2483">
        <f t="shared" si="117"/>
        <v>4.7381957216462061</v>
      </c>
      <c r="O40" s="2483">
        <f t="shared" si="118"/>
        <v>4.7381957216462061</v>
      </c>
      <c r="P40" s="2483">
        <f t="shared" si="119"/>
        <v>4.7381957216462061</v>
      </c>
      <c r="Q40" s="2466">
        <f t="shared" si="110"/>
        <v>14.214587164938617</v>
      </c>
      <c r="R40" s="2466">
        <f t="shared" si="10"/>
        <v>42.643761494815848</v>
      </c>
      <c r="S40" s="2483">
        <f t="shared" si="120"/>
        <v>4.7381957216462061</v>
      </c>
      <c r="T40" s="2483">
        <f t="shared" si="121"/>
        <v>4.7381957216462061</v>
      </c>
      <c r="U40" s="2483">
        <f t="shared" si="122"/>
        <v>4.7381957216462061</v>
      </c>
      <c r="V40" s="2466">
        <f t="shared" si="111"/>
        <v>14.214587164938617</v>
      </c>
      <c r="W40" s="642">
        <f t="shared" si="12"/>
        <v>56.858348659754476</v>
      </c>
    </row>
    <row r="41" spans="1:23" ht="18.75">
      <c r="A41" s="2484" t="s">
        <v>613</v>
      </c>
      <c r="B41" s="2480">
        <f>SUM(B16*0%)</f>
        <v>0</v>
      </c>
      <c r="C41" s="2480">
        <f>SUM(C16*0%)</f>
        <v>0</v>
      </c>
      <c r="D41" s="2481">
        <f t="shared" si="107"/>
        <v>0</v>
      </c>
      <c r="E41" s="2467">
        <f>SUM(B41/12)</f>
        <v>0</v>
      </c>
      <c r="F41" s="2467">
        <f t="shared" si="112"/>
        <v>0</v>
      </c>
      <c r="G41" s="2467">
        <f t="shared" si="113"/>
        <v>0</v>
      </c>
      <c r="H41" s="2466">
        <f t="shared" si="108"/>
        <v>0</v>
      </c>
      <c r="I41" s="2483">
        <f t="shared" si="114"/>
        <v>0</v>
      </c>
      <c r="J41" s="2483">
        <f t="shared" si="115"/>
        <v>0</v>
      </c>
      <c r="K41" s="2483">
        <f t="shared" si="116"/>
        <v>0</v>
      </c>
      <c r="L41" s="2466">
        <f t="shared" si="109"/>
        <v>0</v>
      </c>
      <c r="M41" s="2466">
        <f t="shared" si="8"/>
        <v>0</v>
      </c>
      <c r="N41" s="2483">
        <f t="shared" si="117"/>
        <v>0</v>
      </c>
      <c r="O41" s="2483">
        <f t="shared" si="118"/>
        <v>0</v>
      </c>
      <c r="P41" s="2483">
        <f t="shared" si="119"/>
        <v>0</v>
      </c>
      <c r="Q41" s="2466">
        <f t="shared" si="110"/>
        <v>0</v>
      </c>
      <c r="R41" s="2466">
        <f t="shared" si="10"/>
        <v>0</v>
      </c>
      <c r="S41" s="2483">
        <f t="shared" si="120"/>
        <v>0</v>
      </c>
      <c r="T41" s="2483">
        <f t="shared" si="121"/>
        <v>0</v>
      </c>
      <c r="U41" s="2483">
        <f t="shared" si="122"/>
        <v>0</v>
      </c>
      <c r="V41" s="2466">
        <f t="shared" si="111"/>
        <v>0</v>
      </c>
      <c r="W41" s="642">
        <f t="shared" si="12"/>
        <v>0</v>
      </c>
    </row>
    <row r="42" spans="1:23" ht="18.75">
      <c r="A42" s="2485" t="s">
        <v>621</v>
      </c>
      <c r="B42" s="2475">
        <f>SUM('цех стоки'!AX49)</f>
        <v>1055.1207812454436</v>
      </c>
      <c r="C42" s="2475">
        <f>SUM(стоки!CN33)</f>
        <v>1055.1207812454436</v>
      </c>
      <c r="D42" s="2476">
        <f>SUM(стоки!CO41)</f>
        <v>0</v>
      </c>
      <c r="E42" s="2477">
        <f>SUM(E43+E44+E45+E46+E47+E48+E49+E50+E51+E53)</f>
        <v>87.926731770453628</v>
      </c>
      <c r="F42" s="2477">
        <f t="shared" ref="F42:G42" si="123">SUM(F43+F44+F45+F46+F47+F48+F49+F50+F51+F53)</f>
        <v>87.926731770453628</v>
      </c>
      <c r="G42" s="2477">
        <f t="shared" si="123"/>
        <v>87.926731770453628</v>
      </c>
      <c r="H42" s="2478">
        <f t="shared" si="6"/>
        <v>263.7801953113609</v>
      </c>
      <c r="I42" s="2477">
        <f>SUM(I43+I44+I45+I46+I47+I48+I49+I50+I51+I53)</f>
        <v>87.926731770453628</v>
      </c>
      <c r="J42" s="2477">
        <f t="shared" ref="J42" si="124">SUM(J43+J44+J45+J46+J47+J48+J49+J50+J51+J53)</f>
        <v>87.926731770453628</v>
      </c>
      <c r="K42" s="2477">
        <f t="shared" ref="K42" si="125">SUM(K43+K44+K45+K46+K47+K48+K49+K50+K51+K53)</f>
        <v>87.926731770453628</v>
      </c>
      <c r="L42" s="2478">
        <f t="shared" si="7"/>
        <v>263.7801953113609</v>
      </c>
      <c r="M42" s="2478">
        <f t="shared" si="8"/>
        <v>527.5603906227218</v>
      </c>
      <c r="N42" s="2477">
        <f>SUM(N43+N44+N45+N46+N47+N48+N49+N50+N51+N53)</f>
        <v>87.926731770453628</v>
      </c>
      <c r="O42" s="2477">
        <f t="shared" ref="O42" si="126">SUM(O43+O44+O45+O46+O47+O48+O49+O50+O51+O53)</f>
        <v>87.926731770453628</v>
      </c>
      <c r="P42" s="2477">
        <f t="shared" ref="P42" si="127">SUM(P43+P44+P45+P46+P47+P48+P49+P50+P51+P53)</f>
        <v>87.926731770453628</v>
      </c>
      <c r="Q42" s="2478">
        <f t="shared" si="9"/>
        <v>263.7801953113609</v>
      </c>
      <c r="R42" s="2478">
        <f t="shared" si="10"/>
        <v>791.3405859340827</v>
      </c>
      <c r="S42" s="2477">
        <f>SUM(S43+S44+S45+S46+S47+S48+S49+S50+S51+S53)</f>
        <v>87.926731770453628</v>
      </c>
      <c r="T42" s="2477">
        <f t="shared" ref="T42" si="128">SUM(T43+T44+T45+T46+T47+T48+T49+T50+T51+T53)</f>
        <v>87.926731770453628</v>
      </c>
      <c r="U42" s="2477">
        <f t="shared" ref="U42" si="129">SUM(U43+U44+U45+U46+U47+U48+U49+U50+U51+U53)</f>
        <v>87.926731770453628</v>
      </c>
      <c r="V42" s="2478">
        <f t="shared" si="11"/>
        <v>263.7801953113609</v>
      </c>
      <c r="W42" s="642">
        <f t="shared" si="12"/>
        <v>1055.1207812454438</v>
      </c>
    </row>
    <row r="43" spans="1:23" ht="18.75">
      <c r="A43" s="2479" t="s">
        <v>72</v>
      </c>
      <c r="B43" s="2480">
        <f>SUM(B42*0%)</f>
        <v>0</v>
      </c>
      <c r="C43" s="2480">
        <f>SUM(C42*0%)</f>
        <v>0</v>
      </c>
      <c r="D43" s="2481">
        <f t="shared" ref="D43:D50" si="130">SUM(B43-C43)</f>
        <v>0</v>
      </c>
      <c r="E43" s="2467">
        <f>SUM(B43/2)/(1+(107.4%*100-100)/2/100)/6</f>
        <v>0</v>
      </c>
      <c r="F43" s="2482">
        <f>SUM(E43)</f>
        <v>0</v>
      </c>
      <c r="G43" s="2467">
        <f>SUM(E43)</f>
        <v>0</v>
      </c>
      <c r="H43" s="2466">
        <f>SUM(E43+F43+G43)</f>
        <v>0</v>
      </c>
      <c r="I43" s="2483">
        <f>SUM(E43)</f>
        <v>0</v>
      </c>
      <c r="J43" s="2483">
        <f>SUM(E43)</f>
        <v>0</v>
      </c>
      <c r="K43" s="2483">
        <f>SUM(E43)</f>
        <v>0</v>
      </c>
      <c r="L43" s="2466">
        <f>SUM(I43+J43+K43)</f>
        <v>0</v>
      </c>
      <c r="M43" s="2466">
        <f>SUM(H43+L43)</f>
        <v>0</v>
      </c>
      <c r="N43" s="2483">
        <f>SUM(B43-M43)/6</f>
        <v>0</v>
      </c>
      <c r="O43" s="2483">
        <f>SUM(N43)</f>
        <v>0</v>
      </c>
      <c r="P43" s="2483">
        <f>SUM(N43)</f>
        <v>0</v>
      </c>
      <c r="Q43" s="2466">
        <f>SUM(N43+O43+P43)</f>
        <v>0</v>
      </c>
      <c r="R43" s="2466">
        <f>SUM(M43+Q43)</f>
        <v>0</v>
      </c>
      <c r="S43" s="2483">
        <f>SUM(N43)</f>
        <v>0</v>
      </c>
      <c r="T43" s="2483">
        <f>SUM(N43)</f>
        <v>0</v>
      </c>
      <c r="U43" s="2483">
        <f>SUM(N43)</f>
        <v>0</v>
      </c>
      <c r="V43" s="2466">
        <f>SUM(S43+T43+U43)</f>
        <v>0</v>
      </c>
      <c r="W43" s="642">
        <f>SUM(U43+T43+S43+P43+O43+N43+K43+J43+I43+G43+F43+E43)</f>
        <v>0</v>
      </c>
    </row>
    <row r="44" spans="1:23" ht="18.75">
      <c r="A44" s="2479" t="s">
        <v>121</v>
      </c>
      <c r="B44" s="2480">
        <f>SUM(B42*0%)</f>
        <v>0</v>
      </c>
      <c r="C44" s="2480">
        <f>SUM(C42*0%)</f>
        <v>0</v>
      </c>
      <c r="D44" s="2481">
        <f t="shared" si="130"/>
        <v>0</v>
      </c>
      <c r="E44" s="2467">
        <v>0</v>
      </c>
      <c r="F44" s="2467">
        <f>SUM(E44)</f>
        <v>0</v>
      </c>
      <c r="G44" s="2482">
        <f>SUM(E44)</f>
        <v>0</v>
      </c>
      <c r="H44" s="2466">
        <f t="shared" ref="H44:H50" si="131">SUM(E44+F44+G44)</f>
        <v>0</v>
      </c>
      <c r="I44" s="2483">
        <f>SUM(E44)</f>
        <v>0</v>
      </c>
      <c r="J44" s="2483">
        <f>SUM(E44)</f>
        <v>0</v>
      </c>
      <c r="K44" s="2483">
        <f>SUM(E44)</f>
        <v>0</v>
      </c>
      <c r="L44" s="2466">
        <f t="shared" ref="L44:L50" si="132">SUM(I44+J44+K44)</f>
        <v>0</v>
      </c>
      <c r="M44" s="2466">
        <f t="shared" ref="M44:M50" si="133">SUM(H44+L44)</f>
        <v>0</v>
      </c>
      <c r="N44" s="2483">
        <f>SUM(B44-M44)/6</f>
        <v>0</v>
      </c>
      <c r="O44" s="2483">
        <f>SUM(N44)</f>
        <v>0</v>
      </c>
      <c r="P44" s="2483">
        <f>SUM(N44)</f>
        <v>0</v>
      </c>
      <c r="Q44" s="2466">
        <f t="shared" ref="Q44:Q50" si="134">SUM(N44+O44+P44)</f>
        <v>0</v>
      </c>
      <c r="R44" s="2466">
        <f t="shared" ref="R44:R50" si="135">SUM(M44+Q44)</f>
        <v>0</v>
      </c>
      <c r="S44" s="2483">
        <f>SUM(N44)</f>
        <v>0</v>
      </c>
      <c r="T44" s="2483">
        <f>SUM(N44)</f>
        <v>0</v>
      </c>
      <c r="U44" s="2483">
        <f>SUM(N44)</f>
        <v>0</v>
      </c>
      <c r="V44" s="2466">
        <f t="shared" ref="V44:V50" si="136">SUM(S44+T44+U44)</f>
        <v>0</v>
      </c>
      <c r="W44" s="642">
        <f t="shared" ref="W44:W45" si="137">SUM(U44+T44+S44+P44+O44+N44+K44+J44+I44+G44+F44+E44)</f>
        <v>0</v>
      </c>
    </row>
    <row r="45" spans="1:23" ht="18.75">
      <c r="A45" s="2479" t="s">
        <v>52</v>
      </c>
      <c r="B45" s="2480">
        <f>SUM(B42*0.39%)</f>
        <v>4.1149710468572307</v>
      </c>
      <c r="C45" s="2480">
        <f>SUM(C42*0.39%)</f>
        <v>4.1149710468572307</v>
      </c>
      <c r="D45" s="2481">
        <f t="shared" si="130"/>
        <v>0</v>
      </c>
      <c r="E45" s="2467">
        <f t="shared" ref="E45:E50" si="138">SUM(B45/12)</f>
        <v>0.34291425390476921</v>
      </c>
      <c r="F45" s="2467">
        <f>SUM(E45)</f>
        <v>0.34291425390476921</v>
      </c>
      <c r="G45" s="2482">
        <f>SUM(E45)</f>
        <v>0.34291425390476921</v>
      </c>
      <c r="H45" s="2466">
        <f t="shared" si="131"/>
        <v>1.0287427617143077</v>
      </c>
      <c r="I45" s="2483">
        <f>SUM(E45)</f>
        <v>0.34291425390476921</v>
      </c>
      <c r="J45" s="2483">
        <f>SUM(E45)</f>
        <v>0.34291425390476921</v>
      </c>
      <c r="K45" s="2483">
        <f>SUM(E45)</f>
        <v>0.34291425390476921</v>
      </c>
      <c r="L45" s="2466">
        <f t="shared" si="132"/>
        <v>1.0287427617143077</v>
      </c>
      <c r="M45" s="2466">
        <f t="shared" si="133"/>
        <v>2.0574855234286153</v>
      </c>
      <c r="N45" s="2483">
        <f>SUM(B45-M45)/6</f>
        <v>0.34291425390476921</v>
      </c>
      <c r="O45" s="2483">
        <f>SUM(N45)</f>
        <v>0.34291425390476921</v>
      </c>
      <c r="P45" s="2483">
        <f>SUM(N45)</f>
        <v>0.34291425390476921</v>
      </c>
      <c r="Q45" s="2466">
        <f t="shared" si="134"/>
        <v>1.0287427617143077</v>
      </c>
      <c r="R45" s="2466">
        <f t="shared" si="135"/>
        <v>3.0862282851429228</v>
      </c>
      <c r="S45" s="2483">
        <f>SUM(N45)</f>
        <v>0.34291425390476921</v>
      </c>
      <c r="T45" s="2483">
        <f>SUM(N45)</f>
        <v>0.34291425390476921</v>
      </c>
      <c r="U45" s="2483">
        <f>SUM(N45)</f>
        <v>0.34291425390476921</v>
      </c>
      <c r="V45" s="2466">
        <f t="shared" si="136"/>
        <v>1.0287427617143077</v>
      </c>
      <c r="W45" s="642">
        <f t="shared" si="137"/>
        <v>4.1149710468572307</v>
      </c>
    </row>
    <row r="46" spans="1:23" ht="18.75">
      <c r="A46" s="2479" t="s">
        <v>603</v>
      </c>
      <c r="B46" s="2480">
        <f>SUM(B42*83.2%)</f>
        <v>877.86048999620914</v>
      </c>
      <c r="C46" s="2480">
        <f>SUM(C42*83.2%)</f>
        <v>877.86048999620914</v>
      </c>
      <c r="D46" s="2481">
        <f t="shared" si="130"/>
        <v>0</v>
      </c>
      <c r="E46" s="2467">
        <f t="shared" si="138"/>
        <v>73.155040833017424</v>
      </c>
      <c r="F46" s="2467">
        <f t="shared" ref="F46:F50" si="139">SUM(E46)</f>
        <v>73.155040833017424</v>
      </c>
      <c r="G46" s="2467">
        <f t="shared" ref="G46:G50" si="140">SUM(E46)</f>
        <v>73.155040833017424</v>
      </c>
      <c r="H46" s="2466">
        <f t="shared" si="131"/>
        <v>219.46512249905226</v>
      </c>
      <c r="I46" s="2483">
        <f t="shared" ref="I46:I50" si="141">SUM(E46)</f>
        <v>73.155040833017424</v>
      </c>
      <c r="J46" s="2483">
        <f t="shared" ref="J46:J50" si="142">SUM(E46)</f>
        <v>73.155040833017424</v>
      </c>
      <c r="K46" s="2483">
        <f t="shared" ref="K46:K50" si="143">SUM(E46)</f>
        <v>73.155040833017424</v>
      </c>
      <c r="L46" s="2466">
        <f t="shared" si="132"/>
        <v>219.46512249905226</v>
      </c>
      <c r="M46" s="2466">
        <f t="shared" si="133"/>
        <v>438.93024499810451</v>
      </c>
      <c r="N46" s="2483">
        <f t="shared" ref="N46:N50" si="144">SUM(E46)</f>
        <v>73.155040833017424</v>
      </c>
      <c r="O46" s="2483">
        <f t="shared" ref="O46:O50" si="145">SUM(E46)</f>
        <v>73.155040833017424</v>
      </c>
      <c r="P46" s="2483">
        <f t="shared" ref="P46:P50" si="146">SUM(E46)</f>
        <v>73.155040833017424</v>
      </c>
      <c r="Q46" s="2466">
        <f t="shared" si="134"/>
        <v>219.46512249905226</v>
      </c>
      <c r="R46" s="2466">
        <f t="shared" si="135"/>
        <v>658.39536749715671</v>
      </c>
      <c r="S46" s="2483">
        <f t="shared" ref="S46:S50" si="147">SUM(E46)</f>
        <v>73.155040833017424</v>
      </c>
      <c r="T46" s="2483">
        <f t="shared" ref="T46:T50" si="148">SUM(E46)</f>
        <v>73.155040833017424</v>
      </c>
      <c r="U46" s="2483">
        <f t="shared" ref="U46:U50" si="149">SUM(E46)</f>
        <v>73.155040833017424</v>
      </c>
      <c r="V46" s="2466">
        <f t="shared" si="136"/>
        <v>219.46512249905226</v>
      </c>
      <c r="W46" s="642">
        <f t="shared" si="12"/>
        <v>877.86048999620914</v>
      </c>
    </row>
    <row r="47" spans="1:23" ht="18.75">
      <c r="A47" s="2479" t="s">
        <v>605</v>
      </c>
      <c r="B47" s="2480">
        <f>SUM(B42*6.51%)</f>
        <v>68.688362859078367</v>
      </c>
      <c r="C47" s="2480">
        <f>SUM(C42*6.51%)</f>
        <v>68.688362859078367</v>
      </c>
      <c r="D47" s="2481">
        <f t="shared" si="130"/>
        <v>0</v>
      </c>
      <c r="E47" s="2467">
        <f t="shared" si="138"/>
        <v>5.7240302382565309</v>
      </c>
      <c r="F47" s="2467">
        <f t="shared" si="139"/>
        <v>5.7240302382565309</v>
      </c>
      <c r="G47" s="2467">
        <f t="shared" si="140"/>
        <v>5.7240302382565309</v>
      </c>
      <c r="H47" s="2466">
        <f t="shared" si="131"/>
        <v>17.172090714769592</v>
      </c>
      <c r="I47" s="2483">
        <f t="shared" si="141"/>
        <v>5.7240302382565309</v>
      </c>
      <c r="J47" s="2483">
        <f t="shared" si="142"/>
        <v>5.7240302382565309</v>
      </c>
      <c r="K47" s="2483">
        <f t="shared" si="143"/>
        <v>5.7240302382565309</v>
      </c>
      <c r="L47" s="2466">
        <f t="shared" si="132"/>
        <v>17.172090714769592</v>
      </c>
      <c r="M47" s="2466">
        <f t="shared" si="133"/>
        <v>34.344181429539184</v>
      </c>
      <c r="N47" s="2483">
        <f t="shared" si="144"/>
        <v>5.7240302382565309</v>
      </c>
      <c r="O47" s="2483">
        <f t="shared" si="145"/>
        <v>5.7240302382565309</v>
      </c>
      <c r="P47" s="2483">
        <f t="shared" si="146"/>
        <v>5.7240302382565309</v>
      </c>
      <c r="Q47" s="2466">
        <f t="shared" si="134"/>
        <v>17.172090714769592</v>
      </c>
      <c r="R47" s="2466">
        <f t="shared" si="135"/>
        <v>51.516272144308772</v>
      </c>
      <c r="S47" s="2483">
        <f t="shared" si="147"/>
        <v>5.7240302382565309</v>
      </c>
      <c r="T47" s="2483">
        <f t="shared" si="148"/>
        <v>5.7240302382565309</v>
      </c>
      <c r="U47" s="2483">
        <f t="shared" si="149"/>
        <v>5.7240302382565309</v>
      </c>
      <c r="V47" s="2466">
        <f t="shared" si="136"/>
        <v>17.172090714769592</v>
      </c>
      <c r="W47" s="642">
        <f t="shared" si="12"/>
        <v>68.688362859078367</v>
      </c>
    </row>
    <row r="48" spans="1:23" ht="18.75">
      <c r="A48" s="2479" t="s">
        <v>604</v>
      </c>
      <c r="B48" s="2480">
        <f>SUM(B42*3.49%)</f>
        <v>36.823715265465985</v>
      </c>
      <c r="C48" s="2480">
        <f>SUM(C42*3.49%)</f>
        <v>36.823715265465985</v>
      </c>
      <c r="D48" s="2481">
        <f t="shared" si="130"/>
        <v>0</v>
      </c>
      <c r="E48" s="2467">
        <f t="shared" si="138"/>
        <v>3.0686429387888321</v>
      </c>
      <c r="F48" s="2467">
        <f t="shared" si="139"/>
        <v>3.0686429387888321</v>
      </c>
      <c r="G48" s="2467">
        <f t="shared" si="140"/>
        <v>3.0686429387888321</v>
      </c>
      <c r="H48" s="2466">
        <f t="shared" si="131"/>
        <v>9.2059288163664963</v>
      </c>
      <c r="I48" s="2483">
        <f t="shared" si="141"/>
        <v>3.0686429387888321</v>
      </c>
      <c r="J48" s="2483">
        <f t="shared" si="142"/>
        <v>3.0686429387888321</v>
      </c>
      <c r="K48" s="2483">
        <f t="shared" si="143"/>
        <v>3.0686429387888321</v>
      </c>
      <c r="L48" s="2466">
        <f t="shared" si="132"/>
        <v>9.2059288163664963</v>
      </c>
      <c r="M48" s="2466">
        <f t="shared" si="133"/>
        <v>18.411857632732993</v>
      </c>
      <c r="N48" s="2483">
        <f t="shared" si="144"/>
        <v>3.0686429387888321</v>
      </c>
      <c r="O48" s="2483">
        <f t="shared" si="145"/>
        <v>3.0686429387888321</v>
      </c>
      <c r="P48" s="2483">
        <f t="shared" si="146"/>
        <v>3.0686429387888321</v>
      </c>
      <c r="Q48" s="2466">
        <f t="shared" si="134"/>
        <v>9.2059288163664963</v>
      </c>
      <c r="R48" s="2466">
        <f t="shared" si="135"/>
        <v>27.617786449099491</v>
      </c>
      <c r="S48" s="2483">
        <f t="shared" si="147"/>
        <v>3.0686429387888321</v>
      </c>
      <c r="T48" s="2483">
        <f t="shared" si="148"/>
        <v>3.0686429387888321</v>
      </c>
      <c r="U48" s="2483">
        <f t="shared" si="149"/>
        <v>3.0686429387888321</v>
      </c>
      <c r="V48" s="2466">
        <f t="shared" si="136"/>
        <v>9.2059288163664963</v>
      </c>
      <c r="W48" s="642">
        <f t="shared" si="12"/>
        <v>36.823715265465992</v>
      </c>
    </row>
    <row r="49" spans="1:23" ht="18.75">
      <c r="A49" s="2479" t="s">
        <v>614</v>
      </c>
      <c r="B49" s="2480">
        <f>SUM(B42*0.54%)</f>
        <v>5.6976522187253957</v>
      </c>
      <c r="C49" s="2480">
        <f>SUM(C42*0.54%)</f>
        <v>5.6976522187253957</v>
      </c>
      <c r="D49" s="2481">
        <f t="shared" si="130"/>
        <v>0</v>
      </c>
      <c r="E49" s="2467">
        <f t="shared" si="138"/>
        <v>0.47480435156044964</v>
      </c>
      <c r="F49" s="2467">
        <f t="shared" si="139"/>
        <v>0.47480435156044964</v>
      </c>
      <c r="G49" s="2467">
        <f t="shared" si="140"/>
        <v>0.47480435156044964</v>
      </c>
      <c r="H49" s="2466">
        <f t="shared" si="131"/>
        <v>1.4244130546813489</v>
      </c>
      <c r="I49" s="2483">
        <f t="shared" si="141"/>
        <v>0.47480435156044964</v>
      </c>
      <c r="J49" s="2483">
        <f t="shared" si="142"/>
        <v>0.47480435156044964</v>
      </c>
      <c r="K49" s="2483">
        <f t="shared" si="143"/>
        <v>0.47480435156044964</v>
      </c>
      <c r="L49" s="2466">
        <f t="shared" si="132"/>
        <v>1.4244130546813489</v>
      </c>
      <c r="M49" s="2466">
        <f t="shared" si="133"/>
        <v>2.8488261093626979</v>
      </c>
      <c r="N49" s="2483">
        <f t="shared" si="144"/>
        <v>0.47480435156044964</v>
      </c>
      <c r="O49" s="2483">
        <f t="shared" si="145"/>
        <v>0.47480435156044964</v>
      </c>
      <c r="P49" s="2483">
        <f t="shared" si="146"/>
        <v>0.47480435156044964</v>
      </c>
      <c r="Q49" s="2466">
        <f t="shared" si="134"/>
        <v>1.4244130546813489</v>
      </c>
      <c r="R49" s="2466">
        <f t="shared" si="135"/>
        <v>4.273239164044047</v>
      </c>
      <c r="S49" s="2483">
        <f t="shared" si="147"/>
        <v>0.47480435156044964</v>
      </c>
      <c r="T49" s="2483">
        <f t="shared" si="148"/>
        <v>0.47480435156044964</v>
      </c>
      <c r="U49" s="2483">
        <f t="shared" si="149"/>
        <v>0.47480435156044964</v>
      </c>
      <c r="V49" s="2466">
        <f t="shared" si="136"/>
        <v>1.4244130546813489</v>
      </c>
      <c r="W49" s="642">
        <f t="shared" si="12"/>
        <v>5.6976522187253975</v>
      </c>
    </row>
    <row r="50" spans="1:23" ht="18.75">
      <c r="A50" s="2479" t="s">
        <v>32</v>
      </c>
      <c r="B50" s="2480">
        <f>SUM(B42*2.04%)</f>
        <v>21.524463937407052</v>
      </c>
      <c r="C50" s="2480">
        <f>SUM(C42*2.04%)</f>
        <v>21.524463937407052</v>
      </c>
      <c r="D50" s="2481">
        <f t="shared" si="130"/>
        <v>0</v>
      </c>
      <c r="E50" s="2467">
        <f t="shared" si="138"/>
        <v>1.7937053281172544</v>
      </c>
      <c r="F50" s="2467">
        <f t="shared" si="139"/>
        <v>1.7937053281172544</v>
      </c>
      <c r="G50" s="2467">
        <f t="shared" si="140"/>
        <v>1.7937053281172544</v>
      </c>
      <c r="H50" s="2466">
        <f t="shared" si="131"/>
        <v>5.3811159843517631</v>
      </c>
      <c r="I50" s="2483">
        <f t="shared" si="141"/>
        <v>1.7937053281172544</v>
      </c>
      <c r="J50" s="2483">
        <f t="shared" si="142"/>
        <v>1.7937053281172544</v>
      </c>
      <c r="K50" s="2483">
        <f t="shared" si="143"/>
        <v>1.7937053281172544</v>
      </c>
      <c r="L50" s="2466">
        <f t="shared" si="132"/>
        <v>5.3811159843517631</v>
      </c>
      <c r="M50" s="2466">
        <f t="shared" si="133"/>
        <v>10.762231968703526</v>
      </c>
      <c r="N50" s="2483">
        <f t="shared" si="144"/>
        <v>1.7937053281172544</v>
      </c>
      <c r="O50" s="2483">
        <f t="shared" si="145"/>
        <v>1.7937053281172544</v>
      </c>
      <c r="P50" s="2483">
        <f t="shared" si="146"/>
        <v>1.7937053281172544</v>
      </c>
      <c r="Q50" s="2466">
        <f t="shared" si="134"/>
        <v>5.3811159843517631</v>
      </c>
      <c r="R50" s="2466">
        <f t="shared" si="135"/>
        <v>16.14334795305529</v>
      </c>
      <c r="S50" s="2483">
        <f t="shared" si="147"/>
        <v>1.7937053281172544</v>
      </c>
      <c r="T50" s="2483">
        <f t="shared" si="148"/>
        <v>1.7937053281172544</v>
      </c>
      <c r="U50" s="2483">
        <f t="shared" si="149"/>
        <v>1.7937053281172544</v>
      </c>
      <c r="V50" s="2466">
        <f t="shared" si="136"/>
        <v>5.3811159843517631</v>
      </c>
      <c r="W50" s="642">
        <f t="shared" si="12"/>
        <v>21.524463937407059</v>
      </c>
    </row>
    <row r="51" spans="1:23" ht="18.75">
      <c r="A51" s="2479" t="s">
        <v>606</v>
      </c>
      <c r="B51" s="2480">
        <f>SUM(B52)</f>
        <v>40.411125921700489</v>
      </c>
      <c r="C51" s="2480">
        <f>SUM(C52)</f>
        <v>40.411125921700489</v>
      </c>
      <c r="D51" s="2480">
        <f>SUM(D52)</f>
        <v>0</v>
      </c>
      <c r="E51" s="2482">
        <f t="shared" ref="E51:K51" si="150">SUM(E52)</f>
        <v>3.367593826808374</v>
      </c>
      <c r="F51" s="2482">
        <f t="shared" si="150"/>
        <v>3.367593826808374</v>
      </c>
      <c r="G51" s="2482">
        <f t="shared" si="150"/>
        <v>3.367593826808374</v>
      </c>
      <c r="H51" s="2466">
        <f t="shared" si="6"/>
        <v>10.102781480425122</v>
      </c>
      <c r="I51" s="2482">
        <f t="shared" si="150"/>
        <v>3.367593826808374</v>
      </c>
      <c r="J51" s="2482">
        <f t="shared" si="150"/>
        <v>3.367593826808374</v>
      </c>
      <c r="K51" s="2482">
        <f t="shared" si="150"/>
        <v>3.367593826808374</v>
      </c>
      <c r="L51" s="2466">
        <f t="shared" si="7"/>
        <v>10.102781480425122</v>
      </c>
      <c r="M51" s="2466">
        <f t="shared" si="8"/>
        <v>20.205562960850244</v>
      </c>
      <c r="N51" s="2482">
        <f t="shared" ref="N51:P51" si="151">SUM(N52)</f>
        <v>3.367593826808374</v>
      </c>
      <c r="O51" s="2482">
        <f t="shared" si="151"/>
        <v>3.367593826808374</v>
      </c>
      <c r="P51" s="2482">
        <f t="shared" si="151"/>
        <v>3.367593826808374</v>
      </c>
      <c r="Q51" s="2466">
        <f t="shared" si="9"/>
        <v>10.102781480425122</v>
      </c>
      <c r="R51" s="2466">
        <f t="shared" si="10"/>
        <v>30.308344441275366</v>
      </c>
      <c r="S51" s="2482">
        <f t="shared" ref="S51:U51" si="152">SUM(S52)</f>
        <v>3.367593826808374</v>
      </c>
      <c r="T51" s="2482">
        <f t="shared" si="152"/>
        <v>3.367593826808374</v>
      </c>
      <c r="U51" s="2482">
        <f t="shared" si="152"/>
        <v>3.367593826808374</v>
      </c>
      <c r="V51" s="2466">
        <f t="shared" si="11"/>
        <v>10.102781480425122</v>
      </c>
      <c r="W51" s="642">
        <f t="shared" si="12"/>
        <v>40.411125921700489</v>
      </c>
    </row>
    <row r="52" spans="1:23" ht="18.75">
      <c r="A52" s="2484" t="s">
        <v>564</v>
      </c>
      <c r="B52" s="2480">
        <f>SUM(B42*3.83%)</f>
        <v>40.411125921700489</v>
      </c>
      <c r="C52" s="2480">
        <f>SUM(C42*3.83%)</f>
        <v>40.411125921700489</v>
      </c>
      <c r="D52" s="2481">
        <f t="shared" ref="D52" si="153">SUM(B52-C52)</f>
        <v>0</v>
      </c>
      <c r="E52" s="2467">
        <f>SUM(B52/12)</f>
        <v>3.367593826808374</v>
      </c>
      <c r="F52" s="2467">
        <f t="shared" ref="F52" si="154">SUM(E52)</f>
        <v>3.367593826808374</v>
      </c>
      <c r="G52" s="2467">
        <f t="shared" ref="G52" si="155">SUM(E52)</f>
        <v>3.367593826808374</v>
      </c>
      <c r="H52" s="2466">
        <f t="shared" ref="H52" si="156">SUM(E52+F52+G52)</f>
        <v>10.102781480425122</v>
      </c>
      <c r="I52" s="2467">
        <f t="shared" ref="I52" si="157">SUM(E52)</f>
        <v>3.367593826808374</v>
      </c>
      <c r="J52" s="2467">
        <f t="shared" ref="J52" si="158">SUM(E52)</f>
        <v>3.367593826808374</v>
      </c>
      <c r="K52" s="2467">
        <f t="shared" ref="K52" si="159">SUM(E52)</f>
        <v>3.367593826808374</v>
      </c>
      <c r="L52" s="2466">
        <f t="shared" ref="L52" si="160">SUM(I52+J52+K52)</f>
        <v>10.102781480425122</v>
      </c>
      <c r="M52" s="2466">
        <f t="shared" si="8"/>
        <v>20.205562960850244</v>
      </c>
      <c r="N52" s="2467">
        <f t="shared" ref="N52" si="161">SUM(E52)</f>
        <v>3.367593826808374</v>
      </c>
      <c r="O52" s="2467">
        <f t="shared" ref="O52" si="162">SUM(E52)</f>
        <v>3.367593826808374</v>
      </c>
      <c r="P52" s="2467">
        <f t="shared" ref="P52" si="163">SUM(E52)</f>
        <v>3.367593826808374</v>
      </c>
      <c r="Q52" s="2466">
        <f t="shared" ref="Q52" si="164">SUM(N52+O52+P52)</f>
        <v>10.102781480425122</v>
      </c>
      <c r="R52" s="2466">
        <f t="shared" si="10"/>
        <v>30.308344441275366</v>
      </c>
      <c r="S52" s="2467">
        <f t="shared" ref="S52" si="165">SUM(E52)</f>
        <v>3.367593826808374</v>
      </c>
      <c r="T52" s="2467">
        <f t="shared" ref="T52" si="166">SUM(E52)</f>
        <v>3.367593826808374</v>
      </c>
      <c r="U52" s="2467">
        <f t="shared" ref="U52" si="167">SUM(E52)</f>
        <v>3.367593826808374</v>
      </c>
      <c r="V52" s="2466">
        <f t="shared" ref="V52" si="168">SUM(S52+T52+U52)</f>
        <v>10.102781480425122</v>
      </c>
      <c r="W52" s="642">
        <f t="shared" si="12"/>
        <v>40.411125921700489</v>
      </c>
    </row>
    <row r="53" spans="1:23" ht="18.75">
      <c r="A53" s="2479" t="s">
        <v>609</v>
      </c>
      <c r="B53" s="2480">
        <f>SUM(B54:B54)</f>
        <v>0</v>
      </c>
      <c r="C53" s="2480">
        <f>SUM(C54)</f>
        <v>0</v>
      </c>
      <c r="D53" s="2481">
        <f>SUM(D54)</f>
        <v>0</v>
      </c>
      <c r="E53" s="2482">
        <f>SUM(E54)</f>
        <v>0</v>
      </c>
      <c r="F53" s="2482">
        <f>SUM(F54)</f>
        <v>0</v>
      </c>
      <c r="G53" s="2482">
        <f>SUM(G54)</f>
        <v>0</v>
      </c>
      <c r="H53" s="2466">
        <f t="shared" si="6"/>
        <v>0</v>
      </c>
      <c r="I53" s="2482">
        <f t="shared" ref="I53:K53" si="169">SUM(I54)</f>
        <v>0</v>
      </c>
      <c r="J53" s="2482">
        <f t="shared" si="169"/>
        <v>0</v>
      </c>
      <c r="K53" s="2482">
        <f t="shared" si="169"/>
        <v>0</v>
      </c>
      <c r="L53" s="2466">
        <f t="shared" si="7"/>
        <v>0</v>
      </c>
      <c r="M53" s="2466">
        <f t="shared" si="8"/>
        <v>0</v>
      </c>
      <c r="N53" s="2482">
        <f t="shared" ref="N53:P53" si="170">SUM(N54)</f>
        <v>0</v>
      </c>
      <c r="O53" s="2482">
        <f t="shared" si="170"/>
        <v>0</v>
      </c>
      <c r="P53" s="2482">
        <f t="shared" si="170"/>
        <v>0</v>
      </c>
      <c r="Q53" s="2466">
        <f t="shared" si="9"/>
        <v>0</v>
      </c>
      <c r="R53" s="2466">
        <f t="shared" si="10"/>
        <v>0</v>
      </c>
      <c r="S53" s="2482">
        <f t="shared" ref="S53:U53" si="171">SUM(S54)</f>
        <v>0</v>
      </c>
      <c r="T53" s="2482">
        <f t="shared" si="171"/>
        <v>0</v>
      </c>
      <c r="U53" s="2482">
        <f t="shared" si="171"/>
        <v>0</v>
      </c>
      <c r="V53" s="2466">
        <f t="shared" si="11"/>
        <v>0</v>
      </c>
      <c r="W53" s="642">
        <f t="shared" si="12"/>
        <v>0</v>
      </c>
    </row>
    <row r="54" spans="1:23" ht="18.75">
      <c r="A54" s="2484" t="s">
        <v>613</v>
      </c>
      <c r="B54" s="2480">
        <f>SUM(B42*0%)</f>
        <v>0</v>
      </c>
      <c r="C54" s="2480">
        <f>SUM(C42*0%)</f>
        <v>0</v>
      </c>
      <c r="D54" s="2481">
        <f t="shared" ref="D54" si="172">SUM(B54-C54)</f>
        <v>0</v>
      </c>
      <c r="E54" s="2467">
        <f>SUM(B54/12)</f>
        <v>0</v>
      </c>
      <c r="F54" s="2467">
        <f t="shared" ref="F54" si="173">SUM(E54)</f>
        <v>0</v>
      </c>
      <c r="G54" s="2467">
        <f t="shared" ref="G54" si="174">SUM(E54)</f>
        <v>0</v>
      </c>
      <c r="H54" s="2466">
        <f t="shared" ref="H54" si="175">SUM(E54+F54+G54)</f>
        <v>0</v>
      </c>
      <c r="I54" s="2483">
        <f t="shared" ref="I54" si="176">SUM(E54)</f>
        <v>0</v>
      </c>
      <c r="J54" s="2483">
        <f t="shared" ref="J54" si="177">SUM(E54)</f>
        <v>0</v>
      </c>
      <c r="K54" s="2483">
        <f t="shared" ref="K54" si="178">SUM(E54)</f>
        <v>0</v>
      </c>
      <c r="L54" s="2466">
        <f t="shared" ref="L54" si="179">SUM(I54+J54+K54)</f>
        <v>0</v>
      </c>
      <c r="M54" s="2466">
        <f t="shared" si="8"/>
        <v>0</v>
      </c>
      <c r="N54" s="2483">
        <f t="shared" ref="N54" si="180">SUM(E54)</f>
        <v>0</v>
      </c>
      <c r="O54" s="2483">
        <f t="shared" ref="O54" si="181">SUM(E54)</f>
        <v>0</v>
      </c>
      <c r="P54" s="2483">
        <f t="shared" ref="P54" si="182">SUM(E54)</f>
        <v>0</v>
      </c>
      <c r="Q54" s="2466">
        <f t="shared" ref="Q54" si="183">SUM(N54+O54+P54)</f>
        <v>0</v>
      </c>
      <c r="R54" s="2466">
        <f t="shared" si="10"/>
        <v>0</v>
      </c>
      <c r="S54" s="2483">
        <f t="shared" ref="S54" si="184">SUM(E54)</f>
        <v>0</v>
      </c>
      <c r="T54" s="2483">
        <f t="shared" ref="T54" si="185">SUM(E54)</f>
        <v>0</v>
      </c>
      <c r="U54" s="2483">
        <f t="shared" ref="U54" si="186">SUM(E54)</f>
        <v>0</v>
      </c>
      <c r="V54" s="2466">
        <f t="shared" ref="V54" si="187">SUM(S54+T54+U54)</f>
        <v>0</v>
      </c>
      <c r="W54" s="642">
        <f t="shared" si="12"/>
        <v>0</v>
      </c>
    </row>
    <row r="55" spans="1:23" ht="18.75" customHeight="1">
      <c r="A55" s="2490" t="s">
        <v>622</v>
      </c>
      <c r="B55" s="2475">
        <f>SUM('цех стоки'!AX50)</f>
        <v>2438.5013611005807</v>
      </c>
      <c r="C55" s="2475">
        <f>SUM(стоки!CN41)</f>
        <v>2438.5013611005807</v>
      </c>
      <c r="D55" s="2476">
        <f>SUM(стоки!CO41)</f>
        <v>0</v>
      </c>
      <c r="E55" s="2477">
        <f>SUM(E56+E57+E58+E59+E60+E62)</f>
        <v>198.20969061678065</v>
      </c>
      <c r="F55" s="2477">
        <f t="shared" ref="F55:G55" si="188">SUM(F56+F57+F58+F59+F60+F62)</f>
        <v>198.20969061678065</v>
      </c>
      <c r="G55" s="2477">
        <f t="shared" si="188"/>
        <v>198.20969061678065</v>
      </c>
      <c r="H55" s="2478">
        <f t="shared" si="6"/>
        <v>594.62907185034192</v>
      </c>
      <c r="I55" s="2477">
        <f t="shared" ref="I55:K55" si="189">SUM(I56+I57+I58+I59+I60+I62)</f>
        <v>198.21407991923064</v>
      </c>
      <c r="J55" s="2477">
        <f t="shared" si="189"/>
        <v>198.28674725979144</v>
      </c>
      <c r="K55" s="2477">
        <f t="shared" si="189"/>
        <v>198.35014829518005</v>
      </c>
      <c r="L55" s="2478">
        <f t="shared" si="7"/>
        <v>594.85097547420207</v>
      </c>
      <c r="M55" s="2478">
        <f t="shared" si="8"/>
        <v>1189.4800473245441</v>
      </c>
      <c r="N55" s="2477">
        <f t="shared" ref="N55:P55" si="190">SUM(N56+N57+N58+N59+N60+N62)</f>
        <v>208.26686489995109</v>
      </c>
      <c r="O55" s="2477">
        <f t="shared" si="190"/>
        <v>208.24784458933451</v>
      </c>
      <c r="P55" s="2477">
        <f t="shared" si="190"/>
        <v>208.1844435539459</v>
      </c>
      <c r="Q55" s="2478">
        <f t="shared" si="9"/>
        <v>624.69915304323149</v>
      </c>
      <c r="R55" s="2478">
        <f t="shared" si="10"/>
        <v>1814.1792003677756</v>
      </c>
      <c r="S55" s="2477">
        <f t="shared" ref="S55:U55" si="191">SUM(S56+S57+S58+S59+S60+S62)</f>
        <v>208.10738691093511</v>
      </c>
      <c r="T55" s="2477">
        <f t="shared" si="191"/>
        <v>208.10738691093511</v>
      </c>
      <c r="U55" s="2477">
        <f t="shared" si="191"/>
        <v>208.10738691093511</v>
      </c>
      <c r="V55" s="2478">
        <f t="shared" si="11"/>
        <v>624.32216073280529</v>
      </c>
      <c r="W55" s="642">
        <f t="shared" si="12"/>
        <v>2438.5013611005811</v>
      </c>
    </row>
    <row r="56" spans="1:23" ht="18.75">
      <c r="A56" s="2479" t="s">
        <v>72</v>
      </c>
      <c r="B56" s="2480">
        <f>SUM(B55*63.91%)</f>
        <v>1558.446219879381</v>
      </c>
      <c r="C56" s="2480">
        <f t="shared" ref="C56:C64" si="192">SUM(B56)</f>
        <v>1558.446219879381</v>
      </c>
      <c r="D56" s="2481">
        <f>SUM(B56-C56)</f>
        <v>0</v>
      </c>
      <c r="E56" s="2467">
        <f>SUM(B56/2)/(1+(106.03%*100-100)/2/100)/6</f>
        <v>126.06952222810442</v>
      </c>
      <c r="F56" s="2482">
        <f>SUM(E56)</f>
        <v>126.06952222810442</v>
      </c>
      <c r="G56" s="2467">
        <f>SUM(E56)</f>
        <v>126.06952222810442</v>
      </c>
      <c r="H56" s="2466">
        <f>SUM(E56+F56+G56)</f>
        <v>378.20856668431327</v>
      </c>
      <c r="I56" s="2483">
        <f>SUM(E56)</f>
        <v>126.06952222810442</v>
      </c>
      <c r="J56" s="2483">
        <f>SUM(E56)</f>
        <v>126.06952222810442</v>
      </c>
      <c r="K56" s="2483">
        <f>SUM(E56)</f>
        <v>126.06952222810442</v>
      </c>
      <c r="L56" s="2466">
        <f>SUM(I56+J56+K56)</f>
        <v>378.20856668431327</v>
      </c>
      <c r="M56" s="2466">
        <f>SUM(H56+L56)</f>
        <v>756.41713336862654</v>
      </c>
      <c r="N56" s="2483">
        <f>SUM(B56-M56)/6</f>
        <v>133.67151441845908</v>
      </c>
      <c r="O56" s="2483">
        <f>SUM(N56)</f>
        <v>133.67151441845908</v>
      </c>
      <c r="P56" s="2483">
        <f>SUM(N56)</f>
        <v>133.67151441845908</v>
      </c>
      <c r="Q56" s="2466">
        <f>SUM(N56+O56+P56)</f>
        <v>401.01454325537725</v>
      </c>
      <c r="R56" s="2466">
        <f>SUM(M56+Q56)</f>
        <v>1157.4316766240038</v>
      </c>
      <c r="S56" s="2483">
        <f>SUM(N56)</f>
        <v>133.67151441845908</v>
      </c>
      <c r="T56" s="2483">
        <f>SUM(N56)</f>
        <v>133.67151441845908</v>
      </c>
      <c r="U56" s="2483">
        <f>SUM(N56)</f>
        <v>133.67151441845908</v>
      </c>
      <c r="V56" s="2466">
        <f>SUM(S56+T56+U56)</f>
        <v>401.01454325537725</v>
      </c>
      <c r="W56" s="642">
        <f>SUM(U56+T56+S56+P56+O56+N56+K56+J56+I56+G56+F56+E56)</f>
        <v>1558.4462198793813</v>
      </c>
    </row>
    <row r="57" spans="1:23" ht="18.75">
      <c r="A57" s="2479" t="s">
        <v>121</v>
      </c>
      <c r="B57" s="2480">
        <f>SUM(B55*19.3%)</f>
        <v>470.63076269241208</v>
      </c>
      <c r="C57" s="2480">
        <f t="shared" si="192"/>
        <v>470.63076269241208</v>
      </c>
      <c r="D57" s="2481">
        <f>SUM(B57-C57)</f>
        <v>0</v>
      </c>
      <c r="E57" s="2467">
        <f>SUM(E56*(B57/B56))</f>
        <v>38.071378172467774</v>
      </c>
      <c r="F57" s="2467">
        <f>SUM(E57)</f>
        <v>38.071378172467774</v>
      </c>
      <c r="G57" s="2482">
        <f>SUM(E57)</f>
        <v>38.071378172467774</v>
      </c>
      <c r="H57" s="2466">
        <f t="shared" ref="H57" si="193">SUM(E57+F57+G57)</f>
        <v>114.21413451740332</v>
      </c>
      <c r="I57" s="2483">
        <f>SUM(E57)</f>
        <v>38.071378172467774</v>
      </c>
      <c r="J57" s="2483">
        <f>SUM(E57)</f>
        <v>38.071378172467774</v>
      </c>
      <c r="K57" s="2483">
        <f>SUM(E57)</f>
        <v>38.071378172467774</v>
      </c>
      <c r="L57" s="2466">
        <f t="shared" ref="L57" si="194">SUM(I57+J57+K57)</f>
        <v>114.21413451740332</v>
      </c>
      <c r="M57" s="2466">
        <f t="shared" ref="M57:M66" si="195">SUM(H57+L57)</f>
        <v>228.42826903480665</v>
      </c>
      <c r="N57" s="2483">
        <f>SUM(B57-M57)/6</f>
        <v>40.367082276267574</v>
      </c>
      <c r="O57" s="2483">
        <f>SUM(N57)</f>
        <v>40.367082276267574</v>
      </c>
      <c r="P57" s="2483">
        <f>SUM(N57)</f>
        <v>40.367082276267574</v>
      </c>
      <c r="Q57" s="2466">
        <f t="shared" ref="Q57" si="196">SUM(N57+O57+P57)</f>
        <v>121.10124682880272</v>
      </c>
      <c r="R57" s="2466">
        <f t="shared" ref="R57:R66" si="197">SUM(M57+Q57)</f>
        <v>349.52951586360939</v>
      </c>
      <c r="S57" s="2483">
        <f>SUM(N57)</f>
        <v>40.367082276267574</v>
      </c>
      <c r="T57" s="2483">
        <f>SUM(N57)</f>
        <v>40.367082276267574</v>
      </c>
      <c r="U57" s="2483">
        <f>SUM(N57)</f>
        <v>40.367082276267574</v>
      </c>
      <c r="V57" s="2466">
        <f t="shared" ref="V57" si="198">SUM(S57+T57+U57)</f>
        <v>121.10124682880272</v>
      </c>
      <c r="W57" s="642">
        <f t="shared" ref="W57" si="199">SUM(U57+T57+S57+P57+O57+N57+K57+J57+I57+G57+F57+E57)</f>
        <v>470.63076269241219</v>
      </c>
    </row>
    <row r="58" spans="1:23" ht="18.75">
      <c r="A58" s="2479" t="s">
        <v>52</v>
      </c>
      <c r="B58" s="2480">
        <f>SUM(B55*0.13%)</f>
        <v>3.1700517694307546</v>
      </c>
      <c r="C58" s="2480">
        <f t="shared" si="192"/>
        <v>3.1700517694307546</v>
      </c>
      <c r="D58" s="2481">
        <f>SUM(B58-C58)</f>
        <v>0</v>
      </c>
      <c r="E58" s="2467">
        <f>SUM(B58/12)</f>
        <v>0.26417098078589624</v>
      </c>
      <c r="F58" s="2467">
        <f t="shared" ref="F58:F59" si="200">SUM(E58)</f>
        <v>0.26417098078589624</v>
      </c>
      <c r="G58" s="2467">
        <f t="shared" ref="G58:G59" si="201">SUM(E58)</f>
        <v>0.26417098078589624</v>
      </c>
      <c r="H58" s="2466">
        <f t="shared" ref="H58:H66" si="202">SUM(E58+F58+G58)</f>
        <v>0.79251294235768865</v>
      </c>
      <c r="I58" s="2483">
        <f t="shared" ref="I58:I59" si="203">SUM(E58)</f>
        <v>0.26417098078589624</v>
      </c>
      <c r="J58" s="2483">
        <f t="shared" ref="J58:J59" si="204">SUM(E58)</f>
        <v>0.26417098078589624</v>
      </c>
      <c r="K58" s="2483">
        <f t="shared" ref="K58:K59" si="205">SUM(E58)</f>
        <v>0.26417098078589624</v>
      </c>
      <c r="L58" s="2466">
        <f t="shared" ref="L58:L66" si="206">SUM(I58+J58+K58)</f>
        <v>0.79251294235768865</v>
      </c>
      <c r="M58" s="2466">
        <f t="shared" si="195"/>
        <v>1.5850258847153773</v>
      </c>
      <c r="N58" s="2483">
        <f t="shared" ref="N58:N59" si="207">SUM(E58)</f>
        <v>0.26417098078589624</v>
      </c>
      <c r="O58" s="2483">
        <f t="shared" ref="O58:O59" si="208">SUM(E58)</f>
        <v>0.26417098078589624</v>
      </c>
      <c r="P58" s="2483">
        <f t="shared" ref="P58:P59" si="209">SUM(E58)</f>
        <v>0.26417098078589624</v>
      </c>
      <c r="Q58" s="2466">
        <f t="shared" ref="Q58:Q66" si="210">SUM(N58+O58+P58)</f>
        <v>0.79251294235768865</v>
      </c>
      <c r="R58" s="2466">
        <f t="shared" si="197"/>
        <v>2.377538827073066</v>
      </c>
      <c r="S58" s="2483">
        <f t="shared" ref="S58:S59" si="211">SUM(E58)</f>
        <v>0.26417098078589624</v>
      </c>
      <c r="T58" s="2483">
        <f t="shared" ref="T58:T59" si="212">SUM(E58)</f>
        <v>0.26417098078589624</v>
      </c>
      <c r="U58" s="2483">
        <f t="shared" ref="U58:U59" si="213">SUM(E58)</f>
        <v>0.26417098078589624</v>
      </c>
      <c r="V58" s="2466">
        <f t="shared" ref="V58:V66" si="214">SUM(S58+T58+U58)</f>
        <v>0.79251294235768865</v>
      </c>
      <c r="W58" s="642">
        <f t="shared" si="12"/>
        <v>3.1700517694307542</v>
      </c>
    </row>
    <row r="59" spans="1:23" ht="18.75">
      <c r="A59" s="2479" t="s">
        <v>605</v>
      </c>
      <c r="B59" s="2480">
        <f>SUM(B55*15.31%)</f>
        <v>373.33455838449891</v>
      </c>
      <c r="C59" s="2480">
        <f t="shared" si="192"/>
        <v>373.33455838449891</v>
      </c>
      <c r="D59" s="2481">
        <f>SUM(B59-C59)</f>
        <v>0</v>
      </c>
      <c r="E59" s="2467">
        <f>SUM(B59/12)</f>
        <v>31.111213198708242</v>
      </c>
      <c r="F59" s="2467">
        <f t="shared" si="200"/>
        <v>31.111213198708242</v>
      </c>
      <c r="G59" s="2467">
        <f t="shared" si="201"/>
        <v>31.111213198708242</v>
      </c>
      <c r="H59" s="2466">
        <f t="shared" si="202"/>
        <v>93.333639596124726</v>
      </c>
      <c r="I59" s="2483">
        <f t="shared" si="203"/>
        <v>31.111213198708242</v>
      </c>
      <c r="J59" s="2483">
        <f t="shared" si="204"/>
        <v>31.111213198708242</v>
      </c>
      <c r="K59" s="2483">
        <f t="shared" si="205"/>
        <v>31.111213198708242</v>
      </c>
      <c r="L59" s="2466">
        <f t="shared" si="206"/>
        <v>93.333639596124726</v>
      </c>
      <c r="M59" s="2466">
        <f t="shared" si="195"/>
        <v>186.66727919224945</v>
      </c>
      <c r="N59" s="2483">
        <f t="shared" si="207"/>
        <v>31.111213198708242</v>
      </c>
      <c r="O59" s="2483">
        <f t="shared" si="208"/>
        <v>31.111213198708242</v>
      </c>
      <c r="P59" s="2483">
        <f t="shared" si="209"/>
        <v>31.111213198708242</v>
      </c>
      <c r="Q59" s="2466">
        <f t="shared" si="210"/>
        <v>93.333639596124726</v>
      </c>
      <c r="R59" s="2466">
        <f t="shared" si="197"/>
        <v>280.00091878837418</v>
      </c>
      <c r="S59" s="2483">
        <f t="shared" si="211"/>
        <v>31.111213198708242</v>
      </c>
      <c r="T59" s="2483">
        <f t="shared" si="212"/>
        <v>31.111213198708242</v>
      </c>
      <c r="U59" s="2483">
        <f t="shared" si="213"/>
        <v>31.111213198708242</v>
      </c>
      <c r="V59" s="2466">
        <f t="shared" si="214"/>
        <v>93.333639596124726</v>
      </c>
      <c r="W59" s="642">
        <f t="shared" si="12"/>
        <v>373.33455838449891</v>
      </c>
    </row>
    <row r="60" spans="1:23" ht="18.75">
      <c r="A60" s="2479" t="s">
        <v>606</v>
      </c>
      <c r="B60" s="2480">
        <f>SUM(B61)</f>
        <v>28.042765652656676</v>
      </c>
      <c r="C60" s="2480">
        <f t="shared" si="192"/>
        <v>28.042765652656676</v>
      </c>
      <c r="D60" s="2480">
        <f t="shared" ref="D60:K60" si="215">SUM(D61)</f>
        <v>0</v>
      </c>
      <c r="E60" s="2482">
        <f t="shared" si="215"/>
        <v>2.3368971377213898</v>
      </c>
      <c r="F60" s="2482">
        <f t="shared" si="215"/>
        <v>2.3368971377213898</v>
      </c>
      <c r="G60" s="2482">
        <f t="shared" si="215"/>
        <v>2.3368971377213898</v>
      </c>
      <c r="H60" s="2466">
        <f t="shared" si="202"/>
        <v>7.0106914131641691</v>
      </c>
      <c r="I60" s="2482">
        <f t="shared" si="215"/>
        <v>2.3368971377213898</v>
      </c>
      <c r="J60" s="2482">
        <f t="shared" si="215"/>
        <v>2.3368971377213898</v>
      </c>
      <c r="K60" s="2482">
        <f t="shared" si="215"/>
        <v>2.3368971377213898</v>
      </c>
      <c r="L60" s="2466">
        <f t="shared" si="206"/>
        <v>7.0106914131641691</v>
      </c>
      <c r="M60" s="2466">
        <f t="shared" si="195"/>
        <v>14.021382826328338</v>
      </c>
      <c r="N60" s="2482">
        <f t="shared" ref="N60:P60" si="216">SUM(N61)</f>
        <v>2.3368971377213898</v>
      </c>
      <c r="O60" s="2482">
        <f t="shared" si="216"/>
        <v>2.3368971377213898</v>
      </c>
      <c r="P60" s="2482">
        <f t="shared" si="216"/>
        <v>2.3368971377213898</v>
      </c>
      <c r="Q60" s="2466">
        <f t="shared" si="210"/>
        <v>7.0106914131641691</v>
      </c>
      <c r="R60" s="2466">
        <f t="shared" si="197"/>
        <v>21.032074239492509</v>
      </c>
      <c r="S60" s="2482">
        <f t="shared" ref="S60:U60" si="217">SUM(S61)</f>
        <v>2.3368971377213898</v>
      </c>
      <c r="T60" s="2482">
        <f t="shared" si="217"/>
        <v>2.3368971377213898</v>
      </c>
      <c r="U60" s="2482">
        <f t="shared" si="217"/>
        <v>2.3368971377213898</v>
      </c>
      <c r="V60" s="2466">
        <f t="shared" si="214"/>
        <v>7.0106914131641691</v>
      </c>
      <c r="W60" s="642">
        <f t="shared" si="12"/>
        <v>28.04276565265668</v>
      </c>
    </row>
    <row r="61" spans="1:23" ht="18.75">
      <c r="A61" s="2484" t="s">
        <v>564</v>
      </c>
      <c r="B61" s="2480">
        <f>SUM(B55*1.15%)</f>
        <v>28.042765652656676</v>
      </c>
      <c r="C61" s="2480">
        <f t="shared" si="192"/>
        <v>28.042765652656676</v>
      </c>
      <c r="D61" s="2481">
        <f>SUM(B61-C61)</f>
        <v>0</v>
      </c>
      <c r="E61" s="2467">
        <f>SUM(B61/12)</f>
        <v>2.3368971377213898</v>
      </c>
      <c r="F61" s="2467">
        <f t="shared" ref="F61" si="218">SUM(E61)</f>
        <v>2.3368971377213898</v>
      </c>
      <c r="G61" s="2467">
        <f t="shared" ref="G61" si="219">SUM(E61)</f>
        <v>2.3368971377213898</v>
      </c>
      <c r="H61" s="2466">
        <f t="shared" si="202"/>
        <v>7.0106914131641691</v>
      </c>
      <c r="I61" s="2467">
        <f t="shared" ref="I61" si="220">SUM(E61)</f>
        <v>2.3368971377213898</v>
      </c>
      <c r="J61" s="2467">
        <f t="shared" ref="J61" si="221">SUM(E61)</f>
        <v>2.3368971377213898</v>
      </c>
      <c r="K61" s="2467">
        <f t="shared" ref="K61" si="222">SUM(E61)</f>
        <v>2.3368971377213898</v>
      </c>
      <c r="L61" s="2466">
        <f t="shared" si="206"/>
        <v>7.0106914131641691</v>
      </c>
      <c r="M61" s="2466">
        <f t="shared" si="195"/>
        <v>14.021382826328338</v>
      </c>
      <c r="N61" s="2467">
        <f t="shared" ref="N61" si="223">SUM(E61)</f>
        <v>2.3368971377213898</v>
      </c>
      <c r="O61" s="2467">
        <f t="shared" ref="O61" si="224">SUM(E61)</f>
        <v>2.3368971377213898</v>
      </c>
      <c r="P61" s="2467">
        <f t="shared" ref="P61" si="225">SUM(E61)</f>
        <v>2.3368971377213898</v>
      </c>
      <c r="Q61" s="2466">
        <f t="shared" si="210"/>
        <v>7.0106914131641691</v>
      </c>
      <c r="R61" s="2466">
        <f t="shared" si="197"/>
        <v>21.032074239492509</v>
      </c>
      <c r="S61" s="2467">
        <f t="shared" ref="S61" si="226">SUM(E61)</f>
        <v>2.3368971377213898</v>
      </c>
      <c r="T61" s="2467">
        <f t="shared" ref="T61" si="227">SUM(E61)</f>
        <v>2.3368971377213898</v>
      </c>
      <c r="U61" s="2467">
        <f t="shared" ref="U61" si="228">SUM(E61)</f>
        <v>2.3368971377213898</v>
      </c>
      <c r="V61" s="2466">
        <f t="shared" si="214"/>
        <v>7.0106914131641691</v>
      </c>
      <c r="W61" s="642">
        <f t="shared" si="12"/>
        <v>28.04276565265668</v>
      </c>
    </row>
    <row r="62" spans="1:23" ht="18.75">
      <c r="A62" s="2479" t="s">
        <v>609</v>
      </c>
      <c r="B62" s="2480">
        <f>SUM(B63:B64)</f>
        <v>4.8770027222011612</v>
      </c>
      <c r="C62" s="2480">
        <f t="shared" si="192"/>
        <v>4.8770027222011612</v>
      </c>
      <c r="D62" s="2480">
        <f>SUM(D63:D64)</f>
        <v>0</v>
      </c>
      <c r="E62" s="2482">
        <f>SUM(E63:E64)</f>
        <v>0.35650889899290489</v>
      </c>
      <c r="F62" s="2482">
        <f>SUM(F63:F64)</f>
        <v>0.35650889899290489</v>
      </c>
      <c r="G62" s="2482">
        <f>SUM(G63:G64)</f>
        <v>0.35650889899290489</v>
      </c>
      <c r="H62" s="2466">
        <f t="shared" si="202"/>
        <v>1.0695266969787147</v>
      </c>
      <c r="I62" s="2482">
        <f>SUM(I63:I64)</f>
        <v>0.36089820144288598</v>
      </c>
      <c r="J62" s="2482">
        <f>SUM(J63:J64)</f>
        <v>0.43356554200368325</v>
      </c>
      <c r="K62" s="2482">
        <f>SUM(K63:K64)</f>
        <v>0.49696657739229827</v>
      </c>
      <c r="L62" s="2466">
        <f t="shared" si="206"/>
        <v>1.2914303208388676</v>
      </c>
      <c r="M62" s="2466">
        <f t="shared" si="195"/>
        <v>2.360957017817582</v>
      </c>
      <c r="N62" s="2482">
        <f>SUM(N63:N64)</f>
        <v>0.51598688800888293</v>
      </c>
      <c r="O62" s="2482">
        <f>SUM(O63:O64)</f>
        <v>0.49696657739229827</v>
      </c>
      <c r="P62" s="2482">
        <f>SUM(P63:P64)</f>
        <v>0.43356554200368325</v>
      </c>
      <c r="Q62" s="2466">
        <f t="shared" si="210"/>
        <v>1.4465190074048644</v>
      </c>
      <c r="R62" s="2466">
        <f t="shared" si="197"/>
        <v>3.8074760252224467</v>
      </c>
      <c r="S62" s="2482">
        <f>SUM(S63:S64)</f>
        <v>0.35650889899290489</v>
      </c>
      <c r="T62" s="2482">
        <f>SUM(T63:T64)</f>
        <v>0.35650889899290489</v>
      </c>
      <c r="U62" s="2482">
        <f>SUM(U63:U64)</f>
        <v>0.35650889899290489</v>
      </c>
      <c r="V62" s="2466">
        <f t="shared" si="214"/>
        <v>1.0695266969787147</v>
      </c>
      <c r="W62" s="642">
        <f t="shared" si="12"/>
        <v>4.8770027222011612</v>
      </c>
    </row>
    <row r="63" spans="1:23" ht="18.75">
      <c r="A63" s="2484" t="s">
        <v>551</v>
      </c>
      <c r="B63" s="2480">
        <f>SUM(B55*0.2%)</f>
        <v>4.8770027222011612</v>
      </c>
      <c r="C63" s="2480">
        <f t="shared" si="192"/>
        <v>4.8770027222011612</v>
      </c>
      <c r="D63" s="2481">
        <f>SUM(B63-C63)</f>
        <v>0</v>
      </c>
      <c r="E63" s="2467">
        <f>SUM(B63*7.31%)</f>
        <v>0.35650889899290489</v>
      </c>
      <c r="F63" s="2467">
        <f>SUM(C63*7.31%)</f>
        <v>0.35650889899290489</v>
      </c>
      <c r="G63" s="2467">
        <f>SUM(C63*7.31%)</f>
        <v>0.35650889899290489</v>
      </c>
      <c r="H63" s="2466">
        <f t="shared" si="202"/>
        <v>1.0695266969787147</v>
      </c>
      <c r="I63" s="2467">
        <f>SUM(C63*7.4%)</f>
        <v>0.36089820144288598</v>
      </c>
      <c r="J63" s="2467">
        <f>SUM(C63*8.89%)</f>
        <v>0.43356554200368325</v>
      </c>
      <c r="K63" s="2467">
        <f>SUM(C63*10.19%)</f>
        <v>0.49696657739229827</v>
      </c>
      <c r="L63" s="2466">
        <f t="shared" si="206"/>
        <v>1.2914303208388676</v>
      </c>
      <c r="M63" s="2466">
        <f t="shared" si="195"/>
        <v>2.360957017817582</v>
      </c>
      <c r="N63" s="2467">
        <f>SUM(B63*10.58%)</f>
        <v>0.51598688800888293</v>
      </c>
      <c r="O63" s="2467">
        <f>SUM(C63*10.19%)</f>
        <v>0.49696657739229827</v>
      </c>
      <c r="P63" s="2467">
        <f>SUM(C63*8.89%)</f>
        <v>0.43356554200368325</v>
      </c>
      <c r="Q63" s="2466">
        <f t="shared" si="210"/>
        <v>1.4465190074048644</v>
      </c>
      <c r="R63" s="2466">
        <f t="shared" si="197"/>
        <v>3.8074760252224467</v>
      </c>
      <c r="S63" s="2467">
        <f>SUM(C63*7.31%)</f>
        <v>0.35650889899290489</v>
      </c>
      <c r="T63" s="2467">
        <f>SUM(C63*7.31%)</f>
        <v>0.35650889899290489</v>
      </c>
      <c r="U63" s="2467">
        <f>SUM(C63*7.31%)</f>
        <v>0.35650889899290489</v>
      </c>
      <c r="V63" s="2466">
        <f t="shared" si="214"/>
        <v>1.0695266969787147</v>
      </c>
      <c r="W63" s="642">
        <f t="shared" si="12"/>
        <v>4.8770027222011612</v>
      </c>
    </row>
    <row r="64" spans="1:23" ht="18.75">
      <c r="A64" s="2491" t="s">
        <v>613</v>
      </c>
      <c r="B64" s="2480">
        <f>SUM(B55*0%)</f>
        <v>0</v>
      </c>
      <c r="C64" s="2480">
        <f t="shared" si="192"/>
        <v>0</v>
      </c>
      <c r="D64" s="2493">
        <f>SUM(B64-C64)</f>
        <v>0</v>
      </c>
      <c r="E64" s="2494">
        <f>SUM(B64/12)</f>
        <v>0</v>
      </c>
      <c r="F64" s="2494">
        <f t="shared" ref="F64" si="229">SUM(E64)</f>
        <v>0</v>
      </c>
      <c r="G64" s="2494">
        <f t="shared" ref="G64" si="230">SUM(E64)</f>
        <v>0</v>
      </c>
      <c r="H64" s="2468">
        <f t="shared" si="202"/>
        <v>0</v>
      </c>
      <c r="I64" s="2495">
        <f t="shared" ref="I64" si="231">SUM(E64)</f>
        <v>0</v>
      </c>
      <c r="J64" s="2495">
        <f t="shared" ref="J64" si="232">SUM(E64)</f>
        <v>0</v>
      </c>
      <c r="K64" s="2495">
        <f t="shared" ref="K64" si="233">SUM(E64)</f>
        <v>0</v>
      </c>
      <c r="L64" s="2468">
        <f t="shared" si="206"/>
        <v>0</v>
      </c>
      <c r="M64" s="2468">
        <f t="shared" si="195"/>
        <v>0</v>
      </c>
      <c r="N64" s="2495">
        <f t="shared" ref="N64" si="234">SUM(E64)</f>
        <v>0</v>
      </c>
      <c r="O64" s="2495">
        <f t="shared" ref="O64" si="235">SUM(E64)</f>
        <v>0</v>
      </c>
      <c r="P64" s="2495">
        <f t="shared" ref="P64" si="236">SUM(E64)</f>
        <v>0</v>
      </c>
      <c r="Q64" s="2468">
        <f t="shared" si="210"/>
        <v>0</v>
      </c>
      <c r="R64" s="2468">
        <f t="shared" si="197"/>
        <v>0</v>
      </c>
      <c r="S64" s="2495">
        <f t="shared" ref="S64" si="237">SUM(E64)</f>
        <v>0</v>
      </c>
      <c r="T64" s="2495">
        <f t="shared" ref="T64" si="238">SUM(E64)</f>
        <v>0</v>
      </c>
      <c r="U64" s="2495">
        <f t="shared" ref="U64" si="239">SUM(E64)</f>
        <v>0</v>
      </c>
      <c r="V64" s="2468">
        <f t="shared" si="214"/>
        <v>0</v>
      </c>
      <c r="W64" s="642">
        <f t="shared" si="12"/>
        <v>0</v>
      </c>
    </row>
    <row r="65" spans="1:23" ht="19.5">
      <c r="A65" s="2496" t="s">
        <v>54</v>
      </c>
      <c r="B65" s="2475">
        <f>SUM(B5+B16+B42+B55)</f>
        <v>11723.956981165797</v>
      </c>
      <c r="C65" s="2475">
        <f t="shared" ref="C65:G65" si="240">SUM(C5+C16+C42+C55)</f>
        <v>11669.853562618358</v>
      </c>
      <c r="D65" s="2475">
        <f t="shared" si="240"/>
        <v>54.103418547438842</v>
      </c>
      <c r="E65" s="2477">
        <f t="shared" si="240"/>
        <v>991.14016750856365</v>
      </c>
      <c r="F65" s="2477">
        <f t="shared" si="240"/>
        <v>982.34951140960106</v>
      </c>
      <c r="G65" s="2477">
        <f t="shared" si="240"/>
        <v>978.54249419382199</v>
      </c>
      <c r="H65" s="2478">
        <f t="shared" si="202"/>
        <v>2952.0321731119866</v>
      </c>
      <c r="I65" s="2477">
        <f>SUM(I5+I16+I42+I55)</f>
        <v>965.45643858724497</v>
      </c>
      <c r="J65" s="2477">
        <f>SUM(J5+J16+J42+J55)</f>
        <v>941.80853322800567</v>
      </c>
      <c r="K65" s="2477">
        <f>SUM(K5+K16+K42+K55)</f>
        <v>936.35355700172863</v>
      </c>
      <c r="L65" s="2478">
        <f t="shared" si="206"/>
        <v>2843.6185288169791</v>
      </c>
      <c r="M65" s="2478">
        <f t="shared" si="195"/>
        <v>5795.6507019289656</v>
      </c>
      <c r="N65" s="2477">
        <f>SUM(N5+N16+N42+N55)</f>
        <v>965.99289516457577</v>
      </c>
      <c r="O65" s="2477">
        <f>SUM(O5+O16+O42+O55)</f>
        <v>965.1472604167401</v>
      </c>
      <c r="P65" s="2477">
        <f>SUM(P5+P16+P42+P55)</f>
        <v>977.49016628144136</v>
      </c>
      <c r="Q65" s="2478">
        <f t="shared" si="210"/>
        <v>2908.6303218627572</v>
      </c>
      <c r="R65" s="2478">
        <f t="shared" si="197"/>
        <v>8704.281023791722</v>
      </c>
      <c r="S65" s="2477">
        <f>SUM(S5+S16+S42+S55)</f>
        <v>996.17196234393123</v>
      </c>
      <c r="T65" s="2477">
        <f>SUM(T5+T16+T42+T55)</f>
        <v>1005.766937971144</v>
      </c>
      <c r="U65" s="2477">
        <f>SUM(U5+U16+U42+U55)</f>
        <v>1017.7370570589987</v>
      </c>
      <c r="V65" s="2478">
        <f t="shared" si="214"/>
        <v>3019.6759573740737</v>
      </c>
      <c r="W65" s="642">
        <f t="shared" si="12"/>
        <v>11723.956981165797</v>
      </c>
    </row>
    <row r="66" spans="1:23" ht="19.5">
      <c r="A66" s="2496" t="s">
        <v>610</v>
      </c>
      <c r="B66" s="2499">
        <f>SUM(B65-B29-B30)</f>
        <v>11723.956981165797</v>
      </c>
      <c r="C66" s="2499">
        <f t="shared" ref="C66:G66" si="241">SUM(C65-C29-C30)</f>
        <v>11669.853562618358</v>
      </c>
      <c r="D66" s="2499">
        <f t="shared" si="241"/>
        <v>54.103418547438842</v>
      </c>
      <c r="E66" s="2500">
        <f t="shared" si="241"/>
        <v>991.14016750856365</v>
      </c>
      <c r="F66" s="2500">
        <f t="shared" si="241"/>
        <v>982.34951140960106</v>
      </c>
      <c r="G66" s="2500">
        <f t="shared" si="241"/>
        <v>978.54249419382199</v>
      </c>
      <c r="H66" s="2478">
        <f t="shared" si="202"/>
        <v>2952.0321731119866</v>
      </c>
      <c r="I66" s="2500">
        <f>SUM(I65-I29-I30)</f>
        <v>965.45643858724497</v>
      </c>
      <c r="J66" s="2500">
        <f>SUM(J65-J29-J30)</f>
        <v>941.80853322800567</v>
      </c>
      <c r="K66" s="2500">
        <f>SUM(K65-K29-K30)</f>
        <v>936.35355700172863</v>
      </c>
      <c r="L66" s="2478">
        <f t="shared" si="206"/>
        <v>2843.6185288169791</v>
      </c>
      <c r="M66" s="2478">
        <f t="shared" si="195"/>
        <v>5795.6507019289656</v>
      </c>
      <c r="N66" s="2500">
        <f>SUM(N65-N29-N30)</f>
        <v>965.99289516457577</v>
      </c>
      <c r="O66" s="2500">
        <f>SUM(O65-O29-O30)</f>
        <v>965.1472604167401</v>
      </c>
      <c r="P66" s="2500">
        <f>SUM(P65-P29-P30)</f>
        <v>977.49016628144136</v>
      </c>
      <c r="Q66" s="2478">
        <f t="shared" si="210"/>
        <v>2908.6303218627572</v>
      </c>
      <c r="R66" s="2478">
        <f t="shared" si="197"/>
        <v>8704.281023791722</v>
      </c>
      <c r="S66" s="2500">
        <f>SUM(S65-S29-S30)</f>
        <v>996.17196234393123</v>
      </c>
      <c r="T66" s="2500">
        <f>SUM(T65-T29-T30)</f>
        <v>1005.766937971144</v>
      </c>
      <c r="U66" s="2500">
        <f>SUM(U65-U29-U30)</f>
        <v>1017.7370570589987</v>
      </c>
      <c r="V66" s="2478">
        <f t="shared" si="214"/>
        <v>3019.6759573740737</v>
      </c>
      <c r="W66" s="642">
        <f t="shared" si="12"/>
        <v>11723.956981165797</v>
      </c>
    </row>
    <row r="67" spans="1:23" ht="18">
      <c r="B67" s="4594"/>
      <c r="C67" s="4594"/>
    </row>
  </sheetData>
  <mergeCells count="23">
    <mergeCell ref="W3:W4"/>
    <mergeCell ref="Q3:Q4"/>
    <mergeCell ref="R3:R4"/>
    <mergeCell ref="S3:S4"/>
    <mergeCell ref="T3:T4"/>
    <mergeCell ref="U3:U4"/>
    <mergeCell ref="V3:V4"/>
    <mergeCell ref="P3:P4"/>
    <mergeCell ref="A1:V1"/>
    <mergeCell ref="A3:A4"/>
    <mergeCell ref="B3:B4"/>
    <mergeCell ref="C3:D3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N3:N4"/>
    <mergeCell ref="O3:O4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43" orientation="landscape" horizontalDpi="0" verticalDpi="0" r:id="rId1"/>
</worksheet>
</file>

<file path=xl/worksheets/sheet39.xml><?xml version="1.0" encoding="utf-8"?>
<worksheet xmlns="http://schemas.openxmlformats.org/spreadsheetml/2006/main" xmlns:r="http://schemas.openxmlformats.org/officeDocument/2006/relationships">
  <sheetPr enableFormatConditionsCalculation="0">
    <tabColor rgb="FFFF0000"/>
    <pageSetUpPr fitToPage="1"/>
  </sheetPr>
  <dimension ref="A1:BA319"/>
  <sheetViews>
    <sheetView topLeftCell="A6" zoomScale="60" zoomScaleNormal="60" zoomScalePageLayoutView="80" workbookViewId="0">
      <selection activeCell="BA51" sqref="BA51"/>
    </sheetView>
  </sheetViews>
  <sheetFormatPr defaultRowHeight="12.75" outlineLevelCol="1"/>
  <cols>
    <col min="1" max="1" width="50.42578125" customWidth="1"/>
    <col min="2" max="2" width="9.140625" hidden="1" customWidth="1"/>
    <col min="3" max="3" width="10.140625" hidden="1" customWidth="1"/>
    <col min="4" max="4" width="7.5703125" hidden="1" customWidth="1"/>
    <col min="5" max="5" width="10" hidden="1" customWidth="1"/>
    <col min="6" max="6" width="8.42578125" hidden="1" customWidth="1"/>
    <col min="7" max="7" width="9.7109375" hidden="1" customWidth="1"/>
    <col min="8" max="8" width="8.42578125" hidden="1" customWidth="1"/>
    <col min="9" max="9" width="12.5703125" hidden="1" customWidth="1"/>
    <col min="10" max="10" width="11" hidden="1" customWidth="1"/>
    <col min="11" max="11" width="12.140625" hidden="1" customWidth="1"/>
    <col min="12" max="12" width="10.42578125" hidden="1" customWidth="1"/>
    <col min="13" max="13" width="8.85546875" hidden="1" customWidth="1" outlineLevel="1"/>
    <col min="14" max="14" width="12.85546875" hidden="1" customWidth="1" outlineLevel="1"/>
    <col min="15" max="15" width="8.7109375" hidden="1" customWidth="1" outlineLevel="1"/>
    <col min="16" max="16" width="12.85546875" hidden="1" customWidth="1"/>
    <col min="17" max="17" width="7.7109375" hidden="1" customWidth="1" outlineLevel="1"/>
    <col min="18" max="18" width="9.28515625" hidden="1" customWidth="1" outlineLevel="1"/>
    <col min="19" max="19" width="9.140625" style="337" hidden="1" customWidth="1"/>
    <col min="20" max="21" width="10.42578125" style="337" hidden="1" customWidth="1" outlineLevel="1"/>
    <col min="22" max="22" width="13.28515625" style="618" hidden="1" customWidth="1" collapsed="1"/>
    <col min="23" max="23" width="10" hidden="1" customWidth="1" outlineLevel="1"/>
    <col min="24" max="24" width="12.85546875" style="381" hidden="1" customWidth="1" collapsed="1"/>
    <col min="25" max="25" width="13.7109375" style="381" hidden="1" customWidth="1"/>
    <col min="26" max="26" width="12.85546875" style="381" hidden="1" customWidth="1"/>
    <col min="27" max="27" width="13.5703125" style="381" hidden="1" customWidth="1"/>
    <col min="28" max="29" width="12.85546875" style="381" customWidth="1"/>
    <col min="30" max="30" width="12.85546875" hidden="1" customWidth="1"/>
    <col min="31" max="31" width="16" hidden="1" customWidth="1"/>
    <col min="32" max="32" width="17.140625" hidden="1" customWidth="1"/>
    <col min="33" max="33" width="12.85546875" customWidth="1"/>
    <col min="34" max="34" width="14" customWidth="1"/>
    <col min="35" max="35" width="16.85546875" hidden="1" customWidth="1"/>
    <col min="36" max="38" width="12.85546875" hidden="1" customWidth="1"/>
    <col min="39" max="39" width="13.85546875" customWidth="1"/>
    <col min="40" max="41" width="13.85546875" hidden="1" customWidth="1"/>
    <col min="42" max="51" width="13.85546875" customWidth="1"/>
    <col min="52" max="53" width="12.85546875" customWidth="1"/>
  </cols>
  <sheetData>
    <row r="1" spans="1:51">
      <c r="A1" s="5021" t="s">
        <v>1531</v>
      </c>
      <c r="B1" s="5021"/>
      <c r="C1" s="5021"/>
      <c r="D1" s="5021"/>
      <c r="E1" s="5021"/>
      <c r="F1" s="5021"/>
      <c r="G1" s="5021"/>
      <c r="H1" s="5021"/>
      <c r="I1" s="5021"/>
      <c r="J1" s="5021"/>
      <c r="K1" s="5021"/>
      <c r="L1" s="5021"/>
      <c r="M1" s="5021"/>
      <c r="N1" s="5021"/>
      <c r="O1" s="5021"/>
      <c r="P1" s="5021"/>
      <c r="Q1" s="5021"/>
      <c r="R1" s="5021"/>
      <c r="S1" s="5021"/>
      <c r="T1" s="5021"/>
      <c r="U1" s="5021"/>
      <c r="V1" s="5021"/>
      <c r="W1" s="5021"/>
      <c r="X1" s="5021"/>
      <c r="Y1" s="5021"/>
      <c r="Z1" s="5021"/>
      <c r="AA1" s="5021"/>
      <c r="AB1" s="5021"/>
      <c r="AC1" s="5021"/>
      <c r="AD1" s="5021"/>
      <c r="AE1" s="5021"/>
      <c r="AF1" s="5021"/>
      <c r="AG1" s="5021"/>
      <c r="AH1" s="5021"/>
      <c r="AI1" s="5021"/>
      <c r="AJ1" s="5021"/>
      <c r="AK1" s="5021"/>
      <c r="AL1" s="5021"/>
      <c r="AM1" s="5021"/>
      <c r="AN1" s="5021"/>
      <c r="AO1" s="5021"/>
      <c r="AP1" s="5021"/>
      <c r="AQ1" s="5021"/>
      <c r="AR1" s="5021"/>
      <c r="AS1" s="5021"/>
      <c r="AT1" s="5021"/>
      <c r="AU1" s="5021"/>
      <c r="AV1" s="5021"/>
      <c r="AW1" s="4894"/>
      <c r="AX1" s="4894"/>
      <c r="AY1" s="4894"/>
    </row>
    <row r="2" spans="1:51" ht="25.5">
      <c r="A2" s="5326" t="s">
        <v>82</v>
      </c>
      <c r="B2" s="5326"/>
      <c r="C2" s="5326"/>
      <c r="D2" s="5326"/>
      <c r="E2" s="5326"/>
      <c r="F2" s="5326"/>
      <c r="G2" s="5326"/>
      <c r="H2" s="5326"/>
      <c r="I2" s="5326"/>
      <c r="J2" s="5326"/>
      <c r="K2" s="5326"/>
      <c r="L2" s="5326"/>
      <c r="M2" s="5326"/>
      <c r="N2" s="5326"/>
      <c r="O2" s="5326"/>
      <c r="P2" s="5326"/>
      <c r="Q2" s="5326"/>
      <c r="R2" s="5326"/>
      <c r="S2" s="5326"/>
      <c r="T2" s="5326"/>
      <c r="U2" s="5326"/>
      <c r="V2" s="5326"/>
      <c r="W2" s="5326"/>
      <c r="X2" s="5326"/>
      <c r="Y2" s="5326"/>
      <c r="Z2" s="5326"/>
      <c r="AA2" s="5326"/>
      <c r="AB2" s="5326"/>
      <c r="AC2" s="5326"/>
      <c r="AD2" s="5326"/>
      <c r="AE2" s="5326"/>
      <c r="AF2" s="5326"/>
      <c r="AG2" s="5326"/>
      <c r="AH2" s="5326"/>
      <c r="AI2" s="5326"/>
      <c r="AJ2" s="5326"/>
      <c r="AK2" s="5596"/>
      <c r="AL2" s="5596"/>
      <c r="AM2" s="5596"/>
      <c r="AN2" s="5596"/>
      <c r="AO2" s="5596"/>
      <c r="AP2" s="5596"/>
      <c r="AQ2" s="5596"/>
      <c r="AR2" s="5596"/>
      <c r="AS2" s="5596"/>
      <c r="AT2" s="5596"/>
      <c r="AU2" s="5596"/>
      <c r="AV2" s="5596"/>
      <c r="AW2" s="4894"/>
      <c r="AX2" s="4894"/>
      <c r="AY2" s="4894"/>
    </row>
    <row r="3" spans="1:51" ht="15.75">
      <c r="A3" s="432"/>
      <c r="B3" s="432"/>
      <c r="C3" s="432"/>
      <c r="D3" s="432"/>
      <c r="E3" s="432"/>
      <c r="F3" s="432"/>
      <c r="G3" s="432"/>
      <c r="H3" s="432"/>
      <c r="I3" s="432"/>
      <c r="J3" s="432"/>
      <c r="K3" s="432"/>
      <c r="L3" s="432"/>
      <c r="M3" s="432"/>
      <c r="N3" s="432"/>
      <c r="O3" s="432"/>
      <c r="P3" s="432"/>
      <c r="Q3" s="432"/>
      <c r="R3" s="432"/>
      <c r="S3" s="433"/>
      <c r="T3" s="433"/>
      <c r="U3" s="433"/>
      <c r="V3" s="436"/>
      <c r="W3" s="5"/>
      <c r="X3" s="436"/>
      <c r="Y3" s="436"/>
      <c r="Z3" s="436"/>
      <c r="AA3" s="436"/>
      <c r="AB3" s="436"/>
      <c r="AC3" s="436"/>
      <c r="AD3" s="5"/>
      <c r="AE3" s="5"/>
      <c r="AF3" s="5"/>
      <c r="AG3" s="5"/>
      <c r="AH3" s="5"/>
      <c r="AI3" s="5"/>
      <c r="AJ3" s="5"/>
    </row>
    <row r="4" spans="1:51" ht="13.5" thickBot="1">
      <c r="A4" s="434"/>
      <c r="B4" s="434"/>
      <c r="C4" s="434"/>
      <c r="D4" s="434"/>
      <c r="E4" s="434"/>
      <c r="F4" s="434"/>
      <c r="G4" s="434"/>
      <c r="H4" s="434"/>
      <c r="I4" s="434"/>
      <c r="J4" s="434"/>
      <c r="K4" s="434"/>
      <c r="L4" s="434"/>
      <c r="M4" s="5"/>
      <c r="N4" s="5"/>
      <c r="O4" s="5"/>
      <c r="P4" s="435" t="s">
        <v>56</v>
      </c>
      <c r="Q4" s="435"/>
      <c r="R4" s="5"/>
      <c r="S4" s="433"/>
      <c r="T4" s="433"/>
      <c r="U4" s="433"/>
      <c r="V4" s="436"/>
      <c r="W4" s="5"/>
      <c r="X4" s="436"/>
      <c r="Y4" s="436"/>
      <c r="Z4" s="436"/>
      <c r="AA4" s="436"/>
      <c r="AB4" s="436"/>
      <c r="AC4" s="436"/>
      <c r="AD4" s="5"/>
      <c r="AE4" s="5"/>
      <c r="AF4" s="5"/>
      <c r="AG4" s="5"/>
      <c r="AH4" s="5"/>
      <c r="AI4" s="5"/>
      <c r="AJ4" s="5"/>
    </row>
    <row r="5" spans="1:51" ht="16.5" customHeight="1">
      <c r="A5" s="5160" t="s">
        <v>545</v>
      </c>
      <c r="B5" s="6108" t="s">
        <v>58</v>
      </c>
      <c r="C5" s="6014" t="s">
        <v>59</v>
      </c>
      <c r="D5" s="6014"/>
      <c r="E5" s="6014" t="s">
        <v>67</v>
      </c>
      <c r="F5" s="6014"/>
      <c r="G5" s="6014" t="s">
        <v>95</v>
      </c>
      <c r="H5" s="6014"/>
      <c r="I5" s="6014" t="s">
        <v>124</v>
      </c>
      <c r="J5" s="6014"/>
      <c r="K5" s="6014"/>
      <c r="L5" s="6014"/>
      <c r="M5" s="6014"/>
      <c r="N5" s="5267" t="s">
        <v>163</v>
      </c>
      <c r="O5" s="5267"/>
      <c r="P5" s="5267"/>
      <c r="Q5" s="5267"/>
      <c r="R5" s="5267"/>
      <c r="S5" s="5267"/>
      <c r="T5" s="5267"/>
      <c r="U5" s="5278"/>
      <c r="V5" s="6116" t="s">
        <v>238</v>
      </c>
      <c r="W5" s="6117"/>
      <c r="X5" s="6117"/>
      <c r="Y5" s="6117"/>
      <c r="Z5" s="6117"/>
      <c r="AA5" s="6118"/>
      <c r="AB5" s="6119" t="s">
        <v>379</v>
      </c>
      <c r="AC5" s="5352"/>
      <c r="AD5" s="5352"/>
      <c r="AE5" s="6120"/>
      <c r="AF5" s="6121"/>
      <c r="AG5" s="6119" t="s">
        <v>832</v>
      </c>
      <c r="AH5" s="5352"/>
      <c r="AI5" s="6093"/>
      <c r="AJ5" s="6110" t="s">
        <v>246</v>
      </c>
      <c r="AK5" s="6111"/>
      <c r="AL5" s="6112"/>
      <c r="AM5" s="5979" t="s">
        <v>1654</v>
      </c>
      <c r="AN5" s="5840" t="s">
        <v>1595</v>
      </c>
      <c r="AO5" s="5841"/>
      <c r="AP5" s="5842"/>
      <c r="AQ5" s="6092" t="s">
        <v>911</v>
      </c>
      <c r="AR5" s="5352"/>
      <c r="AS5" s="6095"/>
      <c r="AT5" s="6064" t="s">
        <v>1897</v>
      </c>
      <c r="AU5" s="6065"/>
      <c r="AV5" s="6066"/>
      <c r="AW5" s="6092" t="s">
        <v>1849</v>
      </c>
      <c r="AX5" s="5352"/>
      <c r="AY5" s="6093"/>
    </row>
    <row r="6" spans="1:51" ht="13.5" customHeight="1">
      <c r="A6" s="5251"/>
      <c r="B6" s="6108"/>
      <c r="C6" s="5267" t="s">
        <v>61</v>
      </c>
      <c r="D6" s="5267" t="s">
        <v>62</v>
      </c>
      <c r="E6" s="5267" t="s">
        <v>61</v>
      </c>
      <c r="F6" s="5267" t="s">
        <v>66</v>
      </c>
      <c r="G6" s="5267" t="s">
        <v>61</v>
      </c>
      <c r="H6" s="5267" t="s">
        <v>112</v>
      </c>
      <c r="I6" s="5267" t="s">
        <v>60</v>
      </c>
      <c r="J6" s="5267" t="s">
        <v>63</v>
      </c>
      <c r="K6" s="5267" t="s">
        <v>110</v>
      </c>
      <c r="L6" s="5267" t="s">
        <v>61</v>
      </c>
      <c r="M6" s="5267" t="s">
        <v>123</v>
      </c>
      <c r="N6" s="5267" t="s">
        <v>126</v>
      </c>
      <c r="O6" s="5267" t="s">
        <v>170</v>
      </c>
      <c r="P6" s="5267" t="s">
        <v>127</v>
      </c>
      <c r="Q6" s="5267" t="s">
        <v>212</v>
      </c>
      <c r="R6" s="5267" t="s">
        <v>213</v>
      </c>
      <c r="S6" s="6096" t="s">
        <v>110</v>
      </c>
      <c r="T6" s="6096" t="s">
        <v>64</v>
      </c>
      <c r="U6" s="6109" t="s">
        <v>61</v>
      </c>
      <c r="V6" s="6006" t="s">
        <v>567</v>
      </c>
      <c r="W6" s="5355" t="s">
        <v>243</v>
      </c>
      <c r="X6" s="5355" t="s">
        <v>568</v>
      </c>
      <c r="Y6" s="5355" t="s">
        <v>390</v>
      </c>
      <c r="Z6" s="5355" t="s">
        <v>134</v>
      </c>
      <c r="AA6" s="6005" t="s">
        <v>657</v>
      </c>
      <c r="AB6" s="6006" t="s">
        <v>567</v>
      </c>
      <c r="AC6" s="5355" t="s">
        <v>568</v>
      </c>
      <c r="AD6" s="5267" t="s">
        <v>569</v>
      </c>
      <c r="AE6" s="5355" t="s">
        <v>390</v>
      </c>
      <c r="AF6" s="6005" t="s">
        <v>134</v>
      </c>
      <c r="AG6" s="6006" t="s">
        <v>567</v>
      </c>
      <c r="AH6" s="5355" t="s">
        <v>568</v>
      </c>
      <c r="AI6" s="6029" t="s">
        <v>569</v>
      </c>
      <c r="AJ6" s="6113"/>
      <c r="AK6" s="6114"/>
      <c r="AL6" s="6115"/>
      <c r="AM6" s="5980"/>
      <c r="AN6" s="6087"/>
      <c r="AO6" s="6088"/>
      <c r="AP6" s="6089"/>
      <c r="AQ6" s="6094" t="s">
        <v>567</v>
      </c>
      <c r="AR6" s="5355" t="s">
        <v>568</v>
      </c>
      <c r="AS6" s="4918" t="s">
        <v>569</v>
      </c>
      <c r="AT6" s="6068" t="s">
        <v>598</v>
      </c>
      <c r="AU6" s="6070" t="s">
        <v>229</v>
      </c>
      <c r="AV6" s="6071" t="s">
        <v>1899</v>
      </c>
      <c r="AW6" s="6094" t="s">
        <v>567</v>
      </c>
      <c r="AX6" s="5355" t="s">
        <v>568</v>
      </c>
      <c r="AY6" s="6005" t="s">
        <v>569</v>
      </c>
    </row>
    <row r="7" spans="1:51" ht="14.25" customHeight="1">
      <c r="A7" s="5251"/>
      <c r="B7" s="6108"/>
      <c r="C7" s="5267"/>
      <c r="D7" s="5267"/>
      <c r="E7" s="5267"/>
      <c r="F7" s="5267"/>
      <c r="G7" s="5267"/>
      <c r="H7" s="5267"/>
      <c r="I7" s="5267"/>
      <c r="J7" s="5267"/>
      <c r="K7" s="5267"/>
      <c r="L7" s="5267"/>
      <c r="M7" s="5267"/>
      <c r="N7" s="5267"/>
      <c r="O7" s="5267"/>
      <c r="P7" s="5267"/>
      <c r="Q7" s="5267"/>
      <c r="R7" s="5267"/>
      <c r="S7" s="6096"/>
      <c r="T7" s="6096"/>
      <c r="U7" s="6109"/>
      <c r="V7" s="6006"/>
      <c r="W7" s="5355"/>
      <c r="X7" s="5355"/>
      <c r="Y7" s="5355"/>
      <c r="Z7" s="5355"/>
      <c r="AA7" s="6005"/>
      <c r="AB7" s="6006"/>
      <c r="AC7" s="5355"/>
      <c r="AD7" s="5267"/>
      <c r="AE7" s="5355"/>
      <c r="AF7" s="6005"/>
      <c r="AG7" s="6006"/>
      <c r="AH7" s="5355"/>
      <c r="AI7" s="6029"/>
      <c r="AJ7" s="6113"/>
      <c r="AK7" s="6114"/>
      <c r="AL7" s="6115"/>
      <c r="AM7" s="5980"/>
      <c r="AN7" s="6087"/>
      <c r="AO7" s="6088"/>
      <c r="AP7" s="6089"/>
      <c r="AQ7" s="6094"/>
      <c r="AR7" s="5355"/>
      <c r="AS7" s="4918"/>
      <c r="AT7" s="6068"/>
      <c r="AU7" s="6070"/>
      <c r="AV7" s="6072"/>
      <c r="AW7" s="6094"/>
      <c r="AX7" s="5355"/>
      <c r="AY7" s="6005"/>
    </row>
    <row r="8" spans="1:51" ht="29.25" customHeight="1">
      <c r="A8" s="5251"/>
      <c r="B8" s="6108"/>
      <c r="C8" s="5267"/>
      <c r="D8" s="5267"/>
      <c r="E8" s="5267"/>
      <c r="F8" s="5267"/>
      <c r="G8" s="5267"/>
      <c r="H8" s="5267"/>
      <c r="I8" s="5267"/>
      <c r="J8" s="5267"/>
      <c r="K8" s="5267"/>
      <c r="L8" s="5267"/>
      <c r="M8" s="5267"/>
      <c r="N8" s="5267"/>
      <c r="O8" s="5267"/>
      <c r="P8" s="5267"/>
      <c r="Q8" s="5267"/>
      <c r="R8" s="5267"/>
      <c r="S8" s="6096"/>
      <c r="T8" s="6096"/>
      <c r="U8" s="6109"/>
      <c r="V8" s="6006"/>
      <c r="W8" s="5355"/>
      <c r="X8" s="5355"/>
      <c r="Y8" s="5355"/>
      <c r="Z8" s="5355"/>
      <c r="AA8" s="6005"/>
      <c r="AB8" s="6006"/>
      <c r="AC8" s="5355"/>
      <c r="AD8" s="5267"/>
      <c r="AE8" s="5355"/>
      <c r="AF8" s="6005"/>
      <c r="AG8" s="6006"/>
      <c r="AH8" s="5355"/>
      <c r="AI8" s="6029"/>
      <c r="AJ8" s="6113"/>
      <c r="AK8" s="6114"/>
      <c r="AL8" s="6115"/>
      <c r="AM8" s="5981"/>
      <c r="AN8" s="6090"/>
      <c r="AO8" s="5018"/>
      <c r="AP8" s="6091"/>
      <c r="AQ8" s="6094"/>
      <c r="AR8" s="5355"/>
      <c r="AS8" s="4918"/>
      <c r="AT8" s="5321"/>
      <c r="AU8" s="5323"/>
      <c r="AV8" s="6073"/>
      <c r="AW8" s="6094"/>
      <c r="AX8" s="5355"/>
      <c r="AY8" s="6005"/>
    </row>
    <row r="9" spans="1:51" ht="46.5" customHeight="1">
      <c r="A9" s="1171" t="s">
        <v>72</v>
      </c>
      <c r="B9" s="1169">
        <v>3590.7</v>
      </c>
      <c r="C9" s="1157">
        <v>3994.1</v>
      </c>
      <c r="D9" s="1158">
        <f t="shared" ref="D9:D18" si="0">C9/B9*100</f>
        <v>111.23457821594675</v>
      </c>
      <c r="E9" s="1009">
        <v>5061.1000000000004</v>
      </c>
      <c r="F9" s="1114">
        <f>E9/C9*100</f>
        <v>126.71440374552465</v>
      </c>
      <c r="G9" s="1009">
        <v>5204.1000000000004</v>
      </c>
      <c r="H9" s="1114">
        <f>G9/E9*100</f>
        <v>102.82547272332101</v>
      </c>
      <c r="I9" s="1009">
        <v>5863.5</v>
      </c>
      <c r="J9" s="1009">
        <v>2662.2</v>
      </c>
      <c r="K9" s="1009">
        <v>3506.3</v>
      </c>
      <c r="L9" s="1009">
        <v>5246.3</v>
      </c>
      <c r="M9" s="1114">
        <f>L9/G9*100</f>
        <v>100.81089909878749</v>
      </c>
      <c r="N9" s="1009">
        <v>7305.8</v>
      </c>
      <c r="O9" s="1114">
        <f>N9/I9*100</f>
        <v>124.59793638611751</v>
      </c>
      <c r="P9" s="1009">
        <v>6279.8</v>
      </c>
      <c r="Q9" s="1114">
        <f>P9/I9*100</f>
        <v>107.09985503538842</v>
      </c>
      <c r="R9" s="1114">
        <f>P9/L9*100</f>
        <v>119.69959781179116</v>
      </c>
      <c r="S9" s="1009">
        <v>4175.6000000000004</v>
      </c>
      <c r="T9" s="1009"/>
      <c r="U9" s="1136">
        <v>5450.9</v>
      </c>
      <c r="V9" s="1050">
        <v>7339.4</v>
      </c>
      <c r="W9" s="1030">
        <f>V9/P9</f>
        <v>1.1687314882639575</v>
      </c>
      <c r="X9" s="1026">
        <f>P9*1.056</f>
        <v>6631.4688000000006</v>
      </c>
      <c r="Y9" s="1026"/>
      <c r="Z9" s="1026"/>
      <c r="AA9" s="1187">
        <v>4558.8999999999996</v>
      </c>
      <c r="AB9" s="1046">
        <v>7001.8</v>
      </c>
      <c r="AC9" s="1026">
        <f>U9*1.074*1.067</f>
        <v>6246.5024621999992</v>
      </c>
      <c r="AD9" s="1030">
        <f>AC9/X9</f>
        <v>0.94194855628363938</v>
      </c>
      <c r="AE9" s="1026">
        <v>2176.5</v>
      </c>
      <c r="AF9" s="1187">
        <v>3321.14</v>
      </c>
      <c r="AG9" s="1046">
        <f>SUM(AC9*1.1)</f>
        <v>6871.1527084199997</v>
      </c>
      <c r="AH9" s="1026">
        <f>AF9/3*4*1.074</f>
        <v>4755.87248</v>
      </c>
      <c r="AI9" s="1056">
        <f>SUM(AH9/AC9)</f>
        <v>0.76136566162898722</v>
      </c>
      <c r="AJ9" s="6033" t="str">
        <f>'цех вода'!AI8</f>
        <v xml:space="preserve"> </v>
      </c>
      <c r="AK9" s="6034"/>
      <c r="AL9" s="6035"/>
      <c r="AM9" s="2846">
        <v>4543.26</v>
      </c>
      <c r="AN9" s="2837">
        <v>2638.98</v>
      </c>
      <c r="AO9" s="2976">
        <v>4110.7</v>
      </c>
      <c r="AP9" s="2959">
        <v>5465.95</v>
      </c>
      <c r="AQ9" s="3752">
        <f>SUM(AQ11*AQ10*12)/1000</f>
        <v>5142.6342000000013</v>
      </c>
      <c r="AR9" s="1026">
        <f>AH9*(1-0.01)*(1+0.071)*(1+0)</f>
        <v>5042.6040318191999</v>
      </c>
      <c r="AS9" s="4312">
        <f>SUM(AR9/AH9)</f>
        <v>1.06029</v>
      </c>
      <c r="AT9" s="4183">
        <v>2523.81</v>
      </c>
      <c r="AU9" s="4113">
        <v>3760.73</v>
      </c>
      <c r="AV9" s="4278">
        <f>SUM(AT9+((AU9-AT9)/3*6))</f>
        <v>4997.6499999999996</v>
      </c>
      <c r="AW9" s="4344">
        <f>AR9*(1-0.01)*(1+0.058)*(1+0)</f>
        <v>5281.7243150080658</v>
      </c>
      <c r="AX9" s="1026">
        <f>AR9*(1-0.01)*(1+0.058)*(1+0)*1.007</f>
        <v>5318.6963852131221</v>
      </c>
      <c r="AY9" s="3753">
        <f>SUM(AX9/AR9)</f>
        <v>1.0547519399999998</v>
      </c>
    </row>
    <row r="10" spans="1:51" s="189" customFormat="1" ht="46.5" customHeight="1">
      <c r="A10" s="1953" t="s">
        <v>1472</v>
      </c>
      <c r="B10" s="1954"/>
      <c r="C10" s="1942"/>
      <c r="D10" s="1942"/>
      <c r="E10" s="1944"/>
      <c r="F10" s="1944"/>
      <c r="G10" s="1944"/>
      <c r="H10" s="1944"/>
      <c r="I10" s="1944"/>
      <c r="J10" s="1944"/>
      <c r="K10" s="1944"/>
      <c r="L10" s="1944"/>
      <c r="M10" s="1944"/>
      <c r="N10" s="1944"/>
      <c r="O10" s="1944"/>
      <c r="P10" s="1944"/>
      <c r="Q10" s="1944"/>
      <c r="R10" s="1944"/>
      <c r="S10" s="1944"/>
      <c r="T10" s="1944"/>
      <c r="U10" s="1955"/>
      <c r="V10" s="1956"/>
      <c r="W10" s="1957"/>
      <c r="X10" s="1958"/>
      <c r="Y10" s="1958"/>
      <c r="Z10" s="1958"/>
      <c r="AA10" s="1959"/>
      <c r="AB10" s="1960"/>
      <c r="AC10" s="1958"/>
      <c r="AD10" s="1957"/>
      <c r="AE10" s="1958">
        <v>10</v>
      </c>
      <c r="AF10" s="1959">
        <f>AE10</f>
        <v>10</v>
      </c>
      <c r="AG10" s="1960"/>
      <c r="AH10" s="1958">
        <f>AE10</f>
        <v>10</v>
      </c>
      <c r="AI10" s="1961"/>
      <c r="AJ10" s="6033">
        <f>'цех вода'!AI9</f>
        <v>0</v>
      </c>
      <c r="AK10" s="6034"/>
      <c r="AL10" s="6035"/>
      <c r="AM10" s="2847">
        <v>10</v>
      </c>
      <c r="AN10" s="2838">
        <v>11</v>
      </c>
      <c r="AO10" s="2964">
        <v>11</v>
      </c>
      <c r="AP10" s="2839">
        <v>12</v>
      </c>
      <c r="AQ10" s="3754">
        <v>10</v>
      </c>
      <c r="AR10" s="1958">
        <v>10</v>
      </c>
      <c r="AS10" s="4312">
        <f t="shared" ref="AS10:AS54" si="1">SUM(AR10/AH10)</f>
        <v>1</v>
      </c>
      <c r="AT10" s="4321">
        <v>10</v>
      </c>
      <c r="AU10" s="4322">
        <v>9</v>
      </c>
      <c r="AV10" s="4319">
        <v>9</v>
      </c>
      <c r="AW10" s="4307">
        <v>10</v>
      </c>
      <c r="AX10" s="1958">
        <v>10</v>
      </c>
      <c r="AY10" s="3753">
        <f t="shared" ref="AY10:AY54" si="2">SUM(AX10/AR10)</f>
        <v>1</v>
      </c>
    </row>
    <row r="11" spans="1:51" s="189" customFormat="1" ht="46.5" customHeight="1">
      <c r="A11" s="1953" t="s">
        <v>1473</v>
      </c>
      <c r="B11" s="1954"/>
      <c r="C11" s="1942"/>
      <c r="D11" s="1942"/>
      <c r="E11" s="1944"/>
      <c r="F11" s="1944"/>
      <c r="G11" s="1944"/>
      <c r="H11" s="1944"/>
      <c r="I11" s="1944"/>
      <c r="J11" s="1944"/>
      <c r="K11" s="1944"/>
      <c r="L11" s="1944"/>
      <c r="M11" s="1944"/>
      <c r="N11" s="1944"/>
      <c r="O11" s="1944"/>
      <c r="P11" s="1944"/>
      <c r="Q11" s="1944"/>
      <c r="R11" s="1944"/>
      <c r="S11" s="1944"/>
      <c r="T11" s="1944"/>
      <c r="U11" s="1955"/>
      <c r="V11" s="1956"/>
      <c r="W11" s="1957"/>
      <c r="X11" s="1958"/>
      <c r="Y11" s="1958"/>
      <c r="Z11" s="1958"/>
      <c r="AA11" s="1959"/>
      <c r="AB11" s="1960"/>
      <c r="AC11" s="1958"/>
      <c r="AD11" s="1957"/>
      <c r="AE11" s="1958">
        <f>AE9/AE10/6*1000</f>
        <v>36275</v>
      </c>
      <c r="AF11" s="1958">
        <f>AF9/AF10/9*1000</f>
        <v>36901.555555555555</v>
      </c>
      <c r="AG11" s="1960"/>
      <c r="AH11" s="1958">
        <f>AE11*1.074</f>
        <v>38959.350000000006</v>
      </c>
      <c r="AI11" s="1961"/>
      <c r="AJ11" s="6033" t="str">
        <f>'цех вода'!AI10</f>
        <v>ИПЦ в размере 107,4% от факт.ЗП за 2014 год</v>
      </c>
      <c r="AK11" s="6034"/>
      <c r="AL11" s="6035"/>
      <c r="AM11" s="2847">
        <f>AM9/AM10/12*1000</f>
        <v>37860.5</v>
      </c>
      <c r="AN11" s="2838">
        <f>AN9/AN10/6*1000</f>
        <v>39984.545454545456</v>
      </c>
      <c r="AO11" s="2964">
        <f>AO9/AO10/9*1000</f>
        <v>41522.222222222219</v>
      </c>
      <c r="AP11" s="2839">
        <f>AP9/AP10/12*1000</f>
        <v>37957.986111111109</v>
      </c>
      <c r="AQ11" s="3754">
        <f>SUM(AH11*1.1)</f>
        <v>42855.285000000011</v>
      </c>
      <c r="AR11" s="1011">
        <f>AH11*(1-0.01)*(1+0.071)*(1+0)</f>
        <v>41308.209211500005</v>
      </c>
      <c r="AS11" s="4312">
        <f t="shared" si="1"/>
        <v>1.06029</v>
      </c>
      <c r="AT11" s="4321">
        <f>AT9/AT10/6*1000</f>
        <v>42063.5</v>
      </c>
      <c r="AU11" s="4322">
        <f>AU9/AU10/9*1000</f>
        <v>46428.765432098764</v>
      </c>
      <c r="AV11" s="4319">
        <f>AV9/AV10/12*1000</f>
        <v>46274.537037037029</v>
      </c>
      <c r="AW11" s="4438">
        <f t="shared" ref="AW11:AX11" si="3">AW9/AW10/12*1000</f>
        <v>44014.369291733885</v>
      </c>
      <c r="AX11" s="4439">
        <f t="shared" si="3"/>
        <v>44322.46987677602</v>
      </c>
      <c r="AY11" s="4437">
        <f t="shared" si="2"/>
        <v>1.0729700154718123</v>
      </c>
    </row>
    <row r="12" spans="1:51" ht="41.25" customHeight="1">
      <c r="A12" s="1171" t="s">
        <v>5</v>
      </c>
      <c r="B12" s="1169">
        <v>898.5</v>
      </c>
      <c r="C12" s="1157">
        <v>887.6</v>
      </c>
      <c r="D12" s="1158">
        <f t="shared" si="0"/>
        <v>98.786867000556484</v>
      </c>
      <c r="E12" s="1009">
        <v>1300.4000000000001</v>
      </c>
      <c r="F12" s="1114">
        <f t="shared" ref="F12:F45" si="4">E12/C12*100</f>
        <v>146.50743578188374</v>
      </c>
      <c r="G12" s="1009">
        <v>1722.2</v>
      </c>
      <c r="H12" s="1114">
        <f t="shared" ref="H12:H45" si="5">G12/E12*100</f>
        <v>132.4361734850815</v>
      </c>
      <c r="I12" s="1009">
        <f>I9*30.2/100</f>
        <v>1770.7769999999998</v>
      </c>
      <c r="J12" s="1009">
        <v>858</v>
      </c>
      <c r="K12" s="1009">
        <v>1052.7</v>
      </c>
      <c r="L12" s="1009">
        <v>1516.7</v>
      </c>
      <c r="M12" s="1114">
        <f t="shared" ref="M12:M45" si="6">L12/G12*100</f>
        <v>88.067587968877021</v>
      </c>
      <c r="N12" s="1009">
        <v>2206.35</v>
      </c>
      <c r="O12" s="1114">
        <f t="shared" ref="O12:O45" si="7">N12/I12*100</f>
        <v>124.59784603030195</v>
      </c>
      <c r="P12" s="1009">
        <f>P9*30.2/100</f>
        <v>1896.4995999999999</v>
      </c>
      <c r="Q12" s="1114">
        <f t="shared" ref="Q12:Q41" si="8">P12/I12*100</f>
        <v>107.09985503538842</v>
      </c>
      <c r="R12" s="1114">
        <f>P12/L12*100</f>
        <v>125.04118151249422</v>
      </c>
      <c r="S12" s="1009">
        <v>1252.8</v>
      </c>
      <c r="T12" s="1009"/>
      <c r="U12" s="1136">
        <v>1634.9</v>
      </c>
      <c r="V12" s="1050">
        <v>2216.5</v>
      </c>
      <c r="W12" s="1030">
        <f t="shared" ref="W12:W42" si="9">V12/P12</f>
        <v>1.1687321210086203</v>
      </c>
      <c r="X12" s="1026">
        <f>X9*S13</f>
        <v>1989.6312177028451</v>
      </c>
      <c r="Y12" s="1026"/>
      <c r="Z12" s="1026"/>
      <c r="AA12" s="1187">
        <v>1368.5</v>
      </c>
      <c r="AB12" s="1046">
        <v>2114.54</v>
      </c>
      <c r="AC12" s="1026">
        <f>AC9*AC13</f>
        <v>1873.5267342000002</v>
      </c>
      <c r="AD12" s="1030">
        <f t="shared" ref="AD12:AD46" si="10">AC12/X12</f>
        <v>0.9416452242657839</v>
      </c>
      <c r="AE12" s="1026">
        <v>653.79999999999995</v>
      </c>
      <c r="AF12" s="1187">
        <v>997.09</v>
      </c>
      <c r="AG12" s="1046">
        <f>SUM(AG9*AG13)</f>
        <v>2075.0881179428397</v>
      </c>
      <c r="AH12" s="1026">
        <f>AH9*AH13</f>
        <v>1427.627605097721</v>
      </c>
      <c r="AI12" s="1056">
        <f t="shared" ref="AI12:AI46" si="11">SUM(AH12/AC12)</f>
        <v>0.76200012470455669</v>
      </c>
      <c r="AJ12" s="6033" t="s">
        <v>250</v>
      </c>
      <c r="AK12" s="6034"/>
      <c r="AL12" s="6035"/>
      <c r="AM12" s="2846">
        <v>1365.1</v>
      </c>
      <c r="AN12" s="2837">
        <v>795.3</v>
      </c>
      <c r="AO12" s="2976">
        <v>1238.8599999999999</v>
      </c>
      <c r="AP12" s="3766">
        <v>1645.78</v>
      </c>
      <c r="AQ12" s="3752">
        <f>SUM(AQ9*AQ13)</f>
        <v>1545.3615771000004</v>
      </c>
      <c r="AR12" s="1026">
        <f>AH12*(1-0.01)*(1+0.071)*(1+0)</f>
        <v>1513.6992734090625</v>
      </c>
      <c r="AS12" s="4312">
        <f t="shared" si="1"/>
        <v>1.06029</v>
      </c>
      <c r="AT12" s="4183">
        <v>760.62</v>
      </c>
      <c r="AU12" s="4113">
        <v>1131.3499999999999</v>
      </c>
      <c r="AV12" s="4266">
        <v>1503.29</v>
      </c>
      <c r="AW12" s="4344">
        <f>AR12*(1-0.01)*(1+0.058)*(1+0)</f>
        <v>1585.4788929541203</v>
      </c>
      <c r="AX12" s="1026">
        <f>AR12*(1-0.01)*(1+0.058)*(1+0)*1.007</f>
        <v>1596.5772452047991</v>
      </c>
      <c r="AY12" s="3753">
        <f t="shared" si="2"/>
        <v>1.0547519400000001</v>
      </c>
    </row>
    <row r="13" spans="1:51" ht="18.75">
      <c r="A13" s="1171" t="s">
        <v>321</v>
      </c>
      <c r="B13" s="1169"/>
      <c r="C13" s="1157"/>
      <c r="D13" s="1158"/>
      <c r="E13" s="1159">
        <f>E12/E9</f>
        <v>0.25694019086759795</v>
      </c>
      <c r="F13" s="1159">
        <f t="shared" ref="F13:X13" si="12">F12/F9</f>
        <v>1.1562019111584869</v>
      </c>
      <c r="G13" s="1159">
        <f t="shared" si="12"/>
        <v>0.33093138102649833</v>
      </c>
      <c r="H13" s="1159">
        <f t="shared" si="12"/>
        <v>1.2879704802470091</v>
      </c>
      <c r="I13" s="1159">
        <f t="shared" si="12"/>
        <v>0.30199999999999999</v>
      </c>
      <c r="J13" s="1159">
        <f t="shared" si="12"/>
        <v>0.32228983547441969</v>
      </c>
      <c r="K13" s="1159">
        <f t="shared" si="12"/>
        <v>0.3002310127484813</v>
      </c>
      <c r="L13" s="1159">
        <f t="shared" si="12"/>
        <v>0.28909898404589901</v>
      </c>
      <c r="M13" s="1159">
        <f t="shared" si="12"/>
        <v>0.8735919305964831</v>
      </c>
      <c r="N13" s="1159">
        <f t="shared" si="12"/>
        <v>0.30199978099592101</v>
      </c>
      <c r="O13" s="1159">
        <f t="shared" si="12"/>
        <v>0.99999927482093054</v>
      </c>
      <c r="P13" s="1159">
        <f t="shared" si="12"/>
        <v>0.30199999999999999</v>
      </c>
      <c r="Q13" s="1159">
        <f t="shared" si="12"/>
        <v>1</v>
      </c>
      <c r="R13" s="1159">
        <f t="shared" si="12"/>
        <v>1.0446249093426518</v>
      </c>
      <c r="S13" s="1159">
        <f t="shared" si="12"/>
        <v>0.30002873838490274</v>
      </c>
      <c r="T13" s="1159" t="e">
        <f>T12/T9</f>
        <v>#DIV/0!</v>
      </c>
      <c r="U13" s="1173">
        <f>U12/U9</f>
        <v>0.29993212130106961</v>
      </c>
      <c r="V13" s="1188">
        <f t="shared" si="12"/>
        <v>0.30200016350110365</v>
      </c>
      <c r="W13" s="1030">
        <f t="shared" si="9"/>
        <v>1.0000005413943829</v>
      </c>
      <c r="X13" s="1159">
        <f t="shared" si="12"/>
        <v>0.30002873838490274</v>
      </c>
      <c r="Y13" s="1159"/>
      <c r="Z13" s="1159"/>
      <c r="AA13" s="1189">
        <f>SUM(AA12/AA9)</f>
        <v>0.30018206146219484</v>
      </c>
      <c r="AB13" s="1188">
        <f>AB12/AB9</f>
        <v>0.30199948584649661</v>
      </c>
      <c r="AC13" s="1159">
        <f>U13</f>
        <v>0.29993212130106961</v>
      </c>
      <c r="AD13" s="1030">
        <f t="shared" si="10"/>
        <v>0.9996779739022561</v>
      </c>
      <c r="AE13" s="1159">
        <f t="shared" ref="AE13:AF13" si="13">SUM(AE12/AE9)</f>
        <v>0.30039053526303694</v>
      </c>
      <c r="AF13" s="1189">
        <f t="shared" si="13"/>
        <v>0.30022522386891248</v>
      </c>
      <c r="AG13" s="1188">
        <v>0.30199999999999999</v>
      </c>
      <c r="AH13" s="1159">
        <f>AA13</f>
        <v>0.30018206146219484</v>
      </c>
      <c r="AI13" s="1056">
        <f t="shared" si="11"/>
        <v>1.0008333224198895</v>
      </c>
      <c r="AJ13" s="6033"/>
      <c r="AK13" s="6034"/>
      <c r="AL13" s="6035"/>
      <c r="AM13" s="2848">
        <f t="shared" ref="AM13" si="14">SUM(AM12/AM9)</f>
        <v>0.30046706549922297</v>
      </c>
      <c r="AN13" s="2840">
        <f t="shared" ref="AN13:AR13" si="15">AN12/AN9</f>
        <v>0.30136643703248983</v>
      </c>
      <c r="AO13" s="2977">
        <f t="shared" ref="AO13" si="16">AN13/AH13</f>
        <v>1.0039455241413358</v>
      </c>
      <c r="AP13" s="2841">
        <f t="shared" si="15"/>
        <v>0.30109679012797408</v>
      </c>
      <c r="AQ13" s="3755">
        <v>0.30049999999999999</v>
      </c>
      <c r="AR13" s="3756">
        <f t="shared" si="15"/>
        <v>0.30018206146219484</v>
      </c>
      <c r="AS13" s="4313">
        <f t="shared" si="1"/>
        <v>1</v>
      </c>
      <c r="AT13" s="4323">
        <f t="shared" ref="AT13:AU13" si="17">AT12/AT9</f>
        <v>0.30137767898534362</v>
      </c>
      <c r="AU13" s="4324">
        <f t="shared" si="17"/>
        <v>0.30083255112704183</v>
      </c>
      <c r="AV13" s="4320">
        <f t="shared" ref="AV13" si="18">AV12/AV9</f>
        <v>0.30079937570658211</v>
      </c>
      <c r="AW13" s="4345">
        <v>0.30049999999999999</v>
      </c>
      <c r="AX13" s="3756">
        <f t="shared" ref="AX13" si="19">AX12/AX9</f>
        <v>0.30018206146219484</v>
      </c>
      <c r="AY13" s="3753">
        <f t="shared" si="2"/>
        <v>1</v>
      </c>
    </row>
    <row r="14" spans="1:51" ht="19.5" customHeight="1">
      <c r="A14" s="1171" t="s">
        <v>52</v>
      </c>
      <c r="B14" s="1169">
        <v>45.4</v>
      </c>
      <c r="C14" s="1157">
        <v>31.8</v>
      </c>
      <c r="D14" s="1158">
        <f t="shared" si="0"/>
        <v>70.044052863436121</v>
      </c>
      <c r="E14" s="1009">
        <v>39.799999999999997</v>
      </c>
      <c r="F14" s="1114">
        <f t="shared" si="4"/>
        <v>125.1572327044025</v>
      </c>
      <c r="G14" s="1009">
        <v>38.6</v>
      </c>
      <c r="H14" s="1114">
        <f t="shared" si="5"/>
        <v>96.984924623115589</v>
      </c>
      <c r="I14" s="1009">
        <v>44.2</v>
      </c>
      <c r="J14" s="1009">
        <v>17.899999999999999</v>
      </c>
      <c r="K14" s="1009">
        <v>38.1</v>
      </c>
      <c r="L14" s="1009">
        <v>39.4</v>
      </c>
      <c r="M14" s="1114">
        <f t="shared" si="6"/>
        <v>102.07253886010361</v>
      </c>
      <c r="N14" s="1009">
        <v>48.62</v>
      </c>
      <c r="O14" s="1114">
        <f t="shared" si="7"/>
        <v>109.99999999999999</v>
      </c>
      <c r="P14" s="1009">
        <v>46.4</v>
      </c>
      <c r="Q14" s="1114">
        <f t="shared" si="8"/>
        <v>104.97737556561084</v>
      </c>
      <c r="R14" s="1114">
        <f>P14/L14*100</f>
        <v>117.76649746192894</v>
      </c>
      <c r="S14" s="1009">
        <v>32.9</v>
      </c>
      <c r="T14" s="1009"/>
      <c r="U14" s="1136">
        <v>43.5</v>
      </c>
      <c r="V14" s="1050">
        <v>50.82</v>
      </c>
      <c r="W14" s="1030">
        <f t="shared" si="9"/>
        <v>1.0952586206896553</v>
      </c>
      <c r="X14" s="1026">
        <f>P14*1.048</f>
        <v>48.627200000000002</v>
      </c>
      <c r="Y14" s="1026"/>
      <c r="Z14" s="1026"/>
      <c r="AA14" s="1187">
        <v>35.1</v>
      </c>
      <c r="AB14" s="1046">
        <v>53.148000000000003</v>
      </c>
      <c r="AC14" s="1026">
        <f>X14*1.076</f>
        <v>52.322867200000005</v>
      </c>
      <c r="AD14" s="1030">
        <f t="shared" si="10"/>
        <v>1.0760000000000001</v>
      </c>
      <c r="AE14" s="1026">
        <v>22.87</v>
      </c>
      <c r="AF14" s="1187">
        <v>36.43</v>
      </c>
      <c r="AG14" s="1046">
        <f>SUM(AC14*1.1)</f>
        <v>57.555153920000009</v>
      </c>
      <c r="AH14" s="1026">
        <f>AG14</f>
        <v>57.555153920000009</v>
      </c>
      <c r="AI14" s="1056">
        <f t="shared" si="11"/>
        <v>1.1000000000000001</v>
      </c>
      <c r="AJ14" s="6033" t="str">
        <f>'цех вода'!AI14</f>
        <v xml:space="preserve"> </v>
      </c>
      <c r="AK14" s="6034"/>
      <c r="AL14" s="6035"/>
      <c r="AM14" s="2846">
        <v>49.28</v>
      </c>
      <c r="AN14" s="2842">
        <v>25.85</v>
      </c>
      <c r="AO14" s="2958">
        <v>36.94</v>
      </c>
      <c r="AP14" s="2844">
        <v>49.68</v>
      </c>
      <c r="AQ14" s="3752">
        <f>SUM(AH14*1.1)</f>
        <v>63.310669312000016</v>
      </c>
      <c r="AR14" s="1026">
        <f t="shared" ref="AR14:AR44" si="20">AH14*(1-0.01)*(1+0.071)*(1+0)</f>
        <v>61.025154149836808</v>
      </c>
      <c r="AS14" s="4312">
        <f t="shared" si="1"/>
        <v>1.06029</v>
      </c>
      <c r="AT14" s="3951">
        <v>20.170000000000002</v>
      </c>
      <c r="AU14" s="3952">
        <v>30.01</v>
      </c>
      <c r="AV14" s="4278">
        <f t="shared" ref="AV14:AV44" si="21">SUM(AU14/9*12)</f>
        <v>40.013333333333335</v>
      </c>
      <c r="AW14" s="4344">
        <f>AR14*(1-0.01)*(1+0.058)*(1+0)</f>
        <v>63.918966959622068</v>
      </c>
      <c r="AX14" s="1026">
        <f>AR14*(1-0.01)*(1+0.058)*(1+0)*1.007</f>
        <v>64.366399728339417</v>
      </c>
      <c r="AY14" s="3753">
        <f t="shared" si="2"/>
        <v>1.0547519399999998</v>
      </c>
    </row>
    <row r="15" spans="1:51" ht="18.75" customHeight="1">
      <c r="A15" s="1171" t="s">
        <v>31</v>
      </c>
      <c r="B15" s="1169">
        <v>644.5</v>
      </c>
      <c r="C15" s="1157">
        <v>514</v>
      </c>
      <c r="D15" s="1158">
        <f t="shared" si="0"/>
        <v>79.751745539177648</v>
      </c>
      <c r="E15" s="1009">
        <v>579.70000000000005</v>
      </c>
      <c r="F15" s="1114">
        <f t="shared" si="4"/>
        <v>112.78210116731518</v>
      </c>
      <c r="G15" s="1009">
        <v>612.70000000000005</v>
      </c>
      <c r="H15" s="1114">
        <f t="shared" si="5"/>
        <v>105.69259962049335</v>
      </c>
      <c r="I15" s="1009">
        <v>587</v>
      </c>
      <c r="J15" s="1009">
        <v>290.39999999999998</v>
      </c>
      <c r="K15" s="1009">
        <v>517.5</v>
      </c>
      <c r="L15" s="1009">
        <v>750.9</v>
      </c>
      <c r="M15" s="1114">
        <f t="shared" si="6"/>
        <v>122.5559001142484</v>
      </c>
      <c r="N15" s="1009">
        <v>682</v>
      </c>
      <c r="O15" s="1114">
        <f t="shared" si="7"/>
        <v>116.1839863713799</v>
      </c>
      <c r="P15" s="1009">
        <v>650.4</v>
      </c>
      <c r="Q15" s="1114">
        <f t="shared" si="8"/>
        <v>110.8006814310051</v>
      </c>
      <c r="R15" s="1114">
        <f>P15/L15*100</f>
        <v>86.616060727127447</v>
      </c>
      <c r="S15" s="1009">
        <v>668.6</v>
      </c>
      <c r="T15" s="1009"/>
      <c r="U15" s="1136">
        <v>837.1</v>
      </c>
      <c r="V15" s="1050">
        <v>867.3</v>
      </c>
      <c r="W15" s="1030">
        <f t="shared" si="9"/>
        <v>1.3334870848708487</v>
      </c>
      <c r="X15" s="1026">
        <f>P15*1.03</f>
        <v>669.91200000000003</v>
      </c>
      <c r="Y15" s="1026"/>
      <c r="Z15" s="1026"/>
      <c r="AA15" s="1187">
        <v>594.9</v>
      </c>
      <c r="AB15" s="1046">
        <v>824.4</v>
      </c>
      <c r="AC15" s="1026">
        <f>AB15</f>
        <v>824.4</v>
      </c>
      <c r="AD15" s="1030">
        <f t="shared" si="10"/>
        <v>1.2306093934725755</v>
      </c>
      <c r="AE15" s="1026">
        <v>286.11</v>
      </c>
      <c r="AF15" s="1187">
        <v>440.35</v>
      </c>
      <c r="AG15" s="1046">
        <f>SUM(AC15*1.1)</f>
        <v>906.84</v>
      </c>
      <c r="AH15" s="1026">
        <f>AA15*1.044*1.033</f>
        <v>641.57109479999997</v>
      </c>
      <c r="AI15" s="1056">
        <f t="shared" si="11"/>
        <v>0.77822791703056771</v>
      </c>
      <c r="AJ15" s="5982" t="s">
        <v>1503</v>
      </c>
      <c r="AK15" s="5983"/>
      <c r="AL15" s="5984"/>
      <c r="AM15" s="2846">
        <v>613.84</v>
      </c>
      <c r="AN15" s="2842">
        <v>368.6</v>
      </c>
      <c r="AO15" s="2958">
        <v>550.96</v>
      </c>
      <c r="AP15" s="2844">
        <v>707.5</v>
      </c>
      <c r="AQ15" s="3752">
        <f>SUM(AH15*1.1)</f>
        <v>705.72820428</v>
      </c>
      <c r="AR15" s="1026">
        <f t="shared" si="20"/>
        <v>680.25141610549201</v>
      </c>
      <c r="AS15" s="4312">
        <f t="shared" si="1"/>
        <v>1.0602900000000002</v>
      </c>
      <c r="AT15" s="3951">
        <v>382.69</v>
      </c>
      <c r="AU15" s="3952">
        <v>600.4</v>
      </c>
      <c r="AV15" s="4278">
        <f t="shared" si="21"/>
        <v>800.5333333333333</v>
      </c>
      <c r="AW15" s="4344">
        <f>AR15*(1-0.01)*(1+0.058)*(1+0)</f>
        <v>712.50893825721448</v>
      </c>
      <c r="AX15" s="1026">
        <f>AR15*(1-0.01)*(1+0.058)*(1+0)*1.007</f>
        <v>717.49650082501489</v>
      </c>
      <c r="AY15" s="3753">
        <f t="shared" si="2"/>
        <v>1.0547519399999998</v>
      </c>
    </row>
    <row r="16" spans="1:51" ht="18.75" customHeight="1">
      <c r="A16" s="1171" t="s">
        <v>1695</v>
      </c>
      <c r="B16" s="1169">
        <v>17.3</v>
      </c>
      <c r="C16" s="1157">
        <v>13.5</v>
      </c>
      <c r="D16" s="1158">
        <f t="shared" si="0"/>
        <v>78.034682080924853</v>
      </c>
      <c r="E16" s="1009">
        <v>28.4</v>
      </c>
      <c r="F16" s="1114">
        <f t="shared" si="4"/>
        <v>210.37037037037035</v>
      </c>
      <c r="G16" s="1009">
        <v>20</v>
      </c>
      <c r="H16" s="1114">
        <f t="shared" si="5"/>
        <v>70.422535211267615</v>
      </c>
      <c r="I16" s="1009">
        <v>19.5</v>
      </c>
      <c r="J16" s="1009">
        <v>10.199999999999999</v>
      </c>
      <c r="K16" s="1009">
        <v>50.4</v>
      </c>
      <c r="L16" s="1009">
        <v>93.1</v>
      </c>
      <c r="M16" s="1114">
        <f t="shared" si="6"/>
        <v>465.49999999999994</v>
      </c>
      <c r="N16" s="1009">
        <v>21.78</v>
      </c>
      <c r="O16" s="1114">
        <f t="shared" si="7"/>
        <v>111.69230769230769</v>
      </c>
      <c r="P16" s="1009">
        <v>20.5</v>
      </c>
      <c r="Q16" s="1114">
        <f t="shared" si="8"/>
        <v>105.12820512820514</v>
      </c>
      <c r="R16" s="1114">
        <f>P16/L16*100</f>
        <v>22.019334049409238</v>
      </c>
      <c r="S16" s="1009">
        <v>72.400000000000006</v>
      </c>
      <c r="T16" s="1009"/>
      <c r="U16" s="1136">
        <f>96.4+14.5</f>
        <v>110.9</v>
      </c>
      <c r="V16" s="1050">
        <v>103.3</v>
      </c>
      <c r="W16" s="1030">
        <f t="shared" si="9"/>
        <v>5.0390243902439025</v>
      </c>
      <c r="X16" s="1026">
        <f>P16*1.048</f>
        <v>21.484000000000002</v>
      </c>
      <c r="Y16" s="1026"/>
      <c r="Z16" s="1026"/>
      <c r="AA16" s="1187">
        <v>90.9</v>
      </c>
      <c r="AB16" s="1046">
        <f>90.072+14.5</f>
        <v>104.572</v>
      </c>
      <c r="AC16" s="1026">
        <f>AB16</f>
        <v>104.572</v>
      </c>
      <c r="AD16" s="1030">
        <f t="shared" si="10"/>
        <v>4.8674362316142243</v>
      </c>
      <c r="AE16" s="1026">
        <v>44.31</v>
      </c>
      <c r="AF16" s="1187">
        <v>52.63</v>
      </c>
      <c r="AG16" s="1046">
        <f>SUM(AC16*1.1)</f>
        <v>115.02920000000002</v>
      </c>
      <c r="AH16" s="1026">
        <f>AE16*2*1.062</f>
        <v>94.114440000000016</v>
      </c>
      <c r="AI16" s="1056">
        <f t="shared" si="11"/>
        <v>0.89999655739586137</v>
      </c>
      <c r="AJ16" s="5982" t="s">
        <v>1504</v>
      </c>
      <c r="AK16" s="5983"/>
      <c r="AL16" s="5984"/>
      <c r="AM16" s="2846">
        <f>27.43+32.97</f>
        <v>60.4</v>
      </c>
      <c r="AN16" s="2842">
        <f>30.22+15.36</f>
        <v>45.58</v>
      </c>
      <c r="AO16" s="2958">
        <v>61.9</v>
      </c>
      <c r="AP16" s="2844">
        <v>78.150000000000006</v>
      </c>
      <c r="AQ16" s="3752">
        <f>SUM(AH16*1.1)</f>
        <v>103.52588400000002</v>
      </c>
      <c r="AR16" s="1026">
        <f t="shared" si="20"/>
        <v>99.788599587600018</v>
      </c>
      <c r="AS16" s="4312">
        <f t="shared" si="1"/>
        <v>1.06029</v>
      </c>
      <c r="AT16" s="3951">
        <f>16.69+14.52</f>
        <v>31.21</v>
      </c>
      <c r="AU16" s="3952">
        <v>48.98</v>
      </c>
      <c r="AV16" s="4278">
        <f t="shared" si="21"/>
        <v>65.306666666666672</v>
      </c>
      <c r="AW16" s="4344">
        <f>AR16*(1-0.01)*(1+0.058)*(1+0)</f>
        <v>104.52057498004402</v>
      </c>
      <c r="AX16" s="1026">
        <f>AR16*(1-0.01)*(1+0.058)*(1+0)*1.007</f>
        <v>105.25221900490432</v>
      </c>
      <c r="AY16" s="3753">
        <f t="shared" si="2"/>
        <v>1.0547519400000001</v>
      </c>
    </row>
    <row r="17" spans="1:51" ht="42.75" customHeight="1">
      <c r="A17" s="1952" t="s">
        <v>1552</v>
      </c>
      <c r="B17" s="1940"/>
      <c r="C17" s="1941"/>
      <c r="D17" s="1942"/>
      <c r="E17" s="1943"/>
      <c r="F17" s="1944"/>
      <c r="G17" s="1943"/>
      <c r="H17" s="1944"/>
      <c r="I17" s="1943"/>
      <c r="J17" s="1943"/>
      <c r="K17" s="1943"/>
      <c r="L17" s="1943"/>
      <c r="M17" s="1944"/>
      <c r="N17" s="1943"/>
      <c r="O17" s="1944"/>
      <c r="P17" s="1943"/>
      <c r="Q17" s="1944"/>
      <c r="R17" s="1944"/>
      <c r="S17" s="1943"/>
      <c r="T17" s="1943"/>
      <c r="U17" s="1945"/>
      <c r="V17" s="1946"/>
      <c r="W17" s="1947"/>
      <c r="X17" s="1948"/>
      <c r="Y17" s="1948"/>
      <c r="Z17" s="1948"/>
      <c r="AA17" s="1949"/>
      <c r="AB17" s="1950"/>
      <c r="AC17" s="1948"/>
      <c r="AD17" s="1947"/>
      <c r="AE17" s="1948"/>
      <c r="AF17" s="2380">
        <v>206.8</v>
      </c>
      <c r="AG17" s="1950"/>
      <c r="AH17" s="1948"/>
      <c r="AI17" s="1951"/>
      <c r="AJ17" s="3153"/>
      <c r="AK17" s="3154"/>
      <c r="AL17" s="3155"/>
      <c r="AM17" s="2849"/>
      <c r="AN17" s="2842">
        <v>0</v>
      </c>
      <c r="AO17" s="2958">
        <v>0</v>
      </c>
      <c r="AP17" s="2844">
        <v>0</v>
      </c>
      <c r="AQ17" s="3752"/>
      <c r="AR17" s="1026">
        <f t="shared" si="20"/>
        <v>0</v>
      </c>
      <c r="AS17" s="4312"/>
      <c r="AT17" s="3951">
        <v>0</v>
      </c>
      <c r="AU17" s="3952">
        <v>0</v>
      </c>
      <c r="AV17" s="4278">
        <f t="shared" si="21"/>
        <v>0</v>
      </c>
      <c r="AW17" s="4344">
        <v>0</v>
      </c>
      <c r="AX17" s="1026">
        <v>0</v>
      </c>
      <c r="AY17" s="3753">
        <v>0</v>
      </c>
    </row>
    <row r="18" spans="1:51" ht="18.75">
      <c r="A18" s="1171" t="s">
        <v>854</v>
      </c>
      <c r="B18" s="1169">
        <f>SUM(B19:B23)</f>
        <v>471.59999999999997</v>
      </c>
      <c r="C18" s="1157">
        <f>SUM(C19:C23)</f>
        <v>352.20000000000005</v>
      </c>
      <c r="D18" s="1158">
        <f t="shared" si="0"/>
        <v>74.681933842239204</v>
      </c>
      <c r="E18" s="1009">
        <f>SUM(E19:E23)</f>
        <v>471.29999999999995</v>
      </c>
      <c r="F18" s="1009">
        <f>SUM(F19:F23)</f>
        <v>530.71550893713459</v>
      </c>
      <c r="G18" s="1009">
        <f>SUM(G19:G23)</f>
        <v>454.09999999999997</v>
      </c>
      <c r="H18" s="1114">
        <f t="shared" si="5"/>
        <v>96.350519838743892</v>
      </c>
      <c r="I18" s="1009">
        <f>SUM(I19:I22)</f>
        <v>453.5</v>
      </c>
      <c r="J18" s="1009">
        <f>SUM(J19:J23)</f>
        <v>283.89999999999998</v>
      </c>
      <c r="K18" s="1009">
        <f>SUM(K19:K23)</f>
        <v>296.89999999999998</v>
      </c>
      <c r="L18" s="1009">
        <f>SUM(L19:L23)</f>
        <v>549.20000000000005</v>
      </c>
      <c r="M18" s="1114">
        <f t="shared" si="6"/>
        <v>120.94252367319976</v>
      </c>
      <c r="N18" s="1009">
        <f>SUM(N19:N23)</f>
        <v>577.11</v>
      </c>
      <c r="O18" s="1114">
        <f t="shared" si="7"/>
        <v>127.25689084895259</v>
      </c>
      <c r="P18" s="1009">
        <f t="shared" ref="P18:V18" si="22">SUM(P19:P22)</f>
        <v>537.5</v>
      </c>
      <c r="Q18" s="1009">
        <f t="shared" si="22"/>
        <v>446.08399155210333</v>
      </c>
      <c r="R18" s="1009">
        <f t="shared" si="22"/>
        <v>422.88989770621242</v>
      </c>
      <c r="S18" s="1009">
        <f t="shared" si="22"/>
        <v>277.40000000000003</v>
      </c>
      <c r="T18" s="1009">
        <f t="shared" si="22"/>
        <v>0</v>
      </c>
      <c r="U18" s="1136">
        <f t="shared" si="22"/>
        <v>412.7</v>
      </c>
      <c r="V18" s="1050">
        <f t="shared" si="22"/>
        <v>771.33999999999992</v>
      </c>
      <c r="W18" s="1030">
        <f t="shared" si="9"/>
        <v>1.4350511627906974</v>
      </c>
      <c r="X18" s="1009">
        <f>SUM(X19:X22)</f>
        <v>434.14643333333339</v>
      </c>
      <c r="Y18" s="1009"/>
      <c r="Z18" s="1009"/>
      <c r="AA18" s="1009">
        <f>SUM(AA19:AA22)</f>
        <v>437.90000000000003</v>
      </c>
      <c r="AB18" s="1050">
        <f>SUM(AB19:AB22)</f>
        <v>511.51799999999997</v>
      </c>
      <c r="AC18" s="1009">
        <f>SUM(AC19:AC22)</f>
        <v>457.87871249999995</v>
      </c>
      <c r="AD18" s="1030">
        <f t="shared" si="10"/>
        <v>1.0546642269624387</v>
      </c>
      <c r="AE18" s="1009">
        <f t="shared" ref="AE18:AF18" si="23">SUM(AE19:AE22)</f>
        <v>214.23999999999998</v>
      </c>
      <c r="AF18" s="1047">
        <f t="shared" si="23"/>
        <v>237</v>
      </c>
      <c r="AG18" s="1050">
        <f t="shared" ref="AG18" si="24">SUM(AG19:AG22)</f>
        <v>513.89349000000016</v>
      </c>
      <c r="AH18" s="1009">
        <f t="shared" ref="AH18" si="25">SUM(AH19:AH22)</f>
        <v>486.57128000000006</v>
      </c>
      <c r="AI18" s="1056">
        <f t="shared" si="11"/>
        <v>1.0626641219971547</v>
      </c>
      <c r="AJ18" s="6033"/>
      <c r="AK18" s="6034"/>
      <c r="AL18" s="6035"/>
      <c r="AM18" s="2834">
        <f t="shared" ref="AM18:AN18" si="26">SUM(AM19:AM22)</f>
        <v>373.12</v>
      </c>
      <c r="AN18" s="2842">
        <f t="shared" si="26"/>
        <v>225.19000000000003</v>
      </c>
      <c r="AO18" s="2958">
        <f t="shared" ref="AO18:AP18" si="27">SUM(AO19:AO22)</f>
        <v>272.31</v>
      </c>
      <c r="AP18" s="2844">
        <f t="shared" si="27"/>
        <v>491.28999999999996</v>
      </c>
      <c r="AQ18" s="3757">
        <f t="shared" ref="AQ18:AR18" si="28">SUM(AQ19:AQ22)</f>
        <v>535.77840800000013</v>
      </c>
      <c r="AR18" s="1009">
        <f t="shared" si="28"/>
        <v>509.59491307119998</v>
      </c>
      <c r="AS18" s="4312">
        <f t="shared" si="1"/>
        <v>1.0473181094272559</v>
      </c>
      <c r="AT18" s="3951">
        <f t="shared" ref="AT18:AU18" si="29">SUM(AT19:AT22)</f>
        <v>260</v>
      </c>
      <c r="AU18" s="3952">
        <f t="shared" si="29"/>
        <v>318.99</v>
      </c>
      <c r="AV18" s="3606">
        <f t="shared" ref="AV18" si="30">SUM(AV19:AV22)</f>
        <v>425.31999999999994</v>
      </c>
      <c r="AW18" s="4303">
        <f t="shared" ref="AW18:AX18" si="31">SUM(AW19:AW22)</f>
        <v>541.05979204903633</v>
      </c>
      <c r="AX18" s="1009">
        <f t="shared" si="31"/>
        <v>542.42576849337956</v>
      </c>
      <c r="AY18" s="3753">
        <f t="shared" si="2"/>
        <v>1.0644253986452028</v>
      </c>
    </row>
    <row r="19" spans="1:51" ht="42.75" customHeight="1">
      <c r="A19" s="1172" t="s">
        <v>1657</v>
      </c>
      <c r="B19" s="1170">
        <v>272.89999999999998</v>
      </c>
      <c r="C19" s="1158">
        <v>192.5</v>
      </c>
      <c r="D19" s="1158">
        <f>C19/B19*100</f>
        <v>70.538658849395389</v>
      </c>
      <c r="E19" s="1114">
        <v>235.4</v>
      </c>
      <c r="F19" s="1114">
        <f t="shared" si="4"/>
        <v>122.28571428571429</v>
      </c>
      <c r="G19" s="1114">
        <v>255.7</v>
      </c>
      <c r="H19" s="1114">
        <f t="shared" si="5"/>
        <v>108.62361937128291</v>
      </c>
      <c r="I19" s="1009">
        <v>242.8</v>
      </c>
      <c r="J19" s="1114">
        <v>165.5</v>
      </c>
      <c r="K19" s="1114">
        <v>165.8</v>
      </c>
      <c r="L19" s="1114">
        <v>266.2</v>
      </c>
      <c r="M19" s="1114">
        <f t="shared" si="6"/>
        <v>104.10637465780211</v>
      </c>
      <c r="N19" s="1114">
        <v>338.3</v>
      </c>
      <c r="O19" s="1114">
        <f t="shared" si="7"/>
        <v>139.332784184514</v>
      </c>
      <c r="P19" s="1009">
        <v>309.89999999999998</v>
      </c>
      <c r="Q19" s="1114">
        <f t="shared" si="8"/>
        <v>127.63591433278417</v>
      </c>
      <c r="R19" s="1114">
        <f>P19/L19*100</f>
        <v>116.41622839969948</v>
      </c>
      <c r="S19" s="1009">
        <v>175</v>
      </c>
      <c r="T19" s="1009"/>
      <c r="U19" s="1136">
        <v>275.7</v>
      </c>
      <c r="V19" s="1050">
        <v>465.7</v>
      </c>
      <c r="W19" s="1030">
        <f t="shared" si="9"/>
        <v>1.5027428202646016</v>
      </c>
      <c r="X19" s="1026">
        <f>S19/6*9*1.015</f>
        <v>266.4375</v>
      </c>
      <c r="Y19" s="1026"/>
      <c r="Z19" s="1026"/>
      <c r="AA19" s="1187">
        <v>282.60000000000002</v>
      </c>
      <c r="AB19" s="1046">
        <v>328.8</v>
      </c>
      <c r="AC19" s="1026">
        <f>X19*1.035</f>
        <v>275.7628125</v>
      </c>
      <c r="AD19" s="1030">
        <f t="shared" si="10"/>
        <v>1.0349999999999999</v>
      </c>
      <c r="AE19" s="1026">
        <v>175.2</v>
      </c>
      <c r="AF19" s="1187">
        <v>179.53</v>
      </c>
      <c r="AG19" s="1046">
        <f>SUM(AA19*1.1)</f>
        <v>310.86000000000007</v>
      </c>
      <c r="AH19" s="1026">
        <f>AG19</f>
        <v>310.86000000000007</v>
      </c>
      <c r="AI19" s="1056">
        <f t="shared" si="11"/>
        <v>1.1272730981448054</v>
      </c>
      <c r="AJ19" s="6033"/>
      <c r="AK19" s="6034"/>
      <c r="AL19" s="6035"/>
      <c r="AM19" s="2846">
        <v>286.54000000000002</v>
      </c>
      <c r="AN19" s="2842">
        <v>180.36</v>
      </c>
      <c r="AO19" s="2958">
        <v>189.35</v>
      </c>
      <c r="AP19" s="2844">
        <v>324.56</v>
      </c>
      <c r="AQ19" s="3752">
        <f>SUM(AH19*1.1)</f>
        <v>341.94600000000008</v>
      </c>
      <c r="AR19" s="2117">
        <v>323.29000000000002</v>
      </c>
      <c r="AS19" s="4312">
        <f t="shared" si="1"/>
        <v>1.0399858457183295</v>
      </c>
      <c r="AT19" s="3951">
        <v>209.85</v>
      </c>
      <c r="AU19" s="3952">
        <v>220.38</v>
      </c>
      <c r="AV19" s="4278">
        <f t="shared" si="21"/>
        <v>293.83999999999997</v>
      </c>
      <c r="AW19" s="4344">
        <f>SUM(AR19*1.07)</f>
        <v>345.92030000000005</v>
      </c>
      <c r="AX19" s="2117">
        <f>SUM(AR19*1.07)</f>
        <v>345.92030000000005</v>
      </c>
      <c r="AY19" s="3753">
        <f t="shared" si="2"/>
        <v>1.07</v>
      </c>
    </row>
    <row r="20" spans="1:51" ht="42.75" customHeight="1">
      <c r="A20" s="1172" t="s">
        <v>563</v>
      </c>
      <c r="B20" s="1170">
        <v>12</v>
      </c>
      <c r="C20" s="1158">
        <v>13.2</v>
      </c>
      <c r="D20" s="1158">
        <f>C20/B20*100</f>
        <v>109.99999999999999</v>
      </c>
      <c r="E20" s="1114">
        <v>15.2</v>
      </c>
      <c r="F20" s="1114">
        <f t="shared" si="4"/>
        <v>115.15151515151516</v>
      </c>
      <c r="G20" s="1114">
        <v>16.399999999999999</v>
      </c>
      <c r="H20" s="1114">
        <f t="shared" si="5"/>
        <v>107.89473684210526</v>
      </c>
      <c r="I20" s="1009">
        <v>16.3</v>
      </c>
      <c r="J20" s="1114">
        <v>8.4</v>
      </c>
      <c r="K20" s="1114">
        <v>13.5</v>
      </c>
      <c r="L20" s="1114">
        <v>17.8</v>
      </c>
      <c r="M20" s="1114">
        <f t="shared" si="6"/>
        <v>108.53658536585367</v>
      </c>
      <c r="N20" s="1114">
        <v>17.93</v>
      </c>
      <c r="O20" s="1114">
        <f t="shared" si="7"/>
        <v>109.99999999999999</v>
      </c>
      <c r="P20" s="1009">
        <v>17.100000000000001</v>
      </c>
      <c r="Q20" s="1114">
        <f t="shared" si="8"/>
        <v>104.9079754601227</v>
      </c>
      <c r="R20" s="1114">
        <f>P20/L20*100</f>
        <v>96.067415730337075</v>
      </c>
      <c r="S20" s="1009">
        <v>0</v>
      </c>
      <c r="T20" s="1009"/>
      <c r="U20" s="1136">
        <v>0</v>
      </c>
      <c r="V20" s="1050">
        <v>18.899999999999999</v>
      </c>
      <c r="W20" s="1030">
        <f t="shared" si="9"/>
        <v>1.1052631578947367</v>
      </c>
      <c r="X20" s="1026">
        <f>P20</f>
        <v>17.100000000000001</v>
      </c>
      <c r="Y20" s="1026"/>
      <c r="Z20" s="1026"/>
      <c r="AA20" s="1187">
        <v>0.3</v>
      </c>
      <c r="AB20" s="1046">
        <v>18.54</v>
      </c>
      <c r="AC20" s="1026">
        <f>X20*1.049</f>
        <v>17.937899999999999</v>
      </c>
      <c r="AD20" s="1030">
        <f t="shared" si="10"/>
        <v>1.0489999999999999</v>
      </c>
      <c r="AE20" s="1026">
        <v>0</v>
      </c>
      <c r="AF20" s="1187">
        <v>0</v>
      </c>
      <c r="AG20" s="1046">
        <f>SUM(AC20*1.1)</f>
        <v>19.73169</v>
      </c>
      <c r="AH20" s="1026">
        <v>0</v>
      </c>
      <c r="AI20" s="1056">
        <f t="shared" si="11"/>
        <v>0</v>
      </c>
      <c r="AJ20" s="5982" t="s">
        <v>1496</v>
      </c>
      <c r="AK20" s="5983"/>
      <c r="AL20" s="5984"/>
      <c r="AM20" s="2846">
        <v>0.5</v>
      </c>
      <c r="AN20" s="2842">
        <v>0</v>
      </c>
      <c r="AO20" s="2958">
        <v>0</v>
      </c>
      <c r="AP20" s="2844">
        <v>0</v>
      </c>
      <c r="AQ20" s="3752">
        <f>SUM(AM20*1.1)</f>
        <v>0.55000000000000004</v>
      </c>
      <c r="AR20" s="1026">
        <f t="shared" si="20"/>
        <v>0</v>
      </c>
      <c r="AS20" s="4312" t="e">
        <f t="shared" si="1"/>
        <v>#DIV/0!</v>
      </c>
      <c r="AT20" s="3951">
        <v>5.17</v>
      </c>
      <c r="AU20" s="3952">
        <v>5.17</v>
      </c>
      <c r="AV20" s="4278">
        <f t="shared" si="21"/>
        <v>6.8933333333333326</v>
      </c>
      <c r="AW20" s="4344">
        <v>0</v>
      </c>
      <c r="AX20" s="1026">
        <v>0</v>
      </c>
      <c r="AY20" s="3753">
        <v>0</v>
      </c>
    </row>
    <row r="21" spans="1:51" ht="18.75" customHeight="1">
      <c r="A21" s="1172" t="s">
        <v>564</v>
      </c>
      <c r="B21" s="1170">
        <v>163.5</v>
      </c>
      <c r="C21" s="1158">
        <v>122.4</v>
      </c>
      <c r="D21" s="1158">
        <f>C21/B21*100</f>
        <v>74.862385321100916</v>
      </c>
      <c r="E21" s="1114">
        <v>186.8</v>
      </c>
      <c r="F21" s="1114">
        <f t="shared" si="4"/>
        <v>152.61437908496734</v>
      </c>
      <c r="G21" s="1114">
        <v>158.30000000000001</v>
      </c>
      <c r="H21" s="1114">
        <f t="shared" si="5"/>
        <v>84.743040685224841</v>
      </c>
      <c r="I21" s="1009">
        <v>163.69999999999999</v>
      </c>
      <c r="J21" s="1114">
        <v>99</v>
      </c>
      <c r="K21" s="1114">
        <v>100.1</v>
      </c>
      <c r="L21" s="1114">
        <v>241.7</v>
      </c>
      <c r="M21" s="1114">
        <f t="shared" si="6"/>
        <v>152.68477574226151</v>
      </c>
      <c r="N21" s="1114">
        <v>187.11</v>
      </c>
      <c r="O21" s="1114">
        <f t="shared" si="7"/>
        <v>114.30054978619428</v>
      </c>
      <c r="P21" s="1009">
        <v>178.4</v>
      </c>
      <c r="Q21" s="1114">
        <f t="shared" si="8"/>
        <v>108.97984117287723</v>
      </c>
      <c r="R21" s="1114">
        <f>P21/L21*100</f>
        <v>73.810508895324787</v>
      </c>
      <c r="S21" s="1009">
        <v>83.8</v>
      </c>
      <c r="T21" s="1009"/>
      <c r="U21" s="1136">
        <v>100.3</v>
      </c>
      <c r="V21" s="1050">
        <v>252.93</v>
      </c>
      <c r="W21" s="1030">
        <f t="shared" si="9"/>
        <v>1.4177690582959641</v>
      </c>
      <c r="X21" s="1026">
        <f>S21/9*12*1.048</f>
        <v>117.09653333333333</v>
      </c>
      <c r="Y21" s="1026"/>
      <c r="Z21" s="1026"/>
      <c r="AA21" s="1187">
        <v>131</v>
      </c>
      <c r="AB21" s="1046">
        <v>128.54</v>
      </c>
      <c r="AC21" s="1026">
        <f>AB21</f>
        <v>128.54</v>
      </c>
      <c r="AD21" s="1030">
        <f t="shared" si="10"/>
        <v>1.0977267758567291</v>
      </c>
      <c r="AE21" s="1026">
        <v>26.16</v>
      </c>
      <c r="AF21" s="1187">
        <v>38.049999999999997</v>
      </c>
      <c r="AG21" s="1046">
        <f>SUM(AA21*1.1)</f>
        <v>144.10000000000002</v>
      </c>
      <c r="AH21" s="1026">
        <f>AC21*1.062</f>
        <v>136.50948</v>
      </c>
      <c r="AI21" s="1056">
        <f t="shared" si="11"/>
        <v>1.0620000000000001</v>
      </c>
      <c r="AJ21" s="5982" t="s">
        <v>1548</v>
      </c>
      <c r="AK21" s="5983"/>
      <c r="AL21" s="5984"/>
      <c r="AM21" s="2846">
        <v>60.12</v>
      </c>
      <c r="AN21" s="2842">
        <v>29.36</v>
      </c>
      <c r="AO21" s="2958">
        <v>61.88</v>
      </c>
      <c r="AP21" s="2844">
        <v>132.46</v>
      </c>
      <c r="AQ21" s="3752">
        <f>SUM(AH21*1.1)</f>
        <v>150.160428</v>
      </c>
      <c r="AR21" s="1026">
        <f t="shared" si="20"/>
        <v>144.73963654919999</v>
      </c>
      <c r="AS21" s="4312">
        <f t="shared" si="1"/>
        <v>1.06029</v>
      </c>
      <c r="AT21" s="3951">
        <v>37.630000000000003</v>
      </c>
      <c r="AU21" s="3952">
        <v>76.58</v>
      </c>
      <c r="AV21" s="4278">
        <f t="shared" si="21"/>
        <v>102.10666666666665</v>
      </c>
      <c r="AW21" s="4344">
        <f>AR21*(1-0.01)*(1+0.058)*(1+0)</f>
        <v>151.60319011436303</v>
      </c>
      <c r="AX21" s="1026">
        <f>AR21*(1-0.01)*(1+0.058)*(1+0)*1.007</f>
        <v>152.66441244516355</v>
      </c>
      <c r="AY21" s="3753">
        <f t="shared" si="2"/>
        <v>1.0547519399999996</v>
      </c>
    </row>
    <row r="22" spans="1:51" ht="18.75" customHeight="1">
      <c r="A22" s="1172" t="s">
        <v>565</v>
      </c>
      <c r="B22" s="1170">
        <v>23.2</v>
      </c>
      <c r="C22" s="1158">
        <v>24.1</v>
      </c>
      <c r="D22" s="1158">
        <f>C22/B22*100</f>
        <v>103.8793103448276</v>
      </c>
      <c r="E22" s="1114">
        <v>33.9</v>
      </c>
      <c r="F22" s="1114">
        <f t="shared" si="4"/>
        <v>140.66390041493776</v>
      </c>
      <c r="G22" s="1114">
        <v>23.7</v>
      </c>
      <c r="H22" s="1114">
        <f t="shared" si="5"/>
        <v>69.911504424778755</v>
      </c>
      <c r="I22" s="1009">
        <v>30.7</v>
      </c>
      <c r="J22" s="1114">
        <v>11</v>
      </c>
      <c r="K22" s="1114">
        <v>17.5</v>
      </c>
      <c r="L22" s="1114">
        <v>23.5</v>
      </c>
      <c r="M22" s="1114">
        <f t="shared" si="6"/>
        <v>99.156118143459921</v>
      </c>
      <c r="N22" s="1114">
        <v>33.770000000000003</v>
      </c>
      <c r="O22" s="1114">
        <f t="shared" si="7"/>
        <v>110.00000000000001</v>
      </c>
      <c r="P22" s="1009">
        <v>32.1</v>
      </c>
      <c r="Q22" s="1114">
        <f t="shared" si="8"/>
        <v>104.56026058631922</v>
      </c>
      <c r="R22" s="1114">
        <f>P22/L22*100</f>
        <v>136.59574468085108</v>
      </c>
      <c r="S22" s="1009">
        <v>18.600000000000001</v>
      </c>
      <c r="T22" s="1009"/>
      <c r="U22" s="1136">
        <v>36.700000000000003</v>
      </c>
      <c r="V22" s="1050">
        <v>33.81</v>
      </c>
      <c r="W22" s="1030">
        <f t="shared" si="9"/>
        <v>1.0532710280373832</v>
      </c>
      <c r="X22" s="1026">
        <f>P22*1.044</f>
        <v>33.5124</v>
      </c>
      <c r="Y22" s="1026"/>
      <c r="Z22" s="1026"/>
      <c r="AA22" s="1187">
        <v>24</v>
      </c>
      <c r="AB22" s="1046">
        <v>35.637999999999998</v>
      </c>
      <c r="AC22" s="1026">
        <f>AB22</f>
        <v>35.637999999999998</v>
      </c>
      <c r="AD22" s="1030">
        <f t="shared" si="10"/>
        <v>1.0634272687124766</v>
      </c>
      <c r="AE22" s="1026">
        <v>12.88</v>
      </c>
      <c r="AF22" s="1187">
        <v>19.420000000000002</v>
      </c>
      <c r="AG22" s="1046">
        <f>SUM(AC22*1.1)</f>
        <v>39.201799999999999</v>
      </c>
      <c r="AH22" s="1026">
        <f>AG22</f>
        <v>39.201799999999999</v>
      </c>
      <c r="AI22" s="1056">
        <f t="shared" si="11"/>
        <v>1.1000000000000001</v>
      </c>
      <c r="AJ22" s="6033"/>
      <c r="AK22" s="6034"/>
      <c r="AL22" s="6035"/>
      <c r="AM22" s="2846">
        <v>25.96</v>
      </c>
      <c r="AN22" s="2842">
        <v>15.47</v>
      </c>
      <c r="AO22" s="2958">
        <v>21.08</v>
      </c>
      <c r="AP22" s="2844">
        <v>34.270000000000003</v>
      </c>
      <c r="AQ22" s="3752">
        <f>SUM(AH22*1.1)</f>
        <v>43.121980000000001</v>
      </c>
      <c r="AR22" s="1026">
        <f t="shared" si="20"/>
        <v>41.565276521999998</v>
      </c>
      <c r="AS22" s="4312">
        <f t="shared" si="1"/>
        <v>1.06029</v>
      </c>
      <c r="AT22" s="3951">
        <v>7.35</v>
      </c>
      <c r="AU22" s="3952">
        <v>16.86</v>
      </c>
      <c r="AV22" s="4278">
        <f t="shared" si="21"/>
        <v>22.48</v>
      </c>
      <c r="AW22" s="4344">
        <f t="shared" ref="AW22:AW24" si="32">AR22*(1-0.01)*(1+0.058)*(1+0)</f>
        <v>43.53630193467324</v>
      </c>
      <c r="AX22" s="1026">
        <f>AR22*(1-0.01)*(1+0.058)*(1+0)*1.007</f>
        <v>43.841056048215947</v>
      </c>
      <c r="AY22" s="3753">
        <f t="shared" si="2"/>
        <v>1.0547519399999998</v>
      </c>
    </row>
    <row r="23" spans="1:51" ht="18.75" hidden="1" customHeight="1">
      <c r="A23" s="1172" t="s">
        <v>53</v>
      </c>
      <c r="B23" s="1170"/>
      <c r="C23" s="1158"/>
      <c r="D23" s="1158"/>
      <c r="E23" s="1114"/>
      <c r="F23" s="1114"/>
      <c r="G23" s="1114"/>
      <c r="H23" s="1114"/>
      <c r="I23" s="1009"/>
      <c r="J23" s="1114"/>
      <c r="K23" s="1114"/>
      <c r="L23" s="1114"/>
      <c r="M23" s="1114"/>
      <c r="N23" s="1114"/>
      <c r="O23" s="1114"/>
      <c r="P23" s="1009">
        <f>L23*1.049</f>
        <v>0</v>
      </c>
      <c r="Q23" s="1114" t="e">
        <f t="shared" si="8"/>
        <v>#DIV/0!</v>
      </c>
      <c r="R23" s="1114"/>
      <c r="S23" s="1009"/>
      <c r="T23" s="1009"/>
      <c r="U23" s="1136"/>
      <c r="V23" s="1050"/>
      <c r="W23" s="1030" t="e">
        <f t="shared" si="9"/>
        <v>#DIV/0!</v>
      </c>
      <c r="X23" s="1026"/>
      <c r="Y23" s="1026"/>
      <c r="Z23" s="1026"/>
      <c r="AA23" s="1187"/>
      <c r="AB23" s="1046"/>
      <c r="AC23" s="1026"/>
      <c r="AD23" s="1030" t="e">
        <f t="shared" si="10"/>
        <v>#DIV/0!</v>
      </c>
      <c r="AE23" s="1026"/>
      <c r="AF23" s="1187"/>
      <c r="AG23" s="1046"/>
      <c r="AH23" s="1026"/>
      <c r="AI23" s="1056" t="e">
        <f t="shared" si="11"/>
        <v>#DIV/0!</v>
      </c>
      <c r="AJ23" s="3150"/>
      <c r="AK23" s="3151"/>
      <c r="AL23" s="3152"/>
      <c r="AM23" s="2846"/>
      <c r="AN23" s="2842"/>
      <c r="AO23" s="2958"/>
      <c r="AP23" s="2844"/>
      <c r="AQ23" s="3752"/>
      <c r="AR23" s="1026"/>
      <c r="AS23" s="4312" t="e">
        <f t="shared" si="1"/>
        <v>#DIV/0!</v>
      </c>
      <c r="AT23" s="3951"/>
      <c r="AU23" s="3952"/>
      <c r="AV23" s="4278">
        <f t="shared" si="21"/>
        <v>0</v>
      </c>
      <c r="AW23" s="4344">
        <f t="shared" si="32"/>
        <v>0</v>
      </c>
      <c r="AX23" s="1026">
        <f t="shared" ref="AX23" si="33">AR23*(1-0.01)*(1+0.04)*(1+0)</f>
        <v>0</v>
      </c>
      <c r="AY23" s="3753" t="e">
        <f t="shared" si="2"/>
        <v>#DIV/0!</v>
      </c>
    </row>
    <row r="24" spans="1:51" ht="19.5" customHeight="1">
      <c r="A24" s="1171" t="s">
        <v>30</v>
      </c>
      <c r="B24" s="1169">
        <v>583.79999999999995</v>
      </c>
      <c r="C24" s="1157">
        <v>428.9</v>
      </c>
      <c r="D24" s="1158">
        <f>C24/B24*100</f>
        <v>73.466940733127785</v>
      </c>
      <c r="E24" s="1009">
        <v>512.20000000000005</v>
      </c>
      <c r="F24" s="1114">
        <f t="shared" si="4"/>
        <v>119.42177663791097</v>
      </c>
      <c r="G24" s="1009">
        <v>410.6</v>
      </c>
      <c r="H24" s="1114">
        <f t="shared" si="5"/>
        <v>80.163998438110113</v>
      </c>
      <c r="I24" s="1009">
        <v>549.1</v>
      </c>
      <c r="J24" s="1009">
        <v>209.5</v>
      </c>
      <c r="K24" s="1009">
        <v>387.9</v>
      </c>
      <c r="L24" s="1009">
        <v>533.79999999999995</v>
      </c>
      <c r="M24" s="1114">
        <f t="shared" si="6"/>
        <v>130.00487092060396</v>
      </c>
      <c r="N24" s="1009">
        <v>604.01</v>
      </c>
      <c r="O24" s="1114">
        <f t="shared" si="7"/>
        <v>109.99999999999999</v>
      </c>
      <c r="P24" s="1009">
        <v>579</v>
      </c>
      <c r="Q24" s="1114">
        <f t="shared" si="8"/>
        <v>105.44527408486614</v>
      </c>
      <c r="R24" s="1114">
        <f>P24/L24*100</f>
        <v>108.46759085799927</v>
      </c>
      <c r="S24" s="1009">
        <v>426.5</v>
      </c>
      <c r="T24" s="1009"/>
      <c r="U24" s="1136">
        <v>554.29999999999995</v>
      </c>
      <c r="V24" s="1050">
        <v>698.46</v>
      </c>
      <c r="W24" s="1030">
        <f t="shared" si="9"/>
        <v>1.2063212435233162</v>
      </c>
      <c r="X24" s="1026">
        <f>P24*1.048</f>
        <v>606.79200000000003</v>
      </c>
      <c r="Y24" s="1026"/>
      <c r="Z24" s="1026"/>
      <c r="AA24" s="1187">
        <v>391.5</v>
      </c>
      <c r="AB24" s="1046">
        <v>645.6</v>
      </c>
      <c r="AC24" s="1026">
        <f>AB24</f>
        <v>645.6</v>
      </c>
      <c r="AD24" s="1030">
        <f t="shared" si="10"/>
        <v>1.0639560178776253</v>
      </c>
      <c r="AE24" s="1026">
        <v>424.39</v>
      </c>
      <c r="AF24" s="1187">
        <v>525.45000000000005</v>
      </c>
      <c r="AG24" s="1046">
        <f>SUM(AC24*1.1)</f>
        <v>710.16000000000008</v>
      </c>
      <c r="AH24" s="1026">
        <f>AG24</f>
        <v>710.16000000000008</v>
      </c>
      <c r="AI24" s="1056">
        <f t="shared" si="11"/>
        <v>1.1000000000000001</v>
      </c>
      <c r="AJ24" s="6033"/>
      <c r="AK24" s="6034"/>
      <c r="AL24" s="6035"/>
      <c r="AM24" s="2846">
        <v>653.54999999999995</v>
      </c>
      <c r="AN24" s="2842">
        <v>308.3</v>
      </c>
      <c r="AO24" s="2958">
        <v>642.29999999999995</v>
      </c>
      <c r="AP24" s="2844">
        <v>762.78</v>
      </c>
      <c r="AQ24" s="3752">
        <f>SUM(AH24*1.1)</f>
        <v>781.17600000000016</v>
      </c>
      <c r="AR24" s="1026">
        <f t="shared" si="20"/>
        <v>752.9755464000001</v>
      </c>
      <c r="AS24" s="4312">
        <f t="shared" si="1"/>
        <v>1.06029</v>
      </c>
      <c r="AT24" s="3951">
        <v>366.34</v>
      </c>
      <c r="AU24" s="3952">
        <v>691.78</v>
      </c>
      <c r="AV24" s="4278">
        <f t="shared" si="21"/>
        <v>922.37333333333333</v>
      </c>
      <c r="AW24" s="4344">
        <f t="shared" si="32"/>
        <v>788.68164681028816</v>
      </c>
      <c r="AX24" s="1026">
        <f>AR24*(1-0.01)*(1+0.058)*(1+0)*1.007</f>
        <v>794.20241833796013</v>
      </c>
      <c r="AY24" s="3753">
        <f t="shared" si="2"/>
        <v>1.0547519400000001</v>
      </c>
    </row>
    <row r="25" spans="1:51" ht="18.75">
      <c r="A25" s="1171" t="s">
        <v>855</v>
      </c>
      <c r="B25" s="1169">
        <f>SUM(B26:B40)</f>
        <v>1274</v>
      </c>
      <c r="C25" s="1157">
        <f>SUM(C26:C40)</f>
        <v>1570.1999999999998</v>
      </c>
      <c r="D25" s="1158">
        <f>C25/B25*100</f>
        <v>123.24960753532181</v>
      </c>
      <c r="E25" s="1009">
        <f>SUM(E26:E41)</f>
        <v>2458.1999999999998</v>
      </c>
      <c r="F25" s="1009">
        <f>SUM(F26:F41)</f>
        <v>1921.4028595453462</v>
      </c>
      <c r="G25" s="1009">
        <f>SUM(G26:G44)</f>
        <v>1923.4</v>
      </c>
      <c r="H25" s="1114">
        <f t="shared" si="5"/>
        <v>78.24424375559353</v>
      </c>
      <c r="I25" s="1009">
        <f>SUM(I26:I41)</f>
        <v>1629.7320000000004</v>
      </c>
      <c r="J25" s="1009">
        <f>SUM(J26:J41)</f>
        <v>1107.6000000000001</v>
      </c>
      <c r="K25" s="1009">
        <f>SUM(K26:K44)</f>
        <v>2027.9</v>
      </c>
      <c r="L25" s="1009">
        <f>SUM(L26:L44)</f>
        <v>3341.3000000000006</v>
      </c>
      <c r="M25" s="1114">
        <f t="shared" si="6"/>
        <v>173.71841530622859</v>
      </c>
      <c r="N25" s="1009">
        <f>SUM(N26:N44)</f>
        <v>2703.43</v>
      </c>
      <c r="O25" s="1114">
        <f t="shared" si="7"/>
        <v>165.88187505675776</v>
      </c>
      <c r="P25" s="1009">
        <f>SUM(P26:P44)</f>
        <v>1876.2000000000003</v>
      </c>
      <c r="Q25" s="1009">
        <f t="shared" ref="Q25:AC25" si="34">SUM(Q26:Q44)</f>
        <v>1650.0918364803115</v>
      </c>
      <c r="R25" s="1009" t="e">
        <f t="shared" si="34"/>
        <v>#DIV/0!</v>
      </c>
      <c r="S25" s="1009">
        <f t="shared" si="34"/>
        <v>2098.5</v>
      </c>
      <c r="T25" s="1009">
        <f t="shared" si="34"/>
        <v>0</v>
      </c>
      <c r="U25" s="1136">
        <f t="shared" si="34"/>
        <v>2454.1000000000004</v>
      </c>
      <c r="V25" s="1050">
        <f t="shared" si="34"/>
        <v>3781.8249999999998</v>
      </c>
      <c r="W25" s="1030">
        <f t="shared" si="9"/>
        <v>2.0156832960238775</v>
      </c>
      <c r="X25" s="1009">
        <f t="shared" si="34"/>
        <v>2043.1773000000003</v>
      </c>
      <c r="Y25" s="1009"/>
      <c r="Z25" s="1009"/>
      <c r="AA25" s="1009">
        <f t="shared" si="34"/>
        <v>2151.9</v>
      </c>
      <c r="AB25" s="1050">
        <f t="shared" si="34"/>
        <v>3030.5219999999999</v>
      </c>
      <c r="AC25" s="1009">
        <f t="shared" si="34"/>
        <v>1551.6120093000002</v>
      </c>
      <c r="AD25" s="1030">
        <f t="shared" si="10"/>
        <v>0.75941133904531921</v>
      </c>
      <c r="AE25" s="1009">
        <f t="shared" ref="AE25:AF25" si="35">SUM(AE26:AE44)</f>
        <v>1396.08</v>
      </c>
      <c r="AF25" s="1047">
        <f t="shared" si="35"/>
        <v>2018.5900000000001</v>
      </c>
      <c r="AG25" s="1050">
        <f t="shared" ref="AG25:AH25" si="36">SUM(AG26:AG44)</f>
        <v>3301.3489307700006</v>
      </c>
      <c r="AH25" s="1009">
        <f t="shared" si="36"/>
        <v>2251.9940915978004</v>
      </c>
      <c r="AI25" s="1056">
        <f t="shared" si="11"/>
        <v>1.4513899596676705</v>
      </c>
      <c r="AJ25" s="6033"/>
      <c r="AK25" s="6034"/>
      <c r="AL25" s="6035"/>
      <c r="AM25" s="2834">
        <f t="shared" ref="AM25:AN25" si="37">SUM(AM26:AM44)</f>
        <v>2551.9700000000003</v>
      </c>
      <c r="AN25" s="2842">
        <f t="shared" si="37"/>
        <v>1307.3499999999999</v>
      </c>
      <c r="AO25" s="2958">
        <f t="shared" ref="AO25:AP25" si="38">SUM(AO26:AO44)</f>
        <v>2179.0300000000007</v>
      </c>
      <c r="AP25" s="2844">
        <f t="shared" si="38"/>
        <v>3079.7400000000002</v>
      </c>
      <c r="AQ25" s="3757">
        <f t="shared" ref="AQ25:AR25" si="39">SUM(AQ26:AQ44)</f>
        <v>3030.2523767095804</v>
      </c>
      <c r="AR25" s="1009">
        <f t="shared" si="39"/>
        <v>2379.5793969882316</v>
      </c>
      <c r="AS25" s="4312">
        <f t="shared" si="1"/>
        <v>1.0566543695058759</v>
      </c>
      <c r="AT25" s="3951">
        <f t="shared" ref="AT25:AU25" si="40">SUM(AT26:AT44)</f>
        <v>938.54</v>
      </c>
      <c r="AU25" s="3952">
        <f t="shared" si="40"/>
        <v>1434.36</v>
      </c>
      <c r="AV25" s="3606">
        <f t="shared" ref="AV25" si="41">SUM(AV26:AV44)</f>
        <v>1912.48</v>
      </c>
      <c r="AW25" s="4303">
        <f t="shared" ref="AW25:AX25" si="42">SUM(AW26:AW44)</f>
        <v>2518.1969227934142</v>
      </c>
      <c r="AX25" s="1009">
        <f t="shared" si="42"/>
        <v>2584.5472992529672</v>
      </c>
      <c r="AY25" s="3753">
        <f t="shared" si="2"/>
        <v>1.0861361896661896</v>
      </c>
    </row>
    <row r="26" spans="1:51" ht="18.75" customHeight="1">
      <c r="A26" s="1172" t="s">
        <v>550</v>
      </c>
      <c r="B26" s="1170">
        <v>81.7</v>
      </c>
      <c r="C26" s="1158">
        <v>71.599999999999994</v>
      </c>
      <c r="D26" s="1158">
        <f t="shared" ref="D26:D34" si="43">C26/B26*100</f>
        <v>87.6376988984088</v>
      </c>
      <c r="E26" s="1114">
        <v>58.8</v>
      </c>
      <c r="F26" s="1114">
        <f t="shared" si="4"/>
        <v>82.122905027932973</v>
      </c>
      <c r="G26" s="1114">
        <v>81.8</v>
      </c>
      <c r="H26" s="1114">
        <f t="shared" si="5"/>
        <v>139.1156462585034</v>
      </c>
      <c r="I26" s="1009">
        <v>84.3</v>
      </c>
      <c r="J26" s="1009">
        <v>81.8</v>
      </c>
      <c r="K26" s="1009">
        <v>402.6</v>
      </c>
      <c r="L26" s="1114">
        <v>402.6</v>
      </c>
      <c r="M26" s="1114">
        <f t="shared" si="6"/>
        <v>492.17603911980444</v>
      </c>
      <c r="N26" s="1114">
        <v>92.73</v>
      </c>
      <c r="O26" s="1114">
        <f t="shared" si="7"/>
        <v>110.00000000000001</v>
      </c>
      <c r="P26" s="1009">
        <v>88.4</v>
      </c>
      <c r="Q26" s="1114">
        <f t="shared" si="8"/>
        <v>104.86358244365364</v>
      </c>
      <c r="R26" s="1114">
        <f t="shared" ref="R26:R37" si="44">P26/L26*100</f>
        <v>21.957277694982615</v>
      </c>
      <c r="S26" s="1009">
        <v>169.5</v>
      </c>
      <c r="T26" s="1009"/>
      <c r="U26" s="1136">
        <v>169.5</v>
      </c>
      <c r="V26" s="1050">
        <v>240</v>
      </c>
      <c r="W26" s="1030">
        <f t="shared" si="9"/>
        <v>2.7149321266968323</v>
      </c>
      <c r="X26" s="1026">
        <f>P26*1.048</f>
        <v>92.643200000000007</v>
      </c>
      <c r="Y26" s="1026"/>
      <c r="Z26" s="1026"/>
      <c r="AA26" s="1187">
        <v>273.8</v>
      </c>
      <c r="AB26" s="1046">
        <v>98</v>
      </c>
      <c r="AC26" s="1026">
        <f>AB26</f>
        <v>98</v>
      </c>
      <c r="AD26" s="1030">
        <f t="shared" si="10"/>
        <v>1.0578218368968255</v>
      </c>
      <c r="AE26" s="1026">
        <v>0</v>
      </c>
      <c r="AF26" s="1187">
        <v>0</v>
      </c>
      <c r="AG26" s="1046">
        <f>SUM(AA26*1.1)</f>
        <v>301.18000000000006</v>
      </c>
      <c r="AH26" s="1026">
        <f>AG26</f>
        <v>301.18000000000006</v>
      </c>
      <c r="AI26" s="1056">
        <f t="shared" si="11"/>
        <v>3.0732653061224497</v>
      </c>
      <c r="AJ26" s="6033"/>
      <c r="AK26" s="6034"/>
      <c r="AL26" s="6035"/>
      <c r="AM26" s="2846">
        <v>0</v>
      </c>
      <c r="AN26" s="2842">
        <v>0</v>
      </c>
      <c r="AO26" s="2958">
        <v>0</v>
      </c>
      <c r="AP26" s="2844">
        <v>0</v>
      </c>
      <c r="AQ26" s="3752">
        <f>SUM(AH26*1.1)</f>
        <v>331.29800000000012</v>
      </c>
      <c r="AR26" s="1026">
        <f t="shared" si="20"/>
        <v>319.33814220000005</v>
      </c>
      <c r="AS26" s="4312">
        <f t="shared" si="1"/>
        <v>1.06029</v>
      </c>
      <c r="AT26" s="3951"/>
      <c r="AU26" s="3952"/>
      <c r="AV26" s="4278">
        <f t="shared" si="21"/>
        <v>0</v>
      </c>
      <c r="AW26" s="4344">
        <f t="shared" ref="AW26:AW28" si="45">AR26*(1-0.01)*(1+0.058)*(1+0)</f>
        <v>334.48115690312403</v>
      </c>
      <c r="AX26" s="1026">
        <f>AR26*(1-0.01)*(1+0.058)*(1+0)*1.007</f>
        <v>336.82252500144585</v>
      </c>
      <c r="AY26" s="3753">
        <f t="shared" si="2"/>
        <v>1.0547519399999998</v>
      </c>
    </row>
    <row r="27" spans="1:51" ht="18.75" customHeight="1">
      <c r="A27" s="1172" t="s">
        <v>551</v>
      </c>
      <c r="B27" s="1170">
        <v>58.5</v>
      </c>
      <c r="C27" s="1158">
        <v>91.6</v>
      </c>
      <c r="D27" s="1158">
        <f t="shared" si="43"/>
        <v>156.58119658119659</v>
      </c>
      <c r="E27" s="1114">
        <v>197.3</v>
      </c>
      <c r="F27" s="1114">
        <f t="shared" si="4"/>
        <v>215.39301310043672</v>
      </c>
      <c r="G27" s="1114">
        <v>132.5</v>
      </c>
      <c r="H27" s="1114">
        <f t="shared" si="5"/>
        <v>67.156614292954885</v>
      </c>
      <c r="I27" s="1009">
        <v>82.5</v>
      </c>
      <c r="J27" s="1114">
        <v>40.700000000000003</v>
      </c>
      <c r="K27" s="1114">
        <v>201.6</v>
      </c>
      <c r="L27" s="1114">
        <v>268.8</v>
      </c>
      <c r="M27" s="1114">
        <f t="shared" si="6"/>
        <v>202.8679245283019</v>
      </c>
      <c r="N27" s="1114">
        <v>112.42</v>
      </c>
      <c r="O27" s="1114">
        <f t="shared" si="7"/>
        <v>136.26666666666668</v>
      </c>
      <c r="P27" s="1009">
        <v>112.4</v>
      </c>
      <c r="Q27" s="1114">
        <f t="shared" si="8"/>
        <v>136.24242424242425</v>
      </c>
      <c r="R27" s="1114">
        <f t="shared" si="44"/>
        <v>41.81547619047619</v>
      </c>
      <c r="S27" s="1009">
        <v>283.3</v>
      </c>
      <c r="T27" s="1009"/>
      <c r="U27" s="1136">
        <v>316.10000000000002</v>
      </c>
      <c r="V27" s="1050">
        <v>285.60000000000002</v>
      </c>
      <c r="W27" s="1030">
        <f t="shared" si="9"/>
        <v>2.5409252669039146</v>
      </c>
      <c r="X27" s="1026">
        <f t="shared" ref="X27:X44" si="46">P27*1.048</f>
        <v>117.79520000000001</v>
      </c>
      <c r="Y27" s="1026"/>
      <c r="Z27" s="1026"/>
      <c r="AA27" s="1187">
        <v>185.6</v>
      </c>
      <c r="AB27" s="1046">
        <v>133.9</v>
      </c>
      <c r="AC27" s="1026">
        <f>AB27</f>
        <v>133.9</v>
      </c>
      <c r="AD27" s="1030">
        <f t="shared" si="10"/>
        <v>1.1367186438836216</v>
      </c>
      <c r="AE27" s="1026">
        <v>45.04</v>
      </c>
      <c r="AF27" s="1187">
        <v>215.01</v>
      </c>
      <c r="AG27" s="1046">
        <f>SUM(AA27*1.1)</f>
        <v>204.16</v>
      </c>
      <c r="AH27" s="1026">
        <f>AG27</f>
        <v>204.16</v>
      </c>
      <c r="AI27" s="1056">
        <f t="shared" si="11"/>
        <v>1.5247199402539207</v>
      </c>
      <c r="AJ27" s="6033"/>
      <c r="AK27" s="6034"/>
      <c r="AL27" s="6035"/>
      <c r="AM27" s="2846">
        <v>261.08999999999997</v>
      </c>
      <c r="AN27" s="2842">
        <v>28.94</v>
      </c>
      <c r="AO27" s="2958">
        <v>234.63</v>
      </c>
      <c r="AP27" s="2844">
        <v>272</v>
      </c>
      <c r="AQ27" s="3752">
        <f>SUM(AM27*1.074*1.1)</f>
        <v>308.45172600000001</v>
      </c>
      <c r="AR27" s="1026">
        <f t="shared" si="20"/>
        <v>216.46880640000001</v>
      </c>
      <c r="AS27" s="4312">
        <f t="shared" si="1"/>
        <v>1.06029</v>
      </c>
      <c r="AT27" s="3951">
        <v>18.98</v>
      </c>
      <c r="AU27" s="3952">
        <v>190.14</v>
      </c>
      <c r="AV27" s="4278">
        <f t="shared" si="21"/>
        <v>253.51999999999998</v>
      </c>
      <c r="AW27" s="4344">
        <f t="shared" si="45"/>
        <v>226.73375719948802</v>
      </c>
      <c r="AX27" s="1026">
        <f>AR27*(1-0.01)*(1+0.058)*(1+0)*1.007+2.14</f>
        <v>230.46089349988441</v>
      </c>
      <c r="AY27" s="3753">
        <f t="shared" si="2"/>
        <v>1.0646378909394882</v>
      </c>
    </row>
    <row r="28" spans="1:51" ht="42" customHeight="1">
      <c r="A28" s="1172" t="s">
        <v>571</v>
      </c>
      <c r="B28" s="1170">
        <v>796.5</v>
      </c>
      <c r="C28" s="1158">
        <v>579.4</v>
      </c>
      <c r="D28" s="1158">
        <f t="shared" si="43"/>
        <v>72.743251726302574</v>
      </c>
      <c r="E28" s="1114">
        <v>931.4</v>
      </c>
      <c r="F28" s="1114">
        <f t="shared" si="4"/>
        <v>160.75250258888505</v>
      </c>
      <c r="G28" s="1114">
        <v>362.1</v>
      </c>
      <c r="H28" s="1114">
        <f t="shared" si="5"/>
        <v>38.876959415933008</v>
      </c>
      <c r="I28" s="1009">
        <v>672.9</v>
      </c>
      <c r="J28" s="1114">
        <v>330.4</v>
      </c>
      <c r="K28" s="1114">
        <v>0</v>
      </c>
      <c r="L28" s="1114">
        <v>758.8</v>
      </c>
      <c r="M28" s="1114">
        <f t="shared" si="6"/>
        <v>209.55537144435237</v>
      </c>
      <c r="N28" s="1114">
        <v>740.19</v>
      </c>
      <c r="O28" s="1114">
        <f t="shared" si="7"/>
        <v>110.00000000000001</v>
      </c>
      <c r="P28" s="1009">
        <v>705.8</v>
      </c>
      <c r="Q28" s="1114">
        <f t="shared" si="8"/>
        <v>104.88928518353396</v>
      </c>
      <c r="R28" s="1114">
        <f t="shared" si="44"/>
        <v>93.015287295730104</v>
      </c>
      <c r="S28" s="1009">
        <v>240.3</v>
      </c>
      <c r="T28" s="1009"/>
      <c r="U28" s="1136">
        <v>240.3</v>
      </c>
      <c r="V28" s="1050">
        <v>875.7</v>
      </c>
      <c r="W28" s="1030">
        <f t="shared" si="9"/>
        <v>1.2407197506375744</v>
      </c>
      <c r="X28" s="1026">
        <f>P28*1.044</f>
        <v>736.85519999999997</v>
      </c>
      <c r="Y28" s="1026"/>
      <c r="Z28" s="1026"/>
      <c r="AA28" s="1187">
        <v>0</v>
      </c>
      <c r="AB28" s="1046">
        <v>786.92</v>
      </c>
      <c r="AC28" s="1026">
        <f>U28*1.077*1.049</f>
        <v>271.48445190000001</v>
      </c>
      <c r="AD28" s="1030">
        <f t="shared" si="10"/>
        <v>0.36843663707604973</v>
      </c>
      <c r="AE28" s="1026">
        <v>0</v>
      </c>
      <c r="AF28" s="1187">
        <v>0</v>
      </c>
      <c r="AG28" s="1046">
        <f>SUM(AC28*1.1)</f>
        <v>298.63289709000003</v>
      </c>
      <c r="AH28" s="1026">
        <f>AC28*1.062</f>
        <v>288.31648791780003</v>
      </c>
      <c r="AI28" s="1056">
        <f t="shared" si="11"/>
        <v>1.0620000000000001</v>
      </c>
      <c r="AJ28" s="5982" t="s">
        <v>1548</v>
      </c>
      <c r="AK28" s="5983"/>
      <c r="AL28" s="5984"/>
      <c r="AM28" s="2846">
        <v>0</v>
      </c>
      <c r="AN28" s="2842"/>
      <c r="AO28" s="2958"/>
      <c r="AP28" s="2844"/>
      <c r="AQ28" s="3752">
        <f>SUM(AH28*1.1)</f>
        <v>317.14813670958006</v>
      </c>
      <c r="AR28" s="1026">
        <f t="shared" si="20"/>
        <v>305.69908897436414</v>
      </c>
      <c r="AS28" s="4312">
        <f t="shared" si="1"/>
        <v>1.0602899999999997</v>
      </c>
      <c r="AT28" s="3951"/>
      <c r="AU28" s="3952"/>
      <c r="AV28" s="4278">
        <f t="shared" si="21"/>
        <v>0</v>
      </c>
      <c r="AW28" s="4344">
        <f t="shared" si="45"/>
        <v>320.19533977352853</v>
      </c>
      <c r="AX28" s="1026">
        <f>AR28*(1-0.01)*(1+0.058)*(1+0)*1.007</f>
        <v>322.43670715194321</v>
      </c>
      <c r="AY28" s="3753">
        <f t="shared" si="2"/>
        <v>1.0547519400000001</v>
      </c>
    </row>
    <row r="29" spans="1:51" ht="18.75" customHeight="1">
      <c r="A29" s="1172" t="s">
        <v>552</v>
      </c>
      <c r="B29" s="1170">
        <v>61.2</v>
      </c>
      <c r="C29" s="1160">
        <v>61.2</v>
      </c>
      <c r="D29" s="1158">
        <f t="shared" si="43"/>
        <v>100</v>
      </c>
      <c r="E29" s="1114">
        <v>61.2</v>
      </c>
      <c r="F29" s="1114">
        <f t="shared" si="4"/>
        <v>100</v>
      </c>
      <c r="G29" s="1114">
        <v>61</v>
      </c>
      <c r="H29" s="1114">
        <f t="shared" si="5"/>
        <v>99.673202614379079</v>
      </c>
      <c r="I29" s="1009">
        <f>E29*1.03</f>
        <v>63.036000000000001</v>
      </c>
      <c r="J29" s="1114">
        <v>30.6</v>
      </c>
      <c r="K29" s="1114">
        <v>45.9</v>
      </c>
      <c r="L29" s="1114">
        <v>61</v>
      </c>
      <c r="M29" s="1114">
        <f t="shared" si="6"/>
        <v>100</v>
      </c>
      <c r="N29" s="1114">
        <v>69.3</v>
      </c>
      <c r="O29" s="1114">
        <f t="shared" si="7"/>
        <v>109.93717875499713</v>
      </c>
      <c r="P29" s="1009">
        <v>66.099999999999994</v>
      </c>
      <c r="Q29" s="1114">
        <f t="shared" si="8"/>
        <v>104.86071451234213</v>
      </c>
      <c r="R29" s="1114">
        <f t="shared" si="44"/>
        <v>108.3606557377049</v>
      </c>
      <c r="S29" s="1009">
        <v>56.7</v>
      </c>
      <c r="T29" s="1009"/>
      <c r="U29" s="1136">
        <v>75.599999999999994</v>
      </c>
      <c r="V29" s="1050">
        <v>69.3</v>
      </c>
      <c r="W29" s="1030">
        <f t="shared" si="9"/>
        <v>1.0484114977307111</v>
      </c>
      <c r="X29" s="1026">
        <f>P29</f>
        <v>66.099999999999994</v>
      </c>
      <c r="Y29" s="1026"/>
      <c r="Z29" s="1026"/>
      <c r="AA29" s="1187">
        <v>75.599999999999994</v>
      </c>
      <c r="AB29" s="1046">
        <v>77.867999999999995</v>
      </c>
      <c r="AC29" s="1026">
        <f>AB29</f>
        <v>77.867999999999995</v>
      </c>
      <c r="AD29" s="1030">
        <f t="shared" si="10"/>
        <v>1.1780332829046898</v>
      </c>
      <c r="AE29" s="1026">
        <v>41.55</v>
      </c>
      <c r="AF29" s="1187">
        <v>62.34</v>
      </c>
      <c r="AG29" s="1046">
        <f>SUM(AC29*1.1)</f>
        <v>85.654799999999994</v>
      </c>
      <c r="AH29" s="1026">
        <f>AG29</f>
        <v>85.654799999999994</v>
      </c>
      <c r="AI29" s="1056">
        <f t="shared" si="11"/>
        <v>1.1000000000000001</v>
      </c>
      <c r="AJ29" s="6033"/>
      <c r="AK29" s="6034"/>
      <c r="AL29" s="6035"/>
      <c r="AM29" s="2846">
        <v>83.13</v>
      </c>
      <c r="AN29" s="2842">
        <v>41.58</v>
      </c>
      <c r="AO29" s="2958">
        <v>62.37</v>
      </c>
      <c r="AP29" s="2844">
        <v>83.16</v>
      </c>
      <c r="AQ29" s="3752">
        <f>SUM(AH29*1.1)</f>
        <v>94.220280000000002</v>
      </c>
      <c r="AR29" s="2117">
        <v>85.65</v>
      </c>
      <c r="AS29" s="4312">
        <f t="shared" si="1"/>
        <v>0.99994396110900974</v>
      </c>
      <c r="AT29" s="3951">
        <v>41.58</v>
      </c>
      <c r="AU29" s="3952">
        <v>62.37</v>
      </c>
      <c r="AV29" s="4278">
        <f t="shared" si="21"/>
        <v>83.16</v>
      </c>
      <c r="AW29" s="4344">
        <f>SUM(AR29*1.1)</f>
        <v>94.215000000000018</v>
      </c>
      <c r="AX29" s="2117">
        <v>85.65</v>
      </c>
      <c r="AY29" s="3753">
        <f t="shared" si="2"/>
        <v>1</v>
      </c>
    </row>
    <row r="30" spans="1:51" ht="18.75" customHeight="1">
      <c r="A30" s="1172" t="s">
        <v>553</v>
      </c>
      <c r="B30" s="1170">
        <v>3.8</v>
      </c>
      <c r="C30" s="1158">
        <v>11.5</v>
      </c>
      <c r="D30" s="1158">
        <f t="shared" si="43"/>
        <v>302.63157894736844</v>
      </c>
      <c r="E30" s="1114">
        <v>1.9</v>
      </c>
      <c r="F30" s="1114">
        <f t="shared" si="4"/>
        <v>16.521739130434781</v>
      </c>
      <c r="G30" s="1114">
        <v>37.1</v>
      </c>
      <c r="H30" s="1114">
        <f t="shared" si="5"/>
        <v>1952.6315789473686</v>
      </c>
      <c r="I30" s="1009">
        <v>10.9</v>
      </c>
      <c r="J30" s="1114">
        <v>3.5</v>
      </c>
      <c r="K30" s="1114">
        <v>23.7</v>
      </c>
      <c r="L30" s="1114">
        <v>23.7</v>
      </c>
      <c r="M30" s="1114">
        <f t="shared" si="6"/>
        <v>63.881401617250667</v>
      </c>
      <c r="N30" s="1114">
        <v>14.19</v>
      </c>
      <c r="O30" s="1114">
        <f t="shared" si="7"/>
        <v>130.18348623853211</v>
      </c>
      <c r="P30" s="1009">
        <v>14.2</v>
      </c>
      <c r="Q30" s="1114">
        <f t="shared" si="8"/>
        <v>130.27522935779817</v>
      </c>
      <c r="R30" s="1114">
        <f t="shared" si="44"/>
        <v>59.915611814345993</v>
      </c>
      <c r="S30" s="1009">
        <v>51.1</v>
      </c>
      <c r="T30" s="1009"/>
      <c r="U30" s="1136">
        <v>51.1</v>
      </c>
      <c r="V30" s="1050">
        <v>25.8</v>
      </c>
      <c r="W30" s="1030">
        <f t="shared" si="9"/>
        <v>1.8169014084507045</v>
      </c>
      <c r="X30" s="1026">
        <f t="shared" si="46"/>
        <v>14.881600000000001</v>
      </c>
      <c r="Y30" s="1026"/>
      <c r="Z30" s="1026"/>
      <c r="AA30" s="1187">
        <v>50.4</v>
      </c>
      <c r="AB30" s="1046">
        <v>15.862</v>
      </c>
      <c r="AC30" s="1026">
        <f>AB30</f>
        <v>15.862</v>
      </c>
      <c r="AD30" s="1030">
        <f t="shared" si="10"/>
        <v>1.0658800129018384</v>
      </c>
      <c r="AE30" s="1026">
        <v>33.6</v>
      </c>
      <c r="AF30" s="1187">
        <v>67.5</v>
      </c>
      <c r="AG30" s="1046">
        <f>SUM(AA30*1.1)</f>
        <v>55.440000000000005</v>
      </c>
      <c r="AH30" s="1026">
        <f>AG30</f>
        <v>55.440000000000005</v>
      </c>
      <c r="AI30" s="1056">
        <f t="shared" si="11"/>
        <v>3.4951456310679614</v>
      </c>
      <c r="AJ30" s="6033"/>
      <c r="AK30" s="6034"/>
      <c r="AL30" s="6035"/>
      <c r="AM30" s="2846">
        <v>68.14</v>
      </c>
      <c r="AN30" s="2842">
        <v>0.94</v>
      </c>
      <c r="AO30" s="2958">
        <v>43.16</v>
      </c>
      <c r="AP30" s="2844">
        <v>43.16</v>
      </c>
      <c r="AQ30" s="3752">
        <f>SUM(AM30*1.074*1.1)</f>
        <v>80.500596000000016</v>
      </c>
      <c r="AR30" s="1026">
        <f t="shared" si="20"/>
        <v>58.7824776</v>
      </c>
      <c r="AS30" s="4312">
        <f t="shared" si="1"/>
        <v>1.06029</v>
      </c>
      <c r="AT30" s="3951">
        <v>3.78</v>
      </c>
      <c r="AU30" s="3952">
        <v>29.59</v>
      </c>
      <c r="AV30" s="4278">
        <f t="shared" si="21"/>
        <v>39.453333333333333</v>
      </c>
      <c r="AW30" s="4344">
        <f t="shared" ref="AW30" si="47">AR30*(1-0.01)*(1+0.058)*(1+0)</f>
        <v>61.569942687792008</v>
      </c>
      <c r="AX30" s="1026">
        <f>AR30*(1-0.01)*(1+0.058)*(1+0)*1.007</f>
        <v>62.000932286606542</v>
      </c>
      <c r="AY30" s="3753">
        <f t="shared" si="2"/>
        <v>1.0547519400000001</v>
      </c>
    </row>
    <row r="31" spans="1:51" ht="30" customHeight="1">
      <c r="A31" s="1172" t="s">
        <v>554</v>
      </c>
      <c r="B31" s="1170">
        <v>2.8</v>
      </c>
      <c r="C31" s="1158">
        <v>4.2</v>
      </c>
      <c r="D31" s="1158">
        <f t="shared" si="43"/>
        <v>150.00000000000003</v>
      </c>
      <c r="E31" s="1114">
        <v>7.2</v>
      </c>
      <c r="F31" s="1114">
        <f t="shared" si="4"/>
        <v>171.42857142857142</v>
      </c>
      <c r="G31" s="1114">
        <v>5.9</v>
      </c>
      <c r="H31" s="1114">
        <f t="shared" si="5"/>
        <v>81.944444444444443</v>
      </c>
      <c r="I31" s="1009">
        <v>9.6999999999999993</v>
      </c>
      <c r="J31" s="1114">
        <v>3.2</v>
      </c>
      <c r="K31" s="1114">
        <v>3.7</v>
      </c>
      <c r="L31" s="1114">
        <v>5.5</v>
      </c>
      <c r="M31" s="1114">
        <f t="shared" si="6"/>
        <v>93.220338983050837</v>
      </c>
      <c r="N31" s="1114">
        <v>12.98</v>
      </c>
      <c r="O31" s="1114">
        <f t="shared" si="7"/>
        <v>133.81443298969074</v>
      </c>
      <c r="P31" s="1009">
        <v>5.2</v>
      </c>
      <c r="Q31" s="1114">
        <f t="shared" si="8"/>
        <v>53.608247422680421</v>
      </c>
      <c r="R31" s="1114">
        <f t="shared" si="44"/>
        <v>94.545454545454547</v>
      </c>
      <c r="S31" s="1009">
        <v>4.0999999999999996</v>
      </c>
      <c r="T31" s="1009"/>
      <c r="U31" s="1136">
        <v>4.2</v>
      </c>
      <c r="V31" s="1050">
        <v>6.3</v>
      </c>
      <c r="W31" s="1030">
        <f t="shared" si="9"/>
        <v>1.2115384615384615</v>
      </c>
      <c r="X31" s="1026">
        <f>P31</f>
        <v>5.2</v>
      </c>
      <c r="Y31" s="1026"/>
      <c r="Z31" s="1026"/>
      <c r="AA31" s="1187">
        <v>0</v>
      </c>
      <c r="AB31" s="1046">
        <v>158.21</v>
      </c>
      <c r="AC31" s="1026">
        <f>X31</f>
        <v>5.2</v>
      </c>
      <c r="AD31" s="1030">
        <f t="shared" si="10"/>
        <v>1</v>
      </c>
      <c r="AE31" s="1026">
        <v>0</v>
      </c>
      <c r="AF31" s="1187">
        <v>0</v>
      </c>
      <c r="AG31" s="1046">
        <f>SUM(AC31*1.1)</f>
        <v>5.7200000000000006</v>
      </c>
      <c r="AH31" s="1026">
        <v>0</v>
      </c>
      <c r="AI31" s="1056">
        <f t="shared" si="11"/>
        <v>0</v>
      </c>
      <c r="AJ31" s="5982" t="s">
        <v>1498</v>
      </c>
      <c r="AK31" s="5983"/>
      <c r="AL31" s="5984"/>
      <c r="AM31" s="2846">
        <v>0</v>
      </c>
      <c r="AN31" s="2842">
        <v>0</v>
      </c>
      <c r="AO31" s="2958">
        <v>0</v>
      </c>
      <c r="AP31" s="2844">
        <v>0</v>
      </c>
      <c r="AQ31" s="3752">
        <f>SUM(AM31*1.1)</f>
        <v>0</v>
      </c>
      <c r="AR31" s="1026">
        <f t="shared" si="20"/>
        <v>0</v>
      </c>
      <c r="AS31" s="4312"/>
      <c r="AT31" s="3951"/>
      <c r="AU31" s="3952"/>
      <c r="AV31" s="4278">
        <f t="shared" si="21"/>
        <v>0</v>
      </c>
      <c r="AW31" s="4344">
        <v>0</v>
      </c>
      <c r="AX31" s="1026">
        <f>AR31*(1-0.01)*(1+0.04)*(1+0)*1.007</f>
        <v>0</v>
      </c>
      <c r="AY31" s="3753">
        <v>0</v>
      </c>
    </row>
    <row r="32" spans="1:51" ht="44.25" customHeight="1">
      <c r="A32" s="1172" t="s">
        <v>582</v>
      </c>
      <c r="B32" s="1170">
        <v>51.5</v>
      </c>
      <c r="C32" s="1160">
        <v>192.5</v>
      </c>
      <c r="D32" s="1158">
        <f t="shared" si="43"/>
        <v>373.78640776699029</v>
      </c>
      <c r="E32" s="1114">
        <v>211.5</v>
      </c>
      <c r="F32" s="1114">
        <f t="shared" si="4"/>
        <v>109.87012987012987</v>
      </c>
      <c r="G32" s="1114">
        <v>29.9</v>
      </c>
      <c r="H32" s="1114">
        <f t="shared" si="5"/>
        <v>14.137115839243497</v>
      </c>
      <c r="I32" s="1009">
        <v>253.5</v>
      </c>
      <c r="J32" s="1114">
        <v>132.1</v>
      </c>
      <c r="K32" s="1114">
        <v>40.6</v>
      </c>
      <c r="L32" s="1114">
        <v>42.8</v>
      </c>
      <c r="M32" s="1114">
        <f t="shared" si="6"/>
        <v>143.1438127090301</v>
      </c>
      <c r="N32" s="1114">
        <v>278.85000000000002</v>
      </c>
      <c r="O32" s="1114">
        <f t="shared" si="7"/>
        <v>110.00000000000001</v>
      </c>
      <c r="P32" s="1009">
        <v>265.89999999999998</v>
      </c>
      <c r="Q32" s="1114">
        <f t="shared" si="8"/>
        <v>104.89151873767257</v>
      </c>
      <c r="R32" s="1114">
        <f t="shared" si="44"/>
        <v>621.26168224299056</v>
      </c>
      <c r="S32" s="1009">
        <v>98</v>
      </c>
      <c r="T32" s="1009"/>
      <c r="U32" s="1136">
        <v>98.2</v>
      </c>
      <c r="V32" s="1050">
        <v>316.05</v>
      </c>
      <c r="W32" s="1030">
        <f t="shared" si="9"/>
        <v>1.1886047386235428</v>
      </c>
      <c r="X32" s="1026">
        <f t="shared" si="46"/>
        <v>278.66319999999996</v>
      </c>
      <c r="Y32" s="1026"/>
      <c r="Z32" s="1026"/>
      <c r="AA32" s="1187">
        <v>507.1</v>
      </c>
      <c r="AB32" s="1046">
        <v>296.64</v>
      </c>
      <c r="AC32" s="1026">
        <f>U32*1.077*1.049</f>
        <v>110.94370859999999</v>
      </c>
      <c r="AD32" s="1030">
        <f t="shared" si="10"/>
        <v>0.39812830901245666</v>
      </c>
      <c r="AE32" s="1026">
        <v>487.79</v>
      </c>
      <c r="AF32" s="1187">
        <v>487.79</v>
      </c>
      <c r="AG32" s="1046">
        <f>SUM(AA32*1.1)</f>
        <v>557.81000000000006</v>
      </c>
      <c r="AH32" s="1026">
        <f>AG32</f>
        <v>557.81000000000006</v>
      </c>
      <c r="AI32" s="1056">
        <f t="shared" si="11"/>
        <v>5.0278650951821531</v>
      </c>
      <c r="AJ32" s="6033"/>
      <c r="AK32" s="6034"/>
      <c r="AL32" s="6035"/>
      <c r="AM32" s="2846">
        <v>489.08</v>
      </c>
      <c r="AN32" s="2842"/>
      <c r="AO32" s="2958">
        <v>8.01</v>
      </c>
      <c r="AP32" s="2844">
        <v>9.58</v>
      </c>
      <c r="AQ32" s="3752">
        <f>SUM(AH32*1.1)</f>
        <v>613.59100000000012</v>
      </c>
      <c r="AR32" s="1026">
        <f t="shared" si="20"/>
        <v>591.44036490000008</v>
      </c>
      <c r="AS32" s="4312">
        <f t="shared" si="1"/>
        <v>1.06029</v>
      </c>
      <c r="AT32" s="3951"/>
      <c r="AU32" s="3952"/>
      <c r="AV32" s="4278">
        <f t="shared" si="21"/>
        <v>0</v>
      </c>
      <c r="AW32" s="4344">
        <f t="shared" ref="AW32:AW37" si="48">AR32*(1-0.01)*(1+0.058)*(1+0)</f>
        <v>619.48646700355812</v>
      </c>
      <c r="AX32" s="1026">
        <f t="shared" ref="AX32:AX37" si="49">AR32*(1-0.01)*(1+0.058)*(1+0)*1.007</f>
        <v>623.82287227258291</v>
      </c>
      <c r="AY32" s="3753">
        <f t="shared" si="2"/>
        <v>1.0547519399999998</v>
      </c>
    </row>
    <row r="33" spans="1:51" ht="18.75" customHeight="1">
      <c r="A33" s="1172" t="s">
        <v>1694</v>
      </c>
      <c r="B33" s="1170">
        <v>8.6999999999999993</v>
      </c>
      <c r="C33" s="1158">
        <v>7.2</v>
      </c>
      <c r="D33" s="1158">
        <f t="shared" si="43"/>
        <v>82.758620689655189</v>
      </c>
      <c r="E33" s="1114">
        <v>22.4</v>
      </c>
      <c r="F33" s="1114">
        <f t="shared" si="4"/>
        <v>311.11111111111109</v>
      </c>
      <c r="G33" s="1114">
        <v>17.3</v>
      </c>
      <c r="H33" s="1114">
        <f t="shared" si="5"/>
        <v>77.232142857142861</v>
      </c>
      <c r="I33" s="1009">
        <v>28.9</v>
      </c>
      <c r="J33" s="1114">
        <v>2.5</v>
      </c>
      <c r="K33" s="1114">
        <v>0</v>
      </c>
      <c r="L33" s="1114">
        <v>69.3</v>
      </c>
      <c r="M33" s="1114">
        <f t="shared" si="6"/>
        <v>400.5780346820809</v>
      </c>
      <c r="N33" s="1114">
        <v>31.79</v>
      </c>
      <c r="O33" s="1114">
        <f t="shared" si="7"/>
        <v>110.00000000000001</v>
      </c>
      <c r="P33" s="1009">
        <v>30.3</v>
      </c>
      <c r="Q33" s="1114">
        <f t="shared" si="8"/>
        <v>104.84429065743946</v>
      </c>
      <c r="R33" s="1114">
        <f t="shared" si="44"/>
        <v>43.722943722943725</v>
      </c>
      <c r="S33" s="1009">
        <v>2.5</v>
      </c>
      <c r="T33" s="1009"/>
      <c r="U33" s="1136">
        <v>10</v>
      </c>
      <c r="V33" s="1050">
        <v>72.099999999999994</v>
      </c>
      <c r="W33" s="1030">
        <f t="shared" si="9"/>
        <v>2.3795379537953791</v>
      </c>
      <c r="X33" s="1026">
        <f t="shared" si="46"/>
        <v>31.7544</v>
      </c>
      <c r="Y33" s="1026"/>
      <c r="Z33" s="1026"/>
      <c r="AA33" s="1187">
        <v>27.3</v>
      </c>
      <c r="AB33" s="1046">
        <v>33.372</v>
      </c>
      <c r="AC33" s="1026">
        <f>AB33</f>
        <v>33.372</v>
      </c>
      <c r="AD33" s="1030">
        <f t="shared" si="10"/>
        <v>1.0509409719597913</v>
      </c>
      <c r="AE33" s="1026">
        <v>388.02</v>
      </c>
      <c r="AF33" s="1187">
        <v>389.92</v>
      </c>
      <c r="AG33" s="1046">
        <f>SUM(AC33*1.1)</f>
        <v>36.709200000000003</v>
      </c>
      <c r="AH33" s="1026">
        <f>AG33</f>
        <v>36.709200000000003</v>
      </c>
      <c r="AI33" s="1056">
        <f t="shared" si="11"/>
        <v>1.1000000000000001</v>
      </c>
      <c r="AJ33" s="6033"/>
      <c r="AK33" s="6034"/>
      <c r="AL33" s="6035"/>
      <c r="AM33" s="2846">
        <v>391.81</v>
      </c>
      <c r="AN33" s="2842">
        <v>235.47</v>
      </c>
      <c r="AO33" s="2958">
        <v>510.84</v>
      </c>
      <c r="AP33" s="2844">
        <v>639.74</v>
      </c>
      <c r="AQ33" s="3752">
        <f>SUM(AM33*1.074*1.1)</f>
        <v>462.88433400000002</v>
      </c>
      <c r="AR33" s="1026">
        <f t="shared" si="20"/>
        <v>38.922397668000002</v>
      </c>
      <c r="AS33" s="4312">
        <f t="shared" si="1"/>
        <v>1.06029</v>
      </c>
      <c r="AT33" s="3951">
        <v>56.72</v>
      </c>
      <c r="AU33" s="3952">
        <v>57.97</v>
      </c>
      <c r="AV33" s="4278">
        <f t="shared" si="21"/>
        <v>77.293333333333322</v>
      </c>
      <c r="AW33" s="4344">
        <f t="shared" si="48"/>
        <v>40.768097765416563</v>
      </c>
      <c r="AX33" s="1026">
        <f t="shared" si="49"/>
        <v>41.053474449774477</v>
      </c>
      <c r="AY33" s="3753">
        <f t="shared" si="2"/>
        <v>1.0547519400000001</v>
      </c>
    </row>
    <row r="34" spans="1:51" ht="18.75">
      <c r="A34" s="1172" t="s">
        <v>557</v>
      </c>
      <c r="B34" s="1170">
        <v>20.9</v>
      </c>
      <c r="C34" s="1158">
        <v>26.9</v>
      </c>
      <c r="D34" s="1158">
        <f t="shared" si="43"/>
        <v>128.70813397129186</v>
      </c>
      <c r="E34" s="1114">
        <v>50.6</v>
      </c>
      <c r="F34" s="1114">
        <f t="shared" si="4"/>
        <v>188.10408921933086</v>
      </c>
      <c r="G34" s="1114">
        <v>29.7</v>
      </c>
      <c r="H34" s="1114">
        <f t="shared" si="5"/>
        <v>58.695652173913039</v>
      </c>
      <c r="I34" s="1009">
        <v>0</v>
      </c>
      <c r="J34" s="1114">
        <v>14.7</v>
      </c>
      <c r="K34" s="1114">
        <v>18.3</v>
      </c>
      <c r="L34" s="1114">
        <v>18.3</v>
      </c>
      <c r="M34" s="1114">
        <f t="shared" si="6"/>
        <v>61.616161616161627</v>
      </c>
      <c r="N34" s="1114">
        <v>0</v>
      </c>
      <c r="O34" s="1114"/>
      <c r="P34" s="1009">
        <v>0</v>
      </c>
      <c r="Q34" s="1114"/>
      <c r="R34" s="1114">
        <f t="shared" si="44"/>
        <v>0</v>
      </c>
      <c r="S34" s="1009">
        <v>0</v>
      </c>
      <c r="T34" s="1009"/>
      <c r="U34" s="1136">
        <v>0</v>
      </c>
      <c r="V34" s="1050">
        <v>24.7</v>
      </c>
      <c r="W34" s="1030"/>
      <c r="X34" s="1026">
        <f t="shared" si="46"/>
        <v>0</v>
      </c>
      <c r="Y34" s="1026"/>
      <c r="Z34" s="1026"/>
      <c r="AA34" s="1187">
        <v>0</v>
      </c>
      <c r="AB34" s="1046"/>
      <c r="AC34" s="1026"/>
      <c r="AD34" s="1030"/>
      <c r="AE34" s="1026">
        <v>9.5</v>
      </c>
      <c r="AF34" s="1187">
        <v>9.5</v>
      </c>
      <c r="AG34" s="1046">
        <v>0</v>
      </c>
      <c r="AH34" s="1026">
        <v>0</v>
      </c>
      <c r="AI34" s="1056" t="e">
        <f t="shared" si="11"/>
        <v>#DIV/0!</v>
      </c>
      <c r="AJ34" s="6033"/>
      <c r="AK34" s="6034"/>
      <c r="AL34" s="6035"/>
      <c r="AM34" s="2846">
        <v>9.5</v>
      </c>
      <c r="AN34" s="2842"/>
      <c r="AO34" s="2958"/>
      <c r="AP34" s="2844">
        <v>60.9</v>
      </c>
      <c r="AQ34" s="3752">
        <f>SUM(AM34*1.074*1.1)</f>
        <v>11.223300000000002</v>
      </c>
      <c r="AR34" s="1026">
        <f t="shared" si="20"/>
        <v>0</v>
      </c>
      <c r="AS34" s="4312"/>
      <c r="AT34" s="3951">
        <v>16.760000000000002</v>
      </c>
      <c r="AU34" s="3952">
        <v>16.760000000000002</v>
      </c>
      <c r="AV34" s="4278">
        <f t="shared" si="21"/>
        <v>22.346666666666671</v>
      </c>
      <c r="AW34" s="4344">
        <v>0</v>
      </c>
      <c r="AX34" s="1026">
        <f t="shared" si="49"/>
        <v>0</v>
      </c>
      <c r="AY34" s="3753">
        <v>0</v>
      </c>
    </row>
    <row r="35" spans="1:51" ht="18.75">
      <c r="A35" s="1172" t="s">
        <v>1656</v>
      </c>
      <c r="B35" s="1170"/>
      <c r="C35" s="1158">
        <v>5.0999999999999996</v>
      </c>
      <c r="D35" s="1158"/>
      <c r="E35" s="1114">
        <v>2</v>
      </c>
      <c r="F35" s="1114">
        <f t="shared" si="4"/>
        <v>39.215686274509807</v>
      </c>
      <c r="G35" s="1114">
        <v>3.3</v>
      </c>
      <c r="H35" s="1114">
        <f t="shared" si="5"/>
        <v>165</v>
      </c>
      <c r="I35" s="1009">
        <v>0</v>
      </c>
      <c r="J35" s="1114">
        <v>2.8</v>
      </c>
      <c r="K35" s="1114">
        <v>5.4</v>
      </c>
      <c r="L35" s="1114">
        <v>8</v>
      </c>
      <c r="M35" s="1114">
        <f t="shared" si="6"/>
        <v>242.42424242424244</v>
      </c>
      <c r="N35" s="1114">
        <v>10.1</v>
      </c>
      <c r="O35" s="1114"/>
      <c r="P35" s="1009">
        <v>0</v>
      </c>
      <c r="Q35" s="1114"/>
      <c r="R35" s="1114">
        <f t="shared" si="44"/>
        <v>0</v>
      </c>
      <c r="S35" s="1009">
        <v>5.0999999999999996</v>
      </c>
      <c r="T35" s="1009"/>
      <c r="U35" s="1136">
        <v>6.5</v>
      </c>
      <c r="V35" s="1050">
        <v>8.4</v>
      </c>
      <c r="W35" s="1030"/>
      <c r="X35" s="1026">
        <f t="shared" si="46"/>
        <v>0</v>
      </c>
      <c r="Y35" s="1026"/>
      <c r="Z35" s="1026"/>
      <c r="AA35" s="1187">
        <v>8.8000000000000007</v>
      </c>
      <c r="AB35" s="1046"/>
      <c r="AC35" s="1026"/>
      <c r="AD35" s="1030"/>
      <c r="AE35" s="1026">
        <v>0</v>
      </c>
      <c r="AF35" s="1187">
        <v>5.69</v>
      </c>
      <c r="AG35" s="1046">
        <f>SUM(AA35*1.1)</f>
        <v>9.6800000000000015</v>
      </c>
      <c r="AH35" s="1026">
        <f>AG35</f>
        <v>9.6800000000000015</v>
      </c>
      <c r="AI35" s="1056" t="e">
        <f t="shared" si="11"/>
        <v>#DIV/0!</v>
      </c>
      <c r="AJ35" s="6033"/>
      <c r="AK35" s="6034"/>
      <c r="AL35" s="6035"/>
      <c r="AM35" s="2846">
        <v>7.05</v>
      </c>
      <c r="AN35" s="2842"/>
      <c r="AO35" s="2958"/>
      <c r="AP35" s="2844">
        <v>3.88</v>
      </c>
      <c r="AQ35" s="3752">
        <f>SUM(AH35*1.1)</f>
        <v>10.648000000000003</v>
      </c>
      <c r="AR35" s="1026">
        <f t="shared" si="20"/>
        <v>10.263607200000001</v>
      </c>
      <c r="AS35" s="4312">
        <f t="shared" si="1"/>
        <v>1.06029</v>
      </c>
      <c r="AT35" s="3951"/>
      <c r="AU35" s="3952">
        <v>3.88</v>
      </c>
      <c r="AV35" s="4278">
        <f t="shared" si="21"/>
        <v>5.1733333333333338</v>
      </c>
      <c r="AW35" s="4344">
        <f t="shared" si="48"/>
        <v>10.750307453424002</v>
      </c>
      <c r="AX35" s="1026">
        <f t="shared" si="49"/>
        <v>10.825559605597968</v>
      </c>
      <c r="AY35" s="3753">
        <f t="shared" si="2"/>
        <v>1.0547519399999998</v>
      </c>
    </row>
    <row r="36" spans="1:51" ht="18.75">
      <c r="A36" s="1172" t="s">
        <v>1655</v>
      </c>
      <c r="B36" s="1170">
        <v>25.7</v>
      </c>
      <c r="C36" s="1158">
        <v>304.89999999999998</v>
      </c>
      <c r="D36" s="1158">
        <f>C36/B36*100</f>
        <v>1186.3813229571983</v>
      </c>
      <c r="E36" s="1114">
        <v>523.9</v>
      </c>
      <c r="F36" s="1114">
        <f t="shared" si="4"/>
        <v>171.8268284683503</v>
      </c>
      <c r="G36" s="1114">
        <v>556</v>
      </c>
      <c r="H36" s="1114">
        <f t="shared" si="5"/>
        <v>106.12712349685054</v>
      </c>
      <c r="I36" s="1009">
        <v>0</v>
      </c>
      <c r="J36" s="1114">
        <v>275.10000000000002</v>
      </c>
      <c r="K36" s="1114">
        <v>473.8</v>
      </c>
      <c r="L36" s="1114">
        <v>672.1</v>
      </c>
      <c r="M36" s="1114">
        <f t="shared" si="6"/>
        <v>120.88129496402877</v>
      </c>
      <c r="N36" s="1114">
        <v>642.4</v>
      </c>
      <c r="O36" s="1114"/>
      <c r="P36" s="1009">
        <v>0</v>
      </c>
      <c r="Q36" s="1114"/>
      <c r="R36" s="1114">
        <f t="shared" si="44"/>
        <v>0</v>
      </c>
      <c r="S36" s="1009">
        <v>533.6</v>
      </c>
      <c r="T36" s="1009"/>
      <c r="U36" s="1136">
        <v>698.7</v>
      </c>
      <c r="V36" s="1050">
        <v>832.05</v>
      </c>
      <c r="W36" s="1030"/>
      <c r="X36" s="1026">
        <f t="shared" si="46"/>
        <v>0</v>
      </c>
      <c r="Y36" s="1026"/>
      <c r="Z36" s="1026"/>
      <c r="AA36" s="1187">
        <v>688.1</v>
      </c>
      <c r="AB36" s="1046">
        <v>713</v>
      </c>
      <c r="AC36" s="1026">
        <v>0</v>
      </c>
      <c r="AD36" s="1030"/>
      <c r="AE36" s="1026">
        <v>328.05</v>
      </c>
      <c r="AF36" s="1187">
        <v>493.45</v>
      </c>
      <c r="AG36" s="1046">
        <f>SUM(AA36*1.1)</f>
        <v>756.91000000000008</v>
      </c>
      <c r="AH36" s="1026">
        <v>0</v>
      </c>
      <c r="AI36" s="1056" t="e">
        <f t="shared" si="11"/>
        <v>#DIV/0!</v>
      </c>
      <c r="AJ36" s="6033"/>
      <c r="AK36" s="6034"/>
      <c r="AL36" s="6035"/>
      <c r="AM36" s="2846">
        <f>629.62+51.01</f>
        <v>680.63</v>
      </c>
      <c r="AN36" s="2842">
        <f>321.24+18.67</f>
        <v>339.91</v>
      </c>
      <c r="AO36" s="2958">
        <v>563.47</v>
      </c>
      <c r="AP36" s="2844">
        <v>799.92</v>
      </c>
      <c r="AQ36" s="3752">
        <f>SUM(AK36*1.1)</f>
        <v>0</v>
      </c>
      <c r="AR36" s="1026">
        <f t="shared" si="20"/>
        <v>0</v>
      </c>
      <c r="AS36" s="4312"/>
      <c r="AT36" s="3951">
        <v>449.09</v>
      </c>
      <c r="AU36" s="3952">
        <v>667.32</v>
      </c>
      <c r="AV36" s="4278">
        <f t="shared" si="21"/>
        <v>889.7600000000001</v>
      </c>
      <c r="AW36" s="4344">
        <v>0</v>
      </c>
      <c r="AX36" s="1026">
        <f t="shared" si="49"/>
        <v>0</v>
      </c>
      <c r="AY36" s="3753">
        <v>0</v>
      </c>
    </row>
    <row r="37" spans="1:51" ht="18.75">
      <c r="A37" s="1172" t="s">
        <v>558</v>
      </c>
      <c r="B37" s="1170"/>
      <c r="C37" s="1158">
        <v>54</v>
      </c>
      <c r="D37" s="1158"/>
      <c r="E37" s="1114"/>
      <c r="F37" s="1114">
        <f t="shared" si="4"/>
        <v>0</v>
      </c>
      <c r="G37" s="1114">
        <v>9.1999999999999993</v>
      </c>
      <c r="H37" s="1114"/>
      <c r="I37" s="1009">
        <f>E37*1.03</f>
        <v>0</v>
      </c>
      <c r="J37" s="1114"/>
      <c r="K37" s="1114">
        <v>3.4</v>
      </c>
      <c r="L37" s="1114">
        <v>7.4</v>
      </c>
      <c r="M37" s="1114">
        <f t="shared" si="6"/>
        <v>80.43478260869567</v>
      </c>
      <c r="N37" s="1114">
        <v>10.1</v>
      </c>
      <c r="O37" s="1114"/>
      <c r="P37" s="1009">
        <v>0</v>
      </c>
      <c r="Q37" s="1114"/>
      <c r="R37" s="1114">
        <f t="shared" si="44"/>
        <v>0</v>
      </c>
      <c r="S37" s="1009">
        <v>6.1</v>
      </c>
      <c r="T37" s="1009"/>
      <c r="U37" s="1136">
        <v>10</v>
      </c>
      <c r="V37" s="1050">
        <v>8.4</v>
      </c>
      <c r="W37" s="1030"/>
      <c r="X37" s="1026">
        <f t="shared" si="46"/>
        <v>0</v>
      </c>
      <c r="Y37" s="1026"/>
      <c r="Z37" s="1026"/>
      <c r="AA37" s="1187">
        <v>18.100000000000001</v>
      </c>
      <c r="AB37" s="1046">
        <v>6</v>
      </c>
      <c r="AC37" s="1026">
        <f>AB37</f>
        <v>6</v>
      </c>
      <c r="AD37" s="1030"/>
      <c r="AE37" s="1026">
        <v>2.48</v>
      </c>
      <c r="AF37" s="1187">
        <v>13.32</v>
      </c>
      <c r="AG37" s="1046">
        <f>SUM(AA37*1.1)</f>
        <v>19.910000000000004</v>
      </c>
      <c r="AH37" s="1026">
        <f>AF37/3*4*1.062</f>
        <v>18.861120000000003</v>
      </c>
      <c r="AI37" s="1056">
        <f t="shared" si="11"/>
        <v>3.1435200000000005</v>
      </c>
      <c r="AJ37" s="5982" t="s">
        <v>1505</v>
      </c>
      <c r="AK37" s="5983"/>
      <c r="AL37" s="5984"/>
      <c r="AM37" s="2846">
        <v>16.98</v>
      </c>
      <c r="AN37" s="2842">
        <v>6.52</v>
      </c>
      <c r="AO37" s="2958">
        <v>20.18</v>
      </c>
      <c r="AP37" s="2844">
        <v>27.34</v>
      </c>
      <c r="AQ37" s="3752">
        <f>SUM(AH37*1.1)</f>
        <v>20.747232000000004</v>
      </c>
      <c r="AR37" s="1026">
        <f t="shared" si="20"/>
        <v>19.998256924800003</v>
      </c>
      <c r="AS37" s="4312">
        <f t="shared" si="1"/>
        <v>1.06029</v>
      </c>
      <c r="AT37" s="3951">
        <v>12.3</v>
      </c>
      <c r="AU37" s="3952">
        <v>14.7</v>
      </c>
      <c r="AV37" s="4278">
        <f t="shared" si="21"/>
        <v>19.600000000000001</v>
      </c>
      <c r="AW37" s="4344">
        <f t="shared" si="48"/>
        <v>20.946574268174022</v>
      </c>
      <c r="AX37" s="1026">
        <f t="shared" si="49"/>
        <v>21.093200288051239</v>
      </c>
      <c r="AY37" s="3753">
        <f t="shared" si="2"/>
        <v>1.0547519400000001</v>
      </c>
    </row>
    <row r="38" spans="1:51" ht="18.75" customHeight="1">
      <c r="A38" s="1172" t="s">
        <v>1696</v>
      </c>
      <c r="B38" s="1170">
        <v>141.6</v>
      </c>
      <c r="C38" s="1158">
        <v>138.1</v>
      </c>
      <c r="D38" s="1158">
        <f>C38/B38*100</f>
        <v>97.528248587570616</v>
      </c>
      <c r="E38" s="1114">
        <v>344.7</v>
      </c>
      <c r="F38" s="1114">
        <f t="shared" si="4"/>
        <v>249.6017378711079</v>
      </c>
      <c r="G38" s="1114">
        <v>361.6</v>
      </c>
      <c r="H38" s="1114">
        <f t="shared" si="5"/>
        <v>104.90281404119526</v>
      </c>
      <c r="I38" s="1009">
        <v>373.9</v>
      </c>
      <c r="J38" s="1114">
        <v>179.1</v>
      </c>
      <c r="K38" s="1114"/>
      <c r="L38" s="1114">
        <v>711.9</v>
      </c>
      <c r="M38" s="1114">
        <f t="shared" si="6"/>
        <v>196.87499999999997</v>
      </c>
      <c r="N38" s="1114">
        <v>411.29</v>
      </c>
      <c r="O38" s="1114">
        <f t="shared" si="7"/>
        <v>110.00000000000001</v>
      </c>
      <c r="P38" s="1009">
        <v>392.2</v>
      </c>
      <c r="Q38" s="1114">
        <f t="shared" si="8"/>
        <v>104.89435677988767</v>
      </c>
      <c r="R38" s="1114">
        <f>P38/L38*100</f>
        <v>55.092007304396681</v>
      </c>
      <c r="S38" s="1009">
        <v>-59.3</v>
      </c>
      <c r="T38" s="1009"/>
      <c r="U38" s="1136">
        <v>-59.3</v>
      </c>
      <c r="V38" s="1050">
        <v>747.6</v>
      </c>
      <c r="W38" s="1030">
        <f t="shared" si="9"/>
        <v>1.906170321264661</v>
      </c>
      <c r="X38" s="1026">
        <f>150.21/2*3.23+150.21/2*3.35</f>
        <v>494.19090000000006</v>
      </c>
      <c r="Y38" s="1026"/>
      <c r="Z38" s="1026"/>
      <c r="AA38" s="1187">
        <v>0</v>
      </c>
      <c r="AB38" s="1046">
        <v>510.06</v>
      </c>
      <c r="AC38" s="1026">
        <f>X38</f>
        <v>494.19090000000006</v>
      </c>
      <c r="AD38" s="1030">
        <f t="shared" si="10"/>
        <v>1</v>
      </c>
      <c r="AE38" s="1026">
        <v>0</v>
      </c>
      <c r="AF38" s="1187">
        <v>0</v>
      </c>
      <c r="AG38" s="1046">
        <f>SUM(AC38*1.1)</f>
        <v>543.60999000000015</v>
      </c>
      <c r="AH38" s="2117">
        <v>318.05</v>
      </c>
      <c r="AI38" s="1056">
        <f t="shared" si="11"/>
        <v>0.64357720872642532</v>
      </c>
      <c r="AJ38" s="6154" t="s">
        <v>250</v>
      </c>
      <c r="AK38" s="6155"/>
      <c r="AL38" s="6156"/>
      <c r="AM38" s="2846">
        <v>206.8</v>
      </c>
      <c r="AN38" s="2842">
        <v>61.43</v>
      </c>
      <c r="AO38" s="2958">
        <v>61.43</v>
      </c>
      <c r="AP38" s="2844">
        <v>61.43</v>
      </c>
      <c r="AQ38" s="3752">
        <f>SUM(AH38*1.1)</f>
        <v>349.85500000000002</v>
      </c>
      <c r="AR38" s="2117">
        <v>338.21</v>
      </c>
      <c r="AS38" s="4312">
        <f t="shared" si="1"/>
        <v>1.063386260022009</v>
      </c>
      <c r="AT38" s="3951"/>
      <c r="AU38" s="3952"/>
      <c r="AV38" s="4278">
        <f t="shared" si="21"/>
        <v>0</v>
      </c>
      <c r="AW38" s="4344">
        <f>SUM(AR38*1.1)</f>
        <v>372.03100000000001</v>
      </c>
      <c r="AX38" s="2117">
        <v>437.59</v>
      </c>
      <c r="AY38" s="3753">
        <f t="shared" si="2"/>
        <v>1.2938411046391296</v>
      </c>
    </row>
    <row r="39" spans="1:51" ht="19.5" customHeight="1">
      <c r="A39" s="1172" t="s">
        <v>556</v>
      </c>
      <c r="B39" s="1170"/>
      <c r="C39" s="1158"/>
      <c r="D39" s="1158"/>
      <c r="E39" s="1114"/>
      <c r="F39" s="1114"/>
      <c r="G39" s="1114">
        <v>135.19999999999999</v>
      </c>
      <c r="H39" s="1114"/>
      <c r="I39" s="1009">
        <v>23.7</v>
      </c>
      <c r="J39" s="1114"/>
      <c r="K39" s="1114">
        <v>758.8</v>
      </c>
      <c r="L39" s="1114">
        <v>0</v>
      </c>
      <c r="M39" s="1114">
        <f t="shared" si="6"/>
        <v>0</v>
      </c>
      <c r="N39" s="1114">
        <v>148.69999999999999</v>
      </c>
      <c r="O39" s="1114">
        <f t="shared" si="7"/>
        <v>627.42616033755269</v>
      </c>
      <c r="P39" s="1009">
        <v>138.4</v>
      </c>
      <c r="Q39" s="1114">
        <f t="shared" si="8"/>
        <v>583.96624472573842</v>
      </c>
      <c r="R39" s="1114" t="e">
        <f>P39/L39*100</f>
        <v>#DIV/0!</v>
      </c>
      <c r="S39" s="1009">
        <v>689</v>
      </c>
      <c r="T39" s="1009"/>
      <c r="U39" s="1136">
        <v>691.8</v>
      </c>
      <c r="V39" s="1050">
        <v>142.80000000000001</v>
      </c>
      <c r="W39" s="1030">
        <f t="shared" si="9"/>
        <v>1.0317919075144508</v>
      </c>
      <c r="X39" s="1026">
        <f t="shared" si="46"/>
        <v>145.04320000000001</v>
      </c>
      <c r="Y39" s="1026"/>
      <c r="Z39" s="1026"/>
      <c r="AA39" s="1187">
        <v>217.6</v>
      </c>
      <c r="AB39" s="1046">
        <v>0</v>
      </c>
      <c r="AC39" s="1026">
        <v>135.18</v>
      </c>
      <c r="AD39" s="1030">
        <f t="shared" si="10"/>
        <v>0.93199819088381941</v>
      </c>
      <c r="AE39" s="1026">
        <v>0</v>
      </c>
      <c r="AF39" s="1187">
        <v>177.8</v>
      </c>
      <c r="AG39" s="1046">
        <f>SUM(AA39*1.1)</f>
        <v>239.36</v>
      </c>
      <c r="AH39" s="1026">
        <f>AG39</f>
        <v>239.36</v>
      </c>
      <c r="AI39" s="1056">
        <f t="shared" si="11"/>
        <v>1.7706761355230063</v>
      </c>
      <c r="AJ39" s="6033" t="s">
        <v>250</v>
      </c>
      <c r="AK39" s="6034"/>
      <c r="AL39" s="6035"/>
      <c r="AM39" s="2846">
        <v>201.75</v>
      </c>
      <c r="AN39" s="2842">
        <v>538.76</v>
      </c>
      <c r="AO39" s="2958">
        <v>580.57000000000005</v>
      </c>
      <c r="AP39" s="2844">
        <v>895.92</v>
      </c>
      <c r="AQ39" s="3752">
        <f>SUM(AH39*1.1)</f>
        <v>263.29600000000005</v>
      </c>
      <c r="AR39" s="1026">
        <f t="shared" si="20"/>
        <v>253.79101440000002</v>
      </c>
      <c r="AS39" s="4312">
        <f t="shared" si="1"/>
        <v>1.06029</v>
      </c>
      <c r="AT39" s="3951">
        <v>251.55</v>
      </c>
      <c r="AU39" s="3952">
        <v>267.14999999999998</v>
      </c>
      <c r="AV39" s="4278">
        <f t="shared" si="21"/>
        <v>356.19999999999993</v>
      </c>
      <c r="AW39" s="4344">
        <f t="shared" ref="AW39:AW42" si="50">AR39*(1-0.01)*(1+0.058)*(1+0)</f>
        <v>265.82578430284804</v>
      </c>
      <c r="AX39" s="1026">
        <f>AR39*(1-0.01)*(1+0.058)*(1+0)*1.007</f>
        <v>267.68656479296794</v>
      </c>
      <c r="AY39" s="3753">
        <f t="shared" si="2"/>
        <v>1.0547519399999998</v>
      </c>
    </row>
    <row r="40" spans="1:51" ht="18.75" customHeight="1">
      <c r="A40" s="1172" t="s">
        <v>560</v>
      </c>
      <c r="B40" s="1170">
        <v>21.1</v>
      </c>
      <c r="C40" s="1160">
        <v>22</v>
      </c>
      <c r="D40" s="1158">
        <f>C40/B40*100</f>
        <v>104.26540284360189</v>
      </c>
      <c r="E40" s="1114">
        <v>23.2</v>
      </c>
      <c r="F40" s="1114">
        <f t="shared" si="4"/>
        <v>105.45454545454544</v>
      </c>
      <c r="G40" s="1114">
        <v>26.6</v>
      </c>
      <c r="H40" s="1114">
        <f t="shared" si="5"/>
        <v>114.65517241379311</v>
      </c>
      <c r="I40" s="1009">
        <f>E40*1.03</f>
        <v>23.896000000000001</v>
      </c>
      <c r="J40" s="1114">
        <v>8.6999999999999993</v>
      </c>
      <c r="K40" s="1114">
        <v>23.5</v>
      </c>
      <c r="L40" s="1114">
        <v>26.9</v>
      </c>
      <c r="M40" s="1114">
        <f t="shared" si="6"/>
        <v>101.12781954887218</v>
      </c>
      <c r="N40" s="1114">
        <v>30.59</v>
      </c>
      <c r="O40" s="1114">
        <f t="shared" si="7"/>
        <v>128.01305657850685</v>
      </c>
      <c r="P40" s="1009">
        <v>27.9</v>
      </c>
      <c r="Q40" s="1114">
        <f t="shared" si="8"/>
        <v>116.75594241714093</v>
      </c>
      <c r="R40" s="1114">
        <f>P40/L40*100</f>
        <v>103.71747211895909</v>
      </c>
      <c r="S40" s="1009">
        <v>10.199999999999999</v>
      </c>
      <c r="T40" s="1009"/>
      <c r="U40" s="1136">
        <v>26.9</v>
      </c>
      <c r="V40" s="1050">
        <v>33.325000000000003</v>
      </c>
      <c r="W40" s="1030">
        <f t="shared" si="9"/>
        <v>1.1944444444444446</v>
      </c>
      <c r="X40" s="1026">
        <f t="shared" si="46"/>
        <v>29.2392</v>
      </c>
      <c r="Y40" s="1026"/>
      <c r="Z40" s="1026"/>
      <c r="AA40" s="1187">
        <v>29.3</v>
      </c>
      <c r="AB40" s="1046">
        <v>30.49</v>
      </c>
      <c r="AC40" s="1026">
        <f>AB40</f>
        <v>30.49</v>
      </c>
      <c r="AD40" s="1030">
        <f t="shared" si="10"/>
        <v>1.0427781881857232</v>
      </c>
      <c r="AE40" s="1026">
        <v>10.45</v>
      </c>
      <c r="AF40" s="1187">
        <v>24.59</v>
      </c>
      <c r="AG40" s="1046">
        <f>SUM(AC40*1.1)</f>
        <v>33.539000000000001</v>
      </c>
      <c r="AH40" s="1026">
        <f>AF40/3*4*1.062</f>
        <v>34.819440000000007</v>
      </c>
      <c r="AI40" s="1056">
        <f t="shared" si="11"/>
        <v>1.1419954083306005</v>
      </c>
      <c r="AJ40" s="5982" t="s">
        <v>250</v>
      </c>
      <c r="AK40" s="5983"/>
      <c r="AL40" s="5984"/>
      <c r="AM40" s="2846">
        <v>27.59</v>
      </c>
      <c r="AN40" s="2842">
        <v>11.24</v>
      </c>
      <c r="AO40" s="2958">
        <v>26.51</v>
      </c>
      <c r="AP40" s="2844">
        <v>29.75</v>
      </c>
      <c r="AQ40" s="3752">
        <f>SUM(AH40*1.1)</f>
        <v>38.301384000000013</v>
      </c>
      <c r="AR40" s="1026">
        <f t="shared" si="20"/>
        <v>36.918704037600008</v>
      </c>
      <c r="AS40" s="4312">
        <f t="shared" si="1"/>
        <v>1.06029</v>
      </c>
      <c r="AT40" s="3951">
        <v>11.81</v>
      </c>
      <c r="AU40" s="3952">
        <v>27.84</v>
      </c>
      <c r="AV40" s="4278">
        <f t="shared" si="21"/>
        <v>37.119999999999997</v>
      </c>
      <c r="AW40" s="4344">
        <f t="shared" si="50"/>
        <v>38.669388983063008</v>
      </c>
      <c r="AX40" s="1026">
        <f>AR40*(1-0.01)*(1+0.058)*(1+0)*1.007</f>
        <v>38.940074705944447</v>
      </c>
      <c r="AY40" s="3753">
        <f t="shared" si="2"/>
        <v>1.0547519400000001</v>
      </c>
    </row>
    <row r="41" spans="1:51" ht="18.75">
      <c r="A41" s="1172" t="s">
        <v>613</v>
      </c>
      <c r="B41" s="1170"/>
      <c r="C41" s="1160"/>
      <c r="D41" s="1158"/>
      <c r="E41" s="1114">
        <f>9.9+12.2</f>
        <v>22.1</v>
      </c>
      <c r="F41" s="1114"/>
      <c r="G41" s="1114">
        <v>2.9</v>
      </c>
      <c r="H41" s="1114">
        <f t="shared" si="5"/>
        <v>13.122171945701355</v>
      </c>
      <c r="I41" s="1009">
        <v>2.5</v>
      </c>
      <c r="J41" s="1114">
        <v>2.4</v>
      </c>
      <c r="K41" s="1114">
        <v>19.600000000000001</v>
      </c>
      <c r="L41" s="1114">
        <v>205.8</v>
      </c>
      <c r="M41" s="1114">
        <f t="shared" si="6"/>
        <v>7096.5517241379321</v>
      </c>
      <c r="N41" s="1114"/>
      <c r="O41" s="1114">
        <f t="shared" si="7"/>
        <v>0</v>
      </c>
      <c r="P41" s="1009">
        <v>0</v>
      </c>
      <c r="Q41" s="1114">
        <f t="shared" si="8"/>
        <v>0</v>
      </c>
      <c r="R41" s="1114"/>
      <c r="S41" s="1009">
        <v>8.3000000000000007</v>
      </c>
      <c r="T41" s="1009"/>
      <c r="U41" s="1136"/>
      <c r="V41" s="1050">
        <v>0</v>
      </c>
      <c r="W41" s="1030"/>
      <c r="X41" s="1026">
        <f t="shared" si="46"/>
        <v>0</v>
      </c>
      <c r="Y41" s="1026"/>
      <c r="Z41" s="1026"/>
      <c r="AA41" s="1187">
        <v>0</v>
      </c>
      <c r="AB41" s="1046">
        <v>0</v>
      </c>
      <c r="AC41" s="1026">
        <v>0</v>
      </c>
      <c r="AD41" s="1030"/>
      <c r="AE41" s="1026">
        <v>0.35</v>
      </c>
      <c r="AF41" s="1187">
        <v>0.44</v>
      </c>
      <c r="AG41" s="1046">
        <v>0</v>
      </c>
      <c r="AH41" s="1026"/>
      <c r="AI41" s="1056" t="e">
        <f t="shared" si="11"/>
        <v>#DIV/0!</v>
      </c>
      <c r="AJ41" s="6033"/>
      <c r="AK41" s="6034"/>
      <c r="AL41" s="6035"/>
      <c r="AM41" s="2846">
        <v>0.43</v>
      </c>
      <c r="AN41" s="2842">
        <v>0.75</v>
      </c>
      <c r="AO41" s="2958">
        <v>1.0900000000000001</v>
      </c>
      <c r="AP41" s="2844">
        <v>2.63</v>
      </c>
      <c r="AQ41" s="3752">
        <f>SUM(AM41*1.074*1.1)</f>
        <v>0.50800200000000006</v>
      </c>
      <c r="AR41" s="1026">
        <f t="shared" si="20"/>
        <v>0</v>
      </c>
      <c r="AS41" s="4312"/>
      <c r="AT41" s="3951"/>
      <c r="AU41" s="3952"/>
      <c r="AV41" s="4278">
        <f t="shared" si="21"/>
        <v>0</v>
      </c>
      <c r="AW41" s="4344">
        <v>0</v>
      </c>
      <c r="AX41" s="1026">
        <f>AR41*(1-0.01)*(1+0.058)*(1+0)*1.007</f>
        <v>0</v>
      </c>
      <c r="AY41" s="3753">
        <v>0</v>
      </c>
    </row>
    <row r="42" spans="1:51" ht="37.5" customHeight="1">
      <c r="A42" s="1172" t="s">
        <v>584</v>
      </c>
      <c r="B42" s="1170"/>
      <c r="C42" s="1160"/>
      <c r="D42" s="1158"/>
      <c r="E42" s="1114"/>
      <c r="F42" s="1114"/>
      <c r="G42" s="1114">
        <v>10.4</v>
      </c>
      <c r="H42" s="1114"/>
      <c r="I42" s="1009"/>
      <c r="J42" s="1114"/>
      <c r="K42" s="1114">
        <v>7</v>
      </c>
      <c r="L42" s="1114">
        <v>7</v>
      </c>
      <c r="M42" s="1114">
        <f t="shared" si="6"/>
        <v>67.307692307692307</v>
      </c>
      <c r="N42" s="1114">
        <v>30.8</v>
      </c>
      <c r="O42" s="1114"/>
      <c r="P42" s="1009">
        <v>29.4</v>
      </c>
      <c r="Q42" s="1114"/>
      <c r="R42" s="1114"/>
      <c r="S42" s="1009">
        <v>0</v>
      </c>
      <c r="T42" s="1009"/>
      <c r="U42" s="1136">
        <v>7.7</v>
      </c>
      <c r="V42" s="1050">
        <v>31.5</v>
      </c>
      <c r="W42" s="1030">
        <f t="shared" si="9"/>
        <v>1.0714285714285714</v>
      </c>
      <c r="X42" s="1026">
        <f t="shared" si="46"/>
        <v>30.811199999999999</v>
      </c>
      <c r="Y42" s="1026"/>
      <c r="Z42" s="1026"/>
      <c r="AA42" s="1187">
        <v>3.8</v>
      </c>
      <c r="AB42" s="1046">
        <v>63.4</v>
      </c>
      <c r="AC42" s="1026">
        <f>X42*1.049</f>
        <v>32.320948799999996</v>
      </c>
      <c r="AD42" s="1030">
        <f t="shared" si="10"/>
        <v>1.0489999999999999</v>
      </c>
      <c r="AE42" s="1026">
        <v>14.3</v>
      </c>
      <c r="AF42" s="1187">
        <v>18.79</v>
      </c>
      <c r="AG42" s="1046">
        <f>SUM(AC42*1.1)</f>
        <v>35.553043680000002</v>
      </c>
      <c r="AH42" s="1026">
        <f>AG42</f>
        <v>35.553043680000002</v>
      </c>
      <c r="AI42" s="1056">
        <f t="shared" si="11"/>
        <v>1.1000000000000001</v>
      </c>
      <c r="AJ42" s="6033" t="s">
        <v>250</v>
      </c>
      <c r="AK42" s="6034"/>
      <c r="AL42" s="6035"/>
      <c r="AM42" s="2846">
        <v>38.090000000000003</v>
      </c>
      <c r="AN42" s="2842">
        <v>4.49</v>
      </c>
      <c r="AO42" s="2958">
        <v>10.79</v>
      </c>
      <c r="AP42" s="2844">
        <v>75.69</v>
      </c>
      <c r="AQ42" s="3752">
        <f>SUM(AM42*1.074*1.1)</f>
        <v>44.99952600000001</v>
      </c>
      <c r="AR42" s="1026">
        <f t="shared" si="20"/>
        <v>37.696536683467201</v>
      </c>
      <c r="AS42" s="4312">
        <f t="shared" si="1"/>
        <v>1.06029</v>
      </c>
      <c r="AT42" s="3951">
        <v>34.61</v>
      </c>
      <c r="AU42" s="3952">
        <v>34.61</v>
      </c>
      <c r="AV42" s="4278">
        <f t="shared" si="21"/>
        <v>46.146666666666661</v>
      </c>
      <c r="AW42" s="4344">
        <f t="shared" si="50"/>
        <v>39.484106452997217</v>
      </c>
      <c r="AX42" s="1026">
        <f>AR42*(1-0.01)*(1+0.058)*(1+0)*1.007</f>
        <v>39.760495198168194</v>
      </c>
      <c r="AY42" s="3753">
        <f t="shared" si="2"/>
        <v>1.0547519399999998</v>
      </c>
    </row>
    <row r="43" spans="1:51" ht="18.75">
      <c r="A43" s="1172" t="s">
        <v>561</v>
      </c>
      <c r="B43" s="1170"/>
      <c r="C43" s="1160"/>
      <c r="D43" s="1158"/>
      <c r="E43" s="1114"/>
      <c r="F43" s="1114"/>
      <c r="G43" s="1114">
        <v>60.1</v>
      </c>
      <c r="H43" s="1114"/>
      <c r="I43" s="1009"/>
      <c r="J43" s="1114"/>
      <c r="K43" s="1114"/>
      <c r="L43" s="1114">
        <v>51.4</v>
      </c>
      <c r="M43" s="1114">
        <f t="shared" si="6"/>
        <v>85.52412645590681</v>
      </c>
      <c r="N43" s="1114">
        <v>66.099999999999994</v>
      </c>
      <c r="O43" s="1114"/>
      <c r="P43" s="1009">
        <v>0</v>
      </c>
      <c r="Q43" s="1114"/>
      <c r="R43" s="1114"/>
      <c r="S43" s="1009">
        <v>0</v>
      </c>
      <c r="T43" s="1009"/>
      <c r="U43" s="1136">
        <v>106.8</v>
      </c>
      <c r="V43" s="1050">
        <v>62.2</v>
      </c>
      <c r="W43" s="1030"/>
      <c r="X43" s="1026">
        <f t="shared" si="46"/>
        <v>0</v>
      </c>
      <c r="Y43" s="1026"/>
      <c r="Z43" s="1026"/>
      <c r="AA43" s="1187">
        <v>66.400000000000006</v>
      </c>
      <c r="AB43" s="1046">
        <v>106.8</v>
      </c>
      <c r="AC43" s="1026">
        <f>AB43</f>
        <v>106.8</v>
      </c>
      <c r="AD43" s="1030"/>
      <c r="AE43" s="1026">
        <v>34.950000000000003</v>
      </c>
      <c r="AF43" s="1187">
        <v>52.45</v>
      </c>
      <c r="AG43" s="1046">
        <f>SUM(AC43*1.1)</f>
        <v>117.48</v>
      </c>
      <c r="AH43" s="1026">
        <f>AA43</f>
        <v>66.400000000000006</v>
      </c>
      <c r="AI43" s="1056">
        <f t="shared" si="11"/>
        <v>0.62172284644194764</v>
      </c>
      <c r="AJ43" s="6061" t="s">
        <v>1499</v>
      </c>
      <c r="AK43" s="6062"/>
      <c r="AL43" s="6063"/>
      <c r="AM43" s="2846">
        <v>69.900000000000006</v>
      </c>
      <c r="AN43" s="2842">
        <v>37.32</v>
      </c>
      <c r="AO43" s="2958">
        <v>55.98</v>
      </c>
      <c r="AP43" s="2844">
        <f t="shared" ref="AP43" si="51">SUM(AO43/9*12)</f>
        <v>74.64</v>
      </c>
      <c r="AQ43" s="3752">
        <f>SUM(AM43*1.074*1.1)</f>
        <v>82.579860000000011</v>
      </c>
      <c r="AR43" s="2117">
        <v>66.400000000000006</v>
      </c>
      <c r="AS43" s="4312">
        <f t="shared" si="1"/>
        <v>1</v>
      </c>
      <c r="AT43" s="3951">
        <v>41.36</v>
      </c>
      <c r="AU43" s="3952">
        <v>62.03</v>
      </c>
      <c r="AV43" s="4278">
        <f t="shared" si="21"/>
        <v>82.706666666666663</v>
      </c>
      <c r="AW43" s="4344">
        <f>SUM(AR43*1.1)</f>
        <v>73.040000000000006</v>
      </c>
      <c r="AX43" s="2117">
        <v>66.403999999999996</v>
      </c>
      <c r="AY43" s="3753">
        <f t="shared" si="2"/>
        <v>1.0000602409638553</v>
      </c>
    </row>
    <row r="44" spans="1:51" ht="19.5" thickBot="1">
      <c r="A44" s="1176" t="s">
        <v>585</v>
      </c>
      <c r="B44" s="1177"/>
      <c r="C44" s="1178"/>
      <c r="D44" s="1200"/>
      <c r="E44" s="1201"/>
      <c r="F44" s="1201"/>
      <c r="G44" s="1201">
        <v>0.8</v>
      </c>
      <c r="H44" s="1201"/>
      <c r="I44" s="1073"/>
      <c r="J44" s="1201"/>
      <c r="K44" s="1201"/>
      <c r="L44" s="1201">
        <v>0</v>
      </c>
      <c r="M44" s="1201">
        <f t="shared" si="6"/>
        <v>0</v>
      </c>
      <c r="N44" s="1201">
        <v>0.9</v>
      </c>
      <c r="O44" s="1201"/>
      <c r="P44" s="1073">
        <f>L44*1.049</f>
        <v>0</v>
      </c>
      <c r="Q44" s="1201"/>
      <c r="R44" s="1201"/>
      <c r="S44" s="1073">
        <v>0</v>
      </c>
      <c r="T44" s="1073"/>
      <c r="U44" s="1138"/>
      <c r="V44" s="1074">
        <v>0</v>
      </c>
      <c r="W44" s="1075"/>
      <c r="X44" s="1192">
        <f t="shared" si="46"/>
        <v>0</v>
      </c>
      <c r="Y44" s="1192"/>
      <c r="Z44" s="1192"/>
      <c r="AA44" s="1193">
        <v>0</v>
      </c>
      <c r="AB44" s="1142"/>
      <c r="AC44" s="1190"/>
      <c r="AD44" s="1064"/>
      <c r="AE44" s="1190">
        <v>0</v>
      </c>
      <c r="AF44" s="1191">
        <v>0</v>
      </c>
      <c r="AG44" s="1142">
        <v>0</v>
      </c>
      <c r="AH44" s="1190"/>
      <c r="AI44" s="1065" t="e">
        <f t="shared" si="11"/>
        <v>#DIV/0!</v>
      </c>
      <c r="AJ44" s="6141"/>
      <c r="AK44" s="6142"/>
      <c r="AL44" s="6143"/>
      <c r="AM44" s="2850">
        <v>0</v>
      </c>
      <c r="AN44" s="2843"/>
      <c r="AO44" s="2963"/>
      <c r="AP44" s="2845"/>
      <c r="AQ44" s="3758">
        <v>0</v>
      </c>
      <c r="AR44" s="1026">
        <f t="shared" si="20"/>
        <v>0</v>
      </c>
      <c r="AS44" s="4314"/>
      <c r="AT44" s="4325"/>
      <c r="AU44" s="4326"/>
      <c r="AV44" s="4278">
        <f t="shared" si="21"/>
        <v>0</v>
      </c>
      <c r="AW44" s="4346">
        <v>0</v>
      </c>
      <c r="AX44" s="1026">
        <f>AR44*(1-0.01)*(1+0.058)*(1+0)*1.007</f>
        <v>0</v>
      </c>
      <c r="AY44" s="3731">
        <v>0</v>
      </c>
    </row>
    <row r="45" spans="1:51" ht="20.25" thickBot="1">
      <c r="A45" s="1209" t="s">
        <v>54</v>
      </c>
      <c r="B45" s="1210">
        <f>B9+B12+B14+B15+B16+B18+B24+B25</f>
        <v>7525.8</v>
      </c>
      <c r="C45" s="1211">
        <f>C9+C12+C14+C15+C16+C18+C24+C25</f>
        <v>7792.2999999999993</v>
      </c>
      <c r="D45" s="1212">
        <f>C45/B45*100</f>
        <v>103.54115177124027</v>
      </c>
      <c r="E45" s="1086">
        <f>E9+E12+E14+E15+E16+E18+E24+E25</f>
        <v>10451.099999999999</v>
      </c>
      <c r="F45" s="1213">
        <f t="shared" si="4"/>
        <v>134.12086290312232</v>
      </c>
      <c r="G45" s="1086">
        <f>G9+G12+G14+G15+G16+G18+G24+G25</f>
        <v>10385.700000000001</v>
      </c>
      <c r="H45" s="1213">
        <f t="shared" si="5"/>
        <v>99.374228550104789</v>
      </c>
      <c r="I45" s="1086">
        <f>I9+I12+I14+I15+I16+I18+I24+I25</f>
        <v>10917.308999999999</v>
      </c>
      <c r="J45" s="1086">
        <f>J9+J12+J14+J15+J16+J18+J24+J25</f>
        <v>5439.7</v>
      </c>
      <c r="K45" s="1086">
        <f>K9+K12+K14+K15+K16+K18+K24+K25</f>
        <v>7877.6999999999989</v>
      </c>
      <c r="L45" s="1086">
        <f>L9+L12+L14+L15+L16+L18+L24+L25</f>
        <v>12070.7</v>
      </c>
      <c r="M45" s="1213">
        <f t="shared" si="6"/>
        <v>116.22423139509132</v>
      </c>
      <c r="N45" s="1086">
        <f>N9+N12+N14+N15+N16+N18+N24+N25</f>
        <v>14149.100000000002</v>
      </c>
      <c r="O45" s="1213">
        <f t="shared" si="7"/>
        <v>129.60245056725978</v>
      </c>
      <c r="P45" s="1086">
        <f t="shared" ref="P45:V45" si="52">P9+P12+P14+P15+P16+P18+P24+P25</f>
        <v>11886.2996</v>
      </c>
      <c r="Q45" s="1086">
        <f t="shared" si="52"/>
        <v>2736.7270743128793</v>
      </c>
      <c r="R45" s="1086" t="e">
        <f t="shared" si="52"/>
        <v>#DIV/0!</v>
      </c>
      <c r="S45" s="1086">
        <f t="shared" si="52"/>
        <v>9004.7000000000007</v>
      </c>
      <c r="T45" s="1086">
        <f t="shared" si="52"/>
        <v>0</v>
      </c>
      <c r="U45" s="1145">
        <f t="shared" si="52"/>
        <v>11498.4</v>
      </c>
      <c r="V45" s="1084">
        <f t="shared" si="52"/>
        <v>15828.945</v>
      </c>
      <c r="W45" s="1214">
        <f>V45/P45</f>
        <v>1.33169661986309</v>
      </c>
      <c r="X45" s="1086">
        <f>X9+X12+X14+X15+X16+X18+X24+X25</f>
        <v>12445.238951036179</v>
      </c>
      <c r="Y45" s="1086"/>
      <c r="Z45" s="1086"/>
      <c r="AA45" s="1086">
        <f>AA9+AA12+AA14+AA15+AA16+AA18+AA24+AA25</f>
        <v>9629.5999999999985</v>
      </c>
      <c r="AB45" s="1084">
        <f>AB9+AB12+AB14+AB15+AB16+AB18+AB24+AB25</f>
        <v>14286.099999999999</v>
      </c>
      <c r="AC45" s="1086">
        <f>AC9+AC12+AC14+AC15+AC16+AC18+AC24+AC25</f>
        <v>11756.4147854</v>
      </c>
      <c r="AD45" s="1088">
        <f t="shared" si="10"/>
        <v>0.94465159179777514</v>
      </c>
      <c r="AE45" s="1086">
        <f>AE9+AE12+AE14+AE15+AE16+AE18+AE24+AE25</f>
        <v>5218.2999999999993</v>
      </c>
      <c r="AF45" s="1087">
        <f>AF9+AF12+AF14+AF15+AF16+AF18+AF24+AF25+AF17</f>
        <v>7835.4800000000005</v>
      </c>
      <c r="AG45" s="1084">
        <f t="shared" ref="AG45:AH45" si="53">AG9+AG12+AG14+AG15+AG16+AG18+AG24+AG25</f>
        <v>14551.06760105284</v>
      </c>
      <c r="AH45" s="1086">
        <f t="shared" si="53"/>
        <v>10425.466145415521</v>
      </c>
      <c r="AI45" s="1089">
        <f t="shared" si="11"/>
        <v>0.88678958132394659</v>
      </c>
      <c r="AJ45" s="6146"/>
      <c r="AK45" s="6147"/>
      <c r="AL45" s="6148"/>
      <c r="AM45" s="2836">
        <f>AM9+AM12+AM14+AM15+AM16+AM18+AM24+AM25+AM17</f>
        <v>10210.52</v>
      </c>
      <c r="AN45" s="1084">
        <f t="shared" ref="AN45:AP45" si="54">AN9+AN12+AN14+AN15+AN16+AN18+AN24+AN25</f>
        <v>5715.15</v>
      </c>
      <c r="AO45" s="1086">
        <f t="shared" si="54"/>
        <v>9093</v>
      </c>
      <c r="AP45" s="1087">
        <f t="shared" si="54"/>
        <v>12280.869999999999</v>
      </c>
      <c r="AQ45" s="1084">
        <f t="shared" ref="AQ45:AR45" si="55">AQ9+AQ12+AQ14+AQ15+AQ16+AQ18+AQ24+AQ25</f>
        <v>11907.767319401582</v>
      </c>
      <c r="AR45" s="1086">
        <f t="shared" si="55"/>
        <v>11039.518331530624</v>
      </c>
      <c r="AS45" s="4315">
        <f t="shared" si="1"/>
        <v>1.0588992547239842</v>
      </c>
      <c r="AT45" s="2833">
        <f t="shared" ref="AT45:AU45" si="56">AT9+AT12+AT14+AT15+AT16+AT18+AT24+AT25</f>
        <v>5283.38</v>
      </c>
      <c r="AU45" s="2984">
        <f t="shared" si="56"/>
        <v>8016.5999999999985</v>
      </c>
      <c r="AV45" s="3607">
        <f t="shared" ref="AV45" si="57">AV9+AV12+AV14+AV15+AV16+AV18+AV24+AV25</f>
        <v>10666.966666666665</v>
      </c>
      <c r="AW45" s="4304">
        <f t="shared" ref="AW45:AX45" si="58">AW9+AW12+AW14+AW15+AW16+AW18+AW24+AW25</f>
        <v>11596.090049811803</v>
      </c>
      <c r="AX45" s="1086">
        <f t="shared" si="58"/>
        <v>11723.564236060485</v>
      </c>
      <c r="AY45" s="3732">
        <f t="shared" si="2"/>
        <v>1.0619633831827715</v>
      </c>
    </row>
    <row r="46" spans="1:51" ht="19.5" thickBot="1">
      <c r="A46" s="1219" t="s">
        <v>221</v>
      </c>
      <c r="B46" s="1220"/>
      <c r="C46" s="1221"/>
      <c r="D46" s="1222"/>
      <c r="E46" s="1223"/>
      <c r="F46" s="1223"/>
      <c r="G46" s="1223"/>
      <c r="H46" s="1223"/>
      <c r="I46" s="1223"/>
      <c r="J46" s="1223"/>
      <c r="K46" s="1224">
        <f t="shared" ref="K46:S46" si="59">K45-K36</f>
        <v>7403.8999999999987</v>
      </c>
      <c r="L46" s="1225">
        <f t="shared" si="59"/>
        <v>11398.6</v>
      </c>
      <c r="M46" s="1225">
        <f t="shared" si="59"/>
        <v>-4.6570635689374456</v>
      </c>
      <c r="N46" s="1225">
        <f t="shared" si="59"/>
        <v>13506.700000000003</v>
      </c>
      <c r="O46" s="1225">
        <f t="shared" si="59"/>
        <v>129.60245056725978</v>
      </c>
      <c r="P46" s="1225">
        <f t="shared" si="59"/>
        <v>11886.2996</v>
      </c>
      <c r="Q46" s="1225">
        <f t="shared" si="59"/>
        <v>2736.7270743128793</v>
      </c>
      <c r="R46" s="1225" t="e">
        <f t="shared" si="59"/>
        <v>#DIV/0!</v>
      </c>
      <c r="S46" s="1225">
        <f t="shared" si="59"/>
        <v>8471.1</v>
      </c>
      <c r="T46" s="1225"/>
      <c r="U46" s="1226"/>
      <c r="V46" s="1227">
        <f>V45-V36</f>
        <v>14996.895</v>
      </c>
      <c r="W46" s="1228">
        <f>W45-W36</f>
        <v>1.33169661986309</v>
      </c>
      <c r="X46" s="1225">
        <f>X45-X36</f>
        <v>12445.238951036179</v>
      </c>
      <c r="Y46" s="1225"/>
      <c r="Z46" s="1225"/>
      <c r="AA46" s="1225">
        <f>AA45-AA36</f>
        <v>8941.4999999999982</v>
      </c>
      <c r="AB46" s="1227">
        <f>AB45-AB36</f>
        <v>13573.099999999999</v>
      </c>
      <c r="AC46" s="1225">
        <f>AC45-AC36</f>
        <v>11756.4147854</v>
      </c>
      <c r="AD46" s="1088">
        <f t="shared" si="10"/>
        <v>0.94465159179777514</v>
      </c>
      <c r="AE46" s="1225">
        <f t="shared" ref="AE46:AF46" si="60">AE45-AE36</f>
        <v>4890.2499999999991</v>
      </c>
      <c r="AF46" s="1229">
        <f t="shared" si="60"/>
        <v>7342.0300000000007</v>
      </c>
      <c r="AG46" s="1227">
        <f t="shared" ref="AG46" si="61">AG45-AG36</f>
        <v>13794.157601052841</v>
      </c>
      <c r="AH46" s="1225">
        <f t="shared" ref="AH46" si="62">AH45-AH36</f>
        <v>10425.466145415521</v>
      </c>
      <c r="AI46" s="1089">
        <f t="shared" si="11"/>
        <v>0.88678958132394659</v>
      </c>
      <c r="AJ46" s="6051"/>
      <c r="AK46" s="6149"/>
      <c r="AL46" s="6150"/>
      <c r="AM46" s="2851">
        <f t="shared" ref="AM46:AO46" si="63">AM45-AM36</f>
        <v>9529.8900000000012</v>
      </c>
      <c r="AN46" s="1227">
        <f t="shared" si="63"/>
        <v>5375.24</v>
      </c>
      <c r="AO46" s="1225">
        <f t="shared" si="63"/>
        <v>8529.5300000000007</v>
      </c>
      <c r="AP46" s="1229">
        <f t="shared" ref="AP46:AR46" si="64">AP45-AP36</f>
        <v>11480.949999999999</v>
      </c>
      <c r="AQ46" s="1227">
        <f t="shared" si="64"/>
        <v>11907.767319401582</v>
      </c>
      <c r="AR46" s="3759">
        <f t="shared" si="64"/>
        <v>11039.518331530624</v>
      </c>
      <c r="AS46" s="4315">
        <f t="shared" si="1"/>
        <v>1.0588992547239842</v>
      </c>
      <c r="AT46" s="4327">
        <f t="shared" ref="AT46:AU46" si="65">AT45-AT36</f>
        <v>4834.29</v>
      </c>
      <c r="AU46" s="4328">
        <f t="shared" si="65"/>
        <v>7349.2799999999988</v>
      </c>
      <c r="AV46" s="4329">
        <f t="shared" ref="AV46" si="66">AV45-AV36</f>
        <v>9777.2066666666651</v>
      </c>
      <c r="AW46" s="4347">
        <f t="shared" ref="AW46:AX46" si="67">AW45-AW36</f>
        <v>11596.090049811803</v>
      </c>
      <c r="AX46" s="3759">
        <f t="shared" si="67"/>
        <v>11723.564236060485</v>
      </c>
      <c r="AY46" s="3732">
        <f t="shared" si="2"/>
        <v>1.0619633831827715</v>
      </c>
    </row>
    <row r="47" spans="1:51" ht="18.75">
      <c r="A47" s="6105" t="s">
        <v>154</v>
      </c>
      <c r="B47" s="6106"/>
      <c r="C47" s="6107"/>
      <c r="D47" s="1208"/>
      <c r="E47" s="596"/>
      <c r="F47" s="596"/>
      <c r="G47" s="596"/>
      <c r="H47" s="596"/>
      <c r="I47" s="378">
        <v>973.7</v>
      </c>
      <c r="J47" s="378"/>
      <c r="K47" s="378">
        <f>I47/I45*K46</f>
        <v>660.34381091530884</v>
      </c>
      <c r="L47" s="378">
        <v>1618.4</v>
      </c>
      <c r="M47" s="378"/>
      <c r="N47" s="378">
        <f>стоки!N16</f>
        <v>1270.9000000000001</v>
      </c>
      <c r="O47" s="378"/>
      <c r="P47" s="378">
        <v>1129.3</v>
      </c>
      <c r="Q47" s="1215"/>
      <c r="R47" s="1215"/>
      <c r="S47" s="596"/>
      <c r="T47" s="596"/>
      <c r="U47" s="1216"/>
      <c r="V47" s="1217">
        <v>1692.38</v>
      </c>
      <c r="W47" s="1060"/>
      <c r="X47" s="378">
        <f>X45*(P47/P45)</f>
        <v>1182.4040130542526</v>
      </c>
      <c r="Y47" s="378"/>
      <c r="Z47" s="378"/>
      <c r="AA47" s="1218">
        <v>776.9</v>
      </c>
      <c r="AB47" s="1233">
        <f>AB46*AB51</f>
        <v>1292.15912</v>
      </c>
      <c r="AC47" s="1234">
        <f>AC46*X51</f>
        <v>1119.2106875700802</v>
      </c>
      <c r="AD47" s="1111"/>
      <c r="AE47" s="1234">
        <v>347.27</v>
      </c>
      <c r="AF47" s="1235">
        <v>868.98</v>
      </c>
      <c r="AG47" s="1108">
        <f>SUM(AG45*AG51)</f>
        <v>1264.2984308290504</v>
      </c>
      <c r="AH47" s="1109">
        <f>SUM(AH45*AH51)</f>
        <v>905.83734813770843</v>
      </c>
      <c r="AI47" s="1102"/>
      <c r="AJ47" s="6151"/>
      <c r="AK47" s="6152"/>
      <c r="AL47" s="6153"/>
      <c r="AM47" s="2852">
        <v>1062.22</v>
      </c>
      <c r="AN47" s="1108">
        <v>423.84</v>
      </c>
      <c r="AO47" s="1109">
        <v>672.85</v>
      </c>
      <c r="AP47" s="1110">
        <v>861.66</v>
      </c>
      <c r="AQ47" s="1108">
        <f>SUM(AQ45*AQ51)</f>
        <v>1327.7160561132764</v>
      </c>
      <c r="AR47" s="1109">
        <f>SUM(AR45*AR51)</f>
        <v>774.56331396282815</v>
      </c>
      <c r="AS47" s="4316">
        <f t="shared" si="1"/>
        <v>0.85507990541043188</v>
      </c>
      <c r="AT47" s="4330">
        <v>120.24</v>
      </c>
      <c r="AU47" s="2994">
        <v>227.94</v>
      </c>
      <c r="AV47" s="4331">
        <f>SUM(AV45*AV51)</f>
        <v>302.94185333333331</v>
      </c>
      <c r="AW47" s="4306">
        <f>SUM(AW45*AW51)</f>
        <v>813.61393389237389</v>
      </c>
      <c r="AX47" s="1109">
        <f>SUM(AX45*AX51)</f>
        <v>333.34196940942883</v>
      </c>
      <c r="AY47" s="1260">
        <f t="shared" si="2"/>
        <v>0.4303611640267101</v>
      </c>
    </row>
    <row r="48" spans="1:51" ht="18.75">
      <c r="A48" s="6102" t="s">
        <v>155</v>
      </c>
      <c r="B48" s="6103"/>
      <c r="C48" s="6104"/>
      <c r="D48" s="1174"/>
      <c r="E48" s="1156"/>
      <c r="F48" s="1156"/>
      <c r="G48" s="1156"/>
      <c r="H48" s="1156"/>
      <c r="I48" s="1009">
        <v>7143.8</v>
      </c>
      <c r="J48" s="1009"/>
      <c r="K48" s="1009">
        <f>I48/I45*K46</f>
        <v>4844.7818798570233</v>
      </c>
      <c r="L48" s="1009">
        <v>7419.2</v>
      </c>
      <c r="M48" s="1009"/>
      <c r="N48" s="1009">
        <f>стоки!N26</f>
        <v>8569.6</v>
      </c>
      <c r="O48" s="1009"/>
      <c r="P48" s="1009">
        <v>7339.1</v>
      </c>
      <c r="Q48" s="1157"/>
      <c r="R48" s="1157"/>
      <c r="S48" s="1156"/>
      <c r="T48" s="1156"/>
      <c r="U48" s="1179"/>
      <c r="V48" s="1050">
        <v>9326.93</v>
      </c>
      <c r="W48" s="1031"/>
      <c r="X48" s="1009">
        <f>X45*(P48/P45)</f>
        <v>7684.2126026799478</v>
      </c>
      <c r="Y48" s="1009"/>
      <c r="Z48" s="1009"/>
      <c r="AA48" s="1047">
        <v>5917.5</v>
      </c>
      <c r="AB48" s="1050">
        <f>AB46*W52</f>
        <v>0</v>
      </c>
      <c r="AC48" s="1009">
        <f>AC46*X52</f>
        <v>7258.9036668341378</v>
      </c>
      <c r="AD48" s="1031"/>
      <c r="AE48" s="1009">
        <v>3273.44</v>
      </c>
      <c r="AF48" s="1047">
        <v>4615.83</v>
      </c>
      <c r="AG48" s="1051">
        <f>SUM(AG45*AG52)</f>
        <v>9629.9214370329591</v>
      </c>
      <c r="AH48" s="1011">
        <f>SUM(AH45*AH52)</f>
        <v>6899.5913342835493</v>
      </c>
      <c r="AI48" s="1043"/>
      <c r="AJ48" s="6033"/>
      <c r="AK48" s="6114"/>
      <c r="AL48" s="6115"/>
      <c r="AM48" s="2834">
        <f>5955.05-629.62-51.01</f>
        <v>5274.42</v>
      </c>
      <c r="AN48" s="2838">
        <v>3623.77</v>
      </c>
      <c r="AO48" s="2964">
        <v>5825.48</v>
      </c>
      <c r="AP48" s="2839">
        <v>8053.57</v>
      </c>
      <c r="AQ48" s="1051">
        <f>SUM(AQ45*AQ52)</f>
        <v>6590.9492112887756</v>
      </c>
      <c r="AR48" s="1011">
        <f>SUM(AR45*AR52)</f>
        <v>7239.5142729517611</v>
      </c>
      <c r="AS48" s="4312">
        <f t="shared" si="1"/>
        <v>1.0492671119489585</v>
      </c>
      <c r="AT48" s="4321">
        <v>3759.27</v>
      </c>
      <c r="AU48" s="4322">
        <v>5399.85</v>
      </c>
      <c r="AV48" s="4319">
        <f>SUM(AV45*AV52)</f>
        <v>7185.2687466666657</v>
      </c>
      <c r="AW48" s="4307">
        <f>SUM(AW45*AW52)</f>
        <v>7604.5038293266553</v>
      </c>
      <c r="AX48" s="1011">
        <f>SUM(AX45*AX52)</f>
        <v>7896.9928694103428</v>
      </c>
      <c r="AY48" s="3753">
        <f t="shared" si="2"/>
        <v>1.0908180537629506</v>
      </c>
    </row>
    <row r="49" spans="1:53" ht="18.75">
      <c r="A49" s="6102" t="s">
        <v>156</v>
      </c>
      <c r="B49" s="6103"/>
      <c r="C49" s="6104"/>
      <c r="D49" s="1174"/>
      <c r="E49" s="1156"/>
      <c r="F49" s="1156"/>
      <c r="G49" s="1156"/>
      <c r="H49" s="1156"/>
      <c r="I49" s="1009">
        <v>608.70000000000005</v>
      </c>
      <c r="J49" s="1009"/>
      <c r="K49" s="1009">
        <f>I49/I45*K46</f>
        <v>412.80813156428934</v>
      </c>
      <c r="L49" s="1009">
        <v>847.9</v>
      </c>
      <c r="M49" s="1009"/>
      <c r="N49" s="1009">
        <f>стоки!N33</f>
        <v>737</v>
      </c>
      <c r="O49" s="1009"/>
      <c r="P49" s="1009">
        <v>697.8</v>
      </c>
      <c r="Q49" s="1157"/>
      <c r="R49" s="1157"/>
      <c r="S49" s="1156"/>
      <c r="T49" s="1156"/>
      <c r="U49" s="1179"/>
      <c r="V49" s="1050">
        <v>981.12</v>
      </c>
      <c r="W49" s="1031"/>
      <c r="X49" s="1009">
        <f>X45*(P49/P45)</f>
        <v>730.61322970801143</v>
      </c>
      <c r="Y49" s="1009"/>
      <c r="Z49" s="1009"/>
      <c r="AA49" s="1047">
        <v>658</v>
      </c>
      <c r="AB49" s="1050">
        <f>AB46*W53</f>
        <v>0</v>
      </c>
      <c r="AC49" s="1009">
        <f>AC46*X53</f>
        <v>690.17495043218662</v>
      </c>
      <c r="AD49" s="1031"/>
      <c r="AE49" s="1009">
        <v>355.56</v>
      </c>
      <c r="AF49" s="1047">
        <v>549.54</v>
      </c>
      <c r="AG49" s="1051">
        <f>SUM(AG45*AG53)</f>
        <v>1070.8049523561785</v>
      </c>
      <c r="AH49" s="1011">
        <f>SUM(AH45*AH53)</f>
        <v>767.20424131112384</v>
      </c>
      <c r="AI49" s="1043"/>
      <c r="AJ49" s="6033"/>
      <c r="AK49" s="6114"/>
      <c r="AL49" s="6115"/>
      <c r="AM49" s="2834">
        <v>760.74</v>
      </c>
      <c r="AN49" s="2838">
        <v>443.81</v>
      </c>
      <c r="AO49" s="2964">
        <v>665.01</v>
      </c>
      <c r="AP49" s="2839">
        <v>847.58</v>
      </c>
      <c r="AQ49" s="1051">
        <f>SUM(AQ45*AQ53)</f>
        <v>950.2398320882462</v>
      </c>
      <c r="AR49" s="1011">
        <f>SUM(AR45*AR53)</f>
        <v>761.90652188637512</v>
      </c>
      <c r="AS49" s="4312">
        <f t="shared" si="1"/>
        <v>0.99309477302198546</v>
      </c>
      <c r="AT49" s="4321">
        <v>454.38</v>
      </c>
      <c r="AU49" s="4322">
        <v>721.59</v>
      </c>
      <c r="AV49" s="4319">
        <f>SUM(AV45*AV53)</f>
        <v>960.02699999999982</v>
      </c>
      <c r="AW49" s="4307">
        <f>SUM(AW45*AW53)</f>
        <v>800.31903313197597</v>
      </c>
      <c r="AX49" s="1011">
        <f>SUM(AX45*AX53)</f>
        <v>1055.1207812454436</v>
      </c>
      <c r="AY49" s="3753">
        <f t="shared" si="2"/>
        <v>1.3848428264311357</v>
      </c>
    </row>
    <row r="50" spans="1:53" ht="19.5" thickBot="1">
      <c r="A50" s="6138" t="s">
        <v>157</v>
      </c>
      <c r="B50" s="6139"/>
      <c r="C50" s="6140"/>
      <c r="D50" s="1205"/>
      <c r="E50" s="1196"/>
      <c r="F50" s="1196"/>
      <c r="G50" s="1196"/>
      <c r="H50" s="1196"/>
      <c r="I50" s="1140">
        <v>2191.1</v>
      </c>
      <c r="J50" s="1140"/>
      <c r="K50" s="1140">
        <f>I50/I45*K46</f>
        <v>1485.9600740438873</v>
      </c>
      <c r="L50" s="1140">
        <v>2185.1999999999998</v>
      </c>
      <c r="M50" s="1140"/>
      <c r="N50" s="1140">
        <f>N45-N47-N48-N49</f>
        <v>3571.6000000000022</v>
      </c>
      <c r="O50" s="1140"/>
      <c r="P50" s="1140">
        <v>2717.2</v>
      </c>
      <c r="Q50" s="1206"/>
      <c r="R50" s="1206"/>
      <c r="S50" s="1196"/>
      <c r="T50" s="1196"/>
      <c r="U50" s="1207"/>
      <c r="V50" s="1139">
        <v>3828.5</v>
      </c>
      <c r="W50" s="1123"/>
      <c r="X50" s="1140">
        <f>X45*(P50/P45)</f>
        <v>2844.973155291787</v>
      </c>
      <c r="Y50" s="1140"/>
      <c r="Z50" s="1140"/>
      <c r="AA50" s="1141">
        <v>2277.1999999999998</v>
      </c>
      <c r="AB50" s="1139">
        <f>AB46*W54</f>
        <v>0</v>
      </c>
      <c r="AC50" s="1140">
        <f>AC46*X54</f>
        <v>2687.5084197683254</v>
      </c>
      <c r="AD50" s="1123"/>
      <c r="AE50" s="1140">
        <v>1242.03</v>
      </c>
      <c r="AF50" s="1141">
        <v>1801.13</v>
      </c>
      <c r="AG50" s="1120">
        <f>SUM(AG45*AG54)</f>
        <v>3705.8313639901057</v>
      </c>
      <c r="AH50" s="1121">
        <f>SUM(AH45*AH54)</f>
        <v>2655.1329761606248</v>
      </c>
      <c r="AI50" s="1115"/>
      <c r="AJ50" s="6036"/>
      <c r="AK50" s="6144"/>
      <c r="AL50" s="6145"/>
      <c r="AM50" s="2835">
        <v>2432.52</v>
      </c>
      <c r="AN50" s="2965">
        <v>1223.73</v>
      </c>
      <c r="AO50" s="2966">
        <v>1929.66</v>
      </c>
      <c r="AP50" s="2967">
        <v>2518.06</v>
      </c>
      <c r="AQ50" s="1120">
        <f>SUM(AQ45*AQ54)</f>
        <v>3040.0529966432241</v>
      </c>
      <c r="AR50" s="1121">
        <f>SUM(AR45*AR54)</f>
        <v>2263.5342227296605</v>
      </c>
      <c r="AS50" s="4317">
        <f t="shared" si="1"/>
        <v>0.8525125645506374</v>
      </c>
      <c r="AT50" s="4332">
        <v>949.49</v>
      </c>
      <c r="AU50" s="4333">
        <v>1667.22</v>
      </c>
      <c r="AV50" s="4334">
        <f>SUM(AV45*AV54)</f>
        <v>2218.7290666666663</v>
      </c>
      <c r="AW50" s="4308">
        <f>SUM(AW45*AW54)</f>
        <v>2377.6532534607977</v>
      </c>
      <c r="AX50" s="1121">
        <f>SUM(AX45*AX54)</f>
        <v>2438.5013611005807</v>
      </c>
      <c r="AY50" s="3711">
        <f t="shared" si="2"/>
        <v>1.077298207649771</v>
      </c>
    </row>
    <row r="51" spans="1:53" ht="18.75">
      <c r="A51" s="6105" t="s">
        <v>853</v>
      </c>
      <c r="B51" s="6106"/>
      <c r="C51" s="6107"/>
      <c r="D51" s="1186"/>
      <c r="E51" s="1060"/>
      <c r="F51" s="1060"/>
      <c r="G51" s="1060"/>
      <c r="H51" s="1060"/>
      <c r="I51" s="1060"/>
      <c r="J51" s="1060"/>
      <c r="K51" s="1060"/>
      <c r="L51" s="1060"/>
      <c r="M51" s="1060"/>
      <c r="N51" s="1060"/>
      <c r="O51" s="1060"/>
      <c r="P51" s="1060"/>
      <c r="Q51" s="1060"/>
      <c r="R51" s="1060"/>
      <c r="S51" s="1202"/>
      <c r="T51" s="1202"/>
      <c r="U51" s="1203"/>
      <c r="V51" s="1204"/>
      <c r="W51" s="1060"/>
      <c r="X51" s="1185">
        <v>9.5200000000000007E-2</v>
      </c>
      <c r="Y51" s="596"/>
      <c r="Z51" s="596"/>
      <c r="AA51" s="1185">
        <f>SUM(AA47/AA46)</f>
        <v>8.688698764189455E-2</v>
      </c>
      <c r="AB51" s="1199">
        <v>9.5200000000000007E-2</v>
      </c>
      <c r="AC51" s="1185">
        <f>SUM(AC47/AC46)</f>
        <v>9.5200000000000007E-2</v>
      </c>
      <c r="AD51" s="1060"/>
      <c r="AE51" s="1185">
        <f t="shared" ref="AE51:AF51" si="68">SUM(AE47/AE46)</f>
        <v>7.1012729410561845E-2</v>
      </c>
      <c r="AF51" s="1185">
        <f t="shared" si="68"/>
        <v>0.11835691218913569</v>
      </c>
      <c r="AG51" s="1230">
        <f>SUM(AA51)</f>
        <v>8.688698764189455E-2</v>
      </c>
      <c r="AH51" s="4607">
        <f>SUM(AG51)</f>
        <v>8.688698764189455E-2</v>
      </c>
      <c r="AI51" s="1061"/>
      <c r="AJ51" s="6129"/>
      <c r="AK51" s="6130"/>
      <c r="AL51" s="6131"/>
      <c r="AM51" s="2853">
        <f t="shared" ref="AM51:AN51" si="69">SUM(AM47/AM46)</f>
        <v>0.11146193712624174</v>
      </c>
      <c r="AN51" s="1185">
        <f t="shared" si="69"/>
        <v>7.8850432724864375E-2</v>
      </c>
      <c r="AO51" s="2973">
        <f t="shared" ref="AO51" si="70">AO47/AO45</f>
        <v>7.3996480809413831E-2</v>
      </c>
      <c r="AP51" s="1133">
        <f>AP47/AP45</f>
        <v>7.0162781627034571E-2</v>
      </c>
      <c r="AQ51" s="3760">
        <v>0.1115</v>
      </c>
      <c r="AR51" s="3761">
        <f>SUM(AP51)</f>
        <v>7.0162781627034571E-2</v>
      </c>
      <c r="AS51" s="4318">
        <f t="shared" si="1"/>
        <v>0.8075177138861237</v>
      </c>
      <c r="AT51" s="4335">
        <f>AT47/AT45</f>
        <v>2.2758158603015492E-2</v>
      </c>
      <c r="AU51" s="4336">
        <f>AU47/AU45</f>
        <v>2.8433500486490536E-2</v>
      </c>
      <c r="AV51" s="4337">
        <v>2.8400000000000002E-2</v>
      </c>
      <c r="AW51" s="4348">
        <f>SUM(AP51)</f>
        <v>7.0162781627034571E-2</v>
      </c>
      <c r="AX51" s="3761">
        <f>SUM(AU51)</f>
        <v>2.8433500486490536E-2</v>
      </c>
      <c r="AY51" s="3738">
        <f t="shared" si="2"/>
        <v>0.40525047364334771</v>
      </c>
    </row>
    <row r="52" spans="1:53" ht="18.75">
      <c r="A52" s="6102" t="s">
        <v>847</v>
      </c>
      <c r="B52" s="6103"/>
      <c r="C52" s="6104"/>
      <c r="D52" s="1175"/>
      <c r="E52" s="1031"/>
      <c r="F52" s="1031"/>
      <c r="G52" s="1031"/>
      <c r="H52" s="1031"/>
      <c r="I52" s="1031"/>
      <c r="J52" s="1031"/>
      <c r="K52" s="1031"/>
      <c r="L52" s="1031"/>
      <c r="M52" s="1031"/>
      <c r="N52" s="1031"/>
      <c r="O52" s="1031"/>
      <c r="P52" s="1031"/>
      <c r="Q52" s="1031"/>
      <c r="R52" s="1031"/>
      <c r="S52" s="1161"/>
      <c r="T52" s="1161"/>
      <c r="U52" s="1180"/>
      <c r="V52" s="1194"/>
      <c r="W52" s="1031"/>
      <c r="X52" s="1162">
        <f>X48/$X$46</f>
        <v>0.61744194972167787</v>
      </c>
      <c r="Y52" s="1156"/>
      <c r="Z52" s="1156"/>
      <c r="AA52" s="1162">
        <f>AA48/AA46</f>
        <v>0.66180171112229502</v>
      </c>
      <c r="AB52" s="1197">
        <f>AB48/$X$46</f>
        <v>0</v>
      </c>
      <c r="AC52" s="1162">
        <f>AC48/AC46</f>
        <v>0.61744194972167787</v>
      </c>
      <c r="AD52" s="1031"/>
      <c r="AE52" s="1162">
        <f t="shared" ref="AE52:AF52" si="71">AE48/AE46</f>
        <v>0.66938091099637043</v>
      </c>
      <c r="AF52" s="1162">
        <f t="shared" si="71"/>
        <v>0.62868579943149228</v>
      </c>
      <c r="AG52" s="1231">
        <f>SUM(AA52)</f>
        <v>0.66180171112229502</v>
      </c>
      <c r="AH52" s="4608">
        <f>SUM(AG52)</f>
        <v>0.66180171112229502</v>
      </c>
      <c r="AI52" s="1043"/>
      <c r="AJ52" s="6132"/>
      <c r="AK52" s="6133"/>
      <c r="AL52" s="6134"/>
      <c r="AM52" s="2854">
        <f t="shared" ref="AM52:AN52" si="72">AM48/AM46</f>
        <v>0.55346074298863879</v>
      </c>
      <c r="AN52" s="1162">
        <f t="shared" si="72"/>
        <v>0.6741596654288925</v>
      </c>
      <c r="AO52" s="2974">
        <f t="shared" ref="AO52" si="73">AO48/AO45</f>
        <v>0.64065544924667317</v>
      </c>
      <c r="AP52" s="2969">
        <f>AP48/AP45</f>
        <v>0.65578171579049371</v>
      </c>
      <c r="AQ52" s="3762">
        <v>0.55349999999999999</v>
      </c>
      <c r="AR52" s="3763">
        <f t="shared" ref="AR52:AR54" si="74">SUM(AP52)</f>
        <v>0.65578171579049371</v>
      </c>
      <c r="AS52" s="4312">
        <f t="shared" si="1"/>
        <v>0.9909036268256356</v>
      </c>
      <c r="AT52" s="4338">
        <f>AT48/AT45</f>
        <v>0.71152746915800114</v>
      </c>
      <c r="AU52" s="4339">
        <f>AU48/AU45</f>
        <v>0.67358356410448339</v>
      </c>
      <c r="AV52" s="4340">
        <v>0.67359999999999998</v>
      </c>
      <c r="AW52" s="4349">
        <f>SUM(AP52)</f>
        <v>0.65578171579049371</v>
      </c>
      <c r="AX52" s="3763">
        <f>SUM(AV52)</f>
        <v>0.67359999999999998</v>
      </c>
      <c r="AY52" s="3694">
        <f t="shared" si="2"/>
        <v>1.0271710597908752</v>
      </c>
    </row>
    <row r="53" spans="1:53" ht="18.75">
      <c r="A53" s="6102" t="s">
        <v>848</v>
      </c>
      <c r="B53" s="6103"/>
      <c r="C53" s="6104"/>
      <c r="D53" s="1175"/>
      <c r="E53" s="1031"/>
      <c r="F53" s="1031"/>
      <c r="G53" s="1031"/>
      <c r="H53" s="1031"/>
      <c r="I53" s="1031"/>
      <c r="J53" s="1031"/>
      <c r="K53" s="1031"/>
      <c r="L53" s="1031"/>
      <c r="M53" s="1031"/>
      <c r="N53" s="1031"/>
      <c r="O53" s="1031"/>
      <c r="P53" s="1031"/>
      <c r="Q53" s="1031"/>
      <c r="R53" s="1031"/>
      <c r="S53" s="1161"/>
      <c r="T53" s="1161"/>
      <c r="U53" s="1180"/>
      <c r="V53" s="1194"/>
      <c r="W53" s="1031"/>
      <c r="X53" s="1162">
        <f>X49/$X$46</f>
        <v>5.870624361512812E-2</v>
      </c>
      <c r="Y53" s="1156"/>
      <c r="Z53" s="1156"/>
      <c r="AA53" s="1162">
        <f>AA49/AA46</f>
        <v>7.3589442487278431E-2</v>
      </c>
      <c r="AB53" s="1197">
        <f>AB49/$X$46</f>
        <v>0</v>
      </c>
      <c r="AC53" s="1162">
        <f>AC49/AC46</f>
        <v>5.870624361512812E-2</v>
      </c>
      <c r="AD53" s="1031"/>
      <c r="AE53" s="1162">
        <f t="shared" ref="AE53:AF53" si="75">AE49/AE46</f>
        <v>7.2707939266908661E-2</v>
      </c>
      <c r="AF53" s="1162">
        <f t="shared" si="75"/>
        <v>7.4848509199771707E-2</v>
      </c>
      <c r="AG53" s="1231">
        <f>SUM(AA53)</f>
        <v>7.3589442487278431E-2</v>
      </c>
      <c r="AH53" s="4608">
        <f>SUM(AG53)</f>
        <v>7.3589442487278431E-2</v>
      </c>
      <c r="AI53" s="1043"/>
      <c r="AJ53" s="6132"/>
      <c r="AK53" s="6133"/>
      <c r="AL53" s="6134"/>
      <c r="AM53" s="2854">
        <f t="shared" ref="AM53:AN53" si="76">AM49/AM46</f>
        <v>7.9826734621281037E-2</v>
      </c>
      <c r="AN53" s="1162">
        <f t="shared" si="76"/>
        <v>8.2565615674834988E-2</v>
      </c>
      <c r="AO53" s="2974">
        <f t="shared" ref="AO53" si="77">AO49/AO45</f>
        <v>7.3134279115803363E-2</v>
      </c>
      <c r="AP53" s="2969">
        <f>AP49/AP45</f>
        <v>6.9016283048350821E-2</v>
      </c>
      <c r="AQ53" s="3762">
        <v>7.9799999999999996E-2</v>
      </c>
      <c r="AR53" s="3763">
        <f t="shared" si="74"/>
        <v>6.9016283048350821E-2</v>
      </c>
      <c r="AS53" s="4312">
        <f t="shared" si="1"/>
        <v>0.9378557672900133</v>
      </c>
      <c r="AT53" s="4338">
        <f>AT49/AT45</f>
        <v>8.6001764022273622E-2</v>
      </c>
      <c r="AU53" s="4339">
        <f>AU49/AU45</f>
        <v>9.0011975151560536E-2</v>
      </c>
      <c r="AV53" s="4340">
        <v>0.09</v>
      </c>
      <c r="AW53" s="4349">
        <f>SUM(AP53)</f>
        <v>6.9016283048350821E-2</v>
      </c>
      <c r="AX53" s="3763">
        <f>SUM(AV53)</f>
        <v>0.09</v>
      </c>
      <c r="AY53" s="3694">
        <f t="shared" si="2"/>
        <v>1.3040400906109155</v>
      </c>
    </row>
    <row r="54" spans="1:53" ht="19.5" thickBot="1">
      <c r="A54" s="6138" t="s">
        <v>849</v>
      </c>
      <c r="B54" s="6139"/>
      <c r="C54" s="6140"/>
      <c r="D54" s="1175"/>
      <c r="E54" s="1031"/>
      <c r="F54" s="1031"/>
      <c r="G54" s="1031"/>
      <c r="H54" s="1031"/>
      <c r="I54" s="1031"/>
      <c r="J54" s="1031"/>
      <c r="K54" s="1031"/>
      <c r="L54" s="1031"/>
      <c r="M54" s="1031"/>
      <c r="N54" s="1031"/>
      <c r="O54" s="1031"/>
      <c r="P54" s="1031"/>
      <c r="Q54" s="1031"/>
      <c r="R54" s="1031"/>
      <c r="S54" s="1161"/>
      <c r="T54" s="1161"/>
      <c r="U54" s="1180"/>
      <c r="V54" s="599"/>
      <c r="W54" s="1123"/>
      <c r="X54" s="1195">
        <f>X50/$X$46</f>
        <v>0.22859931950562645</v>
      </c>
      <c r="Y54" s="1196"/>
      <c r="Z54" s="1196"/>
      <c r="AA54" s="1195">
        <f>AA50/AA46</f>
        <v>0.25467762679639883</v>
      </c>
      <c r="AB54" s="1198">
        <f>AB50/$X$46</f>
        <v>0</v>
      </c>
      <c r="AC54" s="1195">
        <f>AC50/AC46</f>
        <v>0.22859931950562645</v>
      </c>
      <c r="AD54" s="1123"/>
      <c r="AE54" s="1195">
        <f t="shared" ref="AE54:AF54" si="78">AE50/AE46</f>
        <v>0.25398088032309191</v>
      </c>
      <c r="AF54" s="1195">
        <f t="shared" si="78"/>
        <v>0.24531771185898177</v>
      </c>
      <c r="AG54" s="1232">
        <f>SUM(AA54)</f>
        <v>0.25467762679639883</v>
      </c>
      <c r="AH54" s="4609">
        <f>SUM(AG54)</f>
        <v>0.25467762679639883</v>
      </c>
      <c r="AI54" s="1115"/>
      <c r="AJ54" s="6135"/>
      <c r="AK54" s="6136"/>
      <c r="AL54" s="6137"/>
      <c r="AM54" s="2855">
        <f t="shared" ref="AM54:AN54" si="79">AM50/AM46</f>
        <v>0.25525163459389349</v>
      </c>
      <c r="AN54" s="1195">
        <f t="shared" si="79"/>
        <v>0.22766053236692688</v>
      </c>
      <c r="AO54" s="2975">
        <f t="shared" ref="AO54" si="80">AO50/AO45</f>
        <v>0.21221379082810954</v>
      </c>
      <c r="AP54" s="2971">
        <f>AP50/AP45</f>
        <v>0.20503921953412096</v>
      </c>
      <c r="AQ54" s="3764">
        <v>0.25530000000000003</v>
      </c>
      <c r="AR54" s="3765">
        <f t="shared" si="74"/>
        <v>0.20503921953412096</v>
      </c>
      <c r="AS54" s="4317">
        <f t="shared" si="1"/>
        <v>0.80509317647301182</v>
      </c>
      <c r="AT54" s="4341">
        <f>AT50/AT45</f>
        <v>0.17971260821670976</v>
      </c>
      <c r="AU54" s="4342">
        <f>AU50/AU45</f>
        <v>0.20797096025746581</v>
      </c>
      <c r="AV54" s="4343">
        <v>0.20799999999999999</v>
      </c>
      <c r="AW54" s="4350">
        <f>SUM(AP54)</f>
        <v>0.20503921953412096</v>
      </c>
      <c r="AX54" s="3765">
        <f>SUM(AV54)</f>
        <v>0.20799999999999999</v>
      </c>
      <c r="AY54" s="3717">
        <f t="shared" si="2"/>
        <v>1.0144400689419633</v>
      </c>
    </row>
    <row r="55" spans="1:53" ht="24.75" hidden="1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433"/>
      <c r="T55" s="433"/>
      <c r="U55" s="433"/>
      <c r="V55" s="436"/>
      <c r="W55" s="5"/>
      <c r="X55" s="437"/>
      <c r="Y55" s="436"/>
      <c r="Z55" s="436"/>
      <c r="AA55" s="436"/>
      <c r="AB55" s="436"/>
      <c r="AC55" s="436"/>
      <c r="AD55" s="5"/>
      <c r="AE55" s="5"/>
      <c r="AF55" s="5"/>
      <c r="AG55" s="5"/>
      <c r="AH55" s="2510">
        <f>SUM(AH47:AH50)</f>
        <v>11227.765899893006</v>
      </c>
      <c r="AI55" s="5"/>
      <c r="AJ55" s="5"/>
    </row>
    <row r="56" spans="1:53" hidden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433"/>
      <c r="T56" s="433"/>
      <c r="U56" s="433"/>
      <c r="V56" s="436"/>
      <c r="W56" s="5"/>
      <c r="X56" s="436"/>
      <c r="Y56" s="436"/>
      <c r="Z56" s="436"/>
      <c r="AA56" s="436"/>
      <c r="AB56" s="436"/>
      <c r="AC56" s="436"/>
      <c r="AD56" s="5"/>
      <c r="AE56" s="5"/>
      <c r="AF56" s="5"/>
      <c r="AG56" s="5"/>
      <c r="AH56" s="5"/>
      <c r="AI56" s="436"/>
      <c r="AJ56" s="436"/>
      <c r="AK56" s="618"/>
      <c r="AL56" s="618"/>
      <c r="AM56" s="618"/>
    </row>
    <row r="57" spans="1:53" hidden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433"/>
      <c r="T57" s="433"/>
      <c r="U57" s="433"/>
      <c r="V57" s="436"/>
      <c r="W57" s="5"/>
      <c r="X57" s="436"/>
      <c r="Y57" s="436"/>
      <c r="Z57" s="436"/>
      <c r="AA57" s="436"/>
      <c r="AB57" s="436"/>
      <c r="AC57" s="436"/>
      <c r="AD57" s="5"/>
      <c r="AE57" s="5"/>
      <c r="AF57" s="5"/>
      <c r="AG57" s="5"/>
      <c r="AH57" s="5"/>
      <c r="AI57" s="5"/>
      <c r="AJ57" s="5"/>
    </row>
    <row r="58" spans="1:53" hidden="1">
      <c r="A58" s="2507"/>
      <c r="B58" s="2507"/>
      <c r="C58" s="2507"/>
      <c r="D58" s="2507"/>
      <c r="E58" s="2507"/>
      <c r="F58" s="2507"/>
      <c r="G58" s="2507"/>
      <c r="H58" s="2507"/>
      <c r="I58" s="2507"/>
      <c r="J58" s="2507"/>
      <c r="K58" s="2507"/>
      <c r="L58" s="2507"/>
      <c r="M58" s="2507"/>
      <c r="N58" s="2507"/>
      <c r="O58" s="2507"/>
      <c r="P58" s="2507"/>
      <c r="Q58" s="2507"/>
      <c r="R58" s="2507"/>
      <c r="S58" s="2507"/>
      <c r="T58" s="2507"/>
      <c r="U58" s="2507"/>
      <c r="V58" s="2507"/>
      <c r="W58" s="2507"/>
      <c r="X58" s="2507"/>
      <c r="Y58" s="2507"/>
      <c r="Z58" s="2507"/>
      <c r="AA58" s="2507"/>
      <c r="AB58" s="2507"/>
      <c r="AC58" s="2507"/>
      <c r="AD58" s="2507"/>
      <c r="AE58" s="2507"/>
      <c r="AF58" s="2507"/>
      <c r="AG58" s="2507"/>
      <c r="AH58" s="2507"/>
      <c r="AI58" s="2507"/>
      <c r="AJ58" s="2507"/>
      <c r="AK58" s="423"/>
      <c r="AL58" s="423"/>
      <c r="AM58" s="423"/>
      <c r="AN58" s="423"/>
      <c r="AO58" s="423"/>
      <c r="AP58" s="423"/>
    </row>
    <row r="59" spans="1:53" hidden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433"/>
      <c r="T59" s="433"/>
      <c r="U59" s="433"/>
      <c r="V59" s="436"/>
      <c r="W59" s="5"/>
      <c r="X59" s="436"/>
      <c r="Y59" s="436"/>
      <c r="Z59" s="436"/>
      <c r="AA59" s="436"/>
      <c r="AB59" s="436"/>
      <c r="AC59" s="436"/>
      <c r="AD59" s="5"/>
      <c r="AE59" s="5"/>
      <c r="AF59" s="5"/>
      <c r="AG59" s="5"/>
      <c r="AH59" s="5"/>
      <c r="AI59" s="5"/>
      <c r="AJ59" s="5"/>
    </row>
    <row r="60" spans="1:53" ht="20.25" hidden="1">
      <c r="A60" s="5726" t="s">
        <v>616</v>
      </c>
      <c r="B60" s="5726"/>
      <c r="C60" s="5726"/>
      <c r="D60" s="5726"/>
      <c r="E60" s="5726"/>
      <c r="F60" s="5726"/>
      <c r="G60" s="5726"/>
      <c r="H60" s="5726"/>
      <c r="I60" s="5726"/>
      <c r="J60" s="5726"/>
      <c r="K60" s="5726"/>
      <c r="L60" s="5726"/>
      <c r="M60" s="5726"/>
      <c r="N60" s="5726"/>
      <c r="O60" s="5726"/>
      <c r="P60" s="5726"/>
      <c r="Q60" s="5726"/>
      <c r="R60" s="5726"/>
      <c r="S60" s="5726"/>
      <c r="T60" s="5726"/>
      <c r="U60" s="5726"/>
      <c r="V60" s="5726"/>
      <c r="W60" s="5726"/>
      <c r="X60" s="5726"/>
      <c r="Y60" s="5726"/>
      <c r="Z60" s="5726"/>
      <c r="AA60" s="5726"/>
      <c r="AB60" s="5726"/>
      <c r="AC60" s="5726"/>
      <c r="AD60" s="5726"/>
      <c r="AE60" s="5726"/>
      <c r="AF60" s="5726"/>
      <c r="AG60" s="5726"/>
      <c r="AH60" s="5726"/>
      <c r="AI60" s="5726"/>
      <c r="AJ60" s="5726"/>
      <c r="AK60" s="5726"/>
      <c r="AL60" s="5726"/>
      <c r="AM60" s="5726"/>
      <c r="AN60" s="5726"/>
      <c r="AO60" s="5726"/>
      <c r="AP60" s="5726"/>
      <c r="AQ60" s="5726"/>
      <c r="AR60" s="5726"/>
      <c r="AS60" s="5726"/>
      <c r="AT60" s="5726"/>
      <c r="AU60" s="5726"/>
      <c r="AV60" s="5726"/>
      <c r="AW60" s="5726"/>
      <c r="AX60" s="5726"/>
      <c r="AY60" s="5726"/>
    </row>
    <row r="61" spans="1:53" hidden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433"/>
      <c r="T61" s="433"/>
      <c r="U61" s="433"/>
      <c r="V61" s="436"/>
      <c r="W61" s="5"/>
      <c r="X61" s="436"/>
      <c r="Y61" s="436"/>
      <c r="Z61" s="436"/>
      <c r="AA61" s="436"/>
      <c r="AB61" s="436"/>
      <c r="AC61" s="436"/>
      <c r="AD61" s="5"/>
      <c r="AE61" s="5"/>
      <c r="AF61" s="5"/>
      <c r="AG61" s="5"/>
      <c r="AH61" s="5"/>
      <c r="AI61" s="5"/>
      <c r="AJ61" s="5"/>
    </row>
    <row r="62" spans="1:53" ht="18.75" hidden="1" customHeight="1">
      <c r="A62" s="6122" t="s">
        <v>545</v>
      </c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433"/>
      <c r="U62" s="433"/>
      <c r="V62" s="6125" t="s">
        <v>602</v>
      </c>
      <c r="W62" s="640"/>
      <c r="X62" s="6127" t="s">
        <v>575</v>
      </c>
      <c r="Y62" s="6128"/>
      <c r="Z62" s="6123" t="s">
        <v>586</v>
      </c>
      <c r="AA62" s="993"/>
      <c r="AB62" s="6123" t="s">
        <v>587</v>
      </c>
      <c r="AC62" s="6123" t="s">
        <v>588</v>
      </c>
      <c r="AD62" s="6124" t="s">
        <v>600</v>
      </c>
      <c r="AE62" s="1018"/>
      <c r="AF62" s="1018"/>
      <c r="AG62" s="1018"/>
      <c r="AH62" s="1018"/>
      <c r="AI62" s="1018"/>
      <c r="AJ62" s="6123" t="s">
        <v>589</v>
      </c>
      <c r="AK62" s="6123" t="s">
        <v>590</v>
      </c>
      <c r="AL62" s="6123" t="s">
        <v>591</v>
      </c>
      <c r="AM62" s="6124" t="s">
        <v>599</v>
      </c>
      <c r="AN62" s="6124" t="s">
        <v>598</v>
      </c>
      <c r="AO62" s="6123" t="s">
        <v>592</v>
      </c>
      <c r="AP62" s="6123" t="s">
        <v>593</v>
      </c>
      <c r="AQ62" s="6123" t="s">
        <v>594</v>
      </c>
      <c r="AR62" s="6124" t="s">
        <v>225</v>
      </c>
      <c r="AS62" s="6124" t="s">
        <v>229</v>
      </c>
      <c r="AT62" s="4062"/>
      <c r="AU62" s="4062"/>
      <c r="AV62" s="4062"/>
      <c r="AW62" s="6123" t="s">
        <v>595</v>
      </c>
      <c r="AX62" s="6123" t="s">
        <v>596</v>
      </c>
      <c r="AY62" s="6123" t="s">
        <v>597</v>
      </c>
      <c r="AZ62" s="6124" t="s">
        <v>135</v>
      </c>
      <c r="BA62" s="6076" t="s">
        <v>601</v>
      </c>
    </row>
    <row r="63" spans="1:53" ht="37.5" hidden="1">
      <c r="A63" s="5240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433"/>
      <c r="U63" s="433"/>
      <c r="V63" s="6126"/>
      <c r="W63" s="640"/>
      <c r="X63" s="633" t="s">
        <v>351</v>
      </c>
      <c r="Y63" s="633" t="s">
        <v>653</v>
      </c>
      <c r="Z63" s="6079"/>
      <c r="AA63" s="993"/>
      <c r="AB63" s="6079"/>
      <c r="AC63" s="6079"/>
      <c r="AD63" s="6075"/>
      <c r="AE63" s="1018"/>
      <c r="AF63" s="1018"/>
      <c r="AG63" s="1018"/>
      <c r="AH63" s="1018"/>
      <c r="AI63" s="1018"/>
      <c r="AJ63" s="6079"/>
      <c r="AK63" s="6079"/>
      <c r="AL63" s="6079"/>
      <c r="AM63" s="6075"/>
      <c r="AN63" s="6075"/>
      <c r="AO63" s="6079"/>
      <c r="AP63" s="6079"/>
      <c r="AQ63" s="6079"/>
      <c r="AR63" s="6075"/>
      <c r="AS63" s="6075"/>
      <c r="AT63" s="4035"/>
      <c r="AU63" s="4035"/>
      <c r="AV63" s="4035"/>
      <c r="AW63" s="6079"/>
      <c r="AX63" s="6079"/>
      <c r="AY63" s="6079"/>
      <c r="AZ63" s="6075"/>
      <c r="BA63" s="6076"/>
    </row>
    <row r="64" spans="1:53" ht="18.75" hidden="1">
      <c r="A64" s="639" t="s">
        <v>619</v>
      </c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433"/>
      <c r="U64" s="433"/>
      <c r="V64" s="637">
        <f>SUM(AC47)</f>
        <v>1119.2106875700802</v>
      </c>
      <c r="W64" s="640"/>
      <c r="X64" s="637">
        <f>SUM(V64:W64)</f>
        <v>1119.2106875700802</v>
      </c>
      <c r="Y64" s="643">
        <f>SUM(V64-X64)</f>
        <v>0</v>
      </c>
      <c r="Z64" s="409">
        <f>SUM(Z65+Z66+Z67+Z68+Z69+Z72)</f>
        <v>90.153406861278143</v>
      </c>
      <c r="AA64" s="1012"/>
      <c r="AB64" s="409">
        <f t="shared" ref="AB64:AC64" si="81">SUM(AB65+AB66+AB67+AB68+AB69+AB72)</f>
        <v>90.153406861278143</v>
      </c>
      <c r="AC64" s="409">
        <f t="shared" si="81"/>
        <v>90.153406861278143</v>
      </c>
      <c r="AD64" s="645">
        <f>SUM(Z64+AB64+AC64)</f>
        <v>270.46022058383443</v>
      </c>
      <c r="AE64" s="1019"/>
      <c r="AF64" s="1019"/>
      <c r="AG64" s="1019"/>
      <c r="AH64" s="1019"/>
      <c r="AI64" s="1019"/>
      <c r="AJ64" s="409">
        <f t="shared" ref="AJ64" si="82">SUM(AJ65+AJ66+AJ67+AJ68+AJ69+AJ72)</f>
        <v>90.185841587003935</v>
      </c>
      <c r="AK64" s="409">
        <f t="shared" ref="AK64" si="83">SUM(AK65+AK66+AK67+AK68+AK69+AK72)</f>
        <v>90.722816490686299</v>
      </c>
      <c r="AL64" s="409">
        <f t="shared" ref="AL64" si="84">SUM(AL65+AL66+AL67+AL68+AL69+AL72)</f>
        <v>91.191318084503138</v>
      </c>
      <c r="AM64" s="645">
        <f>SUM(AJ64+AK64+AL64)</f>
        <v>272.09997616219334</v>
      </c>
      <c r="AN64" s="645">
        <f>SUM(AD64+AM64)</f>
        <v>542.56019674602771</v>
      </c>
      <c r="AO64" s="409">
        <f t="shared" ref="AO64" si="85">SUM(AO65+AO66+AO67+AO68+AO69+AO72)</f>
        <v>96.822579746378238</v>
      </c>
      <c r="AP64" s="409">
        <f t="shared" ref="AP64" si="86">SUM(AP65+AP66+AP67+AP68+AP69+AP72)</f>
        <v>96.682029268233194</v>
      </c>
      <c r="AQ64" s="409">
        <f t="shared" ref="AQ64" si="87">SUM(AQ65+AQ66+AQ67+AQ68+AQ69+AQ72)</f>
        <v>96.213527674416355</v>
      </c>
      <c r="AR64" s="645">
        <f>SUM(AO64+AP64+AQ64)</f>
        <v>289.7181366890278</v>
      </c>
      <c r="AS64" s="645">
        <f>SUM(AN64+AR64)</f>
        <v>832.27833343505552</v>
      </c>
      <c r="AT64" s="4063"/>
      <c r="AU64" s="4063"/>
      <c r="AV64" s="4063"/>
      <c r="AW64" s="409">
        <f t="shared" ref="AW64" si="88">SUM(AW65+AW66+AW67+AW68+AW69+AW72)</f>
        <v>95.644118045008199</v>
      </c>
      <c r="AX64" s="409">
        <f t="shared" ref="AX64" si="89">SUM(AX65+AX66+AX67+AX68+AX69+AX72)</f>
        <v>95.644118045008199</v>
      </c>
      <c r="AY64" s="409">
        <f t="shared" ref="AY64" si="90">SUM(AY65+AY66+AY67+AY68+AY69+AY72)</f>
        <v>95.644118045008199</v>
      </c>
      <c r="AZ64" s="645">
        <f>SUM(AW64+AX64+AY64)</f>
        <v>286.93235413502458</v>
      </c>
      <c r="BA64" s="642">
        <f>SUM(AY64+AX64+AW64+AQ64+AP64+AO64+AL64+AK64+AJ64+AC64+AB64+Z64)</f>
        <v>1119.2106875700802</v>
      </c>
    </row>
    <row r="65" spans="1:53" ht="18.75" hidden="1">
      <c r="A65" s="439" t="s">
        <v>72</v>
      </c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433"/>
      <c r="U65" s="433"/>
      <c r="V65" s="634">
        <f>SUM(V64*69.75%)</f>
        <v>780.64945458013096</v>
      </c>
      <c r="W65" s="640"/>
      <c r="X65" s="634">
        <f>SUM(V65)</f>
        <v>780.64945458013096</v>
      </c>
      <c r="Y65" s="644">
        <f>SUM(V65-X65)</f>
        <v>0</v>
      </c>
      <c r="Z65" s="412">
        <f>SUM(V65/2)/(1+(106.7%*100-100)/2/100)/6</f>
        <v>62.945448684093776</v>
      </c>
      <c r="AA65" s="1013"/>
      <c r="AB65" s="411">
        <f>SUM(Z65)</f>
        <v>62.945448684093776</v>
      </c>
      <c r="AC65" s="412">
        <f>SUM(Z65)</f>
        <v>62.945448684093776</v>
      </c>
      <c r="AD65" s="636">
        <f>SUM(Z65+AB65+AC65)</f>
        <v>188.83634605228133</v>
      </c>
      <c r="AE65" s="1020"/>
      <c r="AF65" s="1020"/>
      <c r="AG65" s="1020"/>
      <c r="AH65" s="1020"/>
      <c r="AI65" s="1020"/>
      <c r="AJ65" s="635">
        <f>SUM(Z65)</f>
        <v>62.945448684093776</v>
      </c>
      <c r="AK65" s="635">
        <f>SUM(Z65)</f>
        <v>62.945448684093776</v>
      </c>
      <c r="AL65" s="635">
        <f>SUM(Z65)</f>
        <v>62.945448684093776</v>
      </c>
      <c r="AM65" s="636">
        <f>SUM(AJ65+AK65+AL65)</f>
        <v>188.83634605228133</v>
      </c>
      <c r="AN65" s="636">
        <f>SUM(AD65+AM65)</f>
        <v>377.67269210456266</v>
      </c>
      <c r="AO65" s="635">
        <f>SUM(V65-AN65)/6</f>
        <v>67.162793745928056</v>
      </c>
      <c r="AP65" s="635">
        <f>SUM(AO65)</f>
        <v>67.162793745928056</v>
      </c>
      <c r="AQ65" s="635">
        <f>SUM(AO65)</f>
        <v>67.162793745928056</v>
      </c>
      <c r="AR65" s="636">
        <f>SUM(AO65+AP65+AQ65)</f>
        <v>201.48838123778415</v>
      </c>
      <c r="AS65" s="636">
        <f>SUM(AN65+AR65)</f>
        <v>579.16107334234675</v>
      </c>
      <c r="AT65" s="4053"/>
      <c r="AU65" s="4053"/>
      <c r="AV65" s="4053"/>
      <c r="AW65" s="635">
        <f>SUM(AO65)</f>
        <v>67.162793745928056</v>
      </c>
      <c r="AX65" s="635">
        <f>SUM(AO65)</f>
        <v>67.162793745928056</v>
      </c>
      <c r="AY65" s="635">
        <f>SUM(AO65)</f>
        <v>67.162793745928056</v>
      </c>
      <c r="AZ65" s="636">
        <f>SUM(AW65+AX65+AY65)</f>
        <v>201.48838123778415</v>
      </c>
      <c r="BA65" s="642">
        <f>SUM(AY65+AX65+AW65+AQ65+AP65+AO65+AL65+AK65+AJ65+AC65+AB65+Z65)</f>
        <v>780.64945458013108</v>
      </c>
    </row>
    <row r="66" spans="1:53" ht="18.75" hidden="1">
      <c r="A66" s="439" t="s">
        <v>121</v>
      </c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433"/>
      <c r="U66" s="433"/>
      <c r="V66" s="634">
        <f>SUM(V64*21.06%)</f>
        <v>235.70577080225885</v>
      </c>
      <c r="W66" s="640"/>
      <c r="X66" s="634">
        <f t="shared" ref="X66:X73" si="91">SUM(V66)</f>
        <v>235.70577080225885</v>
      </c>
      <c r="Y66" s="644">
        <f t="shared" ref="Y66:Y73" si="92">SUM(V66-X66)</f>
        <v>0</v>
      </c>
      <c r="Z66" s="412">
        <f>SUM(Z65*(V66/V65))</f>
        <v>19.005464505907021</v>
      </c>
      <c r="AA66" s="1013"/>
      <c r="AB66" s="412">
        <f>SUM(Z66)</f>
        <v>19.005464505907021</v>
      </c>
      <c r="AC66" s="411">
        <f>SUM(Z66)</f>
        <v>19.005464505907021</v>
      </c>
      <c r="AD66" s="636">
        <f t="shared" ref="AD66:AD113" si="93">SUM(Z66+AB66+AC66)</f>
        <v>57.016393517721063</v>
      </c>
      <c r="AE66" s="1020"/>
      <c r="AF66" s="1020"/>
      <c r="AG66" s="1020"/>
      <c r="AH66" s="1020"/>
      <c r="AI66" s="1020"/>
      <c r="AJ66" s="635">
        <f>SUM(Z66)</f>
        <v>19.005464505907021</v>
      </c>
      <c r="AK66" s="635">
        <f>SUM(Z66)</f>
        <v>19.005464505907021</v>
      </c>
      <c r="AL66" s="635">
        <f>SUM(Z66)</f>
        <v>19.005464505907021</v>
      </c>
      <c r="AM66" s="636">
        <f t="shared" ref="AM66:AM113" si="94">SUM(AJ66+AK66+AL66)</f>
        <v>57.016393517721063</v>
      </c>
      <c r="AN66" s="636">
        <f t="shared" ref="AN66:AN113" si="95">SUM(AD66+AM66)</f>
        <v>114.03278703544213</v>
      </c>
      <c r="AO66" s="635">
        <f>SUM(V66-AN66)/6</f>
        <v>20.278830627802787</v>
      </c>
      <c r="AP66" s="635">
        <f>SUM(AO66)</f>
        <v>20.278830627802787</v>
      </c>
      <c r="AQ66" s="635">
        <f>SUM(AO66)</f>
        <v>20.278830627802787</v>
      </c>
      <c r="AR66" s="636">
        <f t="shared" ref="AR66:AR113" si="96">SUM(AO66+AP66+AQ66)</f>
        <v>60.836491883408357</v>
      </c>
      <c r="AS66" s="636">
        <f t="shared" ref="AS66:AS113" si="97">SUM(AN66+AR66)</f>
        <v>174.86927891885048</v>
      </c>
      <c r="AT66" s="4053"/>
      <c r="AU66" s="4053"/>
      <c r="AV66" s="4053"/>
      <c r="AW66" s="635">
        <f>SUM(AO66)</f>
        <v>20.278830627802787</v>
      </c>
      <c r="AX66" s="635">
        <f>SUM(AO66)</f>
        <v>20.278830627802787</v>
      </c>
      <c r="AY66" s="635">
        <f>SUM(AO66)</f>
        <v>20.278830627802787</v>
      </c>
      <c r="AZ66" s="636">
        <f t="shared" ref="AZ66:AZ113" si="98">SUM(AW66+AX66+AY66)</f>
        <v>60.836491883408357</v>
      </c>
      <c r="BA66" s="642">
        <f t="shared" ref="BA66:BA117" si="99">SUM(AY66+AX66+AW66+AQ66+AP66+AO66+AL66+AK66+AJ66+AC66+AB66+Z66)</f>
        <v>235.70577080225883</v>
      </c>
    </row>
    <row r="67" spans="1:53" ht="18.75" hidden="1">
      <c r="A67" s="439" t="s">
        <v>52</v>
      </c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433"/>
      <c r="U67" s="433"/>
      <c r="V67" s="634">
        <f>SUM(V64*2.01%)</f>
        <v>22.496134820158606</v>
      </c>
      <c r="W67" s="640"/>
      <c r="X67" s="634">
        <f t="shared" si="91"/>
        <v>22.496134820158606</v>
      </c>
      <c r="Y67" s="644">
        <f t="shared" si="92"/>
        <v>0</v>
      </c>
      <c r="Z67" s="412">
        <f t="shared" ref="Z67:Z68" si="100">SUM(V67/12)</f>
        <v>1.8746779016798838</v>
      </c>
      <c r="AA67" s="1013"/>
      <c r="AB67" s="412">
        <f t="shared" ref="AB67:AB71" si="101">SUM(Z67)</f>
        <v>1.8746779016798838</v>
      </c>
      <c r="AC67" s="412">
        <f t="shared" ref="AC67:AC68" si="102">SUM(Z67)</f>
        <v>1.8746779016798838</v>
      </c>
      <c r="AD67" s="636">
        <f t="shared" ref="AD67:AD68" si="103">SUM(Z67+AB67+AC67)</f>
        <v>5.6240337050396514</v>
      </c>
      <c r="AE67" s="1020"/>
      <c r="AF67" s="1020"/>
      <c r="AG67" s="1020"/>
      <c r="AH67" s="1020"/>
      <c r="AI67" s="1020"/>
      <c r="AJ67" s="635">
        <f t="shared" ref="AJ67:AJ68" si="104">SUM(Z67)</f>
        <v>1.8746779016798838</v>
      </c>
      <c r="AK67" s="635">
        <f t="shared" ref="AK67:AK68" si="105">SUM(Z67)</f>
        <v>1.8746779016798838</v>
      </c>
      <c r="AL67" s="635">
        <f t="shared" ref="AL67:AL68" si="106">SUM(Z67)</f>
        <v>1.8746779016798838</v>
      </c>
      <c r="AM67" s="636">
        <f t="shared" ref="AM67:AM68" si="107">SUM(AJ67+AK67+AL67)</f>
        <v>5.6240337050396514</v>
      </c>
      <c r="AN67" s="636">
        <f t="shared" si="95"/>
        <v>11.248067410079303</v>
      </c>
      <c r="AO67" s="635">
        <f t="shared" ref="AO67:AO68" si="108">SUM(Z67)</f>
        <v>1.8746779016798838</v>
      </c>
      <c r="AP67" s="635">
        <f t="shared" ref="AP67:AP68" si="109">SUM(Z67)</f>
        <v>1.8746779016798838</v>
      </c>
      <c r="AQ67" s="635">
        <f t="shared" ref="AQ67:AQ68" si="110">SUM(Z67)</f>
        <v>1.8746779016798838</v>
      </c>
      <c r="AR67" s="636">
        <f t="shared" ref="AR67:AR68" si="111">SUM(AO67+AP67+AQ67)</f>
        <v>5.6240337050396514</v>
      </c>
      <c r="AS67" s="636">
        <f t="shared" si="97"/>
        <v>16.872101115118955</v>
      </c>
      <c r="AT67" s="4053"/>
      <c r="AU67" s="4053"/>
      <c r="AV67" s="4053"/>
      <c r="AW67" s="635">
        <f t="shared" ref="AW67:AW68" si="112">SUM(Z67)</f>
        <v>1.8746779016798838</v>
      </c>
      <c r="AX67" s="635">
        <f t="shared" ref="AX67:AX68" si="113">SUM(Z67)</f>
        <v>1.8746779016798838</v>
      </c>
      <c r="AY67" s="635">
        <f t="shared" ref="AY67:AY68" si="114">SUM(Z67)</f>
        <v>1.8746779016798838</v>
      </c>
      <c r="AZ67" s="636">
        <f t="shared" ref="AZ67:AZ68" si="115">SUM(AW67+AX67+AY67)</f>
        <v>5.6240337050396514</v>
      </c>
      <c r="BA67" s="642">
        <f t="shared" si="99"/>
        <v>22.496134820158613</v>
      </c>
    </row>
    <row r="68" spans="1:53" ht="18.75" hidden="1">
      <c r="A68" s="439" t="s">
        <v>605</v>
      </c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433"/>
      <c r="U68" s="433"/>
      <c r="V68" s="634">
        <f>SUM(V64*2.15%)</f>
        <v>24.063029782756722</v>
      </c>
      <c r="W68" s="640"/>
      <c r="X68" s="634">
        <f t="shared" si="91"/>
        <v>24.063029782756722</v>
      </c>
      <c r="Y68" s="644">
        <f t="shared" si="92"/>
        <v>0</v>
      </c>
      <c r="Z68" s="412">
        <f t="shared" si="100"/>
        <v>2.0052524818963935</v>
      </c>
      <c r="AA68" s="1013"/>
      <c r="AB68" s="412">
        <f t="shared" si="101"/>
        <v>2.0052524818963935</v>
      </c>
      <c r="AC68" s="412">
        <f t="shared" si="102"/>
        <v>2.0052524818963935</v>
      </c>
      <c r="AD68" s="636">
        <f t="shared" si="103"/>
        <v>6.0157574456891805</v>
      </c>
      <c r="AE68" s="1020"/>
      <c r="AF68" s="1020"/>
      <c r="AG68" s="1020"/>
      <c r="AH68" s="1020"/>
      <c r="AI68" s="1020"/>
      <c r="AJ68" s="635">
        <f t="shared" si="104"/>
        <v>2.0052524818963935</v>
      </c>
      <c r="AK68" s="635">
        <f t="shared" si="105"/>
        <v>2.0052524818963935</v>
      </c>
      <c r="AL68" s="635">
        <f t="shared" si="106"/>
        <v>2.0052524818963935</v>
      </c>
      <c r="AM68" s="636">
        <f t="shared" si="107"/>
        <v>6.0157574456891805</v>
      </c>
      <c r="AN68" s="636">
        <f t="shared" si="95"/>
        <v>12.031514891378361</v>
      </c>
      <c r="AO68" s="635">
        <f t="shared" si="108"/>
        <v>2.0052524818963935</v>
      </c>
      <c r="AP68" s="635">
        <f t="shared" si="109"/>
        <v>2.0052524818963935</v>
      </c>
      <c r="AQ68" s="635">
        <f t="shared" si="110"/>
        <v>2.0052524818963935</v>
      </c>
      <c r="AR68" s="636">
        <f t="shared" si="111"/>
        <v>6.0157574456891805</v>
      </c>
      <c r="AS68" s="636">
        <f t="shared" si="97"/>
        <v>18.04727233706754</v>
      </c>
      <c r="AT68" s="4053"/>
      <c r="AU68" s="4053"/>
      <c r="AV68" s="4053"/>
      <c r="AW68" s="635">
        <f t="shared" si="112"/>
        <v>2.0052524818963935</v>
      </c>
      <c r="AX68" s="635">
        <f t="shared" si="113"/>
        <v>2.0052524818963935</v>
      </c>
      <c r="AY68" s="635">
        <f t="shared" si="114"/>
        <v>2.0052524818963935</v>
      </c>
      <c r="AZ68" s="636">
        <f t="shared" si="115"/>
        <v>6.0157574456891805</v>
      </c>
      <c r="BA68" s="642">
        <f t="shared" si="99"/>
        <v>24.063029782756715</v>
      </c>
    </row>
    <row r="69" spans="1:53" ht="18.75" hidden="1">
      <c r="A69" s="439" t="s">
        <v>606</v>
      </c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433"/>
      <c r="U69" s="433"/>
      <c r="V69" s="634">
        <f>SUM(V70:V71)</f>
        <v>20.25771344501845</v>
      </c>
      <c r="W69" s="640"/>
      <c r="X69" s="634">
        <f t="shared" si="91"/>
        <v>20.25771344501845</v>
      </c>
      <c r="Y69" s="644">
        <f t="shared" si="92"/>
        <v>0</v>
      </c>
      <c r="Z69" s="412">
        <f>SUM(Z70:Z71)</f>
        <v>1.6881427870848709</v>
      </c>
      <c r="AA69" s="1013"/>
      <c r="AB69" s="412">
        <f>SUM(AB70:AB71)</f>
        <v>1.6881427870848709</v>
      </c>
      <c r="AC69" s="412">
        <f>SUM(AC70:AC71)</f>
        <v>1.6881427870848709</v>
      </c>
      <c r="AD69" s="636">
        <f t="shared" si="93"/>
        <v>5.0644283612546124</v>
      </c>
      <c r="AE69" s="1020"/>
      <c r="AF69" s="1020"/>
      <c r="AG69" s="1020"/>
      <c r="AH69" s="1020"/>
      <c r="AI69" s="1020"/>
      <c r="AJ69" s="412">
        <f>SUM(AJ70:AJ71)</f>
        <v>1.6881427870848709</v>
      </c>
      <c r="AK69" s="412">
        <f>SUM(AK70:AK71)</f>
        <v>1.6881427870848709</v>
      </c>
      <c r="AL69" s="412">
        <f>SUM(AL70:AL71)</f>
        <v>1.6881427870848709</v>
      </c>
      <c r="AM69" s="636">
        <f t="shared" si="94"/>
        <v>5.0644283612546124</v>
      </c>
      <c r="AN69" s="636">
        <f t="shared" si="95"/>
        <v>10.128856722509225</v>
      </c>
      <c r="AO69" s="412">
        <f>SUM(AO70:AO71)</f>
        <v>1.6881427870848709</v>
      </c>
      <c r="AP69" s="412">
        <f>SUM(AP70:AP71)</f>
        <v>1.6881427870848709</v>
      </c>
      <c r="AQ69" s="412">
        <f>SUM(AQ70:AQ71)</f>
        <v>1.6881427870848709</v>
      </c>
      <c r="AR69" s="636">
        <f t="shared" si="96"/>
        <v>5.0644283612546124</v>
      </c>
      <c r="AS69" s="636">
        <f t="shared" si="97"/>
        <v>15.193285083763836</v>
      </c>
      <c r="AT69" s="4053"/>
      <c r="AU69" s="4053"/>
      <c r="AV69" s="4053"/>
      <c r="AW69" s="412">
        <f>SUM(AW70:AW71)</f>
        <v>1.6881427870848709</v>
      </c>
      <c r="AX69" s="412">
        <f>SUM(AX70:AX71)</f>
        <v>1.6881427870848709</v>
      </c>
      <c r="AY69" s="412">
        <f>SUM(AY70:AY71)</f>
        <v>1.6881427870848709</v>
      </c>
      <c r="AZ69" s="636">
        <f t="shared" si="98"/>
        <v>5.0644283612546124</v>
      </c>
      <c r="BA69" s="642">
        <f t="shared" si="99"/>
        <v>20.25771344501845</v>
      </c>
    </row>
    <row r="70" spans="1:53" ht="18.75" hidden="1">
      <c r="A70" s="429" t="s">
        <v>564</v>
      </c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433"/>
      <c r="U70" s="433"/>
      <c r="V70" s="634">
        <f>SUM(V64*1.34%)</f>
        <v>14.997423213439074</v>
      </c>
      <c r="W70" s="640"/>
      <c r="X70" s="634">
        <f t="shared" si="91"/>
        <v>14.997423213439074</v>
      </c>
      <c r="Y70" s="644">
        <f t="shared" si="92"/>
        <v>0</v>
      </c>
      <c r="Z70" s="412">
        <f t="shared" ref="Z70:Z71" si="116">SUM(V70/12)</f>
        <v>1.2497852677865895</v>
      </c>
      <c r="AA70" s="1013"/>
      <c r="AB70" s="412">
        <f t="shared" si="101"/>
        <v>1.2497852677865895</v>
      </c>
      <c r="AC70" s="412">
        <f t="shared" ref="AC70:AC71" si="117">SUM(Z70)</f>
        <v>1.2497852677865895</v>
      </c>
      <c r="AD70" s="636">
        <f t="shared" si="93"/>
        <v>3.7493558033597685</v>
      </c>
      <c r="AE70" s="1020"/>
      <c r="AF70" s="1020"/>
      <c r="AG70" s="1020"/>
      <c r="AH70" s="1020"/>
      <c r="AI70" s="1020"/>
      <c r="AJ70" s="635">
        <f t="shared" ref="AJ70" si="118">SUM(Z70)</f>
        <v>1.2497852677865895</v>
      </c>
      <c r="AK70" s="635">
        <f t="shared" ref="AK70" si="119">SUM(Z70)</f>
        <v>1.2497852677865895</v>
      </c>
      <c r="AL70" s="635">
        <f t="shared" ref="AL70" si="120">SUM(Z70)</f>
        <v>1.2497852677865895</v>
      </c>
      <c r="AM70" s="636">
        <f t="shared" si="94"/>
        <v>3.7493558033597685</v>
      </c>
      <c r="AN70" s="636">
        <f t="shared" si="95"/>
        <v>7.498711606719537</v>
      </c>
      <c r="AO70" s="635">
        <f t="shared" ref="AO70" si="121">SUM(Z70)</f>
        <v>1.2497852677865895</v>
      </c>
      <c r="AP70" s="635">
        <f t="shared" ref="AP70" si="122">SUM(Z70)</f>
        <v>1.2497852677865895</v>
      </c>
      <c r="AQ70" s="635">
        <f t="shared" ref="AQ70" si="123">SUM(Z70)</f>
        <v>1.2497852677865895</v>
      </c>
      <c r="AR70" s="636">
        <f t="shared" si="96"/>
        <v>3.7493558033597685</v>
      </c>
      <c r="AS70" s="636">
        <f t="shared" si="97"/>
        <v>11.248067410079305</v>
      </c>
      <c r="AT70" s="4053"/>
      <c r="AU70" s="4053"/>
      <c r="AV70" s="4053"/>
      <c r="AW70" s="635">
        <f t="shared" ref="AW70" si="124">SUM(Z70)</f>
        <v>1.2497852677865895</v>
      </c>
      <c r="AX70" s="635">
        <f t="shared" ref="AX70" si="125">SUM(Z70)</f>
        <v>1.2497852677865895</v>
      </c>
      <c r="AY70" s="635">
        <f t="shared" ref="AY70" si="126">SUM(Z70)</f>
        <v>1.2497852677865895</v>
      </c>
      <c r="AZ70" s="636">
        <f t="shared" si="98"/>
        <v>3.7493558033597685</v>
      </c>
      <c r="BA70" s="642">
        <f t="shared" si="99"/>
        <v>14.99742321343907</v>
      </c>
    </row>
    <row r="71" spans="1:53" ht="18.75" hidden="1">
      <c r="A71" s="429" t="s">
        <v>565</v>
      </c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433"/>
      <c r="U71" s="433"/>
      <c r="V71" s="634">
        <f>SUM(V64*0.47%)</f>
        <v>5.2602902315793756</v>
      </c>
      <c r="W71" s="640"/>
      <c r="X71" s="634">
        <f t="shared" si="91"/>
        <v>5.2602902315793756</v>
      </c>
      <c r="Y71" s="644">
        <f t="shared" si="92"/>
        <v>0</v>
      </c>
      <c r="Z71" s="412">
        <f t="shared" si="116"/>
        <v>0.43835751929828132</v>
      </c>
      <c r="AA71" s="1013"/>
      <c r="AB71" s="412">
        <f t="shared" si="101"/>
        <v>0.43835751929828132</v>
      </c>
      <c r="AC71" s="412">
        <f t="shared" si="117"/>
        <v>0.43835751929828132</v>
      </c>
      <c r="AD71" s="636">
        <f t="shared" ref="AD71" si="127">SUM(Z71+AB71+AC71)</f>
        <v>1.3150725578948439</v>
      </c>
      <c r="AE71" s="1020"/>
      <c r="AF71" s="1020"/>
      <c r="AG71" s="1020"/>
      <c r="AH71" s="1020"/>
      <c r="AI71" s="1020"/>
      <c r="AJ71" s="635">
        <f t="shared" ref="AJ71" si="128">SUM(Z71)</f>
        <v>0.43835751929828132</v>
      </c>
      <c r="AK71" s="635">
        <f t="shared" ref="AK71" si="129">SUM(Z71)</f>
        <v>0.43835751929828132</v>
      </c>
      <c r="AL71" s="635">
        <f t="shared" ref="AL71" si="130">SUM(Z71)</f>
        <v>0.43835751929828132</v>
      </c>
      <c r="AM71" s="636">
        <f t="shared" ref="AM71" si="131">SUM(AJ71+AK71+AL71)</f>
        <v>1.3150725578948439</v>
      </c>
      <c r="AN71" s="636">
        <f t="shared" si="95"/>
        <v>2.6301451157896878</v>
      </c>
      <c r="AO71" s="635">
        <f t="shared" ref="AO71" si="132">SUM(Z71)</f>
        <v>0.43835751929828132</v>
      </c>
      <c r="AP71" s="635">
        <f t="shared" ref="AP71" si="133">SUM(Z71)</f>
        <v>0.43835751929828132</v>
      </c>
      <c r="AQ71" s="635">
        <f t="shared" ref="AQ71" si="134">SUM(Z71)</f>
        <v>0.43835751929828132</v>
      </c>
      <c r="AR71" s="636">
        <f t="shared" ref="AR71" si="135">SUM(AO71+AP71+AQ71)</f>
        <v>1.3150725578948439</v>
      </c>
      <c r="AS71" s="636">
        <f t="shared" si="97"/>
        <v>3.9452176736845317</v>
      </c>
      <c r="AT71" s="4053"/>
      <c r="AU71" s="4053"/>
      <c r="AV71" s="4053"/>
      <c r="AW71" s="635">
        <f t="shared" ref="AW71" si="136">SUM(Z71)</f>
        <v>0.43835751929828132</v>
      </c>
      <c r="AX71" s="635">
        <f t="shared" ref="AX71" si="137">SUM(Z71)</f>
        <v>0.43835751929828132</v>
      </c>
      <c r="AY71" s="635">
        <f t="shared" ref="AY71" si="138">SUM(Z71)</f>
        <v>0.43835751929828132</v>
      </c>
      <c r="AZ71" s="636">
        <f t="shared" ref="AZ71" si="139">SUM(AW71+AX71+AY71)</f>
        <v>1.3150725578948439</v>
      </c>
      <c r="BA71" s="642">
        <f t="shared" si="99"/>
        <v>5.2602902315793756</v>
      </c>
    </row>
    <row r="72" spans="1:53" ht="18.75" hidden="1">
      <c r="A72" s="439" t="s">
        <v>609</v>
      </c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433"/>
      <c r="U72" s="433"/>
      <c r="V72" s="634">
        <f>SUM(V73:V73)</f>
        <v>36.03858413975658</v>
      </c>
      <c r="W72" s="640"/>
      <c r="X72" s="634">
        <f t="shared" si="91"/>
        <v>36.03858413975658</v>
      </c>
      <c r="Y72" s="644">
        <f t="shared" si="92"/>
        <v>0</v>
      </c>
      <c r="Z72" s="412">
        <f>SUM(Z73:Z73)</f>
        <v>2.6344205006162058</v>
      </c>
      <c r="AA72" s="1013"/>
      <c r="AB72" s="412">
        <f>SUM(AB73:AB73)</f>
        <v>2.6344205006162058</v>
      </c>
      <c r="AC72" s="412">
        <f>SUM(AC73:AC73)</f>
        <v>2.6344205006162058</v>
      </c>
      <c r="AD72" s="636">
        <f t="shared" si="93"/>
        <v>7.9032615018486174</v>
      </c>
      <c r="AE72" s="1020"/>
      <c r="AF72" s="1020"/>
      <c r="AG72" s="1020"/>
      <c r="AH72" s="1020"/>
      <c r="AI72" s="1020"/>
      <c r="AJ72" s="412">
        <f>SUM(AJ73:AJ73)</f>
        <v>2.6668552263419874</v>
      </c>
      <c r="AK72" s="412">
        <f>SUM(AK73:AK73)</f>
        <v>3.2038301300243601</v>
      </c>
      <c r="AL72" s="412">
        <f>SUM(AL73:AL73)</f>
        <v>3.6723317238411952</v>
      </c>
      <c r="AM72" s="636">
        <f t="shared" si="94"/>
        <v>9.5430170802075427</v>
      </c>
      <c r="AN72" s="636">
        <f t="shared" si="95"/>
        <v>17.446278582056159</v>
      </c>
      <c r="AO72" s="412">
        <f>SUM(AO73:AO73)</f>
        <v>3.8128822019862465</v>
      </c>
      <c r="AP72" s="412">
        <f>SUM(AP73:AP73)</f>
        <v>3.6723317238411952</v>
      </c>
      <c r="AQ72" s="412">
        <f>SUM(AQ73:AQ73)</f>
        <v>3.2038301300243601</v>
      </c>
      <c r="AR72" s="636">
        <f t="shared" si="96"/>
        <v>10.689044055851802</v>
      </c>
      <c r="AS72" s="636">
        <f t="shared" si="97"/>
        <v>28.135322637907962</v>
      </c>
      <c r="AT72" s="4053"/>
      <c r="AU72" s="4053"/>
      <c r="AV72" s="4053"/>
      <c r="AW72" s="412">
        <f>SUM(AW73:AW73)</f>
        <v>2.6344205006162058</v>
      </c>
      <c r="AX72" s="412">
        <f>SUM(AX73:AX73)</f>
        <v>2.6344205006162058</v>
      </c>
      <c r="AY72" s="412">
        <f>SUM(AY73:AY73)</f>
        <v>2.6344205006162058</v>
      </c>
      <c r="AZ72" s="636">
        <f t="shared" si="98"/>
        <v>7.9032615018486174</v>
      </c>
      <c r="BA72" s="642">
        <f t="shared" si="99"/>
        <v>36.038584139756587</v>
      </c>
    </row>
    <row r="73" spans="1:53" ht="18.75" hidden="1">
      <c r="A73" s="429" t="s">
        <v>551</v>
      </c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433"/>
      <c r="U73" s="433"/>
      <c r="V73" s="634">
        <f>SUM(V64*3.22%)</f>
        <v>36.03858413975658</v>
      </c>
      <c r="W73" s="640"/>
      <c r="X73" s="634">
        <f t="shared" si="91"/>
        <v>36.03858413975658</v>
      </c>
      <c r="Y73" s="644">
        <f t="shared" si="92"/>
        <v>0</v>
      </c>
      <c r="Z73" s="412">
        <f>SUM(V73*7.31%)</f>
        <v>2.6344205006162058</v>
      </c>
      <c r="AA73" s="1013"/>
      <c r="AB73" s="412">
        <f>SUM(V73*7.31%)</f>
        <v>2.6344205006162058</v>
      </c>
      <c r="AC73" s="412">
        <f>SUM(V73*7.31%)</f>
        <v>2.6344205006162058</v>
      </c>
      <c r="AD73" s="636">
        <f t="shared" si="93"/>
        <v>7.9032615018486174</v>
      </c>
      <c r="AE73" s="1020"/>
      <c r="AF73" s="1020"/>
      <c r="AG73" s="1020"/>
      <c r="AH73" s="1020"/>
      <c r="AI73" s="1020"/>
      <c r="AJ73" s="412">
        <f>SUM(V73*7.4%)</f>
        <v>2.6668552263419874</v>
      </c>
      <c r="AK73" s="412">
        <f>SUM(V73*8.89%)</f>
        <v>3.2038301300243601</v>
      </c>
      <c r="AL73" s="412">
        <f>SUM(V73*10.19%)</f>
        <v>3.6723317238411952</v>
      </c>
      <c r="AM73" s="636">
        <f t="shared" si="94"/>
        <v>9.5430170802075427</v>
      </c>
      <c r="AN73" s="636">
        <f t="shared" si="95"/>
        <v>17.446278582056159</v>
      </c>
      <c r="AO73" s="412">
        <f>SUM(V73*10.58%)</f>
        <v>3.8128822019862465</v>
      </c>
      <c r="AP73" s="412">
        <f>SUM(V73*10.19%)</f>
        <v>3.6723317238411952</v>
      </c>
      <c r="AQ73" s="412">
        <f>SUM(V73*8.89%)</f>
        <v>3.2038301300243601</v>
      </c>
      <c r="AR73" s="636">
        <f t="shared" si="96"/>
        <v>10.689044055851802</v>
      </c>
      <c r="AS73" s="636">
        <f t="shared" si="97"/>
        <v>28.135322637907962</v>
      </c>
      <c r="AT73" s="4053"/>
      <c r="AU73" s="4053"/>
      <c r="AV73" s="4053"/>
      <c r="AW73" s="412">
        <f>SUM(V73*7.31%)</f>
        <v>2.6344205006162058</v>
      </c>
      <c r="AX73" s="412">
        <f>SUM(V73*7.31%)</f>
        <v>2.6344205006162058</v>
      </c>
      <c r="AY73" s="412">
        <f>SUM(V73*7.31%)</f>
        <v>2.6344205006162058</v>
      </c>
      <c r="AZ73" s="636">
        <f t="shared" si="98"/>
        <v>7.9032615018486174</v>
      </c>
      <c r="BA73" s="642">
        <f t="shared" si="99"/>
        <v>36.038584139756587</v>
      </c>
    </row>
    <row r="74" spans="1:53" ht="18.75" hidden="1">
      <c r="A74" s="632" t="s">
        <v>620</v>
      </c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433"/>
      <c r="U74" s="433"/>
      <c r="V74" s="637">
        <f>SUM(AC48)</f>
        <v>7258.9036668341378</v>
      </c>
      <c r="W74" s="640"/>
      <c r="X74" s="637">
        <f>SUM(V74*стоки!AK55/стоки!AI55)</f>
        <v>7203.5630992213855</v>
      </c>
      <c r="Y74" s="643">
        <f t="shared" ref="Y74:Y99" si="140">SUM(V74-X74)</f>
        <v>55.340567612752238</v>
      </c>
      <c r="Z74" s="409">
        <f>SUM(Z75+Z76+Z77+Z78+Z79+Z80+Z81+Z83+Z82+Z84+Z85+Z86+Z87+Z88+Z89+Z90+Z95)</f>
        <v>625.28484900900469</v>
      </c>
      <c r="AA74" s="1012"/>
      <c r="AB74" s="409">
        <f t="shared" ref="AB74:AC74" si="141">SUM(AB75+AB76+AB77+AB78+AB79+AB80+AB81+AB83+AB82+AB84+AB85+AB86+AB87+AB88+AB89+AB90+AB95)</f>
        <v>615.72894793095543</v>
      </c>
      <c r="AC74" s="409">
        <f t="shared" si="141"/>
        <v>611.59052191282149</v>
      </c>
      <c r="AD74" s="645">
        <f t="shared" si="93"/>
        <v>1852.6043188527817</v>
      </c>
      <c r="AE74" s="1019"/>
      <c r="AF74" s="1019"/>
      <c r="AG74" s="1019"/>
      <c r="AH74" s="1019"/>
      <c r="AI74" s="1019"/>
      <c r="AJ74" s="409">
        <f t="shared" ref="AJ74" si="142">SUM(AJ75+AJ76+AJ77+AJ78+AJ79+AJ80+AJ81+AJ83+AJ82+AJ84+AJ85+AJ86+AJ87+AJ88+AJ89+AJ90+AJ95)</f>
        <v>597.30146283878855</v>
      </c>
      <c r="AK74" s="409">
        <f t="shared" ref="AK74" si="143">SUM(AK75+AK76+AK77+AK78+AK79+AK80+AK81+AK83+AK82+AK84+AK85+AK86+AK87+AK88+AK89+AK90+AK95)</f>
        <v>570.53813423573115</v>
      </c>
      <c r="AL74" s="409">
        <f t="shared" ref="AL74" si="144">SUM(AL75+AL76+AL77+AL78+AL79+AL80+AL81+AL83+AL82+AL84+AL85+AL86+AL87+AL88+AL89+AL90+AL95)</f>
        <v>563.68623000650098</v>
      </c>
      <c r="AM74" s="645">
        <f t="shared" si="94"/>
        <v>1731.5258270810205</v>
      </c>
      <c r="AN74" s="645">
        <f t="shared" si="95"/>
        <v>3584.1301459338019</v>
      </c>
      <c r="AO74" s="409">
        <f t="shared" ref="AO74" si="145">SUM(AO75+AO76+AO77+AO78+AO79+AO80+AO81+AO83+AO82+AO84+AO85+AO86+AO87+AO88+AO89+AO90+AO95)</f>
        <v>588.04619592196752</v>
      </c>
      <c r="AP74" s="409">
        <f t="shared" ref="AP74" si="146">SUM(AP75+AP76+AP77+AP78+AP79+AP80+AP81+AP83+AP82+AP84+AP85+AP86+AP87+AP88+AP89+AP90+AP95)</f>
        <v>587.40356518034264</v>
      </c>
      <c r="AQ74" s="409">
        <f t="shared" ref="AQ74" si="147">SUM(AQ75+AQ76+AQ77+AQ78+AQ79+AQ80+AQ81+AQ83+AQ82+AQ84+AQ85+AQ86+AQ87+AQ88+AQ89+AQ90+AQ95)</f>
        <v>601.26757853062486</v>
      </c>
      <c r="AR74" s="645">
        <f t="shared" si="96"/>
        <v>1776.7173396329351</v>
      </c>
      <c r="AS74" s="645">
        <f t="shared" si="97"/>
        <v>5360.8474855667373</v>
      </c>
      <c r="AT74" s="4063"/>
      <c r="AU74" s="4063"/>
      <c r="AV74" s="4063"/>
      <c r="AW74" s="409">
        <f t="shared" ref="AW74" si="148">SUM(AW75+AW76+AW77+AW78+AW79+AW80+AW81+AW83+AW82+AW84+AW85+AW86+AW87+AW88+AW89+AW90+AW95)</f>
        <v>622.00308544719371</v>
      </c>
      <c r="AX74" s="409">
        <f t="shared" ref="AX74" si="149">SUM(AX75+AX76+AX77+AX78+AX79+AX80+AX81+AX83+AX82+AX84+AX85+AX86+AX87+AX88+AX89+AX90+AX95)</f>
        <v>632.13245149013187</v>
      </c>
      <c r="AY74" s="409">
        <f t="shared" ref="AY74" si="150">SUM(AY75+AY76+AY77+AY78+AY79+AY80+AY81+AY83+AY82+AY84+AY85+AY86+AY87+AY88+AY89+AY90+AY95)</f>
        <v>643.92064433007522</v>
      </c>
      <c r="AZ74" s="645">
        <f t="shared" si="98"/>
        <v>1898.0561812674007</v>
      </c>
      <c r="BA74" s="642">
        <f t="shared" si="99"/>
        <v>7258.9036668341387</v>
      </c>
    </row>
    <row r="75" spans="1:53" ht="18.75" hidden="1">
      <c r="A75" s="439" t="s">
        <v>72</v>
      </c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433"/>
      <c r="U75" s="433"/>
      <c r="V75" s="634">
        <f>SUM(V74*46.54%)</f>
        <v>3378.2937665446075</v>
      </c>
      <c r="W75" s="640"/>
      <c r="X75" s="634">
        <f>SUM(V75*стоки!AK55/стоки!AI55)</f>
        <v>3352.5382663776327</v>
      </c>
      <c r="Y75" s="644">
        <f t="shared" si="140"/>
        <v>25.755500166974798</v>
      </c>
      <c r="Z75" s="412">
        <f>SUM(V75/2)/(1+(106.7%*100-100)/2/100)/6</f>
        <v>272.39911034870244</v>
      </c>
      <c r="AA75" s="1013"/>
      <c r="AB75" s="411">
        <f>SUM(Z75)</f>
        <v>272.39911034870244</v>
      </c>
      <c r="AC75" s="412">
        <f>SUM(Z75)</f>
        <v>272.39911034870244</v>
      </c>
      <c r="AD75" s="636">
        <f>SUM(Z75+AB75+AC75)</f>
        <v>817.19733104610737</v>
      </c>
      <c r="AE75" s="1020"/>
      <c r="AF75" s="1020"/>
      <c r="AG75" s="1020"/>
      <c r="AH75" s="1020"/>
      <c r="AI75" s="1020"/>
      <c r="AJ75" s="635">
        <f>SUM(Z75)</f>
        <v>272.39911034870244</v>
      </c>
      <c r="AK75" s="635">
        <f>SUM(Z75)</f>
        <v>272.39911034870244</v>
      </c>
      <c r="AL75" s="635">
        <f>SUM(Z75)</f>
        <v>272.39911034870244</v>
      </c>
      <c r="AM75" s="636">
        <f>SUM(AJ75+AK75+AL75)</f>
        <v>817.19733104610737</v>
      </c>
      <c r="AN75" s="636">
        <f>SUM(AD75+AM75)</f>
        <v>1634.3946620922147</v>
      </c>
      <c r="AO75" s="635">
        <f>SUM(V75-AN75)/6</f>
        <v>290.64985074206544</v>
      </c>
      <c r="AP75" s="635">
        <f>SUM(AO75)</f>
        <v>290.64985074206544</v>
      </c>
      <c r="AQ75" s="635">
        <f>SUM(AO75)</f>
        <v>290.64985074206544</v>
      </c>
      <c r="AR75" s="636">
        <f>SUM(AO75+AP75+AQ75)</f>
        <v>871.94955222619637</v>
      </c>
      <c r="AS75" s="636">
        <f>SUM(AN75+AR75)</f>
        <v>2506.3442143184111</v>
      </c>
      <c r="AT75" s="4053"/>
      <c r="AU75" s="4053"/>
      <c r="AV75" s="4053"/>
      <c r="AW75" s="635">
        <f>SUM(AO75)</f>
        <v>290.64985074206544</v>
      </c>
      <c r="AX75" s="635">
        <f>SUM(AO75)</f>
        <v>290.64985074206544</v>
      </c>
      <c r="AY75" s="635">
        <f>SUM(AO75)</f>
        <v>290.64985074206544</v>
      </c>
      <c r="AZ75" s="636">
        <f>SUM(AW75+AX75+AY75)</f>
        <v>871.94955222619637</v>
      </c>
      <c r="BA75" s="642">
        <f>SUM(AY75+AX75+AW75+AQ75+AP75+AO75+AL75+AK75+AJ75+AC75+AB75+Z75)</f>
        <v>3378.293766544607</v>
      </c>
    </row>
    <row r="76" spans="1:53" ht="18.75" hidden="1">
      <c r="A76" s="439" t="s">
        <v>121</v>
      </c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433"/>
      <c r="U76" s="433"/>
      <c r="V76" s="634">
        <f>SUM(V74*13.94%)</f>
        <v>1011.8911711566788</v>
      </c>
      <c r="W76" s="640"/>
      <c r="X76" s="634">
        <f>SUM(V76*стоки!AK55/стоки!AI55)</f>
        <v>1004.176696031461</v>
      </c>
      <c r="Y76" s="644">
        <f t="shared" si="140"/>
        <v>7.7144751252177457</v>
      </c>
      <c r="Z76" s="412">
        <f>SUM(Z75*(V76/V75))</f>
        <v>81.590966872817191</v>
      </c>
      <c r="AA76" s="1013"/>
      <c r="AB76" s="412">
        <f>SUM(Z76)</f>
        <v>81.590966872817191</v>
      </c>
      <c r="AC76" s="411">
        <f>SUM(Z76)</f>
        <v>81.590966872817191</v>
      </c>
      <c r="AD76" s="636">
        <f t="shared" ref="AD76" si="151">SUM(Z76+AB76+AC76)</f>
        <v>244.77290061845156</v>
      </c>
      <c r="AE76" s="1020"/>
      <c r="AF76" s="1020"/>
      <c r="AG76" s="1020"/>
      <c r="AH76" s="1020"/>
      <c r="AI76" s="1020"/>
      <c r="AJ76" s="635">
        <f>SUM(Z76)</f>
        <v>81.590966872817191</v>
      </c>
      <c r="AK76" s="635">
        <f>SUM(Z76)</f>
        <v>81.590966872817191</v>
      </c>
      <c r="AL76" s="635">
        <f>SUM(Z76)</f>
        <v>81.590966872817191</v>
      </c>
      <c r="AM76" s="636">
        <f t="shared" ref="AM76" si="152">SUM(AJ76+AK76+AL76)</f>
        <v>244.77290061845156</v>
      </c>
      <c r="AN76" s="636">
        <f t="shared" ref="AN76:AN88" si="153">SUM(AD76+AM76)</f>
        <v>489.54580123690312</v>
      </c>
      <c r="AO76" s="635">
        <f>SUM(V76-AN76)/6</f>
        <v>87.057561653295934</v>
      </c>
      <c r="AP76" s="635">
        <f>SUM(AO76)</f>
        <v>87.057561653295934</v>
      </c>
      <c r="AQ76" s="635">
        <f>SUM(AO76)</f>
        <v>87.057561653295934</v>
      </c>
      <c r="AR76" s="636">
        <f t="shared" ref="AR76" si="154">SUM(AO76+AP76+AQ76)</f>
        <v>261.17268495988782</v>
      </c>
      <c r="AS76" s="636">
        <f t="shared" ref="AS76:AS88" si="155">SUM(AN76+AR76)</f>
        <v>750.71848619679099</v>
      </c>
      <c r="AT76" s="4053"/>
      <c r="AU76" s="4053"/>
      <c r="AV76" s="4053"/>
      <c r="AW76" s="635">
        <f>SUM(AO76)</f>
        <v>87.057561653295934</v>
      </c>
      <c r="AX76" s="635">
        <f>SUM(AO76)</f>
        <v>87.057561653295934</v>
      </c>
      <c r="AY76" s="635">
        <f>SUM(AO76)</f>
        <v>87.057561653295934</v>
      </c>
      <c r="AZ76" s="636">
        <f t="shared" ref="AZ76" si="156">SUM(AW76+AX76+AY76)</f>
        <v>261.17268495988782</v>
      </c>
      <c r="BA76" s="642">
        <f t="shared" ref="BA76" si="157">SUM(AY76+AX76+AW76+AQ76+AP76+AO76+AL76+AK76+AJ76+AC76+AB76+Z76)</f>
        <v>1011.8911711566785</v>
      </c>
    </row>
    <row r="77" spans="1:53" ht="18.75" hidden="1">
      <c r="A77" s="439" t="s">
        <v>52</v>
      </c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433"/>
      <c r="U77" s="433"/>
      <c r="V77" s="634">
        <f>SUM(V74*0.36%)</f>
        <v>26.132053200602897</v>
      </c>
      <c r="W77" s="640"/>
      <c r="X77" s="634">
        <f>SUM(V77*стоки!AK55/стоки!AI55)</f>
        <v>25.932827157196989</v>
      </c>
      <c r="Y77" s="644">
        <f t="shared" si="140"/>
        <v>0.19922604340590766</v>
      </c>
      <c r="Z77" s="412">
        <f t="shared" ref="Z77" si="158">SUM(V77/12)</f>
        <v>2.1776711000502416</v>
      </c>
      <c r="AA77" s="1013"/>
      <c r="AB77" s="412">
        <f t="shared" ref="AB77:AB89" si="159">SUM(Z77)</f>
        <v>2.1776711000502416</v>
      </c>
      <c r="AC77" s="412">
        <f t="shared" ref="AC77:AC89" si="160">SUM(Z77)</f>
        <v>2.1776711000502416</v>
      </c>
      <c r="AD77" s="636">
        <f t="shared" ref="AD77:AD89" si="161">SUM(Z77+AB77+AC77)</f>
        <v>6.5330133001507242</v>
      </c>
      <c r="AE77" s="1020"/>
      <c r="AF77" s="1020"/>
      <c r="AG77" s="1020"/>
      <c r="AH77" s="1020"/>
      <c r="AI77" s="1020"/>
      <c r="AJ77" s="635">
        <f t="shared" ref="AJ77:AJ89" si="162">SUM(Z77)</f>
        <v>2.1776711000502416</v>
      </c>
      <c r="AK77" s="635">
        <f t="shared" ref="AK77:AK89" si="163">SUM(Z77)</f>
        <v>2.1776711000502416</v>
      </c>
      <c r="AL77" s="635">
        <f t="shared" ref="AL77:AL89" si="164">SUM(Z77)</f>
        <v>2.1776711000502416</v>
      </c>
      <c r="AM77" s="636">
        <f t="shared" ref="AM77:AM89" si="165">SUM(AJ77+AK77+AL77)</f>
        <v>6.5330133001507242</v>
      </c>
      <c r="AN77" s="636">
        <f t="shared" si="153"/>
        <v>13.066026600301448</v>
      </c>
      <c r="AO77" s="635">
        <f t="shared" ref="AO77:AO89" si="166">SUM(Z77)</f>
        <v>2.1776711000502416</v>
      </c>
      <c r="AP77" s="635">
        <f t="shared" ref="AP77:AP89" si="167">SUM(Z77)</f>
        <v>2.1776711000502416</v>
      </c>
      <c r="AQ77" s="635">
        <f t="shared" ref="AQ77:AQ89" si="168">SUM(Z77)</f>
        <v>2.1776711000502416</v>
      </c>
      <c r="AR77" s="636">
        <f t="shared" ref="AR77:AR89" si="169">SUM(AO77+AP77+AQ77)</f>
        <v>6.5330133001507242</v>
      </c>
      <c r="AS77" s="636">
        <f t="shared" si="155"/>
        <v>19.599039900452173</v>
      </c>
      <c r="AT77" s="4053"/>
      <c r="AU77" s="4053"/>
      <c r="AV77" s="4053"/>
      <c r="AW77" s="635">
        <f t="shared" ref="AW77:AW89" si="170">SUM(Z77)</f>
        <v>2.1776711000502416</v>
      </c>
      <c r="AX77" s="635">
        <f t="shared" ref="AX77:AX89" si="171">SUM(Z77)</f>
        <v>2.1776711000502416</v>
      </c>
      <c r="AY77" s="635">
        <f t="shared" ref="AY77:AY89" si="172">SUM(Z77)</f>
        <v>2.1776711000502416</v>
      </c>
      <c r="AZ77" s="636">
        <f t="shared" ref="AZ77:AZ89" si="173">SUM(AW77+AX77+AY77)</f>
        <v>6.5330133001507242</v>
      </c>
      <c r="BA77" s="642">
        <f t="shared" si="99"/>
        <v>26.132053200602893</v>
      </c>
    </row>
    <row r="78" spans="1:53" ht="18.75" hidden="1">
      <c r="A78" s="439" t="s">
        <v>637</v>
      </c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433"/>
      <c r="U78" s="433"/>
      <c r="V78" s="634">
        <f>SUM(V74*9.75%)</f>
        <v>707.74310751632845</v>
      </c>
      <c r="W78" s="640"/>
      <c r="X78" s="634">
        <f>SUM(V78*стоки!AK55/стоки!AI55)</f>
        <v>702.347402174085</v>
      </c>
      <c r="Y78" s="644">
        <f t="shared" si="140"/>
        <v>5.3957053422434456</v>
      </c>
      <c r="Z78" s="412">
        <f t="shared" ref="Z78:Z86" si="174">SUM(V78/12)</f>
        <v>58.978592293027368</v>
      </c>
      <c r="AA78" s="1013"/>
      <c r="AB78" s="412">
        <f t="shared" si="159"/>
        <v>58.978592293027368</v>
      </c>
      <c r="AC78" s="412">
        <f t="shared" si="160"/>
        <v>58.978592293027368</v>
      </c>
      <c r="AD78" s="636">
        <f t="shared" si="161"/>
        <v>176.93577687908211</v>
      </c>
      <c r="AE78" s="1020"/>
      <c r="AF78" s="1020"/>
      <c r="AG78" s="1020"/>
      <c r="AH78" s="1020"/>
      <c r="AI78" s="1020"/>
      <c r="AJ78" s="635">
        <f t="shared" si="162"/>
        <v>58.978592293027368</v>
      </c>
      <c r="AK78" s="635">
        <f t="shared" si="163"/>
        <v>58.978592293027368</v>
      </c>
      <c r="AL78" s="635">
        <f t="shared" si="164"/>
        <v>58.978592293027368</v>
      </c>
      <c r="AM78" s="636">
        <f t="shared" si="165"/>
        <v>176.93577687908211</v>
      </c>
      <c r="AN78" s="636">
        <f t="shared" si="153"/>
        <v>353.87155375816423</v>
      </c>
      <c r="AO78" s="635">
        <f t="shared" si="166"/>
        <v>58.978592293027368</v>
      </c>
      <c r="AP78" s="635">
        <f t="shared" si="167"/>
        <v>58.978592293027368</v>
      </c>
      <c r="AQ78" s="635">
        <f t="shared" si="168"/>
        <v>58.978592293027368</v>
      </c>
      <c r="AR78" s="636">
        <f t="shared" si="169"/>
        <v>176.93577687908211</v>
      </c>
      <c r="AS78" s="636">
        <f t="shared" si="155"/>
        <v>530.80733063724631</v>
      </c>
      <c r="AT78" s="4053"/>
      <c r="AU78" s="4053"/>
      <c r="AV78" s="4053"/>
      <c r="AW78" s="635">
        <f t="shared" si="170"/>
        <v>58.978592293027368</v>
      </c>
      <c r="AX78" s="635">
        <f t="shared" si="171"/>
        <v>58.978592293027368</v>
      </c>
      <c r="AY78" s="635">
        <f t="shared" si="172"/>
        <v>58.978592293027368</v>
      </c>
      <c r="AZ78" s="636">
        <f t="shared" si="173"/>
        <v>176.93577687908211</v>
      </c>
      <c r="BA78" s="642">
        <f t="shared" si="99"/>
        <v>707.74310751632856</v>
      </c>
    </row>
    <row r="79" spans="1:53" ht="18.75" hidden="1">
      <c r="A79" s="668" t="s">
        <v>639</v>
      </c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433"/>
      <c r="U79" s="433"/>
      <c r="V79" s="634">
        <f>SUM(V74*1.41%)</f>
        <v>102.35054170236134</v>
      </c>
      <c r="W79" s="640"/>
      <c r="X79" s="634">
        <f>SUM(V79*стоки!AK55/стоки!AI55)</f>
        <v>101.57023969902153</v>
      </c>
      <c r="Y79" s="644">
        <f t="shared" ref="Y79" si="175">SUM(V79-X79)</f>
        <v>0.7803020033398127</v>
      </c>
      <c r="Z79" s="412">
        <f t="shared" ref="Z79" si="176">SUM(V79/12)</f>
        <v>8.5292118085301123</v>
      </c>
      <c r="AA79" s="1013"/>
      <c r="AB79" s="412">
        <f t="shared" ref="AB79" si="177">SUM(Z79)</f>
        <v>8.5292118085301123</v>
      </c>
      <c r="AC79" s="412">
        <f t="shared" ref="AC79" si="178">SUM(Z79)</f>
        <v>8.5292118085301123</v>
      </c>
      <c r="AD79" s="636">
        <f t="shared" ref="AD79" si="179">SUM(Z79+AB79+AC79)</f>
        <v>25.587635425590335</v>
      </c>
      <c r="AE79" s="1020"/>
      <c r="AF79" s="1020"/>
      <c r="AG79" s="1020"/>
      <c r="AH79" s="1020"/>
      <c r="AI79" s="1020"/>
      <c r="AJ79" s="635">
        <f t="shared" ref="AJ79" si="180">SUM(Z79)</f>
        <v>8.5292118085301123</v>
      </c>
      <c r="AK79" s="635">
        <f t="shared" ref="AK79" si="181">SUM(Z79)</f>
        <v>8.5292118085301123</v>
      </c>
      <c r="AL79" s="635">
        <f t="shared" ref="AL79" si="182">SUM(Z79)</f>
        <v>8.5292118085301123</v>
      </c>
      <c r="AM79" s="636">
        <f t="shared" ref="AM79" si="183">SUM(AJ79+AK79+AL79)</f>
        <v>25.587635425590335</v>
      </c>
      <c r="AN79" s="636">
        <f t="shared" ref="AN79" si="184">SUM(AD79+AM79)</f>
        <v>51.17527085118067</v>
      </c>
      <c r="AO79" s="635">
        <f t="shared" ref="AO79" si="185">SUM(Z79)</f>
        <v>8.5292118085301123</v>
      </c>
      <c r="AP79" s="635">
        <f t="shared" ref="AP79" si="186">SUM(Z79)</f>
        <v>8.5292118085301123</v>
      </c>
      <c r="AQ79" s="635">
        <f t="shared" ref="AQ79" si="187">SUM(Z79)</f>
        <v>8.5292118085301123</v>
      </c>
      <c r="AR79" s="636">
        <f t="shared" ref="AR79" si="188">SUM(AO79+AP79+AQ79)</f>
        <v>25.587635425590335</v>
      </c>
      <c r="AS79" s="636">
        <f t="shared" ref="AS79" si="189">SUM(AN79+AR79)</f>
        <v>76.762906276771005</v>
      </c>
      <c r="AT79" s="4053"/>
      <c r="AU79" s="4053"/>
      <c r="AV79" s="4053"/>
      <c r="AW79" s="635">
        <f t="shared" ref="AW79" si="190">SUM(Z79)</f>
        <v>8.5292118085301123</v>
      </c>
      <c r="AX79" s="635">
        <f t="shared" ref="AX79" si="191">SUM(Z79)</f>
        <v>8.5292118085301123</v>
      </c>
      <c r="AY79" s="635">
        <f t="shared" ref="AY79" si="192">SUM(Z79)</f>
        <v>8.5292118085301123</v>
      </c>
      <c r="AZ79" s="636">
        <f t="shared" ref="AZ79" si="193">SUM(AW79+AX79+AY79)</f>
        <v>25.587635425590335</v>
      </c>
      <c r="BA79" s="642">
        <f t="shared" ref="BA79" si="194">SUM(AY79+AX79+AW79+AQ79+AP79+AO79+AL79+AK79+AJ79+AC79+AB79+Z79)</f>
        <v>102.35054170236133</v>
      </c>
    </row>
    <row r="80" spans="1:53" ht="18.75" hidden="1">
      <c r="A80" s="439" t="s">
        <v>605</v>
      </c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433"/>
      <c r="U80" s="433"/>
      <c r="V80" s="634">
        <f>SUM(V74*8.87%)</f>
        <v>643.86475524818798</v>
      </c>
      <c r="W80" s="640"/>
      <c r="X80" s="634">
        <f>SUM(V80*стоки!AK55/стоки!AI55)</f>
        <v>638.95604690093683</v>
      </c>
      <c r="Y80" s="644">
        <f t="shared" si="140"/>
        <v>4.9087083472511495</v>
      </c>
      <c r="Z80" s="412">
        <f t="shared" ref="Z80" si="195">SUM(V80/12)</f>
        <v>53.655396270682331</v>
      </c>
      <c r="AA80" s="1013"/>
      <c r="AB80" s="412">
        <f t="shared" ref="AB80" si="196">SUM(Z80)</f>
        <v>53.655396270682331</v>
      </c>
      <c r="AC80" s="412">
        <f t="shared" ref="AC80" si="197">SUM(Z80)</f>
        <v>53.655396270682331</v>
      </c>
      <c r="AD80" s="636">
        <f t="shared" si="161"/>
        <v>160.96618881204699</v>
      </c>
      <c r="AE80" s="1020"/>
      <c r="AF80" s="1020"/>
      <c r="AG80" s="1020"/>
      <c r="AH80" s="1020"/>
      <c r="AI80" s="1020"/>
      <c r="AJ80" s="635">
        <f t="shared" si="162"/>
        <v>53.655396270682331</v>
      </c>
      <c r="AK80" s="635">
        <f t="shared" si="163"/>
        <v>53.655396270682331</v>
      </c>
      <c r="AL80" s="635">
        <f t="shared" si="164"/>
        <v>53.655396270682331</v>
      </c>
      <c r="AM80" s="636">
        <f t="shared" si="165"/>
        <v>160.96618881204699</v>
      </c>
      <c r="AN80" s="636">
        <f t="shared" si="153"/>
        <v>321.93237762409399</v>
      </c>
      <c r="AO80" s="635">
        <f t="shared" si="166"/>
        <v>53.655396270682331</v>
      </c>
      <c r="AP80" s="635">
        <f t="shared" si="167"/>
        <v>53.655396270682331</v>
      </c>
      <c r="AQ80" s="635">
        <f t="shared" si="168"/>
        <v>53.655396270682331</v>
      </c>
      <c r="AR80" s="636">
        <f t="shared" si="169"/>
        <v>160.96618881204699</v>
      </c>
      <c r="AS80" s="636">
        <f t="shared" si="155"/>
        <v>482.89856643614098</v>
      </c>
      <c r="AT80" s="4053"/>
      <c r="AU80" s="4053"/>
      <c r="AV80" s="4053"/>
      <c r="AW80" s="635">
        <f t="shared" si="170"/>
        <v>53.655396270682331</v>
      </c>
      <c r="AX80" s="635">
        <f t="shared" si="171"/>
        <v>53.655396270682331</v>
      </c>
      <c r="AY80" s="635">
        <f t="shared" si="172"/>
        <v>53.655396270682331</v>
      </c>
      <c r="AZ80" s="636">
        <f t="shared" si="173"/>
        <v>160.96618881204699</v>
      </c>
      <c r="BA80" s="642">
        <f t="shared" si="99"/>
        <v>643.86475524818798</v>
      </c>
    </row>
    <row r="81" spans="1:53" ht="18.75" hidden="1">
      <c r="A81" s="439" t="s">
        <v>42</v>
      </c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433"/>
      <c r="U81" s="433"/>
      <c r="V81" s="634">
        <f>SUM(V74*0.56%)</f>
        <v>40.649860534271177</v>
      </c>
      <c r="W81" s="640"/>
      <c r="X81" s="634">
        <f>SUM(V81*стоки!AK55/стоки!AI55)</f>
        <v>40.339953355639764</v>
      </c>
      <c r="Y81" s="644">
        <f t="shared" si="140"/>
        <v>0.30990717863141271</v>
      </c>
      <c r="Z81" s="412">
        <f t="shared" si="174"/>
        <v>3.3874883778559313</v>
      </c>
      <c r="AA81" s="1013"/>
      <c r="AB81" s="412">
        <f t="shared" si="159"/>
        <v>3.3874883778559313</v>
      </c>
      <c r="AC81" s="412">
        <f t="shared" si="160"/>
        <v>3.3874883778559313</v>
      </c>
      <c r="AD81" s="636">
        <f t="shared" si="161"/>
        <v>10.162465133567794</v>
      </c>
      <c r="AE81" s="1020"/>
      <c r="AF81" s="1020"/>
      <c r="AG81" s="1020"/>
      <c r="AH81" s="1020"/>
      <c r="AI81" s="1020"/>
      <c r="AJ81" s="635">
        <f t="shared" si="162"/>
        <v>3.3874883778559313</v>
      </c>
      <c r="AK81" s="635">
        <f t="shared" si="163"/>
        <v>3.3874883778559313</v>
      </c>
      <c r="AL81" s="635">
        <f t="shared" si="164"/>
        <v>3.3874883778559313</v>
      </c>
      <c r="AM81" s="636">
        <f t="shared" si="165"/>
        <v>10.162465133567794</v>
      </c>
      <c r="AN81" s="636">
        <f t="shared" si="153"/>
        <v>20.324930267135588</v>
      </c>
      <c r="AO81" s="635">
        <f t="shared" si="166"/>
        <v>3.3874883778559313</v>
      </c>
      <c r="AP81" s="635">
        <f t="shared" si="167"/>
        <v>3.3874883778559313</v>
      </c>
      <c r="AQ81" s="635">
        <f t="shared" si="168"/>
        <v>3.3874883778559313</v>
      </c>
      <c r="AR81" s="636">
        <f t="shared" si="169"/>
        <v>10.162465133567794</v>
      </c>
      <c r="AS81" s="636">
        <f t="shared" si="155"/>
        <v>30.487395400703384</v>
      </c>
      <c r="AT81" s="4053"/>
      <c r="AU81" s="4053"/>
      <c r="AV81" s="4053"/>
      <c r="AW81" s="635">
        <f t="shared" si="170"/>
        <v>3.3874883778559313</v>
      </c>
      <c r="AX81" s="635">
        <f t="shared" si="171"/>
        <v>3.3874883778559313</v>
      </c>
      <c r="AY81" s="635">
        <f t="shared" si="172"/>
        <v>3.3874883778559313</v>
      </c>
      <c r="AZ81" s="636">
        <f t="shared" si="173"/>
        <v>10.162465133567794</v>
      </c>
      <c r="BA81" s="642">
        <f t="shared" si="99"/>
        <v>40.649860534271177</v>
      </c>
    </row>
    <row r="82" spans="1:53" ht="18.75" hidden="1">
      <c r="A82" s="671" t="s">
        <v>38</v>
      </c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433"/>
      <c r="U82" s="433"/>
      <c r="V82" s="673">
        <f>SUM(X82:Y82)</f>
        <v>0</v>
      </c>
      <c r="W82" s="640"/>
      <c r="X82" s="673">
        <f>SUM(AC34)</f>
        <v>0</v>
      </c>
      <c r="Y82" s="674">
        <f>SUM(X82)</f>
        <v>0</v>
      </c>
      <c r="Z82" s="412">
        <f t="shared" ref="Z82" si="198">SUM(V82/12)</f>
        <v>0</v>
      </c>
      <c r="AA82" s="1013"/>
      <c r="AB82" s="412">
        <f t="shared" ref="AB82" si="199">SUM(Z82)</f>
        <v>0</v>
      </c>
      <c r="AC82" s="412">
        <f t="shared" ref="AC82" si="200">SUM(Z82)</f>
        <v>0</v>
      </c>
      <c r="AD82" s="636">
        <f t="shared" si="161"/>
        <v>0</v>
      </c>
      <c r="AE82" s="1020"/>
      <c r="AF82" s="1020"/>
      <c r="AG82" s="1020"/>
      <c r="AH82" s="1020"/>
      <c r="AI82" s="1020"/>
      <c r="AJ82" s="635">
        <f t="shared" ref="AJ82" si="201">SUM(Z82)</f>
        <v>0</v>
      </c>
      <c r="AK82" s="635">
        <f t="shared" ref="AK82" si="202">SUM(Z82)</f>
        <v>0</v>
      </c>
      <c r="AL82" s="635">
        <f t="shared" ref="AL82" si="203">SUM(Z82)</f>
        <v>0</v>
      </c>
      <c r="AM82" s="636">
        <f t="shared" ref="AM82" si="204">SUM(AJ82+AK82+AL82)</f>
        <v>0</v>
      </c>
      <c r="AN82" s="636">
        <f t="shared" ref="AN82" si="205">SUM(AD82+AM82)</f>
        <v>0</v>
      </c>
      <c r="AO82" s="635">
        <f t="shared" ref="AO82" si="206">SUM(Z82)</f>
        <v>0</v>
      </c>
      <c r="AP82" s="635">
        <f t="shared" ref="AP82" si="207">SUM(Z82)</f>
        <v>0</v>
      </c>
      <c r="AQ82" s="635">
        <f t="shared" ref="AQ82" si="208">SUM(Z82)</f>
        <v>0</v>
      </c>
      <c r="AR82" s="636">
        <f t="shared" ref="AR82" si="209">SUM(AO82+AP82+AQ82)</f>
        <v>0</v>
      </c>
      <c r="AS82" s="636">
        <f t="shared" ref="AS82" si="210">SUM(AN82+AR82)</f>
        <v>0</v>
      </c>
      <c r="AT82" s="4053"/>
      <c r="AU82" s="4053"/>
      <c r="AV82" s="4053"/>
      <c r="AW82" s="635">
        <f t="shared" ref="AW82" si="211">SUM(Z82)</f>
        <v>0</v>
      </c>
      <c r="AX82" s="635">
        <f t="shared" ref="AX82" si="212">SUM(Z82)</f>
        <v>0</v>
      </c>
      <c r="AY82" s="635">
        <f t="shared" ref="AY82" si="213">SUM(Z82)</f>
        <v>0</v>
      </c>
      <c r="AZ82" s="636">
        <f t="shared" ref="AZ82" si="214">SUM(AW82+AX82+AY82)</f>
        <v>0</v>
      </c>
      <c r="BA82" s="642">
        <f t="shared" ref="BA82" si="215">SUM(AY82+AX82+AW82+AQ82+AP82+AO82+AL82+AK82+AJ82+AC82+AB82+Z82)</f>
        <v>0</v>
      </c>
    </row>
    <row r="83" spans="1:53" ht="18.75" hidden="1">
      <c r="A83" s="439" t="s">
        <v>607</v>
      </c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433"/>
      <c r="U83" s="433"/>
      <c r="V83" s="634">
        <f>SUM(V74*1.45%)</f>
        <v>105.25410316909499</v>
      </c>
      <c r="W83" s="640"/>
      <c r="X83" s="634">
        <f>SUM(V83*стоки!AK55/стоки!AI55)</f>
        <v>104.45166493871008</v>
      </c>
      <c r="Y83" s="644">
        <f t="shared" si="140"/>
        <v>0.80243823038490802</v>
      </c>
      <c r="Z83" s="412">
        <f t="shared" si="174"/>
        <v>8.7711752640912497</v>
      </c>
      <c r="AA83" s="1013"/>
      <c r="AB83" s="412">
        <f t="shared" si="159"/>
        <v>8.7711752640912497</v>
      </c>
      <c r="AC83" s="412">
        <f t="shared" si="160"/>
        <v>8.7711752640912497</v>
      </c>
      <c r="AD83" s="636">
        <f t="shared" si="161"/>
        <v>26.313525792273751</v>
      </c>
      <c r="AE83" s="1020"/>
      <c r="AF83" s="1020"/>
      <c r="AG83" s="1020"/>
      <c r="AH83" s="1020"/>
      <c r="AI83" s="1020"/>
      <c r="AJ83" s="635">
        <f t="shared" si="162"/>
        <v>8.7711752640912497</v>
      </c>
      <c r="AK83" s="635">
        <f t="shared" si="163"/>
        <v>8.7711752640912497</v>
      </c>
      <c r="AL83" s="635">
        <f t="shared" si="164"/>
        <v>8.7711752640912497</v>
      </c>
      <c r="AM83" s="636">
        <f t="shared" si="165"/>
        <v>26.313525792273751</v>
      </c>
      <c r="AN83" s="636">
        <f t="shared" si="153"/>
        <v>52.627051584547502</v>
      </c>
      <c r="AO83" s="635">
        <f t="shared" si="166"/>
        <v>8.7711752640912497</v>
      </c>
      <c r="AP83" s="635">
        <f t="shared" si="167"/>
        <v>8.7711752640912497</v>
      </c>
      <c r="AQ83" s="635">
        <f t="shared" si="168"/>
        <v>8.7711752640912497</v>
      </c>
      <c r="AR83" s="636">
        <f t="shared" si="169"/>
        <v>26.313525792273751</v>
      </c>
      <c r="AS83" s="636">
        <f t="shared" si="155"/>
        <v>78.940577376821253</v>
      </c>
      <c r="AT83" s="4053"/>
      <c r="AU83" s="4053"/>
      <c r="AV83" s="4053"/>
      <c r="AW83" s="635">
        <f t="shared" si="170"/>
        <v>8.7711752640912497</v>
      </c>
      <c r="AX83" s="635">
        <f t="shared" si="171"/>
        <v>8.7711752640912497</v>
      </c>
      <c r="AY83" s="635">
        <f t="shared" si="172"/>
        <v>8.7711752640912497</v>
      </c>
      <c r="AZ83" s="636">
        <f t="shared" si="173"/>
        <v>26.313525792273751</v>
      </c>
      <c r="BA83" s="642">
        <f t="shared" si="99"/>
        <v>105.25410316909502</v>
      </c>
    </row>
    <row r="84" spans="1:53" ht="18.75" hidden="1">
      <c r="A84" s="439" t="s">
        <v>98</v>
      </c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433"/>
      <c r="U84" s="433"/>
      <c r="V84" s="634">
        <f>SUM(V74*1.28%)</f>
        <v>92.913966935476964</v>
      </c>
      <c r="W84" s="640"/>
      <c r="X84" s="634">
        <f>SUM(V84*стоки!AK55/стоки!AI55)</f>
        <v>92.205607670033729</v>
      </c>
      <c r="Y84" s="644">
        <f t="shared" si="140"/>
        <v>0.70835926544323513</v>
      </c>
      <c r="Z84" s="412">
        <f t="shared" si="174"/>
        <v>7.7428305779564139</v>
      </c>
      <c r="AA84" s="1013"/>
      <c r="AB84" s="412">
        <f t="shared" si="159"/>
        <v>7.7428305779564139</v>
      </c>
      <c r="AC84" s="412">
        <f t="shared" si="160"/>
        <v>7.7428305779564139</v>
      </c>
      <c r="AD84" s="636">
        <f t="shared" si="161"/>
        <v>23.228491733869241</v>
      </c>
      <c r="AE84" s="1020"/>
      <c r="AF84" s="1020"/>
      <c r="AG84" s="1020"/>
      <c r="AH84" s="1020"/>
      <c r="AI84" s="1020"/>
      <c r="AJ84" s="635">
        <f t="shared" si="162"/>
        <v>7.7428305779564139</v>
      </c>
      <c r="AK84" s="635">
        <f t="shared" si="163"/>
        <v>7.7428305779564139</v>
      </c>
      <c r="AL84" s="635">
        <f t="shared" si="164"/>
        <v>7.7428305779564139</v>
      </c>
      <c r="AM84" s="636">
        <f t="shared" si="165"/>
        <v>23.228491733869241</v>
      </c>
      <c r="AN84" s="636">
        <f t="shared" si="153"/>
        <v>46.456983467738482</v>
      </c>
      <c r="AO84" s="635">
        <f t="shared" si="166"/>
        <v>7.7428305779564139</v>
      </c>
      <c r="AP84" s="635">
        <f t="shared" si="167"/>
        <v>7.7428305779564139</v>
      </c>
      <c r="AQ84" s="635">
        <f t="shared" si="168"/>
        <v>7.7428305779564139</v>
      </c>
      <c r="AR84" s="636">
        <f t="shared" si="169"/>
        <v>23.228491733869241</v>
      </c>
      <c r="AS84" s="636">
        <f t="shared" si="155"/>
        <v>69.685475201607716</v>
      </c>
      <c r="AT84" s="4053"/>
      <c r="AU84" s="4053"/>
      <c r="AV84" s="4053"/>
      <c r="AW84" s="635">
        <f t="shared" si="170"/>
        <v>7.7428305779564139</v>
      </c>
      <c r="AX84" s="635">
        <f t="shared" si="171"/>
        <v>7.7428305779564139</v>
      </c>
      <c r="AY84" s="635">
        <f t="shared" si="172"/>
        <v>7.7428305779564139</v>
      </c>
      <c r="AZ84" s="636">
        <f t="shared" si="173"/>
        <v>23.228491733869241</v>
      </c>
      <c r="BA84" s="642">
        <f t="shared" si="99"/>
        <v>92.91396693547695</v>
      </c>
    </row>
    <row r="85" spans="1:53" ht="18.75" hidden="1">
      <c r="A85" s="439" t="s">
        <v>608</v>
      </c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433"/>
      <c r="U85" s="433"/>
      <c r="V85" s="634">
        <f>SUM(V74*0.97%)</f>
        <v>70.411365568291131</v>
      </c>
      <c r="W85" s="640"/>
      <c r="X85" s="634">
        <f>SUM(V85*стоки!AK55/стоки!AI55)</f>
        <v>69.874562062447424</v>
      </c>
      <c r="Y85" s="644">
        <f t="shared" si="140"/>
        <v>0.53680350584370728</v>
      </c>
      <c r="Z85" s="412">
        <f t="shared" si="174"/>
        <v>5.8676137973575946</v>
      </c>
      <c r="AA85" s="1013"/>
      <c r="AB85" s="412">
        <f t="shared" si="159"/>
        <v>5.8676137973575946</v>
      </c>
      <c r="AC85" s="412">
        <f t="shared" si="160"/>
        <v>5.8676137973575946</v>
      </c>
      <c r="AD85" s="636">
        <f t="shared" si="161"/>
        <v>17.602841392072783</v>
      </c>
      <c r="AE85" s="1020"/>
      <c r="AF85" s="1020"/>
      <c r="AG85" s="1020"/>
      <c r="AH85" s="1020"/>
      <c r="AI85" s="1020"/>
      <c r="AJ85" s="635">
        <f t="shared" si="162"/>
        <v>5.8676137973575946</v>
      </c>
      <c r="AK85" s="635">
        <f t="shared" si="163"/>
        <v>5.8676137973575946</v>
      </c>
      <c r="AL85" s="635">
        <f t="shared" si="164"/>
        <v>5.8676137973575946</v>
      </c>
      <c r="AM85" s="636">
        <f t="shared" si="165"/>
        <v>17.602841392072783</v>
      </c>
      <c r="AN85" s="636">
        <f t="shared" si="153"/>
        <v>35.205682784145566</v>
      </c>
      <c r="AO85" s="635">
        <f t="shared" si="166"/>
        <v>5.8676137973575946</v>
      </c>
      <c r="AP85" s="635">
        <f t="shared" si="167"/>
        <v>5.8676137973575946</v>
      </c>
      <c r="AQ85" s="635">
        <f t="shared" si="168"/>
        <v>5.8676137973575946</v>
      </c>
      <c r="AR85" s="636">
        <f t="shared" si="169"/>
        <v>17.602841392072783</v>
      </c>
      <c r="AS85" s="636">
        <f t="shared" si="155"/>
        <v>52.808524176218349</v>
      </c>
      <c r="AT85" s="4053"/>
      <c r="AU85" s="4053"/>
      <c r="AV85" s="4053"/>
      <c r="AW85" s="635">
        <f t="shared" si="170"/>
        <v>5.8676137973575946</v>
      </c>
      <c r="AX85" s="635">
        <f t="shared" si="171"/>
        <v>5.8676137973575946</v>
      </c>
      <c r="AY85" s="635">
        <f t="shared" si="172"/>
        <v>5.8676137973575946</v>
      </c>
      <c r="AZ85" s="636">
        <f t="shared" si="173"/>
        <v>17.602841392072783</v>
      </c>
      <c r="BA85" s="642">
        <f t="shared" si="99"/>
        <v>70.411365568291117</v>
      </c>
    </row>
    <row r="86" spans="1:53" ht="18.75" hidden="1">
      <c r="A86" s="439" t="s">
        <v>611</v>
      </c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433"/>
      <c r="U86" s="433"/>
      <c r="V86" s="634">
        <f>SUM(V74*0.39%)</f>
        <v>28.309724300653141</v>
      </c>
      <c r="W86" s="640"/>
      <c r="X86" s="634">
        <f>SUM(V86*стоки!AK55/стоки!AI55)</f>
        <v>28.093896086963408</v>
      </c>
      <c r="Y86" s="644">
        <f t="shared" si="140"/>
        <v>0.21582821368973271</v>
      </c>
      <c r="Z86" s="412">
        <f t="shared" si="174"/>
        <v>2.3591436917210951</v>
      </c>
      <c r="AA86" s="1013"/>
      <c r="AB86" s="412">
        <f t="shared" si="159"/>
        <v>2.3591436917210951</v>
      </c>
      <c r="AC86" s="412">
        <f t="shared" si="160"/>
        <v>2.3591436917210951</v>
      </c>
      <c r="AD86" s="636">
        <f t="shared" si="161"/>
        <v>7.0774310751632852</v>
      </c>
      <c r="AE86" s="1020"/>
      <c r="AF86" s="1020"/>
      <c r="AG86" s="1020"/>
      <c r="AH86" s="1020"/>
      <c r="AI86" s="1020"/>
      <c r="AJ86" s="635">
        <f t="shared" si="162"/>
        <v>2.3591436917210951</v>
      </c>
      <c r="AK86" s="635">
        <f t="shared" si="163"/>
        <v>2.3591436917210951</v>
      </c>
      <c r="AL86" s="635">
        <f t="shared" si="164"/>
        <v>2.3591436917210951</v>
      </c>
      <c r="AM86" s="636">
        <f t="shared" si="165"/>
        <v>7.0774310751632852</v>
      </c>
      <c r="AN86" s="636">
        <f t="shared" si="153"/>
        <v>14.15486215032657</v>
      </c>
      <c r="AO86" s="635">
        <f t="shared" si="166"/>
        <v>2.3591436917210951</v>
      </c>
      <c r="AP86" s="635">
        <f t="shared" si="167"/>
        <v>2.3591436917210951</v>
      </c>
      <c r="AQ86" s="635">
        <f t="shared" si="168"/>
        <v>2.3591436917210951</v>
      </c>
      <c r="AR86" s="636">
        <f t="shared" si="169"/>
        <v>7.0774310751632852</v>
      </c>
      <c r="AS86" s="636">
        <f t="shared" si="155"/>
        <v>21.232293225489855</v>
      </c>
      <c r="AT86" s="4053"/>
      <c r="AU86" s="4053"/>
      <c r="AV86" s="4053"/>
      <c r="AW86" s="635">
        <f t="shared" si="170"/>
        <v>2.3591436917210951</v>
      </c>
      <c r="AX86" s="635">
        <f t="shared" si="171"/>
        <v>2.3591436917210951</v>
      </c>
      <c r="AY86" s="635">
        <f t="shared" si="172"/>
        <v>2.3591436917210951</v>
      </c>
      <c r="AZ86" s="636">
        <f t="shared" si="173"/>
        <v>7.0774310751632852</v>
      </c>
      <c r="BA86" s="642">
        <f t="shared" si="99"/>
        <v>28.309724300653134</v>
      </c>
    </row>
    <row r="87" spans="1:53" ht="18.75" hidden="1">
      <c r="A87" s="439" t="s">
        <v>615</v>
      </c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433"/>
      <c r="U87" s="433"/>
      <c r="V87" s="641">
        <v>0</v>
      </c>
      <c r="W87" s="646"/>
      <c r="X87" s="634">
        <f>SUM(V87*стоки!AK55/стоки!AI55)</f>
        <v>0</v>
      </c>
      <c r="Y87" s="644">
        <f t="shared" si="140"/>
        <v>0</v>
      </c>
      <c r="Z87" s="413">
        <f t="shared" ref="Z87:Z88" si="216">SUM(V87/12)</f>
        <v>0</v>
      </c>
      <c r="AA87" s="1014"/>
      <c r="AB87" s="413">
        <f t="shared" si="159"/>
        <v>0</v>
      </c>
      <c r="AC87" s="413">
        <f t="shared" si="160"/>
        <v>0</v>
      </c>
      <c r="AD87" s="647">
        <f t="shared" si="161"/>
        <v>0</v>
      </c>
      <c r="AE87" s="1021"/>
      <c r="AF87" s="1021"/>
      <c r="AG87" s="1021"/>
      <c r="AH87" s="1021"/>
      <c r="AI87" s="1021"/>
      <c r="AJ87" s="648">
        <f t="shared" si="162"/>
        <v>0</v>
      </c>
      <c r="AK87" s="648">
        <f t="shared" si="163"/>
        <v>0</v>
      </c>
      <c r="AL87" s="648">
        <f t="shared" si="164"/>
        <v>0</v>
      </c>
      <c r="AM87" s="647">
        <f t="shared" si="165"/>
        <v>0</v>
      </c>
      <c r="AN87" s="647">
        <f t="shared" si="153"/>
        <v>0</v>
      </c>
      <c r="AO87" s="648">
        <f t="shared" si="166"/>
        <v>0</v>
      </c>
      <c r="AP87" s="648">
        <f t="shared" si="167"/>
        <v>0</v>
      </c>
      <c r="AQ87" s="648">
        <f t="shared" si="168"/>
        <v>0</v>
      </c>
      <c r="AR87" s="647">
        <f t="shared" si="169"/>
        <v>0</v>
      </c>
      <c r="AS87" s="647">
        <f t="shared" si="155"/>
        <v>0</v>
      </c>
      <c r="AT87" s="4064"/>
      <c r="AU87" s="4064"/>
      <c r="AV87" s="4064"/>
      <c r="AW87" s="648">
        <f t="shared" si="170"/>
        <v>0</v>
      </c>
      <c r="AX87" s="648">
        <f t="shared" si="171"/>
        <v>0</v>
      </c>
      <c r="AY87" s="648">
        <f t="shared" si="172"/>
        <v>0</v>
      </c>
      <c r="AZ87" s="647">
        <f t="shared" si="173"/>
        <v>0</v>
      </c>
      <c r="BA87" s="649">
        <f t="shared" si="99"/>
        <v>0</v>
      </c>
    </row>
    <row r="88" spans="1:53" ht="18.75" hidden="1">
      <c r="A88" s="439" t="s">
        <v>612</v>
      </c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433"/>
      <c r="U88" s="433"/>
      <c r="V88" s="641">
        <v>0</v>
      </c>
      <c r="W88" s="646"/>
      <c r="X88" s="634">
        <f>SUM(V88*стоки!AK55/стоки!AI55)</f>
        <v>0</v>
      </c>
      <c r="Y88" s="644">
        <f t="shared" si="140"/>
        <v>0</v>
      </c>
      <c r="Z88" s="413">
        <f t="shared" si="216"/>
        <v>0</v>
      </c>
      <c r="AA88" s="1014"/>
      <c r="AB88" s="413">
        <f t="shared" si="159"/>
        <v>0</v>
      </c>
      <c r="AC88" s="413">
        <f t="shared" si="160"/>
        <v>0</v>
      </c>
      <c r="AD88" s="647">
        <f t="shared" si="161"/>
        <v>0</v>
      </c>
      <c r="AE88" s="1021"/>
      <c r="AF88" s="1021"/>
      <c r="AG88" s="1021"/>
      <c r="AH88" s="1021"/>
      <c r="AI88" s="1021"/>
      <c r="AJ88" s="648">
        <f t="shared" si="162"/>
        <v>0</v>
      </c>
      <c r="AK88" s="648">
        <f t="shared" si="163"/>
        <v>0</v>
      </c>
      <c r="AL88" s="648">
        <f t="shared" si="164"/>
        <v>0</v>
      </c>
      <c r="AM88" s="647">
        <f t="shared" si="165"/>
        <v>0</v>
      </c>
      <c r="AN88" s="647">
        <f t="shared" si="153"/>
        <v>0</v>
      </c>
      <c r="AO88" s="648">
        <f t="shared" si="166"/>
        <v>0</v>
      </c>
      <c r="AP88" s="648">
        <f t="shared" si="167"/>
        <v>0</v>
      </c>
      <c r="AQ88" s="648">
        <f t="shared" si="168"/>
        <v>0</v>
      </c>
      <c r="AR88" s="647">
        <f t="shared" si="169"/>
        <v>0</v>
      </c>
      <c r="AS88" s="647">
        <f t="shared" si="155"/>
        <v>0</v>
      </c>
      <c r="AT88" s="4064"/>
      <c r="AU88" s="4064"/>
      <c r="AV88" s="4064"/>
      <c r="AW88" s="648">
        <f t="shared" si="170"/>
        <v>0</v>
      </c>
      <c r="AX88" s="648">
        <f t="shared" si="171"/>
        <v>0</v>
      </c>
      <c r="AY88" s="648">
        <f t="shared" si="172"/>
        <v>0</v>
      </c>
      <c r="AZ88" s="647">
        <f t="shared" si="173"/>
        <v>0</v>
      </c>
      <c r="BA88" s="649">
        <f t="shared" si="99"/>
        <v>0</v>
      </c>
    </row>
    <row r="89" spans="1:53" ht="18.75" hidden="1">
      <c r="A89" s="439" t="s">
        <v>32</v>
      </c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433"/>
      <c r="U89" s="433"/>
      <c r="V89" s="634">
        <f>SUM(V74*0.29%)</f>
        <v>21.050820633818997</v>
      </c>
      <c r="W89" s="640"/>
      <c r="X89" s="634">
        <f>SUM(V89*стоки!AK55/стоки!AI55)</f>
        <v>20.890332987742013</v>
      </c>
      <c r="Y89" s="644">
        <f t="shared" si="140"/>
        <v>0.16048764607698374</v>
      </c>
      <c r="Z89" s="412">
        <f t="shared" ref="Z89" si="217">SUM(V89/12)</f>
        <v>1.7542350528182498</v>
      </c>
      <c r="AA89" s="1013"/>
      <c r="AB89" s="412">
        <f t="shared" si="159"/>
        <v>1.7542350528182498</v>
      </c>
      <c r="AC89" s="412">
        <f t="shared" si="160"/>
        <v>1.7542350528182498</v>
      </c>
      <c r="AD89" s="636">
        <f t="shared" si="161"/>
        <v>5.2627051584547493</v>
      </c>
      <c r="AE89" s="1020"/>
      <c r="AF89" s="1020"/>
      <c r="AG89" s="1020"/>
      <c r="AH89" s="1020"/>
      <c r="AI89" s="1020"/>
      <c r="AJ89" s="635">
        <f t="shared" si="162"/>
        <v>1.7542350528182498</v>
      </c>
      <c r="AK89" s="635">
        <f t="shared" si="163"/>
        <v>1.7542350528182498</v>
      </c>
      <c r="AL89" s="635">
        <f t="shared" si="164"/>
        <v>1.7542350528182498</v>
      </c>
      <c r="AM89" s="636">
        <f t="shared" si="165"/>
        <v>5.2627051584547493</v>
      </c>
      <c r="AN89" s="636">
        <f t="shared" si="95"/>
        <v>10.525410316909499</v>
      </c>
      <c r="AO89" s="635">
        <f t="shared" si="166"/>
        <v>1.7542350528182498</v>
      </c>
      <c r="AP89" s="635">
        <f t="shared" si="167"/>
        <v>1.7542350528182498</v>
      </c>
      <c r="AQ89" s="635">
        <f t="shared" si="168"/>
        <v>1.7542350528182498</v>
      </c>
      <c r="AR89" s="636">
        <f t="shared" si="169"/>
        <v>5.2627051584547493</v>
      </c>
      <c r="AS89" s="636">
        <f t="shared" si="97"/>
        <v>15.788115475364247</v>
      </c>
      <c r="AT89" s="4053"/>
      <c r="AU89" s="4053"/>
      <c r="AV89" s="4053"/>
      <c r="AW89" s="635">
        <f t="shared" si="170"/>
        <v>1.7542350528182498</v>
      </c>
      <c r="AX89" s="635">
        <f t="shared" si="171"/>
        <v>1.7542350528182498</v>
      </c>
      <c r="AY89" s="635">
        <f t="shared" si="172"/>
        <v>1.7542350528182498</v>
      </c>
      <c r="AZ89" s="636">
        <f t="shared" si="173"/>
        <v>5.2627051584547493</v>
      </c>
      <c r="BA89" s="642">
        <f t="shared" si="99"/>
        <v>21.05082063381899</v>
      </c>
    </row>
    <row r="90" spans="1:53" ht="18.75" hidden="1">
      <c r="A90" s="439" t="s">
        <v>606</v>
      </c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433"/>
      <c r="U90" s="433"/>
      <c r="V90" s="634">
        <f>SUM(V91:V94)</f>
        <v>556.03202087949489</v>
      </c>
      <c r="W90" s="640"/>
      <c r="X90" s="634">
        <f>SUM(X91:X94)</f>
        <v>551.79293340035815</v>
      </c>
      <c r="Y90" s="634">
        <f>SUM(Y91:Y94)</f>
        <v>4.23908747913684</v>
      </c>
      <c r="Z90" s="411">
        <f t="shared" ref="Z90:AC90" si="218">SUM(Z91:Z94)</f>
        <v>80.25709855849864</v>
      </c>
      <c r="AA90" s="1015"/>
      <c r="AB90" s="411">
        <f t="shared" si="218"/>
        <v>70.701197480449366</v>
      </c>
      <c r="AC90" s="411">
        <f t="shared" si="218"/>
        <v>66.562771462315453</v>
      </c>
      <c r="AD90" s="636">
        <f t="shared" si="93"/>
        <v>217.52106750126345</v>
      </c>
      <c r="AE90" s="1020"/>
      <c r="AF90" s="1020"/>
      <c r="AG90" s="1020"/>
      <c r="AH90" s="1020"/>
      <c r="AI90" s="1020"/>
      <c r="AJ90" s="411">
        <f t="shared" ref="AJ90:AL90" si="219">SUM(AJ91:AJ94)</f>
        <v>52.125412986369064</v>
      </c>
      <c r="AK90" s="411">
        <f t="shared" si="219"/>
        <v>22.906905396078344</v>
      </c>
      <c r="AL90" s="411">
        <f t="shared" si="219"/>
        <v>13.912898694765433</v>
      </c>
      <c r="AM90" s="636">
        <f t="shared" si="94"/>
        <v>88.945217077212845</v>
      </c>
      <c r="AN90" s="636">
        <f t="shared" si="95"/>
        <v>306.46628457847629</v>
      </c>
      <c r="AO90" s="411">
        <f t="shared" ref="AO90:AQ90" si="220">SUM(AO91:AO94)</f>
        <v>13.912898694765433</v>
      </c>
      <c r="AP90" s="411">
        <f t="shared" si="220"/>
        <v>13.912898694765433</v>
      </c>
      <c r="AQ90" s="411">
        <f t="shared" si="220"/>
        <v>29.919014517130307</v>
      </c>
      <c r="AR90" s="636">
        <f t="shared" si="96"/>
        <v>57.74481190666117</v>
      </c>
      <c r="AS90" s="636">
        <f t="shared" si="97"/>
        <v>364.21109648513743</v>
      </c>
      <c r="AT90" s="4053"/>
      <c r="AU90" s="4053"/>
      <c r="AV90" s="4053"/>
      <c r="AW90" s="411">
        <f t="shared" ref="AW90:AY90" si="221">SUM(AW91:AW94)</f>
        <v>53.257999822845946</v>
      </c>
      <c r="AX90" s="411">
        <f t="shared" si="221"/>
        <v>63.387365865784112</v>
      </c>
      <c r="AY90" s="411">
        <f t="shared" si="221"/>
        <v>75.175558705727454</v>
      </c>
      <c r="AZ90" s="636">
        <f t="shared" si="98"/>
        <v>191.82092439435752</v>
      </c>
      <c r="BA90" s="642">
        <f t="shared" si="99"/>
        <v>556.03202087949501</v>
      </c>
    </row>
    <row r="91" spans="1:53" ht="18.75" hidden="1">
      <c r="A91" s="429" t="s">
        <v>651</v>
      </c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433"/>
      <c r="U91" s="433"/>
      <c r="V91" s="634">
        <f>SUM(V74*5.36%)</f>
        <v>389.07723654230978</v>
      </c>
      <c r="W91" s="640"/>
      <c r="X91" s="634">
        <f>SUM(V91*стоки!AK55/стоки!AI55)</f>
        <v>386.11098211826624</v>
      </c>
      <c r="Y91" s="644">
        <f t="shared" si="140"/>
        <v>2.9662544240435409</v>
      </c>
      <c r="Z91" s="412">
        <f>SUM(V91/2094.54)/(1+(101%*100-100)/2/100)*358.94</f>
        <v>66.344199863733209</v>
      </c>
      <c r="AA91" s="1013"/>
      <c r="AB91" s="412">
        <f>SUM(V91/2094.54)/(1+(101%*100-100)/2/100)*307.24</f>
        <v>56.788298785683942</v>
      </c>
      <c r="AC91" s="412">
        <f>SUM(V91/2094.54)/(1+(101%*100-100)/2/100)*284.85</f>
        <v>52.649872767550029</v>
      </c>
      <c r="AD91" s="636">
        <f t="shared" si="93"/>
        <v>175.78237141696718</v>
      </c>
      <c r="AE91" s="1020"/>
      <c r="AF91" s="1020"/>
      <c r="AG91" s="1020"/>
      <c r="AH91" s="1020"/>
      <c r="AI91" s="1020"/>
      <c r="AJ91" s="412">
        <f>SUM(V91/2094.54)/(1+(101%*100-100)/2/100)*206.74</f>
        <v>38.212514291603625</v>
      </c>
      <c r="AK91" s="412">
        <f>SUM(V91/2094.54)/(1+(101%*100-100)/2/100)*48.66</f>
        <v>8.9940067013129159</v>
      </c>
      <c r="AL91" s="412">
        <v>0</v>
      </c>
      <c r="AM91" s="636">
        <f t="shared" si="94"/>
        <v>47.206520992916538</v>
      </c>
      <c r="AN91" s="636">
        <f t="shared" si="95"/>
        <v>222.9888924098837</v>
      </c>
      <c r="AO91" s="412">
        <v>0</v>
      </c>
      <c r="AP91" s="412">
        <v>0</v>
      </c>
      <c r="AQ91" s="412">
        <f>SUM(V91/2094.54)/(1+(101%*100-100)/2/100)*101%*85.74</f>
        <v>16.00611582236488</v>
      </c>
      <c r="AR91" s="636">
        <f t="shared" si="96"/>
        <v>16.00611582236488</v>
      </c>
      <c r="AS91" s="636">
        <f t="shared" si="97"/>
        <v>238.99500823224858</v>
      </c>
      <c r="AT91" s="4053"/>
      <c r="AU91" s="4053"/>
      <c r="AV91" s="4053"/>
      <c r="AW91" s="412">
        <f>SUM(V91/2094.54)/(1+(101%*100-100)/2/100)*101%*210.76</f>
        <v>39.345101128080508</v>
      </c>
      <c r="AX91" s="412">
        <f>SUM(V91/2094.54)/(1+(101%*100-100)/2/100)*101%*265.02</f>
        <v>49.474467171018674</v>
      </c>
      <c r="AY91" s="412">
        <f>SUM(V91-AS91-AW91-AX91)</f>
        <v>61.262660010962023</v>
      </c>
      <c r="AZ91" s="636">
        <f t="shared" si="98"/>
        <v>150.08222831006123</v>
      </c>
      <c r="BA91" s="642">
        <f t="shared" si="99"/>
        <v>389.07723654230978</v>
      </c>
    </row>
    <row r="92" spans="1:53" ht="18.75" hidden="1">
      <c r="A92" s="429" t="s">
        <v>564</v>
      </c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433"/>
      <c r="U92" s="433"/>
      <c r="V92" s="634">
        <f>SUM(V74*1.89%)</f>
        <v>137.19327930316521</v>
      </c>
      <c r="W92" s="640"/>
      <c r="X92" s="634">
        <f>SUM(V92*стоки!AK55/стоки!AI55)</f>
        <v>136.1473425752842</v>
      </c>
      <c r="Y92" s="644">
        <f t="shared" si="140"/>
        <v>1.0459367278810134</v>
      </c>
      <c r="Z92" s="412">
        <f t="shared" ref="Z92:Z94" si="222">SUM(V92/12)</f>
        <v>11.432773275263768</v>
      </c>
      <c r="AA92" s="1013"/>
      <c r="AB92" s="412">
        <f t="shared" ref="AB92:AB94" si="223">SUM(Z92)</f>
        <v>11.432773275263768</v>
      </c>
      <c r="AC92" s="412">
        <f t="shared" ref="AC92:AC94" si="224">SUM(Z92)</f>
        <v>11.432773275263768</v>
      </c>
      <c r="AD92" s="636">
        <f t="shared" ref="AD92:AD94" si="225">SUM(Z92+AB92+AC92)</f>
        <v>34.298319825791303</v>
      </c>
      <c r="AE92" s="1020"/>
      <c r="AF92" s="1020"/>
      <c r="AG92" s="1020"/>
      <c r="AH92" s="1020"/>
      <c r="AI92" s="1020"/>
      <c r="AJ92" s="635">
        <f t="shared" ref="AJ92:AJ94" si="226">SUM(Z92)</f>
        <v>11.432773275263768</v>
      </c>
      <c r="AK92" s="635">
        <f t="shared" ref="AK92:AK94" si="227">SUM(Z92)</f>
        <v>11.432773275263768</v>
      </c>
      <c r="AL92" s="635">
        <f t="shared" ref="AL92:AL94" si="228">SUM(Z92)</f>
        <v>11.432773275263768</v>
      </c>
      <c r="AM92" s="636">
        <f t="shared" ref="AM92:AM94" si="229">SUM(AJ92+AK92+AL92)</f>
        <v>34.298319825791303</v>
      </c>
      <c r="AN92" s="636">
        <f t="shared" si="95"/>
        <v>68.596639651582606</v>
      </c>
      <c r="AO92" s="635">
        <f t="shared" ref="AO92:AO94" si="230">SUM(Z92)</f>
        <v>11.432773275263768</v>
      </c>
      <c r="AP92" s="635">
        <f t="shared" ref="AP92:AP94" si="231">SUM(Z92)</f>
        <v>11.432773275263768</v>
      </c>
      <c r="AQ92" s="635">
        <f t="shared" ref="AQ92:AQ94" si="232">SUM(Z92)</f>
        <v>11.432773275263768</v>
      </c>
      <c r="AR92" s="636">
        <f t="shared" ref="AR92:AR94" si="233">SUM(AO92+AP92+AQ92)</f>
        <v>34.298319825791303</v>
      </c>
      <c r="AS92" s="636">
        <f t="shared" si="97"/>
        <v>102.8949594773739</v>
      </c>
      <c r="AT92" s="4053"/>
      <c r="AU92" s="4053"/>
      <c r="AV92" s="4053"/>
      <c r="AW92" s="635">
        <f t="shared" ref="AW92:AW94" si="234">SUM(Z92)</f>
        <v>11.432773275263768</v>
      </c>
      <c r="AX92" s="635">
        <f t="shared" ref="AX92:AX94" si="235">SUM(Z92)</f>
        <v>11.432773275263768</v>
      </c>
      <c r="AY92" s="635">
        <f t="shared" ref="AY92:AY94" si="236">SUM(Z92)</f>
        <v>11.432773275263768</v>
      </c>
      <c r="AZ92" s="636">
        <f t="shared" ref="AZ92:AZ94" si="237">SUM(AW92+AX92+AY92)</f>
        <v>34.298319825791303</v>
      </c>
      <c r="BA92" s="642">
        <f t="shared" si="99"/>
        <v>137.19327930316521</v>
      </c>
    </row>
    <row r="93" spans="1:53" ht="18.75" hidden="1">
      <c r="A93" s="429" t="s">
        <v>563</v>
      </c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433"/>
      <c r="U93" s="433"/>
      <c r="V93" s="634">
        <f>SUM(V74*0.01%)</f>
        <v>0.72589036668341378</v>
      </c>
      <c r="W93" s="640"/>
      <c r="X93" s="634">
        <f>SUM(V93*стоки!AK55/стоки!AI55)</f>
        <v>0.7203563099221385</v>
      </c>
      <c r="Y93" s="644">
        <f t="shared" si="140"/>
        <v>5.5340567612752745E-3</v>
      </c>
      <c r="Z93" s="412">
        <f t="shared" si="222"/>
        <v>6.0490863890284484E-2</v>
      </c>
      <c r="AA93" s="1013"/>
      <c r="AB93" s="412">
        <f t="shared" si="223"/>
        <v>6.0490863890284484E-2</v>
      </c>
      <c r="AC93" s="412">
        <f t="shared" si="224"/>
        <v>6.0490863890284484E-2</v>
      </c>
      <c r="AD93" s="636">
        <f t="shared" si="225"/>
        <v>0.18147259167085344</v>
      </c>
      <c r="AE93" s="1020"/>
      <c r="AF93" s="1020"/>
      <c r="AG93" s="1020"/>
      <c r="AH93" s="1020"/>
      <c r="AI93" s="1020"/>
      <c r="AJ93" s="635">
        <f t="shared" si="226"/>
        <v>6.0490863890284484E-2</v>
      </c>
      <c r="AK93" s="635">
        <f t="shared" si="227"/>
        <v>6.0490863890284484E-2</v>
      </c>
      <c r="AL93" s="635">
        <f t="shared" si="228"/>
        <v>6.0490863890284484E-2</v>
      </c>
      <c r="AM93" s="636">
        <f t="shared" si="229"/>
        <v>0.18147259167085344</v>
      </c>
      <c r="AN93" s="636">
        <f t="shared" si="95"/>
        <v>0.36294518334170689</v>
      </c>
      <c r="AO93" s="635">
        <f t="shared" si="230"/>
        <v>6.0490863890284484E-2</v>
      </c>
      <c r="AP93" s="635">
        <f t="shared" si="231"/>
        <v>6.0490863890284484E-2</v>
      </c>
      <c r="AQ93" s="635">
        <f t="shared" si="232"/>
        <v>6.0490863890284484E-2</v>
      </c>
      <c r="AR93" s="636">
        <f t="shared" si="233"/>
        <v>0.18147259167085344</v>
      </c>
      <c r="AS93" s="636">
        <f t="shared" si="97"/>
        <v>0.54441777501256028</v>
      </c>
      <c r="AT93" s="4053"/>
      <c r="AU93" s="4053"/>
      <c r="AV93" s="4053"/>
      <c r="AW93" s="635">
        <f t="shared" si="234"/>
        <v>6.0490863890284484E-2</v>
      </c>
      <c r="AX93" s="635">
        <f t="shared" si="235"/>
        <v>6.0490863890284484E-2</v>
      </c>
      <c r="AY93" s="635">
        <f t="shared" si="236"/>
        <v>6.0490863890284484E-2</v>
      </c>
      <c r="AZ93" s="636">
        <f t="shared" si="237"/>
        <v>0.18147259167085344</v>
      </c>
      <c r="BA93" s="642">
        <f t="shared" si="99"/>
        <v>0.72589036668341367</v>
      </c>
    </row>
    <row r="94" spans="1:53" ht="18.75" hidden="1">
      <c r="A94" s="429" t="s">
        <v>565</v>
      </c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433"/>
      <c r="U94" s="433"/>
      <c r="V94" s="634">
        <f>SUM(V74*0.4%)</f>
        <v>29.035614667336553</v>
      </c>
      <c r="W94" s="640"/>
      <c r="X94" s="634">
        <f>SUM(V94*стоки!AK55/стоки!AI55)</f>
        <v>28.814252396885543</v>
      </c>
      <c r="Y94" s="644">
        <f t="shared" si="140"/>
        <v>0.22136227045101009</v>
      </c>
      <c r="Z94" s="412">
        <f t="shared" si="222"/>
        <v>2.4196345556113794</v>
      </c>
      <c r="AA94" s="1013"/>
      <c r="AB94" s="412">
        <f t="shared" si="223"/>
        <v>2.4196345556113794</v>
      </c>
      <c r="AC94" s="412">
        <f t="shared" si="224"/>
        <v>2.4196345556113794</v>
      </c>
      <c r="AD94" s="636">
        <f t="shared" si="225"/>
        <v>7.2589036668341382</v>
      </c>
      <c r="AE94" s="1020"/>
      <c r="AF94" s="1020"/>
      <c r="AG94" s="1020"/>
      <c r="AH94" s="1020"/>
      <c r="AI94" s="1020"/>
      <c r="AJ94" s="635">
        <f t="shared" si="226"/>
        <v>2.4196345556113794</v>
      </c>
      <c r="AK94" s="635">
        <f t="shared" si="227"/>
        <v>2.4196345556113794</v>
      </c>
      <c r="AL94" s="635">
        <f t="shared" si="228"/>
        <v>2.4196345556113794</v>
      </c>
      <c r="AM94" s="636">
        <f t="shared" si="229"/>
        <v>7.2589036668341382</v>
      </c>
      <c r="AN94" s="636">
        <f t="shared" si="95"/>
        <v>14.517807333668276</v>
      </c>
      <c r="AO94" s="635">
        <f t="shared" si="230"/>
        <v>2.4196345556113794</v>
      </c>
      <c r="AP94" s="635">
        <f t="shared" si="231"/>
        <v>2.4196345556113794</v>
      </c>
      <c r="AQ94" s="635">
        <f t="shared" si="232"/>
        <v>2.4196345556113794</v>
      </c>
      <c r="AR94" s="636">
        <f t="shared" si="233"/>
        <v>7.2589036668341382</v>
      </c>
      <c r="AS94" s="636">
        <f t="shared" si="97"/>
        <v>21.776711000502416</v>
      </c>
      <c r="AT94" s="4053"/>
      <c r="AU94" s="4053"/>
      <c r="AV94" s="4053"/>
      <c r="AW94" s="635">
        <f t="shared" si="234"/>
        <v>2.4196345556113794</v>
      </c>
      <c r="AX94" s="635">
        <f t="shared" si="235"/>
        <v>2.4196345556113794</v>
      </c>
      <c r="AY94" s="635">
        <f t="shared" si="236"/>
        <v>2.4196345556113794</v>
      </c>
      <c r="AZ94" s="636">
        <f t="shared" si="237"/>
        <v>7.2589036668341382</v>
      </c>
      <c r="BA94" s="642">
        <f t="shared" si="99"/>
        <v>29.03561466733656</v>
      </c>
    </row>
    <row r="95" spans="1:53" ht="18.75" hidden="1">
      <c r="A95" s="439" t="s">
        <v>609</v>
      </c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433"/>
      <c r="U95" s="433"/>
      <c r="V95" s="634">
        <f>SUM(V96:V99)</f>
        <v>474.0064094442692</v>
      </c>
      <c r="W95" s="640"/>
      <c r="X95" s="634">
        <f>SUM(V95*стоки!AK55/стоки!AI55)</f>
        <v>470.39267037915647</v>
      </c>
      <c r="Y95" s="644">
        <f t="shared" ref="Y95" si="238">SUM(V95-X95)</f>
        <v>3.6137390651127248</v>
      </c>
      <c r="Z95" s="411">
        <f t="shared" ref="Z95:AC95" si="239">SUM(Z96:Z99)</f>
        <v>37.814314994895753</v>
      </c>
      <c r="AA95" s="1015"/>
      <c r="AB95" s="411">
        <f t="shared" si="239"/>
        <v>37.814314994895753</v>
      </c>
      <c r="AC95" s="411">
        <f t="shared" si="239"/>
        <v>37.814314994895753</v>
      </c>
      <c r="AD95" s="636">
        <f t="shared" si="93"/>
        <v>113.44294498468726</v>
      </c>
      <c r="AE95" s="1020"/>
      <c r="AF95" s="1020"/>
      <c r="AG95" s="1020"/>
      <c r="AH95" s="1020"/>
      <c r="AI95" s="1020"/>
      <c r="AJ95" s="411">
        <f t="shared" ref="AJ95:AL95" si="240">SUM(AJ96:AJ99)</f>
        <v>37.96261439680918</v>
      </c>
      <c r="AK95" s="411">
        <f t="shared" si="240"/>
        <v>40.41779338404249</v>
      </c>
      <c r="AL95" s="411">
        <f t="shared" si="240"/>
        <v>42.559895856125237</v>
      </c>
      <c r="AM95" s="636">
        <f t="shared" si="94"/>
        <v>120.94030363697691</v>
      </c>
      <c r="AN95" s="636">
        <f t="shared" si="95"/>
        <v>234.38324862166417</v>
      </c>
      <c r="AO95" s="411">
        <f t="shared" ref="AO95:AQ95" si="241">SUM(AO96:AO99)</f>
        <v>43.202526597750065</v>
      </c>
      <c r="AP95" s="411">
        <f t="shared" si="241"/>
        <v>42.559895856125237</v>
      </c>
      <c r="AQ95" s="411">
        <f t="shared" si="241"/>
        <v>40.41779338404249</v>
      </c>
      <c r="AR95" s="636">
        <f t="shared" si="96"/>
        <v>126.18021583791779</v>
      </c>
      <c r="AS95" s="636">
        <f t="shared" si="97"/>
        <v>360.56346445958195</v>
      </c>
      <c r="AT95" s="4053"/>
      <c r="AU95" s="4053"/>
      <c r="AV95" s="4053"/>
      <c r="AW95" s="411">
        <f t="shared" ref="AW95:AY95" si="242">SUM(AW96:AW99)</f>
        <v>37.814314994895753</v>
      </c>
      <c r="AX95" s="411">
        <f t="shared" si="242"/>
        <v>37.814314994895753</v>
      </c>
      <c r="AY95" s="411">
        <f t="shared" si="242"/>
        <v>37.814314994895753</v>
      </c>
      <c r="AZ95" s="636">
        <f t="shared" si="98"/>
        <v>113.44294498468726</v>
      </c>
      <c r="BA95" s="642">
        <f t="shared" si="99"/>
        <v>474.00640944426931</v>
      </c>
    </row>
    <row r="96" spans="1:53" ht="18.75" hidden="1">
      <c r="A96" s="429" t="s">
        <v>551</v>
      </c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433"/>
      <c r="U96" s="433"/>
      <c r="V96" s="634">
        <f>SUM(V74*2.27%)</f>
        <v>164.77711323713493</v>
      </c>
      <c r="W96" s="640"/>
      <c r="X96" s="634">
        <f>SUM(V96*стоки!AK55/стоки!AI55)</f>
        <v>163.52088235232546</v>
      </c>
      <c r="Y96" s="644">
        <f t="shared" si="140"/>
        <v>1.2562308848094688</v>
      </c>
      <c r="Z96" s="412">
        <f>SUM(V96*7.31%)</f>
        <v>12.045206977634562</v>
      </c>
      <c r="AA96" s="1013"/>
      <c r="AB96" s="412">
        <f>SUM(V96*7.31%)</f>
        <v>12.045206977634562</v>
      </c>
      <c r="AC96" s="412">
        <f>SUM(V96*7.31%)</f>
        <v>12.045206977634562</v>
      </c>
      <c r="AD96" s="636">
        <f t="shared" ref="AD96:AD99" si="243">SUM(Z96+AB96+AC96)</f>
        <v>36.135620932903684</v>
      </c>
      <c r="AE96" s="1020"/>
      <c r="AF96" s="1020"/>
      <c r="AG96" s="1020"/>
      <c r="AH96" s="1020"/>
      <c r="AI96" s="1020"/>
      <c r="AJ96" s="412">
        <f>SUM(V96*7.4%)</f>
        <v>12.193506379547987</v>
      </c>
      <c r="AK96" s="412">
        <f>SUM(V96*8.89%)</f>
        <v>14.648685366781296</v>
      </c>
      <c r="AL96" s="412">
        <f>SUM(V96*10.19%)</f>
        <v>16.790787838864048</v>
      </c>
      <c r="AM96" s="636">
        <f t="shared" ref="AM96:AM99" si="244">SUM(AJ96+AK96+AL96)</f>
        <v>43.632979585193333</v>
      </c>
      <c r="AN96" s="636">
        <f t="shared" si="95"/>
        <v>79.768600518097017</v>
      </c>
      <c r="AO96" s="412">
        <f>SUM(V96*10.58%)</f>
        <v>17.433418580488876</v>
      </c>
      <c r="AP96" s="412">
        <f>SUM(V96*10.19%)</f>
        <v>16.790787838864048</v>
      </c>
      <c r="AQ96" s="412">
        <f>SUM(V96*8.89%)</f>
        <v>14.648685366781296</v>
      </c>
      <c r="AR96" s="636">
        <f t="shared" ref="AR96:AR99" si="245">SUM(AO96+AP96+AQ96)</f>
        <v>48.872891786134218</v>
      </c>
      <c r="AS96" s="636">
        <f t="shared" si="97"/>
        <v>128.64149230423124</v>
      </c>
      <c r="AT96" s="4053"/>
      <c r="AU96" s="4053"/>
      <c r="AV96" s="4053"/>
      <c r="AW96" s="412">
        <f>SUM(V96*7.31%)</f>
        <v>12.045206977634562</v>
      </c>
      <c r="AX96" s="412">
        <f>SUM(V96*7.31%)</f>
        <v>12.045206977634562</v>
      </c>
      <c r="AY96" s="412">
        <f>SUM(V96*7.31%)</f>
        <v>12.045206977634562</v>
      </c>
      <c r="AZ96" s="636">
        <f t="shared" ref="AZ96:AZ99" si="246">SUM(AW96+AX96+AY96)</f>
        <v>36.135620932903684</v>
      </c>
      <c r="BA96" s="642">
        <f t="shared" si="99"/>
        <v>164.77711323713493</v>
      </c>
    </row>
    <row r="97" spans="1:53" ht="18.75" hidden="1">
      <c r="A97" s="429" t="s">
        <v>643</v>
      </c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433"/>
      <c r="U97" s="433"/>
      <c r="V97" s="634">
        <f>SUM(V74*4.18%)</f>
        <v>303.42217327366694</v>
      </c>
      <c r="W97" s="640"/>
      <c r="X97" s="634">
        <f>SUM(V97*стоки!AK55/стоки!AI55)</f>
        <v>301.10893754745388</v>
      </c>
      <c r="Y97" s="644">
        <f t="shared" si="140"/>
        <v>2.3132357262130654</v>
      </c>
      <c r="Z97" s="412">
        <f t="shared" ref="Z97:Z99" si="247">SUM(V97/12)</f>
        <v>25.285181106138911</v>
      </c>
      <c r="AA97" s="1013"/>
      <c r="AB97" s="412">
        <f t="shared" ref="AB97:AB99" si="248">SUM(Z97)</f>
        <v>25.285181106138911</v>
      </c>
      <c r="AC97" s="412">
        <f t="shared" ref="AC97:AC99" si="249">SUM(Z97)</f>
        <v>25.285181106138911</v>
      </c>
      <c r="AD97" s="636">
        <f t="shared" si="243"/>
        <v>75.855543318416736</v>
      </c>
      <c r="AE97" s="1020"/>
      <c r="AF97" s="1020"/>
      <c r="AG97" s="1020"/>
      <c r="AH97" s="1020"/>
      <c r="AI97" s="1020"/>
      <c r="AJ97" s="635">
        <f t="shared" ref="AJ97:AJ99" si="250">SUM(Z97)</f>
        <v>25.285181106138911</v>
      </c>
      <c r="AK97" s="635">
        <f t="shared" ref="AK97:AK99" si="251">SUM(Z97)</f>
        <v>25.285181106138911</v>
      </c>
      <c r="AL97" s="635">
        <f t="shared" ref="AL97:AL99" si="252">SUM(Z97)</f>
        <v>25.285181106138911</v>
      </c>
      <c r="AM97" s="636">
        <f t="shared" si="244"/>
        <v>75.855543318416736</v>
      </c>
      <c r="AN97" s="636">
        <f t="shared" si="95"/>
        <v>151.71108663683347</v>
      </c>
      <c r="AO97" s="635">
        <f t="shared" ref="AO97:AO99" si="253">SUM(Z97)</f>
        <v>25.285181106138911</v>
      </c>
      <c r="AP97" s="635">
        <f t="shared" ref="AP97:AP99" si="254">SUM(Z97)</f>
        <v>25.285181106138911</v>
      </c>
      <c r="AQ97" s="635">
        <f t="shared" ref="AQ97:AQ99" si="255">SUM(Z97)</f>
        <v>25.285181106138911</v>
      </c>
      <c r="AR97" s="636">
        <f t="shared" si="245"/>
        <v>75.855543318416736</v>
      </c>
      <c r="AS97" s="636">
        <f t="shared" si="97"/>
        <v>227.56662995525022</v>
      </c>
      <c r="AT97" s="4053"/>
      <c r="AU97" s="4053"/>
      <c r="AV97" s="4053"/>
      <c r="AW97" s="635">
        <f t="shared" ref="AW97:AW99" si="256">SUM(Z97)</f>
        <v>25.285181106138911</v>
      </c>
      <c r="AX97" s="635">
        <f t="shared" ref="AX97:AX99" si="257">SUM(Z97)</f>
        <v>25.285181106138911</v>
      </c>
      <c r="AY97" s="635">
        <f t="shared" ref="AY97:AY99" si="258">SUM(Z97)</f>
        <v>25.285181106138911</v>
      </c>
      <c r="AZ97" s="636">
        <f t="shared" si="246"/>
        <v>75.855543318416736</v>
      </c>
      <c r="BA97" s="642">
        <f t="shared" si="99"/>
        <v>303.42217327366694</v>
      </c>
    </row>
    <row r="98" spans="1:53" ht="18.75" hidden="1">
      <c r="A98" s="429" t="s">
        <v>559</v>
      </c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433"/>
      <c r="U98" s="433"/>
      <c r="V98" s="634">
        <f>SUM(V74*0.07%)</f>
        <v>5.0812325667838971</v>
      </c>
      <c r="W98" s="640"/>
      <c r="X98" s="634">
        <f>SUM(V98*стоки!AK55/стоки!AI55)</f>
        <v>5.0424941694549705</v>
      </c>
      <c r="Y98" s="644">
        <f t="shared" si="140"/>
        <v>3.8738397328926588E-2</v>
      </c>
      <c r="Z98" s="412">
        <f t="shared" si="247"/>
        <v>0.42343604723199141</v>
      </c>
      <c r="AA98" s="1013"/>
      <c r="AB98" s="412">
        <f t="shared" si="248"/>
        <v>0.42343604723199141</v>
      </c>
      <c r="AC98" s="412">
        <f t="shared" si="249"/>
        <v>0.42343604723199141</v>
      </c>
      <c r="AD98" s="636">
        <f t="shared" si="243"/>
        <v>1.2703081416959743</v>
      </c>
      <c r="AE98" s="1020"/>
      <c r="AF98" s="1020"/>
      <c r="AG98" s="1020"/>
      <c r="AH98" s="1020"/>
      <c r="AI98" s="1020"/>
      <c r="AJ98" s="635">
        <f t="shared" si="250"/>
        <v>0.42343604723199141</v>
      </c>
      <c r="AK98" s="635">
        <f t="shared" si="251"/>
        <v>0.42343604723199141</v>
      </c>
      <c r="AL98" s="635">
        <f t="shared" si="252"/>
        <v>0.42343604723199141</v>
      </c>
      <c r="AM98" s="636">
        <f t="shared" si="244"/>
        <v>1.2703081416959743</v>
      </c>
      <c r="AN98" s="636">
        <f t="shared" si="95"/>
        <v>2.5406162833919486</v>
      </c>
      <c r="AO98" s="635">
        <f t="shared" si="253"/>
        <v>0.42343604723199141</v>
      </c>
      <c r="AP98" s="635">
        <f t="shared" si="254"/>
        <v>0.42343604723199141</v>
      </c>
      <c r="AQ98" s="635">
        <f t="shared" si="255"/>
        <v>0.42343604723199141</v>
      </c>
      <c r="AR98" s="636">
        <f t="shared" si="245"/>
        <v>1.2703081416959743</v>
      </c>
      <c r="AS98" s="636">
        <f t="shared" si="97"/>
        <v>3.8109244250879231</v>
      </c>
      <c r="AT98" s="4053"/>
      <c r="AU98" s="4053"/>
      <c r="AV98" s="4053"/>
      <c r="AW98" s="635">
        <f t="shared" si="256"/>
        <v>0.42343604723199141</v>
      </c>
      <c r="AX98" s="635">
        <f t="shared" si="257"/>
        <v>0.42343604723199141</v>
      </c>
      <c r="AY98" s="635">
        <f t="shared" si="258"/>
        <v>0.42343604723199141</v>
      </c>
      <c r="AZ98" s="636">
        <f t="shared" si="246"/>
        <v>1.2703081416959743</v>
      </c>
      <c r="BA98" s="642">
        <f t="shared" si="99"/>
        <v>5.0812325667838971</v>
      </c>
    </row>
    <row r="99" spans="1:53" ht="18.75" hidden="1">
      <c r="A99" s="429" t="s">
        <v>613</v>
      </c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433"/>
      <c r="U99" s="433"/>
      <c r="V99" s="634">
        <f>SUM(V74*0.01%)</f>
        <v>0.72589036668341378</v>
      </c>
      <c r="W99" s="640"/>
      <c r="X99" s="634">
        <f>SUM(V99*стоки!AK55/стоки!AI55)</f>
        <v>0.7203563099221385</v>
      </c>
      <c r="Y99" s="644">
        <f t="shared" si="140"/>
        <v>5.5340567612752745E-3</v>
      </c>
      <c r="Z99" s="412">
        <f t="shared" si="247"/>
        <v>6.0490863890284484E-2</v>
      </c>
      <c r="AA99" s="1013"/>
      <c r="AB99" s="412">
        <f t="shared" si="248"/>
        <v>6.0490863890284484E-2</v>
      </c>
      <c r="AC99" s="412">
        <f t="shared" si="249"/>
        <v>6.0490863890284484E-2</v>
      </c>
      <c r="AD99" s="636">
        <f t="shared" si="243"/>
        <v>0.18147259167085344</v>
      </c>
      <c r="AE99" s="1020"/>
      <c r="AF99" s="1020"/>
      <c r="AG99" s="1020"/>
      <c r="AH99" s="1020"/>
      <c r="AI99" s="1020"/>
      <c r="AJ99" s="635">
        <f t="shared" si="250"/>
        <v>6.0490863890284484E-2</v>
      </c>
      <c r="AK99" s="635">
        <f t="shared" si="251"/>
        <v>6.0490863890284484E-2</v>
      </c>
      <c r="AL99" s="635">
        <f t="shared" si="252"/>
        <v>6.0490863890284484E-2</v>
      </c>
      <c r="AM99" s="636">
        <f t="shared" si="244"/>
        <v>0.18147259167085344</v>
      </c>
      <c r="AN99" s="636">
        <f t="shared" si="95"/>
        <v>0.36294518334170689</v>
      </c>
      <c r="AO99" s="635">
        <f t="shared" si="253"/>
        <v>6.0490863890284484E-2</v>
      </c>
      <c r="AP99" s="635">
        <f t="shared" si="254"/>
        <v>6.0490863890284484E-2</v>
      </c>
      <c r="AQ99" s="635">
        <f t="shared" si="255"/>
        <v>6.0490863890284484E-2</v>
      </c>
      <c r="AR99" s="636">
        <f t="shared" si="245"/>
        <v>0.18147259167085344</v>
      </c>
      <c r="AS99" s="636">
        <f t="shared" si="97"/>
        <v>0.54441777501256028</v>
      </c>
      <c r="AT99" s="4053"/>
      <c r="AU99" s="4053"/>
      <c r="AV99" s="4053"/>
      <c r="AW99" s="635">
        <f t="shared" si="256"/>
        <v>6.0490863890284484E-2</v>
      </c>
      <c r="AX99" s="635">
        <f t="shared" si="257"/>
        <v>6.0490863890284484E-2</v>
      </c>
      <c r="AY99" s="635">
        <f t="shared" si="258"/>
        <v>6.0490863890284484E-2</v>
      </c>
      <c r="AZ99" s="636">
        <f t="shared" si="246"/>
        <v>0.18147259167085344</v>
      </c>
      <c r="BA99" s="642">
        <f t="shared" si="99"/>
        <v>0.72589036668341367</v>
      </c>
    </row>
    <row r="100" spans="1:53" ht="18.75" hidden="1">
      <c r="A100" s="632" t="s">
        <v>621</v>
      </c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433"/>
      <c r="U100" s="433"/>
      <c r="V100" s="637">
        <f>SUM(AC49)</f>
        <v>690.17495043218662</v>
      </c>
      <c r="W100" s="640"/>
      <c r="X100" s="637">
        <f>SUM(V100*стоки!AK55/стоки!AI55)</f>
        <v>684.91318153951886</v>
      </c>
      <c r="Y100" s="643">
        <f>SUM(V100-X100)</f>
        <v>5.2617688926677602</v>
      </c>
      <c r="Z100" s="409">
        <f>SUM(Z101+Z102+Z104+Z105+Z106+Z107+Z108+Z109+Z111)</f>
        <v>57.514004056890194</v>
      </c>
      <c r="AA100" s="1012"/>
      <c r="AB100" s="409">
        <f t="shared" ref="AB100:AC100" si="259">SUM(AB101+AB102+AB104+AB105+AB106+AB107+AB108+AB109+AB111)</f>
        <v>57.514004056890194</v>
      </c>
      <c r="AC100" s="409">
        <f t="shared" si="259"/>
        <v>57.514004056890194</v>
      </c>
      <c r="AD100" s="645">
        <f t="shared" si="93"/>
        <v>172.54201217067057</v>
      </c>
      <c r="AE100" s="1019"/>
      <c r="AF100" s="1019"/>
      <c r="AG100" s="1019"/>
      <c r="AH100" s="1019"/>
      <c r="AI100" s="1019"/>
      <c r="AJ100" s="409">
        <f t="shared" ref="AJ100" si="260">SUM(AJ101+AJ102+AJ104+AJ105+AJ106+AJ107+AJ108+AJ109+AJ111)</f>
        <v>57.514004056890194</v>
      </c>
      <c r="AK100" s="409">
        <f t="shared" ref="AK100" si="261">SUM(AK101+AK102+AK104+AK105+AK106+AK107+AK108+AK109+AK111)</f>
        <v>57.514004056890194</v>
      </c>
      <c r="AL100" s="409">
        <f t="shared" ref="AL100" si="262">SUM(AL101+AL102+AL104+AL105+AL106+AL107+AL108+AL109+AL111)</f>
        <v>57.514004056890194</v>
      </c>
      <c r="AM100" s="645">
        <f t="shared" si="94"/>
        <v>172.54201217067057</v>
      </c>
      <c r="AN100" s="645">
        <f t="shared" si="95"/>
        <v>345.08402434134115</v>
      </c>
      <c r="AO100" s="409">
        <f t="shared" ref="AO100" si="263">SUM(AO101+AO102+AO104+AO105+AO106+AO107+AO108+AO109+AO111)</f>
        <v>57.514004056890194</v>
      </c>
      <c r="AP100" s="409">
        <f t="shared" ref="AP100" si="264">SUM(AP101+AP102+AP104+AP105+AP106+AP107+AP108+AP109+AP111)</f>
        <v>57.514004056890194</v>
      </c>
      <c r="AQ100" s="409">
        <f t="shared" ref="AQ100" si="265">SUM(AQ101+AQ102+AQ104+AQ105+AQ106+AQ107+AQ108+AQ109+AQ111)</f>
        <v>57.514004056890194</v>
      </c>
      <c r="AR100" s="645">
        <f t="shared" si="96"/>
        <v>172.54201217067057</v>
      </c>
      <c r="AS100" s="645">
        <f t="shared" si="97"/>
        <v>517.62603651201175</v>
      </c>
      <c r="AT100" s="4063"/>
      <c r="AU100" s="4063"/>
      <c r="AV100" s="4063"/>
      <c r="AW100" s="409">
        <f t="shared" ref="AW100" si="266">SUM(AW101+AW102+AW104+AW105+AW106+AW107+AW108+AW109+AW111)</f>
        <v>57.514004056890194</v>
      </c>
      <c r="AX100" s="409">
        <f t="shared" ref="AX100" si="267">SUM(AX101+AX102+AX104+AX105+AX106+AX107+AX108+AX109+AX111)</f>
        <v>57.514004056890194</v>
      </c>
      <c r="AY100" s="409">
        <f t="shared" ref="AY100" si="268">SUM(AY101+AY102+AY104+AY105+AY106+AY107+AY108+AY109+AY111)</f>
        <v>57.514004056890194</v>
      </c>
      <c r="AZ100" s="645">
        <f t="shared" si="98"/>
        <v>172.54201217067057</v>
      </c>
      <c r="BA100" s="642">
        <f t="shared" si="99"/>
        <v>690.16804868268218</v>
      </c>
    </row>
    <row r="101" spans="1:53" ht="18.75" hidden="1">
      <c r="A101" s="439" t="s">
        <v>72</v>
      </c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433"/>
      <c r="U101" s="433"/>
      <c r="V101" s="634">
        <f>SUM(V100*0%)</f>
        <v>0</v>
      </c>
      <c r="W101" s="640"/>
      <c r="X101" s="634">
        <f>SUM(V101*стоки!AK55/стоки!AI55)</f>
        <v>0</v>
      </c>
      <c r="Y101" s="644">
        <f t="shared" ref="Y101:Y109" si="269">SUM(V101-X101)</f>
        <v>0</v>
      </c>
      <c r="Z101" s="412">
        <f>SUM(V101/2)/(1+(106.7%*100-100)/2/100)/6</f>
        <v>0</v>
      </c>
      <c r="AA101" s="1013"/>
      <c r="AB101" s="411">
        <f>SUM(Z101)</f>
        <v>0</v>
      </c>
      <c r="AC101" s="412">
        <f>SUM(Z101)</f>
        <v>0</v>
      </c>
      <c r="AD101" s="636">
        <f>SUM(Z101+AB101+AC101)</f>
        <v>0</v>
      </c>
      <c r="AE101" s="1020"/>
      <c r="AF101" s="1020"/>
      <c r="AG101" s="1020"/>
      <c r="AH101" s="1020"/>
      <c r="AI101" s="1020"/>
      <c r="AJ101" s="635">
        <f>SUM(Z101)</f>
        <v>0</v>
      </c>
      <c r="AK101" s="635">
        <f>SUM(Z101)</f>
        <v>0</v>
      </c>
      <c r="AL101" s="635">
        <f>SUM(Z101)</f>
        <v>0</v>
      </c>
      <c r="AM101" s="636">
        <f>SUM(AJ101+AK101+AL101)</f>
        <v>0</v>
      </c>
      <c r="AN101" s="636">
        <f>SUM(AD101+AM101)</f>
        <v>0</v>
      </c>
      <c r="AO101" s="635">
        <f>SUM(V101-AN101)/6</f>
        <v>0</v>
      </c>
      <c r="AP101" s="635">
        <f>SUM(AO101)</f>
        <v>0</v>
      </c>
      <c r="AQ101" s="635">
        <f>SUM(AO101)</f>
        <v>0</v>
      </c>
      <c r="AR101" s="636">
        <f>SUM(AO101+AP101+AQ101)</f>
        <v>0</v>
      </c>
      <c r="AS101" s="636">
        <f>SUM(AN101+AR101)</f>
        <v>0</v>
      </c>
      <c r="AT101" s="4053"/>
      <c r="AU101" s="4053"/>
      <c r="AV101" s="4053"/>
      <c r="AW101" s="635">
        <f>SUM(AO101)</f>
        <v>0</v>
      </c>
      <c r="AX101" s="635">
        <f>SUM(AO101)</f>
        <v>0</v>
      </c>
      <c r="AY101" s="635">
        <f>SUM(AO101)</f>
        <v>0</v>
      </c>
      <c r="AZ101" s="636">
        <f>SUM(AW101+AX101+AY101)</f>
        <v>0</v>
      </c>
      <c r="BA101" s="642">
        <f>SUM(AY101+AX101+AW101+AQ101+AP101+AO101+AL101+AK101+AJ101+AC101+AB101+Z101)</f>
        <v>0</v>
      </c>
    </row>
    <row r="102" spans="1:53" ht="18.75" hidden="1">
      <c r="A102" s="439" t="s">
        <v>121</v>
      </c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433"/>
      <c r="U102" s="433"/>
      <c r="V102" s="634">
        <f>SUM(V100*0%)</f>
        <v>0</v>
      </c>
      <c r="W102" s="640"/>
      <c r="X102" s="634">
        <f>SUM(V102*стоки!AK55/стоки!AI55)</f>
        <v>0</v>
      </c>
      <c r="Y102" s="644">
        <f t="shared" si="269"/>
        <v>0</v>
      </c>
      <c r="Z102" s="412">
        <v>0</v>
      </c>
      <c r="AA102" s="1013"/>
      <c r="AB102" s="412">
        <f>SUM(Z102)</f>
        <v>0</v>
      </c>
      <c r="AC102" s="411">
        <f>SUM(Z102)</f>
        <v>0</v>
      </c>
      <c r="AD102" s="636">
        <f t="shared" ref="AD102" si="270">SUM(Z102+AB102+AC102)</f>
        <v>0</v>
      </c>
      <c r="AE102" s="1020"/>
      <c r="AF102" s="1020"/>
      <c r="AG102" s="1020"/>
      <c r="AH102" s="1020"/>
      <c r="AI102" s="1020"/>
      <c r="AJ102" s="635">
        <f>SUM(Z102)</f>
        <v>0</v>
      </c>
      <c r="AK102" s="635">
        <f>SUM(Z102)</f>
        <v>0</v>
      </c>
      <c r="AL102" s="635">
        <f>SUM(Z102)</f>
        <v>0</v>
      </c>
      <c r="AM102" s="636">
        <f t="shared" ref="AM102" si="271">SUM(AJ102+AK102+AL102)</f>
        <v>0</v>
      </c>
      <c r="AN102" s="636">
        <f t="shared" ref="AN102:AN108" si="272">SUM(AD102+AM102)</f>
        <v>0</v>
      </c>
      <c r="AO102" s="635">
        <f>SUM(V102-AN102)/6</f>
        <v>0</v>
      </c>
      <c r="AP102" s="635">
        <f>SUM(AO102)</f>
        <v>0</v>
      </c>
      <c r="AQ102" s="635">
        <f>SUM(AO102)</f>
        <v>0</v>
      </c>
      <c r="AR102" s="636">
        <f t="shared" ref="AR102" si="273">SUM(AO102+AP102+AQ102)</f>
        <v>0</v>
      </c>
      <c r="AS102" s="636">
        <f t="shared" ref="AS102:AS108" si="274">SUM(AN102+AR102)</f>
        <v>0</v>
      </c>
      <c r="AT102" s="4053"/>
      <c r="AU102" s="4053"/>
      <c r="AV102" s="4053"/>
      <c r="AW102" s="635">
        <f>SUM(AO102)</f>
        <v>0</v>
      </c>
      <c r="AX102" s="635">
        <f>SUM(AO102)</f>
        <v>0</v>
      </c>
      <c r="AY102" s="635">
        <f>SUM(AO102)</f>
        <v>0</v>
      </c>
      <c r="AZ102" s="636">
        <f t="shared" ref="AZ102" si="275">SUM(AW102+AX102+AY102)</f>
        <v>0</v>
      </c>
      <c r="BA102" s="642">
        <f t="shared" ref="BA102" si="276">SUM(AY102+AX102+AW102+AQ102+AP102+AO102+AL102+AK102+AJ102+AC102+AB102+Z102)</f>
        <v>0</v>
      </c>
    </row>
    <row r="103" spans="1:53" ht="18.75" hidden="1">
      <c r="A103" s="671" t="s">
        <v>52</v>
      </c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433"/>
      <c r="U103" s="433"/>
      <c r="V103" s="673">
        <v>0</v>
      </c>
      <c r="W103" s="640"/>
      <c r="X103" s="673">
        <v>0</v>
      </c>
      <c r="Y103" s="674">
        <v>0</v>
      </c>
      <c r="Z103" s="412">
        <v>0</v>
      </c>
      <c r="AA103" s="1013"/>
      <c r="AB103" s="412">
        <f>SUM(Z103)</f>
        <v>0</v>
      </c>
      <c r="AC103" s="411">
        <f>SUM(Z103)</f>
        <v>0</v>
      </c>
      <c r="AD103" s="636">
        <f t="shared" ref="AD103" si="277">SUM(Z103+AB103+AC103)</f>
        <v>0</v>
      </c>
      <c r="AE103" s="1020"/>
      <c r="AF103" s="1020"/>
      <c r="AG103" s="1020"/>
      <c r="AH103" s="1020"/>
      <c r="AI103" s="1020"/>
      <c r="AJ103" s="635">
        <f>SUM(Z103)</f>
        <v>0</v>
      </c>
      <c r="AK103" s="635">
        <f>SUM(Z103)</f>
        <v>0</v>
      </c>
      <c r="AL103" s="635">
        <f>SUM(Z103)</f>
        <v>0</v>
      </c>
      <c r="AM103" s="636">
        <f t="shared" ref="AM103" si="278">SUM(AJ103+AK103+AL103)</f>
        <v>0</v>
      </c>
      <c r="AN103" s="636">
        <f t="shared" ref="AN103" si="279">SUM(AD103+AM103)</f>
        <v>0</v>
      </c>
      <c r="AO103" s="635">
        <f>SUM(V103-AN103)/6</f>
        <v>0</v>
      </c>
      <c r="AP103" s="635">
        <f>SUM(AO103)</f>
        <v>0</v>
      </c>
      <c r="AQ103" s="635">
        <f>SUM(AO103)</f>
        <v>0</v>
      </c>
      <c r="AR103" s="636">
        <f t="shared" ref="AR103" si="280">SUM(AO103+AP103+AQ103)</f>
        <v>0</v>
      </c>
      <c r="AS103" s="636">
        <f t="shared" ref="AS103" si="281">SUM(AN103+AR103)</f>
        <v>0</v>
      </c>
      <c r="AT103" s="4053"/>
      <c r="AU103" s="4053"/>
      <c r="AV103" s="4053"/>
      <c r="AW103" s="635">
        <f>SUM(AO103)</f>
        <v>0</v>
      </c>
      <c r="AX103" s="635">
        <f>SUM(AO103)</f>
        <v>0</v>
      </c>
      <c r="AY103" s="635">
        <f>SUM(AO103)</f>
        <v>0</v>
      </c>
      <c r="AZ103" s="636">
        <f t="shared" ref="AZ103" si="282">SUM(AW103+AX103+AY103)</f>
        <v>0</v>
      </c>
      <c r="BA103" s="642">
        <f t="shared" ref="BA103" si="283">SUM(AY103+AX103+AW103+AQ103+AP103+AO103+AL103+AK103+AJ103+AC103+AB103+Z103)</f>
        <v>0</v>
      </c>
    </row>
    <row r="104" spans="1:53" ht="18.75" hidden="1">
      <c r="A104" s="439" t="s">
        <v>603</v>
      </c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433"/>
      <c r="U104" s="433"/>
      <c r="V104" s="634">
        <f>SUM(V100*88.63%)</f>
        <v>611.70205856804694</v>
      </c>
      <c r="W104" s="640"/>
      <c r="X104" s="634">
        <f>SUM(V104*стоки!AK55/стоки!AI55)</f>
        <v>607.03855279847551</v>
      </c>
      <c r="Y104" s="644">
        <f t="shared" si="269"/>
        <v>4.6635057695714295</v>
      </c>
      <c r="Z104" s="412">
        <f t="shared" ref="Z104:Z108" si="284">SUM(V104/12)</f>
        <v>50.975171547337247</v>
      </c>
      <c r="AA104" s="1013"/>
      <c r="AB104" s="412">
        <f t="shared" ref="AB104:AB108" si="285">SUM(Z104)</f>
        <v>50.975171547337247</v>
      </c>
      <c r="AC104" s="412">
        <f t="shared" ref="AC104:AC108" si="286">SUM(Z104)</f>
        <v>50.975171547337247</v>
      </c>
      <c r="AD104" s="636">
        <f t="shared" ref="AD104:AD108" si="287">SUM(Z104+AB104+AC104)</f>
        <v>152.92551464201173</v>
      </c>
      <c r="AE104" s="1020"/>
      <c r="AF104" s="1020"/>
      <c r="AG104" s="1020"/>
      <c r="AH104" s="1020"/>
      <c r="AI104" s="1020"/>
      <c r="AJ104" s="635">
        <f t="shared" ref="AJ104:AJ108" si="288">SUM(Z104)</f>
        <v>50.975171547337247</v>
      </c>
      <c r="AK104" s="635">
        <f t="shared" ref="AK104:AK108" si="289">SUM(Z104)</f>
        <v>50.975171547337247</v>
      </c>
      <c r="AL104" s="635">
        <f t="shared" ref="AL104:AL108" si="290">SUM(Z104)</f>
        <v>50.975171547337247</v>
      </c>
      <c r="AM104" s="636">
        <f t="shared" ref="AM104:AM108" si="291">SUM(AJ104+AK104+AL104)</f>
        <v>152.92551464201173</v>
      </c>
      <c r="AN104" s="636">
        <f t="shared" si="272"/>
        <v>305.85102928402347</v>
      </c>
      <c r="AO104" s="635">
        <f t="shared" ref="AO104:AO108" si="292">SUM(Z104)</f>
        <v>50.975171547337247</v>
      </c>
      <c r="AP104" s="635">
        <f t="shared" ref="AP104:AP108" si="293">SUM(Z104)</f>
        <v>50.975171547337247</v>
      </c>
      <c r="AQ104" s="635">
        <f t="shared" ref="AQ104:AQ108" si="294">SUM(Z104)</f>
        <v>50.975171547337247</v>
      </c>
      <c r="AR104" s="636">
        <f t="shared" ref="AR104:AR108" si="295">SUM(AO104+AP104+AQ104)</f>
        <v>152.92551464201173</v>
      </c>
      <c r="AS104" s="636">
        <f t="shared" si="274"/>
        <v>458.77654392603517</v>
      </c>
      <c r="AT104" s="4053"/>
      <c r="AU104" s="4053"/>
      <c r="AV104" s="4053"/>
      <c r="AW104" s="635">
        <f t="shared" ref="AW104:AW108" si="296">SUM(Z104)</f>
        <v>50.975171547337247</v>
      </c>
      <c r="AX104" s="635">
        <f t="shared" ref="AX104:AX108" si="297">SUM(Z104)</f>
        <v>50.975171547337247</v>
      </c>
      <c r="AY104" s="635">
        <f t="shared" ref="AY104:AY108" si="298">SUM(Z104)</f>
        <v>50.975171547337247</v>
      </c>
      <c r="AZ104" s="636">
        <f t="shared" ref="AZ104:AZ108" si="299">SUM(AW104+AX104+AY104)</f>
        <v>152.92551464201173</v>
      </c>
      <c r="BA104" s="642">
        <f t="shared" si="99"/>
        <v>611.70205856804694</v>
      </c>
    </row>
    <row r="105" spans="1:53" ht="18.75" hidden="1">
      <c r="A105" s="439" t="s">
        <v>605</v>
      </c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433"/>
      <c r="U105" s="433"/>
      <c r="V105" s="634">
        <f>SUM(V100*6.9%)</f>
        <v>47.622071579820883</v>
      </c>
      <c r="W105" s="640"/>
      <c r="X105" s="634">
        <f>SUM(V105*стоки!AK55/стоки!AI55)</f>
        <v>47.259009526226798</v>
      </c>
      <c r="Y105" s="644">
        <f t="shared" si="269"/>
        <v>0.36306205359408494</v>
      </c>
      <c r="Z105" s="412">
        <f t="shared" si="284"/>
        <v>3.9685059649850736</v>
      </c>
      <c r="AA105" s="1013"/>
      <c r="AB105" s="412">
        <f t="shared" si="285"/>
        <v>3.9685059649850736</v>
      </c>
      <c r="AC105" s="412">
        <f t="shared" si="286"/>
        <v>3.9685059649850736</v>
      </c>
      <c r="AD105" s="636">
        <f t="shared" si="287"/>
        <v>11.905517894955221</v>
      </c>
      <c r="AE105" s="1020"/>
      <c r="AF105" s="1020"/>
      <c r="AG105" s="1020"/>
      <c r="AH105" s="1020"/>
      <c r="AI105" s="1020"/>
      <c r="AJ105" s="635">
        <f t="shared" si="288"/>
        <v>3.9685059649850736</v>
      </c>
      <c r="AK105" s="635">
        <f t="shared" si="289"/>
        <v>3.9685059649850736</v>
      </c>
      <c r="AL105" s="635">
        <f t="shared" si="290"/>
        <v>3.9685059649850736</v>
      </c>
      <c r="AM105" s="636">
        <f t="shared" si="291"/>
        <v>11.905517894955221</v>
      </c>
      <c r="AN105" s="636">
        <f t="shared" si="272"/>
        <v>23.811035789910441</v>
      </c>
      <c r="AO105" s="635">
        <f t="shared" si="292"/>
        <v>3.9685059649850736</v>
      </c>
      <c r="AP105" s="635">
        <f t="shared" si="293"/>
        <v>3.9685059649850736</v>
      </c>
      <c r="AQ105" s="635">
        <f t="shared" si="294"/>
        <v>3.9685059649850736</v>
      </c>
      <c r="AR105" s="636">
        <f t="shared" si="295"/>
        <v>11.905517894955221</v>
      </c>
      <c r="AS105" s="636">
        <f t="shared" si="274"/>
        <v>35.716553684865659</v>
      </c>
      <c r="AT105" s="4053"/>
      <c r="AU105" s="4053"/>
      <c r="AV105" s="4053"/>
      <c r="AW105" s="635">
        <f t="shared" si="296"/>
        <v>3.9685059649850736</v>
      </c>
      <c r="AX105" s="635">
        <f t="shared" si="297"/>
        <v>3.9685059649850736</v>
      </c>
      <c r="AY105" s="635">
        <f t="shared" si="298"/>
        <v>3.9685059649850736</v>
      </c>
      <c r="AZ105" s="636">
        <f t="shared" si="299"/>
        <v>11.905517894955221</v>
      </c>
      <c r="BA105" s="642">
        <f t="shared" si="99"/>
        <v>47.622071579820869</v>
      </c>
    </row>
    <row r="106" spans="1:53" ht="18.75" hidden="1">
      <c r="A106" s="439" t="s">
        <v>604</v>
      </c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433"/>
      <c r="U106" s="433"/>
      <c r="V106" s="634">
        <f>SUM(V100*2.28%)</f>
        <v>15.735988869853854</v>
      </c>
      <c r="W106" s="640"/>
      <c r="X106" s="634">
        <f>SUM(V106*стоки!AK55/стоки!AI55)</f>
        <v>15.616020539101028</v>
      </c>
      <c r="Y106" s="644">
        <f t="shared" si="269"/>
        <v>0.11996833075282609</v>
      </c>
      <c r="Z106" s="412">
        <f t="shared" si="284"/>
        <v>1.3113324058211544</v>
      </c>
      <c r="AA106" s="1013"/>
      <c r="AB106" s="412">
        <f t="shared" si="285"/>
        <v>1.3113324058211544</v>
      </c>
      <c r="AC106" s="412">
        <f t="shared" si="286"/>
        <v>1.3113324058211544</v>
      </c>
      <c r="AD106" s="636">
        <f t="shared" si="287"/>
        <v>3.933997217463463</v>
      </c>
      <c r="AE106" s="1020"/>
      <c r="AF106" s="1020"/>
      <c r="AG106" s="1020"/>
      <c r="AH106" s="1020"/>
      <c r="AI106" s="1020"/>
      <c r="AJ106" s="635">
        <f t="shared" si="288"/>
        <v>1.3113324058211544</v>
      </c>
      <c r="AK106" s="635">
        <f t="shared" si="289"/>
        <v>1.3113324058211544</v>
      </c>
      <c r="AL106" s="635">
        <f t="shared" si="290"/>
        <v>1.3113324058211544</v>
      </c>
      <c r="AM106" s="636">
        <f t="shared" si="291"/>
        <v>3.933997217463463</v>
      </c>
      <c r="AN106" s="636">
        <f t="shared" si="272"/>
        <v>7.867994434926926</v>
      </c>
      <c r="AO106" s="635">
        <f t="shared" si="292"/>
        <v>1.3113324058211544</v>
      </c>
      <c r="AP106" s="635">
        <f t="shared" si="293"/>
        <v>1.3113324058211544</v>
      </c>
      <c r="AQ106" s="635">
        <f t="shared" si="294"/>
        <v>1.3113324058211544</v>
      </c>
      <c r="AR106" s="636">
        <f t="shared" si="295"/>
        <v>3.933997217463463</v>
      </c>
      <c r="AS106" s="636">
        <f t="shared" si="274"/>
        <v>11.801991652390388</v>
      </c>
      <c r="AT106" s="4053"/>
      <c r="AU106" s="4053"/>
      <c r="AV106" s="4053"/>
      <c r="AW106" s="635">
        <f t="shared" si="296"/>
        <v>1.3113324058211544</v>
      </c>
      <c r="AX106" s="635">
        <f t="shared" si="297"/>
        <v>1.3113324058211544</v>
      </c>
      <c r="AY106" s="635">
        <f t="shared" si="298"/>
        <v>1.3113324058211544</v>
      </c>
      <c r="AZ106" s="636">
        <f t="shared" si="299"/>
        <v>3.933997217463463</v>
      </c>
      <c r="BA106" s="642">
        <f t="shared" si="99"/>
        <v>15.735988869853854</v>
      </c>
    </row>
    <row r="107" spans="1:53" ht="18.75" hidden="1">
      <c r="A107" s="439" t="s">
        <v>614</v>
      </c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433"/>
      <c r="U107" s="433"/>
      <c r="V107" s="634">
        <f>SUM(V100*1.11%)</f>
        <v>7.6609419497972722</v>
      </c>
      <c r="W107" s="640"/>
      <c r="X107" s="634">
        <f>SUM(V107*стоки!AK55/стоки!AI55)</f>
        <v>7.6025363150886589</v>
      </c>
      <c r="Y107" s="644">
        <f t="shared" si="269"/>
        <v>5.8405634708613263E-2</v>
      </c>
      <c r="Z107" s="412">
        <f t="shared" si="284"/>
        <v>0.63841182914977268</v>
      </c>
      <c r="AA107" s="1013"/>
      <c r="AB107" s="412">
        <f t="shared" si="285"/>
        <v>0.63841182914977268</v>
      </c>
      <c r="AC107" s="412">
        <f t="shared" si="286"/>
        <v>0.63841182914977268</v>
      </c>
      <c r="AD107" s="636">
        <f t="shared" si="287"/>
        <v>1.915235487449318</v>
      </c>
      <c r="AE107" s="1020"/>
      <c r="AF107" s="1020"/>
      <c r="AG107" s="1020"/>
      <c r="AH107" s="1020"/>
      <c r="AI107" s="1020"/>
      <c r="AJ107" s="635">
        <f t="shared" si="288"/>
        <v>0.63841182914977268</v>
      </c>
      <c r="AK107" s="635">
        <f t="shared" si="289"/>
        <v>0.63841182914977268</v>
      </c>
      <c r="AL107" s="635">
        <f t="shared" si="290"/>
        <v>0.63841182914977268</v>
      </c>
      <c r="AM107" s="636">
        <f t="shared" si="291"/>
        <v>1.915235487449318</v>
      </c>
      <c r="AN107" s="636">
        <f t="shared" si="272"/>
        <v>3.8304709748986361</v>
      </c>
      <c r="AO107" s="635">
        <f t="shared" si="292"/>
        <v>0.63841182914977268</v>
      </c>
      <c r="AP107" s="635">
        <f t="shared" si="293"/>
        <v>0.63841182914977268</v>
      </c>
      <c r="AQ107" s="635">
        <f t="shared" si="294"/>
        <v>0.63841182914977268</v>
      </c>
      <c r="AR107" s="636">
        <f t="shared" si="295"/>
        <v>1.915235487449318</v>
      </c>
      <c r="AS107" s="636">
        <f t="shared" si="274"/>
        <v>5.7457064623479539</v>
      </c>
      <c r="AT107" s="4053"/>
      <c r="AU107" s="4053"/>
      <c r="AV107" s="4053"/>
      <c r="AW107" s="635">
        <f t="shared" si="296"/>
        <v>0.63841182914977268</v>
      </c>
      <c r="AX107" s="635">
        <f t="shared" si="297"/>
        <v>0.63841182914977268</v>
      </c>
      <c r="AY107" s="635">
        <f t="shared" si="298"/>
        <v>0.63841182914977268</v>
      </c>
      <c r="AZ107" s="636">
        <f t="shared" si="299"/>
        <v>1.915235487449318</v>
      </c>
      <c r="BA107" s="642">
        <f t="shared" si="99"/>
        <v>7.6609419497972704</v>
      </c>
    </row>
    <row r="108" spans="1:53" ht="18.75" hidden="1">
      <c r="A108" s="439" t="s">
        <v>32</v>
      </c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433"/>
      <c r="U108" s="433"/>
      <c r="V108" s="634">
        <f>SUM(V100*0.76%)</f>
        <v>5.2453296232846185</v>
      </c>
      <c r="W108" s="640"/>
      <c r="X108" s="634">
        <f>SUM(V108*стоки!AK55/стоки!AI55)</f>
        <v>5.2053401797003431</v>
      </c>
      <c r="Y108" s="644">
        <f t="shared" si="269"/>
        <v>3.9989443584275364E-2</v>
      </c>
      <c r="Z108" s="412">
        <f t="shared" si="284"/>
        <v>0.43711080194038487</v>
      </c>
      <c r="AA108" s="1013"/>
      <c r="AB108" s="412">
        <f t="shared" si="285"/>
        <v>0.43711080194038487</v>
      </c>
      <c r="AC108" s="412">
        <f t="shared" si="286"/>
        <v>0.43711080194038487</v>
      </c>
      <c r="AD108" s="636">
        <f t="shared" si="287"/>
        <v>1.3113324058211546</v>
      </c>
      <c r="AE108" s="1020"/>
      <c r="AF108" s="1020"/>
      <c r="AG108" s="1020"/>
      <c r="AH108" s="1020"/>
      <c r="AI108" s="1020"/>
      <c r="AJ108" s="635">
        <f t="shared" si="288"/>
        <v>0.43711080194038487</v>
      </c>
      <c r="AK108" s="635">
        <f t="shared" si="289"/>
        <v>0.43711080194038487</v>
      </c>
      <c r="AL108" s="635">
        <f t="shared" si="290"/>
        <v>0.43711080194038487</v>
      </c>
      <c r="AM108" s="636">
        <f t="shared" si="291"/>
        <v>1.3113324058211546</v>
      </c>
      <c r="AN108" s="636">
        <f t="shared" si="272"/>
        <v>2.6226648116423092</v>
      </c>
      <c r="AO108" s="635">
        <f t="shared" si="292"/>
        <v>0.43711080194038487</v>
      </c>
      <c r="AP108" s="635">
        <f t="shared" si="293"/>
        <v>0.43711080194038487</v>
      </c>
      <c r="AQ108" s="635">
        <f t="shared" si="294"/>
        <v>0.43711080194038487</v>
      </c>
      <c r="AR108" s="636">
        <f t="shared" si="295"/>
        <v>1.3113324058211546</v>
      </c>
      <c r="AS108" s="636">
        <f t="shared" si="274"/>
        <v>3.9339972174634639</v>
      </c>
      <c r="AT108" s="4053"/>
      <c r="AU108" s="4053"/>
      <c r="AV108" s="4053"/>
      <c r="AW108" s="635">
        <f t="shared" si="296"/>
        <v>0.43711080194038487</v>
      </c>
      <c r="AX108" s="635">
        <f t="shared" si="297"/>
        <v>0.43711080194038487</v>
      </c>
      <c r="AY108" s="635">
        <f t="shared" si="298"/>
        <v>0.43711080194038487</v>
      </c>
      <c r="AZ108" s="636">
        <f t="shared" si="299"/>
        <v>1.3113324058211546</v>
      </c>
      <c r="BA108" s="642">
        <f t="shared" si="99"/>
        <v>5.2453296232846185</v>
      </c>
    </row>
    <row r="109" spans="1:53" ht="18.75" hidden="1">
      <c r="A109" s="439" t="s">
        <v>606</v>
      </c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433"/>
      <c r="U109" s="433"/>
      <c r="V109" s="634">
        <f>SUM(V110)</f>
        <v>2.0705248512965597</v>
      </c>
      <c r="W109" s="640"/>
      <c r="X109" s="634">
        <f>SUM(V109*стоки!AK55/стоки!AI55)</f>
        <v>2.0547395446185561</v>
      </c>
      <c r="Y109" s="644">
        <f t="shared" si="269"/>
        <v>1.5785306678003597E-2</v>
      </c>
      <c r="Z109" s="411">
        <f t="shared" ref="Z109:AL109" si="300">SUM(Z110)</f>
        <v>0.17254373760804664</v>
      </c>
      <c r="AA109" s="1015"/>
      <c r="AB109" s="411">
        <f t="shared" si="300"/>
        <v>0.17254373760804664</v>
      </c>
      <c r="AC109" s="411">
        <f t="shared" si="300"/>
        <v>0.17254373760804664</v>
      </c>
      <c r="AD109" s="636">
        <f t="shared" si="93"/>
        <v>0.51763121282413993</v>
      </c>
      <c r="AE109" s="1020"/>
      <c r="AF109" s="1020"/>
      <c r="AG109" s="1020"/>
      <c r="AH109" s="1020"/>
      <c r="AI109" s="1020"/>
      <c r="AJ109" s="411">
        <f t="shared" si="300"/>
        <v>0.17254373760804664</v>
      </c>
      <c r="AK109" s="411">
        <f t="shared" si="300"/>
        <v>0.17254373760804664</v>
      </c>
      <c r="AL109" s="411">
        <f t="shared" si="300"/>
        <v>0.17254373760804664</v>
      </c>
      <c r="AM109" s="636">
        <f t="shared" si="94"/>
        <v>0.51763121282413993</v>
      </c>
      <c r="AN109" s="636">
        <f t="shared" si="95"/>
        <v>1.0352624256482799</v>
      </c>
      <c r="AO109" s="411">
        <f t="shared" ref="AO109:AQ109" si="301">SUM(AO110)</f>
        <v>0.17254373760804664</v>
      </c>
      <c r="AP109" s="411">
        <f t="shared" si="301"/>
        <v>0.17254373760804664</v>
      </c>
      <c r="AQ109" s="411">
        <f t="shared" si="301"/>
        <v>0.17254373760804664</v>
      </c>
      <c r="AR109" s="636">
        <f t="shared" si="96"/>
        <v>0.51763121282413993</v>
      </c>
      <c r="AS109" s="636">
        <f t="shared" si="97"/>
        <v>1.5528936384724199</v>
      </c>
      <c r="AT109" s="4053"/>
      <c r="AU109" s="4053"/>
      <c r="AV109" s="4053"/>
      <c r="AW109" s="411">
        <f t="shared" ref="AW109:AY109" si="302">SUM(AW110)</f>
        <v>0.17254373760804664</v>
      </c>
      <c r="AX109" s="411">
        <f t="shared" si="302"/>
        <v>0.17254373760804664</v>
      </c>
      <c r="AY109" s="411">
        <f t="shared" si="302"/>
        <v>0.17254373760804664</v>
      </c>
      <c r="AZ109" s="636">
        <f t="shared" si="98"/>
        <v>0.51763121282413993</v>
      </c>
      <c r="BA109" s="642">
        <f t="shared" si="99"/>
        <v>2.0705248512965602</v>
      </c>
    </row>
    <row r="110" spans="1:53" ht="18.75" hidden="1">
      <c r="A110" s="429" t="s">
        <v>564</v>
      </c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433"/>
      <c r="U110" s="433"/>
      <c r="V110" s="634">
        <f>SUM(V100*0.3%)</f>
        <v>2.0705248512965597</v>
      </c>
      <c r="W110" s="640"/>
      <c r="X110" s="634">
        <f>SUM(V110*стоки!AK55/стоки!AI55)</f>
        <v>2.0547395446185561</v>
      </c>
      <c r="Y110" s="644">
        <f t="shared" ref="Y110:Y111" si="303">SUM(V110-X110)</f>
        <v>1.5785306678003597E-2</v>
      </c>
      <c r="Z110" s="412">
        <f t="shared" ref="Z110" si="304">SUM(V110/12)</f>
        <v>0.17254373760804664</v>
      </c>
      <c r="AA110" s="1013"/>
      <c r="AB110" s="412">
        <f t="shared" ref="AB110" si="305">SUM(Z110)</f>
        <v>0.17254373760804664</v>
      </c>
      <c r="AC110" s="412">
        <f t="shared" ref="AC110" si="306">SUM(Z110)</f>
        <v>0.17254373760804664</v>
      </c>
      <c r="AD110" s="636">
        <f t="shared" ref="AD110" si="307">SUM(Z110+AB110+AC110)</f>
        <v>0.51763121282413993</v>
      </c>
      <c r="AE110" s="1020"/>
      <c r="AF110" s="1020"/>
      <c r="AG110" s="1020"/>
      <c r="AH110" s="1020"/>
      <c r="AI110" s="1020"/>
      <c r="AJ110" s="412">
        <f t="shared" ref="AJ110" si="308">SUM(Z110)</f>
        <v>0.17254373760804664</v>
      </c>
      <c r="AK110" s="412">
        <f t="shared" ref="AK110" si="309">SUM(Z110)</f>
        <v>0.17254373760804664</v>
      </c>
      <c r="AL110" s="412">
        <f t="shared" ref="AL110" si="310">SUM(Z110)</f>
        <v>0.17254373760804664</v>
      </c>
      <c r="AM110" s="636">
        <f t="shared" ref="AM110" si="311">SUM(AJ110+AK110+AL110)</f>
        <v>0.51763121282413993</v>
      </c>
      <c r="AN110" s="636">
        <f t="shared" si="95"/>
        <v>1.0352624256482799</v>
      </c>
      <c r="AO110" s="412">
        <f t="shared" ref="AO110" si="312">SUM(Z110)</f>
        <v>0.17254373760804664</v>
      </c>
      <c r="AP110" s="412">
        <f t="shared" ref="AP110" si="313">SUM(Z110)</f>
        <v>0.17254373760804664</v>
      </c>
      <c r="AQ110" s="412">
        <f t="shared" ref="AQ110" si="314">SUM(Z110)</f>
        <v>0.17254373760804664</v>
      </c>
      <c r="AR110" s="636">
        <f t="shared" ref="AR110" si="315">SUM(AO110+AP110+AQ110)</f>
        <v>0.51763121282413993</v>
      </c>
      <c r="AS110" s="636">
        <f t="shared" si="97"/>
        <v>1.5528936384724199</v>
      </c>
      <c r="AT110" s="4053"/>
      <c r="AU110" s="4053"/>
      <c r="AV110" s="4053"/>
      <c r="AW110" s="412">
        <f t="shared" ref="AW110" si="316">SUM(Z110)</f>
        <v>0.17254373760804664</v>
      </c>
      <c r="AX110" s="412">
        <f t="shared" ref="AX110" si="317">SUM(Z110)</f>
        <v>0.17254373760804664</v>
      </c>
      <c r="AY110" s="412">
        <f t="shared" ref="AY110" si="318">SUM(Z110)</f>
        <v>0.17254373760804664</v>
      </c>
      <c r="AZ110" s="636">
        <f t="shared" ref="AZ110" si="319">SUM(AW110+AX110+AY110)</f>
        <v>0.51763121282413993</v>
      </c>
      <c r="BA110" s="642">
        <f t="shared" si="99"/>
        <v>2.0705248512965602</v>
      </c>
    </row>
    <row r="111" spans="1:53" ht="18.75" hidden="1">
      <c r="A111" s="439" t="s">
        <v>609</v>
      </c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433"/>
      <c r="U111" s="433"/>
      <c r="V111" s="634">
        <f>SUM(V112:V112)</f>
        <v>0.13113324058211545</v>
      </c>
      <c r="W111" s="640"/>
      <c r="X111" s="634">
        <f>SUM(V111*стоки!AK55/стоки!AI55)</f>
        <v>0.13013350449250857</v>
      </c>
      <c r="Y111" s="644">
        <f t="shared" si="303"/>
        <v>9.9973608960687854E-4</v>
      </c>
      <c r="Z111" s="411">
        <f>SUM(Z112)</f>
        <v>1.0927770048509622E-2</v>
      </c>
      <c r="AA111" s="1015"/>
      <c r="AB111" s="411">
        <f>SUM(AB112)</f>
        <v>1.0927770048509622E-2</v>
      </c>
      <c r="AC111" s="411">
        <f>SUM(AC112)</f>
        <v>1.0927770048509622E-2</v>
      </c>
      <c r="AD111" s="636">
        <f t="shared" si="93"/>
        <v>3.2783310145528863E-2</v>
      </c>
      <c r="AE111" s="1020"/>
      <c r="AF111" s="1020"/>
      <c r="AG111" s="1020"/>
      <c r="AH111" s="1020"/>
      <c r="AI111" s="1020"/>
      <c r="AJ111" s="411">
        <f t="shared" ref="AJ111:AL111" si="320">SUM(AJ112)</f>
        <v>1.0927770048509622E-2</v>
      </c>
      <c r="AK111" s="411">
        <f t="shared" si="320"/>
        <v>1.0927770048509622E-2</v>
      </c>
      <c r="AL111" s="411">
        <f t="shared" si="320"/>
        <v>1.0927770048509622E-2</v>
      </c>
      <c r="AM111" s="636">
        <f t="shared" si="94"/>
        <v>3.2783310145528863E-2</v>
      </c>
      <c r="AN111" s="636">
        <f t="shared" si="95"/>
        <v>6.5566620291057726E-2</v>
      </c>
      <c r="AO111" s="411">
        <f t="shared" ref="AO111" si="321">SUM(AO112)</f>
        <v>1.0927770048509622E-2</v>
      </c>
      <c r="AP111" s="411">
        <f t="shared" ref="AP111" si="322">SUM(AP112)</f>
        <v>1.0927770048509622E-2</v>
      </c>
      <c r="AQ111" s="411">
        <f t="shared" ref="AQ111" si="323">SUM(AQ112)</f>
        <v>1.0927770048509622E-2</v>
      </c>
      <c r="AR111" s="636">
        <f t="shared" si="96"/>
        <v>3.2783310145528863E-2</v>
      </c>
      <c r="AS111" s="636">
        <f t="shared" si="97"/>
        <v>9.8349930436586588E-2</v>
      </c>
      <c r="AT111" s="4053"/>
      <c r="AU111" s="4053"/>
      <c r="AV111" s="4053"/>
      <c r="AW111" s="411">
        <f t="shared" ref="AW111" si="324">SUM(AW112)</f>
        <v>1.0927770048509622E-2</v>
      </c>
      <c r="AX111" s="411">
        <f t="shared" ref="AX111" si="325">SUM(AX112)</f>
        <v>1.0927770048509622E-2</v>
      </c>
      <c r="AY111" s="411">
        <f t="shared" ref="AY111" si="326">SUM(AY112)</f>
        <v>1.0927770048509622E-2</v>
      </c>
      <c r="AZ111" s="636">
        <f t="shared" si="98"/>
        <v>3.2783310145528863E-2</v>
      </c>
      <c r="BA111" s="642">
        <f t="shared" si="99"/>
        <v>0.13113324058211542</v>
      </c>
    </row>
    <row r="112" spans="1:53" ht="18.75" hidden="1">
      <c r="A112" s="429" t="s">
        <v>613</v>
      </c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433"/>
      <c r="U112" s="433"/>
      <c r="V112" s="634">
        <f>SUM(V100*0.019%)</f>
        <v>0.13113324058211545</v>
      </c>
      <c r="W112" s="640"/>
      <c r="X112" s="634">
        <f>SUM(V112*стоки!AK55/стоки!AI55)</f>
        <v>0.13013350449250857</v>
      </c>
      <c r="Y112" s="644">
        <f t="shared" ref="Y112" si="327">SUM(V112-X112)</f>
        <v>9.9973608960687854E-4</v>
      </c>
      <c r="Z112" s="412">
        <f t="shared" ref="Z112" si="328">SUM(V112/12)</f>
        <v>1.0927770048509622E-2</v>
      </c>
      <c r="AA112" s="1013"/>
      <c r="AB112" s="412">
        <f t="shared" ref="AB112" si="329">SUM(Z112)</f>
        <v>1.0927770048509622E-2</v>
      </c>
      <c r="AC112" s="412">
        <f t="shared" ref="AC112" si="330">SUM(Z112)</f>
        <v>1.0927770048509622E-2</v>
      </c>
      <c r="AD112" s="636">
        <f t="shared" ref="AD112" si="331">SUM(Z112+AB112+AC112)</f>
        <v>3.2783310145528863E-2</v>
      </c>
      <c r="AE112" s="1020"/>
      <c r="AF112" s="1020"/>
      <c r="AG112" s="1020"/>
      <c r="AH112" s="1020"/>
      <c r="AI112" s="1020"/>
      <c r="AJ112" s="635">
        <f t="shared" ref="AJ112" si="332">SUM(Z112)</f>
        <v>1.0927770048509622E-2</v>
      </c>
      <c r="AK112" s="635">
        <f t="shared" ref="AK112" si="333">SUM(Z112)</f>
        <v>1.0927770048509622E-2</v>
      </c>
      <c r="AL112" s="635">
        <f t="shared" ref="AL112" si="334">SUM(Z112)</f>
        <v>1.0927770048509622E-2</v>
      </c>
      <c r="AM112" s="636">
        <f t="shared" ref="AM112" si="335">SUM(AJ112+AK112+AL112)</f>
        <v>3.2783310145528863E-2</v>
      </c>
      <c r="AN112" s="636">
        <f t="shared" si="95"/>
        <v>6.5566620291057726E-2</v>
      </c>
      <c r="AO112" s="635">
        <f t="shared" ref="AO112" si="336">SUM(Z112)</f>
        <v>1.0927770048509622E-2</v>
      </c>
      <c r="AP112" s="635">
        <f t="shared" ref="AP112" si="337">SUM(Z112)</f>
        <v>1.0927770048509622E-2</v>
      </c>
      <c r="AQ112" s="635">
        <f t="shared" ref="AQ112" si="338">SUM(Z112)</f>
        <v>1.0927770048509622E-2</v>
      </c>
      <c r="AR112" s="636">
        <f t="shared" ref="AR112" si="339">SUM(AO112+AP112+AQ112)</f>
        <v>3.2783310145528863E-2</v>
      </c>
      <c r="AS112" s="636">
        <f t="shared" si="97"/>
        <v>9.8349930436586588E-2</v>
      </c>
      <c r="AT112" s="4053"/>
      <c r="AU112" s="4053"/>
      <c r="AV112" s="4053"/>
      <c r="AW112" s="635">
        <f t="shared" ref="AW112" si="340">SUM(Z112)</f>
        <v>1.0927770048509622E-2</v>
      </c>
      <c r="AX112" s="635">
        <f t="shared" ref="AX112" si="341">SUM(Z112)</f>
        <v>1.0927770048509622E-2</v>
      </c>
      <c r="AY112" s="635">
        <f t="shared" ref="AY112" si="342">SUM(Z112)</f>
        <v>1.0927770048509622E-2</v>
      </c>
      <c r="AZ112" s="636">
        <f t="shared" ref="AZ112" si="343">SUM(AW112+AX112+AY112)</f>
        <v>3.2783310145528863E-2</v>
      </c>
      <c r="BA112" s="642">
        <f t="shared" si="99"/>
        <v>0.13113324058211542</v>
      </c>
    </row>
    <row r="113" spans="1:53" ht="18.75" hidden="1" customHeight="1">
      <c r="A113" s="631" t="s">
        <v>622</v>
      </c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433"/>
      <c r="U113" s="433"/>
      <c r="V113" s="637">
        <f>SUM(AC50)</f>
        <v>2687.5084197683254</v>
      </c>
      <c r="W113" s="640"/>
      <c r="X113" s="637">
        <f t="shared" ref="X113:X122" si="344">SUM(V113)</f>
        <v>2687.5084197683254</v>
      </c>
      <c r="Y113" s="643">
        <f>SUM(V113-X113)</f>
        <v>0</v>
      </c>
      <c r="Z113" s="409">
        <f>SUM(Z114+Z115+Z116+Z117+Z118+Z120)</f>
        <v>216.83777765156583</v>
      </c>
      <c r="AA113" s="1012"/>
      <c r="AB113" s="409">
        <f t="shared" ref="AB113:AC113" si="345">SUM(AB114+AB115+AB116+AB117+AB118+AB120)</f>
        <v>216.83777765156583</v>
      </c>
      <c r="AC113" s="409">
        <f t="shared" si="345"/>
        <v>216.83777765156583</v>
      </c>
      <c r="AD113" s="645">
        <f t="shared" si="93"/>
        <v>650.51333295469749</v>
      </c>
      <c r="AE113" s="1019"/>
      <c r="AF113" s="1019"/>
      <c r="AG113" s="1019"/>
      <c r="AH113" s="1019"/>
      <c r="AI113" s="1019"/>
      <c r="AJ113" s="409">
        <f t="shared" ref="AJ113" si="346">SUM(AJ114+AJ115+AJ116+AJ117+AJ118+AJ120)</f>
        <v>216.88276654251274</v>
      </c>
      <c r="AK113" s="409">
        <f t="shared" ref="AK113" si="347">SUM(AK114+AK115+AK116+AK117+AK118+AK120)</f>
        <v>217.62758262596734</v>
      </c>
      <c r="AL113" s="409">
        <f t="shared" ref="AL113" si="348">SUM(AL114+AL115+AL116+AL117+AL118+AL120)</f>
        <v>218.27742216186732</v>
      </c>
      <c r="AM113" s="645">
        <f t="shared" si="94"/>
        <v>652.78777133034737</v>
      </c>
      <c r="AN113" s="645">
        <f t="shared" si="95"/>
        <v>1303.3011042850449</v>
      </c>
      <c r="AO113" s="409">
        <f t="shared" ref="AO113" si="349">SUM(AO114+AO115+AO116+AO117+AO118+AO120)</f>
        <v>231.69180797565591</v>
      </c>
      <c r="AP113" s="409">
        <f t="shared" ref="AP113" si="350">SUM(AP114+AP115+AP116+AP117+AP118+AP120)</f>
        <v>231.4968561148859</v>
      </c>
      <c r="AQ113" s="409">
        <f t="shared" ref="AQ113" si="351">SUM(AQ114+AQ115+AQ116+AQ117+AQ118+AQ120)</f>
        <v>230.84701657898592</v>
      </c>
      <c r="AR113" s="645">
        <f t="shared" si="96"/>
        <v>694.03568066952766</v>
      </c>
      <c r="AS113" s="645">
        <f t="shared" si="97"/>
        <v>1997.3367849545725</v>
      </c>
      <c r="AT113" s="4063"/>
      <c r="AU113" s="4063"/>
      <c r="AV113" s="4063"/>
      <c r="AW113" s="409">
        <f t="shared" ref="AW113" si="352">SUM(AW114+AW115+AW116+AW117+AW118+AW120)</f>
        <v>230.05721160458441</v>
      </c>
      <c r="AX113" s="409">
        <f t="shared" ref="AX113" si="353">SUM(AX114+AX115+AX116+AX117+AX118+AX120)</f>
        <v>230.05721160458441</v>
      </c>
      <c r="AY113" s="409">
        <f t="shared" ref="AY113" si="354">SUM(AY114+AY115+AY116+AY117+AY118+AY120)</f>
        <v>230.05721160458441</v>
      </c>
      <c r="AZ113" s="645">
        <f t="shared" si="98"/>
        <v>690.17163481375326</v>
      </c>
      <c r="BA113" s="642">
        <f t="shared" si="99"/>
        <v>2687.5084197683259</v>
      </c>
    </row>
    <row r="114" spans="1:53" ht="18.75" hidden="1">
      <c r="A114" s="439" t="s">
        <v>72</v>
      </c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433"/>
      <c r="U114" s="433"/>
      <c r="V114" s="634">
        <f>SUM(V113*70.01%)</f>
        <v>1881.5246446798049</v>
      </c>
      <c r="W114" s="640"/>
      <c r="X114" s="634">
        <f t="shared" si="344"/>
        <v>1881.5246446798049</v>
      </c>
      <c r="Y114" s="644">
        <f t="shared" ref="Y114:Y117" si="355">SUM(V114-X114)</f>
        <v>0</v>
      </c>
      <c r="Z114" s="412">
        <f>SUM(V114/2)/(1+(106.7%*100-100)/2/100)/6</f>
        <v>151.71138886307088</v>
      </c>
      <c r="AA114" s="1013"/>
      <c r="AB114" s="411">
        <f>SUM(Z114)</f>
        <v>151.71138886307088</v>
      </c>
      <c r="AC114" s="412">
        <f>SUM(Z114)</f>
        <v>151.71138886307088</v>
      </c>
      <c r="AD114" s="636">
        <f>SUM(Z114+AB114+AC114)</f>
        <v>455.13416658921267</v>
      </c>
      <c r="AE114" s="1020"/>
      <c r="AF114" s="1020"/>
      <c r="AG114" s="1020"/>
      <c r="AH114" s="1020"/>
      <c r="AI114" s="1020"/>
      <c r="AJ114" s="635">
        <f>SUM(Z114)</f>
        <v>151.71138886307088</v>
      </c>
      <c r="AK114" s="635">
        <f>SUM(Z114)</f>
        <v>151.71138886307088</v>
      </c>
      <c r="AL114" s="635">
        <f>SUM(Z114)</f>
        <v>151.71138886307088</v>
      </c>
      <c r="AM114" s="636">
        <f>SUM(AJ114+AK114+AL114)</f>
        <v>455.13416658921267</v>
      </c>
      <c r="AN114" s="636">
        <f>SUM(AD114+AM114)</f>
        <v>910.26833317842534</v>
      </c>
      <c r="AO114" s="635">
        <f>SUM(V114-AN114)/6</f>
        <v>161.87605191689659</v>
      </c>
      <c r="AP114" s="635">
        <f>SUM(AO114)</f>
        <v>161.87605191689659</v>
      </c>
      <c r="AQ114" s="635">
        <f>SUM(AO114)</f>
        <v>161.87605191689659</v>
      </c>
      <c r="AR114" s="636">
        <f>SUM(AO114+AP114+AQ114)</f>
        <v>485.62815575068976</v>
      </c>
      <c r="AS114" s="636">
        <f>SUM(AN114+AR114)</f>
        <v>1395.8964889291151</v>
      </c>
      <c r="AT114" s="4053"/>
      <c r="AU114" s="4053"/>
      <c r="AV114" s="4053"/>
      <c r="AW114" s="635">
        <f>SUM(AO114)</f>
        <v>161.87605191689659</v>
      </c>
      <c r="AX114" s="635">
        <f>SUM(AO114)</f>
        <v>161.87605191689659</v>
      </c>
      <c r="AY114" s="635">
        <f>SUM(AO114)</f>
        <v>161.87605191689659</v>
      </c>
      <c r="AZ114" s="636">
        <f>SUM(AW114+AX114+AY114)</f>
        <v>485.62815575068976</v>
      </c>
      <c r="BA114" s="642">
        <f>SUM(AY114+AX114+AW114+AQ114+AP114+AO114+AL114+AK114+AJ114+AC114+AB114+Z114)</f>
        <v>1881.5246446798046</v>
      </c>
    </row>
    <row r="115" spans="1:53" ht="18.75" hidden="1">
      <c r="A115" s="439" t="s">
        <v>121</v>
      </c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433"/>
      <c r="U115" s="433"/>
      <c r="V115" s="634">
        <f>SUM(V113*21.04%)</f>
        <v>565.45177151925566</v>
      </c>
      <c r="W115" s="640"/>
      <c r="X115" s="634">
        <f t="shared" si="344"/>
        <v>565.45177151925566</v>
      </c>
      <c r="Y115" s="644">
        <f t="shared" si="355"/>
        <v>0</v>
      </c>
      <c r="Z115" s="412">
        <f>SUM(Z114*(V115/V114))</f>
        <v>45.593595510341537</v>
      </c>
      <c r="AA115" s="1013"/>
      <c r="AB115" s="412">
        <f>SUM(Z115)</f>
        <v>45.593595510341537</v>
      </c>
      <c r="AC115" s="411">
        <f>SUM(Z115)</f>
        <v>45.593595510341537</v>
      </c>
      <c r="AD115" s="636">
        <f t="shared" ref="AD115" si="356">SUM(Z115+AB115+AC115)</f>
        <v>136.7807865310246</v>
      </c>
      <c r="AE115" s="1020"/>
      <c r="AF115" s="1020"/>
      <c r="AG115" s="1020"/>
      <c r="AH115" s="1020"/>
      <c r="AI115" s="1020"/>
      <c r="AJ115" s="635">
        <f>SUM(Z115)</f>
        <v>45.593595510341537</v>
      </c>
      <c r="AK115" s="635">
        <f>SUM(Z115)</f>
        <v>45.593595510341537</v>
      </c>
      <c r="AL115" s="635">
        <f>SUM(Z115)</f>
        <v>45.593595510341537</v>
      </c>
      <c r="AM115" s="636">
        <f t="shared" ref="AM115" si="357">SUM(AJ115+AK115+AL115)</f>
        <v>136.7807865310246</v>
      </c>
      <c r="AN115" s="636">
        <f t="shared" ref="AN115:AN124" si="358">SUM(AD115+AM115)</f>
        <v>273.56157306204921</v>
      </c>
      <c r="AO115" s="635">
        <f>SUM(V115-AN115)/6</f>
        <v>48.648366409534411</v>
      </c>
      <c r="AP115" s="635">
        <f>SUM(AO115)</f>
        <v>48.648366409534411</v>
      </c>
      <c r="AQ115" s="635">
        <f>SUM(AO115)</f>
        <v>48.648366409534411</v>
      </c>
      <c r="AR115" s="636">
        <f t="shared" ref="AR115" si="359">SUM(AO115+AP115+AQ115)</f>
        <v>145.94509922860323</v>
      </c>
      <c r="AS115" s="636">
        <f t="shared" ref="AS115:AS124" si="360">SUM(AN115+AR115)</f>
        <v>419.50667229065243</v>
      </c>
      <c r="AT115" s="4053"/>
      <c r="AU115" s="4053"/>
      <c r="AV115" s="4053"/>
      <c r="AW115" s="635">
        <f>SUM(AO115)</f>
        <v>48.648366409534411</v>
      </c>
      <c r="AX115" s="635">
        <f>SUM(AO115)</f>
        <v>48.648366409534411</v>
      </c>
      <c r="AY115" s="635">
        <f>SUM(AO115)</f>
        <v>48.648366409534411</v>
      </c>
      <c r="AZ115" s="636">
        <f t="shared" ref="AZ115" si="361">SUM(AW115+AX115+AY115)</f>
        <v>145.94509922860323</v>
      </c>
      <c r="BA115" s="642">
        <f t="shared" ref="BA115" si="362">SUM(AY115+AX115+AW115+AQ115+AP115+AO115+AL115+AK115+AJ115+AC115+AB115+Z115)</f>
        <v>565.45177151925554</v>
      </c>
    </row>
    <row r="116" spans="1:53" ht="18.75" hidden="1">
      <c r="A116" s="439" t="s">
        <v>52</v>
      </c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433"/>
      <c r="U116" s="433"/>
      <c r="V116" s="634">
        <f>SUM(V113*0.18%)</f>
        <v>4.8375151555829854</v>
      </c>
      <c r="W116" s="640"/>
      <c r="X116" s="634">
        <f t="shared" si="344"/>
        <v>4.8375151555829854</v>
      </c>
      <c r="Y116" s="644">
        <f t="shared" si="355"/>
        <v>0</v>
      </c>
      <c r="Z116" s="412">
        <f t="shared" ref="Z116:Z117" si="363">SUM(V116/12)</f>
        <v>0.40312626296524878</v>
      </c>
      <c r="AA116" s="1013"/>
      <c r="AB116" s="412">
        <f t="shared" ref="AB116:AB117" si="364">SUM(Z116)</f>
        <v>0.40312626296524878</v>
      </c>
      <c r="AC116" s="412">
        <f t="shared" ref="AC116:AC117" si="365">SUM(Z116)</f>
        <v>0.40312626296524878</v>
      </c>
      <c r="AD116" s="636">
        <f t="shared" ref="AD116:AD117" si="366">SUM(Z116+AB116+AC116)</f>
        <v>1.2093787888957463</v>
      </c>
      <c r="AE116" s="1020"/>
      <c r="AF116" s="1020"/>
      <c r="AG116" s="1020"/>
      <c r="AH116" s="1020"/>
      <c r="AI116" s="1020"/>
      <c r="AJ116" s="635">
        <f t="shared" ref="AJ116:AJ117" si="367">SUM(Z116)</f>
        <v>0.40312626296524878</v>
      </c>
      <c r="AK116" s="635">
        <f t="shared" ref="AK116:AK117" si="368">SUM(Z116)</f>
        <v>0.40312626296524878</v>
      </c>
      <c r="AL116" s="635">
        <f t="shared" ref="AL116:AL117" si="369">SUM(Z116)</f>
        <v>0.40312626296524878</v>
      </c>
      <c r="AM116" s="636">
        <f t="shared" ref="AM116:AM117" si="370">SUM(AJ116+AK116+AL116)</f>
        <v>1.2093787888957463</v>
      </c>
      <c r="AN116" s="636">
        <f t="shared" si="358"/>
        <v>2.4187575777914927</v>
      </c>
      <c r="AO116" s="635">
        <f t="shared" ref="AO116:AO117" si="371">SUM(Z116)</f>
        <v>0.40312626296524878</v>
      </c>
      <c r="AP116" s="635">
        <f t="shared" ref="AP116:AP117" si="372">SUM(Z116)</f>
        <v>0.40312626296524878</v>
      </c>
      <c r="AQ116" s="635">
        <f t="shared" ref="AQ116:AQ117" si="373">SUM(Z116)</f>
        <v>0.40312626296524878</v>
      </c>
      <c r="AR116" s="636">
        <f t="shared" ref="AR116:AR117" si="374">SUM(AO116+AP116+AQ116)</f>
        <v>1.2093787888957463</v>
      </c>
      <c r="AS116" s="636">
        <f t="shared" si="360"/>
        <v>3.6281363666872393</v>
      </c>
      <c r="AT116" s="4053"/>
      <c r="AU116" s="4053"/>
      <c r="AV116" s="4053"/>
      <c r="AW116" s="635">
        <f t="shared" ref="AW116:AW117" si="375">SUM(Z116)</f>
        <v>0.40312626296524878</v>
      </c>
      <c r="AX116" s="635">
        <f t="shared" ref="AX116:AX117" si="376">SUM(Z116)</f>
        <v>0.40312626296524878</v>
      </c>
      <c r="AY116" s="635">
        <f t="shared" ref="AY116:AY117" si="377">SUM(Z116)</f>
        <v>0.40312626296524878</v>
      </c>
      <c r="AZ116" s="636">
        <f t="shared" ref="AZ116:AZ117" si="378">SUM(AW116+AX116+AY116)</f>
        <v>1.2093787888957463</v>
      </c>
      <c r="BA116" s="642">
        <f t="shared" si="99"/>
        <v>4.8375151555829872</v>
      </c>
    </row>
    <row r="117" spans="1:53" ht="18.75" hidden="1">
      <c r="A117" s="439" t="s">
        <v>605</v>
      </c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433"/>
      <c r="U117" s="433"/>
      <c r="V117" s="634">
        <f>SUM(V113*6.19%)</f>
        <v>166.35677118365936</v>
      </c>
      <c r="W117" s="640"/>
      <c r="X117" s="634">
        <f t="shared" si="344"/>
        <v>166.35677118365936</v>
      </c>
      <c r="Y117" s="644">
        <f t="shared" si="355"/>
        <v>0</v>
      </c>
      <c r="Z117" s="412">
        <f t="shared" si="363"/>
        <v>13.863064265304947</v>
      </c>
      <c r="AA117" s="1013"/>
      <c r="AB117" s="412">
        <f t="shared" si="364"/>
        <v>13.863064265304947</v>
      </c>
      <c r="AC117" s="412">
        <f t="shared" si="365"/>
        <v>13.863064265304947</v>
      </c>
      <c r="AD117" s="636">
        <f t="shared" si="366"/>
        <v>41.58919279591484</v>
      </c>
      <c r="AE117" s="1020"/>
      <c r="AF117" s="1020"/>
      <c r="AG117" s="1020"/>
      <c r="AH117" s="1020"/>
      <c r="AI117" s="1020"/>
      <c r="AJ117" s="635">
        <f t="shared" si="367"/>
        <v>13.863064265304947</v>
      </c>
      <c r="AK117" s="635">
        <f t="shared" si="368"/>
        <v>13.863064265304947</v>
      </c>
      <c r="AL117" s="635">
        <f t="shared" si="369"/>
        <v>13.863064265304947</v>
      </c>
      <c r="AM117" s="636">
        <f t="shared" si="370"/>
        <v>41.58919279591484</v>
      </c>
      <c r="AN117" s="636">
        <f t="shared" si="358"/>
        <v>83.178385591829681</v>
      </c>
      <c r="AO117" s="635">
        <f t="shared" si="371"/>
        <v>13.863064265304947</v>
      </c>
      <c r="AP117" s="635">
        <f t="shared" si="372"/>
        <v>13.863064265304947</v>
      </c>
      <c r="AQ117" s="635">
        <f t="shared" si="373"/>
        <v>13.863064265304947</v>
      </c>
      <c r="AR117" s="636">
        <f t="shared" si="374"/>
        <v>41.58919279591484</v>
      </c>
      <c r="AS117" s="636">
        <f t="shared" si="360"/>
        <v>124.76757838774452</v>
      </c>
      <c r="AT117" s="4053"/>
      <c r="AU117" s="4053"/>
      <c r="AV117" s="4053"/>
      <c r="AW117" s="635">
        <f t="shared" si="375"/>
        <v>13.863064265304947</v>
      </c>
      <c r="AX117" s="635">
        <f t="shared" si="376"/>
        <v>13.863064265304947</v>
      </c>
      <c r="AY117" s="635">
        <f t="shared" si="377"/>
        <v>13.863064265304947</v>
      </c>
      <c r="AZ117" s="636">
        <f t="shared" si="378"/>
        <v>41.58919279591484</v>
      </c>
      <c r="BA117" s="642">
        <f t="shared" si="99"/>
        <v>166.35677118365936</v>
      </c>
    </row>
    <row r="118" spans="1:53" ht="18.75" hidden="1">
      <c r="A118" s="439" t="s">
        <v>606</v>
      </c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433"/>
      <c r="U118" s="433"/>
      <c r="V118" s="634">
        <f>SUM(V119)</f>
        <v>18.812558938378277</v>
      </c>
      <c r="W118" s="640"/>
      <c r="X118" s="634">
        <f t="shared" si="344"/>
        <v>18.812558938378277</v>
      </c>
      <c r="Y118" s="634">
        <f t="shared" ref="Y118:AL118" si="379">SUM(Y119)</f>
        <v>0</v>
      </c>
      <c r="Z118" s="411">
        <f t="shared" si="379"/>
        <v>1.5677132448648565</v>
      </c>
      <c r="AA118" s="1015"/>
      <c r="AB118" s="411">
        <f t="shared" si="379"/>
        <v>1.5677132448648565</v>
      </c>
      <c r="AC118" s="411">
        <f t="shared" si="379"/>
        <v>1.5677132448648565</v>
      </c>
      <c r="AD118" s="636">
        <f t="shared" ref="AD118:AD124" si="380">SUM(Z118+AB118+AC118)</f>
        <v>4.7031397345945694</v>
      </c>
      <c r="AE118" s="1020"/>
      <c r="AF118" s="1020"/>
      <c r="AG118" s="1020"/>
      <c r="AH118" s="1020"/>
      <c r="AI118" s="1020"/>
      <c r="AJ118" s="411">
        <f t="shared" si="379"/>
        <v>1.5677132448648565</v>
      </c>
      <c r="AK118" s="411">
        <f t="shared" si="379"/>
        <v>1.5677132448648565</v>
      </c>
      <c r="AL118" s="411">
        <f t="shared" si="379"/>
        <v>1.5677132448648565</v>
      </c>
      <c r="AM118" s="636">
        <f t="shared" ref="AM118:AM124" si="381">SUM(AJ118+AK118+AL118)</f>
        <v>4.7031397345945694</v>
      </c>
      <c r="AN118" s="636">
        <f t="shared" si="358"/>
        <v>9.4062794691891387</v>
      </c>
      <c r="AO118" s="411">
        <f t="shared" ref="AO118:AQ118" si="382">SUM(AO119)</f>
        <v>1.5677132448648565</v>
      </c>
      <c r="AP118" s="411">
        <f t="shared" si="382"/>
        <v>1.5677132448648565</v>
      </c>
      <c r="AQ118" s="411">
        <f t="shared" si="382"/>
        <v>1.5677132448648565</v>
      </c>
      <c r="AR118" s="636">
        <f t="shared" ref="AR118:AR124" si="383">SUM(AO118+AP118+AQ118)</f>
        <v>4.7031397345945694</v>
      </c>
      <c r="AS118" s="636">
        <f t="shared" si="360"/>
        <v>14.109419203783709</v>
      </c>
      <c r="AT118" s="4053"/>
      <c r="AU118" s="4053"/>
      <c r="AV118" s="4053"/>
      <c r="AW118" s="411">
        <f t="shared" ref="AW118:AY118" si="384">SUM(AW119)</f>
        <v>1.5677132448648565</v>
      </c>
      <c r="AX118" s="411">
        <f t="shared" si="384"/>
        <v>1.5677132448648565</v>
      </c>
      <c r="AY118" s="411">
        <f t="shared" si="384"/>
        <v>1.5677132448648565</v>
      </c>
      <c r="AZ118" s="636">
        <f t="shared" ref="AZ118:AZ124" si="385">SUM(AW118+AX118+AY118)</f>
        <v>4.7031397345945694</v>
      </c>
      <c r="BA118" s="642">
        <f t="shared" ref="BA118:BA124" si="386">SUM(AY118+AX118+AW118+AQ118+AP118+AO118+AL118+AK118+AJ118+AC118+AB118+Z118)</f>
        <v>18.812558938378277</v>
      </c>
    </row>
    <row r="119" spans="1:53" ht="18.75" hidden="1">
      <c r="A119" s="429" t="s">
        <v>564</v>
      </c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433"/>
      <c r="U119" s="433"/>
      <c r="V119" s="634">
        <f>SUM(V113*0.7%)</f>
        <v>18.812558938378277</v>
      </c>
      <c r="W119" s="640"/>
      <c r="X119" s="634">
        <f t="shared" si="344"/>
        <v>18.812558938378277</v>
      </c>
      <c r="Y119" s="644">
        <f t="shared" ref="Y119" si="387">SUM(V119-X119)</f>
        <v>0</v>
      </c>
      <c r="Z119" s="412">
        <f t="shared" ref="Z119" si="388">SUM(V119/12)</f>
        <v>1.5677132448648565</v>
      </c>
      <c r="AA119" s="1013"/>
      <c r="AB119" s="412">
        <f t="shared" ref="AB119" si="389">SUM(Z119)</f>
        <v>1.5677132448648565</v>
      </c>
      <c r="AC119" s="412">
        <f t="shared" ref="AC119" si="390">SUM(Z119)</f>
        <v>1.5677132448648565</v>
      </c>
      <c r="AD119" s="636">
        <f t="shared" si="380"/>
        <v>4.7031397345945694</v>
      </c>
      <c r="AE119" s="1020"/>
      <c r="AF119" s="1020"/>
      <c r="AG119" s="1020"/>
      <c r="AH119" s="1020"/>
      <c r="AI119" s="1020"/>
      <c r="AJ119" s="412">
        <f t="shared" ref="AJ119" si="391">SUM(Z119)</f>
        <v>1.5677132448648565</v>
      </c>
      <c r="AK119" s="412">
        <f t="shared" ref="AK119" si="392">SUM(Z119)</f>
        <v>1.5677132448648565</v>
      </c>
      <c r="AL119" s="412">
        <f t="shared" ref="AL119" si="393">SUM(Z119)</f>
        <v>1.5677132448648565</v>
      </c>
      <c r="AM119" s="636">
        <f t="shared" si="381"/>
        <v>4.7031397345945694</v>
      </c>
      <c r="AN119" s="636">
        <f t="shared" si="358"/>
        <v>9.4062794691891387</v>
      </c>
      <c r="AO119" s="412">
        <f t="shared" ref="AO119" si="394">SUM(Z119)</f>
        <v>1.5677132448648565</v>
      </c>
      <c r="AP119" s="412">
        <f t="shared" ref="AP119" si="395">SUM(Z119)</f>
        <v>1.5677132448648565</v>
      </c>
      <c r="AQ119" s="412">
        <f t="shared" ref="AQ119" si="396">SUM(Z119)</f>
        <v>1.5677132448648565</v>
      </c>
      <c r="AR119" s="636">
        <f t="shared" si="383"/>
        <v>4.7031397345945694</v>
      </c>
      <c r="AS119" s="636">
        <f t="shared" si="360"/>
        <v>14.109419203783709</v>
      </c>
      <c r="AT119" s="4053"/>
      <c r="AU119" s="4053"/>
      <c r="AV119" s="4053"/>
      <c r="AW119" s="412">
        <f t="shared" ref="AW119" si="397">SUM(Z119)</f>
        <v>1.5677132448648565</v>
      </c>
      <c r="AX119" s="412">
        <f t="shared" ref="AX119" si="398">SUM(Z119)</f>
        <v>1.5677132448648565</v>
      </c>
      <c r="AY119" s="412">
        <f t="shared" ref="AY119" si="399">SUM(Z119)</f>
        <v>1.5677132448648565</v>
      </c>
      <c r="AZ119" s="636">
        <f t="shared" si="385"/>
        <v>4.7031397345945694</v>
      </c>
      <c r="BA119" s="642">
        <f t="shared" si="386"/>
        <v>18.812558938378277</v>
      </c>
    </row>
    <row r="120" spans="1:53" ht="18.75" hidden="1">
      <c r="A120" s="439" t="s">
        <v>609</v>
      </c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433"/>
      <c r="U120" s="433"/>
      <c r="V120" s="634">
        <f>SUM(V121:V122)</f>
        <v>50.525158291644523</v>
      </c>
      <c r="W120" s="640"/>
      <c r="X120" s="634">
        <f t="shared" si="344"/>
        <v>50.525158291644523</v>
      </c>
      <c r="Y120" s="634">
        <f>SUM(Y121:Y122)</f>
        <v>0</v>
      </c>
      <c r="Z120" s="411">
        <f>SUM(Z121:Z122)</f>
        <v>3.6988895050183404</v>
      </c>
      <c r="AA120" s="1015"/>
      <c r="AB120" s="411">
        <f>SUM(AB121:AB122)</f>
        <v>3.6988895050183404</v>
      </c>
      <c r="AC120" s="411">
        <f>SUM(AC121:AC122)</f>
        <v>3.6988895050183404</v>
      </c>
      <c r="AD120" s="636">
        <f t="shared" si="380"/>
        <v>11.096668515055022</v>
      </c>
      <c r="AE120" s="1020"/>
      <c r="AF120" s="1020"/>
      <c r="AG120" s="1020"/>
      <c r="AH120" s="1020"/>
      <c r="AI120" s="1020"/>
      <c r="AJ120" s="411">
        <f>SUM(AJ121:AJ122)</f>
        <v>3.7438783959652628</v>
      </c>
      <c r="AK120" s="411">
        <f>SUM(AK121:AK122)</f>
        <v>4.4886944794198564</v>
      </c>
      <c r="AL120" s="411">
        <f>SUM(AL121:AL122)</f>
        <v>5.138534015319836</v>
      </c>
      <c r="AM120" s="636">
        <f t="shared" si="381"/>
        <v>13.371106890704956</v>
      </c>
      <c r="AN120" s="636">
        <f t="shared" si="358"/>
        <v>24.46777540575998</v>
      </c>
      <c r="AO120" s="411">
        <f>SUM(AO121:AO122)</f>
        <v>5.3334858760898314</v>
      </c>
      <c r="AP120" s="411">
        <f>SUM(AP121:AP122)</f>
        <v>5.138534015319836</v>
      </c>
      <c r="AQ120" s="411">
        <f>SUM(AQ121:AQ122)</f>
        <v>4.4886944794198564</v>
      </c>
      <c r="AR120" s="636">
        <f t="shared" si="383"/>
        <v>14.960714370829525</v>
      </c>
      <c r="AS120" s="636">
        <f t="shared" si="360"/>
        <v>39.428489776589501</v>
      </c>
      <c r="AT120" s="4053"/>
      <c r="AU120" s="4053"/>
      <c r="AV120" s="4053"/>
      <c r="AW120" s="411">
        <f>SUM(AW121:AW122)</f>
        <v>3.6988895050183404</v>
      </c>
      <c r="AX120" s="411">
        <f>SUM(AX121:AX122)</f>
        <v>3.6988895050183404</v>
      </c>
      <c r="AY120" s="411">
        <f>SUM(AY121:AY122)</f>
        <v>3.6988895050183404</v>
      </c>
      <c r="AZ120" s="636">
        <f t="shared" si="385"/>
        <v>11.096668515055022</v>
      </c>
      <c r="BA120" s="642">
        <f t="shared" si="386"/>
        <v>50.525158291644523</v>
      </c>
    </row>
    <row r="121" spans="1:53" ht="18.75" hidden="1">
      <c r="A121" s="429" t="s">
        <v>551</v>
      </c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433"/>
      <c r="U121" s="433"/>
      <c r="V121" s="634">
        <f>SUM(V113*1.86%)</f>
        <v>49.987656607690859</v>
      </c>
      <c r="W121" s="640"/>
      <c r="X121" s="634">
        <f t="shared" si="344"/>
        <v>49.987656607690859</v>
      </c>
      <c r="Y121" s="644">
        <f t="shared" ref="Y121:Y122" si="400">SUM(V121-X121)</f>
        <v>0</v>
      </c>
      <c r="Z121" s="412">
        <f>SUM(V121*7.31%)</f>
        <v>3.6540976980222015</v>
      </c>
      <c r="AA121" s="1013"/>
      <c r="AB121" s="412">
        <f>SUM(V121*7.31%)</f>
        <v>3.6540976980222015</v>
      </c>
      <c r="AC121" s="412">
        <f>SUM(V121*7.31%)</f>
        <v>3.6540976980222015</v>
      </c>
      <c r="AD121" s="636">
        <f t="shared" ref="AD121:AD122" si="401">SUM(Z121+AB121+AC121)</f>
        <v>10.962293094066604</v>
      </c>
      <c r="AE121" s="1020"/>
      <c r="AF121" s="1020"/>
      <c r="AG121" s="1020"/>
      <c r="AH121" s="1020"/>
      <c r="AI121" s="1020"/>
      <c r="AJ121" s="412">
        <f>SUM(V121*7.4%)</f>
        <v>3.699086588969124</v>
      </c>
      <c r="AK121" s="412">
        <f>SUM(V121*8.89%)</f>
        <v>4.4439026724237181</v>
      </c>
      <c r="AL121" s="412">
        <f>SUM(V121*10.19%)</f>
        <v>5.0937422083236976</v>
      </c>
      <c r="AM121" s="636">
        <f t="shared" ref="AM121:AM122" si="402">SUM(AJ121+AK121+AL121)</f>
        <v>13.236731469716538</v>
      </c>
      <c r="AN121" s="636">
        <f t="shared" si="358"/>
        <v>24.199024563783141</v>
      </c>
      <c r="AO121" s="412">
        <f>SUM(V121*10.58%)</f>
        <v>5.288694069093693</v>
      </c>
      <c r="AP121" s="412">
        <f>SUM(V121*10.19%)</f>
        <v>5.0937422083236976</v>
      </c>
      <c r="AQ121" s="412">
        <f>SUM(V121*8.89%)</f>
        <v>4.4439026724237181</v>
      </c>
      <c r="AR121" s="636">
        <f t="shared" ref="AR121:AR122" si="403">SUM(AO121+AP121+AQ121)</f>
        <v>14.826338949841109</v>
      </c>
      <c r="AS121" s="636">
        <f t="shared" si="360"/>
        <v>39.025363513624249</v>
      </c>
      <c r="AT121" s="4053"/>
      <c r="AU121" s="4053"/>
      <c r="AV121" s="4053"/>
      <c r="AW121" s="412">
        <f>SUM(V121*7.31%)</f>
        <v>3.6540976980222015</v>
      </c>
      <c r="AX121" s="412">
        <f>SUM(V121*7.31%)</f>
        <v>3.6540976980222015</v>
      </c>
      <c r="AY121" s="412">
        <f>SUM(V121*7.31%)</f>
        <v>3.6540976980222015</v>
      </c>
      <c r="AZ121" s="636">
        <f t="shared" ref="AZ121:AZ122" si="404">SUM(AW121+AX121+AY121)</f>
        <v>10.962293094066604</v>
      </c>
      <c r="BA121" s="642">
        <f t="shared" si="386"/>
        <v>49.987656607690852</v>
      </c>
    </row>
    <row r="122" spans="1:53" ht="18.75" hidden="1">
      <c r="A122" s="650" t="s">
        <v>613</v>
      </c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433"/>
      <c r="U122" s="433"/>
      <c r="V122" s="634">
        <f>SUM(V113*0.02%)</f>
        <v>0.53750168395366515</v>
      </c>
      <c r="W122" s="640"/>
      <c r="X122" s="634">
        <f t="shared" si="344"/>
        <v>0.53750168395366515</v>
      </c>
      <c r="Y122" s="651">
        <f t="shared" si="400"/>
        <v>0</v>
      </c>
      <c r="Z122" s="420">
        <f t="shared" ref="Z122" si="405">SUM(V122/12)</f>
        <v>4.4791806996138765E-2</v>
      </c>
      <c r="AA122" s="1016"/>
      <c r="AB122" s="420">
        <f t="shared" ref="AB122" si="406">SUM(Z122)</f>
        <v>4.4791806996138765E-2</v>
      </c>
      <c r="AC122" s="420">
        <f t="shared" ref="AC122" si="407">SUM(Z122)</f>
        <v>4.4791806996138765E-2</v>
      </c>
      <c r="AD122" s="652">
        <f t="shared" si="401"/>
        <v>0.13437542098841629</v>
      </c>
      <c r="AE122" s="1022"/>
      <c r="AF122" s="1022"/>
      <c r="AG122" s="1022"/>
      <c r="AH122" s="1022"/>
      <c r="AI122" s="1022"/>
      <c r="AJ122" s="653">
        <f t="shared" ref="AJ122" si="408">SUM(Z122)</f>
        <v>4.4791806996138765E-2</v>
      </c>
      <c r="AK122" s="653">
        <f t="shared" ref="AK122" si="409">SUM(Z122)</f>
        <v>4.4791806996138765E-2</v>
      </c>
      <c r="AL122" s="653">
        <f t="shared" ref="AL122" si="410">SUM(Z122)</f>
        <v>4.4791806996138765E-2</v>
      </c>
      <c r="AM122" s="652">
        <f t="shared" si="402"/>
        <v>0.13437542098841629</v>
      </c>
      <c r="AN122" s="652">
        <f t="shared" si="358"/>
        <v>0.26875084197683258</v>
      </c>
      <c r="AO122" s="653">
        <f t="shared" ref="AO122" si="411">SUM(Z122)</f>
        <v>4.4791806996138765E-2</v>
      </c>
      <c r="AP122" s="653">
        <f t="shared" ref="AP122" si="412">SUM(Z122)</f>
        <v>4.4791806996138765E-2</v>
      </c>
      <c r="AQ122" s="653">
        <f t="shared" ref="AQ122" si="413">SUM(Z122)</f>
        <v>4.4791806996138765E-2</v>
      </c>
      <c r="AR122" s="652">
        <f t="shared" si="403"/>
        <v>0.13437542098841629</v>
      </c>
      <c r="AS122" s="652">
        <f t="shared" si="360"/>
        <v>0.40312626296524889</v>
      </c>
      <c r="AT122" s="4055"/>
      <c r="AU122" s="4055"/>
      <c r="AV122" s="4055"/>
      <c r="AW122" s="653">
        <f t="shared" ref="AW122" si="414">SUM(Z122)</f>
        <v>4.4791806996138765E-2</v>
      </c>
      <c r="AX122" s="653">
        <f t="shared" ref="AX122" si="415">SUM(Z122)</f>
        <v>4.4791806996138765E-2</v>
      </c>
      <c r="AY122" s="653">
        <f t="shared" ref="AY122" si="416">SUM(Z122)</f>
        <v>4.4791806996138765E-2</v>
      </c>
      <c r="AZ122" s="652">
        <f t="shared" si="404"/>
        <v>0.13437542098841629</v>
      </c>
      <c r="BA122" s="642">
        <f t="shared" si="386"/>
        <v>0.53750168395366515</v>
      </c>
    </row>
    <row r="123" spans="1:53" ht="19.5" hidden="1">
      <c r="A123" s="440" t="s">
        <v>54</v>
      </c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433"/>
      <c r="U123" s="433"/>
      <c r="V123" s="637">
        <f>SUM(V64+V74+V100+V113)</f>
        <v>11755.79772460473</v>
      </c>
      <c r="W123" s="654"/>
      <c r="X123" s="637">
        <f>SUM(X64+X74+X100+X113)</f>
        <v>11695.19538809931</v>
      </c>
      <c r="Y123" s="637">
        <f>SUM(Y64+Y74+Y100+Y113)</f>
        <v>60.602336505419999</v>
      </c>
      <c r="Z123" s="409">
        <f>SUM(Z64+Z74+Z100+Z113)</f>
        <v>989.79003757873875</v>
      </c>
      <c r="AA123" s="1012"/>
      <c r="AB123" s="409">
        <f>SUM(AB64+AB74+AB100+AB113)</f>
        <v>980.2341365006896</v>
      </c>
      <c r="AC123" s="409">
        <f>SUM(AC64+AC74+AC100+AC113)</f>
        <v>976.09571048255566</v>
      </c>
      <c r="AD123" s="645">
        <f t="shared" si="380"/>
        <v>2946.1198845619838</v>
      </c>
      <c r="AE123" s="1019"/>
      <c r="AF123" s="1019"/>
      <c r="AG123" s="1019"/>
      <c r="AH123" s="1019"/>
      <c r="AI123" s="1019"/>
      <c r="AJ123" s="409">
        <f>SUM(AJ64+AJ74+AJ100+AJ113)</f>
        <v>961.88407502519533</v>
      </c>
      <c r="AK123" s="409">
        <f>SUM(AK64+AK74+AK100+AK113)</f>
        <v>936.40253740927494</v>
      </c>
      <c r="AL123" s="409">
        <f>SUM(AL64+AL74+AL100+AL113)</f>
        <v>930.66897430976155</v>
      </c>
      <c r="AM123" s="645">
        <f t="shared" si="381"/>
        <v>2828.9555867442318</v>
      </c>
      <c r="AN123" s="645">
        <f t="shared" si="358"/>
        <v>5775.0754713062161</v>
      </c>
      <c r="AO123" s="409">
        <f>SUM(AO64+AO74+AO100+AO113)</f>
        <v>974.07458770089181</v>
      </c>
      <c r="AP123" s="409">
        <f>SUM(AP64+AP74+AP100+AP113)</f>
        <v>973.09645462035189</v>
      </c>
      <c r="AQ123" s="409">
        <f>SUM(AQ64+AQ74+AQ100+AQ113)</f>
        <v>985.84212684091722</v>
      </c>
      <c r="AR123" s="645">
        <f t="shared" si="383"/>
        <v>2933.0131691621609</v>
      </c>
      <c r="AS123" s="645">
        <f t="shared" si="360"/>
        <v>8708.088640468377</v>
      </c>
      <c r="AT123" s="4063"/>
      <c r="AU123" s="4063"/>
      <c r="AV123" s="4063"/>
      <c r="AW123" s="409">
        <f>SUM(AW64+AW74+AW100+AW113)</f>
        <v>1005.2184191536765</v>
      </c>
      <c r="AX123" s="409">
        <f>SUM(AX64+AX74+AX100+AX113)</f>
        <v>1015.3477851966146</v>
      </c>
      <c r="AY123" s="409">
        <f>SUM(AY64+AY74+AY100+AY113)</f>
        <v>1027.1359780365581</v>
      </c>
      <c r="AZ123" s="645">
        <f t="shared" si="385"/>
        <v>3047.702182386849</v>
      </c>
      <c r="BA123" s="642">
        <f t="shared" si="386"/>
        <v>11755.790822855226</v>
      </c>
    </row>
    <row r="124" spans="1:53" ht="19.5" hidden="1">
      <c r="A124" s="440" t="s">
        <v>610</v>
      </c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433"/>
      <c r="U124" s="433"/>
      <c r="V124" s="655">
        <f>SUM(V123-V87-V88)</f>
        <v>11755.79772460473</v>
      </c>
      <c r="W124" s="654"/>
      <c r="X124" s="655">
        <f>SUM(X123-X87-X88)</f>
        <v>11695.19538809931</v>
      </c>
      <c r="Y124" s="655">
        <f>SUM(Y123-Y87-Y88)</f>
        <v>60.602336505419999</v>
      </c>
      <c r="Z124" s="656">
        <f>SUM(Z123-Z87-Z88)</f>
        <v>989.79003757873875</v>
      </c>
      <c r="AA124" s="1017"/>
      <c r="AB124" s="656">
        <f>SUM(AB123-AB87-AB88)</f>
        <v>980.2341365006896</v>
      </c>
      <c r="AC124" s="656">
        <f>SUM(AC123-AC87-AC88)</f>
        <v>976.09571048255566</v>
      </c>
      <c r="AD124" s="645">
        <f t="shared" si="380"/>
        <v>2946.1198845619838</v>
      </c>
      <c r="AE124" s="1019"/>
      <c r="AF124" s="1019"/>
      <c r="AG124" s="1019"/>
      <c r="AH124" s="1019"/>
      <c r="AI124" s="1019"/>
      <c r="AJ124" s="656">
        <f>SUM(AJ123-AJ87-AJ88)</f>
        <v>961.88407502519533</v>
      </c>
      <c r="AK124" s="656">
        <f>SUM(AK123-AK87-AK88)</f>
        <v>936.40253740927494</v>
      </c>
      <c r="AL124" s="656">
        <f>SUM(AL123-AL87-AL88)</f>
        <v>930.66897430976155</v>
      </c>
      <c r="AM124" s="645">
        <f t="shared" si="381"/>
        <v>2828.9555867442318</v>
      </c>
      <c r="AN124" s="645">
        <f t="shared" si="358"/>
        <v>5775.0754713062161</v>
      </c>
      <c r="AO124" s="656">
        <f>SUM(AO123-AO87-AO88)</f>
        <v>974.07458770089181</v>
      </c>
      <c r="AP124" s="656">
        <f>SUM(AP123-AP87-AP88)</f>
        <v>973.09645462035189</v>
      </c>
      <c r="AQ124" s="656">
        <f>SUM(AQ123-AQ87-AQ88)</f>
        <v>985.84212684091722</v>
      </c>
      <c r="AR124" s="645">
        <f t="shared" si="383"/>
        <v>2933.0131691621609</v>
      </c>
      <c r="AS124" s="645">
        <f t="shared" si="360"/>
        <v>8708.088640468377</v>
      </c>
      <c r="AT124" s="4063"/>
      <c r="AU124" s="4063"/>
      <c r="AV124" s="4063"/>
      <c r="AW124" s="656">
        <f>SUM(AW123-AW87-AW88)</f>
        <v>1005.2184191536765</v>
      </c>
      <c r="AX124" s="656">
        <f>SUM(AX123-AX87-AX88)</f>
        <v>1015.3477851966146</v>
      </c>
      <c r="AY124" s="656">
        <f>SUM(AY123-AY87-AY88)</f>
        <v>1027.1359780365581</v>
      </c>
      <c r="AZ124" s="645">
        <f t="shared" si="385"/>
        <v>3047.702182386849</v>
      </c>
      <c r="BA124" s="642">
        <f t="shared" si="386"/>
        <v>11755.790822855226</v>
      </c>
    </row>
    <row r="125" spans="1:53" hidden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433"/>
      <c r="T125" s="433"/>
      <c r="U125" s="433"/>
      <c r="V125" s="436"/>
      <c r="W125" s="5"/>
      <c r="X125" s="436"/>
      <c r="Y125" s="436"/>
      <c r="Z125" s="436"/>
      <c r="AA125" s="436"/>
      <c r="AB125" s="436"/>
      <c r="AC125" s="436"/>
      <c r="AD125" s="5"/>
      <c r="AE125" s="5"/>
      <c r="AF125" s="5"/>
      <c r="AG125" s="5"/>
      <c r="AH125" s="5"/>
      <c r="AI125" s="5"/>
      <c r="AJ125" s="5"/>
    </row>
    <row r="126" spans="1:53" hidden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433"/>
      <c r="T126" s="433"/>
      <c r="U126" s="433"/>
      <c r="V126" s="436"/>
      <c r="W126" s="5"/>
      <c r="X126" s="436"/>
      <c r="Y126" s="436"/>
      <c r="Z126" s="436"/>
      <c r="AA126" s="436"/>
      <c r="AB126" s="436"/>
      <c r="AC126" s="436"/>
      <c r="AD126" s="5"/>
      <c r="AE126" s="5"/>
      <c r="AF126" s="5"/>
      <c r="AG126" s="5"/>
      <c r="AH126" s="5"/>
      <c r="AI126" s="5"/>
      <c r="AJ126" s="5"/>
    </row>
    <row r="127" spans="1:53" hidden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433"/>
      <c r="T127" s="433"/>
      <c r="U127" s="433"/>
      <c r="V127" s="436"/>
      <c r="W127" s="5"/>
      <c r="X127" s="669"/>
      <c r="Y127" s="669"/>
      <c r="Z127" s="669"/>
      <c r="AA127" s="669"/>
      <c r="AB127" s="436"/>
      <c r="AC127" s="436"/>
      <c r="AD127" s="5"/>
      <c r="AE127" s="5"/>
      <c r="AF127" s="5"/>
      <c r="AG127" s="5"/>
      <c r="AH127" s="5"/>
      <c r="AI127" s="5"/>
      <c r="AJ127" s="5"/>
    </row>
    <row r="128" spans="1:53" hidden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433"/>
      <c r="T128" s="433"/>
      <c r="U128" s="433"/>
      <c r="V128" s="436"/>
      <c r="W128" s="5"/>
      <c r="X128" s="436"/>
      <c r="Y128" s="436"/>
      <c r="Z128" s="436"/>
      <c r="AA128" s="436"/>
      <c r="AB128" s="436"/>
      <c r="AC128" s="436"/>
      <c r="AD128" s="5"/>
      <c r="AE128" s="5"/>
      <c r="AF128" s="5"/>
      <c r="AG128" s="5"/>
      <c r="AH128" s="5"/>
      <c r="AI128" s="5"/>
      <c r="AJ128" s="5"/>
    </row>
    <row r="129" spans="1:36" hidden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433"/>
      <c r="T129" s="433"/>
      <c r="U129" s="433"/>
      <c r="V129" s="436"/>
      <c r="W129" s="5"/>
      <c r="X129" s="436"/>
      <c r="Y129" s="436"/>
      <c r="Z129" s="436"/>
      <c r="AA129" s="436"/>
      <c r="AB129" s="436"/>
      <c r="AC129" s="436"/>
      <c r="AD129" s="5"/>
      <c r="AE129" s="5"/>
      <c r="AF129" s="5"/>
      <c r="AG129" s="5"/>
      <c r="AH129" s="5"/>
      <c r="AI129" s="5"/>
      <c r="AJ129" s="5"/>
    </row>
    <row r="130" spans="1:36" hidden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433"/>
      <c r="T130" s="433"/>
      <c r="U130" s="433"/>
      <c r="V130" s="436"/>
      <c r="W130" s="5"/>
      <c r="X130" s="436"/>
      <c r="Y130" s="436"/>
      <c r="Z130" s="436"/>
      <c r="AA130" s="436"/>
      <c r="AB130" s="436"/>
      <c r="AC130" s="436"/>
      <c r="AD130" s="5"/>
      <c r="AE130" s="5"/>
      <c r="AF130" s="5"/>
      <c r="AG130" s="5"/>
      <c r="AH130" s="5"/>
      <c r="AI130" s="5"/>
      <c r="AJ130" s="5"/>
    </row>
    <row r="131" spans="1:36" ht="18.75" hidden="1">
      <c r="A131" s="6097" t="s">
        <v>648</v>
      </c>
      <c r="B131" s="6098"/>
      <c r="C131" s="6098"/>
      <c r="D131" s="6098"/>
      <c r="E131" s="6098"/>
      <c r="F131" s="6098"/>
      <c r="G131" s="6098"/>
      <c r="H131" s="6098"/>
      <c r="I131" s="6098"/>
      <c r="J131" s="6098"/>
      <c r="K131" s="6098"/>
      <c r="L131" s="6098"/>
      <c r="M131" s="6098"/>
      <c r="N131" s="6098"/>
      <c r="O131" s="6098"/>
      <c r="P131" s="6098"/>
      <c r="Q131" s="6098"/>
      <c r="R131" s="6098"/>
      <c r="S131" s="6098"/>
      <c r="T131" s="6098"/>
      <c r="U131" s="6098"/>
      <c r="V131" s="6098"/>
      <c r="W131" s="6098"/>
      <c r="X131" s="6098"/>
      <c r="Y131" s="6098"/>
      <c r="Z131" s="6099"/>
      <c r="AA131" s="1164"/>
      <c r="AB131" s="436"/>
      <c r="AC131" s="436"/>
      <c r="AD131" s="5"/>
      <c r="AE131" s="5"/>
      <c r="AF131" s="5"/>
      <c r="AG131" s="5"/>
      <c r="AH131" s="5"/>
      <c r="AI131" s="5"/>
      <c r="AJ131" s="5"/>
    </row>
    <row r="132" spans="1:36" ht="18.75" hidden="1">
      <c r="A132" s="662" t="s">
        <v>623</v>
      </c>
      <c r="B132" s="662"/>
      <c r="C132" s="662"/>
      <c r="D132" s="662"/>
      <c r="E132" s="662"/>
      <c r="F132" s="662"/>
      <c r="G132" s="662"/>
      <c r="H132" s="662"/>
      <c r="I132" s="662"/>
      <c r="J132" s="662"/>
      <c r="K132" s="662"/>
      <c r="L132" s="662"/>
      <c r="M132" s="662"/>
      <c r="N132" s="662"/>
      <c r="O132" s="662"/>
      <c r="P132" s="662"/>
      <c r="Q132" s="662"/>
      <c r="R132" s="662"/>
      <c r="S132" s="662"/>
      <c r="T132" s="662"/>
      <c r="U132" s="662"/>
      <c r="V132" s="663" t="s">
        <v>624</v>
      </c>
      <c r="W132" s="663"/>
      <c r="X132" s="663" t="s">
        <v>627</v>
      </c>
      <c r="Y132" s="663" t="s">
        <v>293</v>
      </c>
      <c r="Z132" s="663" t="s">
        <v>44</v>
      </c>
      <c r="AA132" s="1165"/>
      <c r="AB132" s="436"/>
      <c r="AC132" s="436"/>
      <c r="AD132" s="5"/>
      <c r="AE132" s="5"/>
      <c r="AF132" s="5"/>
      <c r="AG132" s="5"/>
      <c r="AH132" s="5"/>
      <c r="AI132" s="5"/>
      <c r="AJ132" s="5"/>
    </row>
    <row r="133" spans="1:36" ht="18.75" hidden="1">
      <c r="A133" s="661" t="s">
        <v>625</v>
      </c>
      <c r="B133" s="661"/>
      <c r="C133" s="661"/>
      <c r="D133" s="661"/>
      <c r="E133" s="661"/>
      <c r="F133" s="661"/>
      <c r="G133" s="661"/>
      <c r="H133" s="661"/>
      <c r="I133" s="661"/>
      <c r="J133" s="661"/>
      <c r="K133" s="661"/>
      <c r="L133" s="661"/>
      <c r="M133" s="661"/>
      <c r="N133" s="661"/>
      <c r="O133" s="661"/>
      <c r="P133" s="661"/>
      <c r="Q133" s="661"/>
      <c r="R133" s="661"/>
      <c r="S133" s="661"/>
      <c r="T133" s="661"/>
      <c r="U133" s="661"/>
      <c r="V133" s="661">
        <v>544342.37</v>
      </c>
      <c r="W133" s="661"/>
      <c r="X133" s="661"/>
      <c r="Y133" s="661">
        <f>SUM(V133:X133)</f>
        <v>544342.37</v>
      </c>
      <c r="Z133" s="664">
        <f>SUM(Y133/Y140)</f>
        <v>0.6974668420563781</v>
      </c>
      <c r="AA133" s="1166"/>
      <c r="AB133" s="436"/>
      <c r="AC133" s="436"/>
      <c r="AD133" s="5"/>
      <c r="AE133" s="5"/>
      <c r="AF133" s="5"/>
      <c r="AG133" s="5"/>
      <c r="AH133" s="5"/>
      <c r="AI133" s="5"/>
      <c r="AJ133" s="5"/>
    </row>
    <row r="134" spans="1:36" ht="18.75" hidden="1">
      <c r="A134" s="661" t="s">
        <v>626</v>
      </c>
      <c r="B134" s="661"/>
      <c r="C134" s="661"/>
      <c r="D134" s="661"/>
      <c r="E134" s="661"/>
      <c r="F134" s="661"/>
      <c r="G134" s="661"/>
      <c r="H134" s="661"/>
      <c r="I134" s="661"/>
      <c r="J134" s="661"/>
      <c r="K134" s="661"/>
      <c r="L134" s="661"/>
      <c r="M134" s="661"/>
      <c r="N134" s="661"/>
      <c r="O134" s="661"/>
      <c r="P134" s="661"/>
      <c r="Q134" s="661"/>
      <c r="R134" s="661"/>
      <c r="S134" s="661"/>
      <c r="T134" s="661"/>
      <c r="U134" s="661"/>
      <c r="V134" s="661">
        <v>164391.41</v>
      </c>
      <c r="W134" s="661"/>
      <c r="X134" s="661"/>
      <c r="Y134" s="661">
        <f t="shared" ref="Y134:Y139" si="417">SUM(V134:X134)</f>
        <v>164391.41</v>
      </c>
      <c r="Z134" s="664">
        <f>SUM(Y134/Y140)</f>
        <v>0.21063500457238943</v>
      </c>
      <c r="AA134" s="1166"/>
      <c r="AB134" s="436"/>
      <c r="AC134" s="436"/>
      <c r="AD134" s="5"/>
      <c r="AE134" s="5"/>
      <c r="AF134" s="5"/>
      <c r="AG134" s="5"/>
      <c r="AH134" s="5"/>
      <c r="AI134" s="5"/>
      <c r="AJ134" s="5"/>
    </row>
    <row r="135" spans="1:36" ht="18.75" hidden="1">
      <c r="A135" s="661" t="s">
        <v>628</v>
      </c>
      <c r="B135" s="661"/>
      <c r="C135" s="661"/>
      <c r="D135" s="661"/>
      <c r="E135" s="661"/>
      <c r="F135" s="661"/>
      <c r="G135" s="661"/>
      <c r="H135" s="661"/>
      <c r="I135" s="661"/>
      <c r="J135" s="661"/>
      <c r="K135" s="661"/>
      <c r="L135" s="661"/>
      <c r="M135" s="661"/>
      <c r="N135" s="661"/>
      <c r="O135" s="661"/>
      <c r="P135" s="661"/>
      <c r="Q135" s="661"/>
      <c r="R135" s="661"/>
      <c r="S135" s="661"/>
      <c r="T135" s="661"/>
      <c r="U135" s="661"/>
      <c r="V135" s="661"/>
      <c r="W135" s="661"/>
      <c r="X135" s="661">
        <v>3667.86</v>
      </c>
      <c r="Y135" s="661">
        <f t="shared" si="417"/>
        <v>3667.86</v>
      </c>
      <c r="Z135" s="664">
        <f>SUM(Y135/Y140)</f>
        <v>4.6996355093668479E-3</v>
      </c>
      <c r="AA135" s="1166"/>
      <c r="AB135" s="436"/>
      <c r="AC135" s="436"/>
      <c r="AD135" s="5"/>
      <c r="AE135" s="5"/>
      <c r="AF135" s="5"/>
      <c r="AG135" s="5"/>
      <c r="AH135" s="5"/>
      <c r="AI135" s="5"/>
      <c r="AJ135" s="5"/>
    </row>
    <row r="136" spans="1:36" ht="18.75" hidden="1">
      <c r="A136" s="661" t="s">
        <v>605</v>
      </c>
      <c r="B136" s="661"/>
      <c r="C136" s="661"/>
      <c r="D136" s="661"/>
      <c r="E136" s="661"/>
      <c r="F136" s="661"/>
      <c r="G136" s="661"/>
      <c r="H136" s="661"/>
      <c r="I136" s="661"/>
      <c r="J136" s="661"/>
      <c r="K136" s="661"/>
      <c r="L136" s="661"/>
      <c r="M136" s="661"/>
      <c r="N136" s="661"/>
      <c r="O136" s="661"/>
      <c r="P136" s="661"/>
      <c r="Q136" s="661"/>
      <c r="R136" s="661"/>
      <c r="S136" s="661"/>
      <c r="T136" s="661"/>
      <c r="U136" s="661"/>
      <c r="V136" s="661"/>
      <c r="W136" s="661"/>
      <c r="X136" s="661">
        <v>16761.7</v>
      </c>
      <c r="Y136" s="661">
        <f t="shared" si="417"/>
        <v>16761.7</v>
      </c>
      <c r="Z136" s="664">
        <f>SUM(Y136/Y140)</f>
        <v>2.1476795874802827E-2</v>
      </c>
      <c r="AA136" s="1166"/>
      <c r="AB136" s="436"/>
      <c r="AC136" s="436"/>
      <c r="AD136" s="5"/>
      <c r="AE136" s="5"/>
      <c r="AF136" s="5"/>
      <c r="AG136" s="5"/>
      <c r="AH136" s="5"/>
      <c r="AI136" s="5"/>
      <c r="AJ136" s="5"/>
    </row>
    <row r="137" spans="1:36" ht="18.75" hidden="1">
      <c r="A137" s="661" t="s">
        <v>629</v>
      </c>
      <c r="B137" s="661"/>
      <c r="C137" s="661"/>
      <c r="D137" s="661"/>
      <c r="E137" s="661"/>
      <c r="F137" s="661"/>
      <c r="G137" s="661"/>
      <c r="H137" s="661"/>
      <c r="I137" s="661"/>
      <c r="J137" s="661"/>
      <c r="K137" s="661"/>
      <c r="L137" s="661"/>
      <c r="M137" s="661"/>
      <c r="N137" s="661"/>
      <c r="O137" s="661"/>
      <c r="P137" s="661"/>
      <c r="Q137" s="661"/>
      <c r="R137" s="661"/>
      <c r="S137" s="661"/>
      <c r="T137" s="661"/>
      <c r="U137" s="661"/>
      <c r="V137" s="661"/>
      <c r="W137" s="661"/>
      <c r="X137" s="661">
        <v>25135.3</v>
      </c>
      <c r="Y137" s="661">
        <f t="shared" si="417"/>
        <v>25135.3</v>
      </c>
      <c r="Z137" s="664">
        <f>SUM(Y137/Y140)</f>
        <v>3.2205904374373207E-2</v>
      </c>
      <c r="AA137" s="1166"/>
      <c r="AB137" s="436"/>
      <c r="AC137" s="436"/>
      <c r="AD137" s="5"/>
      <c r="AE137" s="5"/>
      <c r="AF137" s="5"/>
      <c r="AG137" s="5"/>
      <c r="AH137" s="5"/>
      <c r="AI137" s="5"/>
      <c r="AJ137" s="5"/>
    </row>
    <row r="138" spans="1:36" ht="18.75" hidden="1">
      <c r="A138" s="661" t="s">
        <v>34</v>
      </c>
      <c r="B138" s="661"/>
      <c r="C138" s="661"/>
      <c r="D138" s="661"/>
      <c r="E138" s="661"/>
      <c r="F138" s="661"/>
      <c r="G138" s="661"/>
      <c r="H138" s="661"/>
      <c r="I138" s="661"/>
      <c r="J138" s="661"/>
      <c r="K138" s="661"/>
      <c r="L138" s="661"/>
      <c r="M138" s="661"/>
      <c r="N138" s="661"/>
      <c r="O138" s="661"/>
      <c r="P138" s="661"/>
      <c r="Q138" s="661"/>
      <c r="R138" s="661"/>
      <c r="S138" s="661"/>
      <c r="T138" s="661"/>
      <c r="U138" s="661"/>
      <c r="V138" s="661"/>
      <c r="W138" s="661"/>
      <c r="X138" s="661">
        <v>10460.129999999999</v>
      </c>
      <c r="Y138" s="661">
        <f t="shared" si="417"/>
        <v>10460.129999999999</v>
      </c>
      <c r="Z138" s="664">
        <f>SUM(Y138/Y140)</f>
        <v>1.3402583081304478E-2</v>
      </c>
      <c r="AA138" s="1166"/>
      <c r="AB138" s="436"/>
      <c r="AC138" s="436"/>
      <c r="AD138" s="5"/>
      <c r="AE138" s="5"/>
      <c r="AF138" s="5"/>
      <c r="AG138" s="5"/>
      <c r="AH138" s="5"/>
      <c r="AI138" s="5"/>
      <c r="AJ138" s="5"/>
    </row>
    <row r="139" spans="1:36" ht="18.75" hidden="1">
      <c r="A139" s="661" t="s">
        <v>52</v>
      </c>
      <c r="B139" s="661"/>
      <c r="C139" s="661"/>
      <c r="D139" s="661"/>
      <c r="E139" s="661"/>
      <c r="F139" s="661"/>
      <c r="G139" s="661"/>
      <c r="H139" s="661"/>
      <c r="I139" s="661"/>
      <c r="J139" s="661"/>
      <c r="K139" s="661"/>
      <c r="L139" s="661"/>
      <c r="M139" s="661"/>
      <c r="N139" s="661"/>
      <c r="O139" s="661"/>
      <c r="P139" s="661"/>
      <c r="Q139" s="661"/>
      <c r="R139" s="661"/>
      <c r="S139" s="661"/>
      <c r="T139" s="661"/>
      <c r="U139" s="661"/>
      <c r="V139" s="661"/>
      <c r="W139" s="661"/>
      <c r="X139" s="661">
        <v>15697.5</v>
      </c>
      <c r="Y139" s="661">
        <f t="shared" si="417"/>
        <v>15697.5</v>
      </c>
      <c r="Z139" s="664">
        <f>SUM(Y139/Y140)</f>
        <v>2.0113234531385082E-2</v>
      </c>
      <c r="AA139" s="1166"/>
      <c r="AB139" s="436"/>
      <c r="AC139" s="436"/>
      <c r="AD139" s="5"/>
      <c r="AE139" s="5"/>
      <c r="AF139" s="5"/>
      <c r="AG139" s="5"/>
      <c r="AH139" s="5"/>
      <c r="AI139" s="5"/>
      <c r="AJ139" s="5"/>
    </row>
    <row r="140" spans="1:36" ht="18.75" hidden="1">
      <c r="A140" s="662" t="s">
        <v>631</v>
      </c>
      <c r="B140" s="662"/>
      <c r="C140" s="662"/>
      <c r="D140" s="662"/>
      <c r="E140" s="662"/>
      <c r="F140" s="662"/>
      <c r="G140" s="662"/>
      <c r="H140" s="662"/>
      <c r="I140" s="662"/>
      <c r="J140" s="662"/>
      <c r="K140" s="662"/>
      <c r="L140" s="662"/>
      <c r="M140" s="662"/>
      <c r="N140" s="662"/>
      <c r="O140" s="662"/>
      <c r="P140" s="662"/>
      <c r="Q140" s="662"/>
      <c r="R140" s="662"/>
      <c r="S140" s="662"/>
      <c r="T140" s="662"/>
      <c r="U140" s="662"/>
      <c r="V140" s="662">
        <f>SUM(V133:V139)</f>
        <v>708733.78</v>
      </c>
      <c r="W140" s="662"/>
      <c r="X140" s="662">
        <f>SUM(X133:X139)</f>
        <v>71722.489999999991</v>
      </c>
      <c r="Y140" s="662">
        <f>SUM(Y133:Y139)</f>
        <v>780456.27</v>
      </c>
      <c r="Z140" s="665">
        <f>SUM(Z133:Z139)</f>
        <v>1</v>
      </c>
      <c r="AA140" s="1167"/>
      <c r="AB140" s="436"/>
      <c r="AC140" s="436"/>
      <c r="AD140" s="5"/>
      <c r="AE140" s="5"/>
      <c r="AF140" s="5"/>
      <c r="AG140" s="5"/>
      <c r="AH140" s="5"/>
      <c r="AI140" s="5"/>
      <c r="AJ140" s="5"/>
    </row>
    <row r="141" spans="1:36" ht="18.75" hidden="1">
      <c r="A141" s="662" t="s">
        <v>632</v>
      </c>
      <c r="B141" s="662"/>
      <c r="C141" s="662"/>
      <c r="D141" s="662"/>
      <c r="E141" s="662"/>
      <c r="F141" s="662"/>
      <c r="G141" s="662"/>
      <c r="H141" s="662"/>
      <c r="I141" s="662"/>
      <c r="J141" s="662"/>
      <c r="K141" s="662"/>
      <c r="L141" s="662"/>
      <c r="M141" s="662"/>
      <c r="N141" s="662"/>
      <c r="O141" s="662"/>
      <c r="P141" s="662"/>
      <c r="Q141" s="662"/>
      <c r="R141" s="662"/>
      <c r="S141" s="662"/>
      <c r="T141" s="662"/>
      <c r="U141" s="662"/>
      <c r="V141" s="666" t="s">
        <v>634</v>
      </c>
      <c r="W141" s="666"/>
      <c r="X141" s="666" t="s">
        <v>633</v>
      </c>
      <c r="Y141" s="666" t="s">
        <v>293</v>
      </c>
      <c r="Z141" s="666" t="s">
        <v>44</v>
      </c>
      <c r="AA141" s="1165"/>
      <c r="AB141" s="436"/>
      <c r="AC141" s="436"/>
      <c r="AD141" s="5"/>
      <c r="AE141" s="5"/>
      <c r="AF141" s="5"/>
      <c r="AG141" s="5"/>
      <c r="AH141" s="5"/>
      <c r="AI141" s="5"/>
      <c r="AJ141" s="5"/>
    </row>
    <row r="142" spans="1:36" ht="18.75" hidden="1">
      <c r="A142" s="661" t="s">
        <v>625</v>
      </c>
      <c r="B142" s="661"/>
      <c r="C142" s="661"/>
      <c r="D142" s="661"/>
      <c r="E142" s="661"/>
      <c r="F142" s="661"/>
      <c r="G142" s="661"/>
      <c r="H142" s="661"/>
      <c r="I142" s="661"/>
      <c r="J142" s="661"/>
      <c r="K142" s="661"/>
      <c r="L142" s="661"/>
      <c r="M142" s="661"/>
      <c r="N142" s="661"/>
      <c r="O142" s="661"/>
      <c r="P142" s="661"/>
      <c r="Q142" s="661"/>
      <c r="R142" s="661"/>
      <c r="S142" s="661"/>
      <c r="T142" s="661"/>
      <c r="U142" s="661"/>
      <c r="V142" s="661">
        <v>2420280.5099999998</v>
      </c>
      <c r="W142" s="661"/>
      <c r="X142" s="661"/>
      <c r="Y142" s="661">
        <f>SUM(V142:X142)</f>
        <v>2420280.5099999998</v>
      </c>
      <c r="Z142" s="664">
        <f>SUM(Y142/Y164)</f>
        <v>0.46536359043589531</v>
      </c>
      <c r="AA142" s="1166"/>
      <c r="AB142" s="436"/>
      <c r="AC142" s="436"/>
      <c r="AD142" s="5"/>
      <c r="AE142" s="5"/>
      <c r="AF142" s="5"/>
      <c r="AG142" s="5"/>
      <c r="AH142" s="5"/>
      <c r="AI142" s="5"/>
      <c r="AJ142" s="5"/>
    </row>
    <row r="143" spans="1:36" ht="18.75" hidden="1">
      <c r="A143" s="661" t="s">
        <v>626</v>
      </c>
      <c r="B143" s="661"/>
      <c r="C143" s="661"/>
      <c r="D143" s="661"/>
      <c r="E143" s="661"/>
      <c r="F143" s="661"/>
      <c r="G143" s="661"/>
      <c r="H143" s="661"/>
      <c r="I143" s="661"/>
      <c r="J143" s="661"/>
      <c r="K143" s="661"/>
      <c r="L143" s="661"/>
      <c r="M143" s="661"/>
      <c r="N143" s="661"/>
      <c r="O143" s="661"/>
      <c r="P143" s="661"/>
      <c r="Q143" s="661"/>
      <c r="R143" s="661"/>
      <c r="S143" s="661"/>
      <c r="T143" s="661"/>
      <c r="U143" s="661"/>
      <c r="V143" s="661">
        <v>724985.49</v>
      </c>
      <c r="W143" s="661"/>
      <c r="X143" s="661"/>
      <c r="Y143" s="661">
        <f t="shared" ref="Y143:Y163" si="418">SUM(V143:X143)</f>
        <v>724985.49</v>
      </c>
      <c r="Z143" s="664">
        <f>SUM(Y143/Y164)</f>
        <v>0.1393978298161509</v>
      </c>
      <c r="AA143" s="1166"/>
      <c r="AB143" s="436"/>
      <c r="AC143" s="436"/>
      <c r="AD143" s="5"/>
      <c r="AE143" s="5"/>
      <c r="AF143" s="5"/>
      <c r="AG143" s="5"/>
      <c r="AH143" s="5"/>
      <c r="AI143" s="5"/>
      <c r="AJ143" s="5"/>
    </row>
    <row r="144" spans="1:36" ht="18.75" hidden="1">
      <c r="A144" s="661" t="s">
        <v>607</v>
      </c>
      <c r="B144" s="661"/>
      <c r="C144" s="661"/>
      <c r="D144" s="661"/>
      <c r="E144" s="661"/>
      <c r="F144" s="661"/>
      <c r="G144" s="661"/>
      <c r="H144" s="661"/>
      <c r="I144" s="661"/>
      <c r="J144" s="661"/>
      <c r="K144" s="661"/>
      <c r="L144" s="661"/>
      <c r="M144" s="661"/>
      <c r="N144" s="661"/>
      <c r="O144" s="661"/>
      <c r="P144" s="661"/>
      <c r="Q144" s="661"/>
      <c r="R144" s="661"/>
      <c r="S144" s="661"/>
      <c r="T144" s="661"/>
      <c r="U144" s="661"/>
      <c r="V144" s="661"/>
      <c r="W144" s="661"/>
      <c r="X144" s="661">
        <v>75600</v>
      </c>
      <c r="Y144" s="661">
        <f t="shared" si="418"/>
        <v>75600</v>
      </c>
      <c r="Z144" s="664">
        <f>SUM(Y144/Y164)</f>
        <v>1.4536119797516235E-2</v>
      </c>
      <c r="AA144" s="1166"/>
      <c r="AB144" s="436"/>
      <c r="AC144" s="436"/>
      <c r="AD144" s="5"/>
      <c r="AE144" s="5"/>
      <c r="AF144" s="5"/>
      <c r="AG144" s="5"/>
      <c r="AH144" s="5"/>
      <c r="AI144" s="5"/>
      <c r="AJ144" s="5"/>
    </row>
    <row r="145" spans="1:36" ht="18.75" hidden="1">
      <c r="A145" s="661" t="s">
        <v>635</v>
      </c>
      <c r="B145" s="661"/>
      <c r="C145" s="661"/>
      <c r="D145" s="661"/>
      <c r="E145" s="661"/>
      <c r="F145" s="661"/>
      <c r="G145" s="661"/>
      <c r="H145" s="661"/>
      <c r="I145" s="661"/>
      <c r="J145" s="661"/>
      <c r="K145" s="661"/>
      <c r="L145" s="661"/>
      <c r="M145" s="661"/>
      <c r="N145" s="661"/>
      <c r="O145" s="661"/>
      <c r="P145" s="661"/>
      <c r="Q145" s="661"/>
      <c r="R145" s="661"/>
      <c r="S145" s="661"/>
      <c r="T145" s="661"/>
      <c r="U145" s="661"/>
      <c r="V145" s="661"/>
      <c r="W145" s="661"/>
      <c r="X145" s="661">
        <v>300</v>
      </c>
      <c r="Y145" s="661">
        <f t="shared" si="418"/>
        <v>300</v>
      </c>
      <c r="Z145" s="664">
        <f>SUM(Y145/Y164)</f>
        <v>5.768301506950887E-5</v>
      </c>
      <c r="AA145" s="1166"/>
      <c r="AB145" s="436"/>
      <c r="AC145" s="436"/>
      <c r="AD145" s="5"/>
      <c r="AE145" s="5"/>
      <c r="AF145" s="5"/>
      <c r="AG145" s="5"/>
      <c r="AH145" s="5"/>
      <c r="AI145" s="5"/>
      <c r="AJ145" s="5"/>
    </row>
    <row r="146" spans="1:36" ht="18.75" hidden="1">
      <c r="A146" s="661" t="s">
        <v>32</v>
      </c>
      <c r="B146" s="661"/>
      <c r="C146" s="661"/>
      <c r="D146" s="661"/>
      <c r="E146" s="661"/>
      <c r="F146" s="661"/>
      <c r="G146" s="661"/>
      <c r="H146" s="661"/>
      <c r="I146" s="661"/>
      <c r="J146" s="661"/>
      <c r="K146" s="661"/>
      <c r="L146" s="661"/>
      <c r="M146" s="661"/>
      <c r="N146" s="661"/>
      <c r="O146" s="661"/>
      <c r="P146" s="661"/>
      <c r="Q146" s="661"/>
      <c r="R146" s="661"/>
      <c r="S146" s="661"/>
      <c r="T146" s="661"/>
      <c r="U146" s="661"/>
      <c r="V146" s="661"/>
      <c r="W146" s="661"/>
      <c r="X146" s="661">
        <v>15305</v>
      </c>
      <c r="Y146" s="661">
        <f t="shared" si="418"/>
        <v>15305</v>
      </c>
      <c r="Z146" s="664">
        <f>SUM(Y146/Y164)</f>
        <v>2.9427951521294442E-3</v>
      </c>
      <c r="AA146" s="1166"/>
      <c r="AB146" s="436"/>
      <c r="AC146" s="436"/>
      <c r="AD146" s="5"/>
      <c r="AE146" s="5"/>
      <c r="AF146" s="5"/>
      <c r="AG146" s="5"/>
      <c r="AH146" s="5"/>
      <c r="AI146" s="5"/>
      <c r="AJ146" s="5"/>
    </row>
    <row r="147" spans="1:36" ht="18.75" hidden="1">
      <c r="A147" s="661" t="s">
        <v>76</v>
      </c>
      <c r="B147" s="661"/>
      <c r="C147" s="661"/>
      <c r="D147" s="661"/>
      <c r="E147" s="661"/>
      <c r="F147" s="661"/>
      <c r="G147" s="661"/>
      <c r="H147" s="661"/>
      <c r="I147" s="661"/>
      <c r="J147" s="661"/>
      <c r="K147" s="661"/>
      <c r="L147" s="661"/>
      <c r="M147" s="661"/>
      <c r="N147" s="661"/>
      <c r="O147" s="661"/>
      <c r="P147" s="661"/>
      <c r="Q147" s="661"/>
      <c r="R147" s="661"/>
      <c r="S147" s="661"/>
      <c r="T147" s="661"/>
      <c r="U147" s="661"/>
      <c r="V147" s="661"/>
      <c r="W147" s="661"/>
      <c r="X147" s="661">
        <v>129</v>
      </c>
      <c r="Y147" s="661">
        <f t="shared" si="418"/>
        <v>129</v>
      </c>
      <c r="Z147" s="667">
        <f>SUM(Y147/Y164)</f>
        <v>2.4803696479888814E-5</v>
      </c>
      <c r="AA147" s="1168"/>
      <c r="AB147" s="436"/>
      <c r="AC147" s="436"/>
      <c r="AD147" s="5"/>
      <c r="AE147" s="5"/>
      <c r="AF147" s="5"/>
      <c r="AG147" s="5"/>
      <c r="AH147" s="5"/>
      <c r="AI147" s="5"/>
      <c r="AJ147" s="5"/>
    </row>
    <row r="148" spans="1:36" ht="18.75" hidden="1">
      <c r="A148" s="661" t="s">
        <v>649</v>
      </c>
      <c r="B148" s="661"/>
      <c r="C148" s="661"/>
      <c r="D148" s="661"/>
      <c r="E148" s="661"/>
      <c r="F148" s="661"/>
      <c r="G148" s="661"/>
      <c r="H148" s="661"/>
      <c r="I148" s="661"/>
      <c r="J148" s="661"/>
      <c r="K148" s="661"/>
      <c r="L148" s="661"/>
      <c r="M148" s="661"/>
      <c r="N148" s="661"/>
      <c r="O148" s="661"/>
      <c r="P148" s="661"/>
      <c r="Q148" s="661"/>
      <c r="R148" s="661"/>
      <c r="S148" s="661"/>
      <c r="T148" s="661"/>
      <c r="U148" s="661"/>
      <c r="V148" s="661"/>
      <c r="W148" s="661"/>
      <c r="X148" s="661">
        <v>3814.4</v>
      </c>
      <c r="Y148" s="661">
        <f t="shared" si="418"/>
        <v>3814.4</v>
      </c>
      <c r="Z148" s="664">
        <f>SUM(Y148/Y164)</f>
        <v>7.3342030893711551E-4</v>
      </c>
      <c r="AA148" s="1166"/>
      <c r="AB148" s="436"/>
      <c r="AC148" s="436"/>
      <c r="AD148" s="5"/>
      <c r="AE148" s="5"/>
      <c r="AF148" s="5"/>
      <c r="AG148" s="5"/>
      <c r="AH148" s="5"/>
      <c r="AI148" s="5"/>
      <c r="AJ148" s="5"/>
    </row>
    <row r="149" spans="1:36" ht="18.75" hidden="1">
      <c r="A149" s="661" t="s">
        <v>636</v>
      </c>
      <c r="B149" s="661"/>
      <c r="C149" s="661"/>
      <c r="D149" s="661"/>
      <c r="E149" s="661"/>
      <c r="F149" s="661"/>
      <c r="G149" s="661"/>
      <c r="H149" s="661"/>
      <c r="I149" s="661"/>
      <c r="J149" s="661"/>
      <c r="K149" s="661"/>
      <c r="L149" s="661"/>
      <c r="M149" s="661"/>
      <c r="N149" s="661"/>
      <c r="O149" s="661"/>
      <c r="P149" s="661"/>
      <c r="Q149" s="661"/>
      <c r="R149" s="661"/>
      <c r="S149" s="661"/>
      <c r="T149" s="661"/>
      <c r="U149" s="661"/>
      <c r="V149" s="661"/>
      <c r="W149" s="661"/>
      <c r="X149" s="661">
        <v>642468.41</v>
      </c>
      <c r="Y149" s="661">
        <v>0</v>
      </c>
      <c r="Z149" s="664">
        <f>SUM(Y149/Y164)</f>
        <v>0</v>
      </c>
      <c r="AA149" s="1166"/>
      <c r="AB149" s="436"/>
      <c r="AC149" s="436"/>
      <c r="AD149" s="5"/>
      <c r="AE149" s="5"/>
      <c r="AF149" s="5"/>
      <c r="AG149" s="5"/>
      <c r="AH149" s="5"/>
      <c r="AI149" s="5"/>
      <c r="AJ149" s="5"/>
    </row>
    <row r="150" spans="1:36" ht="18.75" hidden="1">
      <c r="A150" s="661" t="s">
        <v>637</v>
      </c>
      <c r="B150" s="661"/>
      <c r="C150" s="661"/>
      <c r="D150" s="661"/>
      <c r="E150" s="661"/>
      <c r="F150" s="661"/>
      <c r="G150" s="661"/>
      <c r="H150" s="661"/>
      <c r="I150" s="661"/>
      <c r="J150" s="661"/>
      <c r="K150" s="661"/>
      <c r="L150" s="661"/>
      <c r="M150" s="661"/>
      <c r="N150" s="661"/>
      <c r="O150" s="661"/>
      <c r="P150" s="661"/>
      <c r="Q150" s="661"/>
      <c r="R150" s="661"/>
      <c r="S150" s="661"/>
      <c r="T150" s="661"/>
      <c r="U150" s="661"/>
      <c r="V150" s="661"/>
      <c r="W150" s="661"/>
      <c r="X150" s="661">
        <v>507107.49</v>
      </c>
      <c r="Y150" s="661">
        <f t="shared" si="418"/>
        <v>507107.49</v>
      </c>
      <c r="Z150" s="664">
        <f>SUM(Y150/Y164)</f>
        <v>9.75049632917694E-2</v>
      </c>
      <c r="AA150" s="1166"/>
      <c r="AB150" s="436"/>
      <c r="AC150" s="436"/>
      <c r="AD150" s="5"/>
      <c r="AE150" s="5"/>
      <c r="AF150" s="5"/>
      <c r="AG150" s="5"/>
      <c r="AH150" s="5"/>
      <c r="AI150" s="5"/>
      <c r="AJ150" s="5"/>
    </row>
    <row r="151" spans="1:36" ht="18.75" hidden="1">
      <c r="A151" s="661" t="s">
        <v>42</v>
      </c>
      <c r="B151" s="661"/>
      <c r="C151" s="661"/>
      <c r="D151" s="661"/>
      <c r="E151" s="661"/>
      <c r="F151" s="661"/>
      <c r="G151" s="661"/>
      <c r="H151" s="661"/>
      <c r="I151" s="661"/>
      <c r="J151" s="661"/>
      <c r="K151" s="661"/>
      <c r="L151" s="661"/>
      <c r="M151" s="661"/>
      <c r="N151" s="661"/>
      <c r="O151" s="661"/>
      <c r="P151" s="661"/>
      <c r="Q151" s="661"/>
      <c r="R151" s="661"/>
      <c r="S151" s="661"/>
      <c r="T151" s="661"/>
      <c r="U151" s="661"/>
      <c r="V151" s="661"/>
      <c r="W151" s="661"/>
      <c r="X151" s="661">
        <v>29333.21</v>
      </c>
      <c r="Y151" s="661">
        <f t="shared" si="418"/>
        <v>29333.21</v>
      </c>
      <c r="Z151" s="664">
        <f>SUM(Y151/Y164)</f>
        <v>5.6400933148902273E-3</v>
      </c>
      <c r="AA151" s="1166"/>
      <c r="AB151" s="436"/>
      <c r="AC151" s="436"/>
      <c r="AD151" s="5"/>
      <c r="AE151" s="5"/>
      <c r="AF151" s="5"/>
      <c r="AG151" s="5"/>
      <c r="AH151" s="5"/>
      <c r="AI151" s="5"/>
      <c r="AJ151" s="5"/>
    </row>
    <row r="152" spans="1:36" ht="18.75" hidden="1">
      <c r="A152" s="661" t="s">
        <v>608</v>
      </c>
      <c r="B152" s="661"/>
      <c r="C152" s="661"/>
      <c r="D152" s="661"/>
      <c r="E152" s="661"/>
      <c r="F152" s="661"/>
      <c r="G152" s="661"/>
      <c r="H152" s="661"/>
      <c r="I152" s="661"/>
      <c r="J152" s="661"/>
      <c r="K152" s="661"/>
      <c r="L152" s="661"/>
      <c r="M152" s="661"/>
      <c r="N152" s="661"/>
      <c r="O152" s="661"/>
      <c r="P152" s="661"/>
      <c r="Q152" s="661"/>
      <c r="R152" s="661"/>
      <c r="S152" s="661"/>
      <c r="T152" s="661"/>
      <c r="U152" s="661"/>
      <c r="V152" s="661"/>
      <c r="W152" s="661"/>
      <c r="X152" s="661">
        <v>50424.09</v>
      </c>
      <c r="Y152" s="661">
        <f t="shared" si="418"/>
        <v>50424.09</v>
      </c>
      <c r="Z152" s="664">
        <f>SUM(Y152/Y164)</f>
        <v>9.6953784777875709E-3</v>
      </c>
      <c r="AA152" s="1166"/>
      <c r="AB152" s="436"/>
      <c r="AC152" s="436"/>
      <c r="AD152" s="5"/>
      <c r="AE152" s="5"/>
      <c r="AF152" s="5"/>
      <c r="AG152" s="5"/>
      <c r="AH152" s="5"/>
      <c r="AI152" s="5"/>
      <c r="AJ152" s="5"/>
    </row>
    <row r="153" spans="1:36" ht="18.75" hidden="1">
      <c r="A153" s="661" t="s">
        <v>638</v>
      </c>
      <c r="B153" s="661"/>
      <c r="C153" s="661"/>
      <c r="D153" s="661"/>
      <c r="E153" s="661"/>
      <c r="F153" s="661"/>
      <c r="G153" s="661"/>
      <c r="H153" s="661"/>
      <c r="I153" s="661"/>
      <c r="J153" s="661"/>
      <c r="K153" s="661"/>
      <c r="L153" s="661"/>
      <c r="M153" s="661"/>
      <c r="N153" s="661"/>
      <c r="O153" s="661"/>
      <c r="P153" s="661"/>
      <c r="Q153" s="661"/>
      <c r="R153" s="661"/>
      <c r="S153" s="661"/>
      <c r="T153" s="661"/>
      <c r="U153" s="661"/>
      <c r="V153" s="661"/>
      <c r="W153" s="661"/>
      <c r="X153" s="661">
        <v>278861.53999999998</v>
      </c>
      <c r="Y153" s="661">
        <f t="shared" si="418"/>
        <v>278861.53999999998</v>
      </c>
      <c r="Z153" s="664">
        <f>SUM(Y153/Y164)</f>
        <v>5.3618581380421498E-2</v>
      </c>
      <c r="AA153" s="1166"/>
      <c r="AB153" s="436"/>
      <c r="AC153" s="436"/>
      <c r="AD153" s="5"/>
      <c r="AE153" s="5"/>
      <c r="AF153" s="5"/>
      <c r="AG153" s="5"/>
      <c r="AH153" s="5"/>
      <c r="AI153" s="5"/>
      <c r="AJ153" s="5"/>
    </row>
    <row r="154" spans="1:36" ht="18.75" hidden="1">
      <c r="A154" s="661" t="s">
        <v>639</v>
      </c>
      <c r="B154" s="661"/>
      <c r="C154" s="661"/>
      <c r="D154" s="661"/>
      <c r="E154" s="661"/>
      <c r="F154" s="661"/>
      <c r="G154" s="661"/>
      <c r="H154" s="661"/>
      <c r="I154" s="661"/>
      <c r="J154" s="661"/>
      <c r="K154" s="661"/>
      <c r="L154" s="661"/>
      <c r="M154" s="661"/>
      <c r="N154" s="661"/>
      <c r="O154" s="661"/>
      <c r="P154" s="661"/>
      <c r="Q154" s="661"/>
      <c r="R154" s="661"/>
      <c r="S154" s="661"/>
      <c r="T154" s="661"/>
      <c r="U154" s="661"/>
      <c r="V154" s="661"/>
      <c r="W154" s="661"/>
      <c r="X154" s="661">
        <v>73375.820000000007</v>
      </c>
      <c r="Y154" s="661">
        <f t="shared" si="418"/>
        <v>73375.820000000007</v>
      </c>
      <c r="Z154" s="664">
        <f>SUM(Y154/Y164)</f>
        <v>1.4108461769325236E-2</v>
      </c>
      <c r="AA154" s="1166"/>
      <c r="AB154" s="436"/>
      <c r="AC154" s="436"/>
      <c r="AD154" s="5"/>
      <c r="AE154" s="5"/>
      <c r="AF154" s="5"/>
      <c r="AG154" s="5"/>
      <c r="AH154" s="5"/>
      <c r="AI154" s="5"/>
      <c r="AJ154" s="5"/>
    </row>
    <row r="155" spans="1:36" ht="18.75" hidden="1">
      <c r="A155" s="661" t="s">
        <v>642</v>
      </c>
      <c r="B155" s="661"/>
      <c r="C155" s="661"/>
      <c r="D155" s="661"/>
      <c r="E155" s="661"/>
      <c r="F155" s="661"/>
      <c r="G155" s="661"/>
      <c r="H155" s="661"/>
      <c r="I155" s="661"/>
      <c r="J155" s="661"/>
      <c r="K155" s="661"/>
      <c r="L155" s="661"/>
      <c r="M155" s="661"/>
      <c r="N155" s="661"/>
      <c r="O155" s="661"/>
      <c r="P155" s="661"/>
      <c r="Q155" s="661"/>
      <c r="R155" s="661"/>
      <c r="S155" s="661"/>
      <c r="T155" s="661"/>
      <c r="U155" s="661"/>
      <c r="V155" s="661"/>
      <c r="W155" s="661"/>
      <c r="X155" s="661">
        <v>217500.95</v>
      </c>
      <c r="Y155" s="661">
        <f t="shared" si="418"/>
        <v>217500.95</v>
      </c>
      <c r="Z155" s="664">
        <f>SUM(Y155/Y164)</f>
        <v>4.1820368588274988E-2</v>
      </c>
      <c r="AA155" s="1166"/>
      <c r="AB155" s="436"/>
      <c r="AC155" s="436"/>
      <c r="AD155" s="5"/>
      <c r="AE155" s="5"/>
      <c r="AF155" s="5"/>
      <c r="AG155" s="5"/>
      <c r="AH155" s="5"/>
      <c r="AI155" s="5"/>
      <c r="AJ155" s="5"/>
    </row>
    <row r="156" spans="1:36" ht="18.75" hidden="1">
      <c r="A156" s="661" t="s">
        <v>612</v>
      </c>
      <c r="B156" s="661"/>
      <c r="C156" s="661"/>
      <c r="D156" s="661"/>
      <c r="E156" s="661"/>
      <c r="F156" s="661"/>
      <c r="G156" s="661"/>
      <c r="H156" s="661"/>
      <c r="I156" s="661"/>
      <c r="J156" s="661"/>
      <c r="K156" s="661"/>
      <c r="L156" s="661"/>
      <c r="M156" s="661"/>
      <c r="N156" s="661"/>
      <c r="O156" s="661"/>
      <c r="P156" s="661"/>
      <c r="Q156" s="661"/>
      <c r="R156" s="661"/>
      <c r="S156" s="661"/>
      <c r="T156" s="661"/>
      <c r="U156" s="661"/>
      <c r="V156" s="661"/>
      <c r="W156" s="661"/>
      <c r="X156" s="661">
        <v>45758.37</v>
      </c>
      <c r="Y156" s="661">
        <v>0</v>
      </c>
      <c r="Z156" s="664">
        <f>SUM(Y156/Y164)</f>
        <v>0</v>
      </c>
      <c r="AA156" s="1166"/>
      <c r="AB156" s="436"/>
      <c r="AC156" s="436"/>
      <c r="AD156" s="5"/>
      <c r="AE156" s="5"/>
      <c r="AF156" s="5"/>
      <c r="AG156" s="5"/>
      <c r="AH156" s="5"/>
      <c r="AI156" s="5"/>
      <c r="AJ156" s="5"/>
    </row>
    <row r="157" spans="1:36" ht="18.75" hidden="1">
      <c r="A157" s="661" t="s">
        <v>628</v>
      </c>
      <c r="B157" s="661"/>
      <c r="C157" s="661"/>
      <c r="D157" s="661"/>
      <c r="E157" s="661"/>
      <c r="F157" s="661"/>
      <c r="G157" s="661"/>
      <c r="H157" s="661"/>
      <c r="I157" s="661"/>
      <c r="J157" s="661"/>
      <c r="K157" s="661"/>
      <c r="L157" s="661"/>
      <c r="M157" s="661"/>
      <c r="N157" s="661"/>
      <c r="O157" s="661"/>
      <c r="P157" s="661"/>
      <c r="Q157" s="661"/>
      <c r="R157" s="661"/>
      <c r="S157" s="661"/>
      <c r="T157" s="661"/>
      <c r="U157" s="661"/>
      <c r="V157" s="661"/>
      <c r="W157" s="661"/>
      <c r="X157" s="661">
        <v>20840.04</v>
      </c>
      <c r="Y157" s="661">
        <f t="shared" si="418"/>
        <v>20840.04</v>
      </c>
      <c r="Z157" s="664">
        <f>SUM(Y157/Y164)</f>
        <v>4.0070544712305593E-3</v>
      </c>
      <c r="AA157" s="1166"/>
      <c r="AB157" s="436"/>
      <c r="AC157" s="436"/>
      <c r="AD157" s="5"/>
      <c r="AE157" s="5"/>
      <c r="AF157" s="5"/>
      <c r="AG157" s="5"/>
      <c r="AH157" s="5"/>
      <c r="AI157" s="5"/>
      <c r="AJ157" s="5"/>
    </row>
    <row r="158" spans="1:36" ht="18.75" hidden="1">
      <c r="A158" s="661" t="s">
        <v>605</v>
      </c>
      <c r="B158" s="661"/>
      <c r="C158" s="661"/>
      <c r="D158" s="661"/>
      <c r="E158" s="661"/>
      <c r="F158" s="661"/>
      <c r="G158" s="661"/>
      <c r="H158" s="661"/>
      <c r="I158" s="661"/>
      <c r="J158" s="661"/>
      <c r="K158" s="661"/>
      <c r="L158" s="661"/>
      <c r="M158" s="661"/>
      <c r="N158" s="661"/>
      <c r="O158" s="661"/>
      <c r="P158" s="661"/>
      <c r="Q158" s="661"/>
      <c r="R158" s="661"/>
      <c r="S158" s="661"/>
      <c r="T158" s="661"/>
      <c r="U158" s="661"/>
      <c r="V158" s="661"/>
      <c r="W158" s="661"/>
      <c r="X158" s="661">
        <v>461471.7</v>
      </c>
      <c r="Y158" s="661">
        <f t="shared" si="418"/>
        <v>461471.7</v>
      </c>
      <c r="Z158" s="664">
        <f>SUM(Y158/Y164)</f>
        <v>8.8730263417506255E-2</v>
      </c>
      <c r="AA158" s="1166"/>
      <c r="AB158" s="436"/>
      <c r="AC158" s="436"/>
      <c r="AD158" s="5"/>
      <c r="AE158" s="5"/>
      <c r="AF158" s="5"/>
      <c r="AG158" s="5"/>
      <c r="AH158" s="5"/>
      <c r="AI158" s="5"/>
      <c r="AJ158" s="5"/>
    </row>
    <row r="159" spans="1:36" ht="18.75" hidden="1">
      <c r="A159" s="661" t="s">
        <v>629</v>
      </c>
      <c r="B159" s="661"/>
      <c r="C159" s="661"/>
      <c r="D159" s="661"/>
      <c r="E159" s="661"/>
      <c r="F159" s="661"/>
      <c r="G159" s="661"/>
      <c r="H159" s="661"/>
      <c r="I159" s="661"/>
      <c r="J159" s="661"/>
      <c r="K159" s="661"/>
      <c r="L159" s="661"/>
      <c r="M159" s="661"/>
      <c r="N159" s="661"/>
      <c r="O159" s="661"/>
      <c r="P159" s="661"/>
      <c r="Q159" s="661"/>
      <c r="R159" s="661"/>
      <c r="S159" s="661"/>
      <c r="T159" s="661"/>
      <c r="U159" s="661"/>
      <c r="V159" s="661"/>
      <c r="W159" s="661"/>
      <c r="X159" s="661">
        <v>117843.4</v>
      </c>
      <c r="Y159" s="661">
        <f t="shared" si="418"/>
        <v>117843.4</v>
      </c>
      <c r="Z159" s="664">
        <f>SUM(Y159/Y164)</f>
        <v>2.2658542060140539E-2</v>
      </c>
      <c r="AA159" s="1166"/>
      <c r="AB159" s="436"/>
      <c r="AC159" s="436"/>
      <c r="AD159" s="5"/>
      <c r="AE159" s="5"/>
      <c r="AF159" s="5"/>
      <c r="AG159" s="5"/>
      <c r="AH159" s="5"/>
      <c r="AI159" s="5"/>
      <c r="AJ159" s="5"/>
    </row>
    <row r="160" spans="1:36" ht="18.75" hidden="1">
      <c r="A160" s="661" t="s">
        <v>34</v>
      </c>
      <c r="B160" s="661"/>
      <c r="C160" s="661"/>
      <c r="D160" s="661"/>
      <c r="E160" s="661"/>
      <c r="F160" s="661"/>
      <c r="G160" s="661"/>
      <c r="H160" s="661"/>
      <c r="I160" s="661"/>
      <c r="J160" s="661"/>
      <c r="K160" s="661"/>
      <c r="L160" s="661"/>
      <c r="M160" s="661"/>
      <c r="N160" s="661"/>
      <c r="O160" s="661"/>
      <c r="P160" s="661"/>
      <c r="Q160" s="661"/>
      <c r="R160" s="661"/>
      <c r="S160" s="661"/>
      <c r="T160" s="661"/>
      <c r="U160" s="661"/>
      <c r="V160" s="661"/>
      <c r="W160" s="661"/>
      <c r="X160" s="661">
        <v>98309.37</v>
      </c>
      <c r="Y160" s="661">
        <f t="shared" si="418"/>
        <v>98309.37</v>
      </c>
      <c r="Z160" s="664">
        <f>SUM(Y160/Y164)</f>
        <v>1.8902602903946408E-2</v>
      </c>
      <c r="AA160" s="1166"/>
      <c r="AB160" s="436"/>
      <c r="AC160" s="436"/>
      <c r="AD160" s="5"/>
      <c r="AE160" s="5"/>
      <c r="AF160" s="5"/>
      <c r="AG160" s="5"/>
      <c r="AH160" s="5"/>
      <c r="AI160" s="5"/>
      <c r="AJ160" s="5"/>
    </row>
    <row r="161" spans="1:36" ht="18.75" hidden="1">
      <c r="A161" s="661" t="s">
        <v>644</v>
      </c>
      <c r="B161" s="661"/>
      <c r="C161" s="661"/>
      <c r="D161" s="661"/>
      <c r="E161" s="661"/>
      <c r="F161" s="661"/>
      <c r="G161" s="661"/>
      <c r="H161" s="661"/>
      <c r="I161" s="661"/>
      <c r="J161" s="661"/>
      <c r="K161" s="661"/>
      <c r="L161" s="661"/>
      <c r="M161" s="661"/>
      <c r="N161" s="661"/>
      <c r="O161" s="661"/>
      <c r="P161" s="661"/>
      <c r="Q161" s="661"/>
      <c r="R161" s="661"/>
      <c r="S161" s="661"/>
      <c r="T161" s="661"/>
      <c r="U161" s="661"/>
      <c r="V161" s="661"/>
      <c r="W161" s="661"/>
      <c r="X161" s="661">
        <v>20291.66</v>
      </c>
      <c r="Y161" s="661">
        <f t="shared" si="418"/>
        <v>20291.66</v>
      </c>
      <c r="Z161" s="664">
        <f>SUM(Y161/Y164)</f>
        <v>3.9016137652178344E-3</v>
      </c>
      <c r="AA161" s="1166"/>
      <c r="AB161" s="436"/>
      <c r="AC161" s="436"/>
      <c r="AD161" s="5"/>
      <c r="AE161" s="5"/>
      <c r="AF161" s="5"/>
      <c r="AG161" s="5"/>
      <c r="AH161" s="5"/>
      <c r="AI161" s="5"/>
      <c r="AJ161" s="5"/>
    </row>
    <row r="162" spans="1:36" ht="18.75" hidden="1">
      <c r="A162" s="661" t="s">
        <v>52</v>
      </c>
      <c r="B162" s="661"/>
      <c r="C162" s="661"/>
      <c r="D162" s="661"/>
      <c r="E162" s="661"/>
      <c r="F162" s="661"/>
      <c r="G162" s="661"/>
      <c r="H162" s="661"/>
      <c r="I162" s="661"/>
      <c r="J162" s="661"/>
      <c r="K162" s="661"/>
      <c r="L162" s="661"/>
      <c r="M162" s="661"/>
      <c r="N162" s="661"/>
      <c r="O162" s="661"/>
      <c r="P162" s="661"/>
      <c r="Q162" s="661"/>
      <c r="R162" s="661"/>
      <c r="S162" s="661"/>
      <c r="T162" s="661"/>
      <c r="U162" s="661"/>
      <c r="V162" s="661"/>
      <c r="W162" s="661"/>
      <c r="X162" s="661">
        <v>18635.04</v>
      </c>
      <c r="Y162" s="661">
        <f t="shared" si="418"/>
        <v>18635.04</v>
      </c>
      <c r="Z162" s="664">
        <f>SUM(Y162/Y164)</f>
        <v>3.5830843104696689E-3</v>
      </c>
      <c r="AA162" s="1166"/>
      <c r="AB162" s="436"/>
      <c r="AC162" s="436"/>
      <c r="AD162" s="5"/>
      <c r="AE162" s="5"/>
      <c r="AF162" s="5"/>
      <c r="AG162" s="5"/>
      <c r="AH162" s="5"/>
      <c r="AI162" s="5"/>
      <c r="AJ162" s="5"/>
    </row>
    <row r="163" spans="1:36" ht="18.75" hidden="1">
      <c r="A163" s="661" t="s">
        <v>98</v>
      </c>
      <c r="B163" s="661"/>
      <c r="C163" s="661"/>
      <c r="D163" s="661"/>
      <c r="E163" s="661"/>
      <c r="F163" s="661"/>
      <c r="G163" s="661"/>
      <c r="H163" s="661"/>
      <c r="I163" s="661"/>
      <c r="J163" s="661"/>
      <c r="K163" s="661"/>
      <c r="L163" s="661"/>
      <c r="M163" s="661"/>
      <c r="N163" s="661"/>
      <c r="O163" s="661"/>
      <c r="P163" s="661"/>
      <c r="Q163" s="661"/>
      <c r="R163" s="661"/>
      <c r="S163" s="661"/>
      <c r="T163" s="661"/>
      <c r="U163" s="661"/>
      <c r="V163" s="661"/>
      <c r="W163" s="661"/>
      <c r="X163" s="661">
        <v>66429</v>
      </c>
      <c r="Y163" s="661">
        <f t="shared" si="418"/>
        <v>66429</v>
      </c>
      <c r="Z163" s="664">
        <f>SUM(Y163/Y164)</f>
        <v>1.277275002684135E-2</v>
      </c>
      <c r="AA163" s="1166"/>
      <c r="AB163" s="436"/>
      <c r="AC163" s="436"/>
      <c r="AD163" s="5"/>
      <c r="AE163" s="5"/>
      <c r="AF163" s="5"/>
      <c r="AG163" s="5"/>
      <c r="AH163" s="5"/>
      <c r="AI163" s="5"/>
      <c r="AJ163" s="5"/>
    </row>
    <row r="164" spans="1:36" ht="18.75" hidden="1">
      <c r="A164" s="662" t="s">
        <v>631</v>
      </c>
      <c r="B164" s="662"/>
      <c r="C164" s="662"/>
      <c r="D164" s="662"/>
      <c r="E164" s="662"/>
      <c r="F164" s="662"/>
      <c r="G164" s="662"/>
      <c r="H164" s="662"/>
      <c r="I164" s="662"/>
      <c r="J164" s="662"/>
      <c r="K164" s="662"/>
      <c r="L164" s="662"/>
      <c r="M164" s="662"/>
      <c r="N164" s="662"/>
      <c r="O164" s="662"/>
      <c r="P164" s="662"/>
      <c r="Q164" s="662"/>
      <c r="R164" s="662"/>
      <c r="S164" s="662"/>
      <c r="T164" s="662"/>
      <c r="U164" s="662"/>
      <c r="V164" s="662">
        <f t="shared" ref="V164:X164" si="419">SUM(V142:V163)</f>
        <v>3145266</v>
      </c>
      <c r="W164" s="662">
        <f t="shared" si="419"/>
        <v>0</v>
      </c>
      <c r="X164" s="662">
        <f t="shared" si="419"/>
        <v>2743798.4900000007</v>
      </c>
      <c r="Y164" s="662">
        <f>SUM(Y142:Y163)</f>
        <v>5200837.71</v>
      </c>
      <c r="Z164" s="665">
        <f>SUM(Z142:Z163)</f>
        <v>0.99999999999999967</v>
      </c>
      <c r="AA164" s="1167"/>
      <c r="AB164" s="436"/>
      <c r="AC164" s="436"/>
      <c r="AD164" s="5"/>
      <c r="AE164" s="5"/>
      <c r="AF164" s="5"/>
      <c r="AG164" s="5"/>
      <c r="AH164" s="5"/>
      <c r="AI164" s="5"/>
      <c r="AJ164" s="5"/>
    </row>
    <row r="165" spans="1:36" ht="18.75" hidden="1">
      <c r="A165" s="662" t="s">
        <v>640</v>
      </c>
      <c r="B165" s="662"/>
      <c r="C165" s="662"/>
      <c r="D165" s="662"/>
      <c r="E165" s="662"/>
      <c r="F165" s="662"/>
      <c r="G165" s="662"/>
      <c r="H165" s="662"/>
      <c r="I165" s="662"/>
      <c r="J165" s="662"/>
      <c r="K165" s="662"/>
      <c r="L165" s="662"/>
      <c r="M165" s="662"/>
      <c r="N165" s="662"/>
      <c r="O165" s="662"/>
      <c r="P165" s="662"/>
      <c r="Q165" s="662"/>
      <c r="R165" s="662"/>
      <c r="S165" s="662"/>
      <c r="T165" s="662"/>
      <c r="U165" s="662"/>
      <c r="V165" s="666" t="s">
        <v>650</v>
      </c>
      <c r="W165" s="666"/>
      <c r="X165" s="666" t="s">
        <v>645</v>
      </c>
      <c r="Y165" s="666" t="s">
        <v>293</v>
      </c>
      <c r="Z165" s="666" t="s">
        <v>44</v>
      </c>
      <c r="AA165" s="1165"/>
      <c r="AB165" s="436"/>
      <c r="AC165" s="436"/>
      <c r="AD165" s="5"/>
      <c r="AE165" s="5"/>
      <c r="AF165" s="5"/>
      <c r="AG165" s="5"/>
      <c r="AH165" s="5"/>
      <c r="AI165" s="5"/>
      <c r="AJ165" s="5"/>
    </row>
    <row r="166" spans="1:36" ht="18.75" hidden="1">
      <c r="A166" s="661" t="s">
        <v>625</v>
      </c>
      <c r="B166" s="661"/>
      <c r="C166" s="661"/>
      <c r="D166" s="661"/>
      <c r="E166" s="661"/>
      <c r="F166" s="661"/>
      <c r="G166" s="661"/>
      <c r="H166" s="661"/>
      <c r="I166" s="661"/>
      <c r="J166" s="661"/>
      <c r="K166" s="661"/>
      <c r="L166" s="661"/>
      <c r="M166" s="661"/>
      <c r="N166" s="661"/>
      <c r="O166" s="661"/>
      <c r="P166" s="661"/>
      <c r="Q166" s="661"/>
      <c r="R166" s="661"/>
      <c r="S166" s="661"/>
      <c r="T166" s="661"/>
      <c r="U166" s="661"/>
      <c r="V166" s="661"/>
      <c r="W166" s="661"/>
      <c r="X166" s="661"/>
      <c r="Y166" s="661">
        <f>SUM(V166:X166)</f>
        <v>0</v>
      </c>
      <c r="Z166" s="664">
        <f>SUM(Y166/Y175)</f>
        <v>0</v>
      </c>
      <c r="AA166" s="1166"/>
      <c r="AB166" s="436"/>
      <c r="AC166" s="436"/>
      <c r="AD166" s="5"/>
      <c r="AE166" s="5"/>
      <c r="AF166" s="5"/>
      <c r="AG166" s="5"/>
      <c r="AH166" s="5"/>
      <c r="AI166" s="5"/>
      <c r="AJ166" s="5"/>
    </row>
    <row r="167" spans="1:36" ht="18.75" hidden="1">
      <c r="A167" s="661" t="s">
        <v>626</v>
      </c>
      <c r="B167" s="661"/>
      <c r="C167" s="661"/>
      <c r="D167" s="661"/>
      <c r="E167" s="661"/>
      <c r="F167" s="661"/>
      <c r="G167" s="661"/>
      <c r="H167" s="661"/>
      <c r="I167" s="661"/>
      <c r="J167" s="661"/>
      <c r="K167" s="661"/>
      <c r="L167" s="661"/>
      <c r="M167" s="661"/>
      <c r="N167" s="661"/>
      <c r="O167" s="661"/>
      <c r="P167" s="661"/>
      <c r="Q167" s="661"/>
      <c r="R167" s="661"/>
      <c r="S167" s="661"/>
      <c r="T167" s="661"/>
      <c r="U167" s="661"/>
      <c r="V167" s="661"/>
      <c r="W167" s="661"/>
      <c r="X167" s="661"/>
      <c r="Y167" s="661">
        <f t="shared" ref="Y167:Y172" si="420">SUM(V167:X167)</f>
        <v>0</v>
      </c>
      <c r="Z167" s="664">
        <f>SUM(Y167/Y175)</f>
        <v>0</v>
      </c>
      <c r="AA167" s="1166"/>
      <c r="AB167" s="436"/>
      <c r="AC167" s="436"/>
      <c r="AD167" s="5"/>
      <c r="AE167" s="5"/>
      <c r="AF167" s="5"/>
      <c r="AG167" s="5"/>
      <c r="AH167" s="5"/>
      <c r="AI167" s="5"/>
      <c r="AJ167" s="5"/>
    </row>
    <row r="168" spans="1:36" ht="18.75" hidden="1">
      <c r="A168" s="661" t="s">
        <v>32</v>
      </c>
      <c r="B168" s="661"/>
      <c r="C168" s="661"/>
      <c r="D168" s="661"/>
      <c r="E168" s="661"/>
      <c r="F168" s="661"/>
      <c r="G168" s="661"/>
      <c r="H168" s="661"/>
      <c r="I168" s="661"/>
      <c r="J168" s="661"/>
      <c r="K168" s="661"/>
      <c r="L168" s="661"/>
      <c r="M168" s="661"/>
      <c r="N168" s="661"/>
      <c r="O168" s="661"/>
      <c r="P168" s="661"/>
      <c r="Q168" s="661"/>
      <c r="R168" s="661"/>
      <c r="S168" s="661"/>
      <c r="T168" s="661"/>
      <c r="U168" s="661"/>
      <c r="V168" s="661"/>
      <c r="W168" s="661"/>
      <c r="X168" s="661">
        <v>5084.76</v>
      </c>
      <c r="Y168" s="661">
        <f t="shared" si="420"/>
        <v>5084.76</v>
      </c>
      <c r="Z168" s="664">
        <f>SUM(Y168/Y175)</f>
        <v>7.5773820222306302E-3</v>
      </c>
      <c r="AA168" s="1166"/>
      <c r="AB168" s="436"/>
      <c r="AC168" s="436"/>
      <c r="AD168" s="5"/>
      <c r="AE168" s="5"/>
      <c r="AF168" s="5"/>
      <c r="AG168" s="5"/>
      <c r="AH168" s="5"/>
      <c r="AI168" s="5"/>
      <c r="AJ168" s="5"/>
    </row>
    <row r="169" spans="1:36" ht="18.75" hidden="1">
      <c r="A169" s="661" t="s">
        <v>76</v>
      </c>
      <c r="B169" s="661"/>
      <c r="C169" s="661"/>
      <c r="D169" s="661"/>
      <c r="E169" s="661"/>
      <c r="F169" s="661"/>
      <c r="G169" s="661"/>
      <c r="H169" s="661"/>
      <c r="I169" s="661"/>
      <c r="J169" s="661"/>
      <c r="K169" s="661"/>
      <c r="L169" s="661"/>
      <c r="M169" s="661"/>
      <c r="N169" s="661"/>
      <c r="O169" s="661"/>
      <c r="P169" s="661"/>
      <c r="Q169" s="661"/>
      <c r="R169" s="661"/>
      <c r="S169" s="661"/>
      <c r="T169" s="661"/>
      <c r="U169" s="661"/>
      <c r="V169" s="661"/>
      <c r="W169" s="661"/>
      <c r="X169" s="661">
        <v>150</v>
      </c>
      <c r="Y169" s="661">
        <f t="shared" si="420"/>
        <v>150</v>
      </c>
      <c r="Z169" s="664">
        <f>SUM(Y169/Y175)</f>
        <v>2.2353214376580105E-4</v>
      </c>
      <c r="AA169" s="1166"/>
      <c r="AB169" s="436"/>
      <c r="AC169" s="436"/>
      <c r="AD169" s="5"/>
      <c r="AE169" s="5"/>
      <c r="AF169" s="5"/>
      <c r="AG169" s="5"/>
      <c r="AH169" s="5"/>
      <c r="AI169" s="5"/>
      <c r="AJ169" s="5"/>
    </row>
    <row r="170" spans="1:36" ht="18.75" hidden="1">
      <c r="A170" s="661" t="s">
        <v>652</v>
      </c>
      <c r="B170" s="661"/>
      <c r="C170" s="661"/>
      <c r="D170" s="661"/>
      <c r="E170" s="661"/>
      <c r="F170" s="661"/>
      <c r="G170" s="661"/>
      <c r="H170" s="661"/>
      <c r="I170" s="661"/>
      <c r="J170" s="661"/>
      <c r="K170" s="661"/>
      <c r="L170" s="661"/>
      <c r="M170" s="661"/>
      <c r="N170" s="661"/>
      <c r="O170" s="661"/>
      <c r="P170" s="661"/>
      <c r="Q170" s="661"/>
      <c r="R170" s="661"/>
      <c r="S170" s="661"/>
      <c r="T170" s="661"/>
      <c r="U170" s="661"/>
      <c r="V170" s="661"/>
      <c r="W170" s="661"/>
      <c r="X170" s="661">
        <v>15308.21</v>
      </c>
      <c r="Y170" s="661">
        <f t="shared" si="420"/>
        <v>15308.21</v>
      </c>
      <c r="Z170" s="664">
        <f>SUM(Y170/Y175)</f>
        <v>2.2812513323447154E-2</v>
      </c>
      <c r="AA170" s="1166"/>
      <c r="AB170" s="436"/>
      <c r="AC170" s="436"/>
      <c r="AD170" s="5"/>
      <c r="AE170" s="5"/>
      <c r="AF170" s="5"/>
      <c r="AG170" s="5"/>
      <c r="AH170" s="5"/>
      <c r="AI170" s="5"/>
      <c r="AJ170" s="5"/>
    </row>
    <row r="171" spans="1:36" ht="18.75" hidden="1">
      <c r="A171" s="661" t="s">
        <v>630</v>
      </c>
      <c r="B171" s="661"/>
      <c r="C171" s="661"/>
      <c r="D171" s="661"/>
      <c r="E171" s="661"/>
      <c r="F171" s="661"/>
      <c r="G171" s="661"/>
      <c r="H171" s="661"/>
      <c r="I171" s="661"/>
      <c r="J171" s="661"/>
      <c r="K171" s="661"/>
      <c r="L171" s="661"/>
      <c r="M171" s="661"/>
      <c r="N171" s="661"/>
      <c r="O171" s="661"/>
      <c r="P171" s="661"/>
      <c r="Q171" s="661"/>
      <c r="R171" s="661"/>
      <c r="S171" s="661"/>
      <c r="T171" s="661"/>
      <c r="U171" s="661"/>
      <c r="V171" s="661"/>
      <c r="W171" s="661"/>
      <c r="X171" s="661">
        <v>594746.84</v>
      </c>
      <c r="Y171" s="661">
        <f t="shared" si="420"/>
        <v>594746.84</v>
      </c>
      <c r="Z171" s="664">
        <f>SUM(Y171/Y175)</f>
        <v>0.88630024095423909</v>
      </c>
      <c r="AA171" s="1166"/>
      <c r="AB171" s="436"/>
      <c r="AC171" s="436"/>
      <c r="AD171" s="5"/>
      <c r="AE171" s="5"/>
      <c r="AF171" s="5"/>
      <c r="AG171" s="5"/>
      <c r="AH171" s="5"/>
      <c r="AI171" s="5"/>
      <c r="AJ171" s="5"/>
    </row>
    <row r="172" spans="1:36" ht="18.75" hidden="1">
      <c r="A172" s="661" t="s">
        <v>641</v>
      </c>
      <c r="B172" s="661"/>
      <c r="C172" s="661"/>
      <c r="D172" s="661"/>
      <c r="E172" s="661"/>
      <c r="F172" s="661"/>
      <c r="G172" s="661"/>
      <c r="H172" s="661"/>
      <c r="I172" s="661"/>
      <c r="J172" s="661"/>
      <c r="K172" s="661"/>
      <c r="L172" s="661"/>
      <c r="M172" s="661"/>
      <c r="N172" s="661"/>
      <c r="O172" s="661"/>
      <c r="P172" s="661"/>
      <c r="Q172" s="661"/>
      <c r="R172" s="661"/>
      <c r="S172" s="661"/>
      <c r="T172" s="661"/>
      <c r="U172" s="661"/>
      <c r="V172" s="661"/>
      <c r="W172" s="661"/>
      <c r="X172" s="661">
        <v>7460</v>
      </c>
      <c r="Y172" s="661">
        <f t="shared" si="420"/>
        <v>7460</v>
      </c>
      <c r="Z172" s="664">
        <f>SUM(Y172/Y175)</f>
        <v>1.1116998616619172E-2</v>
      </c>
      <c r="AA172" s="1166"/>
      <c r="AB172" s="436"/>
      <c r="AC172" s="436"/>
      <c r="AD172" s="5"/>
      <c r="AE172" s="5"/>
      <c r="AF172" s="5"/>
      <c r="AG172" s="5"/>
      <c r="AH172" s="5"/>
      <c r="AI172" s="5"/>
      <c r="AJ172" s="5"/>
    </row>
    <row r="173" spans="1:36" ht="18.75" hidden="1">
      <c r="A173" s="661" t="s">
        <v>605</v>
      </c>
      <c r="B173" s="661"/>
      <c r="C173" s="661"/>
      <c r="D173" s="661"/>
      <c r="E173" s="661"/>
      <c r="F173" s="661"/>
      <c r="G173" s="661"/>
      <c r="H173" s="661"/>
      <c r="I173" s="661"/>
      <c r="J173" s="661"/>
      <c r="K173" s="661"/>
      <c r="L173" s="661"/>
      <c r="M173" s="661"/>
      <c r="N173" s="661"/>
      <c r="O173" s="661"/>
      <c r="P173" s="661"/>
      <c r="Q173" s="661"/>
      <c r="R173" s="661"/>
      <c r="S173" s="661"/>
      <c r="T173" s="661"/>
      <c r="U173" s="661"/>
      <c r="V173" s="661"/>
      <c r="W173" s="661"/>
      <c r="X173" s="661">
        <v>46310.07</v>
      </c>
      <c r="Y173" s="661">
        <f t="shared" ref="Y173:Y174" si="421">SUM(V173:X173)</f>
        <v>46310.07</v>
      </c>
      <c r="Z173" s="664">
        <f>SUM(Y173/Y175)</f>
        <v>6.9011928166962069E-2</v>
      </c>
      <c r="AA173" s="1166"/>
      <c r="AB173" s="436"/>
      <c r="AC173" s="436"/>
      <c r="AD173" s="5"/>
      <c r="AE173" s="5"/>
      <c r="AF173" s="5"/>
      <c r="AG173" s="5"/>
      <c r="AH173" s="5"/>
      <c r="AI173" s="5"/>
      <c r="AJ173" s="5"/>
    </row>
    <row r="174" spans="1:36" ht="18.75" hidden="1">
      <c r="A174" s="661" t="s">
        <v>34</v>
      </c>
      <c r="B174" s="661"/>
      <c r="C174" s="661"/>
      <c r="D174" s="661"/>
      <c r="E174" s="661"/>
      <c r="F174" s="661"/>
      <c r="G174" s="661"/>
      <c r="H174" s="661"/>
      <c r="I174" s="661"/>
      <c r="J174" s="661"/>
      <c r="K174" s="661"/>
      <c r="L174" s="661"/>
      <c r="M174" s="661"/>
      <c r="N174" s="661"/>
      <c r="O174" s="661"/>
      <c r="P174" s="661"/>
      <c r="Q174" s="661"/>
      <c r="R174" s="661"/>
      <c r="S174" s="661"/>
      <c r="T174" s="661"/>
      <c r="U174" s="661"/>
      <c r="V174" s="661"/>
      <c r="W174" s="661"/>
      <c r="X174" s="661">
        <v>1984.55</v>
      </c>
      <c r="Y174" s="661">
        <f t="shared" si="421"/>
        <v>1984.55</v>
      </c>
      <c r="Z174" s="664">
        <f>SUM(Y174/Y175)</f>
        <v>2.9574047727361362E-3</v>
      </c>
      <c r="AA174" s="1166"/>
      <c r="AB174" s="436"/>
      <c r="AC174" s="436"/>
      <c r="AD174" s="5"/>
      <c r="AE174" s="5"/>
      <c r="AF174" s="5"/>
      <c r="AG174" s="5"/>
      <c r="AH174" s="5"/>
      <c r="AI174" s="5"/>
      <c r="AJ174" s="5"/>
    </row>
    <row r="175" spans="1:36" ht="18.75" hidden="1">
      <c r="A175" s="662" t="s">
        <v>631</v>
      </c>
      <c r="B175" s="662"/>
      <c r="C175" s="662"/>
      <c r="D175" s="662"/>
      <c r="E175" s="662"/>
      <c r="F175" s="662"/>
      <c r="G175" s="662"/>
      <c r="H175" s="662"/>
      <c r="I175" s="662"/>
      <c r="J175" s="662"/>
      <c r="K175" s="662"/>
      <c r="L175" s="662"/>
      <c r="M175" s="662"/>
      <c r="N175" s="662"/>
      <c r="O175" s="662"/>
      <c r="P175" s="662"/>
      <c r="Q175" s="662"/>
      <c r="R175" s="662"/>
      <c r="S175" s="662"/>
      <c r="T175" s="662"/>
      <c r="U175" s="662"/>
      <c r="V175" s="662">
        <f t="shared" ref="V175:X175" si="422">SUM(V166:V174)</f>
        <v>0</v>
      </c>
      <c r="W175" s="662">
        <f t="shared" si="422"/>
        <v>0</v>
      </c>
      <c r="X175" s="662">
        <f t="shared" si="422"/>
        <v>671044.42999999993</v>
      </c>
      <c r="Y175" s="662">
        <f>SUM(Y166:Y174)</f>
        <v>671044.42999999993</v>
      </c>
      <c r="Z175" s="665">
        <f>SUM(Z166:Z174)</f>
        <v>1.0000000000000002</v>
      </c>
      <c r="AA175" s="1167"/>
      <c r="AB175" s="436"/>
      <c r="AC175" s="436"/>
      <c r="AD175" s="5"/>
      <c r="AE175" s="5"/>
      <c r="AF175" s="5"/>
      <c r="AG175" s="5"/>
      <c r="AH175" s="5"/>
      <c r="AI175" s="5"/>
      <c r="AJ175" s="5"/>
    </row>
    <row r="176" spans="1:36" ht="18.75" hidden="1">
      <c r="A176" s="662" t="s">
        <v>646</v>
      </c>
      <c r="B176" s="662"/>
      <c r="C176" s="662"/>
      <c r="D176" s="662"/>
      <c r="E176" s="662"/>
      <c r="F176" s="662"/>
      <c r="G176" s="662"/>
      <c r="H176" s="662"/>
      <c r="I176" s="662"/>
      <c r="J176" s="662"/>
      <c r="K176" s="662"/>
      <c r="L176" s="662"/>
      <c r="M176" s="662"/>
      <c r="N176" s="662"/>
      <c r="O176" s="662"/>
      <c r="P176" s="662"/>
      <c r="Q176" s="662"/>
      <c r="R176" s="662"/>
      <c r="S176" s="662"/>
      <c r="T176" s="662"/>
      <c r="U176" s="662"/>
      <c r="V176" s="666" t="s">
        <v>647</v>
      </c>
      <c r="W176" s="666"/>
      <c r="X176" s="666" t="s">
        <v>157</v>
      </c>
      <c r="Y176" s="666" t="s">
        <v>293</v>
      </c>
      <c r="Z176" s="666" t="s">
        <v>44</v>
      </c>
      <c r="AA176" s="1165"/>
      <c r="AB176" s="436"/>
      <c r="AC176" s="436"/>
      <c r="AD176" s="5"/>
      <c r="AE176" s="5"/>
      <c r="AF176" s="5"/>
      <c r="AG176" s="5"/>
      <c r="AH176" s="5"/>
      <c r="AI176" s="5"/>
      <c r="AJ176" s="5"/>
    </row>
    <row r="177" spans="1:36" ht="18.75" hidden="1">
      <c r="A177" s="661" t="s">
        <v>625</v>
      </c>
      <c r="B177" s="661"/>
      <c r="C177" s="661"/>
      <c r="D177" s="661"/>
      <c r="E177" s="661"/>
      <c r="F177" s="661"/>
      <c r="G177" s="661"/>
      <c r="H177" s="661"/>
      <c r="I177" s="661"/>
      <c r="J177" s="661"/>
      <c r="K177" s="661"/>
      <c r="L177" s="661"/>
      <c r="M177" s="661"/>
      <c r="N177" s="661"/>
      <c r="O177" s="661"/>
      <c r="P177" s="661"/>
      <c r="Q177" s="661"/>
      <c r="R177" s="661"/>
      <c r="S177" s="661"/>
      <c r="T177" s="661"/>
      <c r="U177" s="661"/>
      <c r="V177" s="661">
        <v>1594083.26</v>
      </c>
      <c r="W177" s="661"/>
      <c r="X177" s="661"/>
      <c r="Y177" s="661">
        <f>SUM(V177:X177)</f>
        <v>1594083.26</v>
      </c>
      <c r="Z177" s="664">
        <f>SUM(Y177/Y184)</f>
        <v>0.70013013790776046</v>
      </c>
      <c r="AA177" s="1166"/>
      <c r="AB177" s="436"/>
      <c r="AC177" s="436"/>
      <c r="AD177" s="5"/>
      <c r="AE177" s="5"/>
      <c r="AF177" s="5"/>
      <c r="AG177" s="5"/>
      <c r="AH177" s="5"/>
      <c r="AI177" s="5"/>
      <c r="AJ177" s="5"/>
    </row>
    <row r="178" spans="1:36" ht="18.75" hidden="1">
      <c r="A178" s="661" t="s">
        <v>626</v>
      </c>
      <c r="B178" s="661"/>
      <c r="C178" s="661"/>
      <c r="D178" s="661"/>
      <c r="E178" s="661"/>
      <c r="F178" s="661"/>
      <c r="G178" s="661"/>
      <c r="H178" s="661"/>
      <c r="I178" s="661"/>
      <c r="J178" s="661"/>
      <c r="K178" s="661"/>
      <c r="L178" s="661"/>
      <c r="M178" s="661"/>
      <c r="N178" s="661"/>
      <c r="O178" s="661"/>
      <c r="P178" s="661"/>
      <c r="Q178" s="661"/>
      <c r="R178" s="661"/>
      <c r="S178" s="661"/>
      <c r="T178" s="661"/>
      <c r="U178" s="661"/>
      <c r="V178" s="661">
        <v>479160.57</v>
      </c>
      <c r="W178" s="661"/>
      <c r="X178" s="661"/>
      <c r="Y178" s="661">
        <f t="shared" ref="Y178:Y179" si="423">SUM(V178:X178)</f>
        <v>479160.57</v>
      </c>
      <c r="Z178" s="664">
        <f>SUM(Y178/Y184)</f>
        <v>0.21044995852604406</v>
      </c>
      <c r="AA178" s="1166"/>
      <c r="AB178" s="436"/>
      <c r="AC178" s="436"/>
      <c r="AD178" s="5"/>
      <c r="AE178" s="5"/>
      <c r="AF178" s="5"/>
      <c r="AG178" s="5"/>
      <c r="AH178" s="5"/>
      <c r="AI178" s="5"/>
      <c r="AJ178" s="5"/>
    </row>
    <row r="179" spans="1:36" ht="18.75" hidden="1">
      <c r="A179" s="661" t="s">
        <v>76</v>
      </c>
      <c r="B179" s="661"/>
      <c r="C179" s="661"/>
      <c r="D179" s="661"/>
      <c r="E179" s="661"/>
      <c r="F179" s="661"/>
      <c r="G179" s="661"/>
      <c r="H179" s="661"/>
      <c r="I179" s="661"/>
      <c r="J179" s="661"/>
      <c r="K179" s="661"/>
      <c r="L179" s="661"/>
      <c r="M179" s="661"/>
      <c r="N179" s="661"/>
      <c r="O179" s="661"/>
      <c r="P179" s="661"/>
      <c r="Q179" s="661"/>
      <c r="R179" s="661"/>
      <c r="S179" s="661"/>
      <c r="T179" s="661"/>
      <c r="U179" s="661"/>
      <c r="V179" s="661"/>
      <c r="W179" s="661"/>
      <c r="X179" s="661">
        <v>60</v>
      </c>
      <c r="Y179" s="661">
        <f t="shared" si="423"/>
        <v>60</v>
      </c>
      <c r="Z179" s="667">
        <f>SUM(Y179/Y184)</f>
        <v>2.6352330100038579E-5</v>
      </c>
      <c r="AA179" s="1168"/>
      <c r="AB179" s="436"/>
      <c r="AC179" s="436"/>
      <c r="AD179" s="5"/>
      <c r="AE179" s="5"/>
      <c r="AF179" s="5"/>
      <c r="AG179" s="5"/>
      <c r="AH179" s="5"/>
      <c r="AI179" s="5"/>
      <c r="AJ179" s="5"/>
    </row>
    <row r="180" spans="1:36" ht="18.75" hidden="1">
      <c r="A180" s="661" t="s">
        <v>605</v>
      </c>
      <c r="B180" s="661"/>
      <c r="C180" s="661"/>
      <c r="D180" s="661"/>
      <c r="E180" s="661"/>
      <c r="F180" s="661"/>
      <c r="G180" s="661"/>
      <c r="H180" s="661"/>
      <c r="I180" s="661"/>
      <c r="J180" s="661"/>
      <c r="K180" s="661"/>
      <c r="L180" s="661"/>
      <c r="M180" s="661"/>
      <c r="N180" s="661"/>
      <c r="O180" s="661"/>
      <c r="P180" s="661"/>
      <c r="Q180" s="661"/>
      <c r="R180" s="661"/>
      <c r="S180" s="661"/>
      <c r="T180" s="661"/>
      <c r="U180" s="661"/>
      <c r="V180" s="661"/>
      <c r="W180" s="661"/>
      <c r="X180" s="661">
        <v>140992.44</v>
      </c>
      <c r="Y180" s="661">
        <f t="shared" ref="Y180:Y183" si="424">SUM(V180:X180)</f>
        <v>140992.44</v>
      </c>
      <c r="Z180" s="664">
        <f>SUM(Y180/Y184)</f>
        <v>6.1924655341498061E-2</v>
      </c>
      <c r="AA180" s="1166"/>
      <c r="AB180" s="436"/>
      <c r="AC180" s="436"/>
      <c r="AD180" s="5"/>
      <c r="AE180" s="5"/>
      <c r="AF180" s="5"/>
      <c r="AG180" s="5"/>
      <c r="AH180" s="5"/>
      <c r="AI180" s="5"/>
      <c r="AJ180" s="5"/>
    </row>
    <row r="181" spans="1:36" ht="18.75" hidden="1">
      <c r="A181" s="661" t="s">
        <v>629</v>
      </c>
      <c r="B181" s="661"/>
      <c r="C181" s="661"/>
      <c r="D181" s="661"/>
      <c r="E181" s="661"/>
      <c r="F181" s="661"/>
      <c r="G181" s="661"/>
      <c r="H181" s="661"/>
      <c r="I181" s="661"/>
      <c r="J181" s="661"/>
      <c r="K181" s="661"/>
      <c r="L181" s="661"/>
      <c r="M181" s="661"/>
      <c r="N181" s="661"/>
      <c r="O181" s="661"/>
      <c r="P181" s="661"/>
      <c r="Q181" s="661"/>
      <c r="R181" s="661"/>
      <c r="S181" s="661"/>
      <c r="T181" s="661"/>
      <c r="U181" s="661"/>
      <c r="V181" s="661"/>
      <c r="W181" s="661"/>
      <c r="X181" s="661">
        <v>42438</v>
      </c>
      <c r="Y181" s="661">
        <f t="shared" si="424"/>
        <v>42438</v>
      </c>
      <c r="Z181" s="664">
        <f>SUM(Y181/Y184)</f>
        <v>1.8639003079757289E-2</v>
      </c>
      <c r="AA181" s="1166"/>
      <c r="AB181" s="436"/>
      <c r="AC181" s="436"/>
      <c r="AD181" s="5"/>
      <c r="AE181" s="5"/>
      <c r="AF181" s="5"/>
      <c r="AG181" s="5"/>
      <c r="AH181" s="5"/>
      <c r="AI181" s="5"/>
      <c r="AJ181" s="5"/>
    </row>
    <row r="182" spans="1:36" ht="18.75" hidden="1">
      <c r="A182" s="661" t="s">
        <v>34</v>
      </c>
      <c r="B182" s="661"/>
      <c r="C182" s="661"/>
      <c r="D182" s="661"/>
      <c r="E182" s="661"/>
      <c r="F182" s="661"/>
      <c r="G182" s="661"/>
      <c r="H182" s="661"/>
      <c r="I182" s="661"/>
      <c r="J182" s="661"/>
      <c r="K182" s="661"/>
      <c r="L182" s="661"/>
      <c r="M182" s="661"/>
      <c r="N182" s="661"/>
      <c r="O182" s="661"/>
      <c r="P182" s="661"/>
      <c r="Q182" s="661"/>
      <c r="R182" s="661"/>
      <c r="S182" s="661"/>
      <c r="T182" s="661"/>
      <c r="U182" s="661"/>
      <c r="V182" s="661"/>
      <c r="W182" s="661"/>
      <c r="X182" s="661">
        <v>15905.29</v>
      </c>
      <c r="Y182" s="661">
        <f t="shared" si="424"/>
        <v>15905.29</v>
      </c>
      <c r="Z182" s="664">
        <f>SUM(Y182/Y184)</f>
        <v>6.9856908736140441E-3</v>
      </c>
      <c r="AA182" s="1166"/>
      <c r="AB182" s="436"/>
      <c r="AC182" s="436"/>
      <c r="AD182" s="5"/>
      <c r="AE182" s="5"/>
      <c r="AF182" s="5"/>
      <c r="AG182" s="5"/>
      <c r="AH182" s="5"/>
      <c r="AI182" s="5"/>
      <c r="AJ182" s="5"/>
    </row>
    <row r="183" spans="1:36" ht="18.75" hidden="1">
      <c r="A183" s="661" t="s">
        <v>52</v>
      </c>
      <c r="B183" s="661"/>
      <c r="C183" s="661"/>
      <c r="D183" s="661"/>
      <c r="E183" s="661"/>
      <c r="F183" s="661"/>
      <c r="G183" s="661"/>
      <c r="H183" s="661"/>
      <c r="I183" s="661"/>
      <c r="J183" s="661"/>
      <c r="K183" s="661"/>
      <c r="L183" s="661"/>
      <c r="M183" s="661"/>
      <c r="N183" s="661"/>
      <c r="O183" s="661"/>
      <c r="P183" s="661"/>
      <c r="Q183" s="661"/>
      <c r="R183" s="661"/>
      <c r="S183" s="661"/>
      <c r="T183" s="661"/>
      <c r="U183" s="661"/>
      <c r="V183" s="661"/>
      <c r="W183" s="661"/>
      <c r="X183" s="661">
        <v>4198.95</v>
      </c>
      <c r="Y183" s="661">
        <f t="shared" si="424"/>
        <v>4198.95</v>
      </c>
      <c r="Z183" s="664">
        <f>SUM(Y183/Y184)</f>
        <v>1.84420194122595E-3</v>
      </c>
      <c r="AA183" s="1166"/>
      <c r="AB183" s="436"/>
      <c r="AC183" s="436"/>
      <c r="AD183" s="5"/>
      <c r="AE183" s="5"/>
      <c r="AF183" s="5"/>
      <c r="AG183" s="5"/>
      <c r="AH183" s="5"/>
      <c r="AI183" s="5"/>
      <c r="AJ183" s="5"/>
    </row>
    <row r="184" spans="1:36" ht="18.75" hidden="1">
      <c r="A184" s="662" t="s">
        <v>631</v>
      </c>
      <c r="B184" s="662"/>
      <c r="C184" s="662"/>
      <c r="D184" s="662"/>
      <c r="E184" s="662"/>
      <c r="F184" s="662"/>
      <c r="G184" s="662"/>
      <c r="H184" s="662"/>
      <c r="I184" s="662"/>
      <c r="J184" s="662"/>
      <c r="K184" s="662"/>
      <c r="L184" s="662"/>
      <c r="M184" s="662"/>
      <c r="N184" s="662"/>
      <c r="O184" s="662"/>
      <c r="P184" s="662"/>
      <c r="Q184" s="662"/>
      <c r="R184" s="662"/>
      <c r="S184" s="662"/>
      <c r="T184" s="662"/>
      <c r="U184" s="662"/>
      <c r="V184" s="662">
        <f t="shared" ref="V184:X184" si="425">SUM(V177:V183)</f>
        <v>2073243.83</v>
      </c>
      <c r="W184" s="662">
        <f t="shared" si="425"/>
        <v>0</v>
      </c>
      <c r="X184" s="662">
        <f t="shared" si="425"/>
        <v>203594.68000000002</v>
      </c>
      <c r="Y184" s="662">
        <f>SUM(Y177:Y183)</f>
        <v>2276838.5100000002</v>
      </c>
      <c r="Z184" s="665">
        <f>SUM(Z177:Z183)</f>
        <v>0.99999999999999989</v>
      </c>
      <c r="AA184" s="1167"/>
      <c r="AB184" s="436"/>
      <c r="AC184" s="436"/>
      <c r="AD184" s="5"/>
      <c r="AE184" s="5"/>
      <c r="AF184" s="5"/>
      <c r="AG184" s="5"/>
      <c r="AH184" s="5"/>
      <c r="AI184" s="5"/>
      <c r="AJ184" s="5"/>
    </row>
    <row r="185" spans="1:36" hidden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433"/>
      <c r="T185" s="433"/>
      <c r="U185" s="433"/>
      <c r="V185" s="436"/>
      <c r="W185" s="5"/>
      <c r="X185" s="436"/>
      <c r="Y185" s="436"/>
      <c r="Z185" s="436"/>
      <c r="AA185" s="436"/>
      <c r="AB185" s="436"/>
      <c r="AC185" s="436"/>
      <c r="AD185" s="5"/>
      <c r="AE185" s="5"/>
      <c r="AF185" s="5"/>
      <c r="AG185" s="5"/>
      <c r="AH185" s="5"/>
      <c r="AI185" s="5"/>
      <c r="AJ185" s="5"/>
    </row>
    <row r="186" spans="1:36" hidden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433"/>
      <c r="T186" s="433"/>
      <c r="U186" s="433"/>
      <c r="V186" s="436"/>
      <c r="W186" s="5"/>
      <c r="X186" s="436"/>
      <c r="Y186" s="436"/>
      <c r="Z186" s="436"/>
      <c r="AA186" s="436"/>
      <c r="AB186" s="436"/>
      <c r="AC186" s="436"/>
      <c r="AD186" s="5"/>
      <c r="AE186" s="5"/>
      <c r="AF186" s="5"/>
      <c r="AG186" s="5"/>
      <c r="AH186" s="5"/>
      <c r="AI186" s="5"/>
      <c r="AJ186" s="5"/>
    </row>
    <row r="187" spans="1:36" hidden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433"/>
      <c r="T187" s="433"/>
      <c r="U187" s="433"/>
      <c r="V187" s="436"/>
      <c r="W187" s="5"/>
      <c r="X187" s="436"/>
      <c r="Y187" s="436"/>
      <c r="Z187" s="436"/>
      <c r="AA187" s="436"/>
      <c r="AB187" s="436"/>
      <c r="AC187" s="436"/>
      <c r="AD187" s="5"/>
      <c r="AE187" s="5"/>
      <c r="AF187" s="5"/>
      <c r="AG187" s="5"/>
      <c r="AH187" s="5"/>
      <c r="AI187" s="5"/>
      <c r="AJ187" s="5"/>
    </row>
    <row r="188" spans="1:36" hidden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433"/>
      <c r="T188" s="433"/>
      <c r="U188" s="433"/>
      <c r="V188" s="436"/>
      <c r="W188" s="5"/>
      <c r="X188" s="436"/>
      <c r="Y188" s="436"/>
      <c r="Z188" s="436"/>
      <c r="AA188" s="436"/>
      <c r="AB188" s="436"/>
      <c r="AC188" s="436"/>
      <c r="AD188" s="5"/>
      <c r="AE188" s="5"/>
      <c r="AF188" s="5"/>
      <c r="AG188" s="5"/>
      <c r="AH188" s="5"/>
      <c r="AI188" s="5"/>
      <c r="AJ188" s="5"/>
    </row>
    <row r="189" spans="1:36" hidden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433"/>
      <c r="T189" s="433"/>
      <c r="U189" s="433"/>
      <c r="V189" s="436"/>
      <c r="W189" s="5"/>
      <c r="X189" s="436"/>
      <c r="Y189" s="436"/>
      <c r="Z189" s="436"/>
      <c r="AA189" s="436"/>
      <c r="AB189" s="436"/>
      <c r="AC189" s="436"/>
      <c r="AD189" s="5"/>
      <c r="AE189" s="5"/>
      <c r="AF189" s="5"/>
      <c r="AG189" s="5"/>
      <c r="AH189" s="5"/>
      <c r="AI189" s="5"/>
      <c r="AJ189" s="5"/>
    </row>
    <row r="190" spans="1:36" hidden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433"/>
      <c r="T190" s="433"/>
      <c r="U190" s="433"/>
      <c r="V190" s="436"/>
      <c r="W190" s="5"/>
      <c r="X190" s="436"/>
      <c r="Y190" s="436"/>
      <c r="Z190" s="436"/>
      <c r="AA190" s="436"/>
      <c r="AB190" s="436"/>
      <c r="AC190" s="436"/>
      <c r="AD190" s="5"/>
      <c r="AE190" s="5"/>
      <c r="AF190" s="5"/>
      <c r="AG190" s="5"/>
      <c r="AH190" s="5"/>
      <c r="AI190" s="5"/>
      <c r="AJ190" s="5"/>
    </row>
    <row r="191" spans="1:36" hidden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433"/>
      <c r="T191" s="433"/>
      <c r="U191" s="433"/>
      <c r="V191" s="436"/>
      <c r="W191" s="5"/>
      <c r="X191" s="436"/>
      <c r="Y191" s="436"/>
      <c r="Z191" s="436"/>
      <c r="AA191" s="436"/>
      <c r="AB191" s="436"/>
      <c r="AC191" s="436"/>
      <c r="AD191" s="5"/>
      <c r="AE191" s="5"/>
      <c r="AF191" s="5"/>
      <c r="AG191" s="5"/>
      <c r="AH191" s="5"/>
      <c r="AI191" s="5"/>
      <c r="AJ191" s="5"/>
    </row>
    <row r="192" spans="1:36" hidden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433"/>
      <c r="T192" s="433"/>
      <c r="U192" s="433"/>
      <c r="V192" s="436"/>
      <c r="W192" s="5"/>
      <c r="X192" s="436"/>
      <c r="Y192" s="436"/>
      <c r="Z192" s="436"/>
      <c r="AA192" s="436"/>
      <c r="AB192" s="436"/>
      <c r="AC192" s="436"/>
      <c r="AD192" s="5"/>
      <c r="AE192" s="5"/>
      <c r="AF192" s="5"/>
      <c r="AG192" s="5"/>
      <c r="AH192" s="5"/>
      <c r="AI192" s="5"/>
      <c r="AJ192" s="5"/>
    </row>
    <row r="193" spans="1:49" ht="20.25" hidden="1">
      <c r="A193" s="5726" t="s">
        <v>1765</v>
      </c>
      <c r="B193" s="6080"/>
      <c r="C193" s="6080"/>
      <c r="D193" s="6080"/>
      <c r="E193" s="6080"/>
      <c r="F193" s="6080"/>
      <c r="G193" s="6080"/>
      <c r="H193" s="6080"/>
      <c r="I193" s="6080"/>
      <c r="J193" s="6080"/>
      <c r="K193" s="6080"/>
      <c r="L193" s="6080"/>
      <c r="M193" s="6080"/>
      <c r="N193" s="6080"/>
      <c r="O193" s="6080"/>
      <c r="P193" s="6080"/>
      <c r="Q193" s="6080"/>
      <c r="R193" s="6080"/>
      <c r="S193" s="6080"/>
      <c r="T193" s="6080"/>
      <c r="U193" s="6080"/>
      <c r="V193" s="6080"/>
      <c r="W193" s="6080"/>
      <c r="X193" s="6080"/>
      <c r="Y193" s="6080"/>
      <c r="Z193" s="6080"/>
      <c r="AA193" s="6080"/>
      <c r="AB193" s="6080"/>
      <c r="AC193" s="6080"/>
      <c r="AD193" s="6080"/>
      <c r="AE193" s="6080"/>
      <c r="AF193" s="6080"/>
      <c r="AG193" s="6080"/>
      <c r="AH193" s="6080"/>
      <c r="AI193" s="6080"/>
      <c r="AJ193" s="6080"/>
      <c r="AK193" s="6080"/>
      <c r="AL193" s="6080"/>
      <c r="AM193" s="6080"/>
      <c r="AN193" s="6080"/>
      <c r="AO193" s="6080"/>
      <c r="AP193" s="6080"/>
      <c r="AQ193" s="4894"/>
      <c r="AR193" s="4894"/>
      <c r="AS193" s="4894"/>
      <c r="AT193" s="4034"/>
      <c r="AU193" s="4034"/>
      <c r="AV193" s="4034"/>
    </row>
    <row r="194" spans="1:49" hidden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433"/>
      <c r="T194" s="433"/>
      <c r="U194" s="433"/>
      <c r="V194" s="436"/>
      <c r="W194" s="5"/>
      <c r="X194" s="436"/>
      <c r="Y194" s="436"/>
      <c r="Z194" s="436"/>
      <c r="AA194" s="436"/>
      <c r="AB194" s="436"/>
      <c r="AC194" s="5"/>
      <c r="AD194" s="5"/>
    </row>
    <row r="195" spans="1:49" ht="18.75" hidden="1" customHeight="1">
      <c r="A195" s="6081" t="s">
        <v>545</v>
      </c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433"/>
      <c r="U195" s="433"/>
      <c r="V195" s="6083" t="s">
        <v>1593</v>
      </c>
      <c r="W195" s="640"/>
      <c r="X195" s="6084" t="s">
        <v>575</v>
      </c>
      <c r="Y195" s="6085"/>
      <c r="Z195" s="6085"/>
      <c r="AA195" s="6086"/>
      <c r="AB195" s="6060" t="s">
        <v>586</v>
      </c>
      <c r="AC195" s="6060" t="s">
        <v>587</v>
      </c>
      <c r="AD195" s="6060" t="s">
        <v>588</v>
      </c>
      <c r="AE195" s="6077" t="s">
        <v>600</v>
      </c>
      <c r="AF195" s="6060" t="s">
        <v>589</v>
      </c>
      <c r="AG195" s="6060" t="s">
        <v>590</v>
      </c>
      <c r="AH195" s="6060" t="s">
        <v>591</v>
      </c>
      <c r="AI195" s="6077" t="s">
        <v>599</v>
      </c>
      <c r="AJ195" s="6077" t="s">
        <v>598</v>
      </c>
      <c r="AK195" s="6060" t="s">
        <v>592</v>
      </c>
      <c r="AL195" s="6060" t="s">
        <v>593</v>
      </c>
      <c r="AM195" s="6060" t="s">
        <v>594</v>
      </c>
      <c r="AN195" s="6077" t="s">
        <v>225</v>
      </c>
      <c r="AO195" s="6077" t="s">
        <v>229</v>
      </c>
      <c r="AP195" s="6060" t="s">
        <v>595</v>
      </c>
      <c r="AQ195" s="6060" t="s">
        <v>596</v>
      </c>
      <c r="AR195" s="6060" t="s">
        <v>597</v>
      </c>
      <c r="AS195" s="6077" t="s">
        <v>135</v>
      </c>
      <c r="AT195" s="4065"/>
      <c r="AU195" s="4065"/>
      <c r="AV195" s="4065"/>
      <c r="AW195" s="6076" t="s">
        <v>601</v>
      </c>
    </row>
    <row r="196" spans="1:49" ht="38.25" hidden="1" customHeight="1">
      <c r="A196" s="6082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433"/>
      <c r="U196" s="433"/>
      <c r="V196" s="6083"/>
      <c r="W196" s="640"/>
      <c r="X196" s="2473" t="s">
        <v>351</v>
      </c>
      <c r="Y196" s="2473" t="s">
        <v>653</v>
      </c>
      <c r="Z196" s="2509"/>
      <c r="AA196" s="2473" t="s">
        <v>653</v>
      </c>
      <c r="AB196" s="6060"/>
      <c r="AC196" s="6060"/>
      <c r="AD196" s="6060"/>
      <c r="AE196" s="6077"/>
      <c r="AF196" s="6060"/>
      <c r="AG196" s="6060"/>
      <c r="AH196" s="6060"/>
      <c r="AI196" s="6077"/>
      <c r="AJ196" s="6077"/>
      <c r="AK196" s="6060"/>
      <c r="AL196" s="6060"/>
      <c r="AM196" s="6060"/>
      <c r="AN196" s="6077"/>
      <c r="AO196" s="6077"/>
      <c r="AP196" s="6060"/>
      <c r="AQ196" s="6060"/>
      <c r="AR196" s="6060"/>
      <c r="AS196" s="6077"/>
      <c r="AT196" s="4065"/>
      <c r="AU196" s="4065"/>
      <c r="AV196" s="4065"/>
      <c r="AW196" s="6076"/>
    </row>
    <row r="197" spans="1:49" ht="18.75" hidden="1">
      <c r="A197" s="2474" t="s">
        <v>619</v>
      </c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433"/>
      <c r="U197" s="433"/>
      <c r="V197" s="2475">
        <f>SUM(AR47)</f>
        <v>774.56331396282815</v>
      </c>
      <c r="W197" s="640"/>
      <c r="X197" s="2475">
        <f>SUM(V197:W197)</f>
        <v>774.56331396282815</v>
      </c>
      <c r="Y197" s="2476">
        <f>SUM(V197-X197)</f>
        <v>0</v>
      </c>
      <c r="Z197" s="2477">
        <f>SUM(Z198+Z199+Z200+Z201+Z203+Z206)</f>
        <v>48.182459879456871</v>
      </c>
      <c r="AA197" s="2476">
        <f>SUM(V197-X197)</f>
        <v>0</v>
      </c>
      <c r="AB197" s="2477">
        <f>SUM(AB198+AB199+AB200+AB201+AB202+AB203+AB206)</f>
        <v>63.108012209051914</v>
      </c>
      <c r="AC197" s="2477">
        <f t="shared" ref="AC197:AD197" si="426">SUM(AC198+AC199+AC200+AC201+AC202+AC203+AC206)</f>
        <v>63.108012209051914</v>
      </c>
      <c r="AD197" s="2477">
        <f t="shared" si="426"/>
        <v>63.108012209051914</v>
      </c>
      <c r="AE197" s="2478">
        <f>SUM(AB197+AC197+AD197)</f>
        <v>189.32403662715575</v>
      </c>
      <c r="AF197" s="2477">
        <f t="shared" ref="AF197" si="427">SUM(AF198+AF199+AF200+AF201+AF202+AF203+AF206)</f>
        <v>63.116516914239227</v>
      </c>
      <c r="AG197" s="2477">
        <f t="shared" ref="AG197" si="428">SUM(AG198+AG199+AG200+AG201+AG202+AG203+AG206)</f>
        <v>63.257317033451393</v>
      </c>
      <c r="AH197" s="2477">
        <f t="shared" ref="AH197" si="429">SUM(AH198+AH199+AH200+AH201+AH202+AH203+AH206)</f>
        <v>63.380162775045896</v>
      </c>
      <c r="AI197" s="2478">
        <f>SUM(AF197+AG197+AH197)</f>
        <v>189.75399672273653</v>
      </c>
      <c r="AJ197" s="2478">
        <f>SUM(AE197+AI197)</f>
        <v>379.07803334989228</v>
      </c>
      <c r="AK197" s="2477">
        <f t="shared" ref="AK197" si="430">SUM(AK198+AK199+AK200+AK201+AK202+AK203+AK206)</f>
        <v>66.101474444150696</v>
      </c>
      <c r="AL197" s="2477">
        <f t="shared" ref="AL197" si="431">SUM(AL198+AL199+AL200+AL201+AL202+AL203+AL206)</f>
        <v>66.064620721672341</v>
      </c>
      <c r="AM197" s="2477">
        <f t="shared" ref="AM197" si="432">SUM(AM198+AM199+AM200+AM201+AM202+AM203+AM206)</f>
        <v>65.941774980077838</v>
      </c>
      <c r="AN197" s="2478">
        <f>SUM(AK197+AL197+AM197)</f>
        <v>198.10787014590088</v>
      </c>
      <c r="AO197" s="2478">
        <f>SUM(AJ197+AN197)</f>
        <v>577.18590349579313</v>
      </c>
      <c r="AP197" s="2477">
        <f t="shared" ref="AP197" si="433">SUM(AP198+AP199+AP200+AP201+AP202+AP203+AP206)</f>
        <v>65.792470155678359</v>
      </c>
      <c r="AQ197" s="2477">
        <f t="shared" ref="AQ197" si="434">SUM(AQ198+AQ199+AQ200+AQ201+AQ202+AQ203+AQ206)</f>
        <v>65.792470155678359</v>
      </c>
      <c r="AR197" s="2477">
        <f t="shared" ref="AR197" si="435">SUM(AR198+AR199+AR200+AR201+AR202+AR203+AR206)</f>
        <v>65.792470155678359</v>
      </c>
      <c r="AS197" s="2478">
        <f>SUM(AP197+AQ197+AR197)</f>
        <v>197.37741046703508</v>
      </c>
      <c r="AT197" s="4066"/>
      <c r="AU197" s="4066"/>
      <c r="AV197" s="4066"/>
      <c r="AW197" s="642">
        <f>SUM(AR197+AQ197+AP197+AM197+AL197+AK197+AH197+AG197+AF197+AD197+AC197+AB197)</f>
        <v>774.56331396282826</v>
      </c>
    </row>
    <row r="198" spans="1:49" ht="18.75" hidden="1">
      <c r="A198" s="2479" t="s">
        <v>72</v>
      </c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433"/>
      <c r="U198" s="433"/>
      <c r="V198" s="2480">
        <f>SUM(V197*54.57%)</f>
        <v>422.67920042951528</v>
      </c>
      <c r="W198" s="640"/>
      <c r="X198" s="2480">
        <f>SUM(V198)</f>
        <v>422.67920042951528</v>
      </c>
      <c r="Y198" s="2481">
        <f>SUM(V198-X198)</f>
        <v>0</v>
      </c>
      <c r="Z198" s="2467">
        <f>SUM(V198/2)/(1+(106.7%*100-100)/2/100)/6</f>
        <v>34.081535270884963</v>
      </c>
      <c r="AA198" s="2481">
        <f>SUM(V198-X198)</f>
        <v>0</v>
      </c>
      <c r="AB198" s="2467">
        <f>SUM(V198/2)/(1+(106.03%*100-100)/2/100)/6</f>
        <v>34.192366842168234</v>
      </c>
      <c r="AC198" s="2482">
        <f>SUM(AB198)</f>
        <v>34.192366842168234</v>
      </c>
      <c r="AD198" s="2467">
        <f>SUM(AB198)</f>
        <v>34.192366842168234</v>
      </c>
      <c r="AE198" s="2466">
        <f>SUM(AB198+AC198+AD198)</f>
        <v>102.57710052650469</v>
      </c>
      <c r="AF198" s="2483">
        <f>SUM(AB198)</f>
        <v>34.192366842168234</v>
      </c>
      <c r="AG198" s="2483">
        <f>SUM(AB198)</f>
        <v>34.192366842168234</v>
      </c>
      <c r="AH198" s="2483">
        <f>SUM(AB198)</f>
        <v>34.192366842168234</v>
      </c>
      <c r="AI198" s="2466">
        <f>SUM(AF198+AG198+AH198)</f>
        <v>102.57710052650469</v>
      </c>
      <c r="AJ198" s="2466">
        <f>SUM(AE198+AI198)</f>
        <v>205.15420105300939</v>
      </c>
      <c r="AK198" s="2483">
        <f>SUM(V198-AJ198)/6</f>
        <v>36.254166562750981</v>
      </c>
      <c r="AL198" s="2483">
        <f>SUM(AK198)</f>
        <v>36.254166562750981</v>
      </c>
      <c r="AM198" s="2483">
        <f>SUM(AK198)</f>
        <v>36.254166562750981</v>
      </c>
      <c r="AN198" s="2466">
        <f>SUM(AK198+AL198+AM198)</f>
        <v>108.76249968825294</v>
      </c>
      <c r="AO198" s="2466">
        <f>SUM(AJ198+AN198)</f>
        <v>313.91670074126233</v>
      </c>
      <c r="AP198" s="2483">
        <f>SUM(AK198)</f>
        <v>36.254166562750981</v>
      </c>
      <c r="AQ198" s="2483">
        <f>SUM(AK198)</f>
        <v>36.254166562750981</v>
      </c>
      <c r="AR198" s="2483">
        <f>SUM(AK198)</f>
        <v>36.254166562750981</v>
      </c>
      <c r="AS198" s="2466">
        <f>SUM(AP198+AQ198+AR198)</f>
        <v>108.76249968825294</v>
      </c>
      <c r="AT198" s="4067"/>
      <c r="AU198" s="4067"/>
      <c r="AV198" s="4067"/>
      <c r="AW198" s="642">
        <f>SUM(AR198+AQ198+AP198+AM198+AL198+AK198+AH198+AG198+AF198+AD198+AC198+AB198)</f>
        <v>422.67920042951522</v>
      </c>
    </row>
    <row r="199" spans="1:49" ht="18.75" hidden="1">
      <c r="A199" s="2479" t="s">
        <v>121</v>
      </c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433"/>
      <c r="U199" s="433"/>
      <c r="V199" s="2480">
        <f>SUM(V197*16.48%)</f>
        <v>127.64803414107408</v>
      </c>
      <c r="W199" s="640"/>
      <c r="X199" s="2480">
        <f t="shared" ref="X199:X207" si="436">SUM(V199)</f>
        <v>127.64803414107408</v>
      </c>
      <c r="Y199" s="2481">
        <f t="shared" ref="Y199:Y207" si="437">SUM(V199-X199)</f>
        <v>0</v>
      </c>
      <c r="Z199" s="2467">
        <f>SUM(Z198*(V199/V198))</f>
        <v>10.292536215213199</v>
      </c>
      <c r="AA199" s="2481">
        <f t="shared" ref="AA199:AA207" si="438">SUM(V199-X199)</f>
        <v>0</v>
      </c>
      <c r="AB199" s="2467">
        <f>SUM(AB198*(V199/V198))</f>
        <v>10.326007065400999</v>
      </c>
      <c r="AC199" s="2467">
        <f>SUM(AB199)</f>
        <v>10.326007065400999</v>
      </c>
      <c r="AD199" s="2482">
        <f>SUM(AB199)</f>
        <v>10.326007065400999</v>
      </c>
      <c r="AE199" s="2466">
        <f t="shared" ref="AE199:AE247" si="439">SUM(AB199+AC199+AD199)</f>
        <v>30.978021196202995</v>
      </c>
      <c r="AF199" s="2483">
        <f>SUM(AB199)</f>
        <v>10.326007065400999</v>
      </c>
      <c r="AG199" s="2483">
        <f>SUM(AB199)</f>
        <v>10.326007065400999</v>
      </c>
      <c r="AH199" s="2483">
        <f>SUM(AB199)</f>
        <v>10.326007065400999</v>
      </c>
      <c r="AI199" s="2466">
        <f t="shared" ref="AI199:AI247" si="440">SUM(AF199+AG199+AH199)</f>
        <v>30.978021196202995</v>
      </c>
      <c r="AJ199" s="2466">
        <f t="shared" ref="AJ199:AJ247" si="441">SUM(AE199+AI199)</f>
        <v>61.95604239240599</v>
      </c>
      <c r="AK199" s="2483">
        <f>SUM(V199-AJ199)/6</f>
        <v>10.948665291444682</v>
      </c>
      <c r="AL199" s="2483">
        <f>SUM(AK199)</f>
        <v>10.948665291444682</v>
      </c>
      <c r="AM199" s="2483">
        <f>SUM(AK199)</f>
        <v>10.948665291444682</v>
      </c>
      <c r="AN199" s="2466">
        <f t="shared" ref="AN199:AN247" si="442">SUM(AK199+AL199+AM199)</f>
        <v>32.845995874334044</v>
      </c>
      <c r="AO199" s="2466">
        <f t="shared" ref="AO199:AO247" si="443">SUM(AJ199+AN199)</f>
        <v>94.802038266740027</v>
      </c>
      <c r="AP199" s="2483">
        <f>SUM(AK199)</f>
        <v>10.948665291444682</v>
      </c>
      <c r="AQ199" s="2483">
        <f>SUM(AK199)</f>
        <v>10.948665291444682</v>
      </c>
      <c r="AR199" s="2483">
        <f>SUM(AK199)</f>
        <v>10.948665291444682</v>
      </c>
      <c r="AS199" s="2466">
        <f t="shared" ref="AS199:AS247" si="444">SUM(AP199+AQ199+AR199)</f>
        <v>32.845995874334044</v>
      </c>
      <c r="AT199" s="4067"/>
      <c r="AU199" s="4067"/>
      <c r="AV199" s="4067"/>
      <c r="AW199" s="642">
        <f t="shared" ref="AW199:AW258" si="445">SUM(AR199+AQ199+AP199+AM199+AL199+AK199+AH199+AG199+AF199+AD199+AC199+AB199)</f>
        <v>127.64803414107409</v>
      </c>
    </row>
    <row r="200" spans="1:49" ht="18.75" hidden="1">
      <c r="A200" s="2479" t="s">
        <v>52</v>
      </c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433"/>
      <c r="U200" s="433"/>
      <c r="V200" s="2480">
        <f>SUM(V197*1.86%)</f>
        <v>14.406877639708606</v>
      </c>
      <c r="W200" s="640"/>
      <c r="X200" s="2480">
        <f t="shared" si="436"/>
        <v>14.406877639708606</v>
      </c>
      <c r="Y200" s="2481">
        <f t="shared" si="437"/>
        <v>0</v>
      </c>
      <c r="Z200" s="2467">
        <f t="shared" ref="Z200:Z201" si="446">SUM(V200/12)</f>
        <v>1.2005731366423837</v>
      </c>
      <c r="AA200" s="2481">
        <f t="shared" si="438"/>
        <v>0</v>
      </c>
      <c r="AB200" s="2467">
        <f>SUM(V200/12)</f>
        <v>1.2005731366423837</v>
      </c>
      <c r="AC200" s="2467">
        <f t="shared" ref="AC200:AC205" si="447">SUM(AB200)</f>
        <v>1.2005731366423837</v>
      </c>
      <c r="AD200" s="2467">
        <f t="shared" ref="AD200:AD201" si="448">SUM(AB200)</f>
        <v>1.2005731366423837</v>
      </c>
      <c r="AE200" s="2466">
        <f t="shared" ref="AE200:AE201" si="449">SUM(AB200+AC200+AD200)</f>
        <v>3.601719409927151</v>
      </c>
      <c r="AF200" s="2483">
        <f t="shared" ref="AF200:AF201" si="450">SUM(AB200)</f>
        <v>1.2005731366423837</v>
      </c>
      <c r="AG200" s="2483">
        <f t="shared" ref="AG200:AG201" si="451">SUM(AB200)</f>
        <v>1.2005731366423837</v>
      </c>
      <c r="AH200" s="2483">
        <f t="shared" ref="AH200:AH201" si="452">SUM(AB200)</f>
        <v>1.2005731366423837</v>
      </c>
      <c r="AI200" s="2466">
        <f t="shared" ref="AI200:AI201" si="453">SUM(AF200+AG200+AH200)</f>
        <v>3.601719409927151</v>
      </c>
      <c r="AJ200" s="2466">
        <f t="shared" si="441"/>
        <v>7.203438819854302</v>
      </c>
      <c r="AK200" s="2483">
        <f t="shared" ref="AK200:AK201" si="454">SUM(AB200)</f>
        <v>1.2005731366423837</v>
      </c>
      <c r="AL200" s="2483">
        <f t="shared" ref="AL200:AL201" si="455">SUM(AB200)</f>
        <v>1.2005731366423837</v>
      </c>
      <c r="AM200" s="2483">
        <f t="shared" ref="AM200:AM201" si="456">SUM(AB200)</f>
        <v>1.2005731366423837</v>
      </c>
      <c r="AN200" s="2466">
        <f t="shared" ref="AN200:AN201" si="457">SUM(AK200+AL200+AM200)</f>
        <v>3.601719409927151</v>
      </c>
      <c r="AO200" s="2466">
        <f t="shared" si="443"/>
        <v>10.805158229781453</v>
      </c>
      <c r="AP200" s="2483">
        <f t="shared" ref="AP200:AP201" si="458">SUM(AB200)</f>
        <v>1.2005731366423837</v>
      </c>
      <c r="AQ200" s="2483">
        <f t="shared" ref="AQ200:AQ201" si="459">SUM(AB200)</f>
        <v>1.2005731366423837</v>
      </c>
      <c r="AR200" s="2483">
        <f t="shared" ref="AR200:AR201" si="460">SUM(AB200)</f>
        <v>1.2005731366423837</v>
      </c>
      <c r="AS200" s="2466">
        <f t="shared" ref="AS200:AS201" si="461">SUM(AP200+AQ200+AR200)</f>
        <v>3.601719409927151</v>
      </c>
      <c r="AT200" s="4067"/>
      <c r="AU200" s="4067"/>
      <c r="AV200" s="4067"/>
      <c r="AW200" s="642">
        <f t="shared" si="445"/>
        <v>14.406877639708602</v>
      </c>
    </row>
    <row r="201" spans="1:49" ht="18.75" hidden="1">
      <c r="A201" s="2479" t="s">
        <v>605</v>
      </c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433"/>
      <c r="U201" s="433"/>
      <c r="V201" s="2480">
        <f>SUM(V197*1.8%)</f>
        <v>13.942139651330908</v>
      </c>
      <c r="W201" s="640"/>
      <c r="X201" s="2480">
        <f t="shared" si="436"/>
        <v>13.942139651330908</v>
      </c>
      <c r="Y201" s="2481">
        <f t="shared" si="437"/>
        <v>0</v>
      </c>
      <c r="Z201" s="2467">
        <f t="shared" si="446"/>
        <v>1.1618449709442424</v>
      </c>
      <c r="AA201" s="2481">
        <f t="shared" si="438"/>
        <v>0</v>
      </c>
      <c r="AB201" s="2467">
        <f>SUM(V201/12)</f>
        <v>1.1618449709442424</v>
      </c>
      <c r="AC201" s="2467">
        <f t="shared" si="447"/>
        <v>1.1618449709442424</v>
      </c>
      <c r="AD201" s="2467">
        <f t="shared" si="448"/>
        <v>1.1618449709442424</v>
      </c>
      <c r="AE201" s="2466">
        <f t="shared" si="449"/>
        <v>3.4855349128327271</v>
      </c>
      <c r="AF201" s="2483">
        <f t="shared" si="450"/>
        <v>1.1618449709442424</v>
      </c>
      <c r="AG201" s="2483">
        <f t="shared" si="451"/>
        <v>1.1618449709442424</v>
      </c>
      <c r="AH201" s="2483">
        <f t="shared" si="452"/>
        <v>1.1618449709442424</v>
      </c>
      <c r="AI201" s="2466">
        <f t="shared" si="453"/>
        <v>3.4855349128327271</v>
      </c>
      <c r="AJ201" s="2466">
        <f t="shared" si="441"/>
        <v>6.9710698256654542</v>
      </c>
      <c r="AK201" s="2483">
        <f t="shared" si="454"/>
        <v>1.1618449709442424</v>
      </c>
      <c r="AL201" s="2483">
        <f t="shared" si="455"/>
        <v>1.1618449709442424</v>
      </c>
      <c r="AM201" s="2483">
        <f t="shared" si="456"/>
        <v>1.1618449709442424</v>
      </c>
      <c r="AN201" s="2466">
        <f t="shared" si="457"/>
        <v>3.4855349128327271</v>
      </c>
      <c r="AO201" s="2466">
        <f t="shared" si="443"/>
        <v>10.456604738498182</v>
      </c>
      <c r="AP201" s="2483">
        <f t="shared" si="458"/>
        <v>1.1618449709442424</v>
      </c>
      <c r="AQ201" s="2483">
        <f t="shared" si="459"/>
        <v>1.1618449709442424</v>
      </c>
      <c r="AR201" s="2483">
        <f t="shared" si="460"/>
        <v>1.1618449709442424</v>
      </c>
      <c r="AS201" s="2466">
        <f t="shared" si="461"/>
        <v>3.4855349128327271</v>
      </c>
      <c r="AT201" s="4067"/>
      <c r="AU201" s="4067"/>
      <c r="AV201" s="4067"/>
      <c r="AW201" s="642">
        <f t="shared" si="445"/>
        <v>13.94213965133091</v>
      </c>
    </row>
    <row r="202" spans="1:49" ht="18.75" hidden="1">
      <c r="A202" s="2539" t="s">
        <v>1594</v>
      </c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433"/>
      <c r="U202" s="433"/>
      <c r="V202" s="2480">
        <f>SUM(V197*22.9%)</f>
        <v>177.37499889748764</v>
      </c>
      <c r="W202" s="640"/>
      <c r="X202" s="2480">
        <f t="shared" si="436"/>
        <v>177.37499889748764</v>
      </c>
      <c r="Y202" s="2540"/>
      <c r="Z202" s="2541"/>
      <c r="AA202" s="2481">
        <f t="shared" si="438"/>
        <v>0</v>
      </c>
      <c r="AB202" s="2467">
        <f>SUM(V202/12)</f>
        <v>14.78124990812397</v>
      </c>
      <c r="AC202" s="2467">
        <f t="shared" ref="AC202" si="462">SUM(AB202)</f>
        <v>14.78124990812397</v>
      </c>
      <c r="AD202" s="2467">
        <f t="shared" ref="AD202" si="463">SUM(AB202)</f>
        <v>14.78124990812397</v>
      </c>
      <c r="AE202" s="2466">
        <f t="shared" ref="AE202" si="464">SUM(AB202+AC202+AD202)</f>
        <v>44.343749724371911</v>
      </c>
      <c r="AF202" s="2483">
        <f t="shared" ref="AF202" si="465">SUM(AB202)</f>
        <v>14.78124990812397</v>
      </c>
      <c r="AG202" s="2483">
        <f t="shared" ref="AG202" si="466">SUM(AB202)</f>
        <v>14.78124990812397</v>
      </c>
      <c r="AH202" s="2483">
        <f t="shared" ref="AH202" si="467">SUM(AB202)</f>
        <v>14.78124990812397</v>
      </c>
      <c r="AI202" s="2466">
        <f t="shared" ref="AI202" si="468">SUM(AF202+AG202+AH202)</f>
        <v>44.343749724371911</v>
      </c>
      <c r="AJ202" s="2466">
        <f t="shared" ref="AJ202" si="469">SUM(AE202+AI202)</f>
        <v>88.687499448743822</v>
      </c>
      <c r="AK202" s="2483">
        <f t="shared" ref="AK202" si="470">SUM(AB202)</f>
        <v>14.78124990812397</v>
      </c>
      <c r="AL202" s="2483">
        <f t="shared" ref="AL202" si="471">SUM(AB202)</f>
        <v>14.78124990812397</v>
      </c>
      <c r="AM202" s="2483">
        <f t="shared" ref="AM202" si="472">SUM(AB202)</f>
        <v>14.78124990812397</v>
      </c>
      <c r="AN202" s="2466">
        <f t="shared" ref="AN202" si="473">SUM(AK202+AL202+AM202)</f>
        <v>44.343749724371911</v>
      </c>
      <c r="AO202" s="2466">
        <f t="shared" ref="AO202" si="474">SUM(AJ202+AN202)</f>
        <v>133.03124917311573</v>
      </c>
      <c r="AP202" s="2483">
        <f t="shared" ref="AP202" si="475">SUM(AB202)</f>
        <v>14.78124990812397</v>
      </c>
      <c r="AQ202" s="2483">
        <f t="shared" ref="AQ202" si="476">SUM(AB202)</f>
        <v>14.78124990812397</v>
      </c>
      <c r="AR202" s="2483">
        <f t="shared" ref="AR202" si="477">SUM(AB202)</f>
        <v>14.78124990812397</v>
      </c>
      <c r="AS202" s="2466">
        <f t="shared" ref="AS202" si="478">SUM(AP202+AQ202+AR202)</f>
        <v>44.343749724371911</v>
      </c>
      <c r="AT202" s="4067"/>
      <c r="AU202" s="4067"/>
      <c r="AV202" s="4067"/>
      <c r="AW202" s="642">
        <f t="shared" ref="AW202" si="479">SUM(AR202+AQ202+AP202+AM202+AL202+AK202+AH202+AG202+AF202+AD202+AC202+AB202)</f>
        <v>177.37499889748767</v>
      </c>
    </row>
    <row r="203" spans="1:49" ht="18.75" hidden="1">
      <c r="A203" s="2479" t="s">
        <v>606</v>
      </c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433"/>
      <c r="U203" s="433"/>
      <c r="V203" s="2480">
        <f>SUM(V204:V205)</f>
        <v>9.0623907733650899</v>
      </c>
      <c r="W203" s="640"/>
      <c r="X203" s="2480">
        <f t="shared" si="436"/>
        <v>9.0623907733650899</v>
      </c>
      <c r="Y203" s="2481">
        <f t="shared" si="437"/>
        <v>0</v>
      </c>
      <c r="Z203" s="2467">
        <f>SUM(Z204:Z205)</f>
        <v>0.75519923111375753</v>
      </c>
      <c r="AA203" s="2481">
        <f t="shared" si="438"/>
        <v>0</v>
      </c>
      <c r="AB203" s="2467">
        <f>SUM(AB204:AB205)</f>
        <v>0.75519923111375753</v>
      </c>
      <c r="AC203" s="2467">
        <f>SUM(AC204:AC205)</f>
        <v>0.75519923111375753</v>
      </c>
      <c r="AD203" s="2467">
        <f>SUM(AD204:AD205)</f>
        <v>0.75519923111375753</v>
      </c>
      <c r="AE203" s="2466">
        <f t="shared" si="439"/>
        <v>2.2655976933412725</v>
      </c>
      <c r="AF203" s="2467">
        <f>SUM(AF204:AF205)</f>
        <v>0.75519923111375753</v>
      </c>
      <c r="AG203" s="2467">
        <f>SUM(AG204:AG205)</f>
        <v>0.75519923111375753</v>
      </c>
      <c r="AH203" s="2467">
        <f>SUM(AH204:AH205)</f>
        <v>0.75519923111375753</v>
      </c>
      <c r="AI203" s="2466">
        <f t="shared" si="440"/>
        <v>2.2655976933412725</v>
      </c>
      <c r="AJ203" s="2466">
        <f t="shared" si="441"/>
        <v>4.531195386682545</v>
      </c>
      <c r="AK203" s="2467">
        <f>SUM(AK204:AK205)</f>
        <v>0.75519923111375753</v>
      </c>
      <c r="AL203" s="2467">
        <f>SUM(AL204:AL205)</f>
        <v>0.75519923111375753</v>
      </c>
      <c r="AM203" s="2467">
        <f>SUM(AM204:AM205)</f>
        <v>0.75519923111375753</v>
      </c>
      <c r="AN203" s="2466">
        <f t="shared" si="442"/>
        <v>2.2655976933412725</v>
      </c>
      <c r="AO203" s="2466">
        <f t="shared" si="443"/>
        <v>6.7967930800238179</v>
      </c>
      <c r="AP203" s="2467">
        <f>SUM(AP204:AP205)</f>
        <v>0.75519923111375753</v>
      </c>
      <c r="AQ203" s="2467">
        <f>SUM(AQ204:AQ205)</f>
        <v>0.75519923111375753</v>
      </c>
      <c r="AR203" s="2467">
        <f>SUM(AR204:AR205)</f>
        <v>0.75519923111375753</v>
      </c>
      <c r="AS203" s="2466">
        <f t="shared" si="444"/>
        <v>2.2655976933412725</v>
      </c>
      <c r="AT203" s="4067"/>
      <c r="AU203" s="4067"/>
      <c r="AV203" s="4067"/>
      <c r="AW203" s="642">
        <f t="shared" si="445"/>
        <v>9.0623907733650899</v>
      </c>
    </row>
    <row r="204" spans="1:49" ht="18.75" hidden="1">
      <c r="A204" s="2484" t="s">
        <v>564</v>
      </c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433"/>
      <c r="U204" s="433"/>
      <c r="V204" s="2480">
        <f>SUM(V197*0.8%)</f>
        <v>6.1965065117026255</v>
      </c>
      <c r="W204" s="640"/>
      <c r="X204" s="2480">
        <f t="shared" si="436"/>
        <v>6.1965065117026255</v>
      </c>
      <c r="Y204" s="2481">
        <f t="shared" si="437"/>
        <v>0</v>
      </c>
      <c r="Z204" s="2467">
        <f t="shared" ref="Z204:Z205" si="480">SUM(V204/12)</f>
        <v>0.51637554264188545</v>
      </c>
      <c r="AA204" s="2481">
        <f t="shared" si="438"/>
        <v>0</v>
      </c>
      <c r="AB204" s="2467">
        <f>SUM(V204/12)</f>
        <v>0.51637554264188545</v>
      </c>
      <c r="AC204" s="2467">
        <f t="shared" si="447"/>
        <v>0.51637554264188545</v>
      </c>
      <c r="AD204" s="2467">
        <f t="shared" ref="AD204:AD205" si="481">SUM(AB204)</f>
        <v>0.51637554264188545</v>
      </c>
      <c r="AE204" s="2466">
        <f t="shared" si="439"/>
        <v>1.5491266279256564</v>
      </c>
      <c r="AF204" s="2483">
        <f t="shared" ref="AF204" si="482">SUM(AB204)</f>
        <v>0.51637554264188545</v>
      </c>
      <c r="AG204" s="2483">
        <f t="shared" ref="AG204" si="483">SUM(AB204)</f>
        <v>0.51637554264188545</v>
      </c>
      <c r="AH204" s="2483">
        <f t="shared" ref="AH204" si="484">SUM(AB204)</f>
        <v>0.51637554264188545</v>
      </c>
      <c r="AI204" s="2466">
        <f t="shared" si="440"/>
        <v>1.5491266279256564</v>
      </c>
      <c r="AJ204" s="2466">
        <f t="shared" si="441"/>
        <v>3.0982532558513127</v>
      </c>
      <c r="AK204" s="2483">
        <f t="shared" ref="AK204" si="485">SUM(AB204)</f>
        <v>0.51637554264188545</v>
      </c>
      <c r="AL204" s="2483">
        <f t="shared" ref="AL204" si="486">SUM(AB204)</f>
        <v>0.51637554264188545</v>
      </c>
      <c r="AM204" s="2483">
        <f t="shared" ref="AM204" si="487">SUM(AB204)</f>
        <v>0.51637554264188545</v>
      </c>
      <c r="AN204" s="2466">
        <f t="shared" si="442"/>
        <v>1.5491266279256564</v>
      </c>
      <c r="AO204" s="2466">
        <f t="shared" si="443"/>
        <v>4.6473798837769689</v>
      </c>
      <c r="AP204" s="2483">
        <f t="shared" ref="AP204" si="488">SUM(AB204)</f>
        <v>0.51637554264188545</v>
      </c>
      <c r="AQ204" s="2483">
        <f t="shared" ref="AQ204" si="489">SUM(AB204)</f>
        <v>0.51637554264188545</v>
      </c>
      <c r="AR204" s="2483">
        <f t="shared" ref="AR204" si="490">SUM(AB204)</f>
        <v>0.51637554264188545</v>
      </c>
      <c r="AS204" s="2466">
        <f t="shared" si="444"/>
        <v>1.5491266279256564</v>
      </c>
      <c r="AT204" s="4067"/>
      <c r="AU204" s="4067"/>
      <c r="AV204" s="4067"/>
      <c r="AW204" s="642">
        <f t="shared" si="445"/>
        <v>6.1965065117026237</v>
      </c>
    </row>
    <row r="205" spans="1:49" ht="18.75" hidden="1">
      <c r="A205" s="2484" t="s">
        <v>565</v>
      </c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433"/>
      <c r="U205" s="433"/>
      <c r="V205" s="2480">
        <f>SUM(V197*0.37%)</f>
        <v>2.8658842616624645</v>
      </c>
      <c r="W205" s="640"/>
      <c r="X205" s="2480">
        <f t="shared" si="436"/>
        <v>2.8658842616624645</v>
      </c>
      <c r="Y205" s="2481">
        <f t="shared" si="437"/>
        <v>0</v>
      </c>
      <c r="Z205" s="2467">
        <f t="shared" si="480"/>
        <v>0.23882368847187205</v>
      </c>
      <c r="AA205" s="2481">
        <f t="shared" si="438"/>
        <v>0</v>
      </c>
      <c r="AB205" s="2467">
        <f>SUM(V205/12)</f>
        <v>0.23882368847187205</v>
      </c>
      <c r="AC205" s="2467">
        <f t="shared" si="447"/>
        <v>0.23882368847187205</v>
      </c>
      <c r="AD205" s="2467">
        <f t="shared" si="481"/>
        <v>0.23882368847187205</v>
      </c>
      <c r="AE205" s="2466">
        <f t="shared" ref="AE205" si="491">SUM(AB205+AC205+AD205)</f>
        <v>0.71647106541561612</v>
      </c>
      <c r="AF205" s="2483">
        <f t="shared" ref="AF205" si="492">SUM(AB205)</f>
        <v>0.23882368847187205</v>
      </c>
      <c r="AG205" s="2483">
        <f t="shared" ref="AG205" si="493">SUM(AB205)</f>
        <v>0.23882368847187205</v>
      </c>
      <c r="AH205" s="2483">
        <f t="shared" ref="AH205" si="494">SUM(AB205)</f>
        <v>0.23882368847187205</v>
      </c>
      <c r="AI205" s="2466">
        <f t="shared" ref="AI205" si="495">SUM(AF205+AG205+AH205)</f>
        <v>0.71647106541561612</v>
      </c>
      <c r="AJ205" s="2466">
        <f t="shared" si="441"/>
        <v>1.4329421308312322</v>
      </c>
      <c r="AK205" s="2483">
        <f t="shared" ref="AK205" si="496">SUM(AB205)</f>
        <v>0.23882368847187205</v>
      </c>
      <c r="AL205" s="2483">
        <f t="shared" ref="AL205" si="497">SUM(AB205)</f>
        <v>0.23882368847187205</v>
      </c>
      <c r="AM205" s="2483">
        <f t="shared" ref="AM205" si="498">SUM(AB205)</f>
        <v>0.23882368847187205</v>
      </c>
      <c r="AN205" s="2466">
        <f t="shared" ref="AN205" si="499">SUM(AK205+AL205+AM205)</f>
        <v>0.71647106541561612</v>
      </c>
      <c r="AO205" s="2466">
        <f t="shared" si="443"/>
        <v>2.1494131962468481</v>
      </c>
      <c r="AP205" s="2483">
        <f t="shared" ref="AP205" si="500">SUM(AB205)</f>
        <v>0.23882368847187205</v>
      </c>
      <c r="AQ205" s="2483">
        <f t="shared" ref="AQ205" si="501">SUM(AB205)</f>
        <v>0.23882368847187205</v>
      </c>
      <c r="AR205" s="2483">
        <f t="shared" ref="AR205" si="502">SUM(AB205)</f>
        <v>0.23882368847187205</v>
      </c>
      <c r="AS205" s="2466">
        <f t="shared" ref="AS205" si="503">SUM(AP205+AQ205+AR205)</f>
        <v>0.71647106541561612</v>
      </c>
      <c r="AT205" s="4067"/>
      <c r="AU205" s="4067"/>
      <c r="AV205" s="4067"/>
      <c r="AW205" s="642">
        <f t="shared" si="445"/>
        <v>2.865884261662464</v>
      </c>
    </row>
    <row r="206" spans="1:49" ht="18.75" hidden="1">
      <c r="A206" s="2479" t="s">
        <v>609</v>
      </c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433"/>
      <c r="U206" s="433"/>
      <c r="V206" s="2480">
        <f>SUM(V207:V207)</f>
        <v>9.4496724303465029</v>
      </c>
      <c r="W206" s="640"/>
      <c r="X206" s="2480">
        <f t="shared" si="436"/>
        <v>9.4496724303465029</v>
      </c>
      <c r="Y206" s="2481">
        <f t="shared" si="437"/>
        <v>0</v>
      </c>
      <c r="Z206" s="2467">
        <f>SUM(Z207:Z207)</f>
        <v>0.69077105465832933</v>
      </c>
      <c r="AA206" s="2481">
        <f t="shared" si="438"/>
        <v>0</v>
      </c>
      <c r="AB206" s="2467">
        <f>SUM(AB207:AB207)</f>
        <v>0.69077105465832933</v>
      </c>
      <c r="AC206" s="2467">
        <f>SUM(AC207:AC207)</f>
        <v>0.69077105465832933</v>
      </c>
      <c r="AD206" s="2467">
        <f>SUM(AD207:AD207)</f>
        <v>0.69077105465832933</v>
      </c>
      <c r="AE206" s="2466">
        <f t="shared" si="439"/>
        <v>2.0723131639749881</v>
      </c>
      <c r="AF206" s="2467">
        <f>SUM(AF207:AF207)</f>
        <v>0.69927575984564128</v>
      </c>
      <c r="AG206" s="2467">
        <f>SUM(AG207:AG207)</f>
        <v>0.84007587905780423</v>
      </c>
      <c r="AH206" s="2467">
        <f>SUM(AH207:AH207)</f>
        <v>0.96292162065230857</v>
      </c>
      <c r="AI206" s="2466">
        <f t="shared" si="440"/>
        <v>2.5022732595557544</v>
      </c>
      <c r="AJ206" s="2466">
        <f t="shared" si="441"/>
        <v>4.574586423530743</v>
      </c>
      <c r="AK206" s="2467">
        <f>SUM(AK207:AK207)</f>
        <v>0.99977534313066008</v>
      </c>
      <c r="AL206" s="2467">
        <f>SUM(AL207:AL207)</f>
        <v>0.96292162065230857</v>
      </c>
      <c r="AM206" s="2467">
        <f>SUM(AM207:AM207)</f>
        <v>0.84007587905780423</v>
      </c>
      <c r="AN206" s="2466">
        <f t="shared" si="442"/>
        <v>2.8027728428407732</v>
      </c>
      <c r="AO206" s="2466">
        <f t="shared" si="443"/>
        <v>7.3773592663715162</v>
      </c>
      <c r="AP206" s="2467">
        <f>SUM(AP207:AP207)</f>
        <v>0.69077105465832933</v>
      </c>
      <c r="AQ206" s="2467">
        <f>SUM(AQ207:AQ207)</f>
        <v>0.69077105465832933</v>
      </c>
      <c r="AR206" s="2467">
        <f>SUM(AR207:AR207)</f>
        <v>0.69077105465832933</v>
      </c>
      <c r="AS206" s="2466">
        <f t="shared" si="444"/>
        <v>2.0723131639749881</v>
      </c>
      <c r="AT206" s="4067"/>
      <c r="AU206" s="4067"/>
      <c r="AV206" s="4067"/>
      <c r="AW206" s="642">
        <f t="shared" si="445"/>
        <v>9.4496724303465047</v>
      </c>
    </row>
    <row r="207" spans="1:49" ht="18.75" hidden="1">
      <c r="A207" s="2484" t="s">
        <v>551</v>
      </c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433"/>
      <c r="U207" s="433"/>
      <c r="V207" s="2480">
        <f>SUM(V197*1.22%)</f>
        <v>9.4496724303465029</v>
      </c>
      <c r="W207" s="640"/>
      <c r="X207" s="2480">
        <f t="shared" si="436"/>
        <v>9.4496724303465029</v>
      </c>
      <c r="Y207" s="2481">
        <f t="shared" si="437"/>
        <v>0</v>
      </c>
      <c r="Z207" s="2467">
        <f>SUM(V207*7.31%)</f>
        <v>0.69077105465832933</v>
      </c>
      <c r="AA207" s="2481">
        <f t="shared" si="438"/>
        <v>0</v>
      </c>
      <c r="AB207" s="2467">
        <f>SUM(V207*7.31%)</f>
        <v>0.69077105465832933</v>
      </c>
      <c r="AC207" s="2467">
        <f>SUM(X207*7.31%)</f>
        <v>0.69077105465832933</v>
      </c>
      <c r="AD207" s="2467">
        <f>SUM(X207*7.31%)</f>
        <v>0.69077105465832933</v>
      </c>
      <c r="AE207" s="2466">
        <f t="shared" si="439"/>
        <v>2.0723131639749881</v>
      </c>
      <c r="AF207" s="2467">
        <f>SUM(X207*7.4%)</f>
        <v>0.69927575984564128</v>
      </c>
      <c r="AG207" s="2467">
        <f>SUM(X207*8.89%)</f>
        <v>0.84007587905780423</v>
      </c>
      <c r="AH207" s="2467">
        <f>SUM(X207*10.19%)</f>
        <v>0.96292162065230857</v>
      </c>
      <c r="AI207" s="2466">
        <f t="shared" si="440"/>
        <v>2.5022732595557544</v>
      </c>
      <c r="AJ207" s="2466">
        <f t="shared" si="441"/>
        <v>4.574586423530743</v>
      </c>
      <c r="AK207" s="2467">
        <f>SUM(V207*10.58%)</f>
        <v>0.99977534313066008</v>
      </c>
      <c r="AL207" s="2467">
        <f>SUM(X207*10.19%)</f>
        <v>0.96292162065230857</v>
      </c>
      <c r="AM207" s="2467">
        <f>SUM(X207*8.89%)</f>
        <v>0.84007587905780423</v>
      </c>
      <c r="AN207" s="2466">
        <f t="shared" si="442"/>
        <v>2.8027728428407732</v>
      </c>
      <c r="AO207" s="2466">
        <f t="shared" si="443"/>
        <v>7.3773592663715162</v>
      </c>
      <c r="AP207" s="2467">
        <f>SUM(X207*7.31%)</f>
        <v>0.69077105465832933</v>
      </c>
      <c r="AQ207" s="2467">
        <f>SUM(X207*7.31%)</f>
        <v>0.69077105465832933</v>
      </c>
      <c r="AR207" s="2467">
        <f>SUM(X207*7.31%)</f>
        <v>0.69077105465832933</v>
      </c>
      <c r="AS207" s="2466">
        <f t="shared" si="444"/>
        <v>2.0723131639749881</v>
      </c>
      <c r="AT207" s="4067"/>
      <c r="AU207" s="4067"/>
      <c r="AV207" s="4067"/>
      <c r="AW207" s="642">
        <f t="shared" si="445"/>
        <v>9.4496724303465047</v>
      </c>
    </row>
    <row r="208" spans="1:49" ht="18.75" hidden="1">
      <c r="A208" s="2485" t="s">
        <v>620</v>
      </c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433"/>
      <c r="U208" s="433"/>
      <c r="V208" s="2475">
        <f>SUM(AR48)</f>
        <v>7239.5142729517611</v>
      </c>
      <c r="W208" s="640"/>
      <c r="X208" s="2475">
        <f>SUM(стоки!BW26)</f>
        <v>7188.9919856793977</v>
      </c>
      <c r="Y208" s="2476">
        <f t="shared" ref="Y208:Y230" si="504">SUM(V208-X208)</f>
        <v>50.522287272363428</v>
      </c>
      <c r="Z208" s="2477">
        <f>SUM(Z209+Z210+Z211+Z212+Z213+Z214+Z215+Z217+Z216+Z218+Z219+Z220+Z221+Z222+Z223+Z224+Z229)</f>
        <v>630.0221246239895</v>
      </c>
      <c r="AA208" s="2476">
        <f>SUM(V208-X208)</f>
        <v>50.522287272363428</v>
      </c>
      <c r="AB208" s="2477">
        <f>SUM(AB209+AB210+AB211+AB212+AB213+AB214+AB215+AB217+AB216+AB218+AB219+AB220+AB221+AB222+AB223+AB224+AB229)</f>
        <v>623.78967940948587</v>
      </c>
      <c r="AC208" s="2477">
        <f t="shared" ref="AC208:AD208" si="505">SUM(AC209+AC210+AC211+AC212+AC213+AC214+AC215+AC217+AC216+AC218+AC219+AC220+AC221+AC222+AC223+AC224+AC229)</f>
        <v>614.39945586839951</v>
      </c>
      <c r="AD208" s="2477">
        <f t="shared" si="505"/>
        <v>610.33278072168912</v>
      </c>
      <c r="AE208" s="2478">
        <f t="shared" si="439"/>
        <v>1848.5219159995745</v>
      </c>
      <c r="AF208" s="2477">
        <f t="shared" ref="AF208:AH208" si="506">SUM(AF209+AF210+AF211+AF212+AF213+AF214+AF215+AF217+AF216+AF218+AF219+AF220+AF221+AF222+AF223+AF224+AF229)</f>
        <v>596.29363640071767</v>
      </c>
      <c r="AG208" s="2477">
        <f t="shared" si="506"/>
        <v>570.03033202554172</v>
      </c>
      <c r="AH208" s="2477">
        <f t="shared" si="506"/>
        <v>563.3286415557825</v>
      </c>
      <c r="AI208" s="2478">
        <f t="shared" si="440"/>
        <v>1729.6526099820419</v>
      </c>
      <c r="AJ208" s="2478">
        <f t="shared" si="441"/>
        <v>3578.1745259816162</v>
      </c>
      <c r="AK208" s="2477">
        <f t="shared" ref="AK208:AM208" si="507">SUM(AK209+AK210+AK211+AK212+AK213+AK214+AK215+AK217+AK216+AK218+AK219+AK220+AK221+AK222+AK223+AK224+AK229)</f>
        <v>585.32737026411132</v>
      </c>
      <c r="AL208" s="2477">
        <f t="shared" si="507"/>
        <v>584.68645606552684</v>
      </c>
      <c r="AM208" s="2477">
        <f t="shared" si="507"/>
        <v>598.74586799679469</v>
      </c>
      <c r="AN208" s="2478">
        <f t="shared" si="442"/>
        <v>1768.7596943264327</v>
      </c>
      <c r="AO208" s="2478">
        <f t="shared" si="443"/>
        <v>5346.9342203080487</v>
      </c>
      <c r="AP208" s="2477">
        <f t="shared" ref="AP208:AR208" si="508">SUM(AP209+AP210+AP211+AP212+AP213+AP214+AP215+AP217+AP216+AP218+AP219+AP220+AP221+AP222+AP223+AP224+AP229)</f>
        <v>619.76490235680455</v>
      </c>
      <c r="AQ208" s="2477">
        <f t="shared" si="508"/>
        <v>630.01430410753801</v>
      </c>
      <c r="AR208" s="2477">
        <f t="shared" si="508"/>
        <v>642.80084617936882</v>
      </c>
      <c r="AS208" s="2478">
        <f t="shared" si="444"/>
        <v>1892.5800526437115</v>
      </c>
      <c r="AT208" s="4066"/>
      <c r="AU208" s="4066"/>
      <c r="AV208" s="4066"/>
      <c r="AW208" s="642">
        <f t="shared" si="445"/>
        <v>7239.5142729517611</v>
      </c>
    </row>
    <row r="209" spans="1:51" ht="18.75" hidden="1">
      <c r="A209" s="2479" t="s">
        <v>72</v>
      </c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433"/>
      <c r="U209" s="433"/>
      <c r="V209" s="2480">
        <f>SUM(V208*46.54%)</f>
        <v>3369.2699426317495</v>
      </c>
      <c r="W209" s="640"/>
      <c r="X209" s="2480">
        <f>SUM(V209*стоки!BW55/стоки!BU55)</f>
        <v>3345.756870135192</v>
      </c>
      <c r="Y209" s="2481">
        <f t="shared" si="504"/>
        <v>23.51307249655747</v>
      </c>
      <c r="Z209" s="2467">
        <f>SUM(V209/2)/(1+(106.7%*100-100)/2/100)/6</f>
        <v>271.6714999703072</v>
      </c>
      <c r="AA209" s="2481">
        <f>SUM(V209-X209)</f>
        <v>23.51307249655747</v>
      </c>
      <c r="AB209" s="2467">
        <f>SUM(V209/2)/(1+(106.03%*100-100)/2/100)/6</f>
        <v>272.55496308237878</v>
      </c>
      <c r="AC209" s="2482">
        <f>SUM(AB209)</f>
        <v>272.55496308237878</v>
      </c>
      <c r="AD209" s="2467">
        <f>SUM(AB209)</f>
        <v>272.55496308237878</v>
      </c>
      <c r="AE209" s="2466">
        <f>SUM(AB209+AC209+AD209)</f>
        <v>817.66488924713633</v>
      </c>
      <c r="AF209" s="2483">
        <f>SUM(AB209)</f>
        <v>272.55496308237878</v>
      </c>
      <c r="AG209" s="2483">
        <f>SUM(AB209)</f>
        <v>272.55496308237878</v>
      </c>
      <c r="AH209" s="2483">
        <f>SUM(AB209)</f>
        <v>272.55496308237878</v>
      </c>
      <c r="AI209" s="2466">
        <f>SUM(AF209+AG209+AH209)</f>
        <v>817.66488924713633</v>
      </c>
      <c r="AJ209" s="2466">
        <f>SUM(AE209+AI209)</f>
        <v>1635.3297784942727</v>
      </c>
      <c r="AK209" s="2483">
        <f>SUM(V209-AJ209)/6</f>
        <v>288.99002735624612</v>
      </c>
      <c r="AL209" s="2483">
        <f>SUM(AK209)</f>
        <v>288.99002735624612</v>
      </c>
      <c r="AM209" s="2483">
        <f>SUM(AK209)</f>
        <v>288.99002735624612</v>
      </c>
      <c r="AN209" s="2466">
        <f>SUM(AK209+AL209+AM209)</f>
        <v>866.97008206873829</v>
      </c>
      <c r="AO209" s="2466">
        <f>SUM(AJ209+AN209)</f>
        <v>2502.299860563011</v>
      </c>
      <c r="AP209" s="2483">
        <f>SUM(AK209)</f>
        <v>288.99002735624612</v>
      </c>
      <c r="AQ209" s="2483">
        <f>SUM(AK209)</f>
        <v>288.99002735624612</v>
      </c>
      <c r="AR209" s="2483">
        <f>SUM(AK209)</f>
        <v>288.99002735624612</v>
      </c>
      <c r="AS209" s="2466">
        <f>SUM(AP209+AQ209+AR209)</f>
        <v>866.97008206873829</v>
      </c>
      <c r="AT209" s="4067"/>
      <c r="AU209" s="4067"/>
      <c r="AV209" s="4067"/>
      <c r="AW209" s="642">
        <f>SUM(AR209+AQ209+AP209+AM209+AL209+AK209+AH209+AG209+AF209+AD209+AC209+AB209)</f>
        <v>3369.2699426317499</v>
      </c>
      <c r="AX209" s="618"/>
      <c r="AY209" s="618"/>
    </row>
    <row r="210" spans="1:51" ht="18.75" hidden="1">
      <c r="A210" s="2479" t="s">
        <v>121</v>
      </c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433"/>
      <c r="U210" s="433"/>
      <c r="V210" s="2480">
        <f>SUM(V208*13.94%)</f>
        <v>1009.1882896494755</v>
      </c>
      <c r="W210" s="640"/>
      <c r="X210" s="2480">
        <f>SUM(V210*стоки!BE55/стоки!BC55)</f>
        <v>1003.6722197816864</v>
      </c>
      <c r="Y210" s="2481">
        <f t="shared" ref="Y210:Y223" si="509">SUM(V210-X210)</f>
        <v>5.5160698677890423</v>
      </c>
      <c r="Z210" s="2467">
        <f t="shared" ref="Z210:Z223" si="510">SUM(V210/2)/(1+(106.7%*100-100)/2/100)/6</f>
        <v>81.373027709198155</v>
      </c>
      <c r="AA210" s="2481">
        <f t="shared" ref="AA210:AA225" si="511">SUM(V210-X210)</f>
        <v>5.5160698677890423</v>
      </c>
      <c r="AB210" s="2467">
        <f>SUM(AB209*(V210/V209))</f>
        <v>81.637649019517823</v>
      </c>
      <c r="AC210" s="2467">
        <f>SUM(AB210)</f>
        <v>81.637649019517823</v>
      </c>
      <c r="AD210" s="2482">
        <f>SUM(AB210)</f>
        <v>81.637649019517823</v>
      </c>
      <c r="AE210" s="2466">
        <f t="shared" ref="AE210" si="512">SUM(AB210+AC210+AD210)</f>
        <v>244.91294705855347</v>
      </c>
      <c r="AF210" s="2483">
        <f>SUM(AB210)</f>
        <v>81.637649019517823</v>
      </c>
      <c r="AG210" s="2483">
        <f>SUM(AB210)</f>
        <v>81.637649019517823</v>
      </c>
      <c r="AH210" s="2483">
        <f>SUM(AB210)</f>
        <v>81.637649019517823</v>
      </c>
      <c r="AI210" s="2466">
        <f t="shared" ref="AI210" si="513">SUM(AF210+AG210+AH210)</f>
        <v>244.91294705855347</v>
      </c>
      <c r="AJ210" s="2466">
        <f t="shared" ref="AJ210:AJ222" si="514">SUM(AE210+AI210)</f>
        <v>489.82589411710694</v>
      </c>
      <c r="AK210" s="2483">
        <f>SUM(V210-AJ210)/6</f>
        <v>86.560399255394756</v>
      </c>
      <c r="AL210" s="2483">
        <f>SUM(AK210)</f>
        <v>86.560399255394756</v>
      </c>
      <c r="AM210" s="2483">
        <f>SUM(AK210)</f>
        <v>86.560399255394756</v>
      </c>
      <c r="AN210" s="2466">
        <f t="shared" ref="AN210" si="515">SUM(AK210+AL210+AM210)</f>
        <v>259.68119776618425</v>
      </c>
      <c r="AO210" s="2466">
        <f t="shared" ref="AO210:AO222" si="516">SUM(AJ210+AN210)</f>
        <v>749.5070918832912</v>
      </c>
      <c r="AP210" s="2483">
        <f>SUM(AK210)</f>
        <v>86.560399255394756</v>
      </c>
      <c r="AQ210" s="2483">
        <f>SUM(AK210)</f>
        <v>86.560399255394756</v>
      </c>
      <c r="AR210" s="2483">
        <f>SUM(AK210)</f>
        <v>86.560399255394756</v>
      </c>
      <c r="AS210" s="2466">
        <f t="shared" ref="AS210" si="517">SUM(AP210+AQ210+AR210)</f>
        <v>259.68119776618425</v>
      </c>
      <c r="AT210" s="4067"/>
      <c r="AU210" s="4067"/>
      <c r="AV210" s="4067"/>
      <c r="AW210" s="642">
        <f t="shared" ref="AW210" si="518">SUM(AR210+AQ210+AP210+AM210+AL210+AK210+AH210+AG210+AF210+AD210+AC210+AB210)</f>
        <v>1009.1882896494751</v>
      </c>
      <c r="AX210" s="618"/>
      <c r="AY210" s="618"/>
    </row>
    <row r="211" spans="1:51" ht="18.75" hidden="1">
      <c r="A211" s="2479" t="s">
        <v>52</v>
      </c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433"/>
      <c r="U211" s="433"/>
      <c r="V211" s="2480">
        <f>SUM(V208*0.36%)</f>
        <v>26.062251382626339</v>
      </c>
      <c r="W211" s="640"/>
      <c r="X211" s="2480">
        <f>SUM(V211*стоки!BE55/стоки!BC55)</f>
        <v>25.919799076141111</v>
      </c>
      <c r="Y211" s="2481">
        <f t="shared" si="509"/>
        <v>0.14245230648522877</v>
      </c>
      <c r="Z211" s="2467">
        <f t="shared" si="510"/>
        <v>2.1014555219018178</v>
      </c>
      <c r="AA211" s="2481">
        <f t="shared" si="511"/>
        <v>0.14245230648522877</v>
      </c>
      <c r="AB211" s="2467">
        <f t="shared" ref="AB211:AB223" si="519">SUM(V211/12)</f>
        <v>2.1718542818855284</v>
      </c>
      <c r="AC211" s="2467">
        <f t="shared" ref="AC211:AC223" si="520">SUM(AB211)</f>
        <v>2.1718542818855284</v>
      </c>
      <c r="AD211" s="2467">
        <f t="shared" ref="AD211:AD223" si="521">SUM(AB211)</f>
        <v>2.1718542818855284</v>
      </c>
      <c r="AE211" s="2466">
        <f t="shared" ref="AE211:AE223" si="522">SUM(AB211+AC211+AD211)</f>
        <v>6.5155628456565857</v>
      </c>
      <c r="AF211" s="2483">
        <f t="shared" ref="AF211:AF223" si="523">SUM(AB211)</f>
        <v>2.1718542818855284</v>
      </c>
      <c r="AG211" s="2483">
        <f t="shared" ref="AG211:AG223" si="524">SUM(AB211)</f>
        <v>2.1718542818855284</v>
      </c>
      <c r="AH211" s="2483">
        <f t="shared" ref="AH211:AH223" si="525">SUM(AB211)</f>
        <v>2.1718542818855284</v>
      </c>
      <c r="AI211" s="2466">
        <f t="shared" ref="AI211:AI223" si="526">SUM(AF211+AG211+AH211)</f>
        <v>6.5155628456565857</v>
      </c>
      <c r="AJ211" s="2466">
        <f t="shared" si="514"/>
        <v>13.031125691313171</v>
      </c>
      <c r="AK211" s="2483">
        <f t="shared" ref="AK211:AK223" si="527">SUM(AB211)</f>
        <v>2.1718542818855284</v>
      </c>
      <c r="AL211" s="2483">
        <f t="shared" ref="AL211:AL223" si="528">SUM(AB211)</f>
        <v>2.1718542818855284</v>
      </c>
      <c r="AM211" s="2483">
        <f t="shared" ref="AM211:AM223" si="529">SUM(AB211)</f>
        <v>2.1718542818855284</v>
      </c>
      <c r="AN211" s="2466">
        <f t="shared" ref="AN211:AN223" si="530">SUM(AK211+AL211+AM211)</f>
        <v>6.5155628456565857</v>
      </c>
      <c r="AO211" s="2466">
        <f t="shared" si="516"/>
        <v>19.546688536969757</v>
      </c>
      <c r="AP211" s="2483">
        <f t="shared" ref="AP211:AP223" si="531">SUM(AB211)</f>
        <v>2.1718542818855284</v>
      </c>
      <c r="AQ211" s="2483">
        <f t="shared" ref="AQ211:AQ223" si="532">SUM(AB211)</f>
        <v>2.1718542818855284</v>
      </c>
      <c r="AR211" s="2483">
        <f t="shared" ref="AR211:AR223" si="533">SUM(AB211)</f>
        <v>2.1718542818855284</v>
      </c>
      <c r="AS211" s="2466">
        <f t="shared" ref="AS211:AS223" si="534">SUM(AP211+AQ211+AR211)</f>
        <v>6.5155628456565857</v>
      </c>
      <c r="AT211" s="4067"/>
      <c r="AU211" s="4067"/>
      <c r="AV211" s="4067"/>
      <c r="AW211" s="642">
        <f t="shared" si="445"/>
        <v>26.062251382626346</v>
      </c>
      <c r="AX211" s="618"/>
      <c r="AY211" s="618"/>
    </row>
    <row r="212" spans="1:51" ht="18.75" hidden="1">
      <c r="A212" s="2479" t="s">
        <v>637</v>
      </c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433"/>
      <c r="U212" s="433"/>
      <c r="V212" s="2480">
        <f>SUM(V208*9.75%)</f>
        <v>705.85264161279667</v>
      </c>
      <c r="W212" s="640"/>
      <c r="X212" s="2480">
        <f>SUM(V212*стоки!BE55/стоки!BC55)</f>
        <v>701.99455831215516</v>
      </c>
      <c r="Y212" s="2481">
        <f t="shared" si="509"/>
        <v>3.8580833006415105</v>
      </c>
      <c r="Z212" s="2467">
        <f t="shared" si="510"/>
        <v>56.914420384840895</v>
      </c>
      <c r="AA212" s="2481">
        <f t="shared" si="511"/>
        <v>3.8580833006415105</v>
      </c>
      <c r="AB212" s="2467">
        <f t="shared" si="519"/>
        <v>58.821053467733059</v>
      </c>
      <c r="AC212" s="2467">
        <f t="shared" si="520"/>
        <v>58.821053467733059</v>
      </c>
      <c r="AD212" s="2467">
        <f t="shared" si="521"/>
        <v>58.821053467733059</v>
      </c>
      <c r="AE212" s="2466">
        <f t="shared" si="522"/>
        <v>176.46316040319917</v>
      </c>
      <c r="AF212" s="2483">
        <f t="shared" si="523"/>
        <v>58.821053467733059</v>
      </c>
      <c r="AG212" s="2483">
        <f t="shared" si="524"/>
        <v>58.821053467733059</v>
      </c>
      <c r="AH212" s="2483">
        <f t="shared" si="525"/>
        <v>58.821053467733059</v>
      </c>
      <c r="AI212" s="2466">
        <f t="shared" si="526"/>
        <v>176.46316040319917</v>
      </c>
      <c r="AJ212" s="2466">
        <f t="shared" si="514"/>
        <v>352.92632080639834</v>
      </c>
      <c r="AK212" s="2483">
        <f t="shared" si="527"/>
        <v>58.821053467733059</v>
      </c>
      <c r="AL212" s="2483">
        <f t="shared" si="528"/>
        <v>58.821053467733059</v>
      </c>
      <c r="AM212" s="2483">
        <f t="shared" si="529"/>
        <v>58.821053467733059</v>
      </c>
      <c r="AN212" s="2466">
        <f t="shared" si="530"/>
        <v>176.46316040319917</v>
      </c>
      <c r="AO212" s="2466">
        <f t="shared" si="516"/>
        <v>529.38948120959753</v>
      </c>
      <c r="AP212" s="2483">
        <f t="shared" si="531"/>
        <v>58.821053467733059</v>
      </c>
      <c r="AQ212" s="2483">
        <f t="shared" si="532"/>
        <v>58.821053467733059</v>
      </c>
      <c r="AR212" s="2483">
        <f t="shared" si="533"/>
        <v>58.821053467733059</v>
      </c>
      <c r="AS212" s="2466">
        <f t="shared" si="534"/>
        <v>176.46316040319917</v>
      </c>
      <c r="AT212" s="4067"/>
      <c r="AU212" s="4067"/>
      <c r="AV212" s="4067"/>
      <c r="AW212" s="642">
        <f t="shared" si="445"/>
        <v>705.85264161279656</v>
      </c>
      <c r="AX212" s="618"/>
      <c r="AY212" s="618"/>
    </row>
    <row r="213" spans="1:51" ht="18.75" hidden="1">
      <c r="A213" s="2479" t="s">
        <v>639</v>
      </c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433"/>
      <c r="U213" s="433"/>
      <c r="V213" s="2480">
        <f>SUM(V208*1.41%)</f>
        <v>102.07715124861983</v>
      </c>
      <c r="W213" s="640"/>
      <c r="X213" s="2480">
        <f>SUM(V213*стоки!BE55/стоки!BC55)</f>
        <v>101.51921304821936</v>
      </c>
      <c r="Y213" s="2481">
        <f t="shared" si="509"/>
        <v>0.55793820040047137</v>
      </c>
      <c r="Z213" s="2467">
        <f t="shared" si="510"/>
        <v>8.2307007941154513</v>
      </c>
      <c r="AA213" s="2481">
        <f t="shared" si="511"/>
        <v>0.55793820040047137</v>
      </c>
      <c r="AB213" s="2467">
        <f t="shared" si="519"/>
        <v>8.5064292707183196</v>
      </c>
      <c r="AC213" s="2467">
        <f t="shared" si="520"/>
        <v>8.5064292707183196</v>
      </c>
      <c r="AD213" s="2467">
        <f t="shared" si="521"/>
        <v>8.5064292707183196</v>
      </c>
      <c r="AE213" s="2466">
        <f t="shared" si="522"/>
        <v>25.519287812154957</v>
      </c>
      <c r="AF213" s="2483">
        <f t="shared" si="523"/>
        <v>8.5064292707183196</v>
      </c>
      <c r="AG213" s="2483">
        <f t="shared" si="524"/>
        <v>8.5064292707183196</v>
      </c>
      <c r="AH213" s="2483">
        <f t="shared" si="525"/>
        <v>8.5064292707183196</v>
      </c>
      <c r="AI213" s="2466">
        <f t="shared" si="526"/>
        <v>25.519287812154957</v>
      </c>
      <c r="AJ213" s="2466">
        <f t="shared" si="514"/>
        <v>51.038575624309914</v>
      </c>
      <c r="AK213" s="2483">
        <f t="shared" si="527"/>
        <v>8.5064292707183196</v>
      </c>
      <c r="AL213" s="2483">
        <f t="shared" si="528"/>
        <v>8.5064292707183196</v>
      </c>
      <c r="AM213" s="2483">
        <f t="shared" si="529"/>
        <v>8.5064292707183196</v>
      </c>
      <c r="AN213" s="2466">
        <f t="shared" si="530"/>
        <v>25.519287812154957</v>
      </c>
      <c r="AO213" s="2466">
        <f t="shared" si="516"/>
        <v>76.557863436464871</v>
      </c>
      <c r="AP213" s="2483">
        <f t="shared" si="531"/>
        <v>8.5064292707183196</v>
      </c>
      <c r="AQ213" s="2483">
        <f t="shared" si="532"/>
        <v>8.5064292707183196</v>
      </c>
      <c r="AR213" s="2483">
        <f t="shared" si="533"/>
        <v>8.5064292707183196</v>
      </c>
      <c r="AS213" s="2466">
        <f t="shared" si="534"/>
        <v>25.519287812154957</v>
      </c>
      <c r="AT213" s="4067"/>
      <c r="AU213" s="4067"/>
      <c r="AV213" s="4067"/>
      <c r="AW213" s="642">
        <f t="shared" si="445"/>
        <v>102.07715124861981</v>
      </c>
      <c r="AX213" s="618"/>
      <c r="AY213" s="618"/>
    </row>
    <row r="214" spans="1:51" ht="18.75" hidden="1">
      <c r="A214" s="2479" t="s">
        <v>605</v>
      </c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433"/>
      <c r="U214" s="433"/>
      <c r="V214" s="2480">
        <f>SUM(V208*8.87%)</f>
        <v>642.14491601082113</v>
      </c>
      <c r="W214" s="640"/>
      <c r="X214" s="2480">
        <f>SUM(V214*стоки!BE55/стоки!BC55)</f>
        <v>638.63504945936575</v>
      </c>
      <c r="Y214" s="2481">
        <f t="shared" si="509"/>
        <v>3.5098665514553886</v>
      </c>
      <c r="Z214" s="2467">
        <f t="shared" si="510"/>
        <v>51.777529109080888</v>
      </c>
      <c r="AA214" s="2481">
        <f t="shared" si="511"/>
        <v>3.5098665514553886</v>
      </c>
      <c r="AB214" s="2467">
        <f t="shared" si="519"/>
        <v>53.512076334235097</v>
      </c>
      <c r="AC214" s="2467">
        <f t="shared" si="520"/>
        <v>53.512076334235097</v>
      </c>
      <c r="AD214" s="2467">
        <f t="shared" si="521"/>
        <v>53.512076334235097</v>
      </c>
      <c r="AE214" s="2466">
        <f t="shared" si="522"/>
        <v>160.53622900270528</v>
      </c>
      <c r="AF214" s="2483">
        <f t="shared" si="523"/>
        <v>53.512076334235097</v>
      </c>
      <c r="AG214" s="2483">
        <f t="shared" si="524"/>
        <v>53.512076334235097</v>
      </c>
      <c r="AH214" s="2483">
        <f t="shared" si="525"/>
        <v>53.512076334235097</v>
      </c>
      <c r="AI214" s="2466">
        <f t="shared" si="526"/>
        <v>160.53622900270528</v>
      </c>
      <c r="AJ214" s="2466">
        <f t="shared" si="514"/>
        <v>321.07245800541057</v>
      </c>
      <c r="AK214" s="2483">
        <f t="shared" si="527"/>
        <v>53.512076334235097</v>
      </c>
      <c r="AL214" s="2483">
        <f t="shared" si="528"/>
        <v>53.512076334235097</v>
      </c>
      <c r="AM214" s="2483">
        <f t="shared" si="529"/>
        <v>53.512076334235097</v>
      </c>
      <c r="AN214" s="2466">
        <f t="shared" si="530"/>
        <v>160.53622900270528</v>
      </c>
      <c r="AO214" s="2466">
        <f t="shared" si="516"/>
        <v>481.60868700811585</v>
      </c>
      <c r="AP214" s="2483">
        <f t="shared" si="531"/>
        <v>53.512076334235097</v>
      </c>
      <c r="AQ214" s="2483">
        <f t="shared" si="532"/>
        <v>53.512076334235097</v>
      </c>
      <c r="AR214" s="2483">
        <f t="shared" si="533"/>
        <v>53.512076334235097</v>
      </c>
      <c r="AS214" s="2466">
        <f t="shared" si="534"/>
        <v>160.53622900270528</v>
      </c>
      <c r="AT214" s="4067"/>
      <c r="AU214" s="4067"/>
      <c r="AV214" s="4067"/>
      <c r="AW214" s="642">
        <f t="shared" si="445"/>
        <v>642.14491601082102</v>
      </c>
      <c r="AX214" s="618"/>
      <c r="AY214" s="618"/>
    </row>
    <row r="215" spans="1:51" ht="18.75" hidden="1">
      <c r="A215" s="2479" t="s">
        <v>42</v>
      </c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433"/>
      <c r="U215" s="433"/>
      <c r="V215" s="2480">
        <f>SUM(V208*0.56%)</f>
        <v>40.541279928529868</v>
      </c>
      <c r="W215" s="640"/>
      <c r="X215" s="2480">
        <f>SUM(V215*стоки!BE55/стоки!BC55)</f>
        <v>40.319687451775067</v>
      </c>
      <c r="Y215" s="2481">
        <f t="shared" si="509"/>
        <v>0.22159247675480032</v>
      </c>
      <c r="Z215" s="2467">
        <f t="shared" si="510"/>
        <v>3.2689308118472726</v>
      </c>
      <c r="AA215" s="2481">
        <f t="shared" si="511"/>
        <v>0.22159247675480032</v>
      </c>
      <c r="AB215" s="2467">
        <f t="shared" si="519"/>
        <v>3.3784399940441556</v>
      </c>
      <c r="AC215" s="2467">
        <f t="shared" si="520"/>
        <v>3.3784399940441556</v>
      </c>
      <c r="AD215" s="2467">
        <f t="shared" si="521"/>
        <v>3.3784399940441556</v>
      </c>
      <c r="AE215" s="2466">
        <f t="shared" si="522"/>
        <v>10.135319982132467</v>
      </c>
      <c r="AF215" s="2483">
        <f t="shared" si="523"/>
        <v>3.3784399940441556</v>
      </c>
      <c r="AG215" s="2483">
        <f t="shared" si="524"/>
        <v>3.3784399940441556</v>
      </c>
      <c r="AH215" s="2483">
        <f t="shared" si="525"/>
        <v>3.3784399940441556</v>
      </c>
      <c r="AI215" s="2466">
        <f t="shared" si="526"/>
        <v>10.135319982132467</v>
      </c>
      <c r="AJ215" s="2466">
        <f t="shared" si="514"/>
        <v>20.270639964264934</v>
      </c>
      <c r="AK215" s="2483">
        <f t="shared" si="527"/>
        <v>3.3784399940441556</v>
      </c>
      <c r="AL215" s="2483">
        <f t="shared" si="528"/>
        <v>3.3784399940441556</v>
      </c>
      <c r="AM215" s="2483">
        <f t="shared" si="529"/>
        <v>3.3784399940441556</v>
      </c>
      <c r="AN215" s="2466">
        <f t="shared" si="530"/>
        <v>10.135319982132467</v>
      </c>
      <c r="AO215" s="2466">
        <f t="shared" si="516"/>
        <v>30.405959946397402</v>
      </c>
      <c r="AP215" s="2483">
        <f t="shared" si="531"/>
        <v>3.3784399940441556</v>
      </c>
      <c r="AQ215" s="2483">
        <f t="shared" si="532"/>
        <v>3.3784399940441556</v>
      </c>
      <c r="AR215" s="2483">
        <f t="shared" si="533"/>
        <v>3.3784399940441556</v>
      </c>
      <c r="AS215" s="2466">
        <f t="shared" si="534"/>
        <v>10.135319982132467</v>
      </c>
      <c r="AT215" s="4067"/>
      <c r="AU215" s="4067"/>
      <c r="AV215" s="4067"/>
      <c r="AW215" s="642">
        <f t="shared" si="445"/>
        <v>40.541279928529882</v>
      </c>
      <c r="AX215" s="618"/>
      <c r="AY215" s="618"/>
    </row>
    <row r="216" spans="1:51" ht="18.75" hidden="1">
      <c r="A216" s="2479" t="s">
        <v>38</v>
      </c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433"/>
      <c r="U216" s="433"/>
      <c r="V216" s="2480">
        <f>SUM(AH34)</f>
        <v>0</v>
      </c>
      <c r="W216" s="640"/>
      <c r="X216" s="2480">
        <f>SUM(V216*стоки!BE55/стоки!BC55)</f>
        <v>0</v>
      </c>
      <c r="Y216" s="2481"/>
      <c r="Z216" s="2467"/>
      <c r="AA216" s="2481">
        <f t="shared" si="511"/>
        <v>0</v>
      </c>
      <c r="AB216" s="2467">
        <f t="shared" si="519"/>
        <v>0</v>
      </c>
      <c r="AC216" s="2467">
        <f t="shared" si="520"/>
        <v>0</v>
      </c>
      <c r="AD216" s="2467">
        <f t="shared" si="521"/>
        <v>0</v>
      </c>
      <c r="AE216" s="2466">
        <f t="shared" si="522"/>
        <v>0</v>
      </c>
      <c r="AF216" s="2483">
        <f t="shared" ref="AF216" si="535">SUM(AB216)</f>
        <v>0</v>
      </c>
      <c r="AG216" s="2483">
        <f t="shared" ref="AG216" si="536">SUM(AB216)</f>
        <v>0</v>
      </c>
      <c r="AH216" s="2483">
        <f t="shared" ref="AH216" si="537">SUM(AB216)</f>
        <v>0</v>
      </c>
      <c r="AI216" s="2466">
        <f t="shared" ref="AI216" si="538">SUM(AF216+AG216+AH216)</f>
        <v>0</v>
      </c>
      <c r="AJ216" s="2466">
        <f t="shared" si="514"/>
        <v>0</v>
      </c>
      <c r="AK216" s="2483">
        <f t="shared" si="527"/>
        <v>0</v>
      </c>
      <c r="AL216" s="2483">
        <f t="shared" si="528"/>
        <v>0</v>
      </c>
      <c r="AM216" s="2483">
        <f t="shared" si="529"/>
        <v>0</v>
      </c>
      <c r="AN216" s="2466">
        <f t="shared" si="530"/>
        <v>0</v>
      </c>
      <c r="AO216" s="2466">
        <f t="shared" si="516"/>
        <v>0</v>
      </c>
      <c r="AP216" s="2483">
        <f t="shared" si="531"/>
        <v>0</v>
      </c>
      <c r="AQ216" s="2483">
        <f t="shared" si="532"/>
        <v>0</v>
      </c>
      <c r="AR216" s="2483">
        <f t="shared" si="533"/>
        <v>0</v>
      </c>
      <c r="AS216" s="2466">
        <f t="shared" si="534"/>
        <v>0</v>
      </c>
      <c r="AT216" s="4067"/>
      <c r="AU216" s="4067"/>
      <c r="AV216" s="4067"/>
      <c r="AW216" s="642">
        <f t="shared" si="445"/>
        <v>0</v>
      </c>
      <c r="AX216" s="618"/>
      <c r="AY216" s="618"/>
    </row>
    <row r="217" spans="1:51" ht="18.75" hidden="1">
      <c r="A217" s="2479" t="s">
        <v>607</v>
      </c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433"/>
      <c r="U217" s="433"/>
      <c r="V217" s="2480">
        <f>SUM(V208*1.45%)</f>
        <v>104.97295695780053</v>
      </c>
      <c r="W217" s="640"/>
      <c r="X217" s="2480">
        <f>SUM(V217*стоки!BE55/стоки!BC55)</f>
        <v>104.39919072334615</v>
      </c>
      <c r="Y217" s="2481">
        <f t="shared" si="509"/>
        <v>0.57376623445438213</v>
      </c>
      <c r="Z217" s="2467">
        <f t="shared" si="510"/>
        <v>8.4641958521045435</v>
      </c>
      <c r="AA217" s="2481">
        <f t="shared" si="511"/>
        <v>0.57376623445438213</v>
      </c>
      <c r="AB217" s="2467">
        <f t="shared" si="519"/>
        <v>8.7477464131500451</v>
      </c>
      <c r="AC217" s="2467">
        <f t="shared" si="520"/>
        <v>8.7477464131500451</v>
      </c>
      <c r="AD217" s="2467">
        <f t="shared" si="521"/>
        <v>8.7477464131500451</v>
      </c>
      <c r="AE217" s="2466">
        <f t="shared" si="522"/>
        <v>26.243239239450133</v>
      </c>
      <c r="AF217" s="2483">
        <f t="shared" si="523"/>
        <v>8.7477464131500451</v>
      </c>
      <c r="AG217" s="2483">
        <f t="shared" si="524"/>
        <v>8.7477464131500451</v>
      </c>
      <c r="AH217" s="2483">
        <f t="shared" si="525"/>
        <v>8.7477464131500451</v>
      </c>
      <c r="AI217" s="2466">
        <f t="shared" si="526"/>
        <v>26.243239239450133</v>
      </c>
      <c r="AJ217" s="2466">
        <f t="shared" si="514"/>
        <v>52.486478478900267</v>
      </c>
      <c r="AK217" s="2483">
        <f t="shared" si="527"/>
        <v>8.7477464131500451</v>
      </c>
      <c r="AL217" s="2483">
        <f t="shared" si="528"/>
        <v>8.7477464131500451</v>
      </c>
      <c r="AM217" s="2483">
        <f t="shared" si="529"/>
        <v>8.7477464131500451</v>
      </c>
      <c r="AN217" s="2466">
        <f t="shared" si="530"/>
        <v>26.243239239450133</v>
      </c>
      <c r="AO217" s="2466">
        <f t="shared" si="516"/>
        <v>78.7297177183504</v>
      </c>
      <c r="AP217" s="2483">
        <f t="shared" si="531"/>
        <v>8.7477464131500451</v>
      </c>
      <c r="AQ217" s="2483">
        <f t="shared" si="532"/>
        <v>8.7477464131500451</v>
      </c>
      <c r="AR217" s="2483">
        <f t="shared" si="533"/>
        <v>8.7477464131500451</v>
      </c>
      <c r="AS217" s="2466">
        <f t="shared" si="534"/>
        <v>26.243239239450133</v>
      </c>
      <c r="AT217" s="4067"/>
      <c r="AU217" s="4067"/>
      <c r="AV217" s="4067"/>
      <c r="AW217" s="642">
        <f t="shared" si="445"/>
        <v>104.97295695780052</v>
      </c>
      <c r="AX217" s="618"/>
      <c r="AY217" s="618"/>
    </row>
    <row r="218" spans="1:51" ht="18.75" hidden="1">
      <c r="A218" s="2479" t="s">
        <v>98</v>
      </c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433"/>
      <c r="U218" s="433"/>
      <c r="V218" s="2480">
        <f>SUM(V208*1.28%)</f>
        <v>92.665782693782546</v>
      </c>
      <c r="W218" s="640"/>
      <c r="X218" s="2480">
        <f>SUM(V218*стоки!BE55/стоки!BC55)</f>
        <v>92.159285604057303</v>
      </c>
      <c r="Y218" s="2481">
        <f t="shared" si="509"/>
        <v>0.50649708972524365</v>
      </c>
      <c r="Z218" s="2467">
        <f t="shared" si="510"/>
        <v>7.4718418556509079</v>
      </c>
      <c r="AA218" s="2481">
        <f t="shared" si="511"/>
        <v>0.50649708972524365</v>
      </c>
      <c r="AB218" s="2467">
        <f t="shared" si="519"/>
        <v>7.7221485578152125</v>
      </c>
      <c r="AC218" s="2467">
        <f t="shared" si="520"/>
        <v>7.7221485578152125</v>
      </c>
      <c r="AD218" s="2467">
        <f t="shared" si="521"/>
        <v>7.7221485578152125</v>
      </c>
      <c r="AE218" s="2466">
        <f t="shared" si="522"/>
        <v>23.166445673445637</v>
      </c>
      <c r="AF218" s="2483">
        <f t="shared" si="523"/>
        <v>7.7221485578152125</v>
      </c>
      <c r="AG218" s="2483">
        <f t="shared" si="524"/>
        <v>7.7221485578152125</v>
      </c>
      <c r="AH218" s="2483">
        <f t="shared" si="525"/>
        <v>7.7221485578152125</v>
      </c>
      <c r="AI218" s="2466">
        <f t="shared" si="526"/>
        <v>23.166445673445637</v>
      </c>
      <c r="AJ218" s="2466">
        <f t="shared" si="514"/>
        <v>46.332891346891273</v>
      </c>
      <c r="AK218" s="2483">
        <f t="shared" si="527"/>
        <v>7.7221485578152125</v>
      </c>
      <c r="AL218" s="2483">
        <f t="shared" si="528"/>
        <v>7.7221485578152125</v>
      </c>
      <c r="AM218" s="2483">
        <f t="shared" si="529"/>
        <v>7.7221485578152125</v>
      </c>
      <c r="AN218" s="2466">
        <f t="shared" si="530"/>
        <v>23.166445673445637</v>
      </c>
      <c r="AO218" s="2466">
        <f t="shared" si="516"/>
        <v>69.49933702033691</v>
      </c>
      <c r="AP218" s="2483">
        <f t="shared" si="531"/>
        <v>7.7221485578152125</v>
      </c>
      <c r="AQ218" s="2483">
        <f t="shared" si="532"/>
        <v>7.7221485578152125</v>
      </c>
      <c r="AR218" s="2483">
        <f t="shared" si="533"/>
        <v>7.7221485578152125</v>
      </c>
      <c r="AS218" s="2466">
        <f t="shared" si="534"/>
        <v>23.166445673445637</v>
      </c>
      <c r="AT218" s="4067"/>
      <c r="AU218" s="4067"/>
      <c r="AV218" s="4067"/>
      <c r="AW218" s="642">
        <f t="shared" si="445"/>
        <v>92.66578269378256</v>
      </c>
      <c r="AX218" s="618"/>
      <c r="AY218" s="618"/>
    </row>
    <row r="219" spans="1:51" ht="18.75" hidden="1">
      <c r="A219" s="2479" t="s">
        <v>608</v>
      </c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433"/>
      <c r="U219" s="433"/>
      <c r="V219" s="2480">
        <f>SUM(V208*0.97%)</f>
        <v>70.223288447632086</v>
      </c>
      <c r="W219" s="640"/>
      <c r="X219" s="2480">
        <f>SUM(V219*стоки!BE55/стоки!BC55)</f>
        <v>69.839458621824676</v>
      </c>
      <c r="Y219" s="2481">
        <f t="shared" si="509"/>
        <v>0.38382982580741043</v>
      </c>
      <c r="Z219" s="2467">
        <f t="shared" si="510"/>
        <v>5.6622551562354531</v>
      </c>
      <c r="AA219" s="2481">
        <f t="shared" si="511"/>
        <v>0.38382982580741043</v>
      </c>
      <c r="AB219" s="2467">
        <f t="shared" si="519"/>
        <v>5.8519407039693405</v>
      </c>
      <c r="AC219" s="2467">
        <f t="shared" si="520"/>
        <v>5.8519407039693405</v>
      </c>
      <c r="AD219" s="2467">
        <f t="shared" si="521"/>
        <v>5.8519407039693405</v>
      </c>
      <c r="AE219" s="2466">
        <f t="shared" si="522"/>
        <v>17.555822111908022</v>
      </c>
      <c r="AF219" s="2483">
        <f t="shared" si="523"/>
        <v>5.8519407039693405</v>
      </c>
      <c r="AG219" s="2483">
        <f t="shared" si="524"/>
        <v>5.8519407039693405</v>
      </c>
      <c r="AH219" s="2483">
        <f t="shared" si="525"/>
        <v>5.8519407039693405</v>
      </c>
      <c r="AI219" s="2466">
        <f t="shared" si="526"/>
        <v>17.555822111908022</v>
      </c>
      <c r="AJ219" s="2466">
        <f t="shared" si="514"/>
        <v>35.111644223816043</v>
      </c>
      <c r="AK219" s="2483">
        <f t="shared" si="527"/>
        <v>5.8519407039693405</v>
      </c>
      <c r="AL219" s="2483">
        <f t="shared" si="528"/>
        <v>5.8519407039693405</v>
      </c>
      <c r="AM219" s="2483">
        <f t="shared" si="529"/>
        <v>5.8519407039693405</v>
      </c>
      <c r="AN219" s="2466">
        <f t="shared" si="530"/>
        <v>17.555822111908022</v>
      </c>
      <c r="AO219" s="2466">
        <f t="shared" si="516"/>
        <v>52.667466335724065</v>
      </c>
      <c r="AP219" s="2483">
        <f t="shared" si="531"/>
        <v>5.8519407039693405</v>
      </c>
      <c r="AQ219" s="2483">
        <f t="shared" si="532"/>
        <v>5.8519407039693405</v>
      </c>
      <c r="AR219" s="2483">
        <f t="shared" si="533"/>
        <v>5.8519407039693405</v>
      </c>
      <c r="AS219" s="2466">
        <f t="shared" si="534"/>
        <v>17.555822111908022</v>
      </c>
      <c r="AT219" s="4067"/>
      <c r="AU219" s="4067"/>
      <c r="AV219" s="4067"/>
      <c r="AW219" s="642">
        <f t="shared" si="445"/>
        <v>70.223288447632086</v>
      </c>
      <c r="AX219" s="618"/>
      <c r="AY219" s="618"/>
    </row>
    <row r="220" spans="1:51" ht="18.75" hidden="1">
      <c r="A220" s="2479" t="s">
        <v>611</v>
      </c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433"/>
      <c r="U220" s="433"/>
      <c r="V220" s="2480">
        <f>SUM(V208*0.39%)</f>
        <v>28.234105664511869</v>
      </c>
      <c r="W220" s="640"/>
      <c r="X220" s="2480">
        <f>SUM(V220*стоки!BE55/стоки!BC55)</f>
        <v>28.079782332486207</v>
      </c>
      <c r="Y220" s="2481">
        <f t="shared" si="509"/>
        <v>0.15432333202566184</v>
      </c>
      <c r="Z220" s="2467">
        <f t="shared" si="510"/>
        <v>2.2765768153936361</v>
      </c>
      <c r="AA220" s="2481">
        <f t="shared" si="511"/>
        <v>0.15432333202566184</v>
      </c>
      <c r="AB220" s="2467">
        <f t="shared" si="519"/>
        <v>2.3528421387093226</v>
      </c>
      <c r="AC220" s="2467">
        <f t="shared" si="520"/>
        <v>2.3528421387093226</v>
      </c>
      <c r="AD220" s="2467">
        <f t="shared" si="521"/>
        <v>2.3528421387093226</v>
      </c>
      <c r="AE220" s="2466">
        <f t="shared" si="522"/>
        <v>7.0585264161279682</v>
      </c>
      <c r="AF220" s="2483">
        <f t="shared" si="523"/>
        <v>2.3528421387093226</v>
      </c>
      <c r="AG220" s="2483">
        <f t="shared" si="524"/>
        <v>2.3528421387093226</v>
      </c>
      <c r="AH220" s="2483">
        <f t="shared" si="525"/>
        <v>2.3528421387093226</v>
      </c>
      <c r="AI220" s="2466">
        <f t="shared" si="526"/>
        <v>7.0585264161279682</v>
      </c>
      <c r="AJ220" s="2466">
        <f t="shared" si="514"/>
        <v>14.117052832255936</v>
      </c>
      <c r="AK220" s="2483">
        <f t="shared" si="527"/>
        <v>2.3528421387093226</v>
      </c>
      <c r="AL220" s="2483">
        <f t="shared" si="528"/>
        <v>2.3528421387093226</v>
      </c>
      <c r="AM220" s="2483">
        <f t="shared" si="529"/>
        <v>2.3528421387093226</v>
      </c>
      <c r="AN220" s="2466">
        <f t="shared" si="530"/>
        <v>7.0585264161279682</v>
      </c>
      <c r="AO220" s="2466">
        <f t="shared" si="516"/>
        <v>21.175579248383904</v>
      </c>
      <c r="AP220" s="2483">
        <f t="shared" si="531"/>
        <v>2.3528421387093226</v>
      </c>
      <c r="AQ220" s="2483">
        <f t="shared" si="532"/>
        <v>2.3528421387093226</v>
      </c>
      <c r="AR220" s="2483">
        <f t="shared" si="533"/>
        <v>2.3528421387093226</v>
      </c>
      <c r="AS220" s="2466">
        <f t="shared" si="534"/>
        <v>7.0585264161279682</v>
      </c>
      <c r="AT220" s="4067"/>
      <c r="AU220" s="4067"/>
      <c r="AV220" s="4067"/>
      <c r="AW220" s="642">
        <f t="shared" si="445"/>
        <v>28.234105664511876</v>
      </c>
      <c r="AX220" s="618"/>
      <c r="AY220" s="618"/>
    </row>
    <row r="221" spans="1:51" ht="18.75" hidden="1">
      <c r="A221" s="2479" t="s">
        <v>615</v>
      </c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433"/>
      <c r="U221" s="433"/>
      <c r="V221" s="2486">
        <v>0</v>
      </c>
      <c r="W221" s="646"/>
      <c r="X221" s="2480">
        <f>SUM(V221*стоки!BE55/стоки!BC55)</f>
        <v>0</v>
      </c>
      <c r="Y221" s="2481">
        <f t="shared" si="509"/>
        <v>0</v>
      </c>
      <c r="Z221" s="2467">
        <f t="shared" si="510"/>
        <v>0</v>
      </c>
      <c r="AA221" s="2481">
        <f t="shared" si="511"/>
        <v>0</v>
      </c>
      <c r="AB221" s="2487">
        <f t="shared" si="519"/>
        <v>0</v>
      </c>
      <c r="AC221" s="2487">
        <f t="shared" si="520"/>
        <v>0</v>
      </c>
      <c r="AD221" s="2487">
        <f t="shared" si="521"/>
        <v>0</v>
      </c>
      <c r="AE221" s="2488">
        <f t="shared" si="522"/>
        <v>0</v>
      </c>
      <c r="AF221" s="2489">
        <f t="shared" si="523"/>
        <v>0</v>
      </c>
      <c r="AG221" s="2489">
        <f t="shared" si="524"/>
        <v>0</v>
      </c>
      <c r="AH221" s="2489">
        <f t="shared" si="525"/>
        <v>0</v>
      </c>
      <c r="AI221" s="2488">
        <f t="shared" si="526"/>
        <v>0</v>
      </c>
      <c r="AJ221" s="2488">
        <f t="shared" si="514"/>
        <v>0</v>
      </c>
      <c r="AK221" s="2489">
        <f t="shared" si="527"/>
        <v>0</v>
      </c>
      <c r="AL221" s="2489">
        <f t="shared" si="528"/>
        <v>0</v>
      </c>
      <c r="AM221" s="2489">
        <f t="shared" si="529"/>
        <v>0</v>
      </c>
      <c r="AN221" s="2488">
        <f t="shared" si="530"/>
        <v>0</v>
      </c>
      <c r="AO221" s="2488">
        <f t="shared" si="516"/>
        <v>0</v>
      </c>
      <c r="AP221" s="2489">
        <f t="shared" si="531"/>
        <v>0</v>
      </c>
      <c r="AQ221" s="2489">
        <f t="shared" si="532"/>
        <v>0</v>
      </c>
      <c r="AR221" s="2489">
        <f t="shared" si="533"/>
        <v>0</v>
      </c>
      <c r="AS221" s="2488">
        <f t="shared" si="534"/>
        <v>0</v>
      </c>
      <c r="AT221" s="4068"/>
      <c r="AU221" s="4068"/>
      <c r="AV221" s="4068"/>
      <c r="AW221" s="649">
        <f t="shared" si="445"/>
        <v>0</v>
      </c>
      <c r="AX221" s="618"/>
      <c r="AY221" s="618"/>
    </row>
    <row r="222" spans="1:51" ht="18.75" hidden="1">
      <c r="A222" s="2479" t="s">
        <v>612</v>
      </c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433"/>
      <c r="U222" s="433"/>
      <c r="V222" s="2486">
        <v>0</v>
      </c>
      <c r="W222" s="646"/>
      <c r="X222" s="2480">
        <f>SUM(V222*стоки!BE55/стоки!BC55)</f>
        <v>0</v>
      </c>
      <c r="Y222" s="2481">
        <f t="shared" si="509"/>
        <v>0</v>
      </c>
      <c r="Z222" s="2467">
        <f t="shared" si="510"/>
        <v>0</v>
      </c>
      <c r="AA222" s="2481">
        <f t="shared" si="511"/>
        <v>0</v>
      </c>
      <c r="AB222" s="2487">
        <f t="shared" si="519"/>
        <v>0</v>
      </c>
      <c r="AC222" s="2487">
        <f t="shared" si="520"/>
        <v>0</v>
      </c>
      <c r="AD222" s="2487">
        <f t="shared" si="521"/>
        <v>0</v>
      </c>
      <c r="AE222" s="2488">
        <f t="shared" si="522"/>
        <v>0</v>
      </c>
      <c r="AF222" s="2489">
        <f t="shared" si="523"/>
        <v>0</v>
      </c>
      <c r="AG222" s="2489">
        <f t="shared" si="524"/>
        <v>0</v>
      </c>
      <c r="AH222" s="2489">
        <f t="shared" si="525"/>
        <v>0</v>
      </c>
      <c r="AI222" s="2488">
        <f t="shared" si="526"/>
        <v>0</v>
      </c>
      <c r="AJ222" s="2488">
        <f t="shared" si="514"/>
        <v>0</v>
      </c>
      <c r="AK222" s="2489">
        <f t="shared" si="527"/>
        <v>0</v>
      </c>
      <c r="AL222" s="2489">
        <f t="shared" si="528"/>
        <v>0</v>
      </c>
      <c r="AM222" s="2489">
        <f t="shared" si="529"/>
        <v>0</v>
      </c>
      <c r="AN222" s="2488">
        <f t="shared" si="530"/>
        <v>0</v>
      </c>
      <c r="AO222" s="2488">
        <f t="shared" si="516"/>
        <v>0</v>
      </c>
      <c r="AP222" s="2489">
        <f t="shared" si="531"/>
        <v>0</v>
      </c>
      <c r="AQ222" s="2489">
        <f t="shared" si="532"/>
        <v>0</v>
      </c>
      <c r="AR222" s="2489">
        <f t="shared" si="533"/>
        <v>0</v>
      </c>
      <c r="AS222" s="2488">
        <f t="shared" si="534"/>
        <v>0</v>
      </c>
      <c r="AT222" s="4068"/>
      <c r="AU222" s="4068"/>
      <c r="AV222" s="4068"/>
      <c r="AW222" s="649">
        <f t="shared" si="445"/>
        <v>0</v>
      </c>
      <c r="AX222" s="618"/>
      <c r="AY222" s="618"/>
    </row>
    <row r="223" spans="1:51" ht="18.75" hidden="1">
      <c r="A223" s="2479" t="s">
        <v>32</v>
      </c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433"/>
      <c r="U223" s="433"/>
      <c r="V223" s="2480">
        <f>SUM(V208*0.29%)</f>
        <v>20.994591391560107</v>
      </c>
      <c r="W223" s="640"/>
      <c r="X223" s="2480">
        <f>SUM(V223*стоки!BE55/стоки!BC55)</f>
        <v>20.879838144669229</v>
      </c>
      <c r="Y223" s="2481">
        <f t="shared" si="509"/>
        <v>0.11475324689087785</v>
      </c>
      <c r="Z223" s="2467">
        <f t="shared" si="510"/>
        <v>1.6928391704209087</v>
      </c>
      <c r="AA223" s="2481">
        <f t="shared" si="511"/>
        <v>0.11475324689087785</v>
      </c>
      <c r="AB223" s="2467">
        <f t="shared" si="519"/>
        <v>1.749549282630009</v>
      </c>
      <c r="AC223" s="2467">
        <f t="shared" si="520"/>
        <v>1.749549282630009</v>
      </c>
      <c r="AD223" s="2467">
        <f t="shared" si="521"/>
        <v>1.749549282630009</v>
      </c>
      <c r="AE223" s="2466">
        <f t="shared" si="522"/>
        <v>5.2486478478900267</v>
      </c>
      <c r="AF223" s="2483">
        <f t="shared" si="523"/>
        <v>1.749549282630009</v>
      </c>
      <c r="AG223" s="2483">
        <f t="shared" si="524"/>
        <v>1.749549282630009</v>
      </c>
      <c r="AH223" s="2483">
        <f t="shared" si="525"/>
        <v>1.749549282630009</v>
      </c>
      <c r="AI223" s="2466">
        <f t="shared" si="526"/>
        <v>5.2486478478900267</v>
      </c>
      <c r="AJ223" s="2466">
        <f t="shared" si="441"/>
        <v>10.497295695780053</v>
      </c>
      <c r="AK223" s="2483">
        <f t="shared" si="527"/>
        <v>1.749549282630009</v>
      </c>
      <c r="AL223" s="2483">
        <f t="shared" si="528"/>
        <v>1.749549282630009</v>
      </c>
      <c r="AM223" s="2483">
        <f t="shared" si="529"/>
        <v>1.749549282630009</v>
      </c>
      <c r="AN223" s="2466">
        <f t="shared" si="530"/>
        <v>5.2486478478900267</v>
      </c>
      <c r="AO223" s="2466">
        <f t="shared" si="443"/>
        <v>15.74594354367008</v>
      </c>
      <c r="AP223" s="2483">
        <f t="shared" si="531"/>
        <v>1.749549282630009</v>
      </c>
      <c r="AQ223" s="2483">
        <f t="shared" si="532"/>
        <v>1.749549282630009</v>
      </c>
      <c r="AR223" s="2483">
        <f t="shared" si="533"/>
        <v>1.749549282630009</v>
      </c>
      <c r="AS223" s="2466">
        <f t="shared" si="534"/>
        <v>5.2486478478900267</v>
      </c>
      <c r="AT223" s="4067"/>
      <c r="AU223" s="4067"/>
      <c r="AV223" s="4067"/>
      <c r="AW223" s="642">
        <f t="shared" si="445"/>
        <v>20.994591391560107</v>
      </c>
      <c r="AX223" s="618"/>
      <c r="AY223" s="618"/>
    </row>
    <row r="224" spans="1:51" ht="18.75" hidden="1">
      <c r="A224" s="2479" t="s">
        <v>606</v>
      </c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433"/>
      <c r="U224" s="433"/>
      <c r="V224" s="2480">
        <f>SUM(V225:V228)</f>
        <v>554.54679330810495</v>
      </c>
      <c r="W224" s="640"/>
      <c r="X224" s="2480">
        <f>SUM(X225:X228)</f>
        <v>551.51572478678031</v>
      </c>
      <c r="Y224" s="2480">
        <f>SUM(Y225:Y228)</f>
        <v>3.0310685213245856</v>
      </c>
      <c r="Z224" s="2482">
        <f t="shared" ref="Z224" si="539">SUM(Z225:Z228)</f>
        <v>94.559536856956342</v>
      </c>
      <c r="AA224" s="2480">
        <f>SUM(AA225:AA228)</f>
        <v>3.0310685213245856</v>
      </c>
      <c r="AB224" s="2482">
        <f t="shared" ref="AB224:AD224" si="540">SUM(AB225:AB228)</f>
        <v>79.069678394612566</v>
      </c>
      <c r="AC224" s="2482">
        <f t="shared" si="540"/>
        <v>69.679454853526153</v>
      </c>
      <c r="AD224" s="2482">
        <f t="shared" si="540"/>
        <v>65.6127797068158</v>
      </c>
      <c r="AE224" s="2466">
        <f t="shared" si="439"/>
        <v>214.36191295495451</v>
      </c>
      <c r="AF224" s="2482">
        <f t="shared" ref="AF224:AH224" si="541">SUM(AF225:AF228)</f>
        <v>51.42573210924791</v>
      </c>
      <c r="AG224" s="2482">
        <f t="shared" si="541"/>
        <v>22.71380682153146</v>
      </c>
      <c r="AH224" s="2482">
        <f t="shared" si="541"/>
        <v>13.875735689824207</v>
      </c>
      <c r="AI224" s="2466">
        <f t="shared" si="440"/>
        <v>88.015274620603577</v>
      </c>
      <c r="AJ224" s="2466">
        <f t="shared" si="441"/>
        <v>302.37718757555808</v>
      </c>
      <c r="AK224" s="2482">
        <f t="shared" ref="AK224:AM224" si="542">SUM(AK225:AK228)</f>
        <v>13.875735689824207</v>
      </c>
      <c r="AL224" s="2482">
        <f t="shared" si="542"/>
        <v>13.875735689824207</v>
      </c>
      <c r="AM224" s="2482">
        <f t="shared" si="542"/>
        <v>30.071528283040056</v>
      </c>
      <c r="AN224" s="2466">
        <f t="shared" si="442"/>
        <v>57.822999662688474</v>
      </c>
      <c r="AO224" s="2466">
        <f t="shared" si="443"/>
        <v>360.20018723824654</v>
      </c>
      <c r="AP224" s="2482">
        <f t="shared" ref="AP224:AR224" si="543">SUM(AP225:AP228)</f>
        <v>53.687086832186836</v>
      </c>
      <c r="AQ224" s="2482">
        <f t="shared" si="543"/>
        <v>63.936488582920347</v>
      </c>
      <c r="AR224" s="2482">
        <f t="shared" si="543"/>
        <v>76.723030654751128</v>
      </c>
      <c r="AS224" s="2466">
        <f t="shared" si="444"/>
        <v>194.3466060698583</v>
      </c>
      <c r="AT224" s="4067"/>
      <c r="AU224" s="4067"/>
      <c r="AV224" s="4067"/>
      <c r="AW224" s="642">
        <f t="shared" si="445"/>
        <v>554.54679330810484</v>
      </c>
      <c r="AX224" s="618"/>
      <c r="AY224" s="618"/>
    </row>
    <row r="225" spans="1:51" ht="18.75" hidden="1">
      <c r="A225" s="2484" t="s">
        <v>651</v>
      </c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433"/>
      <c r="U225" s="433"/>
      <c r="V225" s="2480">
        <f>SUM(V208*5.36%)</f>
        <v>388.03796503021442</v>
      </c>
      <c r="W225" s="640"/>
      <c r="X225" s="2480">
        <f>SUM(V225*стоки!BE55/стоки!BC55)</f>
        <v>385.9170084669899</v>
      </c>
      <c r="Y225" s="2481">
        <f t="shared" si="504"/>
        <v>2.1209565632245244</v>
      </c>
      <c r="Z225" s="2467">
        <f>SUM(V225/2094.54)/(1+(101%*100-100)/2/100)*358.94</f>
        <v>66.166986625755356</v>
      </c>
      <c r="AA225" s="2481">
        <f t="shared" si="511"/>
        <v>2.1209565632245244</v>
      </c>
      <c r="AB225" s="2467">
        <f>SUM(V225/2094.54)/(1+(104%*100-100)/2/100)*358.94</f>
        <v>65.193942704788356</v>
      </c>
      <c r="AC225" s="2467">
        <f>SUM(V225/2094.54)/(1+(104%*100-100)/2/100)*307.24</f>
        <v>55.803719163701942</v>
      </c>
      <c r="AD225" s="2467">
        <f>SUM(V225/2094.54)/(1+(104%*100-100)/2/100)*284.85</f>
        <v>51.737044016991604</v>
      </c>
      <c r="AE225" s="2466">
        <f t="shared" si="439"/>
        <v>172.7347058854819</v>
      </c>
      <c r="AF225" s="2467">
        <f>SUM(V225/2094.54)/(1+(104%*100-100)/2/100)*206.74</f>
        <v>37.549996419423707</v>
      </c>
      <c r="AG225" s="2467">
        <f>SUM(V225/2094.54)/(1+(104%*100-100)/2/100)*48.66</f>
        <v>8.8380711317072524</v>
      </c>
      <c r="AH225" s="2467">
        <v>0</v>
      </c>
      <c r="AI225" s="2466">
        <f t="shared" si="440"/>
        <v>46.388067551130959</v>
      </c>
      <c r="AJ225" s="2466">
        <f t="shared" si="441"/>
        <v>219.12277343661287</v>
      </c>
      <c r="AK225" s="2467">
        <v>0</v>
      </c>
      <c r="AL225" s="2467">
        <v>0</v>
      </c>
      <c r="AM225" s="2467">
        <f>SUM(V225/2094.54)/(1+(104%*100-100)/2/100)*104%*85.74</f>
        <v>16.195792593215845</v>
      </c>
      <c r="AN225" s="2466">
        <f t="shared" si="442"/>
        <v>16.195792593215845</v>
      </c>
      <c r="AO225" s="2466">
        <f t="shared" si="443"/>
        <v>235.31856602982873</v>
      </c>
      <c r="AP225" s="2467">
        <f>SUM(V225/2094.54)/(1+(104%*100-100)/2/100)*104%*210.76</f>
        <v>39.811351142362632</v>
      </c>
      <c r="AQ225" s="2467">
        <f>SUM(V225/2094.54)/(1+(104%*100-100)/2/100)*104%*265.02</f>
        <v>50.060752893096144</v>
      </c>
      <c r="AR225" s="2467">
        <f>SUM(V225-AO225-AP225-AQ225)</f>
        <v>62.84729496492691</v>
      </c>
      <c r="AS225" s="2466">
        <f t="shared" si="444"/>
        <v>152.71939900038569</v>
      </c>
      <c r="AT225" s="4067"/>
      <c r="AU225" s="4067"/>
      <c r="AV225" s="4067"/>
      <c r="AW225" s="642">
        <f t="shared" si="445"/>
        <v>388.03796503021437</v>
      </c>
      <c r="AX225" s="618"/>
      <c r="AY225" s="618"/>
    </row>
    <row r="226" spans="1:51" ht="18.75" hidden="1">
      <c r="A226" s="2484" t="s">
        <v>564</v>
      </c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433"/>
      <c r="U226" s="433"/>
      <c r="V226" s="2480">
        <f>SUM(V208*1.89%)</f>
        <v>136.82681975878828</v>
      </c>
      <c r="W226" s="640"/>
      <c r="X226" s="2480">
        <f>SUM(V226*стоки!BE55/стоки!BC55)</f>
        <v>136.07894514974083</v>
      </c>
      <c r="Y226" s="2481">
        <f t="shared" ref="Y226:Y228" si="544">SUM(V226-X226)</f>
        <v>0.74787460904744307</v>
      </c>
      <c r="Z226" s="2467">
        <f t="shared" ref="Z226:Z228" si="545">SUM(V226/2094.54)/(1+(101%*100-100)/2/100)*358.94</f>
        <v>23.331269537812986</v>
      </c>
      <c r="AA226" s="2481">
        <f t="shared" ref="AA226:AA230" si="546">SUM(V226-X226)</f>
        <v>0.74787460904744307</v>
      </c>
      <c r="AB226" s="2467">
        <f>SUM(V226/12)</f>
        <v>11.402234979899022</v>
      </c>
      <c r="AC226" s="2467">
        <f t="shared" ref="AC226:AC228" si="547">SUM(AB226)</f>
        <v>11.402234979899022</v>
      </c>
      <c r="AD226" s="2467">
        <f t="shared" ref="AD226:AD228" si="548">SUM(AB226)</f>
        <v>11.402234979899022</v>
      </c>
      <c r="AE226" s="2466">
        <f t="shared" ref="AE226:AE228" si="549">SUM(AB226+AC226+AD226)</f>
        <v>34.206704939697069</v>
      </c>
      <c r="AF226" s="2483">
        <f t="shared" ref="AF226:AF228" si="550">SUM(AB226)</f>
        <v>11.402234979899022</v>
      </c>
      <c r="AG226" s="2483">
        <f t="shared" ref="AG226:AG228" si="551">SUM(AB226)</f>
        <v>11.402234979899022</v>
      </c>
      <c r="AH226" s="2483">
        <f t="shared" ref="AH226:AH228" si="552">SUM(AB226)</f>
        <v>11.402234979899022</v>
      </c>
      <c r="AI226" s="2466">
        <f t="shared" ref="AI226:AI228" si="553">SUM(AF226+AG226+AH226)</f>
        <v>34.206704939697069</v>
      </c>
      <c r="AJ226" s="2466">
        <f t="shared" si="441"/>
        <v>68.413409879394138</v>
      </c>
      <c r="AK226" s="2483">
        <f t="shared" ref="AK226:AK228" si="554">SUM(AB226)</f>
        <v>11.402234979899022</v>
      </c>
      <c r="AL226" s="2483">
        <f t="shared" ref="AL226:AL228" si="555">SUM(AB226)</f>
        <v>11.402234979899022</v>
      </c>
      <c r="AM226" s="2483">
        <f t="shared" ref="AM226:AM228" si="556">SUM(AB226)</f>
        <v>11.402234979899022</v>
      </c>
      <c r="AN226" s="2466">
        <f t="shared" ref="AN226:AN228" si="557">SUM(AK226+AL226+AM226)</f>
        <v>34.206704939697069</v>
      </c>
      <c r="AO226" s="2466">
        <f t="shared" si="443"/>
        <v>102.62011481909121</v>
      </c>
      <c r="AP226" s="2483">
        <f t="shared" ref="AP226:AP228" si="558">SUM(AB226)</f>
        <v>11.402234979899022</v>
      </c>
      <c r="AQ226" s="2483">
        <f t="shared" ref="AQ226:AQ228" si="559">SUM(AB226)</f>
        <v>11.402234979899022</v>
      </c>
      <c r="AR226" s="2483">
        <f t="shared" ref="AR226:AR228" si="560">SUM(AB226)</f>
        <v>11.402234979899022</v>
      </c>
      <c r="AS226" s="2466">
        <f t="shared" ref="AS226:AS228" si="561">SUM(AP226+AQ226+AR226)</f>
        <v>34.206704939697069</v>
      </c>
      <c r="AT226" s="4067"/>
      <c r="AU226" s="4067"/>
      <c r="AV226" s="4067"/>
      <c r="AW226" s="642">
        <f t="shared" si="445"/>
        <v>136.82681975878828</v>
      </c>
      <c r="AX226" s="618"/>
      <c r="AY226" s="618"/>
    </row>
    <row r="227" spans="1:51" ht="18.75" hidden="1">
      <c r="A227" s="2484" t="s">
        <v>563</v>
      </c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433"/>
      <c r="U227" s="433"/>
      <c r="V227" s="2480">
        <f>SUM(V208*0.01%)</f>
        <v>0.72395142729517614</v>
      </c>
      <c r="W227" s="640"/>
      <c r="X227" s="2480">
        <f>SUM(V227*стоки!BE55/стоки!BC55)</f>
        <v>0.71999441878169768</v>
      </c>
      <c r="Y227" s="2481">
        <f t="shared" si="544"/>
        <v>3.957008513478466E-3</v>
      </c>
      <c r="Z227" s="2467">
        <f t="shared" si="545"/>
        <v>0.12344587057043911</v>
      </c>
      <c r="AA227" s="2481">
        <f t="shared" si="546"/>
        <v>3.957008513478466E-3</v>
      </c>
      <c r="AB227" s="2467">
        <f>SUM(V227/12)</f>
        <v>6.0329285607931347E-2</v>
      </c>
      <c r="AC227" s="2467">
        <f t="shared" si="547"/>
        <v>6.0329285607931347E-2</v>
      </c>
      <c r="AD227" s="2467">
        <f t="shared" si="548"/>
        <v>6.0329285607931347E-2</v>
      </c>
      <c r="AE227" s="2466">
        <f t="shared" si="549"/>
        <v>0.18098785682379404</v>
      </c>
      <c r="AF227" s="2483">
        <f t="shared" si="550"/>
        <v>6.0329285607931347E-2</v>
      </c>
      <c r="AG227" s="2483">
        <f t="shared" si="551"/>
        <v>6.0329285607931347E-2</v>
      </c>
      <c r="AH227" s="2483">
        <f t="shared" si="552"/>
        <v>6.0329285607931347E-2</v>
      </c>
      <c r="AI227" s="2466">
        <f t="shared" si="553"/>
        <v>0.18098785682379404</v>
      </c>
      <c r="AJ227" s="2466">
        <f t="shared" si="441"/>
        <v>0.36197571364758807</v>
      </c>
      <c r="AK227" s="2483">
        <f t="shared" si="554"/>
        <v>6.0329285607931347E-2</v>
      </c>
      <c r="AL227" s="2483">
        <f t="shared" si="555"/>
        <v>6.0329285607931347E-2</v>
      </c>
      <c r="AM227" s="2483">
        <f t="shared" si="556"/>
        <v>6.0329285607931347E-2</v>
      </c>
      <c r="AN227" s="2466">
        <f t="shared" si="557"/>
        <v>0.18098785682379404</v>
      </c>
      <c r="AO227" s="2466">
        <f t="shared" si="443"/>
        <v>0.54296357047138211</v>
      </c>
      <c r="AP227" s="2483">
        <f t="shared" si="558"/>
        <v>6.0329285607931347E-2</v>
      </c>
      <c r="AQ227" s="2483">
        <f t="shared" si="559"/>
        <v>6.0329285607931347E-2</v>
      </c>
      <c r="AR227" s="2483">
        <f t="shared" si="560"/>
        <v>6.0329285607931347E-2</v>
      </c>
      <c r="AS227" s="2466">
        <f t="shared" si="561"/>
        <v>0.18098785682379404</v>
      </c>
      <c r="AT227" s="4067"/>
      <c r="AU227" s="4067"/>
      <c r="AV227" s="4067"/>
      <c r="AW227" s="642">
        <f t="shared" si="445"/>
        <v>0.72395142729517625</v>
      </c>
    </row>
    <row r="228" spans="1:51" ht="18.75" hidden="1">
      <c r="A228" s="2484" t="s">
        <v>565</v>
      </c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433"/>
      <c r="U228" s="433"/>
      <c r="V228" s="2480">
        <f>SUM(V208*0.4%)</f>
        <v>28.958057091807046</v>
      </c>
      <c r="W228" s="640"/>
      <c r="X228" s="2480">
        <f>SUM(V228*стоки!BE55/стоки!BC55)</f>
        <v>28.799776751267906</v>
      </c>
      <c r="Y228" s="2481">
        <f t="shared" si="544"/>
        <v>0.15828034053913953</v>
      </c>
      <c r="Z228" s="2467">
        <f t="shared" si="545"/>
        <v>4.9378348228175639</v>
      </c>
      <c r="AA228" s="2481">
        <f t="shared" si="546"/>
        <v>0.15828034053913953</v>
      </c>
      <c r="AB228" s="2467">
        <f>SUM(V228/12)</f>
        <v>2.413171424317254</v>
      </c>
      <c r="AC228" s="2467">
        <f t="shared" si="547"/>
        <v>2.413171424317254</v>
      </c>
      <c r="AD228" s="2467">
        <f t="shared" si="548"/>
        <v>2.413171424317254</v>
      </c>
      <c r="AE228" s="2466">
        <f t="shared" si="549"/>
        <v>7.2395142729517623</v>
      </c>
      <c r="AF228" s="2483">
        <f t="shared" si="550"/>
        <v>2.413171424317254</v>
      </c>
      <c r="AG228" s="2483">
        <f t="shared" si="551"/>
        <v>2.413171424317254</v>
      </c>
      <c r="AH228" s="2483">
        <f t="shared" si="552"/>
        <v>2.413171424317254</v>
      </c>
      <c r="AI228" s="2466">
        <f t="shared" si="553"/>
        <v>7.2395142729517623</v>
      </c>
      <c r="AJ228" s="2466">
        <f t="shared" si="441"/>
        <v>14.479028545903525</v>
      </c>
      <c r="AK228" s="2483">
        <f t="shared" si="554"/>
        <v>2.413171424317254</v>
      </c>
      <c r="AL228" s="2483">
        <f t="shared" si="555"/>
        <v>2.413171424317254</v>
      </c>
      <c r="AM228" s="2483">
        <f t="shared" si="556"/>
        <v>2.413171424317254</v>
      </c>
      <c r="AN228" s="2466">
        <f t="shared" si="557"/>
        <v>7.2395142729517623</v>
      </c>
      <c r="AO228" s="2466">
        <f t="shared" si="443"/>
        <v>21.718542818855287</v>
      </c>
      <c r="AP228" s="2483">
        <f t="shared" si="558"/>
        <v>2.413171424317254</v>
      </c>
      <c r="AQ228" s="2483">
        <f t="shared" si="559"/>
        <v>2.413171424317254</v>
      </c>
      <c r="AR228" s="2483">
        <f t="shared" si="560"/>
        <v>2.413171424317254</v>
      </c>
      <c r="AS228" s="2466">
        <f t="shared" si="561"/>
        <v>7.2395142729517623</v>
      </c>
      <c r="AT228" s="4067"/>
      <c r="AU228" s="4067"/>
      <c r="AV228" s="4067"/>
      <c r="AW228" s="642">
        <f t="shared" si="445"/>
        <v>28.958057091807053</v>
      </c>
    </row>
    <row r="229" spans="1:51" ht="18.75" hidden="1">
      <c r="A229" s="2479" t="s">
        <v>609</v>
      </c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433"/>
      <c r="U229" s="433"/>
      <c r="V229" s="2480">
        <f>SUM(V230:V233)</f>
        <v>472.74028202375001</v>
      </c>
      <c r="W229" s="640"/>
      <c r="X229" s="2480">
        <f>SUM(X230:X233)</f>
        <v>470.15635546444861</v>
      </c>
      <c r="Y229" s="2481">
        <f t="shared" si="504"/>
        <v>2.5839265593014034</v>
      </c>
      <c r="Z229" s="2482">
        <f t="shared" ref="Z229" si="562">SUM(Z230:Z233)</f>
        <v>34.557314615936129</v>
      </c>
      <c r="AA229" s="2480">
        <f>SUM(AA230:AA233)</f>
        <v>2.5839265593014673</v>
      </c>
      <c r="AB229" s="2482">
        <f t="shared" ref="AB229:AD229" si="563">SUM(AB230:AB233)</f>
        <v>37.713308468086709</v>
      </c>
      <c r="AC229" s="2482">
        <f t="shared" si="563"/>
        <v>37.713308468086709</v>
      </c>
      <c r="AD229" s="2482">
        <f t="shared" si="563"/>
        <v>37.713308468086709</v>
      </c>
      <c r="AE229" s="2466">
        <f t="shared" si="439"/>
        <v>113.13992540426013</v>
      </c>
      <c r="AF229" s="2482">
        <f t="shared" ref="AF229:AH229" si="564">SUM(AF230:AF233)</f>
        <v>37.861211744683111</v>
      </c>
      <c r="AG229" s="2482">
        <f t="shared" si="564"/>
        <v>40.309832657223588</v>
      </c>
      <c r="AH229" s="2482">
        <f t="shared" si="564"/>
        <v>42.446213319171655</v>
      </c>
      <c r="AI229" s="2466">
        <f t="shared" si="440"/>
        <v>120.61725772107835</v>
      </c>
      <c r="AJ229" s="2466">
        <f t="shared" si="441"/>
        <v>233.75718312533849</v>
      </c>
      <c r="AK229" s="2482">
        <f t="shared" ref="AK229:AM229" si="565">SUM(AK230:AK233)</f>
        <v>43.087127517756073</v>
      </c>
      <c r="AL229" s="2482">
        <f t="shared" si="565"/>
        <v>42.446213319171655</v>
      </c>
      <c r="AM229" s="2482">
        <f t="shared" si="565"/>
        <v>40.309832657223588</v>
      </c>
      <c r="AN229" s="2466">
        <f t="shared" si="442"/>
        <v>125.8431734941513</v>
      </c>
      <c r="AO229" s="2466">
        <f t="shared" si="443"/>
        <v>359.60035661948979</v>
      </c>
      <c r="AP229" s="2482">
        <f t="shared" ref="AP229:AR229" si="566">SUM(AP230:AP233)</f>
        <v>37.713308468086709</v>
      </c>
      <c r="AQ229" s="2482">
        <f t="shared" si="566"/>
        <v>37.713308468086709</v>
      </c>
      <c r="AR229" s="2482">
        <f t="shared" si="566"/>
        <v>37.713308468086709</v>
      </c>
      <c r="AS229" s="2466">
        <f t="shared" si="444"/>
        <v>113.13992540426013</v>
      </c>
      <c r="AT229" s="4067"/>
      <c r="AU229" s="4067"/>
      <c r="AV229" s="4067"/>
      <c r="AW229" s="642">
        <f t="shared" si="445"/>
        <v>472.74028202374996</v>
      </c>
    </row>
    <row r="230" spans="1:51" ht="18.75" hidden="1">
      <c r="A230" s="2484" t="s">
        <v>551</v>
      </c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433"/>
      <c r="U230" s="433"/>
      <c r="V230" s="2480">
        <f>SUM(V208*2.27%)</f>
        <v>164.33697399600499</v>
      </c>
      <c r="W230" s="640"/>
      <c r="X230" s="2480">
        <f>SUM(V230*стоки!BE55/стоки!BC55)</f>
        <v>163.43873306344537</v>
      </c>
      <c r="Y230" s="2481">
        <f t="shared" si="504"/>
        <v>0.89824093255961657</v>
      </c>
      <c r="Z230" s="2467">
        <f>SUM(V230*7.31%)</f>
        <v>12.013032799107965</v>
      </c>
      <c r="AA230" s="2481">
        <f t="shared" si="546"/>
        <v>0.89824093255961657</v>
      </c>
      <c r="AB230" s="2467">
        <f>SUM(V230*7.31%)</f>
        <v>12.013032799107965</v>
      </c>
      <c r="AC230" s="2467">
        <f>SUM(V230*7.31%)</f>
        <v>12.013032799107965</v>
      </c>
      <c r="AD230" s="2467">
        <f>SUM(V230*7.31%)</f>
        <v>12.013032799107965</v>
      </c>
      <c r="AE230" s="2466">
        <f t="shared" ref="AE230:AE233" si="567">SUM(AB230+AC230+AD230)</f>
        <v>36.039098397323897</v>
      </c>
      <c r="AF230" s="2467">
        <f>SUM(V230*7.4%)</f>
        <v>12.16093607570437</v>
      </c>
      <c r="AG230" s="2467">
        <f>SUM(V230*8.89%)</f>
        <v>14.609556988244844</v>
      </c>
      <c r="AH230" s="2467">
        <f>SUM(V230*10.19%)</f>
        <v>16.745937650192907</v>
      </c>
      <c r="AI230" s="2466">
        <f t="shared" ref="AI230:AI233" si="568">SUM(AF230+AG230+AH230)</f>
        <v>43.516430714142118</v>
      </c>
      <c r="AJ230" s="2466">
        <f t="shared" si="441"/>
        <v>79.555529111466015</v>
      </c>
      <c r="AK230" s="2467">
        <f>SUM(V230*10.58%)</f>
        <v>17.386851848777329</v>
      </c>
      <c r="AL230" s="2467">
        <f>SUM(V230*10.19%)</f>
        <v>16.745937650192907</v>
      </c>
      <c r="AM230" s="2467">
        <f>SUM(V230*8.89%)</f>
        <v>14.609556988244844</v>
      </c>
      <c r="AN230" s="2466">
        <f t="shared" ref="AN230:AN233" si="569">SUM(AK230+AL230+AM230)</f>
        <v>48.742346487215087</v>
      </c>
      <c r="AO230" s="2466">
        <f t="shared" si="443"/>
        <v>128.29787559868112</v>
      </c>
      <c r="AP230" s="2467">
        <f>SUM(V230*7.31%)</f>
        <v>12.013032799107965</v>
      </c>
      <c r="AQ230" s="2467">
        <f>SUM(V230*7.31%)</f>
        <v>12.013032799107965</v>
      </c>
      <c r="AR230" s="2467">
        <f>SUM(V230*7.31%)</f>
        <v>12.013032799107965</v>
      </c>
      <c r="AS230" s="2466">
        <f t="shared" ref="AS230:AS233" si="570">SUM(AP230+AQ230+AR230)</f>
        <v>36.039098397323897</v>
      </c>
      <c r="AT230" s="4067"/>
      <c r="AU230" s="4067"/>
      <c r="AV230" s="4067"/>
      <c r="AW230" s="642">
        <f t="shared" si="445"/>
        <v>164.33697399600504</v>
      </c>
    </row>
    <row r="231" spans="1:51" ht="18.75" hidden="1">
      <c r="A231" s="2484" t="s">
        <v>643</v>
      </c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433"/>
      <c r="U231" s="433"/>
      <c r="V231" s="2480">
        <f>SUM(V208*4.18%)</f>
        <v>302.61169660938361</v>
      </c>
      <c r="W231" s="640"/>
      <c r="X231" s="2480">
        <f>SUM(V231*стоки!BE55/стоки!BC55)</f>
        <v>300.95766705074959</v>
      </c>
      <c r="Y231" s="2481">
        <f t="shared" ref="Y231:Y233" si="571">SUM(V231-X231)</f>
        <v>1.6540295586340221</v>
      </c>
      <c r="Z231" s="2467">
        <f t="shared" ref="Z231:Z233" si="572">SUM(V231*7.31%)</f>
        <v>22.12091502214594</v>
      </c>
      <c r="AA231" s="2481">
        <f t="shared" ref="AA231:AA234" si="573">SUM(V231-X231)</f>
        <v>1.6540295586340221</v>
      </c>
      <c r="AB231" s="2467">
        <f>SUM(V231/12)</f>
        <v>25.2176413841153</v>
      </c>
      <c r="AC231" s="2467">
        <f t="shared" ref="AC231:AC233" si="574">SUM(AB231)</f>
        <v>25.2176413841153</v>
      </c>
      <c r="AD231" s="2467">
        <f t="shared" ref="AD231:AD233" si="575">SUM(AB231)</f>
        <v>25.2176413841153</v>
      </c>
      <c r="AE231" s="2466">
        <f t="shared" si="567"/>
        <v>75.652924152345904</v>
      </c>
      <c r="AF231" s="2483">
        <f t="shared" ref="AF231:AF233" si="576">SUM(AB231)</f>
        <v>25.2176413841153</v>
      </c>
      <c r="AG231" s="2483">
        <f t="shared" ref="AG231:AG233" si="577">SUM(AB231)</f>
        <v>25.2176413841153</v>
      </c>
      <c r="AH231" s="2483">
        <f t="shared" ref="AH231:AH233" si="578">SUM(AB231)</f>
        <v>25.2176413841153</v>
      </c>
      <c r="AI231" s="2466">
        <f t="shared" si="568"/>
        <v>75.652924152345904</v>
      </c>
      <c r="AJ231" s="2466">
        <f t="shared" si="441"/>
        <v>151.30584830469181</v>
      </c>
      <c r="AK231" s="2483">
        <f t="shared" ref="AK231:AK233" si="579">SUM(AB231)</f>
        <v>25.2176413841153</v>
      </c>
      <c r="AL231" s="2483">
        <f t="shared" ref="AL231:AL233" si="580">SUM(AB231)</f>
        <v>25.2176413841153</v>
      </c>
      <c r="AM231" s="2483">
        <f t="shared" ref="AM231:AM233" si="581">SUM(AB231)</f>
        <v>25.2176413841153</v>
      </c>
      <c r="AN231" s="2466">
        <f t="shared" si="569"/>
        <v>75.652924152345904</v>
      </c>
      <c r="AO231" s="2466">
        <f t="shared" si="443"/>
        <v>226.9587724570377</v>
      </c>
      <c r="AP231" s="2483">
        <f t="shared" ref="AP231:AP233" si="582">SUM(AB231)</f>
        <v>25.2176413841153</v>
      </c>
      <c r="AQ231" s="2483">
        <f t="shared" ref="AQ231:AQ233" si="583">SUM(AB231)</f>
        <v>25.2176413841153</v>
      </c>
      <c r="AR231" s="2483">
        <f t="shared" ref="AR231:AR233" si="584">SUM(AB231)</f>
        <v>25.2176413841153</v>
      </c>
      <c r="AS231" s="2466">
        <f t="shared" si="570"/>
        <v>75.652924152345904</v>
      </c>
      <c r="AT231" s="4067"/>
      <c r="AU231" s="4067"/>
      <c r="AV231" s="4067"/>
      <c r="AW231" s="642">
        <f t="shared" si="445"/>
        <v>302.61169660938361</v>
      </c>
    </row>
    <row r="232" spans="1:51" ht="18.75" hidden="1">
      <c r="A232" s="2484" t="s">
        <v>559</v>
      </c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433"/>
      <c r="U232" s="433"/>
      <c r="V232" s="2480">
        <f>SUM(V208*0.07%)</f>
        <v>5.0676599910662334</v>
      </c>
      <c r="W232" s="640"/>
      <c r="X232" s="2480">
        <f>SUM(V232*стоки!BE55/стоки!BC55)</f>
        <v>5.0399609314718834</v>
      </c>
      <c r="Y232" s="2481">
        <f t="shared" si="571"/>
        <v>2.769905959435004E-2</v>
      </c>
      <c r="Z232" s="2467">
        <f t="shared" si="572"/>
        <v>0.37044594534694164</v>
      </c>
      <c r="AA232" s="2481">
        <f t="shared" si="573"/>
        <v>2.769905959435004E-2</v>
      </c>
      <c r="AB232" s="2467">
        <f>SUM(V232/12)</f>
        <v>0.42230499925551945</v>
      </c>
      <c r="AC232" s="2467">
        <f t="shared" si="574"/>
        <v>0.42230499925551945</v>
      </c>
      <c r="AD232" s="2467">
        <f t="shared" si="575"/>
        <v>0.42230499925551945</v>
      </c>
      <c r="AE232" s="2466">
        <f t="shared" si="567"/>
        <v>1.2669149977665584</v>
      </c>
      <c r="AF232" s="2483">
        <f t="shared" si="576"/>
        <v>0.42230499925551945</v>
      </c>
      <c r="AG232" s="2483">
        <f t="shared" si="577"/>
        <v>0.42230499925551945</v>
      </c>
      <c r="AH232" s="2483">
        <f t="shared" si="578"/>
        <v>0.42230499925551945</v>
      </c>
      <c r="AI232" s="2466">
        <f t="shared" si="568"/>
        <v>1.2669149977665584</v>
      </c>
      <c r="AJ232" s="2466">
        <f t="shared" si="441"/>
        <v>2.5338299955331167</v>
      </c>
      <c r="AK232" s="2483">
        <f t="shared" si="579"/>
        <v>0.42230499925551945</v>
      </c>
      <c r="AL232" s="2483">
        <f t="shared" si="580"/>
        <v>0.42230499925551945</v>
      </c>
      <c r="AM232" s="2483">
        <f t="shared" si="581"/>
        <v>0.42230499925551945</v>
      </c>
      <c r="AN232" s="2466">
        <f t="shared" si="569"/>
        <v>1.2669149977665584</v>
      </c>
      <c r="AO232" s="2466">
        <f t="shared" si="443"/>
        <v>3.8007449932996753</v>
      </c>
      <c r="AP232" s="2483">
        <f t="shared" si="582"/>
        <v>0.42230499925551945</v>
      </c>
      <c r="AQ232" s="2483">
        <f t="shared" si="583"/>
        <v>0.42230499925551945</v>
      </c>
      <c r="AR232" s="2483">
        <f t="shared" si="584"/>
        <v>0.42230499925551945</v>
      </c>
      <c r="AS232" s="2466">
        <f t="shared" si="570"/>
        <v>1.2669149977665584</v>
      </c>
      <c r="AT232" s="4067"/>
      <c r="AU232" s="4067"/>
      <c r="AV232" s="4067"/>
      <c r="AW232" s="642">
        <f t="shared" si="445"/>
        <v>5.0676599910662352</v>
      </c>
    </row>
    <row r="233" spans="1:51" ht="18.75" hidden="1">
      <c r="A233" s="2484" t="s">
        <v>613</v>
      </c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433"/>
      <c r="U233" s="433"/>
      <c r="V233" s="2480">
        <f>SUM(V208*0.01%)</f>
        <v>0.72395142729517614</v>
      </c>
      <c r="W233" s="640"/>
      <c r="X233" s="2480">
        <f>SUM(V233*стоки!BE55/стоки!BC55)</f>
        <v>0.71999441878169768</v>
      </c>
      <c r="Y233" s="2481">
        <f t="shared" si="571"/>
        <v>3.957008513478466E-3</v>
      </c>
      <c r="Z233" s="2467">
        <f t="shared" si="572"/>
        <v>5.2920849335277374E-2</v>
      </c>
      <c r="AA233" s="2481">
        <f t="shared" si="573"/>
        <v>3.957008513478466E-3</v>
      </c>
      <c r="AB233" s="2467">
        <f>SUM(V233/12)</f>
        <v>6.0329285607931347E-2</v>
      </c>
      <c r="AC233" s="2467">
        <f t="shared" si="574"/>
        <v>6.0329285607931347E-2</v>
      </c>
      <c r="AD233" s="2467">
        <f t="shared" si="575"/>
        <v>6.0329285607931347E-2</v>
      </c>
      <c r="AE233" s="2466">
        <f t="shared" si="567"/>
        <v>0.18098785682379404</v>
      </c>
      <c r="AF233" s="2483">
        <f t="shared" si="576"/>
        <v>6.0329285607931347E-2</v>
      </c>
      <c r="AG233" s="2483">
        <f t="shared" si="577"/>
        <v>6.0329285607931347E-2</v>
      </c>
      <c r="AH233" s="2483">
        <f t="shared" si="578"/>
        <v>6.0329285607931347E-2</v>
      </c>
      <c r="AI233" s="2466">
        <f t="shared" si="568"/>
        <v>0.18098785682379404</v>
      </c>
      <c r="AJ233" s="2466">
        <f t="shared" si="441"/>
        <v>0.36197571364758807</v>
      </c>
      <c r="AK233" s="2483">
        <f t="shared" si="579"/>
        <v>6.0329285607931347E-2</v>
      </c>
      <c r="AL233" s="2483">
        <f t="shared" si="580"/>
        <v>6.0329285607931347E-2</v>
      </c>
      <c r="AM233" s="2483">
        <f t="shared" si="581"/>
        <v>6.0329285607931347E-2</v>
      </c>
      <c r="AN233" s="2466">
        <f t="shared" si="569"/>
        <v>0.18098785682379404</v>
      </c>
      <c r="AO233" s="2466">
        <f t="shared" si="443"/>
        <v>0.54296357047138211</v>
      </c>
      <c r="AP233" s="2483">
        <f t="shared" si="582"/>
        <v>6.0329285607931347E-2</v>
      </c>
      <c r="AQ233" s="2483">
        <f t="shared" si="583"/>
        <v>6.0329285607931347E-2</v>
      </c>
      <c r="AR233" s="2483">
        <f t="shared" si="584"/>
        <v>6.0329285607931347E-2</v>
      </c>
      <c r="AS233" s="2466">
        <f t="shared" si="570"/>
        <v>0.18098785682379404</v>
      </c>
      <c r="AT233" s="4067"/>
      <c r="AU233" s="4067"/>
      <c r="AV233" s="4067"/>
      <c r="AW233" s="642">
        <f t="shared" si="445"/>
        <v>0.72395142729517625</v>
      </c>
    </row>
    <row r="234" spans="1:51" ht="18.75" hidden="1" customHeight="1">
      <c r="A234" s="2485" t="s">
        <v>621</v>
      </c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433"/>
      <c r="U234" s="433"/>
      <c r="V234" s="2475">
        <f>SUM(AR49)</f>
        <v>761.90652188637512</v>
      </c>
      <c r="W234" s="640"/>
      <c r="X234" s="2475">
        <f>SUM(стоки!BW33)</f>
        <v>756.58941652238002</v>
      </c>
      <c r="Y234" s="2476">
        <f>SUM(V234-X234)</f>
        <v>5.3171053639950969</v>
      </c>
      <c r="Z234" s="2477">
        <f>SUM(Z235+Z236+Z238+Z239+Z240+Z241+Z242+Z243+Z245)</f>
        <v>55.695366749894021</v>
      </c>
      <c r="AA234" s="2476">
        <f t="shared" si="573"/>
        <v>5.3171053639950969</v>
      </c>
      <c r="AB234" s="2477">
        <f>SUM(AB235+AB236+AB238+AB239+AB240+AB241+AB242+AB243+AB245)</f>
        <v>63.492210157197924</v>
      </c>
      <c r="AC234" s="2477">
        <f t="shared" ref="AC234:AD234" si="585">SUM(AC235+AC236+AC238+AC239+AC240+AC241+AC242+AC243+AC245)</f>
        <v>63.492210157197924</v>
      </c>
      <c r="AD234" s="2477">
        <f t="shared" si="585"/>
        <v>63.492210157197924</v>
      </c>
      <c r="AE234" s="2478">
        <f t="shared" si="439"/>
        <v>190.47663047159378</v>
      </c>
      <c r="AF234" s="2477">
        <f t="shared" ref="AF234:AH234" si="586">SUM(AF235+AF236+AF238+AF239+AF240+AF241+AF242+AF243+AF245)</f>
        <v>63.492210157197924</v>
      </c>
      <c r="AG234" s="2477">
        <f t="shared" si="586"/>
        <v>63.492210157197924</v>
      </c>
      <c r="AH234" s="2477">
        <f t="shared" si="586"/>
        <v>63.492210157197924</v>
      </c>
      <c r="AI234" s="2478">
        <f t="shared" si="440"/>
        <v>190.47663047159378</v>
      </c>
      <c r="AJ234" s="2478">
        <f t="shared" si="441"/>
        <v>380.95326094318756</v>
      </c>
      <c r="AK234" s="2477">
        <f t="shared" ref="AK234:AM234" si="587">SUM(AK235+AK236+AK238+AK239+AK240+AK241+AK242+AK243+AK245)</f>
        <v>63.492210157197924</v>
      </c>
      <c r="AL234" s="2477">
        <f t="shared" si="587"/>
        <v>63.492210157197924</v>
      </c>
      <c r="AM234" s="2477">
        <f t="shared" si="587"/>
        <v>63.492210157197924</v>
      </c>
      <c r="AN234" s="2478">
        <f t="shared" si="442"/>
        <v>190.47663047159378</v>
      </c>
      <c r="AO234" s="2478">
        <f t="shared" si="443"/>
        <v>571.42989141478131</v>
      </c>
      <c r="AP234" s="2477">
        <f t="shared" ref="AP234:AR234" si="588">SUM(AP235+AP236+AP238+AP239+AP240+AP241+AP242+AP243+AP245)</f>
        <v>63.492210157197924</v>
      </c>
      <c r="AQ234" s="2477">
        <f t="shared" si="588"/>
        <v>63.492210157197924</v>
      </c>
      <c r="AR234" s="2477">
        <f t="shared" si="588"/>
        <v>63.492210157197924</v>
      </c>
      <c r="AS234" s="2478">
        <f t="shared" si="444"/>
        <v>190.47663047159378</v>
      </c>
      <c r="AT234" s="4066"/>
      <c r="AU234" s="4066"/>
      <c r="AV234" s="4066"/>
      <c r="AW234" s="642">
        <f t="shared" si="445"/>
        <v>761.90652188637523</v>
      </c>
    </row>
    <row r="235" spans="1:51" ht="18.75" hidden="1">
      <c r="A235" s="2479" t="s">
        <v>72</v>
      </c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433"/>
      <c r="U235" s="433"/>
      <c r="V235" s="2480">
        <f>SUM(V234*0%)</f>
        <v>0</v>
      </c>
      <c r="W235" s="640"/>
      <c r="X235" s="2480">
        <f>SUM(V235*стоки!BW55/стоки!BU55)</f>
        <v>0</v>
      </c>
      <c r="Y235" s="2481">
        <f t="shared" ref="Y235:Y242" si="589">SUM(V235-X235)</f>
        <v>0</v>
      </c>
      <c r="Z235" s="2467">
        <f t="shared" ref="Z235:Z242" si="590">SUM(V235*7.31%)</f>
        <v>0</v>
      </c>
      <c r="AA235" s="2481">
        <f t="shared" ref="AA235:AA242" si="591">SUM(V235-X235)</f>
        <v>0</v>
      </c>
      <c r="AB235" s="2467">
        <f>SUM(V235/2)/(1+(107.4%*100-100)/2/100)/6</f>
        <v>0</v>
      </c>
      <c r="AC235" s="2482">
        <f>SUM(AB235)</f>
        <v>0</v>
      </c>
      <c r="AD235" s="2467">
        <f>SUM(AB235)</f>
        <v>0</v>
      </c>
      <c r="AE235" s="2466">
        <f>SUM(AB235+AC235+AD235)</f>
        <v>0</v>
      </c>
      <c r="AF235" s="2483">
        <f>SUM(AB235)</f>
        <v>0</v>
      </c>
      <c r="AG235" s="2483">
        <f>SUM(AB235)</f>
        <v>0</v>
      </c>
      <c r="AH235" s="2483">
        <f>SUM(AB235)</f>
        <v>0</v>
      </c>
      <c r="AI235" s="2466">
        <f>SUM(AF235+AG235+AH235)</f>
        <v>0</v>
      </c>
      <c r="AJ235" s="2466">
        <f>SUM(AE235+AI235)</f>
        <v>0</v>
      </c>
      <c r="AK235" s="2483">
        <f>SUM(V235-AJ235)/6</f>
        <v>0</v>
      </c>
      <c r="AL235" s="2483">
        <f>SUM(AK235)</f>
        <v>0</v>
      </c>
      <c r="AM235" s="2483">
        <f>SUM(AK235)</f>
        <v>0</v>
      </c>
      <c r="AN235" s="2466">
        <f>SUM(AK235+AL235+AM235)</f>
        <v>0</v>
      </c>
      <c r="AO235" s="2466">
        <f>SUM(AJ235+AN235)</f>
        <v>0</v>
      </c>
      <c r="AP235" s="2483">
        <f>SUM(AK235)</f>
        <v>0</v>
      </c>
      <c r="AQ235" s="2483">
        <f>SUM(AK235)</f>
        <v>0</v>
      </c>
      <c r="AR235" s="2483">
        <f>SUM(AK235)</f>
        <v>0</v>
      </c>
      <c r="AS235" s="2466">
        <f>SUM(AP235+AQ235+AR235)</f>
        <v>0</v>
      </c>
      <c r="AT235" s="4067"/>
      <c r="AU235" s="4067"/>
      <c r="AV235" s="4067"/>
      <c r="AW235" s="642">
        <f>SUM(AR235+AQ235+AP235+AM235+AL235+AK235+AH235+AG235+AF235+AD235+AC235+AB235)</f>
        <v>0</v>
      </c>
    </row>
    <row r="236" spans="1:51" ht="18.75" hidden="1">
      <c r="A236" s="2479" t="s">
        <v>121</v>
      </c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433"/>
      <c r="U236" s="433"/>
      <c r="V236" s="2480">
        <f>SUM(V234*0%)</f>
        <v>0</v>
      </c>
      <c r="W236" s="640"/>
      <c r="X236" s="2480">
        <f>SUM(V236*стоки!BE55/стоки!BC55)</f>
        <v>0</v>
      </c>
      <c r="Y236" s="2481">
        <f t="shared" si="589"/>
        <v>0</v>
      </c>
      <c r="Z236" s="2467">
        <f t="shared" si="590"/>
        <v>0</v>
      </c>
      <c r="AA236" s="2481">
        <f t="shared" si="591"/>
        <v>0</v>
      </c>
      <c r="AB236" s="2467">
        <v>0</v>
      </c>
      <c r="AC236" s="2467">
        <f>SUM(AB236)</f>
        <v>0</v>
      </c>
      <c r="AD236" s="2482">
        <f>SUM(AB236)</f>
        <v>0</v>
      </c>
      <c r="AE236" s="2466">
        <f t="shared" ref="AE236" si="592">SUM(AB236+AC236+AD236)</f>
        <v>0</v>
      </c>
      <c r="AF236" s="2483">
        <f>SUM(AB236)</f>
        <v>0</v>
      </c>
      <c r="AG236" s="2483">
        <f>SUM(AB236)</f>
        <v>0</v>
      </c>
      <c r="AH236" s="2483">
        <f>SUM(AB236)</f>
        <v>0</v>
      </c>
      <c r="AI236" s="2466">
        <f t="shared" ref="AI236" si="593">SUM(AF236+AG236+AH236)</f>
        <v>0</v>
      </c>
      <c r="AJ236" s="2466">
        <f t="shared" ref="AJ236:AJ242" si="594">SUM(AE236+AI236)</f>
        <v>0</v>
      </c>
      <c r="AK236" s="2483">
        <f>SUM(V236-AJ236)/6</f>
        <v>0</v>
      </c>
      <c r="AL236" s="2483">
        <f>SUM(AK236)</f>
        <v>0</v>
      </c>
      <c r="AM236" s="2483">
        <f>SUM(AK236)</f>
        <v>0</v>
      </c>
      <c r="AN236" s="2466">
        <f t="shared" ref="AN236" si="595">SUM(AK236+AL236+AM236)</f>
        <v>0</v>
      </c>
      <c r="AO236" s="2466">
        <f t="shared" ref="AO236:AO242" si="596">SUM(AJ236+AN236)</f>
        <v>0</v>
      </c>
      <c r="AP236" s="2483">
        <f>SUM(AK236)</f>
        <v>0</v>
      </c>
      <c r="AQ236" s="2483">
        <f>SUM(AK236)</f>
        <v>0</v>
      </c>
      <c r="AR236" s="2483">
        <f>SUM(AK236)</f>
        <v>0</v>
      </c>
      <c r="AS236" s="2466">
        <f t="shared" ref="AS236" si="597">SUM(AP236+AQ236+AR236)</f>
        <v>0</v>
      </c>
      <c r="AT236" s="4067"/>
      <c r="AU236" s="4067"/>
      <c r="AV236" s="4067"/>
      <c r="AW236" s="642">
        <f t="shared" ref="AW236:AW237" si="598">SUM(AR236+AQ236+AP236+AM236+AL236+AK236+AH236+AG236+AF236+AD236+AC236+AB236)</f>
        <v>0</v>
      </c>
    </row>
    <row r="237" spans="1:51" ht="18.75" hidden="1">
      <c r="A237" s="2479" t="s">
        <v>52</v>
      </c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433"/>
      <c r="U237" s="433"/>
      <c r="V237" s="2480">
        <v>0</v>
      </c>
      <c r="W237" s="640"/>
      <c r="X237" s="2480">
        <f>SUM(V237*стоки!BE55/стоки!BC55)</f>
        <v>0</v>
      </c>
      <c r="Y237" s="2481">
        <f t="shared" si="589"/>
        <v>0</v>
      </c>
      <c r="Z237" s="2467">
        <f t="shared" si="590"/>
        <v>0</v>
      </c>
      <c r="AA237" s="2481">
        <f t="shared" si="591"/>
        <v>0</v>
      </c>
      <c r="AB237" s="2467">
        <v>0</v>
      </c>
      <c r="AC237" s="2467">
        <f>SUM(AB237)</f>
        <v>0</v>
      </c>
      <c r="AD237" s="2482">
        <f>SUM(AB237)</f>
        <v>0</v>
      </c>
      <c r="AE237" s="2466">
        <f t="shared" ref="AE237" si="599">SUM(AB237+AC237+AD237)</f>
        <v>0</v>
      </c>
      <c r="AF237" s="2483">
        <f>SUM(AB237)</f>
        <v>0</v>
      </c>
      <c r="AG237" s="2483">
        <f>SUM(AB237)</f>
        <v>0</v>
      </c>
      <c r="AH237" s="2483">
        <f>SUM(AB237)</f>
        <v>0</v>
      </c>
      <c r="AI237" s="2466">
        <f t="shared" ref="AI237" si="600">SUM(AF237+AG237+AH237)</f>
        <v>0</v>
      </c>
      <c r="AJ237" s="2466">
        <f t="shared" si="594"/>
        <v>0</v>
      </c>
      <c r="AK237" s="2483">
        <f>SUM(V237-AJ237)/6</f>
        <v>0</v>
      </c>
      <c r="AL237" s="2483">
        <f>SUM(AK237)</f>
        <v>0</v>
      </c>
      <c r="AM237" s="2483">
        <f>SUM(AK237)</f>
        <v>0</v>
      </c>
      <c r="AN237" s="2466">
        <f t="shared" ref="AN237" si="601">SUM(AK237+AL237+AM237)</f>
        <v>0</v>
      </c>
      <c r="AO237" s="2466">
        <f t="shared" si="596"/>
        <v>0</v>
      </c>
      <c r="AP237" s="2483">
        <f>SUM(AK237)</f>
        <v>0</v>
      </c>
      <c r="AQ237" s="2483">
        <f>SUM(AK237)</f>
        <v>0</v>
      </c>
      <c r="AR237" s="2483">
        <f>SUM(AK237)</f>
        <v>0</v>
      </c>
      <c r="AS237" s="2466">
        <f t="shared" ref="AS237" si="602">SUM(AP237+AQ237+AR237)</f>
        <v>0</v>
      </c>
      <c r="AT237" s="4067"/>
      <c r="AU237" s="4067"/>
      <c r="AV237" s="4067"/>
      <c r="AW237" s="642">
        <f t="shared" si="598"/>
        <v>0</v>
      </c>
    </row>
    <row r="238" spans="1:51" ht="18.75" hidden="1">
      <c r="A238" s="2479" t="s">
        <v>603</v>
      </c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433"/>
      <c r="U238" s="433"/>
      <c r="V238" s="2480">
        <f>SUM(V234*88.63%)</f>
        <v>675.2777503478942</v>
      </c>
      <c r="W238" s="640"/>
      <c r="X238" s="2480">
        <f>SUM(V238*стоки!BW55/стоки!BU55)</f>
        <v>670.56519986378544</v>
      </c>
      <c r="Y238" s="2481">
        <f t="shared" si="589"/>
        <v>4.7125504841087604</v>
      </c>
      <c r="Z238" s="2467">
        <f t="shared" si="590"/>
        <v>49.362803550431067</v>
      </c>
      <c r="AA238" s="2481">
        <f t="shared" si="591"/>
        <v>4.7125504841087604</v>
      </c>
      <c r="AB238" s="2467">
        <f>SUM(V238/12)</f>
        <v>56.273145862324519</v>
      </c>
      <c r="AC238" s="2467">
        <f t="shared" ref="AC238:AC242" si="603">SUM(AB238)</f>
        <v>56.273145862324519</v>
      </c>
      <c r="AD238" s="2467">
        <f t="shared" ref="AD238:AD242" si="604">SUM(AB238)</f>
        <v>56.273145862324519</v>
      </c>
      <c r="AE238" s="2466">
        <f t="shared" ref="AE238:AE242" si="605">SUM(AB238+AC238+AD238)</f>
        <v>168.81943758697355</v>
      </c>
      <c r="AF238" s="2483">
        <f t="shared" ref="AF238:AF242" si="606">SUM(AB238)</f>
        <v>56.273145862324519</v>
      </c>
      <c r="AG238" s="2483">
        <f t="shared" ref="AG238:AG242" si="607">SUM(AB238)</f>
        <v>56.273145862324519</v>
      </c>
      <c r="AH238" s="2483">
        <f t="shared" ref="AH238:AH242" si="608">SUM(AB238)</f>
        <v>56.273145862324519</v>
      </c>
      <c r="AI238" s="2466">
        <f t="shared" ref="AI238:AI242" si="609">SUM(AF238+AG238+AH238)</f>
        <v>168.81943758697355</v>
      </c>
      <c r="AJ238" s="2466">
        <f t="shared" si="594"/>
        <v>337.6388751739471</v>
      </c>
      <c r="AK238" s="2483">
        <f t="shared" ref="AK238:AK242" si="610">SUM(AB238)</f>
        <v>56.273145862324519</v>
      </c>
      <c r="AL238" s="2483">
        <f t="shared" ref="AL238:AL242" si="611">SUM(AB238)</f>
        <v>56.273145862324519</v>
      </c>
      <c r="AM238" s="2483">
        <f t="shared" ref="AM238:AM242" si="612">SUM(AB238)</f>
        <v>56.273145862324519</v>
      </c>
      <c r="AN238" s="2466">
        <f t="shared" ref="AN238:AN242" si="613">SUM(AK238+AL238+AM238)</f>
        <v>168.81943758697355</v>
      </c>
      <c r="AO238" s="2466">
        <f t="shared" si="596"/>
        <v>506.45831276092065</v>
      </c>
      <c r="AP238" s="2483">
        <f t="shared" ref="AP238:AP242" si="614">SUM(AB238)</f>
        <v>56.273145862324519</v>
      </c>
      <c r="AQ238" s="2483">
        <f t="shared" ref="AQ238:AQ242" si="615">SUM(AB238)</f>
        <v>56.273145862324519</v>
      </c>
      <c r="AR238" s="2483">
        <f t="shared" ref="AR238:AR242" si="616">SUM(AB238)</f>
        <v>56.273145862324519</v>
      </c>
      <c r="AS238" s="2466">
        <f t="shared" ref="AS238:AS242" si="617">SUM(AP238+AQ238+AR238)</f>
        <v>168.81943758697355</v>
      </c>
      <c r="AT238" s="4067"/>
      <c r="AU238" s="4067"/>
      <c r="AV238" s="4067"/>
      <c r="AW238" s="642">
        <f t="shared" si="445"/>
        <v>675.2777503478942</v>
      </c>
    </row>
    <row r="239" spans="1:51" ht="18.75" hidden="1">
      <c r="A239" s="2479" t="s">
        <v>605</v>
      </c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433"/>
      <c r="U239" s="433"/>
      <c r="V239" s="2480">
        <f>SUM(V234*6.9%)</f>
        <v>52.571550010159889</v>
      </c>
      <c r="W239" s="640"/>
      <c r="X239" s="2480">
        <f>SUM(V239*стоки!BW55/стоки!BU55)</f>
        <v>52.204669740044231</v>
      </c>
      <c r="Y239" s="2481">
        <f t="shared" si="589"/>
        <v>0.36688027011565794</v>
      </c>
      <c r="Z239" s="2467">
        <f t="shared" si="590"/>
        <v>3.8429803057426879</v>
      </c>
      <c r="AA239" s="2481">
        <f t="shared" si="591"/>
        <v>0.36688027011565794</v>
      </c>
      <c r="AB239" s="2467">
        <f>SUM(V239/12)</f>
        <v>4.3809625008466577</v>
      </c>
      <c r="AC239" s="2467">
        <f t="shared" si="603"/>
        <v>4.3809625008466577</v>
      </c>
      <c r="AD239" s="2467">
        <f t="shared" si="604"/>
        <v>4.3809625008466577</v>
      </c>
      <c r="AE239" s="2466">
        <f t="shared" si="605"/>
        <v>13.142887502539974</v>
      </c>
      <c r="AF239" s="2483">
        <f t="shared" si="606"/>
        <v>4.3809625008466577</v>
      </c>
      <c r="AG239" s="2483">
        <f t="shared" si="607"/>
        <v>4.3809625008466577</v>
      </c>
      <c r="AH239" s="2483">
        <f t="shared" si="608"/>
        <v>4.3809625008466577</v>
      </c>
      <c r="AI239" s="2466">
        <f t="shared" si="609"/>
        <v>13.142887502539974</v>
      </c>
      <c r="AJ239" s="2466">
        <f t="shared" si="594"/>
        <v>26.285775005079948</v>
      </c>
      <c r="AK239" s="2483">
        <f t="shared" si="610"/>
        <v>4.3809625008466577</v>
      </c>
      <c r="AL239" s="2483">
        <f t="shared" si="611"/>
        <v>4.3809625008466577</v>
      </c>
      <c r="AM239" s="2483">
        <f t="shared" si="612"/>
        <v>4.3809625008466577</v>
      </c>
      <c r="AN239" s="2466">
        <f t="shared" si="613"/>
        <v>13.142887502539974</v>
      </c>
      <c r="AO239" s="2466">
        <f t="shared" si="596"/>
        <v>39.428662507619919</v>
      </c>
      <c r="AP239" s="2483">
        <f t="shared" si="614"/>
        <v>4.3809625008466577</v>
      </c>
      <c r="AQ239" s="2483">
        <f t="shared" si="615"/>
        <v>4.3809625008466577</v>
      </c>
      <c r="AR239" s="2483">
        <f t="shared" si="616"/>
        <v>4.3809625008466577</v>
      </c>
      <c r="AS239" s="2466">
        <f t="shared" si="617"/>
        <v>13.142887502539974</v>
      </c>
      <c r="AT239" s="4067"/>
      <c r="AU239" s="4067"/>
      <c r="AV239" s="4067"/>
      <c r="AW239" s="642">
        <f t="shared" si="445"/>
        <v>52.571550010159889</v>
      </c>
    </row>
    <row r="240" spans="1:51" ht="18.75" hidden="1">
      <c r="A240" s="2479" t="s">
        <v>604</v>
      </c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433"/>
      <c r="U240" s="433"/>
      <c r="V240" s="2480">
        <f>SUM(V234*2.28%)</f>
        <v>17.371468699009352</v>
      </c>
      <c r="W240" s="640"/>
      <c r="X240" s="2480">
        <f>SUM(V240*стоки!BW55/стоки!BU55)</f>
        <v>17.250238696710266</v>
      </c>
      <c r="Y240" s="2481">
        <f t="shared" si="589"/>
        <v>0.12123000229908598</v>
      </c>
      <c r="Z240" s="2467">
        <f t="shared" si="590"/>
        <v>1.2698543618975835</v>
      </c>
      <c r="AA240" s="2481">
        <f t="shared" si="591"/>
        <v>0.12123000229908598</v>
      </c>
      <c r="AB240" s="2467">
        <f>SUM(V240/12)</f>
        <v>1.4476223915841127</v>
      </c>
      <c r="AC240" s="2467">
        <f t="shared" si="603"/>
        <v>1.4476223915841127</v>
      </c>
      <c r="AD240" s="2467">
        <f t="shared" si="604"/>
        <v>1.4476223915841127</v>
      </c>
      <c r="AE240" s="2466">
        <f t="shared" si="605"/>
        <v>4.342867174752338</v>
      </c>
      <c r="AF240" s="2483">
        <f t="shared" si="606"/>
        <v>1.4476223915841127</v>
      </c>
      <c r="AG240" s="2483">
        <f t="shared" si="607"/>
        <v>1.4476223915841127</v>
      </c>
      <c r="AH240" s="2483">
        <f t="shared" si="608"/>
        <v>1.4476223915841127</v>
      </c>
      <c r="AI240" s="2466">
        <f t="shared" si="609"/>
        <v>4.342867174752338</v>
      </c>
      <c r="AJ240" s="2466">
        <f t="shared" si="594"/>
        <v>8.6857343495046759</v>
      </c>
      <c r="AK240" s="2483">
        <f t="shared" si="610"/>
        <v>1.4476223915841127</v>
      </c>
      <c r="AL240" s="2483">
        <f t="shared" si="611"/>
        <v>1.4476223915841127</v>
      </c>
      <c r="AM240" s="2483">
        <f t="shared" si="612"/>
        <v>1.4476223915841127</v>
      </c>
      <c r="AN240" s="2466">
        <f t="shared" si="613"/>
        <v>4.342867174752338</v>
      </c>
      <c r="AO240" s="2466">
        <f t="shared" si="596"/>
        <v>13.028601524257013</v>
      </c>
      <c r="AP240" s="2483">
        <f t="shared" si="614"/>
        <v>1.4476223915841127</v>
      </c>
      <c r="AQ240" s="2483">
        <f t="shared" si="615"/>
        <v>1.4476223915841127</v>
      </c>
      <c r="AR240" s="2483">
        <f t="shared" si="616"/>
        <v>1.4476223915841127</v>
      </c>
      <c r="AS240" s="2466">
        <f t="shared" si="617"/>
        <v>4.342867174752338</v>
      </c>
      <c r="AT240" s="4067"/>
      <c r="AU240" s="4067"/>
      <c r="AV240" s="4067"/>
      <c r="AW240" s="642">
        <f t="shared" si="445"/>
        <v>17.371468699009348</v>
      </c>
    </row>
    <row r="241" spans="1:49" ht="18.75" hidden="1">
      <c r="A241" s="2479" t="s">
        <v>614</v>
      </c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433"/>
      <c r="U241" s="433"/>
      <c r="V241" s="2480">
        <f>SUM(V234*1.11%)</f>
        <v>8.4571623929387645</v>
      </c>
      <c r="W241" s="640"/>
      <c r="X241" s="2480">
        <f>SUM(V241*стоки!BW55/стоки!BU55)</f>
        <v>8.3981425233984197</v>
      </c>
      <c r="Y241" s="2481">
        <f t="shared" si="589"/>
        <v>5.9019869540344772E-2</v>
      </c>
      <c r="Z241" s="2467">
        <f t="shared" si="590"/>
        <v>0.61821857092382371</v>
      </c>
      <c r="AA241" s="2481">
        <f t="shared" si="591"/>
        <v>5.9019869540344772E-2</v>
      </c>
      <c r="AB241" s="2467">
        <f>SUM(V241/12)</f>
        <v>0.704763532744897</v>
      </c>
      <c r="AC241" s="2467">
        <f t="shared" si="603"/>
        <v>0.704763532744897</v>
      </c>
      <c r="AD241" s="2467">
        <f t="shared" si="604"/>
        <v>0.704763532744897</v>
      </c>
      <c r="AE241" s="2466">
        <f t="shared" si="605"/>
        <v>2.1142905982346911</v>
      </c>
      <c r="AF241" s="2483">
        <f t="shared" si="606"/>
        <v>0.704763532744897</v>
      </c>
      <c r="AG241" s="2483">
        <f t="shared" si="607"/>
        <v>0.704763532744897</v>
      </c>
      <c r="AH241" s="2483">
        <f t="shared" si="608"/>
        <v>0.704763532744897</v>
      </c>
      <c r="AI241" s="2466">
        <f t="shared" si="609"/>
        <v>2.1142905982346911</v>
      </c>
      <c r="AJ241" s="2466">
        <f t="shared" si="594"/>
        <v>4.2285811964693822</v>
      </c>
      <c r="AK241" s="2483">
        <f t="shared" si="610"/>
        <v>0.704763532744897</v>
      </c>
      <c r="AL241" s="2483">
        <f t="shared" si="611"/>
        <v>0.704763532744897</v>
      </c>
      <c r="AM241" s="2483">
        <f t="shared" si="612"/>
        <v>0.704763532744897</v>
      </c>
      <c r="AN241" s="2466">
        <f t="shared" si="613"/>
        <v>2.1142905982346911</v>
      </c>
      <c r="AO241" s="2466">
        <f t="shared" si="596"/>
        <v>6.3428717947040738</v>
      </c>
      <c r="AP241" s="2483">
        <f t="shared" si="614"/>
        <v>0.704763532744897</v>
      </c>
      <c r="AQ241" s="2483">
        <f t="shared" si="615"/>
        <v>0.704763532744897</v>
      </c>
      <c r="AR241" s="2483">
        <f t="shared" si="616"/>
        <v>0.704763532744897</v>
      </c>
      <c r="AS241" s="2466">
        <f t="shared" si="617"/>
        <v>2.1142905982346911</v>
      </c>
      <c r="AT241" s="4067"/>
      <c r="AU241" s="4067"/>
      <c r="AV241" s="4067"/>
      <c r="AW241" s="642">
        <f t="shared" si="445"/>
        <v>8.4571623929387645</v>
      </c>
    </row>
    <row r="242" spans="1:49" ht="18.75" hidden="1">
      <c r="A242" s="2479" t="s">
        <v>32</v>
      </c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433"/>
      <c r="U242" s="433"/>
      <c r="V242" s="2480">
        <f>SUM(V234*0.76%)</f>
        <v>5.7904895663364506</v>
      </c>
      <c r="W242" s="640"/>
      <c r="X242" s="2480">
        <f>SUM(V242*стоки!BW55/стоки!BU55)</f>
        <v>5.750079565570088</v>
      </c>
      <c r="Y242" s="2481">
        <f t="shared" si="589"/>
        <v>4.0410000766362586E-2</v>
      </c>
      <c r="Z242" s="2467">
        <f t="shared" si="590"/>
        <v>0.42328478729919455</v>
      </c>
      <c r="AA242" s="2481">
        <f t="shared" si="591"/>
        <v>4.0410000766362586E-2</v>
      </c>
      <c r="AB242" s="2467">
        <f>SUM(V242/12)</f>
        <v>0.48254079719470422</v>
      </c>
      <c r="AC242" s="2467">
        <f t="shared" si="603"/>
        <v>0.48254079719470422</v>
      </c>
      <c r="AD242" s="2467">
        <f t="shared" si="604"/>
        <v>0.48254079719470422</v>
      </c>
      <c r="AE242" s="2466">
        <f t="shared" si="605"/>
        <v>1.4476223915841127</v>
      </c>
      <c r="AF242" s="2483">
        <f t="shared" si="606"/>
        <v>0.48254079719470422</v>
      </c>
      <c r="AG242" s="2483">
        <f t="shared" si="607"/>
        <v>0.48254079719470422</v>
      </c>
      <c r="AH242" s="2483">
        <f t="shared" si="608"/>
        <v>0.48254079719470422</v>
      </c>
      <c r="AI242" s="2466">
        <f t="shared" si="609"/>
        <v>1.4476223915841127</v>
      </c>
      <c r="AJ242" s="2466">
        <f t="shared" si="594"/>
        <v>2.8952447831682253</v>
      </c>
      <c r="AK242" s="2483">
        <f t="shared" si="610"/>
        <v>0.48254079719470422</v>
      </c>
      <c r="AL242" s="2483">
        <f t="shared" si="611"/>
        <v>0.48254079719470422</v>
      </c>
      <c r="AM242" s="2483">
        <f t="shared" si="612"/>
        <v>0.48254079719470422</v>
      </c>
      <c r="AN242" s="2466">
        <f t="shared" si="613"/>
        <v>1.4476223915841127</v>
      </c>
      <c r="AO242" s="2466">
        <f t="shared" si="596"/>
        <v>4.342867174752338</v>
      </c>
      <c r="AP242" s="2483">
        <f t="shared" si="614"/>
        <v>0.48254079719470422</v>
      </c>
      <c r="AQ242" s="2483">
        <f t="shared" si="615"/>
        <v>0.48254079719470422</v>
      </c>
      <c r="AR242" s="2483">
        <f t="shared" si="616"/>
        <v>0.48254079719470422</v>
      </c>
      <c r="AS242" s="2466">
        <f t="shared" si="617"/>
        <v>1.4476223915841127</v>
      </c>
      <c r="AT242" s="4067"/>
      <c r="AU242" s="4067"/>
      <c r="AV242" s="4067"/>
      <c r="AW242" s="642">
        <f t="shared" si="445"/>
        <v>5.7904895663364506</v>
      </c>
    </row>
    <row r="243" spans="1:49" ht="18.75" hidden="1">
      <c r="A243" s="2479" t="s">
        <v>606</v>
      </c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433"/>
      <c r="U243" s="433"/>
      <c r="V243" s="2480">
        <f>SUM(V244)</f>
        <v>2.2857195656591256</v>
      </c>
      <c r="W243" s="640"/>
      <c r="X243" s="2480">
        <f>SUM(V243*стоки!BW55/стоки!BU55)</f>
        <v>2.2697682495671407</v>
      </c>
      <c r="Y243" s="2481">
        <f t="shared" ref="Y243" si="618">SUM(V243-X243)</f>
        <v>1.5951316091984857E-2</v>
      </c>
      <c r="Z243" s="2467">
        <f t="shared" ref="Z243" si="619">SUM(V243*7.31%)</f>
        <v>0.16708610024968207</v>
      </c>
      <c r="AA243" s="2481">
        <f t="shared" ref="AA243" si="620">SUM(V243-X243)</f>
        <v>1.5951316091984857E-2</v>
      </c>
      <c r="AB243" s="2482">
        <f t="shared" ref="AB243:AH243" si="621">SUM(AB244)</f>
        <v>0.1904766304715938</v>
      </c>
      <c r="AC243" s="2482">
        <f t="shared" si="621"/>
        <v>0.1904766304715938</v>
      </c>
      <c r="AD243" s="2482">
        <f t="shared" si="621"/>
        <v>0.1904766304715938</v>
      </c>
      <c r="AE243" s="2466">
        <f t="shared" si="439"/>
        <v>0.5714298914147814</v>
      </c>
      <c r="AF243" s="2482">
        <f t="shared" si="621"/>
        <v>0.1904766304715938</v>
      </c>
      <c r="AG243" s="2482">
        <f t="shared" si="621"/>
        <v>0.1904766304715938</v>
      </c>
      <c r="AH243" s="2482">
        <f t="shared" si="621"/>
        <v>0.1904766304715938</v>
      </c>
      <c r="AI243" s="2466">
        <f t="shared" si="440"/>
        <v>0.5714298914147814</v>
      </c>
      <c r="AJ243" s="2466">
        <f t="shared" si="441"/>
        <v>1.1428597828295628</v>
      </c>
      <c r="AK243" s="2482">
        <f t="shared" ref="AK243:AM243" si="622">SUM(AK244)</f>
        <v>0.1904766304715938</v>
      </c>
      <c r="AL243" s="2482">
        <f t="shared" si="622"/>
        <v>0.1904766304715938</v>
      </c>
      <c r="AM243" s="2482">
        <f t="shared" si="622"/>
        <v>0.1904766304715938</v>
      </c>
      <c r="AN243" s="2466">
        <f t="shared" si="442"/>
        <v>0.5714298914147814</v>
      </c>
      <c r="AO243" s="2466">
        <f t="shared" si="443"/>
        <v>1.7142896742443443</v>
      </c>
      <c r="AP243" s="2482">
        <f t="shared" ref="AP243:AR243" si="623">SUM(AP244)</f>
        <v>0.1904766304715938</v>
      </c>
      <c r="AQ243" s="2482">
        <f t="shared" si="623"/>
        <v>0.1904766304715938</v>
      </c>
      <c r="AR243" s="2482">
        <f t="shared" si="623"/>
        <v>0.1904766304715938</v>
      </c>
      <c r="AS243" s="2466">
        <f t="shared" si="444"/>
        <v>0.5714298914147814</v>
      </c>
      <c r="AT243" s="4067"/>
      <c r="AU243" s="4067"/>
      <c r="AV243" s="4067"/>
      <c r="AW243" s="642">
        <f t="shared" si="445"/>
        <v>2.285719565659126</v>
      </c>
    </row>
    <row r="244" spans="1:49" ht="18.75" hidden="1">
      <c r="A244" s="2484" t="s">
        <v>564</v>
      </c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433"/>
      <c r="U244" s="433"/>
      <c r="V244" s="2480">
        <f>SUM(V234*0.3%)</f>
        <v>2.2857195656591256</v>
      </c>
      <c r="W244" s="640"/>
      <c r="X244" s="2480">
        <f>SUM(V244*стоки!BW61/стоки!BU61)</f>
        <v>2.277233180537269</v>
      </c>
      <c r="Y244" s="2481">
        <f t="shared" ref="Y244" si="624">SUM(V244-X244)</f>
        <v>8.4863851218566211E-3</v>
      </c>
      <c r="Z244" s="2467">
        <f t="shared" ref="Z244" si="625">SUM(V244*7.31%)</f>
        <v>0.16708610024968207</v>
      </c>
      <c r="AA244" s="2481">
        <f t="shared" ref="AA244" si="626">SUM(V244-X244)</f>
        <v>8.4863851218566211E-3</v>
      </c>
      <c r="AB244" s="2467">
        <f>SUM(V244/12)</f>
        <v>0.1904766304715938</v>
      </c>
      <c r="AC244" s="2467">
        <f t="shared" ref="AC244" si="627">SUM(AB244)</f>
        <v>0.1904766304715938</v>
      </c>
      <c r="AD244" s="2467">
        <f t="shared" ref="AD244" si="628">SUM(AB244)</f>
        <v>0.1904766304715938</v>
      </c>
      <c r="AE244" s="2466">
        <f t="shared" ref="AE244" si="629">SUM(AB244+AC244+AD244)</f>
        <v>0.5714298914147814</v>
      </c>
      <c r="AF244" s="2467">
        <f t="shared" ref="AF244" si="630">SUM(AB244)</f>
        <v>0.1904766304715938</v>
      </c>
      <c r="AG244" s="2467">
        <f t="shared" ref="AG244" si="631">SUM(AB244)</f>
        <v>0.1904766304715938</v>
      </c>
      <c r="AH244" s="2467">
        <f t="shared" ref="AH244" si="632">SUM(AB244)</f>
        <v>0.1904766304715938</v>
      </c>
      <c r="AI244" s="2466">
        <f t="shared" ref="AI244" si="633">SUM(AF244+AG244+AH244)</f>
        <v>0.5714298914147814</v>
      </c>
      <c r="AJ244" s="2466">
        <f t="shared" si="441"/>
        <v>1.1428597828295628</v>
      </c>
      <c r="AK244" s="2467">
        <f t="shared" ref="AK244" si="634">SUM(AB244)</f>
        <v>0.1904766304715938</v>
      </c>
      <c r="AL244" s="2467">
        <f t="shared" ref="AL244" si="635">SUM(AB244)</f>
        <v>0.1904766304715938</v>
      </c>
      <c r="AM244" s="2467">
        <f t="shared" ref="AM244" si="636">SUM(AB244)</f>
        <v>0.1904766304715938</v>
      </c>
      <c r="AN244" s="2466">
        <f t="shared" ref="AN244" si="637">SUM(AK244+AL244+AM244)</f>
        <v>0.5714298914147814</v>
      </c>
      <c r="AO244" s="2466">
        <f t="shared" si="443"/>
        <v>1.7142896742443443</v>
      </c>
      <c r="AP244" s="2467">
        <f t="shared" ref="AP244" si="638">SUM(AB244)</f>
        <v>0.1904766304715938</v>
      </c>
      <c r="AQ244" s="2467">
        <f t="shared" ref="AQ244" si="639">SUM(AB244)</f>
        <v>0.1904766304715938</v>
      </c>
      <c r="AR244" s="2467">
        <f t="shared" ref="AR244" si="640">SUM(AB244)</f>
        <v>0.1904766304715938</v>
      </c>
      <c r="AS244" s="2466">
        <f t="shared" ref="AS244" si="641">SUM(AP244+AQ244+AR244)</f>
        <v>0.5714298914147814</v>
      </c>
      <c r="AT244" s="4067"/>
      <c r="AU244" s="4067"/>
      <c r="AV244" s="4067"/>
      <c r="AW244" s="642">
        <f t="shared" si="445"/>
        <v>2.285719565659126</v>
      </c>
    </row>
    <row r="245" spans="1:49" ht="18.75" hidden="1">
      <c r="A245" s="2479" t="s">
        <v>609</v>
      </c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433"/>
      <c r="U245" s="433"/>
      <c r="V245" s="2480">
        <f>SUM(V246:V246)</f>
        <v>0.15238130437727504</v>
      </c>
      <c r="W245" s="640"/>
      <c r="X245" s="2480">
        <f>SUM(V245*стоки!BW62/стоки!BU62)</f>
        <v>0.15181397085917134</v>
      </c>
      <c r="Y245" s="2481">
        <f t="shared" ref="Y245:Y246" si="642">SUM(V245-X245)</f>
        <v>5.6733351810370203E-4</v>
      </c>
      <c r="Z245" s="2467">
        <f t="shared" ref="Z245:Z246" si="643">SUM(V245*7.31%)</f>
        <v>1.1139073349978806E-2</v>
      </c>
      <c r="AA245" s="2481">
        <f t="shared" ref="AA245:AA256" si="644">SUM(V245-X245)</f>
        <v>5.6733351810370203E-4</v>
      </c>
      <c r="AB245" s="2482">
        <f>SUM(AB246)</f>
        <v>1.2698442031439586E-2</v>
      </c>
      <c r="AC245" s="2482">
        <f>SUM(AC246)</f>
        <v>1.2698442031439586E-2</v>
      </c>
      <c r="AD245" s="2482">
        <f>SUM(AD246)</f>
        <v>1.2698442031439586E-2</v>
      </c>
      <c r="AE245" s="2466">
        <f t="shared" si="439"/>
        <v>3.809532609431876E-2</v>
      </c>
      <c r="AF245" s="2482">
        <f t="shared" ref="AF245:AH245" si="645">SUM(AF246)</f>
        <v>1.2698442031439586E-2</v>
      </c>
      <c r="AG245" s="2482">
        <f t="shared" si="645"/>
        <v>1.2698442031439586E-2</v>
      </c>
      <c r="AH245" s="2482">
        <f t="shared" si="645"/>
        <v>1.2698442031439586E-2</v>
      </c>
      <c r="AI245" s="2466">
        <f t="shared" si="440"/>
        <v>3.809532609431876E-2</v>
      </c>
      <c r="AJ245" s="2466">
        <f t="shared" si="441"/>
        <v>7.619065218863752E-2</v>
      </c>
      <c r="AK245" s="2482">
        <f t="shared" ref="AK245:AM245" si="646">SUM(AK246)</f>
        <v>1.2698442031439586E-2</v>
      </c>
      <c r="AL245" s="2482">
        <f t="shared" si="646"/>
        <v>1.2698442031439586E-2</v>
      </c>
      <c r="AM245" s="2482">
        <f t="shared" si="646"/>
        <v>1.2698442031439586E-2</v>
      </c>
      <c r="AN245" s="2466">
        <f t="shared" si="442"/>
        <v>3.809532609431876E-2</v>
      </c>
      <c r="AO245" s="2466">
        <f t="shared" si="443"/>
        <v>0.11428597828295628</v>
      </c>
      <c r="AP245" s="2482">
        <f t="shared" ref="AP245:AR245" si="647">SUM(AP246)</f>
        <v>1.2698442031439586E-2</v>
      </c>
      <c r="AQ245" s="2482">
        <f t="shared" si="647"/>
        <v>1.2698442031439586E-2</v>
      </c>
      <c r="AR245" s="2482">
        <f t="shared" si="647"/>
        <v>1.2698442031439586E-2</v>
      </c>
      <c r="AS245" s="2466">
        <f t="shared" si="444"/>
        <v>3.809532609431876E-2</v>
      </c>
      <c r="AT245" s="4067"/>
      <c r="AU245" s="4067"/>
      <c r="AV245" s="4067"/>
      <c r="AW245" s="642">
        <f t="shared" si="445"/>
        <v>0.15238130437727504</v>
      </c>
    </row>
    <row r="246" spans="1:49" ht="18.75" hidden="1">
      <c r="A246" s="2484" t="s">
        <v>613</v>
      </c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433"/>
      <c r="U246" s="433"/>
      <c r="V246" s="2480">
        <f>SUM(V234*0.02%)</f>
        <v>0.15238130437727504</v>
      </c>
      <c r="W246" s="640"/>
      <c r="X246" s="2480">
        <f>SUM(V246*стоки!BW63/стоки!BU63)</f>
        <v>0.15288087830085217</v>
      </c>
      <c r="Y246" s="2481">
        <f t="shared" si="642"/>
        <v>-4.9957392357713459E-4</v>
      </c>
      <c r="Z246" s="2467">
        <f t="shared" si="643"/>
        <v>1.1139073349978806E-2</v>
      </c>
      <c r="AA246" s="2481">
        <f t="shared" si="644"/>
        <v>-4.9957392357713459E-4</v>
      </c>
      <c r="AB246" s="2467">
        <f>SUM(V246/12)</f>
        <v>1.2698442031439586E-2</v>
      </c>
      <c r="AC246" s="2467">
        <f t="shared" ref="AC246" si="648">SUM(AB246)</f>
        <v>1.2698442031439586E-2</v>
      </c>
      <c r="AD246" s="2467">
        <f t="shared" ref="AD246" si="649">SUM(AB246)</f>
        <v>1.2698442031439586E-2</v>
      </c>
      <c r="AE246" s="2466">
        <f t="shared" ref="AE246" si="650">SUM(AB246+AC246+AD246)</f>
        <v>3.809532609431876E-2</v>
      </c>
      <c r="AF246" s="2483">
        <f t="shared" ref="AF246" si="651">SUM(AB246)</f>
        <v>1.2698442031439586E-2</v>
      </c>
      <c r="AG246" s="2483">
        <f t="shared" ref="AG246" si="652">SUM(AB246)</f>
        <v>1.2698442031439586E-2</v>
      </c>
      <c r="AH246" s="2483">
        <f t="shared" ref="AH246" si="653">SUM(AB246)</f>
        <v>1.2698442031439586E-2</v>
      </c>
      <c r="AI246" s="2466">
        <f t="shared" ref="AI246" si="654">SUM(AF246+AG246+AH246)</f>
        <v>3.809532609431876E-2</v>
      </c>
      <c r="AJ246" s="2466">
        <f t="shared" si="441"/>
        <v>7.619065218863752E-2</v>
      </c>
      <c r="AK246" s="2483">
        <f t="shared" ref="AK246" si="655">SUM(AB246)</f>
        <v>1.2698442031439586E-2</v>
      </c>
      <c r="AL246" s="2483">
        <f t="shared" ref="AL246" si="656">SUM(AB246)</f>
        <v>1.2698442031439586E-2</v>
      </c>
      <c r="AM246" s="2483">
        <f t="shared" ref="AM246" si="657">SUM(AB246)</f>
        <v>1.2698442031439586E-2</v>
      </c>
      <c r="AN246" s="2466">
        <f t="shared" ref="AN246" si="658">SUM(AK246+AL246+AM246)</f>
        <v>3.809532609431876E-2</v>
      </c>
      <c r="AO246" s="2466">
        <f t="shared" si="443"/>
        <v>0.11428597828295628</v>
      </c>
      <c r="AP246" s="2483">
        <f t="shared" ref="AP246" si="659">SUM(AB246)</f>
        <v>1.2698442031439586E-2</v>
      </c>
      <c r="AQ246" s="2483">
        <f t="shared" ref="AQ246" si="660">SUM(AB246)</f>
        <v>1.2698442031439586E-2</v>
      </c>
      <c r="AR246" s="2483">
        <f t="shared" ref="AR246" si="661">SUM(AB246)</f>
        <v>1.2698442031439586E-2</v>
      </c>
      <c r="AS246" s="2466">
        <f t="shared" ref="AS246" si="662">SUM(AP246+AQ246+AR246)</f>
        <v>3.809532609431876E-2</v>
      </c>
      <c r="AT246" s="4067"/>
      <c r="AU246" s="4067"/>
      <c r="AV246" s="4067"/>
      <c r="AW246" s="642">
        <f t="shared" si="445"/>
        <v>0.15238130437727504</v>
      </c>
    </row>
    <row r="247" spans="1:49" ht="18.75" hidden="1" customHeight="1">
      <c r="A247" s="2490" t="s">
        <v>622</v>
      </c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433"/>
      <c r="U247" s="433"/>
      <c r="V247" s="2475">
        <f>SUM(AR50)</f>
        <v>2263.5342227296605</v>
      </c>
      <c r="W247" s="640"/>
      <c r="X247" s="2475">
        <f t="shared" ref="X247:X256" si="663">SUM(V247)</f>
        <v>2263.5342227296605</v>
      </c>
      <c r="Y247" s="2476">
        <f>SUM(V247-X247)</f>
        <v>0</v>
      </c>
      <c r="Z247" s="2477">
        <f>SUM(Z248+Z249+Z250+Z251+Z252+Z254)</f>
        <v>182.63002522510223</v>
      </c>
      <c r="AA247" s="2476">
        <f t="shared" si="644"/>
        <v>0</v>
      </c>
      <c r="AB247" s="2477">
        <f>SUM(AB248+AB249+AB250+AB251+AB252+AB254)</f>
        <v>183.17043056074087</v>
      </c>
      <c r="AC247" s="2477">
        <f t="shared" ref="AC247:AD247" si="664">SUM(AC248+AC249+AC250+AC251+AC252+AC254)</f>
        <v>183.17043056074087</v>
      </c>
      <c r="AD247" s="2477">
        <f t="shared" si="664"/>
        <v>183.17043056074087</v>
      </c>
      <c r="AE247" s="2478">
        <f t="shared" si="439"/>
        <v>549.51129168222258</v>
      </c>
      <c r="AF247" s="2477">
        <f t="shared" ref="AF247:AH247" si="665">SUM(AF248+AF249+AF250+AF251+AF252+AF254)</f>
        <v>183.20832212362936</v>
      </c>
      <c r="AG247" s="2477">
        <f t="shared" si="665"/>
        <v>183.83563799811665</v>
      </c>
      <c r="AH247" s="2477">
        <f t="shared" si="665"/>
        <v>184.38296057317271</v>
      </c>
      <c r="AI247" s="2478">
        <f t="shared" si="440"/>
        <v>551.42692069491875</v>
      </c>
      <c r="AJ247" s="2478">
        <f t="shared" si="441"/>
        <v>1100.9382123771413</v>
      </c>
      <c r="AK247" s="2477">
        <f t="shared" ref="AK247:AM247" si="666">SUM(AK248+AK249+AK250+AK251+AK252+AK254)</f>
        <v>194.60031780457572</v>
      </c>
      <c r="AL247" s="2477">
        <f t="shared" si="666"/>
        <v>194.43612103205894</v>
      </c>
      <c r="AM247" s="2477">
        <f t="shared" si="666"/>
        <v>193.88879845700288</v>
      </c>
      <c r="AN247" s="2478">
        <f t="shared" si="442"/>
        <v>582.92523729363757</v>
      </c>
      <c r="AO247" s="2478">
        <f t="shared" si="443"/>
        <v>1683.8634496707789</v>
      </c>
      <c r="AP247" s="2477">
        <f t="shared" ref="AP247:AR247" si="667">SUM(AP248+AP249+AP250+AP251+AP252+AP254)</f>
        <v>193.22359101962709</v>
      </c>
      <c r="AQ247" s="2477">
        <f t="shared" si="667"/>
        <v>193.22359101962709</v>
      </c>
      <c r="AR247" s="2477">
        <f t="shared" si="667"/>
        <v>193.22359101962709</v>
      </c>
      <c r="AS247" s="2478">
        <f t="shared" si="444"/>
        <v>579.67077305888131</v>
      </c>
      <c r="AT247" s="4066"/>
      <c r="AU247" s="4066"/>
      <c r="AV247" s="4066"/>
      <c r="AW247" s="642">
        <f t="shared" si="445"/>
        <v>2263.5342227296601</v>
      </c>
    </row>
    <row r="248" spans="1:49" ht="18.75" hidden="1">
      <c r="A248" s="2479" t="s">
        <v>72</v>
      </c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433"/>
      <c r="U248" s="433"/>
      <c r="V248" s="2480">
        <f>SUM(V247*70.01%)</f>
        <v>1584.7003093330354</v>
      </c>
      <c r="W248" s="640"/>
      <c r="X248" s="2480">
        <f t="shared" si="663"/>
        <v>1584.7003093330354</v>
      </c>
      <c r="Y248" s="2481">
        <f t="shared" ref="Y248:Y251" si="668">SUM(V248-X248)</f>
        <v>0</v>
      </c>
      <c r="Z248" s="2467">
        <f>SUM(V248/2)/(1+(106.7%*100-100)/2/100)/6</f>
        <v>127.7778027199674</v>
      </c>
      <c r="AA248" s="2481">
        <f t="shared" si="644"/>
        <v>0</v>
      </c>
      <c r="AB248" s="2467">
        <f>SUM(V248/2)/(1+(106.03%*100-100)/2/100)/6</f>
        <v>128.19333020539366</v>
      </c>
      <c r="AC248" s="2482">
        <f>SUM(AB248)</f>
        <v>128.19333020539366</v>
      </c>
      <c r="AD248" s="2467">
        <f>SUM(AB248)</f>
        <v>128.19333020539366</v>
      </c>
      <c r="AE248" s="2466">
        <f>SUM(AB248+AC248+AD248)</f>
        <v>384.57999061618102</v>
      </c>
      <c r="AF248" s="2483">
        <f>SUM(AB248)</f>
        <v>128.19333020539366</v>
      </c>
      <c r="AG248" s="2483">
        <f>SUM(AB248)</f>
        <v>128.19333020539366</v>
      </c>
      <c r="AH248" s="2483">
        <f>SUM(AB248)</f>
        <v>128.19333020539366</v>
      </c>
      <c r="AI248" s="2466">
        <f>SUM(AF248+AG248+AH248)</f>
        <v>384.57999061618102</v>
      </c>
      <c r="AJ248" s="2466">
        <f>SUM(AE248+AI248)</f>
        <v>769.15998123236204</v>
      </c>
      <c r="AK248" s="2483">
        <f>SUM(V248-AJ248)/6</f>
        <v>135.92338801677889</v>
      </c>
      <c r="AL248" s="2483">
        <f>SUM(AK248)</f>
        <v>135.92338801677889</v>
      </c>
      <c r="AM248" s="2483">
        <f>SUM(AK248)</f>
        <v>135.92338801677889</v>
      </c>
      <c r="AN248" s="2466">
        <f>SUM(AK248+AL248+AM248)</f>
        <v>407.77016405033669</v>
      </c>
      <c r="AO248" s="2466">
        <f>SUM(AJ248+AN248)</f>
        <v>1176.9301452826987</v>
      </c>
      <c r="AP248" s="2483">
        <f>SUM(AK248)</f>
        <v>135.92338801677889</v>
      </c>
      <c r="AQ248" s="2483">
        <f>SUM(AK248)</f>
        <v>135.92338801677889</v>
      </c>
      <c r="AR248" s="2483">
        <f>SUM(AK248)</f>
        <v>135.92338801677889</v>
      </c>
      <c r="AS248" s="2466">
        <f>SUM(AP248+AQ248+AR248)</f>
        <v>407.77016405033669</v>
      </c>
      <c r="AT248" s="4067"/>
      <c r="AU248" s="4067"/>
      <c r="AV248" s="4067"/>
      <c r="AW248" s="642">
        <f>SUM(AR248+AQ248+AP248+AM248+AL248+AK248+AH248+AG248+AF248+AD248+AC248+AB248)</f>
        <v>1584.7003093330356</v>
      </c>
    </row>
    <row r="249" spans="1:49" ht="18.75" hidden="1">
      <c r="A249" s="2479" t="s">
        <v>121</v>
      </c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433"/>
      <c r="U249" s="433"/>
      <c r="V249" s="2480">
        <f>SUM(V247*21.04%)</f>
        <v>476.24760046232058</v>
      </c>
      <c r="W249" s="640"/>
      <c r="X249" s="2480">
        <f t="shared" si="663"/>
        <v>476.24760046232058</v>
      </c>
      <c r="Y249" s="2481">
        <f t="shared" si="668"/>
        <v>0</v>
      </c>
      <c r="Z249" s="2467">
        <f>SUM(Z248*(V249/V248))</f>
        <v>38.400870864563835</v>
      </c>
      <c r="AA249" s="2481">
        <f t="shared" si="644"/>
        <v>0</v>
      </c>
      <c r="AB249" s="2467">
        <f>SUM(AB248*(V249/V248))</f>
        <v>38.525748714776213</v>
      </c>
      <c r="AC249" s="2467">
        <f>SUM(AB249)</f>
        <v>38.525748714776213</v>
      </c>
      <c r="AD249" s="2482">
        <f>SUM(AB249)</f>
        <v>38.525748714776213</v>
      </c>
      <c r="AE249" s="2466">
        <f t="shared" ref="AE249" si="669">SUM(AB249+AC249+AD249)</f>
        <v>115.57724614432864</v>
      </c>
      <c r="AF249" s="2483">
        <f>SUM(AB249)</f>
        <v>38.525748714776213</v>
      </c>
      <c r="AG249" s="2483">
        <f>SUM(AB249)</f>
        <v>38.525748714776213</v>
      </c>
      <c r="AH249" s="2483">
        <f>SUM(AB249)</f>
        <v>38.525748714776213</v>
      </c>
      <c r="AI249" s="2466">
        <f t="shared" ref="AI249" si="670">SUM(AF249+AG249+AH249)</f>
        <v>115.57724614432864</v>
      </c>
      <c r="AJ249" s="2466">
        <f t="shared" ref="AJ249:AJ258" si="671">SUM(AE249+AI249)</f>
        <v>231.15449228865728</v>
      </c>
      <c r="AK249" s="2483">
        <f>SUM(V249-AJ249)/6</f>
        <v>40.848851362277216</v>
      </c>
      <c r="AL249" s="2483">
        <f>SUM(AK249)</f>
        <v>40.848851362277216</v>
      </c>
      <c r="AM249" s="2483">
        <f>SUM(AK249)</f>
        <v>40.848851362277216</v>
      </c>
      <c r="AN249" s="2466">
        <f t="shared" ref="AN249" si="672">SUM(AK249+AL249+AM249)</f>
        <v>122.54655408683165</v>
      </c>
      <c r="AO249" s="2466">
        <f t="shared" ref="AO249:AO258" si="673">SUM(AJ249+AN249)</f>
        <v>353.70104637548894</v>
      </c>
      <c r="AP249" s="2483">
        <f>SUM(AK249)</f>
        <v>40.848851362277216</v>
      </c>
      <c r="AQ249" s="2483">
        <f>SUM(AK249)</f>
        <v>40.848851362277216</v>
      </c>
      <c r="AR249" s="2483">
        <f>SUM(AK249)</f>
        <v>40.848851362277216</v>
      </c>
      <c r="AS249" s="2466">
        <f t="shared" ref="AS249" si="674">SUM(AP249+AQ249+AR249)</f>
        <v>122.54655408683165</v>
      </c>
      <c r="AT249" s="4067"/>
      <c r="AU249" s="4067"/>
      <c r="AV249" s="4067"/>
      <c r="AW249" s="642">
        <f t="shared" ref="AW249" si="675">SUM(AR249+AQ249+AP249+AM249+AL249+AK249+AH249+AG249+AF249+AD249+AC249+AB249)</f>
        <v>476.24760046232069</v>
      </c>
    </row>
    <row r="250" spans="1:49" ht="18.75" hidden="1">
      <c r="A250" s="2479" t="s">
        <v>52</v>
      </c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433"/>
      <c r="U250" s="433"/>
      <c r="V250" s="2480">
        <f>SUM(V247*0.18%)</f>
        <v>4.0743616009133889</v>
      </c>
      <c r="W250" s="640"/>
      <c r="X250" s="2480">
        <f t="shared" si="663"/>
        <v>4.0743616009133889</v>
      </c>
      <c r="Y250" s="2481">
        <f t="shared" si="668"/>
        <v>0</v>
      </c>
      <c r="Z250" s="2467">
        <f t="shared" ref="Z250:Z251" si="676">SUM(V250/12)</f>
        <v>0.3395301334094491</v>
      </c>
      <c r="AA250" s="2481">
        <f t="shared" si="644"/>
        <v>0</v>
      </c>
      <c r="AB250" s="2467">
        <f>SUM(V250/12)</f>
        <v>0.3395301334094491</v>
      </c>
      <c r="AC250" s="2467">
        <f t="shared" ref="AC250:AC251" si="677">SUM(AB250)</f>
        <v>0.3395301334094491</v>
      </c>
      <c r="AD250" s="2467">
        <f t="shared" ref="AD250:AD251" si="678">SUM(AB250)</f>
        <v>0.3395301334094491</v>
      </c>
      <c r="AE250" s="2466">
        <f t="shared" ref="AE250:AE258" si="679">SUM(AB250+AC250+AD250)</f>
        <v>1.0185904002283472</v>
      </c>
      <c r="AF250" s="2483">
        <f t="shared" ref="AF250:AF251" si="680">SUM(AB250)</f>
        <v>0.3395301334094491</v>
      </c>
      <c r="AG250" s="2483">
        <f t="shared" ref="AG250:AG251" si="681">SUM(AB250)</f>
        <v>0.3395301334094491</v>
      </c>
      <c r="AH250" s="2483">
        <f t="shared" ref="AH250:AH251" si="682">SUM(AB250)</f>
        <v>0.3395301334094491</v>
      </c>
      <c r="AI250" s="2466">
        <f t="shared" ref="AI250:AI258" si="683">SUM(AF250+AG250+AH250)</f>
        <v>1.0185904002283472</v>
      </c>
      <c r="AJ250" s="2466">
        <f t="shared" si="671"/>
        <v>2.0371808004566945</v>
      </c>
      <c r="AK250" s="2483">
        <f t="shared" ref="AK250:AK251" si="684">SUM(AB250)</f>
        <v>0.3395301334094491</v>
      </c>
      <c r="AL250" s="2483">
        <f t="shared" ref="AL250:AL251" si="685">SUM(AB250)</f>
        <v>0.3395301334094491</v>
      </c>
      <c r="AM250" s="2483">
        <f t="shared" ref="AM250:AM251" si="686">SUM(AB250)</f>
        <v>0.3395301334094491</v>
      </c>
      <c r="AN250" s="2466">
        <f t="shared" ref="AN250:AN258" si="687">SUM(AK250+AL250+AM250)</f>
        <v>1.0185904002283472</v>
      </c>
      <c r="AO250" s="2466">
        <f t="shared" si="673"/>
        <v>3.0557712006850419</v>
      </c>
      <c r="AP250" s="2483">
        <f t="shared" ref="AP250:AP251" si="688">SUM(AB250)</f>
        <v>0.3395301334094491</v>
      </c>
      <c r="AQ250" s="2483">
        <f t="shared" ref="AQ250:AQ251" si="689">SUM(AB250)</f>
        <v>0.3395301334094491</v>
      </c>
      <c r="AR250" s="2483">
        <f t="shared" ref="AR250:AR251" si="690">SUM(AB250)</f>
        <v>0.3395301334094491</v>
      </c>
      <c r="AS250" s="2466">
        <f t="shared" ref="AS250:AS258" si="691">SUM(AP250+AQ250+AR250)</f>
        <v>1.0185904002283472</v>
      </c>
      <c r="AT250" s="4067"/>
      <c r="AU250" s="4067"/>
      <c r="AV250" s="4067"/>
      <c r="AW250" s="642">
        <f t="shared" si="445"/>
        <v>4.0743616009133889</v>
      </c>
    </row>
    <row r="251" spans="1:49" ht="18.75" hidden="1">
      <c r="A251" s="2479" t="s">
        <v>605</v>
      </c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433"/>
      <c r="U251" s="433"/>
      <c r="V251" s="2480">
        <f>SUM(V247*6.19%)</f>
        <v>140.112768386966</v>
      </c>
      <c r="W251" s="640"/>
      <c r="X251" s="2480">
        <f t="shared" si="663"/>
        <v>140.112768386966</v>
      </c>
      <c r="Y251" s="2481">
        <f t="shared" si="668"/>
        <v>0</v>
      </c>
      <c r="Z251" s="2467">
        <f t="shared" si="676"/>
        <v>11.676064032247167</v>
      </c>
      <c r="AA251" s="2481">
        <f t="shared" si="644"/>
        <v>0</v>
      </c>
      <c r="AB251" s="2467">
        <f>SUM(V251/12)</f>
        <v>11.676064032247167</v>
      </c>
      <c r="AC251" s="2467">
        <f t="shared" si="677"/>
        <v>11.676064032247167</v>
      </c>
      <c r="AD251" s="2467">
        <f t="shared" si="678"/>
        <v>11.676064032247167</v>
      </c>
      <c r="AE251" s="2466">
        <f t="shared" si="679"/>
        <v>35.028192096741499</v>
      </c>
      <c r="AF251" s="2483">
        <f t="shared" si="680"/>
        <v>11.676064032247167</v>
      </c>
      <c r="AG251" s="2483">
        <f t="shared" si="681"/>
        <v>11.676064032247167</v>
      </c>
      <c r="AH251" s="2483">
        <f t="shared" si="682"/>
        <v>11.676064032247167</v>
      </c>
      <c r="AI251" s="2466">
        <f t="shared" si="683"/>
        <v>35.028192096741499</v>
      </c>
      <c r="AJ251" s="2466">
        <f t="shared" si="671"/>
        <v>70.056384193482998</v>
      </c>
      <c r="AK251" s="2483">
        <f t="shared" si="684"/>
        <v>11.676064032247167</v>
      </c>
      <c r="AL251" s="2483">
        <f t="shared" si="685"/>
        <v>11.676064032247167</v>
      </c>
      <c r="AM251" s="2483">
        <f t="shared" si="686"/>
        <v>11.676064032247167</v>
      </c>
      <c r="AN251" s="2466">
        <f t="shared" si="687"/>
        <v>35.028192096741499</v>
      </c>
      <c r="AO251" s="2466">
        <f t="shared" si="673"/>
        <v>105.0845762902245</v>
      </c>
      <c r="AP251" s="2483">
        <f t="shared" si="688"/>
        <v>11.676064032247167</v>
      </c>
      <c r="AQ251" s="2483">
        <f t="shared" si="689"/>
        <v>11.676064032247167</v>
      </c>
      <c r="AR251" s="2483">
        <f t="shared" si="690"/>
        <v>11.676064032247167</v>
      </c>
      <c r="AS251" s="2466">
        <f t="shared" si="691"/>
        <v>35.028192096741499</v>
      </c>
      <c r="AT251" s="4067"/>
      <c r="AU251" s="4067"/>
      <c r="AV251" s="4067"/>
      <c r="AW251" s="642">
        <f t="shared" si="445"/>
        <v>140.112768386966</v>
      </c>
    </row>
    <row r="252" spans="1:49" ht="18.75" hidden="1">
      <c r="A252" s="2479" t="s">
        <v>606</v>
      </c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433"/>
      <c r="U252" s="433"/>
      <c r="V252" s="2480">
        <f>SUM(V253)</f>
        <v>15.844739559107623</v>
      </c>
      <c r="W252" s="640"/>
      <c r="X252" s="2480">
        <f t="shared" si="663"/>
        <v>15.844739559107623</v>
      </c>
      <c r="Y252" s="2480">
        <f t="shared" ref="Y252:AH252" si="692">SUM(Y253)</f>
        <v>0</v>
      </c>
      <c r="Z252" s="2482">
        <f t="shared" si="692"/>
        <v>1.3203949632589687</v>
      </c>
      <c r="AA252" s="2481">
        <f t="shared" si="644"/>
        <v>0</v>
      </c>
      <c r="AB252" s="2482">
        <f t="shared" si="692"/>
        <v>1.3203949632589687</v>
      </c>
      <c r="AC252" s="2482">
        <f t="shared" si="692"/>
        <v>1.3203949632589687</v>
      </c>
      <c r="AD252" s="2482">
        <f t="shared" si="692"/>
        <v>1.3203949632589687</v>
      </c>
      <c r="AE252" s="2466">
        <f t="shared" si="679"/>
        <v>3.9611848897769057</v>
      </c>
      <c r="AF252" s="2482">
        <f t="shared" si="692"/>
        <v>1.3203949632589687</v>
      </c>
      <c r="AG252" s="2482">
        <f t="shared" si="692"/>
        <v>1.3203949632589687</v>
      </c>
      <c r="AH252" s="2482">
        <f t="shared" si="692"/>
        <v>1.3203949632589687</v>
      </c>
      <c r="AI252" s="2466">
        <f t="shared" si="683"/>
        <v>3.9611848897769057</v>
      </c>
      <c r="AJ252" s="2466">
        <f t="shared" si="671"/>
        <v>7.9223697795538115</v>
      </c>
      <c r="AK252" s="2482">
        <f t="shared" ref="AK252:AM252" si="693">SUM(AK253)</f>
        <v>1.3203949632589687</v>
      </c>
      <c r="AL252" s="2482">
        <f t="shared" si="693"/>
        <v>1.3203949632589687</v>
      </c>
      <c r="AM252" s="2482">
        <f t="shared" si="693"/>
        <v>1.3203949632589687</v>
      </c>
      <c r="AN252" s="2466">
        <f t="shared" si="687"/>
        <v>3.9611848897769057</v>
      </c>
      <c r="AO252" s="2466">
        <f t="shared" si="673"/>
        <v>11.883554669330717</v>
      </c>
      <c r="AP252" s="2482">
        <f t="shared" ref="AP252:AR252" si="694">SUM(AP253)</f>
        <v>1.3203949632589687</v>
      </c>
      <c r="AQ252" s="2482">
        <f t="shared" si="694"/>
        <v>1.3203949632589687</v>
      </c>
      <c r="AR252" s="2482">
        <f t="shared" si="694"/>
        <v>1.3203949632589687</v>
      </c>
      <c r="AS252" s="2466">
        <f t="shared" si="691"/>
        <v>3.9611848897769057</v>
      </c>
      <c r="AT252" s="4067"/>
      <c r="AU252" s="4067"/>
      <c r="AV252" s="4067"/>
      <c r="AW252" s="642">
        <f t="shared" si="445"/>
        <v>15.844739559107621</v>
      </c>
    </row>
    <row r="253" spans="1:49" ht="18.75" hidden="1">
      <c r="A253" s="2484" t="s">
        <v>564</v>
      </c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433"/>
      <c r="U253" s="433"/>
      <c r="V253" s="2480">
        <f>SUM(V247*0.7%)</f>
        <v>15.844739559107623</v>
      </c>
      <c r="W253" s="640"/>
      <c r="X253" s="2480">
        <f t="shared" si="663"/>
        <v>15.844739559107623</v>
      </c>
      <c r="Y253" s="2481">
        <f t="shared" ref="Y253" si="695">SUM(V253-X253)</f>
        <v>0</v>
      </c>
      <c r="Z253" s="2467">
        <f t="shared" ref="Z253" si="696">SUM(V253/12)</f>
        <v>1.3203949632589687</v>
      </c>
      <c r="AA253" s="2481">
        <f t="shared" si="644"/>
        <v>0</v>
      </c>
      <c r="AB253" s="2467">
        <f>SUM(V253/12)</f>
        <v>1.3203949632589687</v>
      </c>
      <c r="AC253" s="2467">
        <f t="shared" ref="AC253" si="697">SUM(AB253)</f>
        <v>1.3203949632589687</v>
      </c>
      <c r="AD253" s="2467">
        <f t="shared" ref="AD253" si="698">SUM(AB253)</f>
        <v>1.3203949632589687</v>
      </c>
      <c r="AE253" s="2466">
        <f t="shared" si="679"/>
        <v>3.9611848897769057</v>
      </c>
      <c r="AF253" s="2467">
        <f t="shared" ref="AF253" si="699">SUM(AB253)</f>
        <v>1.3203949632589687</v>
      </c>
      <c r="AG253" s="2467">
        <f t="shared" ref="AG253" si="700">SUM(AB253)</f>
        <v>1.3203949632589687</v>
      </c>
      <c r="AH253" s="2467">
        <f t="shared" ref="AH253" si="701">SUM(AB253)</f>
        <v>1.3203949632589687</v>
      </c>
      <c r="AI253" s="2466">
        <f t="shared" si="683"/>
        <v>3.9611848897769057</v>
      </c>
      <c r="AJ253" s="2466">
        <f t="shared" si="671"/>
        <v>7.9223697795538115</v>
      </c>
      <c r="AK253" s="2467">
        <f t="shared" ref="AK253" si="702">SUM(AB253)</f>
        <v>1.3203949632589687</v>
      </c>
      <c r="AL253" s="2467">
        <f t="shared" ref="AL253" si="703">SUM(AB253)</f>
        <v>1.3203949632589687</v>
      </c>
      <c r="AM253" s="2467">
        <f t="shared" ref="AM253" si="704">SUM(AB253)</f>
        <v>1.3203949632589687</v>
      </c>
      <c r="AN253" s="2466">
        <f t="shared" si="687"/>
        <v>3.9611848897769057</v>
      </c>
      <c r="AO253" s="2466">
        <f t="shared" si="673"/>
        <v>11.883554669330717</v>
      </c>
      <c r="AP253" s="2467">
        <f t="shared" ref="AP253" si="705">SUM(AB253)</f>
        <v>1.3203949632589687</v>
      </c>
      <c r="AQ253" s="2467">
        <f t="shared" ref="AQ253" si="706">SUM(AB253)</f>
        <v>1.3203949632589687</v>
      </c>
      <c r="AR253" s="2467">
        <f t="shared" ref="AR253" si="707">SUM(AB253)</f>
        <v>1.3203949632589687</v>
      </c>
      <c r="AS253" s="2466">
        <f t="shared" si="691"/>
        <v>3.9611848897769057</v>
      </c>
      <c r="AT253" s="4067"/>
      <c r="AU253" s="4067"/>
      <c r="AV253" s="4067"/>
      <c r="AW253" s="642">
        <f t="shared" si="445"/>
        <v>15.844739559107621</v>
      </c>
    </row>
    <row r="254" spans="1:49" ht="18.75" hidden="1">
      <c r="A254" s="2479" t="s">
        <v>609</v>
      </c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433"/>
      <c r="U254" s="433"/>
      <c r="V254" s="2480">
        <f>SUM(V255:V256)</f>
        <v>42.554443387317619</v>
      </c>
      <c r="W254" s="640"/>
      <c r="X254" s="2480">
        <f t="shared" si="663"/>
        <v>42.554443387317619</v>
      </c>
      <c r="Y254" s="2480">
        <f>SUM(Y255:Y256)</f>
        <v>0</v>
      </c>
      <c r="Z254" s="2482">
        <f>SUM(Z255:Z256)</f>
        <v>3.1153625116554382</v>
      </c>
      <c r="AA254" s="2481">
        <f t="shared" si="644"/>
        <v>0</v>
      </c>
      <c r="AB254" s="2482">
        <f>SUM(AB255:AB256)</f>
        <v>3.1153625116554382</v>
      </c>
      <c r="AC254" s="2482">
        <f>SUM(AC255:AC256)</f>
        <v>3.1153625116554382</v>
      </c>
      <c r="AD254" s="2482">
        <f>SUM(AD255:AD256)</f>
        <v>3.1153625116554382</v>
      </c>
      <c r="AE254" s="2466">
        <f t="shared" si="679"/>
        <v>9.3460875349663155</v>
      </c>
      <c r="AF254" s="2482">
        <f>SUM(AF255:AF256)</f>
        <v>3.1532540745439332</v>
      </c>
      <c r="AG254" s="2482">
        <f>SUM(AG255:AG256)</f>
        <v>3.7805699490312312</v>
      </c>
      <c r="AH254" s="2482">
        <f>SUM(AH255:AH256)</f>
        <v>4.3278925240872628</v>
      </c>
      <c r="AI254" s="2466">
        <f t="shared" si="683"/>
        <v>11.261716547662427</v>
      </c>
      <c r="AJ254" s="2466">
        <f t="shared" si="671"/>
        <v>20.607804082628743</v>
      </c>
      <c r="AK254" s="2482">
        <f>SUM(AK255:AK256)</f>
        <v>4.4920892966040729</v>
      </c>
      <c r="AL254" s="2482">
        <f>SUM(AL255:AL256)</f>
        <v>4.3278925240872628</v>
      </c>
      <c r="AM254" s="2482">
        <f>SUM(AM255:AM256)</f>
        <v>3.7805699490312312</v>
      </c>
      <c r="AN254" s="2466">
        <f t="shared" si="687"/>
        <v>12.600551769722568</v>
      </c>
      <c r="AO254" s="2466">
        <f t="shared" si="673"/>
        <v>33.20835585235131</v>
      </c>
      <c r="AP254" s="2482">
        <f>SUM(AP255:AP256)</f>
        <v>3.1153625116554382</v>
      </c>
      <c r="AQ254" s="2482">
        <f>SUM(AQ255:AQ256)</f>
        <v>3.1153625116554382</v>
      </c>
      <c r="AR254" s="2482">
        <f>SUM(AR255:AR256)</f>
        <v>3.1153625116554382</v>
      </c>
      <c r="AS254" s="2466">
        <f t="shared" si="691"/>
        <v>9.3460875349663155</v>
      </c>
      <c r="AT254" s="4067"/>
      <c r="AU254" s="4067"/>
      <c r="AV254" s="4067"/>
      <c r="AW254" s="642">
        <f t="shared" si="445"/>
        <v>42.554443387317626</v>
      </c>
    </row>
    <row r="255" spans="1:49" ht="18.75" hidden="1">
      <c r="A255" s="2484" t="s">
        <v>551</v>
      </c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433"/>
      <c r="U255" s="433"/>
      <c r="V255" s="2480">
        <f>SUM(V247*1.86%)</f>
        <v>42.10173654277169</v>
      </c>
      <c r="W255" s="640"/>
      <c r="X255" s="2480">
        <f t="shared" si="663"/>
        <v>42.10173654277169</v>
      </c>
      <c r="Y255" s="2481">
        <f t="shared" ref="Y255:Y256" si="708">SUM(V255-X255)</f>
        <v>0</v>
      </c>
      <c r="Z255" s="2467">
        <f>SUM(V255*7.31%)</f>
        <v>3.0776369412766105</v>
      </c>
      <c r="AA255" s="2481">
        <f t="shared" si="644"/>
        <v>0</v>
      </c>
      <c r="AB255" s="2467">
        <f>SUM(V255*7.31%)</f>
        <v>3.0776369412766105</v>
      </c>
      <c r="AC255" s="2467">
        <f>SUM(X255*7.31%)</f>
        <v>3.0776369412766105</v>
      </c>
      <c r="AD255" s="2467">
        <f>SUM(X255*7.31%)</f>
        <v>3.0776369412766105</v>
      </c>
      <c r="AE255" s="2466">
        <f t="shared" si="679"/>
        <v>9.2329108238298314</v>
      </c>
      <c r="AF255" s="2467">
        <f>SUM(X255*7.4%)</f>
        <v>3.1155285041651055</v>
      </c>
      <c r="AG255" s="2467">
        <f>SUM(X255*8.89%)</f>
        <v>3.7428443786524035</v>
      </c>
      <c r="AH255" s="2467">
        <f>SUM(X255*10.19%)</f>
        <v>4.290166953708435</v>
      </c>
      <c r="AI255" s="2466">
        <f t="shared" si="683"/>
        <v>11.148539836525945</v>
      </c>
      <c r="AJ255" s="2466">
        <f t="shared" si="671"/>
        <v>20.381450660355775</v>
      </c>
      <c r="AK255" s="2467">
        <f>SUM(V255*10.58%)</f>
        <v>4.4543637262252451</v>
      </c>
      <c r="AL255" s="2467">
        <f>SUM(X255*10.19%)</f>
        <v>4.290166953708435</v>
      </c>
      <c r="AM255" s="2467">
        <f>SUM(X255*8.89%)</f>
        <v>3.7428443786524035</v>
      </c>
      <c r="AN255" s="2466">
        <f t="shared" si="687"/>
        <v>12.487375058586084</v>
      </c>
      <c r="AO255" s="2466">
        <f t="shared" si="673"/>
        <v>32.868825718941856</v>
      </c>
      <c r="AP255" s="2467">
        <f>SUM(X255*7.31%)</f>
        <v>3.0776369412766105</v>
      </c>
      <c r="AQ255" s="2467">
        <f>SUM(X255*7.31%)</f>
        <v>3.0776369412766105</v>
      </c>
      <c r="AR255" s="2467">
        <f>SUM(X255*7.31%)</f>
        <v>3.0776369412766105</v>
      </c>
      <c r="AS255" s="2466">
        <f t="shared" si="691"/>
        <v>9.2329108238298314</v>
      </c>
      <c r="AT255" s="4067"/>
      <c r="AU255" s="4067"/>
      <c r="AV255" s="4067"/>
      <c r="AW255" s="642">
        <f t="shared" si="445"/>
        <v>42.10173654277169</v>
      </c>
    </row>
    <row r="256" spans="1:49" ht="18.75" hidden="1">
      <c r="A256" s="2491" t="s">
        <v>613</v>
      </c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433"/>
      <c r="U256" s="433"/>
      <c r="V256" s="2480">
        <f>SUM(V247*0.02%)</f>
        <v>0.45270684454593213</v>
      </c>
      <c r="W256" s="640"/>
      <c r="X256" s="2480">
        <f t="shared" si="663"/>
        <v>0.45270684454593213</v>
      </c>
      <c r="Y256" s="2493">
        <f t="shared" si="708"/>
        <v>0</v>
      </c>
      <c r="Z256" s="2494">
        <f t="shared" ref="Z256" si="709">SUM(V256/12)</f>
        <v>3.7725570378827677E-2</v>
      </c>
      <c r="AA256" s="2481">
        <f t="shared" si="644"/>
        <v>0</v>
      </c>
      <c r="AB256" s="2494">
        <f>SUM(V256/12)</f>
        <v>3.7725570378827677E-2</v>
      </c>
      <c r="AC256" s="2494">
        <f t="shared" ref="AC256" si="710">SUM(AB256)</f>
        <v>3.7725570378827677E-2</v>
      </c>
      <c r="AD256" s="2494">
        <f t="shared" ref="AD256" si="711">SUM(AB256)</f>
        <v>3.7725570378827677E-2</v>
      </c>
      <c r="AE256" s="2468">
        <f t="shared" si="679"/>
        <v>0.11317671113648303</v>
      </c>
      <c r="AF256" s="2495">
        <f t="shared" ref="AF256" si="712">SUM(AB256)</f>
        <v>3.7725570378827677E-2</v>
      </c>
      <c r="AG256" s="2495">
        <f t="shared" ref="AG256" si="713">SUM(AB256)</f>
        <v>3.7725570378827677E-2</v>
      </c>
      <c r="AH256" s="2495">
        <f t="shared" ref="AH256" si="714">SUM(AB256)</f>
        <v>3.7725570378827677E-2</v>
      </c>
      <c r="AI256" s="2468">
        <f t="shared" si="683"/>
        <v>0.11317671113648303</v>
      </c>
      <c r="AJ256" s="2468">
        <f t="shared" si="671"/>
        <v>0.22635342227296606</v>
      </c>
      <c r="AK256" s="2495">
        <f t="shared" ref="AK256" si="715">SUM(AB256)</f>
        <v>3.7725570378827677E-2</v>
      </c>
      <c r="AL256" s="2495">
        <f t="shared" ref="AL256" si="716">SUM(AB256)</f>
        <v>3.7725570378827677E-2</v>
      </c>
      <c r="AM256" s="2495">
        <f t="shared" ref="AM256" si="717">SUM(AB256)</f>
        <v>3.7725570378827677E-2</v>
      </c>
      <c r="AN256" s="2468">
        <f t="shared" si="687"/>
        <v>0.11317671113648303</v>
      </c>
      <c r="AO256" s="2468">
        <f t="shared" si="673"/>
        <v>0.3395301334094491</v>
      </c>
      <c r="AP256" s="2495">
        <f t="shared" ref="AP256" si="718">SUM(AB256)</f>
        <v>3.7725570378827677E-2</v>
      </c>
      <c r="AQ256" s="2495">
        <f t="shared" ref="AQ256" si="719">SUM(AB256)</f>
        <v>3.7725570378827677E-2</v>
      </c>
      <c r="AR256" s="2495">
        <f t="shared" ref="AR256" si="720">SUM(AB256)</f>
        <v>3.7725570378827677E-2</v>
      </c>
      <c r="AS256" s="2468">
        <f t="shared" si="691"/>
        <v>0.11317671113648303</v>
      </c>
      <c r="AT256" s="4067"/>
      <c r="AU256" s="4067"/>
      <c r="AV256" s="4067"/>
      <c r="AW256" s="642">
        <f t="shared" si="445"/>
        <v>0.45270684454593213</v>
      </c>
    </row>
    <row r="257" spans="1:49" ht="19.5" hidden="1">
      <c r="A257" s="2496" t="s">
        <v>54</v>
      </c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433"/>
      <c r="U257" s="433"/>
      <c r="V257" s="2475">
        <f>SUM(V197+V208+V234+V247)</f>
        <v>11039.518331530624</v>
      </c>
      <c r="W257" s="2498"/>
      <c r="X257" s="2475">
        <f t="shared" ref="X257:AD257" si="721">SUM(X197+X208+X234+X247)</f>
        <v>10983.678938894267</v>
      </c>
      <c r="Y257" s="2475">
        <f t="shared" si="721"/>
        <v>55.839392636358525</v>
      </c>
      <c r="Z257" s="2477">
        <f t="shared" si="721"/>
        <v>916.52997647844256</v>
      </c>
      <c r="AA257" s="2475">
        <f t="shared" si="721"/>
        <v>55.839392636358525</v>
      </c>
      <c r="AB257" s="2477">
        <f t="shared" si="721"/>
        <v>933.56033233647668</v>
      </c>
      <c r="AC257" s="2477">
        <f t="shared" si="721"/>
        <v>924.17010879539032</v>
      </c>
      <c r="AD257" s="2477">
        <f t="shared" si="721"/>
        <v>920.10343364867992</v>
      </c>
      <c r="AE257" s="2478">
        <f t="shared" si="679"/>
        <v>2777.8338747805469</v>
      </c>
      <c r="AF257" s="2477">
        <f>SUM(AF197+AF208+AF234+AF247)</f>
        <v>906.11068559578428</v>
      </c>
      <c r="AG257" s="2477">
        <f>SUM(AG197+AG208+AG234+AG247)</f>
        <v>880.61549721430777</v>
      </c>
      <c r="AH257" s="2477">
        <f>SUM(AH197+AH208+AH234+AH247)</f>
        <v>874.583975061199</v>
      </c>
      <c r="AI257" s="2478">
        <f t="shared" si="683"/>
        <v>2661.3101578712913</v>
      </c>
      <c r="AJ257" s="2478">
        <f t="shared" si="671"/>
        <v>5439.1440326518386</v>
      </c>
      <c r="AK257" s="2477">
        <f>SUM(AK197+AK208+AK234+AK247)</f>
        <v>909.5213726700357</v>
      </c>
      <c r="AL257" s="2477">
        <f>SUM(AL197+AL208+AL234+AL247)</f>
        <v>908.6794079764561</v>
      </c>
      <c r="AM257" s="2477">
        <f>SUM(AM197+AM208+AM234+AM247)</f>
        <v>922.06865159107338</v>
      </c>
      <c r="AN257" s="2478">
        <f t="shared" si="687"/>
        <v>2740.2694322375651</v>
      </c>
      <c r="AO257" s="2478">
        <f t="shared" si="673"/>
        <v>8179.4134648894033</v>
      </c>
      <c r="AP257" s="2477">
        <f>SUM(AP197+AP208+AP234+AP247)</f>
        <v>942.27317368930801</v>
      </c>
      <c r="AQ257" s="2477">
        <f>SUM(AQ197+AQ208+AQ234+AQ247)</f>
        <v>952.52257544004135</v>
      </c>
      <c r="AR257" s="2477">
        <f>SUM(AR197+AR208+AR234+AR247)</f>
        <v>965.30911751187216</v>
      </c>
      <c r="AS257" s="2478">
        <f t="shared" si="691"/>
        <v>2860.1048666412216</v>
      </c>
      <c r="AT257" s="4066"/>
      <c r="AU257" s="4066"/>
      <c r="AV257" s="4066"/>
      <c r="AW257" s="642">
        <f t="shared" si="445"/>
        <v>11039.518331530624</v>
      </c>
    </row>
    <row r="258" spans="1:49" ht="19.5" hidden="1">
      <c r="A258" s="2496" t="s">
        <v>610</v>
      </c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433"/>
      <c r="U258" s="433"/>
      <c r="V258" s="2499">
        <f>SUM(V257-V221-V222)</f>
        <v>11039.518331530624</v>
      </c>
      <c r="W258" s="2498"/>
      <c r="X258" s="2499">
        <f t="shared" ref="X258:AD258" si="722">SUM(X257-X221-X222)</f>
        <v>10983.678938894267</v>
      </c>
      <c r="Y258" s="2499">
        <f t="shared" si="722"/>
        <v>55.839392636358525</v>
      </c>
      <c r="Z258" s="2500">
        <f t="shared" si="722"/>
        <v>916.52997647844256</v>
      </c>
      <c r="AA258" s="2499">
        <f t="shared" si="722"/>
        <v>55.839392636358525</v>
      </c>
      <c r="AB258" s="2500">
        <f t="shared" si="722"/>
        <v>933.56033233647668</v>
      </c>
      <c r="AC258" s="2500">
        <f t="shared" si="722"/>
        <v>924.17010879539032</v>
      </c>
      <c r="AD258" s="2500">
        <f t="shared" si="722"/>
        <v>920.10343364867992</v>
      </c>
      <c r="AE258" s="2478">
        <f t="shared" si="679"/>
        <v>2777.8338747805469</v>
      </c>
      <c r="AF258" s="2500">
        <f>SUM(AF257-AF221-AF222)</f>
        <v>906.11068559578428</v>
      </c>
      <c r="AG258" s="2500">
        <f>SUM(AG257-AG221-AG222)</f>
        <v>880.61549721430777</v>
      </c>
      <c r="AH258" s="2500">
        <f>SUM(AH257-AH221-AH222)</f>
        <v>874.583975061199</v>
      </c>
      <c r="AI258" s="2478">
        <f t="shared" si="683"/>
        <v>2661.3101578712913</v>
      </c>
      <c r="AJ258" s="2478">
        <f t="shared" si="671"/>
        <v>5439.1440326518386</v>
      </c>
      <c r="AK258" s="2500">
        <f>SUM(AK257-AK221-AK222)</f>
        <v>909.5213726700357</v>
      </c>
      <c r="AL258" s="2500">
        <f>SUM(AL257-AL221-AL222)</f>
        <v>908.6794079764561</v>
      </c>
      <c r="AM258" s="2500">
        <f>SUM(AM257-AM221-AM222)</f>
        <v>922.06865159107338</v>
      </c>
      <c r="AN258" s="2478">
        <f t="shared" si="687"/>
        <v>2740.2694322375651</v>
      </c>
      <c r="AO258" s="2478">
        <f t="shared" si="673"/>
        <v>8179.4134648894033</v>
      </c>
      <c r="AP258" s="2500">
        <f>SUM(AP257-AP221-AP222)</f>
        <v>942.27317368930801</v>
      </c>
      <c r="AQ258" s="2500">
        <f>SUM(AQ257-AQ221-AQ222)</f>
        <v>952.52257544004135</v>
      </c>
      <c r="AR258" s="2500">
        <f>SUM(AR257-AR221-AR222)</f>
        <v>965.30911751187216</v>
      </c>
      <c r="AS258" s="2478">
        <f t="shared" si="691"/>
        <v>2860.1048666412216</v>
      </c>
      <c r="AT258" s="4066"/>
      <c r="AU258" s="4066"/>
      <c r="AV258" s="4066"/>
      <c r="AW258" s="642">
        <f t="shared" si="445"/>
        <v>11039.518331530624</v>
      </c>
    </row>
    <row r="259" spans="1:49" hidden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433"/>
      <c r="T259" s="433"/>
      <c r="U259" s="433"/>
      <c r="V259" s="436"/>
      <c r="W259" s="5"/>
      <c r="X259" s="436"/>
      <c r="Y259" s="436"/>
      <c r="Z259" s="436"/>
      <c r="AA259" s="436"/>
      <c r="AB259" s="436"/>
      <c r="AC259" s="5"/>
      <c r="AD259" s="5"/>
    </row>
    <row r="260" spans="1:49" hidden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433"/>
      <c r="T260" s="433"/>
      <c r="U260" s="433"/>
      <c r="V260" s="436"/>
      <c r="W260" s="5"/>
      <c r="X260" s="436"/>
      <c r="Y260" s="436"/>
      <c r="Z260" s="436"/>
      <c r="AA260" s="436"/>
      <c r="AB260" s="436"/>
      <c r="AC260" s="5"/>
      <c r="AD260" s="5"/>
    </row>
    <row r="261" spans="1:49" hidden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433"/>
      <c r="T261" s="433"/>
      <c r="U261" s="433"/>
      <c r="V261" s="436"/>
      <c r="W261" s="5"/>
      <c r="X261" s="669"/>
      <c r="Y261" s="669"/>
      <c r="Z261" s="669"/>
      <c r="AA261" s="436"/>
      <c r="AB261" s="436"/>
      <c r="AC261" s="5"/>
      <c r="AD261" s="5"/>
    </row>
    <row r="262" spans="1:49" hidden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433"/>
      <c r="T262" s="433"/>
      <c r="U262" s="433"/>
      <c r="V262" s="436"/>
      <c r="W262" s="5"/>
      <c r="X262" s="436"/>
      <c r="Y262" s="436"/>
      <c r="Z262" s="436"/>
      <c r="AA262" s="436"/>
      <c r="AB262" s="436"/>
      <c r="AC262" s="5"/>
      <c r="AD262" s="5"/>
    </row>
    <row r="263" spans="1:49" hidden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433"/>
      <c r="T263" s="433"/>
      <c r="U263" s="433"/>
      <c r="V263" s="436"/>
      <c r="W263" s="5"/>
      <c r="X263" s="436"/>
      <c r="Y263" s="436"/>
      <c r="Z263" s="436"/>
      <c r="AA263" s="436"/>
      <c r="AB263" s="436"/>
      <c r="AC263" s="5"/>
      <c r="AD263" s="5"/>
    </row>
    <row r="264" spans="1:49" hidden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433"/>
      <c r="T264" s="433"/>
      <c r="U264" s="433"/>
      <c r="V264" s="436"/>
      <c r="W264" s="5"/>
      <c r="X264" s="436"/>
      <c r="Y264" s="436"/>
      <c r="Z264" s="436"/>
      <c r="AA264" s="436"/>
      <c r="AB264" s="436"/>
      <c r="AC264" s="5"/>
      <c r="AD264" s="5"/>
    </row>
    <row r="265" spans="1:49" ht="18.75" hidden="1">
      <c r="A265" s="6100" t="s">
        <v>648</v>
      </c>
      <c r="B265" s="6101"/>
      <c r="C265" s="6101"/>
      <c r="D265" s="6101"/>
      <c r="E265" s="6101"/>
      <c r="F265" s="6101"/>
      <c r="G265" s="6101"/>
      <c r="H265" s="6101"/>
      <c r="I265" s="6101"/>
      <c r="J265" s="6101"/>
      <c r="K265" s="6101"/>
      <c r="L265" s="6101"/>
      <c r="M265" s="6101"/>
      <c r="N265" s="6101"/>
      <c r="O265" s="6101"/>
      <c r="P265" s="6101"/>
      <c r="Q265" s="6101"/>
      <c r="R265" s="6101"/>
      <c r="S265" s="6101"/>
      <c r="T265" s="6101"/>
      <c r="U265" s="6101"/>
      <c r="V265" s="6101"/>
      <c r="W265" s="6101"/>
      <c r="X265" s="6101"/>
      <c r="Y265" s="6101"/>
      <c r="Z265" s="6101"/>
      <c r="AA265" s="436"/>
      <c r="AB265" s="436"/>
      <c r="AC265" s="5"/>
      <c r="AD265" s="5"/>
    </row>
    <row r="266" spans="1:49" ht="18.75" hidden="1">
      <c r="A266" s="2497" t="s">
        <v>623</v>
      </c>
      <c r="B266" s="2497"/>
      <c r="C266" s="2497"/>
      <c r="D266" s="2497"/>
      <c r="E266" s="2497"/>
      <c r="F266" s="2497"/>
      <c r="G266" s="2497"/>
      <c r="H266" s="2497"/>
      <c r="I266" s="2497"/>
      <c r="J266" s="2497"/>
      <c r="K266" s="2497"/>
      <c r="L266" s="2497"/>
      <c r="M266" s="2497"/>
      <c r="N266" s="2497"/>
      <c r="O266" s="2497"/>
      <c r="P266" s="2497"/>
      <c r="Q266" s="2497"/>
      <c r="R266" s="2497"/>
      <c r="S266" s="2497"/>
      <c r="T266" s="2497"/>
      <c r="U266" s="2497"/>
      <c r="V266" s="2502" t="s">
        <v>624</v>
      </c>
      <c r="W266" s="2502"/>
      <c r="X266" s="2502" t="s">
        <v>627</v>
      </c>
      <c r="Y266" s="2502" t="s">
        <v>293</v>
      </c>
      <c r="Z266" s="2502" t="s">
        <v>44</v>
      </c>
      <c r="AA266" s="436"/>
      <c r="AB266" s="436"/>
      <c r="AC266" s="5"/>
      <c r="AD266" s="5"/>
    </row>
    <row r="267" spans="1:49" ht="18.75" hidden="1">
      <c r="A267" s="2503" t="s">
        <v>625</v>
      </c>
      <c r="B267" s="2503"/>
      <c r="C267" s="2503"/>
      <c r="D267" s="2503"/>
      <c r="E267" s="2503"/>
      <c r="F267" s="2503"/>
      <c r="G267" s="2503"/>
      <c r="H267" s="2503"/>
      <c r="I267" s="2503"/>
      <c r="J267" s="2503"/>
      <c r="K267" s="2503"/>
      <c r="L267" s="2503"/>
      <c r="M267" s="2503"/>
      <c r="N267" s="2503"/>
      <c r="O267" s="2503"/>
      <c r="P267" s="2503"/>
      <c r="Q267" s="2503"/>
      <c r="R267" s="2503"/>
      <c r="S267" s="2503"/>
      <c r="T267" s="2503"/>
      <c r="U267" s="2503"/>
      <c r="V267" s="2503">
        <v>544342.37</v>
      </c>
      <c r="W267" s="2503"/>
      <c r="X267" s="2503"/>
      <c r="Y267" s="2503">
        <f>SUM(V267:X267)</f>
        <v>544342.37</v>
      </c>
      <c r="Z267" s="2504">
        <f>SUM(Y267/Y274)</f>
        <v>0.6974668420563781</v>
      </c>
      <c r="AA267" s="436"/>
      <c r="AB267" s="436"/>
      <c r="AC267" s="5"/>
      <c r="AD267" s="5"/>
    </row>
    <row r="268" spans="1:49" ht="18.75" hidden="1">
      <c r="A268" s="2503" t="s">
        <v>626</v>
      </c>
      <c r="B268" s="2503"/>
      <c r="C268" s="2503"/>
      <c r="D268" s="2503"/>
      <c r="E268" s="2503"/>
      <c r="F268" s="2503"/>
      <c r="G268" s="2503"/>
      <c r="H268" s="2503"/>
      <c r="I268" s="2503"/>
      <c r="J268" s="2503"/>
      <c r="K268" s="2503"/>
      <c r="L268" s="2503"/>
      <c r="M268" s="2503"/>
      <c r="N268" s="2503"/>
      <c r="O268" s="2503"/>
      <c r="P268" s="2503"/>
      <c r="Q268" s="2503"/>
      <c r="R268" s="2503"/>
      <c r="S268" s="2503"/>
      <c r="T268" s="2503"/>
      <c r="U268" s="2503"/>
      <c r="V268" s="2503">
        <v>164391.41</v>
      </c>
      <c r="W268" s="2503"/>
      <c r="X268" s="2503"/>
      <c r="Y268" s="2503">
        <f t="shared" ref="Y268:Y273" si="723">SUM(V268:X268)</f>
        <v>164391.41</v>
      </c>
      <c r="Z268" s="2504">
        <f>SUM(Y268/Y274)</f>
        <v>0.21063500457238943</v>
      </c>
      <c r="AA268" s="436"/>
      <c r="AB268" s="436"/>
      <c r="AC268" s="5"/>
      <c r="AD268" s="5"/>
    </row>
    <row r="269" spans="1:49" ht="18.75" hidden="1">
      <c r="A269" s="2503" t="s">
        <v>628</v>
      </c>
      <c r="B269" s="2503"/>
      <c r="C269" s="2503"/>
      <c r="D269" s="2503"/>
      <c r="E269" s="2503"/>
      <c r="F269" s="2503"/>
      <c r="G269" s="2503"/>
      <c r="H269" s="2503"/>
      <c r="I269" s="2503"/>
      <c r="J269" s="2503"/>
      <c r="K269" s="2503"/>
      <c r="L269" s="2503"/>
      <c r="M269" s="2503"/>
      <c r="N269" s="2503"/>
      <c r="O269" s="2503"/>
      <c r="P269" s="2503"/>
      <c r="Q269" s="2503"/>
      <c r="R269" s="2503"/>
      <c r="S269" s="2503"/>
      <c r="T269" s="2503"/>
      <c r="U269" s="2503"/>
      <c r="V269" s="2503"/>
      <c r="W269" s="2503"/>
      <c r="X269" s="2503">
        <v>3667.86</v>
      </c>
      <c r="Y269" s="2503">
        <f t="shared" si="723"/>
        <v>3667.86</v>
      </c>
      <c r="Z269" s="2504">
        <f>SUM(Y269/Y274)</f>
        <v>4.6996355093668479E-3</v>
      </c>
      <c r="AA269" s="436"/>
      <c r="AB269" s="436"/>
      <c r="AC269" s="5"/>
      <c r="AD269" s="5"/>
    </row>
    <row r="270" spans="1:49" ht="18.75" hidden="1">
      <c r="A270" s="2503" t="s">
        <v>605</v>
      </c>
      <c r="B270" s="2503"/>
      <c r="C270" s="2503"/>
      <c r="D270" s="2503"/>
      <c r="E270" s="2503"/>
      <c r="F270" s="2503"/>
      <c r="G270" s="2503"/>
      <c r="H270" s="2503"/>
      <c r="I270" s="2503"/>
      <c r="J270" s="2503"/>
      <c r="K270" s="2503"/>
      <c r="L270" s="2503"/>
      <c r="M270" s="2503"/>
      <c r="N270" s="2503"/>
      <c r="O270" s="2503"/>
      <c r="P270" s="2503"/>
      <c r="Q270" s="2503"/>
      <c r="R270" s="2503"/>
      <c r="S270" s="2503"/>
      <c r="T270" s="2503"/>
      <c r="U270" s="2503"/>
      <c r="V270" s="2503"/>
      <c r="W270" s="2503"/>
      <c r="X270" s="2503">
        <v>16761.7</v>
      </c>
      <c r="Y270" s="2503">
        <f t="shared" si="723"/>
        <v>16761.7</v>
      </c>
      <c r="Z270" s="2504">
        <f>SUM(Y270/Y274)</f>
        <v>2.1476795874802827E-2</v>
      </c>
      <c r="AA270" s="436"/>
      <c r="AB270" s="436"/>
      <c r="AC270" s="5"/>
      <c r="AD270" s="5"/>
    </row>
    <row r="271" spans="1:49" ht="18.75" hidden="1">
      <c r="A271" s="2503" t="s">
        <v>629</v>
      </c>
      <c r="B271" s="2503"/>
      <c r="C271" s="2503"/>
      <c r="D271" s="2503"/>
      <c r="E271" s="2503"/>
      <c r="F271" s="2503"/>
      <c r="G271" s="2503"/>
      <c r="H271" s="2503"/>
      <c r="I271" s="2503"/>
      <c r="J271" s="2503"/>
      <c r="K271" s="2503"/>
      <c r="L271" s="2503"/>
      <c r="M271" s="2503"/>
      <c r="N271" s="2503"/>
      <c r="O271" s="2503"/>
      <c r="P271" s="2503"/>
      <c r="Q271" s="2503"/>
      <c r="R271" s="2503"/>
      <c r="S271" s="2503"/>
      <c r="T271" s="2503"/>
      <c r="U271" s="2503"/>
      <c r="V271" s="2503"/>
      <c r="W271" s="2503"/>
      <c r="X271" s="2503">
        <v>25135.3</v>
      </c>
      <c r="Y271" s="2503">
        <f t="shared" si="723"/>
        <v>25135.3</v>
      </c>
      <c r="Z271" s="2504">
        <f>SUM(Y271/Y274)</f>
        <v>3.2205904374373207E-2</v>
      </c>
      <c r="AA271" s="436"/>
      <c r="AB271" s="436"/>
      <c r="AC271" s="5"/>
      <c r="AD271" s="5"/>
    </row>
    <row r="272" spans="1:49" ht="18.75" hidden="1">
      <c r="A272" s="2503" t="s">
        <v>34</v>
      </c>
      <c r="B272" s="2503"/>
      <c r="C272" s="2503"/>
      <c r="D272" s="2503"/>
      <c r="E272" s="2503"/>
      <c r="F272" s="2503"/>
      <c r="G272" s="2503"/>
      <c r="H272" s="2503"/>
      <c r="I272" s="2503"/>
      <c r="J272" s="2503"/>
      <c r="K272" s="2503"/>
      <c r="L272" s="2503"/>
      <c r="M272" s="2503"/>
      <c r="N272" s="2503"/>
      <c r="O272" s="2503"/>
      <c r="P272" s="2503"/>
      <c r="Q272" s="2503"/>
      <c r="R272" s="2503"/>
      <c r="S272" s="2503"/>
      <c r="T272" s="2503"/>
      <c r="U272" s="2503"/>
      <c r="V272" s="2503"/>
      <c r="W272" s="2503"/>
      <c r="X272" s="2503">
        <v>10460.129999999999</v>
      </c>
      <c r="Y272" s="2503">
        <f t="shared" si="723"/>
        <v>10460.129999999999</v>
      </c>
      <c r="Z272" s="2504">
        <f>SUM(Y272/Y274)</f>
        <v>1.3402583081304478E-2</v>
      </c>
      <c r="AA272" s="436"/>
      <c r="AB272" s="436"/>
      <c r="AC272" s="5"/>
      <c r="AD272" s="5"/>
    </row>
    <row r="273" spans="1:30" ht="18.75" hidden="1">
      <c r="A273" s="2503" t="s">
        <v>52</v>
      </c>
      <c r="B273" s="2503"/>
      <c r="C273" s="2503"/>
      <c r="D273" s="2503"/>
      <c r="E273" s="2503"/>
      <c r="F273" s="2503"/>
      <c r="G273" s="2503"/>
      <c r="H273" s="2503"/>
      <c r="I273" s="2503"/>
      <c r="J273" s="2503"/>
      <c r="K273" s="2503"/>
      <c r="L273" s="2503"/>
      <c r="M273" s="2503"/>
      <c r="N273" s="2503"/>
      <c r="O273" s="2503"/>
      <c r="P273" s="2503"/>
      <c r="Q273" s="2503"/>
      <c r="R273" s="2503"/>
      <c r="S273" s="2503"/>
      <c r="T273" s="2503"/>
      <c r="U273" s="2503"/>
      <c r="V273" s="2503"/>
      <c r="W273" s="2503"/>
      <c r="X273" s="2503">
        <v>15697.5</v>
      </c>
      <c r="Y273" s="2503">
        <f t="shared" si="723"/>
        <v>15697.5</v>
      </c>
      <c r="Z273" s="2504">
        <f>SUM(Y273/Y274)</f>
        <v>2.0113234531385082E-2</v>
      </c>
      <c r="AA273" s="436"/>
      <c r="AB273" s="436"/>
      <c r="AC273" s="5"/>
      <c r="AD273" s="5"/>
    </row>
    <row r="274" spans="1:30" ht="18.75" hidden="1">
      <c r="A274" s="2497" t="s">
        <v>631</v>
      </c>
      <c r="B274" s="2497"/>
      <c r="C274" s="2497"/>
      <c r="D274" s="2497"/>
      <c r="E274" s="2497"/>
      <c r="F274" s="2497"/>
      <c r="G274" s="2497"/>
      <c r="H274" s="2497"/>
      <c r="I274" s="2497"/>
      <c r="J274" s="2497"/>
      <c r="K274" s="2497"/>
      <c r="L274" s="2497"/>
      <c r="M274" s="2497"/>
      <c r="N274" s="2497"/>
      <c r="O274" s="2497"/>
      <c r="P274" s="2497"/>
      <c r="Q274" s="2497"/>
      <c r="R274" s="2497"/>
      <c r="S274" s="2497"/>
      <c r="T274" s="2497"/>
      <c r="U274" s="2497"/>
      <c r="V274" s="2497">
        <f>SUM(V267:V273)</f>
        <v>708733.78</v>
      </c>
      <c r="W274" s="2497"/>
      <c r="X274" s="2497">
        <f>SUM(X267:X273)</f>
        <v>71722.489999999991</v>
      </c>
      <c r="Y274" s="2497">
        <f>SUM(Y267:Y273)</f>
        <v>780456.27</v>
      </c>
      <c r="Z274" s="2505">
        <f>SUM(Z267:Z273)</f>
        <v>1</v>
      </c>
      <c r="AA274" s="436"/>
      <c r="AB274" s="436"/>
      <c r="AC274" s="5"/>
      <c r="AD274" s="5"/>
    </row>
    <row r="275" spans="1:30" ht="18.75" hidden="1">
      <c r="A275" s="2497" t="s">
        <v>632</v>
      </c>
      <c r="B275" s="2497"/>
      <c r="C275" s="2497"/>
      <c r="D275" s="2497"/>
      <c r="E275" s="2497"/>
      <c r="F275" s="2497"/>
      <c r="G275" s="2497"/>
      <c r="H275" s="2497"/>
      <c r="I275" s="2497"/>
      <c r="J275" s="2497"/>
      <c r="K275" s="2497"/>
      <c r="L275" s="2497"/>
      <c r="M275" s="2497"/>
      <c r="N275" s="2497"/>
      <c r="O275" s="2497"/>
      <c r="P275" s="2497"/>
      <c r="Q275" s="2497"/>
      <c r="R275" s="2497"/>
      <c r="S275" s="2497"/>
      <c r="T275" s="2497"/>
      <c r="U275" s="2497"/>
      <c r="V275" s="2502" t="s">
        <v>634</v>
      </c>
      <c r="W275" s="2502"/>
      <c r="X275" s="2502" t="s">
        <v>633</v>
      </c>
      <c r="Y275" s="2502" t="s">
        <v>293</v>
      </c>
      <c r="Z275" s="2502" t="s">
        <v>44</v>
      </c>
      <c r="AA275" s="436"/>
      <c r="AB275" s="436"/>
      <c r="AC275" s="5"/>
      <c r="AD275" s="5"/>
    </row>
    <row r="276" spans="1:30" ht="18.75" hidden="1">
      <c r="A276" s="2503" t="s">
        <v>625</v>
      </c>
      <c r="B276" s="2503"/>
      <c r="C276" s="2503"/>
      <c r="D276" s="2503"/>
      <c r="E276" s="2503"/>
      <c r="F276" s="2503"/>
      <c r="G276" s="2503"/>
      <c r="H276" s="2503"/>
      <c r="I276" s="2503"/>
      <c r="J276" s="2503"/>
      <c r="K276" s="2503"/>
      <c r="L276" s="2503"/>
      <c r="M276" s="2503"/>
      <c r="N276" s="2503"/>
      <c r="O276" s="2503"/>
      <c r="P276" s="2503"/>
      <c r="Q276" s="2503"/>
      <c r="R276" s="2503"/>
      <c r="S276" s="2503"/>
      <c r="T276" s="2503"/>
      <c r="U276" s="2503"/>
      <c r="V276" s="2503">
        <v>2420280.5099999998</v>
      </c>
      <c r="W276" s="2503"/>
      <c r="X276" s="2503"/>
      <c r="Y276" s="2503">
        <f>SUM(V276:X276)</f>
        <v>2420280.5099999998</v>
      </c>
      <c r="Z276" s="2504">
        <f>SUM(Y276/Y298)</f>
        <v>0.46536359043589531</v>
      </c>
      <c r="AA276" s="436"/>
      <c r="AB276" s="436"/>
      <c r="AC276" s="5"/>
      <c r="AD276" s="5"/>
    </row>
    <row r="277" spans="1:30" ht="18.75" hidden="1">
      <c r="A277" s="2503" t="s">
        <v>626</v>
      </c>
      <c r="B277" s="2503"/>
      <c r="C277" s="2503"/>
      <c r="D277" s="2503"/>
      <c r="E277" s="2503"/>
      <c r="F277" s="2503"/>
      <c r="G277" s="2503"/>
      <c r="H277" s="2503"/>
      <c r="I277" s="2503"/>
      <c r="J277" s="2503"/>
      <c r="K277" s="2503"/>
      <c r="L277" s="2503"/>
      <c r="M277" s="2503"/>
      <c r="N277" s="2503"/>
      <c r="O277" s="2503"/>
      <c r="P277" s="2503"/>
      <c r="Q277" s="2503"/>
      <c r="R277" s="2503"/>
      <c r="S277" s="2503"/>
      <c r="T277" s="2503"/>
      <c r="U277" s="2503"/>
      <c r="V277" s="2503">
        <v>724985.49</v>
      </c>
      <c r="W277" s="2503"/>
      <c r="X277" s="2503"/>
      <c r="Y277" s="2503">
        <f t="shared" ref="Y277:Y297" si="724">SUM(V277:X277)</f>
        <v>724985.49</v>
      </c>
      <c r="Z277" s="2504">
        <f>SUM(Y277/Y298)</f>
        <v>0.1393978298161509</v>
      </c>
      <c r="AA277" s="436"/>
      <c r="AB277" s="436"/>
      <c r="AC277" s="5"/>
      <c r="AD277" s="5"/>
    </row>
    <row r="278" spans="1:30" ht="18.75" hidden="1">
      <c r="A278" s="2503" t="s">
        <v>607</v>
      </c>
      <c r="B278" s="2503"/>
      <c r="C278" s="2503"/>
      <c r="D278" s="2503"/>
      <c r="E278" s="2503"/>
      <c r="F278" s="2503"/>
      <c r="G278" s="2503"/>
      <c r="H278" s="2503"/>
      <c r="I278" s="2503"/>
      <c r="J278" s="2503"/>
      <c r="K278" s="2503"/>
      <c r="L278" s="2503"/>
      <c r="M278" s="2503"/>
      <c r="N278" s="2503"/>
      <c r="O278" s="2503"/>
      <c r="P278" s="2503"/>
      <c r="Q278" s="2503"/>
      <c r="R278" s="2503"/>
      <c r="S278" s="2503"/>
      <c r="T278" s="2503"/>
      <c r="U278" s="2503"/>
      <c r="V278" s="2503"/>
      <c r="W278" s="2503"/>
      <c r="X278" s="2503">
        <v>75600</v>
      </c>
      <c r="Y278" s="2503">
        <f t="shared" si="724"/>
        <v>75600</v>
      </c>
      <c r="Z278" s="2504">
        <f>SUM(Y278/Y298)</f>
        <v>1.4536119797516235E-2</v>
      </c>
      <c r="AA278" s="436"/>
      <c r="AB278" s="436"/>
      <c r="AC278" s="5"/>
      <c r="AD278" s="5"/>
    </row>
    <row r="279" spans="1:30" ht="18.75" hidden="1">
      <c r="A279" s="2503" t="s">
        <v>635</v>
      </c>
      <c r="B279" s="2503"/>
      <c r="C279" s="2503"/>
      <c r="D279" s="2503"/>
      <c r="E279" s="2503"/>
      <c r="F279" s="2503"/>
      <c r="G279" s="2503"/>
      <c r="H279" s="2503"/>
      <c r="I279" s="2503"/>
      <c r="J279" s="2503"/>
      <c r="K279" s="2503"/>
      <c r="L279" s="2503"/>
      <c r="M279" s="2503"/>
      <c r="N279" s="2503"/>
      <c r="O279" s="2503"/>
      <c r="P279" s="2503"/>
      <c r="Q279" s="2503"/>
      <c r="R279" s="2503"/>
      <c r="S279" s="2503"/>
      <c r="T279" s="2503"/>
      <c r="U279" s="2503"/>
      <c r="V279" s="2503"/>
      <c r="W279" s="2503"/>
      <c r="X279" s="2503">
        <v>300</v>
      </c>
      <c r="Y279" s="2503">
        <f t="shared" si="724"/>
        <v>300</v>
      </c>
      <c r="Z279" s="2504">
        <f>SUM(Y279/Y298)</f>
        <v>5.768301506950887E-5</v>
      </c>
      <c r="AA279" s="436"/>
      <c r="AB279" s="436"/>
      <c r="AC279" s="5"/>
      <c r="AD279" s="5"/>
    </row>
    <row r="280" spans="1:30" ht="18.75" hidden="1">
      <c r="A280" s="2503" t="s">
        <v>32</v>
      </c>
      <c r="B280" s="2503"/>
      <c r="C280" s="2503"/>
      <c r="D280" s="2503"/>
      <c r="E280" s="2503"/>
      <c r="F280" s="2503"/>
      <c r="G280" s="2503"/>
      <c r="H280" s="2503"/>
      <c r="I280" s="2503"/>
      <c r="J280" s="2503"/>
      <c r="K280" s="2503"/>
      <c r="L280" s="2503"/>
      <c r="M280" s="2503"/>
      <c r="N280" s="2503"/>
      <c r="O280" s="2503"/>
      <c r="P280" s="2503"/>
      <c r="Q280" s="2503"/>
      <c r="R280" s="2503"/>
      <c r="S280" s="2503"/>
      <c r="T280" s="2503"/>
      <c r="U280" s="2503"/>
      <c r="V280" s="2503"/>
      <c r="W280" s="2503"/>
      <c r="X280" s="2503">
        <v>15305</v>
      </c>
      <c r="Y280" s="2503">
        <f t="shared" si="724"/>
        <v>15305</v>
      </c>
      <c r="Z280" s="2504">
        <f>SUM(Y280/Y298)</f>
        <v>2.9427951521294442E-3</v>
      </c>
      <c r="AA280" s="436"/>
      <c r="AB280" s="436"/>
      <c r="AC280" s="5"/>
      <c r="AD280" s="5"/>
    </row>
    <row r="281" spans="1:30" ht="18.75" hidden="1">
      <c r="A281" s="2503" t="s">
        <v>76</v>
      </c>
      <c r="B281" s="2503"/>
      <c r="C281" s="2503"/>
      <c r="D281" s="2503"/>
      <c r="E281" s="2503"/>
      <c r="F281" s="2503"/>
      <c r="G281" s="2503"/>
      <c r="H281" s="2503"/>
      <c r="I281" s="2503"/>
      <c r="J281" s="2503"/>
      <c r="K281" s="2503"/>
      <c r="L281" s="2503"/>
      <c r="M281" s="2503"/>
      <c r="N281" s="2503"/>
      <c r="O281" s="2503"/>
      <c r="P281" s="2503"/>
      <c r="Q281" s="2503"/>
      <c r="R281" s="2503"/>
      <c r="S281" s="2503"/>
      <c r="T281" s="2503"/>
      <c r="U281" s="2503"/>
      <c r="V281" s="2503"/>
      <c r="W281" s="2503"/>
      <c r="X281" s="2503">
        <v>129</v>
      </c>
      <c r="Y281" s="2503">
        <f t="shared" si="724"/>
        <v>129</v>
      </c>
      <c r="Z281" s="2506">
        <f>SUM(Y281/Y298)</f>
        <v>2.4803696479888814E-5</v>
      </c>
      <c r="AA281" s="436"/>
      <c r="AB281" s="436"/>
      <c r="AC281" s="5"/>
      <c r="AD281" s="5"/>
    </row>
    <row r="282" spans="1:30" ht="18.75" hidden="1">
      <c r="A282" s="2503" t="s">
        <v>649</v>
      </c>
      <c r="B282" s="2503"/>
      <c r="C282" s="2503"/>
      <c r="D282" s="2503"/>
      <c r="E282" s="2503"/>
      <c r="F282" s="2503"/>
      <c r="G282" s="2503"/>
      <c r="H282" s="2503"/>
      <c r="I282" s="2503"/>
      <c r="J282" s="2503"/>
      <c r="K282" s="2503"/>
      <c r="L282" s="2503"/>
      <c r="M282" s="2503"/>
      <c r="N282" s="2503"/>
      <c r="O282" s="2503"/>
      <c r="P282" s="2503"/>
      <c r="Q282" s="2503"/>
      <c r="R282" s="2503"/>
      <c r="S282" s="2503"/>
      <c r="T282" s="2503"/>
      <c r="U282" s="2503"/>
      <c r="V282" s="2503"/>
      <c r="W282" s="2503"/>
      <c r="X282" s="2503">
        <v>3814.4</v>
      </c>
      <c r="Y282" s="2503">
        <f t="shared" si="724"/>
        <v>3814.4</v>
      </c>
      <c r="Z282" s="2504">
        <f>SUM(Y282/Y298)</f>
        <v>7.3342030893711551E-4</v>
      </c>
      <c r="AA282" s="436"/>
      <c r="AB282" s="436"/>
      <c r="AC282" s="5"/>
      <c r="AD282" s="5"/>
    </row>
    <row r="283" spans="1:30" ht="18.75" hidden="1">
      <c r="A283" s="2503" t="s">
        <v>636</v>
      </c>
      <c r="B283" s="2503"/>
      <c r="C283" s="2503"/>
      <c r="D283" s="2503"/>
      <c r="E283" s="2503"/>
      <c r="F283" s="2503"/>
      <c r="G283" s="2503"/>
      <c r="H283" s="2503"/>
      <c r="I283" s="2503"/>
      <c r="J283" s="2503"/>
      <c r="K283" s="2503"/>
      <c r="L283" s="2503"/>
      <c r="M283" s="2503"/>
      <c r="N283" s="2503"/>
      <c r="O283" s="2503"/>
      <c r="P283" s="2503"/>
      <c r="Q283" s="2503"/>
      <c r="R283" s="2503"/>
      <c r="S283" s="2503"/>
      <c r="T283" s="2503"/>
      <c r="U283" s="2503"/>
      <c r="V283" s="2503"/>
      <c r="W283" s="2503"/>
      <c r="X283" s="2503">
        <v>642468.41</v>
      </c>
      <c r="Y283" s="2503">
        <v>0</v>
      </c>
      <c r="Z283" s="2504">
        <f>SUM(Y283/Y298)</f>
        <v>0</v>
      </c>
      <c r="AA283" s="436"/>
      <c r="AB283" s="436"/>
      <c r="AC283" s="5"/>
      <c r="AD283" s="5"/>
    </row>
    <row r="284" spans="1:30" ht="18.75" hidden="1">
      <c r="A284" s="2503" t="s">
        <v>637</v>
      </c>
      <c r="B284" s="2503"/>
      <c r="C284" s="2503"/>
      <c r="D284" s="2503"/>
      <c r="E284" s="2503"/>
      <c r="F284" s="2503"/>
      <c r="G284" s="2503"/>
      <c r="H284" s="2503"/>
      <c r="I284" s="2503"/>
      <c r="J284" s="2503"/>
      <c r="K284" s="2503"/>
      <c r="L284" s="2503"/>
      <c r="M284" s="2503"/>
      <c r="N284" s="2503"/>
      <c r="O284" s="2503"/>
      <c r="P284" s="2503"/>
      <c r="Q284" s="2503"/>
      <c r="R284" s="2503"/>
      <c r="S284" s="2503"/>
      <c r="T284" s="2503"/>
      <c r="U284" s="2503"/>
      <c r="V284" s="2503"/>
      <c r="W284" s="2503"/>
      <c r="X284" s="2503">
        <v>507107.49</v>
      </c>
      <c r="Y284" s="2503">
        <f t="shared" si="724"/>
        <v>507107.49</v>
      </c>
      <c r="Z284" s="2504">
        <f>SUM(Y284/Y298)</f>
        <v>9.75049632917694E-2</v>
      </c>
      <c r="AA284" s="436"/>
      <c r="AB284" s="436"/>
      <c r="AC284" s="5"/>
      <c r="AD284" s="5"/>
    </row>
    <row r="285" spans="1:30" ht="18.75" hidden="1">
      <c r="A285" s="2503" t="s">
        <v>42</v>
      </c>
      <c r="B285" s="2503"/>
      <c r="C285" s="2503"/>
      <c r="D285" s="2503"/>
      <c r="E285" s="2503"/>
      <c r="F285" s="2503"/>
      <c r="G285" s="2503"/>
      <c r="H285" s="2503"/>
      <c r="I285" s="2503"/>
      <c r="J285" s="2503"/>
      <c r="K285" s="2503"/>
      <c r="L285" s="2503"/>
      <c r="M285" s="2503"/>
      <c r="N285" s="2503"/>
      <c r="O285" s="2503"/>
      <c r="P285" s="2503"/>
      <c r="Q285" s="2503"/>
      <c r="R285" s="2503"/>
      <c r="S285" s="2503"/>
      <c r="T285" s="2503"/>
      <c r="U285" s="2503"/>
      <c r="V285" s="2503"/>
      <c r="W285" s="2503"/>
      <c r="X285" s="2503">
        <v>29333.21</v>
      </c>
      <c r="Y285" s="2503">
        <f t="shared" si="724"/>
        <v>29333.21</v>
      </c>
      <c r="Z285" s="2504">
        <f>SUM(Y285/Y298)</f>
        <v>5.6400933148902273E-3</v>
      </c>
      <c r="AA285" s="436"/>
      <c r="AB285" s="436"/>
      <c r="AC285" s="5"/>
      <c r="AD285" s="5"/>
    </row>
    <row r="286" spans="1:30" ht="18.75" hidden="1">
      <c r="A286" s="2503" t="s">
        <v>608</v>
      </c>
      <c r="B286" s="2503"/>
      <c r="C286" s="2503"/>
      <c r="D286" s="2503"/>
      <c r="E286" s="2503"/>
      <c r="F286" s="2503"/>
      <c r="G286" s="2503"/>
      <c r="H286" s="2503"/>
      <c r="I286" s="2503"/>
      <c r="J286" s="2503"/>
      <c r="K286" s="2503"/>
      <c r="L286" s="2503"/>
      <c r="M286" s="2503"/>
      <c r="N286" s="2503"/>
      <c r="O286" s="2503"/>
      <c r="P286" s="2503"/>
      <c r="Q286" s="2503"/>
      <c r="R286" s="2503"/>
      <c r="S286" s="2503"/>
      <c r="T286" s="2503"/>
      <c r="U286" s="2503"/>
      <c r="V286" s="2503"/>
      <c r="W286" s="2503"/>
      <c r="X286" s="2503">
        <v>50424.09</v>
      </c>
      <c r="Y286" s="2503">
        <f t="shared" si="724"/>
        <v>50424.09</v>
      </c>
      <c r="Z286" s="2504">
        <f>SUM(Y286/Y298)</f>
        <v>9.6953784777875709E-3</v>
      </c>
      <c r="AA286" s="436"/>
      <c r="AB286" s="436"/>
      <c r="AC286" s="5"/>
      <c r="AD286" s="5"/>
    </row>
    <row r="287" spans="1:30" ht="18.75" hidden="1">
      <c r="A287" s="2503" t="s">
        <v>638</v>
      </c>
      <c r="B287" s="2503"/>
      <c r="C287" s="2503"/>
      <c r="D287" s="2503"/>
      <c r="E287" s="2503"/>
      <c r="F287" s="2503"/>
      <c r="G287" s="2503"/>
      <c r="H287" s="2503"/>
      <c r="I287" s="2503"/>
      <c r="J287" s="2503"/>
      <c r="K287" s="2503"/>
      <c r="L287" s="2503"/>
      <c r="M287" s="2503"/>
      <c r="N287" s="2503"/>
      <c r="O287" s="2503"/>
      <c r="P287" s="2503"/>
      <c r="Q287" s="2503"/>
      <c r="R287" s="2503"/>
      <c r="S287" s="2503"/>
      <c r="T287" s="2503"/>
      <c r="U287" s="2503"/>
      <c r="V287" s="2503"/>
      <c r="W287" s="2503"/>
      <c r="X287" s="2503">
        <v>278861.53999999998</v>
      </c>
      <c r="Y287" s="2503">
        <f t="shared" si="724"/>
        <v>278861.53999999998</v>
      </c>
      <c r="Z287" s="2504">
        <f>SUM(Y287/Y298)</f>
        <v>5.3618581380421498E-2</v>
      </c>
      <c r="AA287" s="436"/>
      <c r="AB287" s="436"/>
      <c r="AC287" s="5"/>
      <c r="AD287" s="5"/>
    </row>
    <row r="288" spans="1:30" ht="18.75" hidden="1">
      <c r="A288" s="2503" t="s">
        <v>639</v>
      </c>
      <c r="B288" s="2503"/>
      <c r="C288" s="2503"/>
      <c r="D288" s="2503"/>
      <c r="E288" s="2503"/>
      <c r="F288" s="2503"/>
      <c r="G288" s="2503"/>
      <c r="H288" s="2503"/>
      <c r="I288" s="2503"/>
      <c r="J288" s="2503"/>
      <c r="K288" s="2503"/>
      <c r="L288" s="2503"/>
      <c r="M288" s="2503"/>
      <c r="N288" s="2503"/>
      <c r="O288" s="2503"/>
      <c r="P288" s="2503"/>
      <c r="Q288" s="2503"/>
      <c r="R288" s="2503"/>
      <c r="S288" s="2503"/>
      <c r="T288" s="2503"/>
      <c r="U288" s="2503"/>
      <c r="V288" s="2503"/>
      <c r="W288" s="2503"/>
      <c r="X288" s="2503">
        <v>73375.820000000007</v>
      </c>
      <c r="Y288" s="2503">
        <f t="shared" si="724"/>
        <v>73375.820000000007</v>
      </c>
      <c r="Z288" s="2504">
        <f>SUM(Y288/Y298)</f>
        <v>1.4108461769325236E-2</v>
      </c>
      <c r="AA288" s="436"/>
      <c r="AB288" s="436"/>
      <c r="AC288" s="5"/>
      <c r="AD288" s="5"/>
    </row>
    <row r="289" spans="1:30" ht="18.75" hidden="1">
      <c r="A289" s="2503" t="s">
        <v>642</v>
      </c>
      <c r="B289" s="2503"/>
      <c r="C289" s="2503"/>
      <c r="D289" s="2503"/>
      <c r="E289" s="2503"/>
      <c r="F289" s="2503"/>
      <c r="G289" s="2503"/>
      <c r="H289" s="2503"/>
      <c r="I289" s="2503"/>
      <c r="J289" s="2503"/>
      <c r="K289" s="2503"/>
      <c r="L289" s="2503"/>
      <c r="M289" s="2503"/>
      <c r="N289" s="2503"/>
      <c r="O289" s="2503"/>
      <c r="P289" s="2503"/>
      <c r="Q289" s="2503"/>
      <c r="R289" s="2503"/>
      <c r="S289" s="2503"/>
      <c r="T289" s="2503"/>
      <c r="U289" s="2503"/>
      <c r="V289" s="2503"/>
      <c r="W289" s="2503"/>
      <c r="X289" s="2503">
        <v>217500.95</v>
      </c>
      <c r="Y289" s="2503">
        <f t="shared" si="724"/>
        <v>217500.95</v>
      </c>
      <c r="Z289" s="2504">
        <f>SUM(Y289/Y298)</f>
        <v>4.1820368588274988E-2</v>
      </c>
      <c r="AA289" s="436"/>
      <c r="AB289" s="436"/>
      <c r="AC289" s="5"/>
      <c r="AD289" s="5"/>
    </row>
    <row r="290" spans="1:30" ht="18.75" hidden="1">
      <c r="A290" s="2503" t="s">
        <v>612</v>
      </c>
      <c r="B290" s="2503"/>
      <c r="C290" s="2503"/>
      <c r="D290" s="2503"/>
      <c r="E290" s="2503"/>
      <c r="F290" s="2503"/>
      <c r="G290" s="2503"/>
      <c r="H290" s="2503"/>
      <c r="I290" s="2503"/>
      <c r="J290" s="2503"/>
      <c r="K290" s="2503"/>
      <c r="L290" s="2503"/>
      <c r="M290" s="2503"/>
      <c r="N290" s="2503"/>
      <c r="O290" s="2503"/>
      <c r="P290" s="2503"/>
      <c r="Q290" s="2503"/>
      <c r="R290" s="2503"/>
      <c r="S290" s="2503"/>
      <c r="T290" s="2503"/>
      <c r="U290" s="2503"/>
      <c r="V290" s="2503"/>
      <c r="W290" s="2503"/>
      <c r="X290" s="2503">
        <v>45758.37</v>
      </c>
      <c r="Y290" s="2503">
        <v>0</v>
      </c>
      <c r="Z290" s="2504">
        <f>SUM(Y290/Y298)</f>
        <v>0</v>
      </c>
      <c r="AA290" s="436"/>
      <c r="AB290" s="436"/>
      <c r="AC290" s="5"/>
      <c r="AD290" s="5"/>
    </row>
    <row r="291" spans="1:30" ht="18.75" hidden="1">
      <c r="A291" s="2503" t="s">
        <v>628</v>
      </c>
      <c r="B291" s="2503"/>
      <c r="C291" s="2503"/>
      <c r="D291" s="2503"/>
      <c r="E291" s="2503"/>
      <c r="F291" s="2503"/>
      <c r="G291" s="2503"/>
      <c r="H291" s="2503"/>
      <c r="I291" s="2503"/>
      <c r="J291" s="2503"/>
      <c r="K291" s="2503"/>
      <c r="L291" s="2503"/>
      <c r="M291" s="2503"/>
      <c r="N291" s="2503"/>
      <c r="O291" s="2503"/>
      <c r="P291" s="2503"/>
      <c r="Q291" s="2503"/>
      <c r="R291" s="2503"/>
      <c r="S291" s="2503"/>
      <c r="T291" s="2503"/>
      <c r="U291" s="2503"/>
      <c r="V291" s="2503"/>
      <c r="W291" s="2503"/>
      <c r="X291" s="2503">
        <v>20840.04</v>
      </c>
      <c r="Y291" s="2503">
        <f t="shared" si="724"/>
        <v>20840.04</v>
      </c>
      <c r="Z291" s="2504">
        <f>SUM(Y291/Y298)</f>
        <v>4.0070544712305593E-3</v>
      </c>
      <c r="AA291" s="436"/>
      <c r="AB291" s="436"/>
      <c r="AC291" s="5"/>
      <c r="AD291" s="5"/>
    </row>
    <row r="292" spans="1:30" ht="18.75" hidden="1">
      <c r="A292" s="2503" t="s">
        <v>605</v>
      </c>
      <c r="B292" s="2503"/>
      <c r="C292" s="2503"/>
      <c r="D292" s="2503"/>
      <c r="E292" s="2503"/>
      <c r="F292" s="2503"/>
      <c r="G292" s="2503"/>
      <c r="H292" s="2503"/>
      <c r="I292" s="2503"/>
      <c r="J292" s="2503"/>
      <c r="K292" s="2503"/>
      <c r="L292" s="2503"/>
      <c r="M292" s="2503"/>
      <c r="N292" s="2503"/>
      <c r="O292" s="2503"/>
      <c r="P292" s="2503"/>
      <c r="Q292" s="2503"/>
      <c r="R292" s="2503"/>
      <c r="S292" s="2503"/>
      <c r="T292" s="2503"/>
      <c r="U292" s="2503"/>
      <c r="V292" s="2503"/>
      <c r="W292" s="2503"/>
      <c r="X292" s="2503">
        <v>461471.7</v>
      </c>
      <c r="Y292" s="2503">
        <f t="shared" si="724"/>
        <v>461471.7</v>
      </c>
      <c r="Z292" s="2504">
        <f>SUM(Y292/Y298)</f>
        <v>8.8730263417506255E-2</v>
      </c>
      <c r="AA292" s="436"/>
      <c r="AB292" s="436"/>
      <c r="AC292" s="5"/>
      <c r="AD292" s="5"/>
    </row>
    <row r="293" spans="1:30" ht="18.75" hidden="1">
      <c r="A293" s="2503" t="s">
        <v>629</v>
      </c>
      <c r="B293" s="2503"/>
      <c r="C293" s="2503"/>
      <c r="D293" s="2503"/>
      <c r="E293" s="2503"/>
      <c r="F293" s="2503"/>
      <c r="G293" s="2503"/>
      <c r="H293" s="2503"/>
      <c r="I293" s="2503"/>
      <c r="J293" s="2503"/>
      <c r="K293" s="2503"/>
      <c r="L293" s="2503"/>
      <c r="M293" s="2503"/>
      <c r="N293" s="2503"/>
      <c r="O293" s="2503"/>
      <c r="P293" s="2503"/>
      <c r="Q293" s="2503"/>
      <c r="R293" s="2503"/>
      <c r="S293" s="2503"/>
      <c r="T293" s="2503"/>
      <c r="U293" s="2503"/>
      <c r="V293" s="2503"/>
      <c r="W293" s="2503"/>
      <c r="X293" s="2503">
        <v>117843.4</v>
      </c>
      <c r="Y293" s="2503">
        <f t="shared" si="724"/>
        <v>117843.4</v>
      </c>
      <c r="Z293" s="2504">
        <f>SUM(Y293/Y298)</f>
        <v>2.2658542060140539E-2</v>
      </c>
      <c r="AA293" s="436"/>
      <c r="AB293" s="436"/>
      <c r="AC293" s="5"/>
      <c r="AD293" s="5"/>
    </row>
    <row r="294" spans="1:30" ht="18.75" hidden="1">
      <c r="A294" s="2503" t="s">
        <v>34</v>
      </c>
      <c r="B294" s="2503"/>
      <c r="C294" s="2503"/>
      <c r="D294" s="2503"/>
      <c r="E294" s="2503"/>
      <c r="F294" s="2503"/>
      <c r="G294" s="2503"/>
      <c r="H294" s="2503"/>
      <c r="I294" s="2503"/>
      <c r="J294" s="2503"/>
      <c r="K294" s="2503"/>
      <c r="L294" s="2503"/>
      <c r="M294" s="2503"/>
      <c r="N294" s="2503"/>
      <c r="O294" s="2503"/>
      <c r="P294" s="2503"/>
      <c r="Q294" s="2503"/>
      <c r="R294" s="2503"/>
      <c r="S294" s="2503"/>
      <c r="T294" s="2503"/>
      <c r="U294" s="2503"/>
      <c r="V294" s="2503"/>
      <c r="W294" s="2503"/>
      <c r="X294" s="2503">
        <v>98309.37</v>
      </c>
      <c r="Y294" s="2503">
        <f t="shared" si="724"/>
        <v>98309.37</v>
      </c>
      <c r="Z294" s="2504">
        <f>SUM(Y294/Y298)</f>
        <v>1.8902602903946408E-2</v>
      </c>
      <c r="AA294" s="436"/>
      <c r="AB294" s="436"/>
      <c r="AC294" s="5"/>
      <c r="AD294" s="5"/>
    </row>
    <row r="295" spans="1:30" ht="18.75" hidden="1">
      <c r="A295" s="2503" t="s">
        <v>644</v>
      </c>
      <c r="B295" s="2503"/>
      <c r="C295" s="2503"/>
      <c r="D295" s="2503"/>
      <c r="E295" s="2503"/>
      <c r="F295" s="2503"/>
      <c r="G295" s="2503"/>
      <c r="H295" s="2503"/>
      <c r="I295" s="2503"/>
      <c r="J295" s="2503"/>
      <c r="K295" s="2503"/>
      <c r="L295" s="2503"/>
      <c r="M295" s="2503"/>
      <c r="N295" s="2503"/>
      <c r="O295" s="2503"/>
      <c r="P295" s="2503"/>
      <c r="Q295" s="2503"/>
      <c r="R295" s="2503"/>
      <c r="S295" s="2503"/>
      <c r="T295" s="2503"/>
      <c r="U295" s="2503"/>
      <c r="V295" s="2503"/>
      <c r="W295" s="2503"/>
      <c r="X295" s="2503">
        <v>20291.66</v>
      </c>
      <c r="Y295" s="2503">
        <f t="shared" si="724"/>
        <v>20291.66</v>
      </c>
      <c r="Z295" s="2504">
        <f>SUM(Y295/Y298)</f>
        <v>3.9016137652178344E-3</v>
      </c>
      <c r="AA295" s="436"/>
      <c r="AB295" s="436"/>
      <c r="AC295" s="5"/>
      <c r="AD295" s="5"/>
    </row>
    <row r="296" spans="1:30" ht="18.75" hidden="1">
      <c r="A296" s="2503" t="s">
        <v>52</v>
      </c>
      <c r="B296" s="2503"/>
      <c r="C296" s="2503"/>
      <c r="D296" s="2503"/>
      <c r="E296" s="2503"/>
      <c r="F296" s="2503"/>
      <c r="G296" s="2503"/>
      <c r="H296" s="2503"/>
      <c r="I296" s="2503"/>
      <c r="J296" s="2503"/>
      <c r="K296" s="2503"/>
      <c r="L296" s="2503"/>
      <c r="M296" s="2503"/>
      <c r="N296" s="2503"/>
      <c r="O296" s="2503"/>
      <c r="P296" s="2503"/>
      <c r="Q296" s="2503"/>
      <c r="R296" s="2503"/>
      <c r="S296" s="2503"/>
      <c r="T296" s="2503"/>
      <c r="U296" s="2503"/>
      <c r="V296" s="2503"/>
      <c r="W296" s="2503"/>
      <c r="X296" s="2503">
        <v>18635.04</v>
      </c>
      <c r="Y296" s="2503">
        <f t="shared" si="724"/>
        <v>18635.04</v>
      </c>
      <c r="Z296" s="2504">
        <f>SUM(Y296/Y298)</f>
        <v>3.5830843104696689E-3</v>
      </c>
      <c r="AA296" s="436"/>
      <c r="AB296" s="436"/>
      <c r="AC296" s="5"/>
      <c r="AD296" s="5"/>
    </row>
    <row r="297" spans="1:30" ht="18.75" hidden="1">
      <c r="A297" s="2503" t="s">
        <v>98</v>
      </c>
      <c r="B297" s="2503"/>
      <c r="C297" s="2503"/>
      <c r="D297" s="2503"/>
      <c r="E297" s="2503"/>
      <c r="F297" s="2503"/>
      <c r="G297" s="2503"/>
      <c r="H297" s="2503"/>
      <c r="I297" s="2503"/>
      <c r="J297" s="2503"/>
      <c r="K297" s="2503"/>
      <c r="L297" s="2503"/>
      <c r="M297" s="2503"/>
      <c r="N297" s="2503"/>
      <c r="O297" s="2503"/>
      <c r="P297" s="2503"/>
      <c r="Q297" s="2503"/>
      <c r="R297" s="2503"/>
      <c r="S297" s="2503"/>
      <c r="T297" s="2503"/>
      <c r="U297" s="2503"/>
      <c r="V297" s="2503"/>
      <c r="W297" s="2503"/>
      <c r="X297" s="2503">
        <v>66429</v>
      </c>
      <c r="Y297" s="2503">
        <f t="shared" si="724"/>
        <v>66429</v>
      </c>
      <c r="Z297" s="2504">
        <f>SUM(Y297/Y298)</f>
        <v>1.277275002684135E-2</v>
      </c>
      <c r="AA297" s="436"/>
      <c r="AB297" s="436"/>
      <c r="AC297" s="5"/>
      <c r="AD297" s="5"/>
    </row>
    <row r="298" spans="1:30" ht="18.75" hidden="1">
      <c r="A298" s="2497" t="s">
        <v>631</v>
      </c>
      <c r="B298" s="2497"/>
      <c r="C298" s="2497"/>
      <c r="D298" s="2497"/>
      <c r="E298" s="2497"/>
      <c r="F298" s="2497"/>
      <c r="G298" s="2497"/>
      <c r="H298" s="2497"/>
      <c r="I298" s="2497"/>
      <c r="J298" s="2497"/>
      <c r="K298" s="2497"/>
      <c r="L298" s="2497"/>
      <c r="M298" s="2497"/>
      <c r="N298" s="2497"/>
      <c r="O298" s="2497"/>
      <c r="P298" s="2497"/>
      <c r="Q298" s="2497"/>
      <c r="R298" s="2497"/>
      <c r="S298" s="2497"/>
      <c r="T298" s="2497"/>
      <c r="U298" s="2497"/>
      <c r="V298" s="2497">
        <f t="shared" ref="V298:X298" si="725">SUM(V276:V297)</f>
        <v>3145266</v>
      </c>
      <c r="W298" s="2497">
        <f t="shared" si="725"/>
        <v>0</v>
      </c>
      <c r="X298" s="2497">
        <f t="shared" si="725"/>
        <v>2743798.4900000007</v>
      </c>
      <c r="Y298" s="2497">
        <f>SUM(Y276:Y297)</f>
        <v>5200837.71</v>
      </c>
      <c r="Z298" s="2505">
        <f>SUM(Z276:Z297)</f>
        <v>0.99999999999999967</v>
      </c>
      <c r="AA298" s="436"/>
      <c r="AB298" s="436"/>
      <c r="AC298" s="5"/>
      <c r="AD298" s="5"/>
    </row>
    <row r="299" spans="1:30" ht="18.75" hidden="1">
      <c r="A299" s="2497" t="s">
        <v>640</v>
      </c>
      <c r="B299" s="2497"/>
      <c r="C299" s="2497"/>
      <c r="D299" s="2497"/>
      <c r="E299" s="2497"/>
      <c r="F299" s="2497"/>
      <c r="G299" s="2497"/>
      <c r="H299" s="2497"/>
      <c r="I299" s="2497"/>
      <c r="J299" s="2497"/>
      <c r="K299" s="2497"/>
      <c r="L299" s="2497"/>
      <c r="M299" s="2497"/>
      <c r="N299" s="2497"/>
      <c r="O299" s="2497"/>
      <c r="P299" s="2497"/>
      <c r="Q299" s="2497"/>
      <c r="R299" s="2497"/>
      <c r="S299" s="2497"/>
      <c r="T299" s="2497"/>
      <c r="U299" s="2497"/>
      <c r="V299" s="2502" t="s">
        <v>650</v>
      </c>
      <c r="W299" s="2502"/>
      <c r="X299" s="2502" t="s">
        <v>645</v>
      </c>
      <c r="Y299" s="2502" t="s">
        <v>293</v>
      </c>
      <c r="Z299" s="2502" t="s">
        <v>44</v>
      </c>
      <c r="AA299" s="436"/>
      <c r="AB299" s="436"/>
      <c r="AC299" s="5"/>
      <c r="AD299" s="5"/>
    </row>
    <row r="300" spans="1:30" ht="18.75" hidden="1">
      <c r="A300" s="2503" t="s">
        <v>625</v>
      </c>
      <c r="B300" s="2503"/>
      <c r="C300" s="2503"/>
      <c r="D300" s="2503"/>
      <c r="E300" s="2503"/>
      <c r="F300" s="2503"/>
      <c r="G300" s="2503"/>
      <c r="H300" s="2503"/>
      <c r="I300" s="2503"/>
      <c r="J300" s="2503"/>
      <c r="K300" s="2503"/>
      <c r="L300" s="2503"/>
      <c r="M300" s="2503"/>
      <c r="N300" s="2503"/>
      <c r="O300" s="2503"/>
      <c r="P300" s="2503"/>
      <c r="Q300" s="2503"/>
      <c r="R300" s="2503"/>
      <c r="S300" s="2503"/>
      <c r="T300" s="2503"/>
      <c r="U300" s="2503"/>
      <c r="V300" s="2503"/>
      <c r="W300" s="2503"/>
      <c r="X300" s="2503"/>
      <c r="Y300" s="2503">
        <f>SUM(V300:X300)</f>
        <v>0</v>
      </c>
      <c r="Z300" s="2504">
        <f>SUM(Y300/Y309)</f>
        <v>0</v>
      </c>
      <c r="AA300" s="436"/>
      <c r="AB300" s="436"/>
      <c r="AC300" s="5"/>
      <c r="AD300" s="5"/>
    </row>
    <row r="301" spans="1:30" ht="18.75" hidden="1">
      <c r="A301" s="2503" t="s">
        <v>626</v>
      </c>
      <c r="B301" s="2503"/>
      <c r="C301" s="2503"/>
      <c r="D301" s="2503"/>
      <c r="E301" s="2503"/>
      <c r="F301" s="2503"/>
      <c r="G301" s="2503"/>
      <c r="H301" s="2503"/>
      <c r="I301" s="2503"/>
      <c r="J301" s="2503"/>
      <c r="K301" s="2503"/>
      <c r="L301" s="2503"/>
      <c r="M301" s="2503"/>
      <c r="N301" s="2503"/>
      <c r="O301" s="2503"/>
      <c r="P301" s="2503"/>
      <c r="Q301" s="2503"/>
      <c r="R301" s="2503"/>
      <c r="S301" s="2503"/>
      <c r="T301" s="2503"/>
      <c r="U301" s="2503"/>
      <c r="V301" s="2503"/>
      <c r="W301" s="2503"/>
      <c r="X301" s="2503"/>
      <c r="Y301" s="2503">
        <f t="shared" ref="Y301:Y308" si="726">SUM(V301:X301)</f>
        <v>0</v>
      </c>
      <c r="Z301" s="2504">
        <f>SUM(Y301/Y309)</f>
        <v>0</v>
      </c>
      <c r="AA301" s="436"/>
      <c r="AB301" s="436"/>
      <c r="AC301" s="5"/>
      <c r="AD301" s="5"/>
    </row>
    <row r="302" spans="1:30" ht="18.75" hidden="1">
      <c r="A302" s="2503" t="s">
        <v>32</v>
      </c>
      <c r="B302" s="2503"/>
      <c r="C302" s="2503"/>
      <c r="D302" s="2503"/>
      <c r="E302" s="2503"/>
      <c r="F302" s="2503"/>
      <c r="G302" s="2503"/>
      <c r="H302" s="2503"/>
      <c r="I302" s="2503"/>
      <c r="J302" s="2503"/>
      <c r="K302" s="2503"/>
      <c r="L302" s="2503"/>
      <c r="M302" s="2503"/>
      <c r="N302" s="2503"/>
      <c r="O302" s="2503"/>
      <c r="P302" s="2503"/>
      <c r="Q302" s="2503"/>
      <c r="R302" s="2503"/>
      <c r="S302" s="2503"/>
      <c r="T302" s="2503"/>
      <c r="U302" s="2503"/>
      <c r="V302" s="2503"/>
      <c r="W302" s="2503"/>
      <c r="X302" s="2503">
        <v>5084.76</v>
      </c>
      <c r="Y302" s="2503">
        <f t="shared" si="726"/>
        <v>5084.76</v>
      </c>
      <c r="Z302" s="2504">
        <f>SUM(Y302/Y309)</f>
        <v>7.5773820222306302E-3</v>
      </c>
      <c r="AA302" s="436"/>
      <c r="AB302" s="436"/>
      <c r="AC302" s="5"/>
      <c r="AD302" s="5"/>
    </row>
    <row r="303" spans="1:30" ht="18.75" hidden="1">
      <c r="A303" s="2503" t="s">
        <v>76</v>
      </c>
      <c r="B303" s="2503"/>
      <c r="C303" s="2503"/>
      <c r="D303" s="2503"/>
      <c r="E303" s="2503"/>
      <c r="F303" s="2503"/>
      <c r="G303" s="2503"/>
      <c r="H303" s="2503"/>
      <c r="I303" s="2503"/>
      <c r="J303" s="2503"/>
      <c r="K303" s="2503"/>
      <c r="L303" s="2503"/>
      <c r="M303" s="2503"/>
      <c r="N303" s="2503"/>
      <c r="O303" s="2503"/>
      <c r="P303" s="2503"/>
      <c r="Q303" s="2503"/>
      <c r="R303" s="2503"/>
      <c r="S303" s="2503"/>
      <c r="T303" s="2503"/>
      <c r="U303" s="2503"/>
      <c r="V303" s="2503"/>
      <c r="W303" s="2503"/>
      <c r="X303" s="2503">
        <v>150</v>
      </c>
      <c r="Y303" s="2503">
        <f t="shared" si="726"/>
        <v>150</v>
      </c>
      <c r="Z303" s="2504">
        <f>SUM(Y303/Y309)</f>
        <v>2.2353214376580105E-4</v>
      </c>
      <c r="AA303" s="436"/>
      <c r="AB303" s="436"/>
      <c r="AC303" s="5"/>
      <c r="AD303" s="5"/>
    </row>
    <row r="304" spans="1:30" ht="18.75" hidden="1">
      <c r="A304" s="2503" t="s">
        <v>652</v>
      </c>
      <c r="B304" s="2503"/>
      <c r="C304" s="2503"/>
      <c r="D304" s="2503"/>
      <c r="E304" s="2503"/>
      <c r="F304" s="2503"/>
      <c r="G304" s="2503"/>
      <c r="H304" s="2503"/>
      <c r="I304" s="2503"/>
      <c r="J304" s="2503"/>
      <c r="K304" s="2503"/>
      <c r="L304" s="2503"/>
      <c r="M304" s="2503"/>
      <c r="N304" s="2503"/>
      <c r="O304" s="2503"/>
      <c r="P304" s="2503"/>
      <c r="Q304" s="2503"/>
      <c r="R304" s="2503"/>
      <c r="S304" s="2503"/>
      <c r="T304" s="2503"/>
      <c r="U304" s="2503"/>
      <c r="V304" s="2503"/>
      <c r="W304" s="2503"/>
      <c r="X304" s="2503">
        <v>15308.21</v>
      </c>
      <c r="Y304" s="2503">
        <f t="shared" si="726"/>
        <v>15308.21</v>
      </c>
      <c r="Z304" s="2504">
        <f>SUM(Y304/Y309)</f>
        <v>2.2812513323447154E-2</v>
      </c>
      <c r="AA304" s="436"/>
      <c r="AB304" s="436"/>
      <c r="AC304" s="5"/>
      <c r="AD304" s="5"/>
    </row>
    <row r="305" spans="1:30" ht="18.75" hidden="1">
      <c r="A305" s="2503" t="s">
        <v>630</v>
      </c>
      <c r="B305" s="2503"/>
      <c r="C305" s="2503"/>
      <c r="D305" s="2503"/>
      <c r="E305" s="2503"/>
      <c r="F305" s="2503"/>
      <c r="G305" s="2503"/>
      <c r="H305" s="2503"/>
      <c r="I305" s="2503"/>
      <c r="J305" s="2503"/>
      <c r="K305" s="2503"/>
      <c r="L305" s="2503"/>
      <c r="M305" s="2503"/>
      <c r="N305" s="2503"/>
      <c r="O305" s="2503"/>
      <c r="P305" s="2503"/>
      <c r="Q305" s="2503"/>
      <c r="R305" s="2503"/>
      <c r="S305" s="2503"/>
      <c r="T305" s="2503"/>
      <c r="U305" s="2503"/>
      <c r="V305" s="2503"/>
      <c r="W305" s="2503"/>
      <c r="X305" s="2503">
        <v>594746.84</v>
      </c>
      <c r="Y305" s="2503">
        <f t="shared" si="726"/>
        <v>594746.84</v>
      </c>
      <c r="Z305" s="2504">
        <f>SUM(Y305/Y309)</f>
        <v>0.88630024095423909</v>
      </c>
      <c r="AA305" s="436"/>
      <c r="AB305" s="436"/>
      <c r="AC305" s="5"/>
      <c r="AD305" s="5"/>
    </row>
    <row r="306" spans="1:30" ht="18.75" hidden="1">
      <c r="A306" s="2503" t="s">
        <v>641</v>
      </c>
      <c r="B306" s="2503"/>
      <c r="C306" s="2503"/>
      <c r="D306" s="2503"/>
      <c r="E306" s="2503"/>
      <c r="F306" s="2503"/>
      <c r="G306" s="2503"/>
      <c r="H306" s="2503"/>
      <c r="I306" s="2503"/>
      <c r="J306" s="2503"/>
      <c r="K306" s="2503"/>
      <c r="L306" s="2503"/>
      <c r="M306" s="2503"/>
      <c r="N306" s="2503"/>
      <c r="O306" s="2503"/>
      <c r="P306" s="2503"/>
      <c r="Q306" s="2503"/>
      <c r="R306" s="2503"/>
      <c r="S306" s="2503"/>
      <c r="T306" s="2503"/>
      <c r="U306" s="2503"/>
      <c r="V306" s="2503"/>
      <c r="W306" s="2503"/>
      <c r="X306" s="2503">
        <v>7460</v>
      </c>
      <c r="Y306" s="2503">
        <f t="shared" si="726"/>
        <v>7460</v>
      </c>
      <c r="Z306" s="2504">
        <f>SUM(Y306/Y309)</f>
        <v>1.1116998616619172E-2</v>
      </c>
      <c r="AA306" s="436"/>
      <c r="AB306" s="436"/>
      <c r="AC306" s="5"/>
      <c r="AD306" s="5"/>
    </row>
    <row r="307" spans="1:30" ht="18.75" hidden="1">
      <c r="A307" s="2503" t="s">
        <v>605</v>
      </c>
      <c r="B307" s="2503"/>
      <c r="C307" s="2503"/>
      <c r="D307" s="2503"/>
      <c r="E307" s="2503"/>
      <c r="F307" s="2503"/>
      <c r="G307" s="2503"/>
      <c r="H307" s="2503"/>
      <c r="I307" s="2503"/>
      <c r="J307" s="2503"/>
      <c r="K307" s="2503"/>
      <c r="L307" s="2503"/>
      <c r="M307" s="2503"/>
      <c r="N307" s="2503"/>
      <c r="O307" s="2503"/>
      <c r="P307" s="2503"/>
      <c r="Q307" s="2503"/>
      <c r="R307" s="2503"/>
      <c r="S307" s="2503"/>
      <c r="T307" s="2503"/>
      <c r="U307" s="2503"/>
      <c r="V307" s="2503"/>
      <c r="W307" s="2503"/>
      <c r="X307" s="2503">
        <v>46310.07</v>
      </c>
      <c r="Y307" s="2503">
        <f t="shared" si="726"/>
        <v>46310.07</v>
      </c>
      <c r="Z307" s="2504">
        <f>SUM(Y307/Y309)</f>
        <v>6.9011928166962069E-2</v>
      </c>
      <c r="AA307" s="436"/>
      <c r="AB307" s="436"/>
      <c r="AC307" s="5"/>
      <c r="AD307" s="5"/>
    </row>
    <row r="308" spans="1:30" ht="18.75" hidden="1">
      <c r="A308" s="2503" t="s">
        <v>34</v>
      </c>
      <c r="B308" s="2503"/>
      <c r="C308" s="2503"/>
      <c r="D308" s="2503"/>
      <c r="E308" s="2503"/>
      <c r="F308" s="2503"/>
      <c r="G308" s="2503"/>
      <c r="H308" s="2503"/>
      <c r="I308" s="2503"/>
      <c r="J308" s="2503"/>
      <c r="K308" s="2503"/>
      <c r="L308" s="2503"/>
      <c r="M308" s="2503"/>
      <c r="N308" s="2503"/>
      <c r="O308" s="2503"/>
      <c r="P308" s="2503"/>
      <c r="Q308" s="2503"/>
      <c r="R308" s="2503"/>
      <c r="S308" s="2503"/>
      <c r="T308" s="2503"/>
      <c r="U308" s="2503"/>
      <c r="V308" s="2503"/>
      <c r="W308" s="2503"/>
      <c r="X308" s="2503">
        <v>1984.55</v>
      </c>
      <c r="Y308" s="2503">
        <f t="shared" si="726"/>
        <v>1984.55</v>
      </c>
      <c r="Z308" s="2504">
        <f>SUM(Y308/Y309)</f>
        <v>2.9574047727361362E-3</v>
      </c>
      <c r="AA308" s="436"/>
      <c r="AB308" s="436"/>
      <c r="AC308" s="5"/>
      <c r="AD308" s="5"/>
    </row>
    <row r="309" spans="1:30" ht="18.75" hidden="1">
      <c r="A309" s="2497" t="s">
        <v>631</v>
      </c>
      <c r="B309" s="2497"/>
      <c r="C309" s="2497"/>
      <c r="D309" s="2497"/>
      <c r="E309" s="2497"/>
      <c r="F309" s="2497"/>
      <c r="G309" s="2497"/>
      <c r="H309" s="2497"/>
      <c r="I309" s="2497"/>
      <c r="J309" s="2497"/>
      <c r="K309" s="2497"/>
      <c r="L309" s="2497"/>
      <c r="M309" s="2497"/>
      <c r="N309" s="2497"/>
      <c r="O309" s="2497"/>
      <c r="P309" s="2497"/>
      <c r="Q309" s="2497"/>
      <c r="R309" s="2497"/>
      <c r="S309" s="2497"/>
      <c r="T309" s="2497"/>
      <c r="U309" s="2497"/>
      <c r="V309" s="2497">
        <f t="shared" ref="V309:X309" si="727">SUM(V300:V308)</f>
        <v>0</v>
      </c>
      <c r="W309" s="2497">
        <f t="shared" si="727"/>
        <v>0</v>
      </c>
      <c r="X309" s="2497">
        <f t="shared" si="727"/>
        <v>671044.42999999993</v>
      </c>
      <c r="Y309" s="2497">
        <f>SUM(Y300:Y308)</f>
        <v>671044.42999999993</v>
      </c>
      <c r="Z309" s="2505">
        <f>SUM(Z300:Z308)</f>
        <v>1.0000000000000002</v>
      </c>
      <c r="AA309" s="436"/>
      <c r="AB309" s="436"/>
      <c r="AC309" s="5"/>
      <c r="AD309" s="5"/>
    </row>
    <row r="310" spans="1:30" ht="18.75" hidden="1">
      <c r="A310" s="2497" t="s">
        <v>646</v>
      </c>
      <c r="B310" s="2497"/>
      <c r="C310" s="2497"/>
      <c r="D310" s="2497"/>
      <c r="E310" s="2497"/>
      <c r="F310" s="2497"/>
      <c r="G310" s="2497"/>
      <c r="H310" s="2497"/>
      <c r="I310" s="2497"/>
      <c r="J310" s="2497"/>
      <c r="K310" s="2497"/>
      <c r="L310" s="2497"/>
      <c r="M310" s="2497"/>
      <c r="N310" s="2497"/>
      <c r="O310" s="2497"/>
      <c r="P310" s="2497"/>
      <c r="Q310" s="2497"/>
      <c r="R310" s="2497"/>
      <c r="S310" s="2497"/>
      <c r="T310" s="2497"/>
      <c r="U310" s="2497"/>
      <c r="V310" s="2502" t="s">
        <v>647</v>
      </c>
      <c r="W310" s="2502"/>
      <c r="X310" s="2502" t="s">
        <v>157</v>
      </c>
      <c r="Y310" s="2502" t="s">
        <v>293</v>
      </c>
      <c r="Z310" s="2502" t="s">
        <v>44</v>
      </c>
      <c r="AA310" s="436"/>
      <c r="AB310" s="436"/>
      <c r="AC310" s="5"/>
      <c r="AD310" s="5"/>
    </row>
    <row r="311" spans="1:30" ht="18.75" hidden="1">
      <c r="A311" s="2503" t="s">
        <v>625</v>
      </c>
      <c r="B311" s="2503"/>
      <c r="C311" s="2503"/>
      <c r="D311" s="2503"/>
      <c r="E311" s="2503"/>
      <c r="F311" s="2503"/>
      <c r="G311" s="2503"/>
      <c r="H311" s="2503"/>
      <c r="I311" s="2503"/>
      <c r="J311" s="2503"/>
      <c r="K311" s="2503"/>
      <c r="L311" s="2503"/>
      <c r="M311" s="2503"/>
      <c r="N311" s="2503"/>
      <c r="O311" s="2503"/>
      <c r="P311" s="2503"/>
      <c r="Q311" s="2503"/>
      <c r="R311" s="2503"/>
      <c r="S311" s="2503"/>
      <c r="T311" s="2503"/>
      <c r="U311" s="2503"/>
      <c r="V311" s="2503">
        <v>1594083.26</v>
      </c>
      <c r="W311" s="2503"/>
      <c r="X311" s="2503"/>
      <c r="Y311" s="2503">
        <f>SUM(V311:X311)</f>
        <v>1594083.26</v>
      </c>
      <c r="Z311" s="2504">
        <f>SUM(Y311/Y318)</f>
        <v>0.70013013790776046</v>
      </c>
      <c r="AA311" s="436"/>
      <c r="AB311" s="436"/>
      <c r="AC311" s="5"/>
      <c r="AD311" s="5"/>
    </row>
    <row r="312" spans="1:30" ht="18.75" hidden="1">
      <c r="A312" s="2503" t="s">
        <v>626</v>
      </c>
      <c r="B312" s="2503"/>
      <c r="C312" s="2503"/>
      <c r="D312" s="2503"/>
      <c r="E312" s="2503"/>
      <c r="F312" s="2503"/>
      <c r="G312" s="2503"/>
      <c r="H312" s="2503"/>
      <c r="I312" s="2503"/>
      <c r="J312" s="2503"/>
      <c r="K312" s="2503"/>
      <c r="L312" s="2503"/>
      <c r="M312" s="2503"/>
      <c r="N312" s="2503"/>
      <c r="O312" s="2503"/>
      <c r="P312" s="2503"/>
      <c r="Q312" s="2503"/>
      <c r="R312" s="2503"/>
      <c r="S312" s="2503"/>
      <c r="T312" s="2503"/>
      <c r="U312" s="2503"/>
      <c r="V312" s="2503">
        <v>479160.57</v>
      </c>
      <c r="W312" s="2503"/>
      <c r="X312" s="2503"/>
      <c r="Y312" s="2503">
        <f t="shared" ref="Y312:Y317" si="728">SUM(V312:X312)</f>
        <v>479160.57</v>
      </c>
      <c r="Z312" s="2504">
        <f>SUM(Y312/Y318)</f>
        <v>0.21044995852604406</v>
      </c>
      <c r="AA312" s="436"/>
      <c r="AB312" s="436"/>
      <c r="AC312" s="5"/>
      <c r="AD312" s="5"/>
    </row>
    <row r="313" spans="1:30" ht="18.75" hidden="1">
      <c r="A313" s="2503" t="s">
        <v>76</v>
      </c>
      <c r="B313" s="2503"/>
      <c r="C313" s="2503"/>
      <c r="D313" s="2503"/>
      <c r="E313" s="2503"/>
      <c r="F313" s="2503"/>
      <c r="G313" s="2503"/>
      <c r="H313" s="2503"/>
      <c r="I313" s="2503"/>
      <c r="J313" s="2503"/>
      <c r="K313" s="2503"/>
      <c r="L313" s="2503"/>
      <c r="M313" s="2503"/>
      <c r="N313" s="2503"/>
      <c r="O313" s="2503"/>
      <c r="P313" s="2503"/>
      <c r="Q313" s="2503"/>
      <c r="R313" s="2503"/>
      <c r="S313" s="2503"/>
      <c r="T313" s="2503"/>
      <c r="U313" s="2503"/>
      <c r="V313" s="2503"/>
      <c r="W313" s="2503"/>
      <c r="X313" s="2503">
        <v>60</v>
      </c>
      <c r="Y313" s="2503">
        <f t="shared" si="728"/>
        <v>60</v>
      </c>
      <c r="Z313" s="2506">
        <f>SUM(Y313/Y318)</f>
        <v>2.6352330100038579E-5</v>
      </c>
      <c r="AA313" s="436"/>
      <c r="AB313" s="436"/>
      <c r="AC313" s="5"/>
      <c r="AD313" s="5"/>
    </row>
    <row r="314" spans="1:30" ht="18.75" hidden="1">
      <c r="A314" s="2503" t="s">
        <v>605</v>
      </c>
      <c r="B314" s="2503"/>
      <c r="C314" s="2503"/>
      <c r="D314" s="2503"/>
      <c r="E314" s="2503"/>
      <c r="F314" s="2503"/>
      <c r="G314" s="2503"/>
      <c r="H314" s="2503"/>
      <c r="I314" s="2503"/>
      <c r="J314" s="2503"/>
      <c r="K314" s="2503"/>
      <c r="L314" s="2503"/>
      <c r="M314" s="2503"/>
      <c r="N314" s="2503"/>
      <c r="O314" s="2503"/>
      <c r="P314" s="2503"/>
      <c r="Q314" s="2503"/>
      <c r="R314" s="2503"/>
      <c r="S314" s="2503"/>
      <c r="T314" s="2503"/>
      <c r="U314" s="2503"/>
      <c r="V314" s="2503"/>
      <c r="W314" s="2503"/>
      <c r="X314" s="2503">
        <v>140992.44</v>
      </c>
      <c r="Y314" s="2503">
        <f t="shared" si="728"/>
        <v>140992.44</v>
      </c>
      <c r="Z314" s="2504">
        <f>SUM(Y314/Y318)</f>
        <v>6.1924655341498061E-2</v>
      </c>
      <c r="AA314" s="436"/>
      <c r="AB314" s="436"/>
      <c r="AC314" s="5"/>
      <c r="AD314" s="5"/>
    </row>
    <row r="315" spans="1:30" ht="18.75" hidden="1">
      <c r="A315" s="2503" t="s">
        <v>629</v>
      </c>
      <c r="B315" s="2503"/>
      <c r="C315" s="2503"/>
      <c r="D315" s="2503"/>
      <c r="E315" s="2503"/>
      <c r="F315" s="2503"/>
      <c r="G315" s="2503"/>
      <c r="H315" s="2503"/>
      <c r="I315" s="2503"/>
      <c r="J315" s="2503"/>
      <c r="K315" s="2503"/>
      <c r="L315" s="2503"/>
      <c r="M315" s="2503"/>
      <c r="N315" s="2503"/>
      <c r="O315" s="2503"/>
      <c r="P315" s="2503"/>
      <c r="Q315" s="2503"/>
      <c r="R315" s="2503"/>
      <c r="S315" s="2503"/>
      <c r="T315" s="2503"/>
      <c r="U315" s="2503"/>
      <c r="V315" s="2503"/>
      <c r="W315" s="2503"/>
      <c r="X315" s="2503">
        <v>42438</v>
      </c>
      <c r="Y315" s="2503">
        <f t="shared" si="728"/>
        <v>42438</v>
      </c>
      <c r="Z315" s="2504">
        <f>SUM(Y315/Y318)</f>
        <v>1.8639003079757289E-2</v>
      </c>
      <c r="AA315" s="436"/>
      <c r="AB315" s="436"/>
      <c r="AC315" s="5"/>
      <c r="AD315" s="5"/>
    </row>
    <row r="316" spans="1:30" ht="18.75" hidden="1">
      <c r="A316" s="2503" t="s">
        <v>34</v>
      </c>
      <c r="B316" s="2503"/>
      <c r="C316" s="2503"/>
      <c r="D316" s="2503"/>
      <c r="E316" s="2503"/>
      <c r="F316" s="2503"/>
      <c r="G316" s="2503"/>
      <c r="H316" s="2503"/>
      <c r="I316" s="2503"/>
      <c r="J316" s="2503"/>
      <c r="K316" s="2503"/>
      <c r="L316" s="2503"/>
      <c r="M316" s="2503"/>
      <c r="N316" s="2503"/>
      <c r="O316" s="2503"/>
      <c r="P316" s="2503"/>
      <c r="Q316" s="2503"/>
      <c r="R316" s="2503"/>
      <c r="S316" s="2503"/>
      <c r="T316" s="2503"/>
      <c r="U316" s="2503"/>
      <c r="V316" s="2503"/>
      <c r="W316" s="2503"/>
      <c r="X316" s="2503">
        <v>15905.29</v>
      </c>
      <c r="Y316" s="2503">
        <f t="shared" si="728"/>
        <v>15905.29</v>
      </c>
      <c r="Z316" s="2504">
        <f>SUM(Y316/Y318)</f>
        <v>6.9856908736140441E-3</v>
      </c>
      <c r="AA316" s="436"/>
      <c r="AB316" s="436"/>
      <c r="AC316" s="5"/>
      <c r="AD316" s="5"/>
    </row>
    <row r="317" spans="1:30" ht="18.75" hidden="1">
      <c r="A317" s="2503" t="s">
        <v>52</v>
      </c>
      <c r="B317" s="2503"/>
      <c r="C317" s="2503"/>
      <c r="D317" s="2503"/>
      <c r="E317" s="2503"/>
      <c r="F317" s="2503"/>
      <c r="G317" s="2503"/>
      <c r="H317" s="2503"/>
      <c r="I317" s="2503"/>
      <c r="J317" s="2503"/>
      <c r="K317" s="2503"/>
      <c r="L317" s="2503"/>
      <c r="M317" s="2503"/>
      <c r="N317" s="2503"/>
      <c r="O317" s="2503"/>
      <c r="P317" s="2503"/>
      <c r="Q317" s="2503"/>
      <c r="R317" s="2503"/>
      <c r="S317" s="2503"/>
      <c r="T317" s="2503"/>
      <c r="U317" s="2503"/>
      <c r="V317" s="2503"/>
      <c r="W317" s="2503"/>
      <c r="X317" s="2503">
        <v>4198.95</v>
      </c>
      <c r="Y317" s="2503">
        <f t="shared" si="728"/>
        <v>4198.95</v>
      </c>
      <c r="Z317" s="2504">
        <f>SUM(Y317/Y318)</f>
        <v>1.84420194122595E-3</v>
      </c>
      <c r="AA317" s="436"/>
      <c r="AB317" s="436"/>
      <c r="AC317" s="5"/>
      <c r="AD317" s="5"/>
    </row>
    <row r="318" spans="1:30" ht="18.75" hidden="1">
      <c r="A318" s="2497" t="s">
        <v>631</v>
      </c>
      <c r="B318" s="2497"/>
      <c r="C318" s="2497"/>
      <c r="D318" s="2497"/>
      <c r="E318" s="2497"/>
      <c r="F318" s="2497"/>
      <c r="G318" s="2497"/>
      <c r="H318" s="2497"/>
      <c r="I318" s="2497"/>
      <c r="J318" s="2497"/>
      <c r="K318" s="2497"/>
      <c r="L318" s="2497"/>
      <c r="M318" s="2497"/>
      <c r="N318" s="2497"/>
      <c r="O318" s="2497"/>
      <c r="P318" s="2497"/>
      <c r="Q318" s="2497"/>
      <c r="R318" s="2497"/>
      <c r="S318" s="2497"/>
      <c r="T318" s="2497"/>
      <c r="U318" s="2497"/>
      <c r="V318" s="2497">
        <f t="shared" ref="V318:X318" si="729">SUM(V311:V317)</f>
        <v>2073243.83</v>
      </c>
      <c r="W318" s="2497">
        <f t="shared" si="729"/>
        <v>0</v>
      </c>
      <c r="X318" s="2497">
        <f t="shared" si="729"/>
        <v>203594.68000000002</v>
      </c>
      <c r="Y318" s="2497">
        <f>SUM(Y311:Y317)</f>
        <v>2276838.5100000002</v>
      </c>
      <c r="Z318" s="2505">
        <f>SUM(Z311:Z317)</f>
        <v>0.99999999999999989</v>
      </c>
      <c r="AA318" s="436"/>
      <c r="AB318" s="436"/>
      <c r="AC318" s="5"/>
      <c r="AD318" s="5"/>
    </row>
    <row r="319" spans="1:30" hidden="1"/>
  </sheetData>
  <mergeCells count="160">
    <mergeCell ref="AT6:AT8"/>
    <mergeCell ref="AU6:AU8"/>
    <mergeCell ref="AV6:AV8"/>
    <mergeCell ref="AT5:AV5"/>
    <mergeCell ref="AJ38:AL38"/>
    <mergeCell ref="AJ39:AL39"/>
    <mergeCell ref="AJ40:AL40"/>
    <mergeCell ref="AJ41:AL41"/>
    <mergeCell ref="AJ42:AL42"/>
    <mergeCell ref="AJ33:AL33"/>
    <mergeCell ref="AJ34:AL34"/>
    <mergeCell ref="AJ28:AL28"/>
    <mergeCell ref="AJ29:AL29"/>
    <mergeCell ref="AJ30:AL30"/>
    <mergeCell ref="AJ31:AL31"/>
    <mergeCell ref="AJ32:AL32"/>
    <mergeCell ref="AJ24:AL24"/>
    <mergeCell ref="AJ25:AL25"/>
    <mergeCell ref="AJ26:AL26"/>
    <mergeCell ref="AJ27:AL27"/>
    <mergeCell ref="AJ51:AL51"/>
    <mergeCell ref="AJ52:AL52"/>
    <mergeCell ref="AJ35:AL35"/>
    <mergeCell ref="AJ36:AL36"/>
    <mergeCell ref="AJ37:AL37"/>
    <mergeCell ref="AJ53:AL53"/>
    <mergeCell ref="AJ54:AL54"/>
    <mergeCell ref="A51:C51"/>
    <mergeCell ref="A52:C52"/>
    <mergeCell ref="A53:C53"/>
    <mergeCell ref="A54:C54"/>
    <mergeCell ref="AJ43:AL43"/>
    <mergeCell ref="AJ44:AL44"/>
    <mergeCell ref="AJ50:AL50"/>
    <mergeCell ref="AJ45:AL45"/>
    <mergeCell ref="AJ46:AL46"/>
    <mergeCell ref="AJ47:AL47"/>
    <mergeCell ref="AJ48:AL48"/>
    <mergeCell ref="AJ49:AL49"/>
    <mergeCell ref="A50:C50"/>
    <mergeCell ref="A49:C49"/>
    <mergeCell ref="AZ62:AZ63"/>
    <mergeCell ref="V62:V63"/>
    <mergeCell ref="X62:Y62"/>
    <mergeCell ref="BA62:BA63"/>
    <mergeCell ref="AQ62:AQ63"/>
    <mergeCell ref="AR62:AR63"/>
    <mergeCell ref="AS62:AS63"/>
    <mergeCell ref="AW62:AW63"/>
    <mergeCell ref="AX62:AX63"/>
    <mergeCell ref="A60:AY60"/>
    <mergeCell ref="A62:A63"/>
    <mergeCell ref="Z62:Z63"/>
    <mergeCell ref="AB62:AB63"/>
    <mergeCell ref="AC62:AC63"/>
    <mergeCell ref="AD62:AD63"/>
    <mergeCell ref="AJ62:AJ63"/>
    <mergeCell ref="AK62:AK63"/>
    <mergeCell ref="AL62:AL63"/>
    <mergeCell ref="AM62:AM63"/>
    <mergeCell ref="AN62:AN63"/>
    <mergeCell ref="AO62:AO63"/>
    <mergeCell ref="AP62:AP63"/>
    <mergeCell ref="AY62:AY63"/>
    <mergeCell ref="R6:R8"/>
    <mergeCell ref="V6:V8"/>
    <mergeCell ref="N5:U5"/>
    <mergeCell ref="N6:N8"/>
    <mergeCell ref="AJ19:AL19"/>
    <mergeCell ref="AJ20:AL20"/>
    <mergeCell ref="AJ21:AL21"/>
    <mergeCell ref="AJ22:AL22"/>
    <mergeCell ref="AJ13:AL13"/>
    <mergeCell ref="AJ14:AL14"/>
    <mergeCell ref="AJ15:AL15"/>
    <mergeCell ref="AJ16:AL16"/>
    <mergeCell ref="AJ18:AL18"/>
    <mergeCell ref="U6:U8"/>
    <mergeCell ref="AJ5:AL8"/>
    <mergeCell ref="AJ9:AL9"/>
    <mergeCell ref="AJ12:AL12"/>
    <mergeCell ref="W6:W8"/>
    <mergeCell ref="V5:AA5"/>
    <mergeCell ref="AB5:AF5"/>
    <mergeCell ref="AG5:AI5"/>
    <mergeCell ref="AE6:AE8"/>
    <mergeCell ref="AF6:AF8"/>
    <mergeCell ref="AG6:AG8"/>
    <mergeCell ref="F6:F8"/>
    <mergeCell ref="M6:M8"/>
    <mergeCell ref="I6:I8"/>
    <mergeCell ref="A48:C48"/>
    <mergeCell ref="E6:E8"/>
    <mergeCell ref="J6:J8"/>
    <mergeCell ref="A47:C47"/>
    <mergeCell ref="C6:C8"/>
    <mergeCell ref="D6:D8"/>
    <mergeCell ref="B5:B8"/>
    <mergeCell ref="C5:D5"/>
    <mergeCell ref="G6:G8"/>
    <mergeCell ref="H6:H8"/>
    <mergeCell ref="L6:L8"/>
    <mergeCell ref="I5:M5"/>
    <mergeCell ref="A265:Z265"/>
    <mergeCell ref="A195:A196"/>
    <mergeCell ref="V195:V196"/>
    <mergeCell ref="AB195:AB196"/>
    <mergeCell ref="AC195:AC196"/>
    <mergeCell ref="AD195:AD196"/>
    <mergeCell ref="AE195:AE196"/>
    <mergeCell ref="AF195:AF196"/>
    <mergeCell ref="AG195:AG196"/>
    <mergeCell ref="A1:AY1"/>
    <mergeCell ref="A2:AY2"/>
    <mergeCell ref="A193:AS193"/>
    <mergeCell ref="AQ6:AQ8"/>
    <mergeCell ref="AR6:AR8"/>
    <mergeCell ref="AS6:AS8"/>
    <mergeCell ref="AQ5:AS5"/>
    <mergeCell ref="AM5:AM8"/>
    <mergeCell ref="T6:T8"/>
    <mergeCell ref="O6:O8"/>
    <mergeCell ref="A5:A8"/>
    <mergeCell ref="X6:X8"/>
    <mergeCell ref="P6:P8"/>
    <mergeCell ref="Q6:Q8"/>
    <mergeCell ref="S6:S8"/>
    <mergeCell ref="AD6:AD8"/>
    <mergeCell ref="Y6:Y8"/>
    <mergeCell ref="K6:K8"/>
    <mergeCell ref="E5:F5"/>
    <mergeCell ref="G5:H5"/>
    <mergeCell ref="AJ10:AL10"/>
    <mergeCell ref="AJ11:AL11"/>
    <mergeCell ref="AC6:AC8"/>
    <mergeCell ref="A131:Z131"/>
    <mergeCell ref="Z6:Z8"/>
    <mergeCell ref="AB6:AB8"/>
    <mergeCell ref="AP195:AP196"/>
    <mergeCell ref="X195:AA195"/>
    <mergeCell ref="AN5:AP8"/>
    <mergeCell ref="AW5:AY5"/>
    <mergeCell ref="AW6:AW8"/>
    <mergeCell ref="AX6:AX8"/>
    <mergeCell ref="AY6:AY8"/>
    <mergeCell ref="AQ195:AQ196"/>
    <mergeCell ref="AR195:AR196"/>
    <mergeCell ref="AS195:AS196"/>
    <mergeCell ref="AW195:AW196"/>
    <mergeCell ref="AH195:AH196"/>
    <mergeCell ref="AI195:AI196"/>
    <mergeCell ref="AJ195:AJ196"/>
    <mergeCell ref="AK195:AK196"/>
    <mergeCell ref="AL195:AL196"/>
    <mergeCell ref="AM195:AM196"/>
    <mergeCell ref="AN195:AN196"/>
    <mergeCell ref="AO195:AO196"/>
    <mergeCell ref="AH6:AH8"/>
    <mergeCell ref="AI6:AI8"/>
    <mergeCell ref="AA6:AA8"/>
  </mergeCells>
  <phoneticPr fontId="9" type="noConversion"/>
  <printOptions horizontalCentered="1" verticalCentered="1"/>
  <pageMargins left="0.19685039370078741" right="0.19685039370078741" top="0.19685039370078741" bottom="0.19685039370078741" header="0" footer="0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33CC"/>
  </sheetPr>
  <dimension ref="A1:BX97"/>
  <sheetViews>
    <sheetView zoomScale="90" zoomScaleNormal="9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AF101" sqref="AF100:AF101"/>
    </sheetView>
  </sheetViews>
  <sheetFormatPr defaultRowHeight="12.75"/>
  <cols>
    <col min="1" max="1" width="52.5703125" customWidth="1"/>
    <col min="2" max="13" width="12.7109375" hidden="1" customWidth="1"/>
    <col min="14" max="14" width="13.140625" hidden="1" customWidth="1"/>
    <col min="15" max="15" width="13.28515625" hidden="1" customWidth="1"/>
    <col min="16" max="27" width="12.7109375" hidden="1" customWidth="1"/>
    <col min="28" max="28" width="11.85546875" hidden="1" customWidth="1"/>
    <col min="29" max="29" width="10.7109375" hidden="1" customWidth="1"/>
    <col min="30" max="32" width="12.7109375" customWidth="1"/>
    <col min="33" max="33" width="12.85546875" customWidth="1"/>
    <col min="34" max="34" width="13.140625" customWidth="1"/>
    <col min="35" max="46" width="12.7109375" hidden="1" customWidth="1"/>
    <col min="47" max="48" width="10.7109375" hidden="1" customWidth="1"/>
    <col min="49" max="51" width="12.7109375" hidden="1" customWidth="1"/>
    <col min="52" max="53" width="10.7109375" hidden="1" customWidth="1"/>
    <col min="54" max="55" width="12.7109375" hidden="1" customWidth="1"/>
    <col min="56" max="56" width="12.5703125" hidden="1" customWidth="1"/>
    <col min="57" max="57" width="12.7109375" hidden="1" customWidth="1"/>
    <col min="58" max="59" width="12.5703125" hidden="1" customWidth="1"/>
    <col min="60" max="61" width="12.7109375" hidden="1" customWidth="1"/>
    <col min="62" max="62" width="12.5703125" hidden="1" customWidth="1"/>
    <col min="63" max="65" width="12.7109375" hidden="1" customWidth="1"/>
    <col min="66" max="66" width="11.28515625" hidden="1" customWidth="1"/>
    <col min="67" max="67" width="10.7109375" hidden="1" customWidth="1"/>
    <col min="68" max="70" width="14.28515625" hidden="1" customWidth="1"/>
    <col min="71" max="71" width="12.5703125" hidden="1" customWidth="1"/>
    <col min="72" max="72" width="10.7109375" hidden="1" customWidth="1"/>
  </cols>
  <sheetData>
    <row r="1" spans="1:76" ht="20.25">
      <c r="A1" s="4715" t="s">
        <v>2009</v>
      </c>
    </row>
    <row r="2" spans="1:76" ht="20.25">
      <c r="A2" s="4715" t="s">
        <v>2037</v>
      </c>
    </row>
    <row r="3" spans="1:76" ht="20.25">
      <c r="A3" s="4716"/>
      <c r="B3" s="657"/>
      <c r="C3" s="657"/>
      <c r="D3" s="657"/>
      <c r="E3" s="657"/>
      <c r="F3" s="657"/>
      <c r="G3" s="657"/>
      <c r="H3" s="657"/>
      <c r="I3" s="657"/>
      <c r="J3" s="657"/>
      <c r="K3" s="657"/>
      <c r="L3" s="657"/>
      <c r="M3" s="657"/>
      <c r="N3" s="657"/>
      <c r="O3" s="657"/>
      <c r="P3" s="657"/>
      <c r="Q3" s="657"/>
      <c r="R3" s="657"/>
      <c r="S3" s="657"/>
      <c r="T3" s="657"/>
      <c r="U3" s="657"/>
      <c r="V3" s="657"/>
      <c r="W3" s="657"/>
      <c r="X3" s="657"/>
      <c r="Y3" s="657"/>
      <c r="Z3" s="657"/>
      <c r="AA3" s="657"/>
      <c r="AB3" s="657"/>
      <c r="AC3" s="657"/>
      <c r="AD3" s="657"/>
      <c r="AE3" s="657"/>
      <c r="AF3" s="657"/>
      <c r="AG3" s="657"/>
      <c r="AH3" s="657"/>
      <c r="AI3" s="657"/>
      <c r="AJ3" s="657"/>
      <c r="AK3" s="657"/>
      <c r="AL3" s="657"/>
      <c r="AM3" s="657"/>
      <c r="AN3" s="657"/>
      <c r="AO3" s="657"/>
      <c r="AP3" s="657"/>
      <c r="AQ3" s="657"/>
      <c r="AR3" s="657"/>
      <c r="AS3" s="657"/>
      <c r="AT3" s="657"/>
      <c r="AU3" s="657"/>
      <c r="AV3" s="657"/>
      <c r="AW3" s="657"/>
      <c r="AX3" s="657"/>
      <c r="AY3" s="657"/>
      <c r="AZ3" s="657"/>
      <c r="BA3" s="657"/>
      <c r="BB3" s="657"/>
      <c r="BC3" s="657"/>
      <c r="BD3" s="657"/>
      <c r="BE3" s="657"/>
      <c r="BF3" s="657"/>
      <c r="BG3" s="657"/>
      <c r="BH3" s="657"/>
      <c r="BI3" s="657"/>
      <c r="BJ3" s="657"/>
      <c r="BK3" s="657"/>
      <c r="BL3" s="657"/>
      <c r="BM3" s="657"/>
      <c r="BN3" s="657"/>
      <c r="BO3" s="657"/>
      <c r="BP3" s="657"/>
      <c r="BQ3" s="657"/>
      <c r="BR3" s="657"/>
      <c r="BS3" s="657"/>
      <c r="BT3" s="657"/>
      <c r="BU3" s="657"/>
      <c r="BV3" s="657"/>
      <c r="BW3" s="657"/>
      <c r="BX3" s="657"/>
    </row>
    <row r="4" spans="1:76" ht="18.75">
      <c r="A4" s="4717" t="s">
        <v>1982</v>
      </c>
      <c r="B4" s="4718"/>
      <c r="C4" s="4718"/>
      <c r="D4" s="4718"/>
      <c r="E4" s="4718"/>
      <c r="F4" s="4718"/>
      <c r="G4" s="4718"/>
      <c r="H4" s="4718"/>
      <c r="I4" s="4718"/>
      <c r="J4" s="4718"/>
      <c r="K4" s="4718"/>
      <c r="L4" s="4718"/>
      <c r="M4" s="4718"/>
      <c r="N4" s="4718"/>
      <c r="O4" s="4718"/>
      <c r="P4" s="4718"/>
      <c r="Q4" s="4718"/>
      <c r="R4" s="4718"/>
      <c r="S4" s="4718"/>
      <c r="T4" s="4718"/>
      <c r="U4" s="4718"/>
      <c r="V4" s="4718"/>
      <c r="W4" s="4718"/>
      <c r="X4" s="4718"/>
      <c r="Y4" s="4718"/>
      <c r="Z4" s="4718"/>
      <c r="AA4" s="4718"/>
      <c r="AB4" s="4718"/>
      <c r="AC4" s="4718"/>
      <c r="AD4" s="4718"/>
      <c r="AE4" s="4718"/>
      <c r="AF4" s="4718"/>
      <c r="AG4" s="4718"/>
      <c r="AH4" s="4718"/>
      <c r="AI4" s="4718"/>
      <c r="AJ4" s="4718"/>
      <c r="AK4" s="4718"/>
      <c r="AL4" s="4718"/>
      <c r="AM4" s="4718"/>
      <c r="AN4" s="4718"/>
      <c r="AO4" s="4718"/>
      <c r="AP4" s="4718"/>
      <c r="AQ4" s="4718"/>
      <c r="AR4" s="4718"/>
      <c r="AS4" s="4718"/>
      <c r="AT4" s="4718"/>
      <c r="AU4" s="4718"/>
      <c r="AV4" s="4718"/>
      <c r="AW4" s="4718"/>
      <c r="AX4" s="4718"/>
      <c r="AY4" s="4718"/>
      <c r="AZ4" s="4718"/>
      <c r="BA4" s="4718"/>
      <c r="BB4" s="4718"/>
      <c r="BC4" s="4718"/>
      <c r="BD4" s="4718"/>
      <c r="BE4" s="4718"/>
      <c r="BF4" s="4718"/>
      <c r="BG4" s="4718"/>
      <c r="BH4" s="4718"/>
      <c r="BI4" s="4718"/>
      <c r="BJ4" s="4718"/>
      <c r="BK4" s="4718"/>
      <c r="BL4" s="4718"/>
      <c r="BM4" s="4718"/>
      <c r="BN4" s="4718"/>
      <c r="BO4" s="4718"/>
      <c r="BP4" s="4718"/>
      <c r="BQ4" s="4718"/>
      <c r="BR4" s="4718"/>
      <c r="BS4" s="4718"/>
      <c r="BT4" s="4719"/>
      <c r="BU4" s="657"/>
      <c r="BV4" s="657"/>
      <c r="BW4" s="657"/>
      <c r="BX4" s="657"/>
    </row>
    <row r="5" spans="1:76" ht="19.5" customHeight="1">
      <c r="A5" s="4895" t="s">
        <v>545</v>
      </c>
      <c r="B5" s="4896" t="s">
        <v>2010</v>
      </c>
      <c r="C5" s="4897"/>
      <c r="D5" s="4897"/>
      <c r="E5" s="4896" t="s">
        <v>2011</v>
      </c>
      <c r="F5" s="4897"/>
      <c r="G5" s="4897"/>
      <c r="H5" s="4896" t="s">
        <v>2012</v>
      </c>
      <c r="I5" s="4897"/>
      <c r="J5" s="4897"/>
      <c r="K5" s="4898" t="s">
        <v>1983</v>
      </c>
      <c r="L5" s="4899"/>
      <c r="M5" s="4899"/>
      <c r="N5" s="4900"/>
      <c r="O5" s="4901"/>
      <c r="P5" s="4896" t="s">
        <v>2013</v>
      </c>
      <c r="Q5" s="4897"/>
      <c r="R5" s="4897"/>
      <c r="S5" s="4896" t="s">
        <v>2014</v>
      </c>
      <c r="T5" s="4897"/>
      <c r="U5" s="4897"/>
      <c r="V5" s="4896" t="s">
        <v>2015</v>
      </c>
      <c r="W5" s="4897"/>
      <c r="X5" s="4897"/>
      <c r="Y5" s="4898" t="s">
        <v>1984</v>
      </c>
      <c r="Z5" s="4899"/>
      <c r="AA5" s="4899"/>
      <c r="AB5" s="4900"/>
      <c r="AC5" s="4901"/>
      <c r="AD5" s="4898" t="s">
        <v>1985</v>
      </c>
      <c r="AE5" s="4899"/>
      <c r="AF5" s="4899"/>
      <c r="AG5" s="4900"/>
      <c r="AH5" s="4901"/>
      <c r="AI5" s="4896" t="s">
        <v>1376</v>
      </c>
      <c r="AJ5" s="4897"/>
      <c r="AK5" s="4897"/>
      <c r="AL5" s="4896" t="s">
        <v>2016</v>
      </c>
      <c r="AM5" s="4897"/>
      <c r="AN5" s="4897"/>
      <c r="AO5" s="4896" t="s">
        <v>2017</v>
      </c>
      <c r="AP5" s="4897"/>
      <c r="AQ5" s="4897"/>
      <c r="AR5" s="4898" t="s">
        <v>1986</v>
      </c>
      <c r="AS5" s="4899"/>
      <c r="AT5" s="4899"/>
      <c r="AU5" s="4900"/>
      <c r="AV5" s="4901"/>
      <c r="AW5" s="4898" t="s">
        <v>1987</v>
      </c>
      <c r="AX5" s="4899"/>
      <c r="AY5" s="4899"/>
      <c r="AZ5" s="4900"/>
      <c r="BA5" s="4901"/>
      <c r="BB5" s="4896" t="s">
        <v>2018</v>
      </c>
      <c r="BC5" s="4897"/>
      <c r="BD5" s="4897"/>
      <c r="BE5" s="4896" t="s">
        <v>2019</v>
      </c>
      <c r="BF5" s="4897"/>
      <c r="BG5" s="4897"/>
      <c r="BH5" s="4896" t="s">
        <v>2020</v>
      </c>
      <c r="BI5" s="4897"/>
      <c r="BJ5" s="4897"/>
      <c r="BK5" s="4898" t="s">
        <v>1988</v>
      </c>
      <c r="BL5" s="4899"/>
      <c r="BM5" s="4899"/>
      <c r="BN5" s="4900"/>
      <c r="BO5" s="4901"/>
      <c r="BP5" s="4905" t="s">
        <v>887</v>
      </c>
      <c r="BQ5" s="4906"/>
      <c r="BR5" s="4906"/>
      <c r="BS5" s="4907"/>
      <c r="BT5" s="4907"/>
      <c r="BU5" s="657"/>
      <c r="BV5" s="657"/>
      <c r="BW5" s="657"/>
      <c r="BX5" s="657"/>
    </row>
    <row r="6" spans="1:76" ht="20.25" customHeight="1">
      <c r="A6" s="4895"/>
      <c r="B6" s="4902" t="s">
        <v>1989</v>
      </c>
      <c r="C6" s="4902" t="s">
        <v>1990</v>
      </c>
      <c r="D6" s="4902" t="s">
        <v>2021</v>
      </c>
      <c r="E6" s="4902" t="s">
        <v>1989</v>
      </c>
      <c r="F6" s="4902" t="s">
        <v>1990</v>
      </c>
      <c r="G6" s="4902" t="s">
        <v>2021</v>
      </c>
      <c r="H6" s="4902" t="s">
        <v>1989</v>
      </c>
      <c r="I6" s="4902" t="s">
        <v>1990</v>
      </c>
      <c r="J6" s="4902" t="s">
        <v>2021</v>
      </c>
      <c r="K6" s="4904" t="s">
        <v>1989</v>
      </c>
      <c r="L6" s="4904" t="s">
        <v>1990</v>
      </c>
      <c r="M6" s="4904" t="s">
        <v>2021</v>
      </c>
      <c r="N6" s="4908" t="s">
        <v>2022</v>
      </c>
      <c r="O6" s="4908"/>
      <c r="P6" s="4902" t="s">
        <v>1989</v>
      </c>
      <c r="Q6" s="4902" t="s">
        <v>1990</v>
      </c>
      <c r="R6" s="4902" t="s">
        <v>2021</v>
      </c>
      <c r="S6" s="4902" t="s">
        <v>1989</v>
      </c>
      <c r="T6" s="4902" t="s">
        <v>1990</v>
      </c>
      <c r="U6" s="4902" t="s">
        <v>2021</v>
      </c>
      <c r="V6" s="4902" t="s">
        <v>1989</v>
      </c>
      <c r="W6" s="4902" t="s">
        <v>1990</v>
      </c>
      <c r="X6" s="4902" t="s">
        <v>2021</v>
      </c>
      <c r="Y6" s="4904" t="s">
        <v>1989</v>
      </c>
      <c r="Z6" s="4904" t="s">
        <v>1990</v>
      </c>
      <c r="AA6" s="4904" t="s">
        <v>2021</v>
      </c>
      <c r="AB6" s="4908" t="s">
        <v>2022</v>
      </c>
      <c r="AC6" s="4908"/>
      <c r="AD6" s="4904" t="s">
        <v>1989</v>
      </c>
      <c r="AE6" s="4904" t="s">
        <v>1990</v>
      </c>
      <c r="AF6" s="4904" t="s">
        <v>2021</v>
      </c>
      <c r="AG6" s="4908" t="s">
        <v>2022</v>
      </c>
      <c r="AH6" s="4908"/>
      <c r="AI6" s="4902" t="s">
        <v>1989</v>
      </c>
      <c r="AJ6" s="4902" t="s">
        <v>1990</v>
      </c>
      <c r="AK6" s="4902" t="s">
        <v>2021</v>
      </c>
      <c r="AL6" s="4902" t="s">
        <v>1989</v>
      </c>
      <c r="AM6" s="4902" t="s">
        <v>1990</v>
      </c>
      <c r="AN6" s="4902" t="s">
        <v>2021</v>
      </c>
      <c r="AO6" s="4902" t="s">
        <v>1989</v>
      </c>
      <c r="AP6" s="4902" t="s">
        <v>1990</v>
      </c>
      <c r="AQ6" s="4902" t="s">
        <v>2021</v>
      </c>
      <c r="AR6" s="4904" t="s">
        <v>1989</v>
      </c>
      <c r="AS6" s="4904" t="s">
        <v>1990</v>
      </c>
      <c r="AT6" s="4904" t="s">
        <v>2021</v>
      </c>
      <c r="AU6" s="4908" t="s">
        <v>2022</v>
      </c>
      <c r="AV6" s="4908"/>
      <c r="AW6" s="4904" t="s">
        <v>1989</v>
      </c>
      <c r="AX6" s="4904" t="s">
        <v>1990</v>
      </c>
      <c r="AY6" s="4904" t="s">
        <v>2021</v>
      </c>
      <c r="AZ6" s="4908" t="s">
        <v>2022</v>
      </c>
      <c r="BA6" s="4908"/>
      <c r="BB6" s="4902" t="s">
        <v>1989</v>
      </c>
      <c r="BC6" s="4902" t="s">
        <v>1990</v>
      </c>
      <c r="BD6" s="4902" t="s">
        <v>2021</v>
      </c>
      <c r="BE6" s="4902" t="s">
        <v>1989</v>
      </c>
      <c r="BF6" s="4902" t="s">
        <v>1990</v>
      </c>
      <c r="BG6" s="4902" t="s">
        <v>2021</v>
      </c>
      <c r="BH6" s="4902" t="s">
        <v>1989</v>
      </c>
      <c r="BI6" s="4902" t="s">
        <v>1990</v>
      </c>
      <c r="BJ6" s="4902" t="s">
        <v>2021</v>
      </c>
      <c r="BK6" s="4904" t="s">
        <v>1989</v>
      </c>
      <c r="BL6" s="4904" t="s">
        <v>1990</v>
      </c>
      <c r="BM6" s="4904" t="s">
        <v>2021</v>
      </c>
      <c r="BN6" s="4908" t="s">
        <v>2022</v>
      </c>
      <c r="BO6" s="4908"/>
      <c r="BP6" s="4911" t="s">
        <v>1989</v>
      </c>
      <c r="BQ6" s="4911" t="s">
        <v>1990</v>
      </c>
      <c r="BR6" s="4911" t="s">
        <v>2021</v>
      </c>
      <c r="BS6" s="4908" t="s">
        <v>2022</v>
      </c>
      <c r="BT6" s="4908"/>
      <c r="BU6" s="657"/>
      <c r="BV6" s="657"/>
      <c r="BW6" s="657"/>
      <c r="BX6" s="657"/>
    </row>
    <row r="7" spans="1:76" ht="25.5" customHeight="1">
      <c r="A7" s="4895"/>
      <c r="B7" s="4903"/>
      <c r="C7" s="4903"/>
      <c r="D7" s="4903"/>
      <c r="E7" s="4903"/>
      <c r="F7" s="4903"/>
      <c r="G7" s="4903"/>
      <c r="H7" s="4903"/>
      <c r="I7" s="4903"/>
      <c r="J7" s="4903"/>
      <c r="K7" s="4903"/>
      <c r="L7" s="4903"/>
      <c r="M7" s="4903"/>
      <c r="N7" s="4720" t="s">
        <v>2023</v>
      </c>
      <c r="O7" s="4720" t="s">
        <v>44</v>
      </c>
      <c r="P7" s="4903"/>
      <c r="Q7" s="4903"/>
      <c r="R7" s="4903"/>
      <c r="S7" s="4903"/>
      <c r="T7" s="4903"/>
      <c r="U7" s="4903"/>
      <c r="V7" s="4903"/>
      <c r="W7" s="4903"/>
      <c r="X7" s="4903"/>
      <c r="Y7" s="4903"/>
      <c r="Z7" s="4903"/>
      <c r="AA7" s="4903"/>
      <c r="AB7" s="4720" t="s">
        <v>2023</v>
      </c>
      <c r="AC7" s="4720" t="s">
        <v>44</v>
      </c>
      <c r="AD7" s="4903"/>
      <c r="AE7" s="4903"/>
      <c r="AF7" s="4903"/>
      <c r="AG7" s="4720" t="s">
        <v>2023</v>
      </c>
      <c r="AH7" s="4720" t="s">
        <v>44</v>
      </c>
      <c r="AI7" s="4903"/>
      <c r="AJ7" s="4903"/>
      <c r="AK7" s="4903"/>
      <c r="AL7" s="4903"/>
      <c r="AM7" s="4903"/>
      <c r="AN7" s="4903"/>
      <c r="AO7" s="4903"/>
      <c r="AP7" s="4903"/>
      <c r="AQ7" s="4903"/>
      <c r="AR7" s="4903"/>
      <c r="AS7" s="4903"/>
      <c r="AT7" s="4903"/>
      <c r="AU7" s="4720" t="s">
        <v>2023</v>
      </c>
      <c r="AV7" s="4720" t="s">
        <v>44</v>
      </c>
      <c r="AW7" s="4903"/>
      <c r="AX7" s="4903"/>
      <c r="AY7" s="4903"/>
      <c r="AZ7" s="4720" t="s">
        <v>2023</v>
      </c>
      <c r="BA7" s="4720" t="s">
        <v>44</v>
      </c>
      <c r="BB7" s="4903"/>
      <c r="BC7" s="4903"/>
      <c r="BD7" s="4903"/>
      <c r="BE7" s="4903"/>
      <c r="BF7" s="4903"/>
      <c r="BG7" s="4903"/>
      <c r="BH7" s="4903"/>
      <c r="BI7" s="4903"/>
      <c r="BJ7" s="4903"/>
      <c r="BK7" s="4903"/>
      <c r="BL7" s="4903"/>
      <c r="BM7" s="4903"/>
      <c r="BN7" s="4720" t="s">
        <v>2023</v>
      </c>
      <c r="BO7" s="4720" t="s">
        <v>44</v>
      </c>
      <c r="BP7" s="4903"/>
      <c r="BQ7" s="4903"/>
      <c r="BR7" s="4903"/>
      <c r="BS7" s="4720" t="s">
        <v>2023</v>
      </c>
      <c r="BT7" s="4720" t="s">
        <v>44</v>
      </c>
      <c r="BU7" s="657"/>
      <c r="BV7" s="657"/>
      <c r="BW7" s="657"/>
      <c r="BX7" s="657"/>
    </row>
    <row r="8" spans="1:76" ht="18.75">
      <c r="A8" s="4721" t="s">
        <v>1707</v>
      </c>
      <c r="B8" s="4850">
        <f>SUM('Произв. прогр. Вода (СВОД)'!E12)</f>
        <v>455.3970255000001</v>
      </c>
      <c r="C8" s="4850">
        <f>SUM('ПОЛНАЯ СЕБЕСТОИМОСТЬ ВОДА 2018'!C8)</f>
        <v>653.08500000000004</v>
      </c>
      <c r="D8" s="4851">
        <v>508.25</v>
      </c>
      <c r="E8" s="4850">
        <f>SUM('Произв. прогр. Вода (СВОД)'!F12)</f>
        <v>452.73388500000004</v>
      </c>
      <c r="F8" s="4850">
        <f>SUM('ПОЛНАЯ СЕБЕСТОИМОСТЬ ВОДА 2018'!D8)</f>
        <v>497.262</v>
      </c>
      <c r="G8" s="4851">
        <v>454.69</v>
      </c>
      <c r="H8" s="4850">
        <f>SUM('Произв. прогр. Вода (СВОД)'!G12)</f>
        <v>452.73388500000004</v>
      </c>
      <c r="I8" s="4850">
        <f>SUM('ПОЛНАЯ СЕБЕСТОИМОСТЬ ВОДА 2018'!E8)</f>
        <v>514.80899999999997</v>
      </c>
      <c r="J8" s="4851">
        <v>498.41199999999998</v>
      </c>
      <c r="K8" s="4846">
        <f t="shared" ref="K8:M9" si="0">SUM(B8+E8+H8)</f>
        <v>1360.8647955000001</v>
      </c>
      <c r="L8" s="4846">
        <f t="shared" si="0"/>
        <v>1665.1559999999999</v>
      </c>
      <c r="M8" s="4846">
        <f t="shared" si="0"/>
        <v>1461.3520000000001</v>
      </c>
      <c r="N8" s="4724">
        <f>SUM(L8-K8)</f>
        <v>304.29120449999982</v>
      </c>
      <c r="O8" s="4724">
        <f>SUM(N8/K8*100)</f>
        <v>22.360134930832647</v>
      </c>
      <c r="P8" s="4850">
        <f>SUM('Произв. прогр. Вода (СВОД)'!I12)</f>
        <v>450.07074450000005</v>
      </c>
      <c r="Q8" s="4850">
        <f>SUM('ПОЛНАЯ СЕБЕСТОИМОСТЬ ВОДА 2018'!H8)</f>
        <v>597.01900000000001</v>
      </c>
      <c r="R8" s="4851">
        <v>538.62</v>
      </c>
      <c r="S8" s="4850">
        <f>SUM('Произв. прогр. Вода (СВОД)'!J12)</f>
        <v>426.10248000000007</v>
      </c>
      <c r="T8" s="4850">
        <f>SUM('ПОЛНАЯ СЕБЕСТОИМОСТЬ ВОДА 2018'!I8)</f>
        <v>658.07100000000003</v>
      </c>
      <c r="U8" s="4851">
        <v>593.98299999999995</v>
      </c>
      <c r="V8" s="4850">
        <f>SUM('Произв. прогр. Вода (СВОД)'!K12)</f>
        <v>426.10248000000007</v>
      </c>
      <c r="W8" s="4850">
        <f>SUM('ПОЛНАЯ СЕБЕСТОИМОСТЬ ВОДА 2018'!J8)</f>
        <v>642.82100000000003</v>
      </c>
      <c r="X8" s="4851">
        <v>608.50800000000004</v>
      </c>
      <c r="Y8" s="4846">
        <f t="shared" ref="Y8:AA9" si="1">SUM(P8+S8+V8)</f>
        <v>1302.2757045000001</v>
      </c>
      <c r="Z8" s="4846">
        <f t="shared" si="1"/>
        <v>1897.9110000000001</v>
      </c>
      <c r="AA8" s="4846">
        <f t="shared" si="1"/>
        <v>1741.1110000000001</v>
      </c>
      <c r="AB8" s="4724">
        <f>SUM(Z8-Y8)</f>
        <v>595.63529549999998</v>
      </c>
      <c r="AC8" s="4724">
        <f>SUM(AB8/Y8*100)</f>
        <v>45.738033309059553</v>
      </c>
      <c r="AD8" s="4846">
        <f t="shared" ref="AD8:AF9" si="2">SUM(K8+Y8)</f>
        <v>2663.1405000000004</v>
      </c>
      <c r="AE8" s="4846">
        <f t="shared" si="2"/>
        <v>3563.067</v>
      </c>
      <c r="AF8" s="4846">
        <f t="shared" si="2"/>
        <v>3202.4630000000002</v>
      </c>
      <c r="AG8" s="4724">
        <f>SUM(AE8-AD8)</f>
        <v>899.92649999999958</v>
      </c>
      <c r="AH8" s="4724">
        <f>SUM(AG8/AD8*100)</f>
        <v>33.791927237785593</v>
      </c>
      <c r="AI8" s="4850">
        <f>SUM('Произв. прогр. Вода (СВОД)'!N12)</f>
        <v>426.10248000000007</v>
      </c>
      <c r="AJ8" s="4850">
        <f>SUM('ПОЛНАЯ СЕБЕСТОИМОСТЬ ВОДА 2018'!P8)</f>
        <v>0</v>
      </c>
      <c r="AK8" s="4851">
        <v>612.81299999999999</v>
      </c>
      <c r="AL8" s="4850">
        <f>SUM('Произв. прогр. Вода (СВОД)'!O12)</f>
        <v>426.10248000000007</v>
      </c>
      <c r="AM8" s="4850">
        <f>SUM('ПОЛНАЯ СЕБЕСТОИМОСТЬ ВОДА 2018'!Q8)</f>
        <v>0</v>
      </c>
      <c r="AN8" s="4851">
        <v>615.16999999999996</v>
      </c>
      <c r="AO8" s="4850">
        <f>SUM('Произв. прогр. Вода (СВОД)'!P12)</f>
        <v>450.07074450000005</v>
      </c>
      <c r="AP8" s="4850">
        <f>SUM('ПОЛНАЯ СЕБЕСТОИМОСТЬ ВОДА 2018'!R8)</f>
        <v>0</v>
      </c>
      <c r="AQ8" s="4851">
        <v>603.98</v>
      </c>
      <c r="AR8" s="4846">
        <f t="shared" ref="AR8:AT9" si="3">SUM(AI8+AL8+AO8)</f>
        <v>1302.2757045000003</v>
      </c>
      <c r="AS8" s="4846">
        <f t="shared" si="3"/>
        <v>0</v>
      </c>
      <c r="AT8" s="4846">
        <f t="shared" si="3"/>
        <v>1831.963</v>
      </c>
      <c r="AU8" s="4724">
        <f>SUM(AS8-AR8)</f>
        <v>-1302.2757045000003</v>
      </c>
      <c r="AV8" s="4724">
        <f>SUM(AU8/AR8*100)</f>
        <v>-100</v>
      </c>
      <c r="AW8" s="4846">
        <f t="shared" ref="AW8:AY9" si="4">SUM(AD8+AR8)</f>
        <v>3965.4162045000007</v>
      </c>
      <c r="AX8" s="4846">
        <f t="shared" si="4"/>
        <v>3563.067</v>
      </c>
      <c r="AY8" s="4846">
        <f t="shared" si="4"/>
        <v>5034.4260000000004</v>
      </c>
      <c r="AZ8" s="4724">
        <f>SUM(AX8-AW8)</f>
        <v>-402.34920450000072</v>
      </c>
      <c r="BA8" s="4724">
        <f>SUM(AZ8/AW8*100)</f>
        <v>-10.146455851050645</v>
      </c>
      <c r="BB8" s="4850">
        <f>SUM('Произв. прогр. Вода (СВОД)'!S12)</f>
        <v>452.73388500000004</v>
      </c>
      <c r="BC8" s="4850">
        <f>SUM('ПОЛНАЯ СЕБЕСТОИМОСТЬ ВОДА 2018'!X8)</f>
        <v>0</v>
      </c>
      <c r="BD8" s="4851">
        <v>610.54499999999996</v>
      </c>
      <c r="BE8" s="4850">
        <f>SUM('Произв. прогр. Вода (СВОД)'!T12)</f>
        <v>452.73388500000004</v>
      </c>
      <c r="BF8" s="4850">
        <f>SUM('ПОЛНАЯ СЕБЕСТОИМОСТЬ ВОДА 2018'!Y8)</f>
        <v>0</v>
      </c>
      <c r="BG8" s="4851">
        <v>531.03</v>
      </c>
      <c r="BH8" s="4850">
        <f>SUM('Произв. прогр. Вода (СВОД)'!U12)</f>
        <v>455.3970255000001</v>
      </c>
      <c r="BI8" s="4850">
        <f>SUM('ПОЛНАЯ СЕБЕСТОИМОСТЬ ВОДА 2018'!Z8)</f>
        <v>0</v>
      </c>
      <c r="BJ8" s="4851">
        <v>591.77200000000005</v>
      </c>
      <c r="BK8" s="4846">
        <f t="shared" ref="BK8:BM9" si="5">SUM(BB8+BE8+BH8)</f>
        <v>1360.8647955000001</v>
      </c>
      <c r="BL8" s="4846">
        <f t="shared" si="5"/>
        <v>0</v>
      </c>
      <c r="BM8" s="4846">
        <f t="shared" si="5"/>
        <v>1733.3469999999998</v>
      </c>
      <c r="BN8" s="4724">
        <f>SUM(BL8-BK8)</f>
        <v>-1360.8647955000001</v>
      </c>
      <c r="BO8" s="4724">
        <f>SUM(BN8/BK8*100)</f>
        <v>-100</v>
      </c>
      <c r="BP8" s="4846">
        <f t="shared" ref="BP8:BR9" si="6">SUM(AW8+BK8)</f>
        <v>5326.2810000000009</v>
      </c>
      <c r="BQ8" s="4846">
        <f t="shared" si="6"/>
        <v>3563.067</v>
      </c>
      <c r="BR8" s="4846">
        <f t="shared" si="6"/>
        <v>6767.7730000000001</v>
      </c>
      <c r="BS8" s="4724">
        <f>SUM(BQ8-BP8)</f>
        <v>-1763.2140000000009</v>
      </c>
      <c r="BT8" s="4724">
        <f>SUM(BS8/BP8*100)</f>
        <v>-33.104036381107207</v>
      </c>
      <c r="BU8" s="657"/>
      <c r="BV8" s="657"/>
      <c r="BW8" s="657"/>
      <c r="BX8" s="657"/>
    </row>
    <row r="9" spans="1:76" ht="18.75">
      <c r="A9" s="4620" t="s">
        <v>20</v>
      </c>
      <c r="B9" s="4845">
        <f>SUM('Произв. прогр. Вода (СВОД)'!E13)</f>
        <v>68.034833333333339</v>
      </c>
      <c r="C9" s="4845">
        <f>SUM('ПОЛНАЯ СЕБЕСТОИМОСТЬ ВОДА 2018'!C9)</f>
        <v>153.15100000000001</v>
      </c>
      <c r="D9" s="4852">
        <v>37.540999999999997</v>
      </c>
      <c r="E9" s="4845">
        <f>SUM('Произв. прогр. Вода (СВОД)'!F13)</f>
        <v>68.034833333333339</v>
      </c>
      <c r="F9" s="4845">
        <f>SUM('ПОЛНАЯ СЕБЕСТОИМОСТЬ ВОДА 2018'!D9)</f>
        <v>75.460999999999999</v>
      </c>
      <c r="G9" s="4852">
        <v>38.46</v>
      </c>
      <c r="H9" s="4845">
        <f>SUM('Произв. прогр. Вода (СВОД)'!G13)</f>
        <v>68.034833333333339</v>
      </c>
      <c r="I9" s="4845">
        <f>SUM('ПОЛНАЯ СЕБЕСТОИМОСТЬ ВОДА 2018'!E9)</f>
        <v>37.656999999999996</v>
      </c>
      <c r="J9" s="4852">
        <v>38.691000000000003</v>
      </c>
      <c r="K9" s="4847">
        <f t="shared" si="0"/>
        <v>204.10450000000003</v>
      </c>
      <c r="L9" s="4847">
        <f t="shared" si="0"/>
        <v>266.26900000000001</v>
      </c>
      <c r="M9" s="4847">
        <f t="shared" si="0"/>
        <v>114.69200000000001</v>
      </c>
      <c r="N9" s="4727">
        <f t="shared" ref="N9:N20" si="7">SUM(L9-K9)</f>
        <v>62.164499999999975</v>
      </c>
      <c r="O9" s="4727">
        <f t="shared" ref="O9:O20" si="8">SUM(N9/K9*100)</f>
        <v>30.457192271605948</v>
      </c>
      <c r="P9" s="4845">
        <f>SUM('Произв. прогр. Вода (СВОД)'!I13)</f>
        <v>68.034833333333339</v>
      </c>
      <c r="Q9" s="4845">
        <f>SUM('ПОЛНАЯ СЕБЕСТОИМОСТЬ ВОДА 2018'!H9)</f>
        <v>91.515000000000001</v>
      </c>
      <c r="R9" s="4852">
        <v>87.93</v>
      </c>
      <c r="S9" s="4845">
        <f>SUM('Произв. прогр. Вода (СВОД)'!J13)</f>
        <v>68.034833333333339</v>
      </c>
      <c r="T9" s="4845">
        <f>SUM('ПОЛНАЯ СЕБЕСТОИМОСТЬ ВОДА 2018'!I9)</f>
        <v>162.489</v>
      </c>
      <c r="U9" s="4852">
        <v>120.30800000000001</v>
      </c>
      <c r="V9" s="4845">
        <f>SUM('Произв. прогр. Вода (СВОД)'!K13)</f>
        <v>68.034833333333339</v>
      </c>
      <c r="W9" s="4845">
        <f>SUM('ПОЛНАЯ СЕБЕСТОИМОСТЬ ВОДА 2018'!J9)</f>
        <v>152.56200000000001</v>
      </c>
      <c r="X9" s="4852">
        <v>150.96799999999999</v>
      </c>
      <c r="Y9" s="4847">
        <f t="shared" si="1"/>
        <v>204.10450000000003</v>
      </c>
      <c r="Z9" s="4847">
        <f t="shared" si="1"/>
        <v>406.56600000000003</v>
      </c>
      <c r="AA9" s="4847">
        <f t="shared" si="1"/>
        <v>359.20600000000002</v>
      </c>
      <c r="AB9" s="4727">
        <f t="shared" ref="AB9:AB20" si="9">SUM(Z9-Y9)</f>
        <v>202.4615</v>
      </c>
      <c r="AC9" s="4727">
        <f t="shared" ref="AC9:AC20" si="10">SUM(AB9/Y9*100)</f>
        <v>99.195020197986807</v>
      </c>
      <c r="AD9" s="4847">
        <f t="shared" si="2"/>
        <v>408.20900000000006</v>
      </c>
      <c r="AE9" s="4847">
        <f t="shared" si="2"/>
        <v>672.83500000000004</v>
      </c>
      <c r="AF9" s="4847">
        <f t="shared" si="2"/>
        <v>473.89800000000002</v>
      </c>
      <c r="AG9" s="4727">
        <f t="shared" ref="AG9:AG20" si="11">SUM(AE9-AD9)</f>
        <v>264.62599999999998</v>
      </c>
      <c r="AH9" s="4727">
        <f t="shared" ref="AH9:AH20" si="12">SUM(AG9/AD9*100)</f>
        <v>64.82610623479637</v>
      </c>
      <c r="AI9" s="4845">
        <f>SUM('Произв. прогр. Вода (СВОД)'!N13)</f>
        <v>68.034833333333339</v>
      </c>
      <c r="AJ9" s="4845">
        <f>SUM('ПОЛНАЯ СЕБЕСТОИМОСТЬ ВОДА 2018'!P9)</f>
        <v>0</v>
      </c>
      <c r="AK9" s="4852">
        <v>152.94800000000001</v>
      </c>
      <c r="AL9" s="4845">
        <f>SUM('Произв. прогр. Вода (СВОД)'!O13)</f>
        <v>68.034833333333339</v>
      </c>
      <c r="AM9" s="4845">
        <f>SUM('ПОЛНАЯ СЕБЕСТОИМОСТЬ ВОДА 2018'!Q9)</f>
        <v>0</v>
      </c>
      <c r="AN9" s="4852">
        <v>138.33000000000001</v>
      </c>
      <c r="AO9" s="4845">
        <f>SUM('Произв. прогр. Вода (СВОД)'!P13)</f>
        <v>68.034833333333339</v>
      </c>
      <c r="AP9" s="4845">
        <f>SUM('ПОЛНАЯ СЕБЕСТОИМОСТЬ ВОДА 2018'!R9)</f>
        <v>0</v>
      </c>
      <c r="AQ9" s="4852">
        <v>137.273</v>
      </c>
      <c r="AR9" s="4847">
        <f t="shared" si="3"/>
        <v>204.10450000000003</v>
      </c>
      <c r="AS9" s="4847">
        <f t="shared" si="3"/>
        <v>0</v>
      </c>
      <c r="AT9" s="4847">
        <f t="shared" si="3"/>
        <v>428.55100000000004</v>
      </c>
      <c r="AU9" s="4727">
        <f t="shared" ref="AU9:AU20" si="13">SUM(AS9-AR9)</f>
        <v>-204.10450000000003</v>
      </c>
      <c r="AV9" s="4727">
        <f t="shared" ref="AV9:AV20" si="14">SUM(AU9/AR9*100)</f>
        <v>-100</v>
      </c>
      <c r="AW9" s="4847">
        <f t="shared" si="4"/>
        <v>612.31350000000009</v>
      </c>
      <c r="AX9" s="4847">
        <f t="shared" si="4"/>
        <v>672.83500000000004</v>
      </c>
      <c r="AY9" s="4847">
        <f t="shared" si="4"/>
        <v>902.44900000000007</v>
      </c>
      <c r="AZ9" s="4727">
        <f t="shared" ref="AZ9:AZ20" si="15">SUM(AX9-AW9)</f>
        <v>60.521499999999946</v>
      </c>
      <c r="BA9" s="4727">
        <f t="shared" ref="BA9:BA20" si="16">SUM(AZ9/AW9*100)</f>
        <v>9.8840708231975842</v>
      </c>
      <c r="BB9" s="4845">
        <f>SUM('Произв. прогр. Вода (СВОД)'!S13)</f>
        <v>68.034833333333339</v>
      </c>
      <c r="BC9" s="4845">
        <f>SUM('ПОЛНАЯ СЕБЕСТОИМОСТЬ ВОДА 2018'!X9)</f>
        <v>0</v>
      </c>
      <c r="BD9" s="4852">
        <v>157.90199999999999</v>
      </c>
      <c r="BE9" s="4845">
        <f>SUM('Произв. прогр. Вода (СВОД)'!T13)</f>
        <v>68.034833333333339</v>
      </c>
      <c r="BF9" s="4845">
        <f>SUM('ПОЛНАЯ СЕБЕСТОИМОСТЬ ВОДА 2018'!Y9)</f>
        <v>0</v>
      </c>
      <c r="BG9" s="4852">
        <v>163.95500000000001</v>
      </c>
      <c r="BH9" s="4845">
        <f>SUM('Произв. прогр. Вода (СВОД)'!U13)</f>
        <v>68.034833333333339</v>
      </c>
      <c r="BI9" s="4845">
        <f>SUM('ПОЛНАЯ СЕБЕСТОИМОСТЬ ВОДА 2018'!Z9)</f>
        <v>0</v>
      </c>
      <c r="BJ9" s="4852">
        <v>178.762</v>
      </c>
      <c r="BK9" s="4847">
        <f t="shared" si="5"/>
        <v>204.10450000000003</v>
      </c>
      <c r="BL9" s="4847">
        <f t="shared" si="5"/>
        <v>0</v>
      </c>
      <c r="BM9" s="4847">
        <f t="shared" si="5"/>
        <v>500.61899999999997</v>
      </c>
      <c r="BN9" s="4727">
        <f t="shared" ref="BN9:BN20" si="17">SUM(BL9-BK9)</f>
        <v>-204.10450000000003</v>
      </c>
      <c r="BO9" s="4727">
        <f t="shared" ref="BO9:BO20" si="18">SUM(BN9/BK9*100)</f>
        <v>-100</v>
      </c>
      <c r="BP9" s="4847">
        <f t="shared" si="6"/>
        <v>816.41800000000012</v>
      </c>
      <c r="BQ9" s="4847">
        <f t="shared" si="6"/>
        <v>672.83500000000004</v>
      </c>
      <c r="BR9" s="4847">
        <f t="shared" si="6"/>
        <v>1403.068</v>
      </c>
      <c r="BS9" s="4727">
        <f t="shared" ref="BS9:BS20" si="19">SUM(BQ9-BP9)</f>
        <v>-143.58300000000008</v>
      </c>
      <c r="BT9" s="4727">
        <f t="shared" ref="BT9:BT20" si="20">SUM(BS9/BP9*100)</f>
        <v>-17.586946882601811</v>
      </c>
      <c r="BU9" s="657"/>
      <c r="BV9" s="657"/>
      <c r="BW9" s="657"/>
      <c r="BX9" s="657"/>
    </row>
    <row r="10" spans="1:76" ht="18.75">
      <c r="A10" s="4728" t="s">
        <v>388</v>
      </c>
      <c r="B10" s="4729">
        <f>SUM('Произв. прогр. Вода (СВОД)'!E14)</f>
        <v>0.14939674508992445</v>
      </c>
      <c r="C10" s="4729">
        <f>SUM('ПОЛНАЯ СЕБЕСТОИМОСТЬ ВОДА 2018'!C10)</f>
        <v>0.23450393134124961</v>
      </c>
      <c r="D10" s="4729">
        <f t="shared" ref="D10:G10" si="21">SUM(D9/D8)</f>
        <v>7.386325627151992E-2</v>
      </c>
      <c r="E10" s="4729">
        <f>SUM('Произв. прогр. Вода (СВОД)'!F14)</f>
        <v>0.15027554947280639</v>
      </c>
      <c r="F10" s="4729">
        <f>SUM('ПОЛНАЯ СЕБЕСТОИМОСТЬ ВОДА 2018'!D10)</f>
        <v>0.15175299942485049</v>
      </c>
      <c r="G10" s="4729">
        <f t="shared" si="21"/>
        <v>8.4585101937583854E-2</v>
      </c>
      <c r="H10" s="4729">
        <f>SUM('Произв. прогр. Вода (СВОД)'!G14)</f>
        <v>0.15027554947280639</v>
      </c>
      <c r="I10" s="4729">
        <f>SUM('ПОЛНАЯ СЕБЕСТОИМОСТЬ ВОДА 2018'!E10)</f>
        <v>7.3147516846053584E-2</v>
      </c>
      <c r="J10" s="4729">
        <f>SUM(J9/J8)</f>
        <v>7.7628548269303321E-2</v>
      </c>
      <c r="K10" s="4730">
        <f t="shared" ref="K10:M10" si="22">SUM(K9/K8)</f>
        <v>0.14998146816268348</v>
      </c>
      <c r="L10" s="4730">
        <f t="shared" si="22"/>
        <v>0.15990633910576546</v>
      </c>
      <c r="M10" s="4730">
        <f t="shared" si="22"/>
        <v>7.8483486524807161E-2</v>
      </c>
      <c r="N10" s="4731">
        <f t="shared" si="7"/>
        <v>9.9248709430819759E-3</v>
      </c>
      <c r="O10" s="4731">
        <f>SUM(N10/K10*100)</f>
        <v>6.6173981790314</v>
      </c>
      <c r="P10" s="4729">
        <f>SUM('Произв. прогр. Вода (СВОД)'!I14)</f>
        <v>0.15116475390755671</v>
      </c>
      <c r="Q10" s="4729">
        <f>SUM('ПОЛНАЯ СЕБЕСТОИМОСТЬ ВОДА 2018'!H10)</f>
        <v>0.15328657881909957</v>
      </c>
      <c r="R10" s="4729">
        <f t="shared" ref="R10:AA10" si="23">SUM(R9/R8)</f>
        <v>0.16325052912999891</v>
      </c>
      <c r="S10" s="4729">
        <f>SUM('Произв. прогр. Вода (СВОД)'!J14)</f>
        <v>0.15966777131485677</v>
      </c>
      <c r="T10" s="4729">
        <f>SUM('ПОЛНАЯ СЕБЕСТОИМОСТЬ ВОДА 2018'!I10)</f>
        <v>0.24691712596361182</v>
      </c>
      <c r="U10" s="4729">
        <f t="shared" si="23"/>
        <v>0.20254451726732922</v>
      </c>
      <c r="V10" s="4729">
        <f>SUM('Произв. прогр. Вода (СВОД)'!K14)</f>
        <v>0.15966777131485677</v>
      </c>
      <c r="W10" s="4729">
        <f>SUM('ПОЛНАЯ СЕБЕСТОИМОСТЬ ВОДА 2018'!J10)</f>
        <v>0.23733200999967333</v>
      </c>
      <c r="X10" s="4729">
        <f t="shared" si="23"/>
        <v>0.24809534139238923</v>
      </c>
      <c r="Y10" s="4730">
        <f t="shared" si="23"/>
        <v>0.15672910067716003</v>
      </c>
      <c r="Z10" s="4730">
        <f t="shared" si="23"/>
        <v>0.21421763191213919</v>
      </c>
      <c r="AA10" s="4730">
        <f t="shared" si="23"/>
        <v>0.20630850072166565</v>
      </c>
      <c r="AB10" s="4731">
        <f t="shared" si="9"/>
        <v>5.7488531234979157E-2</v>
      </c>
      <c r="AC10" s="4731">
        <f t="shared" si="10"/>
        <v>36.680189566963364</v>
      </c>
      <c r="AD10" s="4730">
        <f t="shared" ref="AD10:AF10" si="24">SUM(AD9/AD8)</f>
        <v>0.1532810604622625</v>
      </c>
      <c r="AE10" s="4730">
        <f t="shared" si="24"/>
        <v>0.18883591018636472</v>
      </c>
      <c r="AF10" s="4730">
        <f t="shared" si="24"/>
        <v>0.14797922723853485</v>
      </c>
      <c r="AG10" s="4731">
        <f t="shared" si="11"/>
        <v>3.5554849724102222E-2</v>
      </c>
      <c r="AH10" s="4731">
        <f>SUM(AG10/AD10)</f>
        <v>0.23195853171211428</v>
      </c>
      <c r="AI10" s="4729">
        <f>SUM('Произв. прогр. Вода (СВОД)'!N14)</f>
        <v>0.15966777131485677</v>
      </c>
      <c r="AJ10" s="4729" t="e">
        <f>SUM('ПОЛНАЯ СЕБЕСТОИМОСТЬ ВОДА 2018'!P10)</f>
        <v>#DIV/0!</v>
      </c>
      <c r="AK10" s="4729">
        <f t="shared" ref="AK10:AT10" si="25">SUM(AK9/AK8)</f>
        <v>0.24958347815728454</v>
      </c>
      <c r="AL10" s="4729">
        <f>SUM('Произв. прогр. Вода (СВОД)'!O14)</f>
        <v>0.15966777131485677</v>
      </c>
      <c r="AM10" s="4729" t="e">
        <f>SUM('ПОЛНАЯ СЕБЕСТОИМОСТЬ ВОДА 2018'!Q10)</f>
        <v>#DIV/0!</v>
      </c>
      <c r="AN10" s="4729">
        <f t="shared" si="25"/>
        <v>0.22486467155420456</v>
      </c>
      <c r="AO10" s="4729">
        <f>SUM('Произв. прогр. Вода (СВОД)'!P14)</f>
        <v>0.15116475390755671</v>
      </c>
      <c r="AP10" s="4729" t="e">
        <f>SUM('ПОЛНАЯ СЕБЕСТОИМОСТЬ ВОДА 2018'!R10)</f>
        <v>#DIV/0!</v>
      </c>
      <c r="AQ10" s="4729">
        <f t="shared" si="25"/>
        <v>0.22728070465909467</v>
      </c>
      <c r="AR10" s="4730">
        <f t="shared" si="25"/>
        <v>0.15672910067716</v>
      </c>
      <c r="AS10" s="4730" t="e">
        <f t="shared" si="25"/>
        <v>#DIV/0!</v>
      </c>
      <c r="AT10" s="4730">
        <f t="shared" si="25"/>
        <v>0.23392994290823563</v>
      </c>
      <c r="AU10" s="4731" t="e">
        <f t="shared" si="13"/>
        <v>#DIV/0!</v>
      </c>
      <c r="AV10" s="4731" t="e">
        <f>SUM(AU10/AR10)</f>
        <v>#DIV/0!</v>
      </c>
      <c r="AW10" s="4730">
        <f t="shared" ref="AW10:AY10" si="26">SUM(AW9/AW8)</f>
        <v>0.154413425583206</v>
      </c>
      <c r="AX10" s="4730">
        <f t="shared" si="26"/>
        <v>0.18883591018636472</v>
      </c>
      <c r="AY10" s="4730">
        <f t="shared" si="26"/>
        <v>0.17925558941575465</v>
      </c>
      <c r="AZ10" s="4731">
        <f t="shared" si="15"/>
        <v>3.4422484603158721E-2</v>
      </c>
      <c r="BA10" s="4731">
        <f t="shared" si="16"/>
        <v>22.292416914622549</v>
      </c>
      <c r="BB10" s="4729">
        <f>SUM('Произв. прогр. Вода (СВОД)'!S14)</f>
        <v>0.15027554947280639</v>
      </c>
      <c r="BC10" s="4729" t="e">
        <f>SUM('ПОЛНАЯ СЕБЕСТОИМОСТЬ ВОДА 2018'!X10)</f>
        <v>#DIV/0!</v>
      </c>
      <c r="BD10" s="4729">
        <f t="shared" ref="BD10:BM10" si="27">SUM(BD9/BD8)</f>
        <v>0.2586246714001425</v>
      </c>
      <c r="BE10" s="4729">
        <f>SUM('Произв. прогр. Вода (СВОД)'!T14)</f>
        <v>0.15027554947280639</v>
      </c>
      <c r="BF10" s="4729" t="e">
        <f>SUM('ПОЛНАЯ СЕБЕСТОИМОСТЬ ВОДА 2018'!Y10)</f>
        <v>#DIV/0!</v>
      </c>
      <c r="BG10" s="4729">
        <f t="shared" si="27"/>
        <v>0.30874903489445044</v>
      </c>
      <c r="BH10" s="4729">
        <f>SUM('Произв. прогр. Вода (СВОД)'!U14)</f>
        <v>0.14939674508992445</v>
      </c>
      <c r="BI10" s="4729" t="e">
        <f>SUM('ПОЛНАЯ СЕБЕСТОИМОСТЬ ВОДА 2018'!Z10)</f>
        <v>#DIV/0!</v>
      </c>
      <c r="BJ10" s="4729">
        <f t="shared" si="27"/>
        <v>0.30207917914331867</v>
      </c>
      <c r="BK10" s="4730">
        <f t="shared" si="27"/>
        <v>0.14998146816268348</v>
      </c>
      <c r="BL10" s="4730" t="e">
        <f t="shared" si="27"/>
        <v>#DIV/0!</v>
      </c>
      <c r="BM10" s="4730">
        <f t="shared" si="27"/>
        <v>0.28881637664010729</v>
      </c>
      <c r="BN10" s="4731" t="e">
        <f t="shared" si="17"/>
        <v>#DIV/0!</v>
      </c>
      <c r="BO10" s="4731" t="e">
        <f t="shared" si="18"/>
        <v>#DIV/0!</v>
      </c>
      <c r="BP10" s="4730">
        <f t="shared" ref="BP10:BR10" si="28">SUM(BP9/BP8)</f>
        <v>0.1532810604622625</v>
      </c>
      <c r="BQ10" s="4730">
        <f t="shared" si="28"/>
        <v>0.18883591018636472</v>
      </c>
      <c r="BR10" s="4730">
        <f t="shared" si="28"/>
        <v>0.20731605507454223</v>
      </c>
      <c r="BS10" s="4731">
        <f t="shared" si="19"/>
        <v>3.5554849724102222E-2</v>
      </c>
      <c r="BT10" s="4731">
        <f t="shared" si="20"/>
        <v>23.195853171211429</v>
      </c>
      <c r="BU10" s="657"/>
      <c r="BV10" s="657"/>
      <c r="BW10" s="657"/>
      <c r="BX10" s="657"/>
    </row>
    <row r="11" spans="1:76" ht="18.75">
      <c r="A11" s="4721" t="s">
        <v>1708</v>
      </c>
      <c r="B11" s="4850">
        <f>SUM('Произв. прогр. Вода (СВОД)'!E15)</f>
        <v>387.36219216666677</v>
      </c>
      <c r="C11" s="4850">
        <f>SUM('ПОЛНАЯ СЕБЕСТОИМОСТЬ ВОДА 2018'!C11)</f>
        <v>499.93400000000003</v>
      </c>
      <c r="D11" s="4850">
        <f t="shared" ref="D11:BR11" si="29">SUM(D8-D9)</f>
        <v>470.709</v>
      </c>
      <c r="E11" s="4850">
        <f>SUM('Произв. прогр. Вода (СВОД)'!F15)</f>
        <v>384.69905166666672</v>
      </c>
      <c r="F11" s="4850">
        <f>SUM('ПОЛНАЯ СЕБЕСТОИМОСТЬ ВОДА 2018'!D11)</f>
        <v>421.80099999999999</v>
      </c>
      <c r="G11" s="4850">
        <f t="shared" si="29"/>
        <v>416.23</v>
      </c>
      <c r="H11" s="4850">
        <f>SUM('Произв. прогр. Вода (СВОД)'!G15)</f>
        <v>384.69905166666672</v>
      </c>
      <c r="I11" s="4850">
        <f>SUM('ПОЛНАЯ СЕБЕСТОИМОСТЬ ВОДА 2018'!E11)</f>
        <v>477.15199999999999</v>
      </c>
      <c r="J11" s="4850">
        <f t="shared" si="29"/>
        <v>459.721</v>
      </c>
      <c r="K11" s="4846">
        <f t="shared" si="29"/>
        <v>1156.7602955000002</v>
      </c>
      <c r="L11" s="4846">
        <f t="shared" si="29"/>
        <v>1398.8869999999999</v>
      </c>
      <c r="M11" s="4846">
        <f t="shared" si="29"/>
        <v>1346.66</v>
      </c>
      <c r="N11" s="4724">
        <f t="shared" si="7"/>
        <v>242.12670449999973</v>
      </c>
      <c r="O11" s="4724">
        <f t="shared" si="8"/>
        <v>20.931450140700278</v>
      </c>
      <c r="P11" s="4850">
        <f>SUM('Произв. прогр. Вода (СВОД)'!I15)</f>
        <v>382.03591116666672</v>
      </c>
      <c r="Q11" s="4850">
        <f>SUM('ПОЛНАЯ СЕБЕСТОИМОСТЬ ВОДА 2018'!H11)</f>
        <v>505.50400000000002</v>
      </c>
      <c r="R11" s="4850">
        <f t="shared" si="29"/>
        <v>450.69</v>
      </c>
      <c r="S11" s="4850">
        <f>SUM('Произв. прогр. Вода (СВОД)'!J15)</f>
        <v>358.06764666666675</v>
      </c>
      <c r="T11" s="4850">
        <f>SUM('ПОЛНАЯ СЕБЕСТОИМОСТЬ ВОДА 2018'!I11)</f>
        <v>495.58199999999999</v>
      </c>
      <c r="U11" s="4850">
        <f t="shared" si="29"/>
        <v>473.67499999999995</v>
      </c>
      <c r="V11" s="4850">
        <f>SUM('Произв. прогр. Вода (СВОД)'!K15)</f>
        <v>358.06764666666675</v>
      </c>
      <c r="W11" s="4850">
        <f>SUM('ПОЛНАЯ СЕБЕСТОИМОСТЬ ВОДА 2018'!J11)</f>
        <v>490.25900000000001</v>
      </c>
      <c r="X11" s="4850">
        <f t="shared" si="29"/>
        <v>457.54000000000008</v>
      </c>
      <c r="Y11" s="4846">
        <f t="shared" si="29"/>
        <v>1098.1712044999999</v>
      </c>
      <c r="Z11" s="4846">
        <f t="shared" si="29"/>
        <v>1491.345</v>
      </c>
      <c r="AA11" s="4846">
        <f t="shared" si="29"/>
        <v>1381.9050000000002</v>
      </c>
      <c r="AB11" s="4724">
        <f t="shared" si="9"/>
        <v>393.1737955000001</v>
      </c>
      <c r="AC11" s="4724">
        <f t="shared" si="10"/>
        <v>35.802595614316175</v>
      </c>
      <c r="AD11" s="4846">
        <f t="shared" si="29"/>
        <v>2254.9315000000006</v>
      </c>
      <c r="AE11" s="4846">
        <f t="shared" si="29"/>
        <v>2890.232</v>
      </c>
      <c r="AF11" s="4846">
        <f t="shared" si="29"/>
        <v>2728.5650000000001</v>
      </c>
      <c r="AG11" s="4724">
        <f t="shared" si="11"/>
        <v>635.30049999999937</v>
      </c>
      <c r="AH11" s="4724">
        <f t="shared" si="12"/>
        <v>28.173827009822656</v>
      </c>
      <c r="AI11" s="4850">
        <f>SUM('Произв. прогр. Вода (СВОД)'!N15)</f>
        <v>358.06764666666675</v>
      </c>
      <c r="AJ11" s="4850">
        <f>SUM('ПОЛНАЯ СЕБЕСТОИМОСТЬ ВОДА 2018'!P11)</f>
        <v>0</v>
      </c>
      <c r="AK11" s="4850">
        <f t="shared" si="29"/>
        <v>459.86500000000001</v>
      </c>
      <c r="AL11" s="4850">
        <f>SUM('Произв. прогр. Вода (СВОД)'!O15)</f>
        <v>358.06764666666675</v>
      </c>
      <c r="AM11" s="4850">
        <f>SUM('ПОЛНАЯ СЕБЕСТОИМОСТЬ ВОДА 2018'!Q11)</f>
        <v>0</v>
      </c>
      <c r="AN11" s="4850">
        <f t="shared" si="29"/>
        <v>476.83999999999992</v>
      </c>
      <c r="AO11" s="4850">
        <f>SUM('Произв. прогр. Вода (СВОД)'!P15)</f>
        <v>382.03591116666672</v>
      </c>
      <c r="AP11" s="4850">
        <f>SUM('ПОЛНАЯ СЕБЕСТОИМОСТЬ ВОДА 2018'!R11)</f>
        <v>0</v>
      </c>
      <c r="AQ11" s="4850">
        <f t="shared" si="29"/>
        <v>466.70699999999999</v>
      </c>
      <c r="AR11" s="4846">
        <f t="shared" si="29"/>
        <v>1098.1712045000004</v>
      </c>
      <c r="AS11" s="4846">
        <f t="shared" si="29"/>
        <v>0</v>
      </c>
      <c r="AT11" s="4846">
        <f t="shared" si="29"/>
        <v>1403.4119999999998</v>
      </c>
      <c r="AU11" s="4724">
        <f t="shared" si="13"/>
        <v>-1098.1712045000004</v>
      </c>
      <c r="AV11" s="4724">
        <f t="shared" si="14"/>
        <v>-100</v>
      </c>
      <c r="AW11" s="4846">
        <f t="shared" si="29"/>
        <v>3353.1027045000005</v>
      </c>
      <c r="AX11" s="4846">
        <f t="shared" si="29"/>
        <v>2890.232</v>
      </c>
      <c r="AY11" s="4846">
        <f t="shared" si="29"/>
        <v>4131.9770000000008</v>
      </c>
      <c r="AZ11" s="4724">
        <f t="shared" si="15"/>
        <v>-462.87070450000056</v>
      </c>
      <c r="BA11" s="4724">
        <f t="shared" si="16"/>
        <v>-13.804250728103531</v>
      </c>
      <c r="BB11" s="4850">
        <f>SUM('Произв. прогр. Вода (СВОД)'!S15)</f>
        <v>384.69905166666672</v>
      </c>
      <c r="BC11" s="4850">
        <f>SUM('ПОЛНАЯ СЕБЕСТОИМОСТЬ ВОДА 2018'!X11)</f>
        <v>0</v>
      </c>
      <c r="BD11" s="4850">
        <f t="shared" si="29"/>
        <v>452.64299999999997</v>
      </c>
      <c r="BE11" s="4850">
        <f>SUM('Произв. прогр. Вода (СВОД)'!T15)</f>
        <v>384.69905166666672</v>
      </c>
      <c r="BF11" s="4850">
        <f>SUM('ПОЛНАЯ СЕБЕСТОИМОСТЬ ВОДА 2018'!Y11)</f>
        <v>0</v>
      </c>
      <c r="BG11" s="4850">
        <f t="shared" si="29"/>
        <v>367.07499999999993</v>
      </c>
      <c r="BH11" s="4850">
        <f>SUM('Произв. прогр. Вода (СВОД)'!U15)</f>
        <v>387.36219216666677</v>
      </c>
      <c r="BI11" s="4850">
        <f>SUM('ПОЛНАЯ СЕБЕСТОИМОСТЬ ВОДА 2018'!Z11)</f>
        <v>0</v>
      </c>
      <c r="BJ11" s="4850">
        <f t="shared" si="29"/>
        <v>413.01000000000005</v>
      </c>
      <c r="BK11" s="4846">
        <f t="shared" si="29"/>
        <v>1156.7602955000002</v>
      </c>
      <c r="BL11" s="4846">
        <f t="shared" si="29"/>
        <v>0</v>
      </c>
      <c r="BM11" s="4846">
        <f t="shared" si="29"/>
        <v>1232.7279999999998</v>
      </c>
      <c r="BN11" s="4724">
        <f t="shared" si="17"/>
        <v>-1156.7602955000002</v>
      </c>
      <c r="BO11" s="4724">
        <f t="shared" si="18"/>
        <v>-100</v>
      </c>
      <c r="BP11" s="4846">
        <f t="shared" si="29"/>
        <v>4509.8630000000012</v>
      </c>
      <c r="BQ11" s="4846">
        <f t="shared" si="29"/>
        <v>2890.232</v>
      </c>
      <c r="BR11" s="4846">
        <f t="shared" si="29"/>
        <v>5364.7049999999999</v>
      </c>
      <c r="BS11" s="4724">
        <f t="shared" si="19"/>
        <v>-1619.6310000000012</v>
      </c>
      <c r="BT11" s="4724">
        <f t="shared" si="20"/>
        <v>-35.91308649508867</v>
      </c>
      <c r="BU11" s="657"/>
      <c r="BV11" s="657"/>
      <c r="BW11" s="657"/>
      <c r="BX11" s="657"/>
    </row>
    <row r="12" spans="1:76" ht="18.75">
      <c r="A12" s="4620" t="s">
        <v>51</v>
      </c>
      <c r="B12" s="4845">
        <f>SUM('Произв. прогр. Вода (СВОД)'!E16)</f>
        <v>77.7307821666667</v>
      </c>
      <c r="C12" s="4845">
        <f>SUM('ПОЛНАЯ СЕБЕСТОИМОСТЬ ВОДА 2018'!C12)</f>
        <v>180.60400000000004</v>
      </c>
      <c r="D12" s="4845">
        <f t="shared" ref="D12:BR12" si="30">SUM(D11-D14)</f>
        <v>172.99900000000002</v>
      </c>
      <c r="E12" s="4845">
        <f>SUM('Произв. прогр. Вода (СВОД)'!F16)</f>
        <v>76.878351666666674</v>
      </c>
      <c r="F12" s="4845">
        <f>SUM('ПОЛНАЯ СЕБЕСТОИМОСТЬ ВОДА 2018'!D12)</f>
        <v>106.23099999999999</v>
      </c>
      <c r="G12" s="4845">
        <f t="shared" si="30"/>
        <v>102.49000000000007</v>
      </c>
      <c r="H12" s="4845">
        <f>SUM('Произв. прогр. Вода (СВОД)'!G16)</f>
        <v>76.878351666666674</v>
      </c>
      <c r="I12" s="4845">
        <f>SUM('ПОЛНАЯ СЕБЕСТОИМОСТЬ ВОДА 2018'!E12)</f>
        <v>179.77199999999993</v>
      </c>
      <c r="J12" s="4845">
        <f t="shared" si="30"/>
        <v>158.81100000000004</v>
      </c>
      <c r="K12" s="4847">
        <f t="shared" si="30"/>
        <v>231.48748550000016</v>
      </c>
      <c r="L12" s="4847">
        <f t="shared" si="30"/>
        <v>466.60699999999997</v>
      </c>
      <c r="M12" s="4847">
        <f t="shared" si="30"/>
        <v>434.30000000000018</v>
      </c>
      <c r="N12" s="4727">
        <f t="shared" si="7"/>
        <v>235.11951449999981</v>
      </c>
      <c r="O12" s="4727">
        <f t="shared" si="8"/>
        <v>101.5689958323901</v>
      </c>
      <c r="P12" s="4845">
        <f>SUM('Произв. прогр. Вода (СВОД)'!I16)</f>
        <v>76.025921166666706</v>
      </c>
      <c r="Q12" s="4845">
        <f>SUM('ПОЛНАЯ СЕБЕСТОИМОСТЬ ВОДА 2018'!H12)</f>
        <v>184.98400000000004</v>
      </c>
      <c r="R12" s="4845">
        <f t="shared" si="30"/>
        <v>118.62</v>
      </c>
      <c r="S12" s="4845">
        <f>SUM('Произв. прогр. Вода (СВОД)'!J16)</f>
        <v>68.354046666666704</v>
      </c>
      <c r="T12" s="4845">
        <f>SUM('ПОЛНАЯ СЕБЕСТОИМОСТЬ ВОДА 2018'!I12)</f>
        <v>190.49200000000002</v>
      </c>
      <c r="U12" s="4845">
        <f t="shared" si="30"/>
        <v>165.1049999999999</v>
      </c>
      <c r="V12" s="4845">
        <f>SUM('Произв. прогр. Вода (СВОД)'!K16)</f>
        <v>68.354046666666704</v>
      </c>
      <c r="W12" s="4845">
        <f>SUM('ПОЛНАЯ СЕБЕСТОИМОСТЬ ВОДА 2018'!J12)</f>
        <v>165.279</v>
      </c>
      <c r="X12" s="4845">
        <f t="shared" si="30"/>
        <v>158.38000000000005</v>
      </c>
      <c r="Y12" s="4847">
        <f t="shared" si="30"/>
        <v>212.73401449999994</v>
      </c>
      <c r="Z12" s="4847">
        <f t="shared" si="30"/>
        <v>540.75499999999988</v>
      </c>
      <c r="AA12" s="4847">
        <f t="shared" si="30"/>
        <v>442.10500000000025</v>
      </c>
      <c r="AB12" s="4727">
        <f t="shared" si="9"/>
        <v>328.02098549999994</v>
      </c>
      <c r="AC12" s="4727">
        <f t="shared" si="10"/>
        <v>154.19301246721881</v>
      </c>
      <c r="AD12" s="4847">
        <f t="shared" si="30"/>
        <v>444.22150000000056</v>
      </c>
      <c r="AE12" s="4847">
        <f t="shared" si="30"/>
        <v>1007.3620000000001</v>
      </c>
      <c r="AF12" s="4847">
        <f t="shared" si="30"/>
        <v>876.40500000000043</v>
      </c>
      <c r="AG12" s="4727">
        <f t="shared" si="11"/>
        <v>563.14049999999952</v>
      </c>
      <c r="AH12" s="4727">
        <f t="shared" si="12"/>
        <v>126.77020360338227</v>
      </c>
      <c r="AI12" s="4845">
        <f>SUM('Произв. прогр. Вода (СВОД)'!N16)</f>
        <v>68.354046666666704</v>
      </c>
      <c r="AJ12" s="4845">
        <f>SUM('ПОЛНАЯ СЕБЕСТОИМОСТЬ ВОДА 2018'!P12)</f>
        <v>0</v>
      </c>
      <c r="AK12" s="4845">
        <f t="shared" si="30"/>
        <v>194.23500000000001</v>
      </c>
      <c r="AL12" s="4845">
        <f>SUM('Произв. прогр. Вода (СВОД)'!O16)</f>
        <v>68.354046666666704</v>
      </c>
      <c r="AM12" s="4845">
        <f>SUM('ПОЛНАЯ СЕБЕСТОИМОСТЬ ВОДА 2018'!Q12)</f>
        <v>0</v>
      </c>
      <c r="AN12" s="4845">
        <v>197.90334999999999</v>
      </c>
      <c r="AO12" s="4845">
        <f>SUM('Произв. прогр. Вода (СВОД)'!P16)</f>
        <v>76.025921166666706</v>
      </c>
      <c r="AP12" s="4845">
        <f>SUM('ПОЛНАЯ СЕБЕСТОИМОСТЬ ВОДА 2018'!R12)</f>
        <v>0</v>
      </c>
      <c r="AQ12" s="4845">
        <f t="shared" si="30"/>
        <v>155.05699999999996</v>
      </c>
      <c r="AR12" s="4847">
        <f t="shared" si="30"/>
        <v>212.7340145000004</v>
      </c>
      <c r="AS12" s="4847">
        <f t="shared" si="30"/>
        <v>0</v>
      </c>
      <c r="AT12" s="4847">
        <f t="shared" si="30"/>
        <v>547.19534999999996</v>
      </c>
      <c r="AU12" s="4727">
        <f t="shared" si="13"/>
        <v>-212.7340145000004</v>
      </c>
      <c r="AV12" s="4727">
        <f t="shared" si="14"/>
        <v>-100</v>
      </c>
      <c r="AW12" s="4847">
        <f t="shared" si="30"/>
        <v>656.95551450000085</v>
      </c>
      <c r="AX12" s="4847">
        <f t="shared" si="30"/>
        <v>1007.3620000000001</v>
      </c>
      <c r="AY12" s="4847">
        <f t="shared" si="30"/>
        <v>1423.6003500000011</v>
      </c>
      <c r="AZ12" s="4727">
        <f t="shared" si="15"/>
        <v>350.40648549999923</v>
      </c>
      <c r="BA12" s="4727">
        <f t="shared" si="16"/>
        <v>53.337931985651785</v>
      </c>
      <c r="BB12" s="4845">
        <f>SUM('Произв. прогр. Вода (СВОД)'!S16)</f>
        <v>76.878351666666674</v>
      </c>
      <c r="BC12" s="4845">
        <f>SUM('ПОЛНАЯ СЕБЕСТОИМОСТЬ ВОДА 2018'!X12)</f>
        <v>0</v>
      </c>
      <c r="BD12" s="4845">
        <f t="shared" si="30"/>
        <v>122.14300000000003</v>
      </c>
      <c r="BE12" s="4845">
        <f>SUM('Произв. прогр. Вода (СВОД)'!T16)</f>
        <v>76.878351666666674</v>
      </c>
      <c r="BF12" s="4845">
        <f>SUM('ПОЛНАЯ СЕБЕСТОИМОСТЬ ВОДА 2018'!Y12)</f>
        <v>0</v>
      </c>
      <c r="BG12" s="4845">
        <f t="shared" si="30"/>
        <v>43.954999999999927</v>
      </c>
      <c r="BH12" s="4845">
        <f>SUM('Произв. прогр. Вода (СВОД)'!U16)</f>
        <v>77.7307821666667</v>
      </c>
      <c r="BI12" s="4845">
        <f>SUM('ПОЛНАЯ СЕБЕСТОИМОСТЬ ВОДА 2018'!Z12)</f>
        <v>0</v>
      </c>
      <c r="BJ12" s="4845">
        <f t="shared" si="30"/>
        <v>117.44000000000005</v>
      </c>
      <c r="BK12" s="4847">
        <f t="shared" si="30"/>
        <v>231.48748550000016</v>
      </c>
      <c r="BL12" s="4847">
        <f t="shared" si="30"/>
        <v>0</v>
      </c>
      <c r="BM12" s="4847">
        <f t="shared" si="30"/>
        <v>283.5379999999999</v>
      </c>
      <c r="BN12" s="4727">
        <f t="shared" si="17"/>
        <v>-231.48748550000016</v>
      </c>
      <c r="BO12" s="4727">
        <f t="shared" si="18"/>
        <v>-100</v>
      </c>
      <c r="BP12" s="4847">
        <f t="shared" si="30"/>
        <v>888.44300000000112</v>
      </c>
      <c r="BQ12" s="4847">
        <f t="shared" si="30"/>
        <v>1007.3620000000001</v>
      </c>
      <c r="BR12" s="4847">
        <f t="shared" si="30"/>
        <v>1707.1383500000002</v>
      </c>
      <c r="BS12" s="4727">
        <f t="shared" si="19"/>
        <v>118.91899999999896</v>
      </c>
      <c r="BT12" s="4727">
        <f t="shared" si="20"/>
        <v>13.385101801691141</v>
      </c>
      <c r="BU12" s="657"/>
      <c r="BV12" s="657"/>
      <c r="BW12" s="657"/>
      <c r="BX12" s="657"/>
    </row>
    <row r="13" spans="1:76" ht="18.75">
      <c r="A13" s="4728" t="s">
        <v>117</v>
      </c>
      <c r="B13" s="4729">
        <f>SUM('Произв. прогр. Вода (СВОД)'!E17)</f>
        <v>0.20066693068801664</v>
      </c>
      <c r="C13" s="4729">
        <f>SUM('ПОЛНАЯ СЕБЕСТОИМОСТЬ ВОДА 2018'!C13)</f>
        <v>0.36125568575051914</v>
      </c>
      <c r="D13" s="4729">
        <f t="shared" ref="D13:BR13" si="31">SUM(D12/D11)</f>
        <v>0.36752855798380746</v>
      </c>
      <c r="E13" s="4729">
        <f>SUM('Произв. прогр. Вода (СВОД)'!F17)</f>
        <v>0.19984024221946894</v>
      </c>
      <c r="F13" s="4729">
        <f>SUM('ПОЛНАЯ СЕБЕСТОИМОСТЬ ВОДА 2018'!D13)</f>
        <v>0.25185099134425948</v>
      </c>
      <c r="G13" s="4729">
        <f t="shared" si="31"/>
        <v>0.24623405328784581</v>
      </c>
      <c r="H13" s="4729">
        <f>SUM('Произв. прогр. Вода (СВОД)'!G17)</f>
        <v>0.19984024221946894</v>
      </c>
      <c r="I13" s="4729">
        <f>SUM('ПОЛНАЯ СЕБЕСТОИМОСТЬ ВОДА 2018'!E13)</f>
        <v>0.37676044530883229</v>
      </c>
      <c r="J13" s="4729">
        <f t="shared" si="31"/>
        <v>0.34545082778467817</v>
      </c>
      <c r="K13" s="4730">
        <f t="shared" si="31"/>
        <v>0.20011707386614752</v>
      </c>
      <c r="L13" s="4730">
        <f t="shared" si="31"/>
        <v>0.33355589121923357</v>
      </c>
      <c r="M13" s="4730">
        <f t="shared" si="31"/>
        <v>0.32250159654255728</v>
      </c>
      <c r="N13" s="4731">
        <f t="shared" si="7"/>
        <v>0.13343881735308605</v>
      </c>
      <c r="O13" s="4731">
        <f t="shared" si="8"/>
        <v>66.680376029453328</v>
      </c>
      <c r="P13" s="4729">
        <f>SUM('Произв. прогр. Вода (СВОД)'!I17)</f>
        <v>0.19900202819807611</v>
      </c>
      <c r="Q13" s="4729">
        <f>SUM('ПОЛНАЯ СЕБЕСТОИМОСТЬ ВОДА 2018'!H13)</f>
        <v>0.36593973539279617</v>
      </c>
      <c r="R13" s="4729">
        <f t="shared" si="31"/>
        <v>0.26319643213738936</v>
      </c>
      <c r="S13" s="4729">
        <f>SUM('Произв. прогр. Вода (СВОД)'!J17)</f>
        <v>0.19089701988713609</v>
      </c>
      <c r="T13" s="4729">
        <f>SUM('ПОЛНАЯ СЕБЕСТОИМОСТЬ ВОДА 2018'!I13)</f>
        <v>0.38438038508258981</v>
      </c>
      <c r="U13" s="4729">
        <f t="shared" si="31"/>
        <v>0.34856177759011964</v>
      </c>
      <c r="V13" s="4729">
        <f>SUM('Произв. прогр. Вода (СВОД)'!K17)</f>
        <v>0.19089701988713609</v>
      </c>
      <c r="W13" s="4729">
        <f>SUM('ПОЛНАЯ СЕБЕСТОИМОСТЬ ВОДА 2018'!J13)</f>
        <v>0.33712588652120612</v>
      </c>
      <c r="X13" s="4729">
        <f t="shared" si="31"/>
        <v>0.34615552738558381</v>
      </c>
      <c r="Y13" s="4730">
        <f t="shared" si="31"/>
        <v>0.19371662053081992</v>
      </c>
      <c r="Z13" s="4730">
        <f t="shared" si="31"/>
        <v>0.36259550942270224</v>
      </c>
      <c r="AA13" s="4730">
        <f t="shared" si="31"/>
        <v>0.31992430738726624</v>
      </c>
      <c r="AB13" s="4731">
        <f t="shared" si="9"/>
        <v>0.16887888889188232</v>
      </c>
      <c r="AC13" s="4731">
        <f t="shared" si="10"/>
        <v>87.178316671601252</v>
      </c>
      <c r="AD13" s="4730">
        <f t="shared" si="31"/>
        <v>0.19699999756090172</v>
      </c>
      <c r="AE13" s="4730">
        <f t="shared" si="31"/>
        <v>0.34854018639334144</v>
      </c>
      <c r="AF13" s="4730">
        <f t="shared" si="31"/>
        <v>0.32119630648344477</v>
      </c>
      <c r="AG13" s="4731">
        <f t="shared" si="11"/>
        <v>0.15154018883243972</v>
      </c>
      <c r="AH13" s="4731">
        <f>SUM(AG13/AD13)</f>
        <v>0.76923954674462225</v>
      </c>
      <c r="AI13" s="4729">
        <f>SUM('Произв. прогр. Вода (СВОД)'!N17)</f>
        <v>0.19089701988713609</v>
      </c>
      <c r="AJ13" s="4729" t="e">
        <f>SUM('ПОЛНАЯ СЕБЕСТОИМОСТЬ ВОДА 2018'!P13)</f>
        <v>#DIV/0!</v>
      </c>
      <c r="AK13" s="4729">
        <f t="shared" si="31"/>
        <v>0.42237395757450558</v>
      </c>
      <c r="AL13" s="4729">
        <f>SUM('Произв. прогр. Вода (СВОД)'!O17)</f>
        <v>0.19089701988713609</v>
      </c>
      <c r="AM13" s="4729" t="e">
        <f>SUM('ПОЛНАЯ СЕБЕСТОИМОСТЬ ВОДА 2018'!Q13)</f>
        <v>#DIV/0!</v>
      </c>
      <c r="AN13" s="4729">
        <f t="shared" si="31"/>
        <v>0.41503093280765041</v>
      </c>
      <c r="AO13" s="4729">
        <f>SUM('Произв. прогр. Вода (СВОД)'!P17)</f>
        <v>0.19900202819807611</v>
      </c>
      <c r="AP13" s="4729" t="e">
        <f>SUM('ПОЛНАЯ СЕБЕСТОИМОСТЬ ВОДА 2018'!R13)</f>
        <v>#DIV/0!</v>
      </c>
      <c r="AQ13" s="4729">
        <f t="shared" si="31"/>
        <v>0.33223628529248533</v>
      </c>
      <c r="AR13" s="4730">
        <f t="shared" si="31"/>
        <v>0.19371662053082025</v>
      </c>
      <c r="AS13" s="4730" t="e">
        <f t="shared" si="31"/>
        <v>#DIV/0!</v>
      </c>
      <c r="AT13" s="4730">
        <f t="shared" si="31"/>
        <v>0.38990357072620158</v>
      </c>
      <c r="AU13" s="4731" t="e">
        <f t="shared" si="13"/>
        <v>#DIV/0!</v>
      </c>
      <c r="AV13" s="4731" t="e">
        <f>SUM(AU13/AR13)</f>
        <v>#DIV/0!</v>
      </c>
      <c r="AW13" s="4730">
        <f t="shared" si="31"/>
        <v>0.19592466214003518</v>
      </c>
      <c r="AX13" s="4730">
        <f t="shared" si="31"/>
        <v>0.34854018639334144</v>
      </c>
      <c r="AY13" s="4730">
        <f t="shared" si="31"/>
        <v>0.34453249618766046</v>
      </c>
      <c r="AZ13" s="4731">
        <f t="shared" si="15"/>
        <v>0.15261552425330627</v>
      </c>
      <c r="BA13" s="4731">
        <f t="shared" si="16"/>
        <v>77.895004429930253</v>
      </c>
      <c r="BB13" s="4729">
        <f>SUM('Произв. прогр. Вода (СВОД)'!S17)</f>
        <v>0.19984024221946894</v>
      </c>
      <c r="BC13" s="4729" t="e">
        <f>SUM('ПОЛНАЯ СЕБЕСТОИМОСТЬ ВОДА 2018'!X13)</f>
        <v>#DIV/0!</v>
      </c>
      <c r="BD13" s="4729">
        <f t="shared" si="31"/>
        <v>0.26984400509894119</v>
      </c>
      <c r="BE13" s="4729">
        <f>SUM('Произв. прогр. Вода (СВОД)'!T17)</f>
        <v>0.19984024221946894</v>
      </c>
      <c r="BF13" s="4729" t="e">
        <f>SUM('ПОЛНАЯ СЕБЕСТОИМОСТЬ ВОДА 2018'!Y13)</f>
        <v>#DIV/0!</v>
      </c>
      <c r="BG13" s="4729">
        <f t="shared" si="31"/>
        <v>0.11974392154191905</v>
      </c>
      <c r="BH13" s="4729">
        <f>SUM('Произв. прогр. Вода (СВОД)'!U17)</f>
        <v>0.20066693068801664</v>
      </c>
      <c r="BI13" s="4729" t="e">
        <f>SUM('ПОЛНАЯ СЕБЕСТОИМОСТЬ ВОДА 2018'!Z13)</f>
        <v>#DIV/0!</v>
      </c>
      <c r="BJ13" s="4729">
        <f t="shared" si="31"/>
        <v>0.28435146848744591</v>
      </c>
      <c r="BK13" s="4730">
        <f t="shared" si="31"/>
        <v>0.20011707386614752</v>
      </c>
      <c r="BL13" s="4730" t="e">
        <f t="shared" si="31"/>
        <v>#DIV/0!</v>
      </c>
      <c r="BM13" s="4730">
        <f t="shared" si="31"/>
        <v>0.23000856636662745</v>
      </c>
      <c r="BN13" s="4731" t="e">
        <f t="shared" si="17"/>
        <v>#DIV/0!</v>
      </c>
      <c r="BO13" s="4731" t="e">
        <f t="shared" si="18"/>
        <v>#DIV/0!</v>
      </c>
      <c r="BP13" s="4730">
        <f t="shared" si="31"/>
        <v>0.19699999756090172</v>
      </c>
      <c r="BQ13" s="4730">
        <f t="shared" si="31"/>
        <v>0.34854018639334144</v>
      </c>
      <c r="BR13" s="4730">
        <f t="shared" si="31"/>
        <v>0.31821663073738449</v>
      </c>
      <c r="BS13" s="4731">
        <f t="shared" si="19"/>
        <v>0.15154018883243972</v>
      </c>
      <c r="BT13" s="4731">
        <f t="shared" si="20"/>
        <v>76.923954674462223</v>
      </c>
      <c r="BU13" s="657"/>
      <c r="BV13" s="657"/>
      <c r="BW13" s="657"/>
      <c r="BX13" s="657"/>
    </row>
    <row r="14" spans="1:76" ht="18.75">
      <c r="A14" s="4721" t="s">
        <v>1709</v>
      </c>
      <c r="B14" s="4850">
        <f>SUM('Произв. прогр. Вода (СВОД)'!E18)</f>
        <v>309.63141000000007</v>
      </c>
      <c r="C14" s="4850">
        <f>SUM('ПОЛНАЯ СЕБЕСТОИМОСТЬ ВОДА 2018'!C14)</f>
        <v>319.33</v>
      </c>
      <c r="D14" s="4850">
        <f t="shared" ref="D14:BR14" si="32">SUM(D15+D16+D18)</f>
        <v>297.70999999999998</v>
      </c>
      <c r="E14" s="4850">
        <f>SUM('Произв. прогр. Вода (СВОД)'!F18)</f>
        <v>307.82070000000004</v>
      </c>
      <c r="F14" s="4850">
        <f>SUM('ПОЛНАЯ СЕБЕСТОИМОСТЬ ВОДА 2018'!D14)</f>
        <v>315.57</v>
      </c>
      <c r="G14" s="4850">
        <f t="shared" si="32"/>
        <v>313.73999999999995</v>
      </c>
      <c r="H14" s="4850">
        <f>SUM('Произв. прогр. Вода (СВОД)'!G18)</f>
        <v>307.82070000000004</v>
      </c>
      <c r="I14" s="4850">
        <f>SUM('ПОЛНАЯ СЕБЕСТОИМОСТЬ ВОДА 2018'!E14)</f>
        <v>297.38000000000005</v>
      </c>
      <c r="J14" s="4850">
        <f t="shared" si="32"/>
        <v>300.90999999999997</v>
      </c>
      <c r="K14" s="4846">
        <f t="shared" si="32"/>
        <v>925.27281000000005</v>
      </c>
      <c r="L14" s="4846">
        <f t="shared" si="32"/>
        <v>932.28</v>
      </c>
      <c r="M14" s="4846">
        <f t="shared" si="32"/>
        <v>912.3599999999999</v>
      </c>
      <c r="N14" s="4724">
        <f t="shared" si="7"/>
        <v>7.0071899999999232</v>
      </c>
      <c r="O14" s="4724">
        <f t="shared" si="8"/>
        <v>0.75731070061379224</v>
      </c>
      <c r="P14" s="4850">
        <f>SUM('Произв. прогр. Вода (СВОД)'!I18)</f>
        <v>306.00999000000002</v>
      </c>
      <c r="Q14" s="4850">
        <f>SUM('ПОЛНАЯ СЕБЕСТОИМОСТЬ ВОДА 2018'!H14)</f>
        <v>320.52</v>
      </c>
      <c r="R14" s="4850">
        <f t="shared" si="32"/>
        <v>332.07</v>
      </c>
      <c r="S14" s="4850">
        <f>SUM('Произв. прогр. Вода (СВОД)'!J18)</f>
        <v>289.71360000000004</v>
      </c>
      <c r="T14" s="4850">
        <f>SUM('ПОЛНАЯ СЕБЕСТОИМОСТЬ ВОДА 2018'!I14)</f>
        <v>305.08999999999997</v>
      </c>
      <c r="U14" s="4850">
        <f t="shared" si="32"/>
        <v>308.57000000000005</v>
      </c>
      <c r="V14" s="4850">
        <f>SUM('Произв. прогр. Вода (СВОД)'!K18)</f>
        <v>289.71360000000004</v>
      </c>
      <c r="W14" s="4850">
        <f>SUM('ПОЛНАЯ СЕБЕСТОИМОСТЬ ВОДА 2018'!J14)</f>
        <v>324.98</v>
      </c>
      <c r="X14" s="4850">
        <f t="shared" si="32"/>
        <v>299.16000000000003</v>
      </c>
      <c r="Y14" s="4846">
        <f t="shared" si="32"/>
        <v>885.43718999999999</v>
      </c>
      <c r="Z14" s="4846">
        <f t="shared" si="32"/>
        <v>950.59000000000015</v>
      </c>
      <c r="AA14" s="4846">
        <f t="shared" si="32"/>
        <v>939.8</v>
      </c>
      <c r="AB14" s="4724">
        <f t="shared" si="9"/>
        <v>65.152810000000159</v>
      </c>
      <c r="AC14" s="4724">
        <f t="shared" si="10"/>
        <v>7.358264452388787</v>
      </c>
      <c r="AD14" s="4846">
        <f t="shared" si="32"/>
        <v>1810.71</v>
      </c>
      <c r="AE14" s="4846">
        <f t="shared" si="32"/>
        <v>1882.87</v>
      </c>
      <c r="AF14" s="4846">
        <f t="shared" si="32"/>
        <v>1852.1599999999996</v>
      </c>
      <c r="AG14" s="4724">
        <f t="shared" si="11"/>
        <v>72.159999999999854</v>
      </c>
      <c r="AH14" s="4724">
        <f t="shared" si="12"/>
        <v>3.9851770852317516</v>
      </c>
      <c r="AI14" s="4850">
        <f>SUM('Произв. прогр. Вода (СВОД)'!N18)</f>
        <v>289.71360000000004</v>
      </c>
      <c r="AJ14" s="4850">
        <f>SUM('ПОЛНАЯ СЕБЕСТОИМОСТЬ ВОДА 2018'!P14)</f>
        <v>0</v>
      </c>
      <c r="AK14" s="4850">
        <f t="shared" si="32"/>
        <v>265.63</v>
      </c>
      <c r="AL14" s="4850">
        <f>SUM('Произв. прогр. Вода (СВОД)'!O18)</f>
        <v>289.71360000000004</v>
      </c>
      <c r="AM14" s="4850">
        <f>SUM('ПОЛНАЯ СЕБЕСТОИМОСТЬ ВОДА 2018'!Q14)</f>
        <v>0</v>
      </c>
      <c r="AN14" s="4850">
        <f t="shared" si="32"/>
        <v>278.93665000000004</v>
      </c>
      <c r="AO14" s="4850">
        <f>SUM('Произв. прогр. Вода (СВОД)'!P18)</f>
        <v>306.00999000000002</v>
      </c>
      <c r="AP14" s="4850">
        <f>SUM('ПОЛНАЯ СЕБЕСТОИМОСТЬ ВОДА 2018'!R14)</f>
        <v>0</v>
      </c>
      <c r="AQ14" s="4850">
        <f t="shared" si="32"/>
        <v>311.65000000000003</v>
      </c>
      <c r="AR14" s="4846">
        <f t="shared" si="32"/>
        <v>885.43718999999999</v>
      </c>
      <c r="AS14" s="4846">
        <f t="shared" si="32"/>
        <v>0</v>
      </c>
      <c r="AT14" s="4846">
        <f t="shared" si="32"/>
        <v>856.21664999999985</v>
      </c>
      <c r="AU14" s="4724">
        <f t="shared" si="13"/>
        <v>-885.43718999999999</v>
      </c>
      <c r="AV14" s="4724">
        <f t="shared" si="14"/>
        <v>-100</v>
      </c>
      <c r="AW14" s="4846">
        <f t="shared" si="32"/>
        <v>2696.1471899999997</v>
      </c>
      <c r="AX14" s="4846">
        <f t="shared" si="32"/>
        <v>1882.87</v>
      </c>
      <c r="AY14" s="4846">
        <f t="shared" si="32"/>
        <v>2708.3766499999997</v>
      </c>
      <c r="AZ14" s="4724">
        <f t="shared" si="15"/>
        <v>-813.27718999999979</v>
      </c>
      <c r="BA14" s="4724">
        <f t="shared" si="16"/>
        <v>-30.164421030737564</v>
      </c>
      <c r="BB14" s="4850">
        <f>SUM('Произв. прогр. Вода (СВОД)'!S18)</f>
        <v>307.82070000000004</v>
      </c>
      <c r="BC14" s="4850">
        <f>SUM('ПОЛНАЯ СЕБЕСТОИМОСТЬ ВОДА 2018'!X14)</f>
        <v>0</v>
      </c>
      <c r="BD14" s="4850">
        <f t="shared" si="32"/>
        <v>330.49999999999994</v>
      </c>
      <c r="BE14" s="4850">
        <f>SUM('Произв. прогр. Вода (СВОД)'!T18)</f>
        <v>307.82070000000004</v>
      </c>
      <c r="BF14" s="4850">
        <f>SUM('ПОЛНАЯ СЕБЕСТОИМОСТЬ ВОДА 2018'!Y14)</f>
        <v>0</v>
      </c>
      <c r="BG14" s="4850">
        <f t="shared" si="32"/>
        <v>323.12</v>
      </c>
      <c r="BH14" s="4850">
        <f>SUM('Произв. прогр. Вода (СВОД)'!U18)</f>
        <v>309.63141000000007</v>
      </c>
      <c r="BI14" s="4850">
        <f>SUM('ПОЛНАЯ СЕБЕСТОИМОСТЬ ВОДА 2018'!Z14)</f>
        <v>0</v>
      </c>
      <c r="BJ14" s="4850">
        <f t="shared" si="32"/>
        <v>295.57</v>
      </c>
      <c r="BK14" s="4846">
        <f t="shared" si="32"/>
        <v>925.27281000000005</v>
      </c>
      <c r="BL14" s="4846">
        <f t="shared" si="32"/>
        <v>0</v>
      </c>
      <c r="BM14" s="4846">
        <f t="shared" si="32"/>
        <v>949.18999999999994</v>
      </c>
      <c r="BN14" s="4724">
        <f t="shared" si="17"/>
        <v>-925.27281000000005</v>
      </c>
      <c r="BO14" s="4724">
        <f t="shared" si="18"/>
        <v>-100</v>
      </c>
      <c r="BP14" s="4846">
        <f t="shared" si="32"/>
        <v>3621.42</v>
      </c>
      <c r="BQ14" s="4846">
        <f>SUM(BQ15+BQ16+BQ18)</f>
        <v>1882.87</v>
      </c>
      <c r="BR14" s="4846">
        <f t="shared" si="32"/>
        <v>3657.5666499999998</v>
      </c>
      <c r="BS14" s="4724">
        <f t="shared" si="19"/>
        <v>-1738.5500000000002</v>
      </c>
      <c r="BT14" s="4724">
        <f t="shared" si="20"/>
        <v>-48.007411457384123</v>
      </c>
      <c r="BU14" s="657"/>
      <c r="BV14" s="657"/>
      <c r="BW14" s="657"/>
      <c r="BX14" s="657"/>
    </row>
    <row r="15" spans="1:76" ht="18.75">
      <c r="A15" s="4620" t="s">
        <v>24</v>
      </c>
      <c r="B15" s="4845">
        <f>SUM('Произв. прогр. Вода (СВОД)'!E19)</f>
        <v>201.78000000000003</v>
      </c>
      <c r="C15" s="4845">
        <f>SUM('ПОЛНАЯ СЕБЕСТОИМОСТЬ ВОДА 2018'!C15)</f>
        <v>213.77</v>
      </c>
      <c r="D15" s="4852">
        <v>191.23</v>
      </c>
      <c r="E15" s="4845">
        <f>SUM('Произв. прогр. Вода (СВОД)'!F19)</f>
        <v>200.60000000000002</v>
      </c>
      <c r="F15" s="4845">
        <f>SUM('ПОЛНАЯ СЕБЕСТОИМОСТЬ ВОДА 2018'!D15)</f>
        <v>207.75</v>
      </c>
      <c r="G15" s="4852">
        <v>200.57</v>
      </c>
      <c r="H15" s="4845">
        <f>SUM('Произв. прогр. Вода (СВОД)'!G19)</f>
        <v>200.60000000000002</v>
      </c>
      <c r="I15" s="4845">
        <f>SUM('ПОЛНАЯ СЕБЕСТОИМОСТЬ ВОДА 2018'!E15)</f>
        <v>196.9</v>
      </c>
      <c r="J15" s="4852">
        <v>200.87</v>
      </c>
      <c r="K15" s="4847">
        <f t="shared" ref="K15:M17" si="33">SUM(B15+E15+H15)</f>
        <v>602.98</v>
      </c>
      <c r="L15" s="4847">
        <f t="shared" si="33"/>
        <v>618.41999999999996</v>
      </c>
      <c r="M15" s="4847">
        <f t="shared" si="33"/>
        <v>592.66999999999996</v>
      </c>
      <c r="N15" s="4727">
        <f t="shared" si="7"/>
        <v>15.439999999999941</v>
      </c>
      <c r="O15" s="4727">
        <f t="shared" si="8"/>
        <v>2.5606156091412551</v>
      </c>
      <c r="P15" s="4845">
        <f>SUM('Произв. прогр. Вода (СВОД)'!I19)</f>
        <v>199.42</v>
      </c>
      <c r="Q15" s="4845">
        <f>SUM('ПОЛНАЯ СЕБЕСТОИМОСТЬ ВОДА 2018'!H15)</f>
        <v>209.84</v>
      </c>
      <c r="R15" s="4852">
        <v>226.93</v>
      </c>
      <c r="S15" s="4845">
        <f>SUM('Произв. прогр. Вода (СВОД)'!J19)</f>
        <v>188.8</v>
      </c>
      <c r="T15" s="4845">
        <f>SUM('ПОЛНАЯ СЕБЕСТОИМОСТЬ ВОДА 2018'!I15)</f>
        <v>200.96</v>
      </c>
      <c r="U15" s="4852">
        <v>207.3</v>
      </c>
      <c r="V15" s="4845">
        <f>SUM('Произв. прогр. Вода (СВОД)'!K19)</f>
        <v>188.8</v>
      </c>
      <c r="W15" s="4845">
        <f>SUM('ПОЛНАЯ СЕБЕСТОИМОСТЬ ВОДА 2018'!J15)</f>
        <v>217.77</v>
      </c>
      <c r="X15" s="4852">
        <v>196.74</v>
      </c>
      <c r="Y15" s="4847">
        <f t="shared" ref="Y15:AA17" si="34">SUM(P15+S15+V15)</f>
        <v>577.02</v>
      </c>
      <c r="Z15" s="4847">
        <f t="shared" si="34"/>
        <v>628.57000000000005</v>
      </c>
      <c r="AA15" s="4847">
        <f t="shared" si="34"/>
        <v>630.97</v>
      </c>
      <c r="AB15" s="4727">
        <f t="shared" si="9"/>
        <v>51.550000000000068</v>
      </c>
      <c r="AC15" s="4727">
        <f t="shared" si="10"/>
        <v>8.933832449481832</v>
      </c>
      <c r="AD15" s="4847">
        <f t="shared" ref="AD15:AF17" si="35">SUM(K15+Y15)</f>
        <v>1180</v>
      </c>
      <c r="AE15" s="4847">
        <f t="shared" si="35"/>
        <v>1246.99</v>
      </c>
      <c r="AF15" s="4847">
        <f t="shared" si="35"/>
        <v>1223.6399999999999</v>
      </c>
      <c r="AG15" s="4727">
        <f t="shared" si="11"/>
        <v>66.990000000000009</v>
      </c>
      <c r="AH15" s="4727">
        <f t="shared" si="12"/>
        <v>5.6771186440677974</v>
      </c>
      <c r="AI15" s="4845">
        <f>SUM('Произв. прогр. Вода (СВОД)'!N19)</f>
        <v>188.8</v>
      </c>
      <c r="AJ15" s="4845">
        <f>SUM('ПОЛНАЯ СЕБЕСТОИМОСТЬ ВОДА 2018'!P15)</f>
        <v>0</v>
      </c>
      <c r="AK15" s="4852">
        <v>181.39</v>
      </c>
      <c r="AL15" s="4845">
        <f>SUM('Произв. прогр. Вода (СВОД)'!O19)</f>
        <v>188.8</v>
      </c>
      <c r="AM15" s="4845">
        <f>SUM('ПОЛНАЯ СЕБЕСТОИМОСТЬ ВОДА 2018'!Q15)</f>
        <v>0</v>
      </c>
      <c r="AN15" s="4852">
        <v>193.56</v>
      </c>
      <c r="AO15" s="4845">
        <f>SUM('Произв. прогр. Вода (СВОД)'!P19)</f>
        <v>199.42</v>
      </c>
      <c r="AP15" s="4845">
        <f>SUM('ПОЛНАЯ СЕБЕСТОИМОСТЬ ВОДА 2018'!R15)</f>
        <v>0</v>
      </c>
      <c r="AQ15" s="4852">
        <v>201.08</v>
      </c>
      <c r="AR15" s="4847">
        <f t="shared" ref="AR15:AT17" si="36">SUM(AI15+AL15+AO15)</f>
        <v>577.02</v>
      </c>
      <c r="AS15" s="4847">
        <f t="shared" si="36"/>
        <v>0</v>
      </c>
      <c r="AT15" s="4847">
        <f t="shared" si="36"/>
        <v>576.03</v>
      </c>
      <c r="AU15" s="4727">
        <f t="shared" si="13"/>
        <v>-577.02</v>
      </c>
      <c r="AV15" s="4727">
        <f t="shared" si="14"/>
        <v>-100</v>
      </c>
      <c r="AW15" s="4847">
        <f t="shared" ref="AW15:AY17" si="37">SUM(AD15+AR15)</f>
        <v>1757.02</v>
      </c>
      <c r="AX15" s="4847">
        <f t="shared" si="37"/>
        <v>1246.99</v>
      </c>
      <c r="AY15" s="4847">
        <f t="shared" si="37"/>
        <v>1799.6699999999998</v>
      </c>
      <c r="AZ15" s="4727">
        <f t="shared" si="15"/>
        <v>-510.03</v>
      </c>
      <c r="BA15" s="4727">
        <f t="shared" si="16"/>
        <v>-29.028127169867162</v>
      </c>
      <c r="BB15" s="4845">
        <f>SUM('Произв. прогр. Вода (СВОД)'!S19)</f>
        <v>200.60000000000002</v>
      </c>
      <c r="BC15" s="4845">
        <f>SUM('ПОЛНАЯ СЕБЕСТОИМОСТЬ ВОДА 2018'!X15)</f>
        <v>0</v>
      </c>
      <c r="BD15" s="4852">
        <v>233.14</v>
      </c>
      <c r="BE15" s="4845">
        <f>SUM('Произв. прогр. Вода (СВОД)'!T19)</f>
        <v>200.60000000000002</v>
      </c>
      <c r="BF15" s="4845">
        <f>SUM('ПОЛНАЯ СЕБЕСТОИМОСТЬ ВОДА 2018'!Y15)</f>
        <v>0</v>
      </c>
      <c r="BG15" s="4852">
        <v>222.82</v>
      </c>
      <c r="BH15" s="4845">
        <f>SUM('Произв. прогр. Вода (СВОД)'!U19)</f>
        <v>201.78000000000003</v>
      </c>
      <c r="BI15" s="4845">
        <f>SUM('ПОЛНАЯ СЕБЕСТОИМОСТЬ ВОДА 2018'!Z15)</f>
        <v>0</v>
      </c>
      <c r="BJ15" s="4852">
        <v>192.14</v>
      </c>
      <c r="BK15" s="4847">
        <f t="shared" ref="BK15:BM17" si="38">SUM(BB15+BE15+BH15)</f>
        <v>602.98</v>
      </c>
      <c r="BL15" s="4847">
        <f t="shared" si="38"/>
        <v>0</v>
      </c>
      <c r="BM15" s="4847">
        <f t="shared" si="38"/>
        <v>648.09999999999991</v>
      </c>
      <c r="BN15" s="4727">
        <f t="shared" si="17"/>
        <v>-602.98</v>
      </c>
      <c r="BO15" s="4727">
        <f t="shared" si="18"/>
        <v>-100</v>
      </c>
      <c r="BP15" s="4847">
        <f t="shared" ref="BP15:BR17" si="39">SUM(AW15+BK15)</f>
        <v>2360</v>
      </c>
      <c r="BQ15" s="4847">
        <f t="shared" si="39"/>
        <v>1246.99</v>
      </c>
      <c r="BR15" s="4847">
        <f t="shared" si="39"/>
        <v>2447.7699999999995</v>
      </c>
      <c r="BS15" s="4727">
        <f t="shared" si="19"/>
        <v>-1113.01</v>
      </c>
      <c r="BT15" s="4727">
        <f t="shared" si="20"/>
        <v>-47.161440677966098</v>
      </c>
      <c r="BU15" s="657"/>
      <c r="BV15" s="657"/>
      <c r="BW15" s="657"/>
      <c r="BX15" s="657"/>
    </row>
    <row r="16" spans="1:76" ht="18.75">
      <c r="A16" s="4620" t="s">
        <v>1710</v>
      </c>
      <c r="B16" s="4845">
        <f>SUM('Произв. прогр. Вода (СВОД)'!E20)</f>
        <v>80.491410000000002</v>
      </c>
      <c r="C16" s="4845">
        <f>SUM('ПОЛНАЯ СЕБЕСТОИМОСТЬ ВОДА 2018'!C16)</f>
        <v>77.41</v>
      </c>
      <c r="D16" s="4852">
        <v>77.11</v>
      </c>
      <c r="E16" s="4845">
        <f>SUM('Произв. прогр. Вода (СВОД)'!F20)</f>
        <v>80.020700000000005</v>
      </c>
      <c r="F16" s="4845">
        <f>SUM('ПОЛНАЯ СЕБЕСТОИМОСТЬ ВОДА 2018'!D16)</f>
        <v>79.62</v>
      </c>
      <c r="G16" s="4852">
        <v>83.58</v>
      </c>
      <c r="H16" s="4845">
        <f>SUM('Произв. прогр. Вода (СВОД)'!G20)</f>
        <v>80.020700000000005</v>
      </c>
      <c r="I16" s="4845">
        <f>SUM('ПОЛНАЯ СЕБЕСТОИМОСТЬ ВОДА 2018'!E16)</f>
        <v>75.680000000000007</v>
      </c>
      <c r="J16" s="4852">
        <v>73.459999999999994</v>
      </c>
      <c r="K16" s="4847">
        <f t="shared" si="33"/>
        <v>240.53281000000001</v>
      </c>
      <c r="L16" s="4847">
        <f t="shared" si="33"/>
        <v>232.71</v>
      </c>
      <c r="M16" s="4847">
        <f t="shared" si="33"/>
        <v>234.14999999999998</v>
      </c>
      <c r="N16" s="4727">
        <f t="shared" si="7"/>
        <v>-7.822810000000004</v>
      </c>
      <c r="O16" s="4727">
        <f t="shared" si="8"/>
        <v>-3.2522839607619454</v>
      </c>
      <c r="P16" s="4845">
        <f>SUM('Произв. прогр. Вода (СВОД)'!I20)</f>
        <v>79.549989999999994</v>
      </c>
      <c r="Q16" s="4845">
        <f>SUM('ПОЛНАЯ СЕБЕСТОИМОСТЬ ВОДА 2018'!H16)</f>
        <v>84.91</v>
      </c>
      <c r="R16" s="4852">
        <v>76.84</v>
      </c>
      <c r="S16" s="4845">
        <f>SUM('Произв. прогр. Вода (СВОД)'!J20)</f>
        <v>75.313599999999994</v>
      </c>
      <c r="T16" s="4845">
        <f>SUM('ПОЛНАЯ СЕБЕСТОИМОСТЬ ВОДА 2018'!I16)</f>
        <v>78.23</v>
      </c>
      <c r="U16" s="4852">
        <v>75.739999999999995</v>
      </c>
      <c r="V16" s="4845">
        <f>SUM('Произв. прогр. Вода (СВОД)'!K20)</f>
        <v>75.313599999999994</v>
      </c>
      <c r="W16" s="4845">
        <f>SUM('ПОЛНАЯ СЕБЕСТОИМОСТЬ ВОДА 2018'!J16)</f>
        <v>80.42</v>
      </c>
      <c r="X16" s="4852">
        <v>75.680000000000007</v>
      </c>
      <c r="Y16" s="4847">
        <f t="shared" si="34"/>
        <v>230.17719</v>
      </c>
      <c r="Z16" s="4847">
        <f t="shared" si="34"/>
        <v>243.56</v>
      </c>
      <c r="AA16" s="4847">
        <f t="shared" si="34"/>
        <v>228.26</v>
      </c>
      <c r="AB16" s="4727">
        <f t="shared" si="9"/>
        <v>13.382810000000006</v>
      </c>
      <c r="AC16" s="4727">
        <f t="shared" si="10"/>
        <v>5.8141338852907216</v>
      </c>
      <c r="AD16" s="4847">
        <f t="shared" si="35"/>
        <v>470.71000000000004</v>
      </c>
      <c r="AE16" s="4847">
        <f t="shared" si="35"/>
        <v>476.27</v>
      </c>
      <c r="AF16" s="4847">
        <f t="shared" si="35"/>
        <v>462.40999999999997</v>
      </c>
      <c r="AG16" s="4727">
        <f t="shared" si="11"/>
        <v>5.5599999999999454</v>
      </c>
      <c r="AH16" s="4727">
        <f t="shared" si="12"/>
        <v>1.1811943659577966</v>
      </c>
      <c r="AI16" s="4845">
        <f>SUM('Произв. прогр. Вода (СВОД)'!N20)</f>
        <v>75.313599999999994</v>
      </c>
      <c r="AJ16" s="4845">
        <f>SUM('ПОЛНАЯ СЕБЕСТОИМОСТЬ ВОДА 2018'!P16)</f>
        <v>0</v>
      </c>
      <c r="AK16" s="4852">
        <v>65.81</v>
      </c>
      <c r="AL16" s="4845">
        <f>SUM('Произв. прогр. Вода (СВОД)'!O20)</f>
        <v>75.313599999999994</v>
      </c>
      <c r="AM16" s="4845">
        <f>SUM('ПОЛНАЯ СЕБЕСТОИМОСТЬ ВОДА 2018'!Q16)</f>
        <v>0</v>
      </c>
      <c r="AN16" s="4852">
        <v>63.026649999999997</v>
      </c>
      <c r="AO16" s="4845">
        <f>SUM('Произв. прогр. Вода (СВОД)'!P20)</f>
        <v>79.549989999999994</v>
      </c>
      <c r="AP16" s="4845">
        <f>SUM('ПОЛНАЯ СЕБЕСТОИМОСТЬ ВОДА 2018'!R16)</f>
        <v>0</v>
      </c>
      <c r="AQ16" s="4852">
        <v>83.78</v>
      </c>
      <c r="AR16" s="4847">
        <f t="shared" si="36"/>
        <v>230.17719</v>
      </c>
      <c r="AS16" s="4847">
        <f t="shared" si="36"/>
        <v>0</v>
      </c>
      <c r="AT16" s="4847">
        <f t="shared" si="36"/>
        <v>212.61664999999999</v>
      </c>
      <c r="AU16" s="4727">
        <f t="shared" si="13"/>
        <v>-230.17719</v>
      </c>
      <c r="AV16" s="4727">
        <f t="shared" si="14"/>
        <v>-100</v>
      </c>
      <c r="AW16" s="4847">
        <f t="shared" si="37"/>
        <v>700.88719000000003</v>
      </c>
      <c r="AX16" s="4847">
        <f t="shared" si="37"/>
        <v>476.27</v>
      </c>
      <c r="AY16" s="4847">
        <f t="shared" si="37"/>
        <v>675.02665000000002</v>
      </c>
      <c r="AZ16" s="4727">
        <f t="shared" si="15"/>
        <v>-224.61719000000005</v>
      </c>
      <c r="BA16" s="4727">
        <f t="shared" si="16"/>
        <v>-32.047552474172065</v>
      </c>
      <c r="BB16" s="4845">
        <f>SUM('Произв. прогр. Вода (СВОД)'!S20)</f>
        <v>80.020700000000005</v>
      </c>
      <c r="BC16" s="4845">
        <f>SUM('ПОЛНАЯ СЕБЕСТОИМОСТЬ ВОДА 2018'!X16)</f>
        <v>0</v>
      </c>
      <c r="BD16" s="4852">
        <v>70.02</v>
      </c>
      <c r="BE16" s="4845">
        <f>SUM('Произв. прогр. Вода (СВОД)'!T20)</f>
        <v>80.020700000000005</v>
      </c>
      <c r="BF16" s="4845">
        <f>SUM('ПОЛНАЯ СЕБЕСТОИМОСТЬ ВОДА 2018'!Y16)</f>
        <v>0</v>
      </c>
      <c r="BG16" s="4852">
        <v>73.19</v>
      </c>
      <c r="BH16" s="4845">
        <f>SUM('Произв. прогр. Вода (СВОД)'!U20)</f>
        <v>80.491410000000002</v>
      </c>
      <c r="BI16" s="4845">
        <f>SUM('ПОЛНАЯ СЕБЕСТОИМОСТЬ ВОДА 2018'!Z16)</f>
        <v>0</v>
      </c>
      <c r="BJ16" s="4852">
        <v>78.81</v>
      </c>
      <c r="BK16" s="4847">
        <f t="shared" si="38"/>
        <v>240.53281000000001</v>
      </c>
      <c r="BL16" s="4847">
        <f t="shared" si="38"/>
        <v>0</v>
      </c>
      <c r="BM16" s="4847">
        <f t="shared" si="38"/>
        <v>222.01999999999998</v>
      </c>
      <c r="BN16" s="4727">
        <f t="shared" si="17"/>
        <v>-240.53281000000001</v>
      </c>
      <c r="BO16" s="4727">
        <f t="shared" si="18"/>
        <v>-100</v>
      </c>
      <c r="BP16" s="4847">
        <f t="shared" si="39"/>
        <v>941.42000000000007</v>
      </c>
      <c r="BQ16" s="4847">
        <f t="shared" si="39"/>
        <v>476.27</v>
      </c>
      <c r="BR16" s="4847">
        <f t="shared" si="39"/>
        <v>897.04665</v>
      </c>
      <c r="BS16" s="4727">
        <f t="shared" si="19"/>
        <v>-465.15000000000009</v>
      </c>
      <c r="BT16" s="4727">
        <f t="shared" si="20"/>
        <v>-49.409402817021103</v>
      </c>
      <c r="BU16" s="657"/>
      <c r="BV16" s="657"/>
      <c r="BW16" s="657"/>
      <c r="BX16" s="657"/>
    </row>
    <row r="17" spans="1:76" ht="18.75">
      <c r="A17" s="4728" t="s">
        <v>25</v>
      </c>
      <c r="B17" s="4853">
        <f>SUM('Произв. прогр. Вода (СВОД)'!E21)</f>
        <v>1.7850000000000001</v>
      </c>
      <c r="C17" s="4853">
        <f>SUM('ПОЛНАЯ СЕБЕСТОИМОСТЬ ВОДА 2018'!C17)</f>
        <v>0.14000000000000001</v>
      </c>
      <c r="D17" s="4854">
        <v>0.27</v>
      </c>
      <c r="E17" s="4853">
        <f>SUM('Произв. прогр. Вода (СВОД)'!F21)</f>
        <v>1.7850000000000001</v>
      </c>
      <c r="F17" s="4853">
        <f>SUM('ПОЛНАЯ СЕБЕСТОИМОСТЬ ВОДА 2018'!D17)</f>
        <v>0.18</v>
      </c>
      <c r="G17" s="4854">
        <v>0.25</v>
      </c>
      <c r="H17" s="4853">
        <f>SUM('Произв. прогр. Вода (СВОД)'!G21)</f>
        <v>1.7850000000000001</v>
      </c>
      <c r="I17" s="4853">
        <f>SUM('ПОЛНАЯ СЕБЕСТОИМОСТЬ ВОДА 2018'!E17)</f>
        <v>0.12</v>
      </c>
      <c r="J17" s="4854">
        <v>0.15</v>
      </c>
      <c r="K17" s="4848">
        <f t="shared" si="33"/>
        <v>5.3550000000000004</v>
      </c>
      <c r="L17" s="4848">
        <f t="shared" si="33"/>
        <v>0.44</v>
      </c>
      <c r="M17" s="4848">
        <f t="shared" si="33"/>
        <v>0.67</v>
      </c>
      <c r="N17" s="4734">
        <f t="shared" si="7"/>
        <v>-4.915</v>
      </c>
      <c r="O17" s="4734">
        <f t="shared" si="8"/>
        <v>-91.783380018674137</v>
      </c>
      <c r="P17" s="4853">
        <f>SUM('Произв. прогр. Вода (СВОД)'!I21)</f>
        <v>1.7850000000000001</v>
      </c>
      <c r="Q17" s="4853">
        <f>SUM('ПОЛНАЯ СЕБЕСТОИМОСТЬ ВОДА 2018'!H17)</f>
        <v>0.32</v>
      </c>
      <c r="R17" s="4854">
        <v>0.18</v>
      </c>
      <c r="S17" s="4853">
        <f>SUM('Произв. прогр. Вода (СВОД)'!J21)</f>
        <v>1.7850000000000001</v>
      </c>
      <c r="T17" s="4853">
        <f>SUM('ПОЛНАЯ СЕБЕСТОИМОСТЬ ВОДА 2018'!I17)</f>
        <v>0.1</v>
      </c>
      <c r="U17" s="4854">
        <v>0.1</v>
      </c>
      <c r="V17" s="4853">
        <f>SUM('Произв. прогр. Вода (СВОД)'!K21)</f>
        <v>1.7850000000000001</v>
      </c>
      <c r="W17" s="4853">
        <f>SUM('ПОЛНАЯ СЕБЕСТОИМОСТЬ ВОДА 2018'!J17)</f>
        <v>0.09</v>
      </c>
      <c r="X17" s="4854">
        <v>0.13</v>
      </c>
      <c r="Y17" s="4848">
        <f t="shared" si="34"/>
        <v>5.3550000000000004</v>
      </c>
      <c r="Z17" s="4848">
        <f t="shared" si="34"/>
        <v>0.51</v>
      </c>
      <c r="AA17" s="4848">
        <f t="shared" si="34"/>
        <v>0.41000000000000003</v>
      </c>
      <c r="AB17" s="4734">
        <f t="shared" si="9"/>
        <v>-4.8450000000000006</v>
      </c>
      <c r="AC17" s="4734">
        <f t="shared" si="10"/>
        <v>-90.476190476190482</v>
      </c>
      <c r="AD17" s="4848">
        <f t="shared" si="35"/>
        <v>10.71</v>
      </c>
      <c r="AE17" s="4848">
        <f t="shared" si="35"/>
        <v>0.95</v>
      </c>
      <c r="AF17" s="4848">
        <f t="shared" si="35"/>
        <v>1.08</v>
      </c>
      <c r="AG17" s="4734">
        <f t="shared" si="11"/>
        <v>-9.7600000000000016</v>
      </c>
      <c r="AH17" s="4734">
        <f t="shared" si="12"/>
        <v>-91.129785247432309</v>
      </c>
      <c r="AI17" s="4853">
        <f>SUM('Произв. прогр. Вода (СВОД)'!N21)</f>
        <v>1.7850000000000001</v>
      </c>
      <c r="AJ17" s="4853">
        <f>SUM('ПОЛНАЯ СЕБЕСТОИМОСТЬ ВОДА 2018'!P17)</f>
        <v>0</v>
      </c>
      <c r="AK17" s="4854">
        <v>0.14000000000000001</v>
      </c>
      <c r="AL17" s="4853">
        <f>SUM('Произв. прогр. Вода (СВОД)'!O21)</f>
        <v>1.7850000000000001</v>
      </c>
      <c r="AM17" s="4853">
        <f>SUM('ПОЛНАЯ СЕБЕСТОИМОСТЬ ВОДА 2018'!Q17)</f>
        <v>0</v>
      </c>
      <c r="AN17" s="4854">
        <v>0.17</v>
      </c>
      <c r="AO17" s="4853">
        <f>SUM('Произв. прогр. Вода (СВОД)'!P21)</f>
        <v>1.7850000000000001</v>
      </c>
      <c r="AP17" s="4853">
        <f>SUM('ПОЛНАЯ СЕБЕСТОИМОСТЬ ВОДА 2018'!R17)</f>
        <v>0</v>
      </c>
      <c r="AQ17" s="4854">
        <v>0</v>
      </c>
      <c r="AR17" s="4848">
        <f t="shared" si="36"/>
        <v>5.3550000000000004</v>
      </c>
      <c r="AS17" s="4848">
        <f t="shared" si="36"/>
        <v>0</v>
      </c>
      <c r="AT17" s="4848">
        <f t="shared" si="36"/>
        <v>0.31000000000000005</v>
      </c>
      <c r="AU17" s="4734">
        <f t="shared" si="13"/>
        <v>-5.3550000000000004</v>
      </c>
      <c r="AV17" s="4734">
        <f t="shared" si="14"/>
        <v>-100</v>
      </c>
      <c r="AW17" s="4848">
        <f t="shared" si="37"/>
        <v>16.065000000000001</v>
      </c>
      <c r="AX17" s="4848">
        <f t="shared" si="37"/>
        <v>0.95</v>
      </c>
      <c r="AY17" s="4848">
        <f t="shared" si="37"/>
        <v>1.3900000000000001</v>
      </c>
      <c r="AZ17" s="4734">
        <f t="shared" si="15"/>
        <v>-15.115000000000002</v>
      </c>
      <c r="BA17" s="4734">
        <f t="shared" si="16"/>
        <v>-94.086523498288216</v>
      </c>
      <c r="BB17" s="4853">
        <f>SUM('Произв. прогр. Вода (СВОД)'!S21)</f>
        <v>1.7850000000000001</v>
      </c>
      <c r="BC17" s="4853">
        <f>SUM('ПОЛНАЯ СЕБЕСТОИМОСТЬ ВОДА 2018'!X17)</f>
        <v>0</v>
      </c>
      <c r="BD17" s="4854">
        <v>0.06</v>
      </c>
      <c r="BE17" s="4853">
        <f>SUM('Произв. прогр. Вода (СВОД)'!T21)</f>
        <v>1.7850000000000001</v>
      </c>
      <c r="BF17" s="4853">
        <f>SUM('ПОЛНАЯ СЕБЕСТОИМОСТЬ ВОДА 2018'!Y17)</f>
        <v>0</v>
      </c>
      <c r="BG17" s="4854">
        <v>0.18</v>
      </c>
      <c r="BH17" s="4853">
        <f>SUM('Произв. прогр. Вода (СВОД)'!U21)</f>
        <v>1.7850000000000001</v>
      </c>
      <c r="BI17" s="4853">
        <f>SUM('ПОЛНАЯ СЕБЕСТОИМОСТЬ ВОДА 2018'!Z17)</f>
        <v>0</v>
      </c>
      <c r="BJ17" s="4854">
        <v>0.14000000000000001</v>
      </c>
      <c r="BK17" s="4848">
        <f t="shared" si="38"/>
        <v>5.3550000000000004</v>
      </c>
      <c r="BL17" s="4848">
        <f t="shared" si="38"/>
        <v>0</v>
      </c>
      <c r="BM17" s="4848">
        <f t="shared" si="38"/>
        <v>0.38</v>
      </c>
      <c r="BN17" s="4734">
        <f t="shared" si="17"/>
        <v>-5.3550000000000004</v>
      </c>
      <c r="BO17" s="4734">
        <f t="shared" si="18"/>
        <v>-100</v>
      </c>
      <c r="BP17" s="4848">
        <f t="shared" si="39"/>
        <v>21.42</v>
      </c>
      <c r="BQ17" s="4848">
        <f t="shared" si="39"/>
        <v>0.95</v>
      </c>
      <c r="BR17" s="4848">
        <f t="shared" si="39"/>
        <v>1.77</v>
      </c>
      <c r="BS17" s="4734">
        <f t="shared" si="19"/>
        <v>-20.470000000000002</v>
      </c>
      <c r="BT17" s="4734">
        <f t="shared" si="20"/>
        <v>-95.564892623716162</v>
      </c>
      <c r="BU17" s="657"/>
      <c r="BV17" s="657"/>
      <c r="BW17" s="657"/>
      <c r="BX17" s="657"/>
    </row>
    <row r="18" spans="1:76" ht="18.75">
      <c r="A18" s="4721" t="s">
        <v>1711</v>
      </c>
      <c r="B18" s="4850">
        <f>SUM('Произв. прогр. Вода (СВОД)'!E22)</f>
        <v>27.360000000000003</v>
      </c>
      <c r="C18" s="4850">
        <f>SUM('ПОЛНАЯ СЕБЕСТОИМОСТЬ ВОДА 2018'!C18)</f>
        <v>28.15</v>
      </c>
      <c r="D18" s="4850">
        <f t="shared" ref="D18:BR18" si="40">SUM(D19:D20)</f>
        <v>29.37</v>
      </c>
      <c r="E18" s="4850">
        <f>SUM('Произв. прогр. Вода (СВОД)'!F22)</f>
        <v>27.200000000000003</v>
      </c>
      <c r="F18" s="4850">
        <f>SUM('ПОЛНАЯ СЕБЕСТОИМОСТЬ ВОДА 2018'!D18)</f>
        <v>28.2</v>
      </c>
      <c r="G18" s="4850">
        <f t="shared" si="40"/>
        <v>29.59</v>
      </c>
      <c r="H18" s="4850">
        <f>SUM('Произв. прогр. Вода (СВОД)'!G22)</f>
        <v>27.200000000000003</v>
      </c>
      <c r="I18" s="4850">
        <f>SUM('ПОЛНАЯ СЕБЕСТОИМОСТЬ ВОДА 2018'!E18)</f>
        <v>24.8</v>
      </c>
      <c r="J18" s="4850">
        <f t="shared" si="40"/>
        <v>26.58</v>
      </c>
      <c r="K18" s="4846">
        <f t="shared" si="40"/>
        <v>81.760000000000005</v>
      </c>
      <c r="L18" s="4846">
        <f t="shared" si="40"/>
        <v>81.149999999999991</v>
      </c>
      <c r="M18" s="4846">
        <f t="shared" si="40"/>
        <v>85.539999999999992</v>
      </c>
      <c r="N18" s="4724">
        <f t="shared" si="7"/>
        <v>-0.61000000000001364</v>
      </c>
      <c r="O18" s="4724">
        <f t="shared" si="8"/>
        <v>-0.74608610567516342</v>
      </c>
      <c r="P18" s="4850">
        <f>SUM('Произв. прогр. Вода (СВОД)'!I22)</f>
        <v>27.04</v>
      </c>
      <c r="Q18" s="4850">
        <f>SUM('ПОЛНАЯ СЕБЕСТОИМОСТЬ ВОДА 2018'!H18)</f>
        <v>25.77</v>
      </c>
      <c r="R18" s="4850">
        <f t="shared" si="40"/>
        <v>28.3</v>
      </c>
      <c r="S18" s="4850">
        <f>SUM('Произв. прогр. Вода (СВОД)'!J22)</f>
        <v>25.6</v>
      </c>
      <c r="T18" s="4850">
        <f>SUM('ПОЛНАЯ СЕБЕСТОИМОСТЬ ВОДА 2018'!I18)</f>
        <v>25.9</v>
      </c>
      <c r="U18" s="4850">
        <f t="shared" si="40"/>
        <v>25.53</v>
      </c>
      <c r="V18" s="4850">
        <f>SUM('Произв. прогр. Вода (СВОД)'!K22)</f>
        <v>25.6</v>
      </c>
      <c r="W18" s="4850">
        <f>SUM('ПОЛНАЯ СЕБЕСТОИМОСТЬ ВОДА 2018'!J18)</f>
        <v>26.79</v>
      </c>
      <c r="X18" s="4850">
        <f t="shared" si="40"/>
        <v>26.74</v>
      </c>
      <c r="Y18" s="4846">
        <f t="shared" si="40"/>
        <v>78.240000000000009</v>
      </c>
      <c r="Z18" s="4846">
        <f t="shared" si="40"/>
        <v>78.460000000000008</v>
      </c>
      <c r="AA18" s="4846">
        <f t="shared" si="40"/>
        <v>80.569999999999993</v>
      </c>
      <c r="AB18" s="4724">
        <f t="shared" si="9"/>
        <v>0.21999999999999886</v>
      </c>
      <c r="AC18" s="4724">
        <f t="shared" si="10"/>
        <v>0.28118609406952821</v>
      </c>
      <c r="AD18" s="4846">
        <f t="shared" si="40"/>
        <v>160</v>
      </c>
      <c r="AE18" s="4846">
        <f t="shared" si="40"/>
        <v>159.61000000000001</v>
      </c>
      <c r="AF18" s="4846">
        <f t="shared" si="40"/>
        <v>166.10999999999999</v>
      </c>
      <c r="AG18" s="4724">
        <f t="shared" si="11"/>
        <v>-0.38999999999998636</v>
      </c>
      <c r="AH18" s="4724">
        <f t="shared" si="12"/>
        <v>-0.24374999999999145</v>
      </c>
      <c r="AI18" s="4850">
        <f>SUM('Произв. прогр. Вода (СВОД)'!N22)</f>
        <v>25.6</v>
      </c>
      <c r="AJ18" s="4850">
        <f>SUM('ПОЛНАЯ СЕБЕСТОИМОСТЬ ВОДА 2018'!P18)</f>
        <v>0</v>
      </c>
      <c r="AK18" s="4850">
        <f t="shared" si="40"/>
        <v>18.43</v>
      </c>
      <c r="AL18" s="4850">
        <f>SUM('Произв. прогр. Вода (СВОД)'!O22)</f>
        <v>25.6</v>
      </c>
      <c r="AM18" s="4850">
        <f>SUM('ПОЛНАЯ СЕБЕСТОИМОСТЬ ВОДА 2018'!Q18)</f>
        <v>0</v>
      </c>
      <c r="AN18" s="4850">
        <f t="shared" si="40"/>
        <v>22.35</v>
      </c>
      <c r="AO18" s="4850">
        <f>SUM('Произв. прогр. Вода (СВОД)'!P22)</f>
        <v>27.04</v>
      </c>
      <c r="AP18" s="4850">
        <f>SUM('ПОЛНАЯ СЕБЕСТОИМОСТЬ ВОДА 2018'!R18)</f>
        <v>0</v>
      </c>
      <c r="AQ18" s="4850">
        <f t="shared" si="40"/>
        <v>26.79</v>
      </c>
      <c r="AR18" s="4846">
        <f t="shared" si="40"/>
        <v>78.240000000000009</v>
      </c>
      <c r="AS18" s="4846">
        <f t="shared" si="40"/>
        <v>0</v>
      </c>
      <c r="AT18" s="4846">
        <f t="shared" si="40"/>
        <v>67.569999999999993</v>
      </c>
      <c r="AU18" s="4724">
        <f t="shared" si="13"/>
        <v>-78.240000000000009</v>
      </c>
      <c r="AV18" s="4724">
        <f t="shared" si="14"/>
        <v>-100</v>
      </c>
      <c r="AW18" s="4846">
        <f t="shared" si="40"/>
        <v>238.24</v>
      </c>
      <c r="AX18" s="4846">
        <f t="shared" si="40"/>
        <v>159.61000000000001</v>
      </c>
      <c r="AY18" s="4846">
        <f t="shared" si="40"/>
        <v>233.67999999999998</v>
      </c>
      <c r="AZ18" s="4724">
        <f t="shared" si="15"/>
        <v>-78.63</v>
      </c>
      <c r="BA18" s="4724">
        <f t="shared" si="16"/>
        <v>-33.004533243787776</v>
      </c>
      <c r="BB18" s="4850">
        <f>SUM('Произв. прогр. Вода (СВОД)'!S22)</f>
        <v>27.200000000000003</v>
      </c>
      <c r="BC18" s="4850">
        <f>SUM('ПОЛНАЯ СЕБЕСТОИМОСТЬ ВОДА 2018'!X18)</f>
        <v>0</v>
      </c>
      <c r="BD18" s="4850">
        <f t="shared" si="40"/>
        <v>27.34</v>
      </c>
      <c r="BE18" s="4850">
        <f>SUM('Произв. прогр. Вода (СВОД)'!T22)</f>
        <v>27.200000000000003</v>
      </c>
      <c r="BF18" s="4850">
        <f>SUM('ПОЛНАЯ СЕБЕСТОИМОСТЬ ВОДА 2018'!Y18)</f>
        <v>0</v>
      </c>
      <c r="BG18" s="4850">
        <f t="shared" si="40"/>
        <v>27.11</v>
      </c>
      <c r="BH18" s="4850">
        <f>SUM('Произв. прогр. Вода (СВОД)'!U22)</f>
        <v>27.360000000000003</v>
      </c>
      <c r="BI18" s="4850">
        <f>SUM('ПОЛНАЯ СЕБЕСТОИМОСТЬ ВОДА 2018'!Z18)</f>
        <v>0</v>
      </c>
      <c r="BJ18" s="4850">
        <f t="shared" si="40"/>
        <v>24.62</v>
      </c>
      <c r="BK18" s="4846">
        <f t="shared" si="40"/>
        <v>81.760000000000005</v>
      </c>
      <c r="BL18" s="4846">
        <f t="shared" si="40"/>
        <v>0</v>
      </c>
      <c r="BM18" s="4846">
        <f t="shared" si="40"/>
        <v>79.070000000000007</v>
      </c>
      <c r="BN18" s="4724">
        <f t="shared" si="17"/>
        <v>-81.760000000000005</v>
      </c>
      <c r="BO18" s="4724">
        <f t="shared" si="18"/>
        <v>-100</v>
      </c>
      <c r="BP18" s="4846">
        <f t="shared" si="40"/>
        <v>320</v>
      </c>
      <c r="BQ18" s="4846">
        <f>SUM(BQ19:BQ20)</f>
        <v>159.61000000000001</v>
      </c>
      <c r="BR18" s="4846">
        <f t="shared" si="40"/>
        <v>312.75</v>
      </c>
      <c r="BS18" s="4724">
        <f t="shared" si="19"/>
        <v>-160.38999999999999</v>
      </c>
      <c r="BT18" s="4724">
        <f t="shared" si="20"/>
        <v>-50.121874999999996</v>
      </c>
      <c r="BU18" s="657"/>
      <c r="BV18" s="657"/>
      <c r="BW18" s="657"/>
      <c r="BX18" s="657"/>
    </row>
    <row r="19" spans="1:76" ht="18.75">
      <c r="A19" s="4728" t="s">
        <v>654</v>
      </c>
      <c r="B19" s="4853">
        <f>SUM('Произв. прогр. Вода (СВОД)'!E23)</f>
        <v>27.360000000000003</v>
      </c>
      <c r="C19" s="4853">
        <f>SUM('ПОЛНАЯ СЕБЕСТОИМОСТЬ ВОДА 2018'!C19)</f>
        <v>28.15</v>
      </c>
      <c r="D19" s="4854">
        <v>29.37</v>
      </c>
      <c r="E19" s="4853">
        <f>SUM('Произв. прогр. Вода (СВОД)'!F23)</f>
        <v>27.200000000000003</v>
      </c>
      <c r="F19" s="4853">
        <f>SUM('ПОЛНАЯ СЕБЕСТОИМОСТЬ ВОДА 2018'!D19)</f>
        <v>28.2</v>
      </c>
      <c r="G19" s="4854">
        <v>29.59</v>
      </c>
      <c r="H19" s="4853">
        <f>SUM('Произв. прогр. Вода (СВОД)'!G23)</f>
        <v>27.200000000000003</v>
      </c>
      <c r="I19" s="4853">
        <f>SUM('ПОЛНАЯ СЕБЕСТОИМОСТЬ ВОДА 2018'!E19)</f>
        <v>24.8</v>
      </c>
      <c r="J19" s="4854">
        <v>26.58</v>
      </c>
      <c r="K19" s="4848">
        <f t="shared" ref="K19:M20" si="41">SUM(B19+E19+H19)</f>
        <v>81.760000000000005</v>
      </c>
      <c r="L19" s="4848">
        <f t="shared" si="41"/>
        <v>81.149999999999991</v>
      </c>
      <c r="M19" s="4848">
        <f t="shared" si="41"/>
        <v>85.539999999999992</v>
      </c>
      <c r="N19" s="4734">
        <f t="shared" si="7"/>
        <v>-0.61000000000001364</v>
      </c>
      <c r="O19" s="4734">
        <f t="shared" si="8"/>
        <v>-0.74608610567516342</v>
      </c>
      <c r="P19" s="4853">
        <f>SUM('Произв. прогр. Вода (СВОД)'!I23)</f>
        <v>27.04</v>
      </c>
      <c r="Q19" s="4853">
        <f>SUM('ПОЛНАЯ СЕБЕСТОИМОСТЬ ВОДА 2018'!H19)</f>
        <v>25.77</v>
      </c>
      <c r="R19" s="4854">
        <v>28.3</v>
      </c>
      <c r="S19" s="4853">
        <f>SUM('Произв. прогр. Вода (СВОД)'!J23)</f>
        <v>25.6</v>
      </c>
      <c r="T19" s="4853">
        <f>SUM('ПОЛНАЯ СЕБЕСТОИМОСТЬ ВОДА 2018'!I19)</f>
        <v>25.9</v>
      </c>
      <c r="U19" s="4854">
        <v>25.53</v>
      </c>
      <c r="V19" s="4853">
        <f>SUM('Произв. прогр. Вода (СВОД)'!K23)</f>
        <v>25.6</v>
      </c>
      <c r="W19" s="4853">
        <f>SUM('ПОЛНАЯ СЕБЕСТОИМОСТЬ ВОДА 2018'!J19)</f>
        <v>26.79</v>
      </c>
      <c r="X19" s="4854">
        <v>26.74</v>
      </c>
      <c r="Y19" s="4848">
        <f t="shared" ref="Y19:AA20" si="42">SUM(P19+S19+V19)</f>
        <v>78.240000000000009</v>
      </c>
      <c r="Z19" s="4848">
        <f t="shared" si="42"/>
        <v>78.460000000000008</v>
      </c>
      <c r="AA19" s="4848">
        <f t="shared" si="42"/>
        <v>80.569999999999993</v>
      </c>
      <c r="AB19" s="4734">
        <f t="shared" si="9"/>
        <v>0.21999999999999886</v>
      </c>
      <c r="AC19" s="4734">
        <f t="shared" si="10"/>
        <v>0.28118609406952821</v>
      </c>
      <c r="AD19" s="4848">
        <f t="shared" ref="AD19:AF20" si="43">SUM(K19+Y19)</f>
        <v>160</v>
      </c>
      <c r="AE19" s="4848">
        <f t="shared" si="43"/>
        <v>159.61000000000001</v>
      </c>
      <c r="AF19" s="4848">
        <f t="shared" si="43"/>
        <v>166.10999999999999</v>
      </c>
      <c r="AG19" s="4734">
        <f t="shared" si="11"/>
        <v>-0.38999999999998636</v>
      </c>
      <c r="AH19" s="4734">
        <f t="shared" si="12"/>
        <v>-0.24374999999999145</v>
      </c>
      <c r="AI19" s="4853">
        <f>SUM('Произв. прогр. Вода (СВОД)'!N23)</f>
        <v>25.6</v>
      </c>
      <c r="AJ19" s="4853">
        <f>SUM('ПОЛНАЯ СЕБЕСТОИМОСТЬ ВОДА 2018'!P19)</f>
        <v>0</v>
      </c>
      <c r="AK19" s="4854">
        <v>18.43</v>
      </c>
      <c r="AL19" s="4853">
        <f>SUM('Произв. прогр. Вода (СВОД)'!O23)</f>
        <v>25.6</v>
      </c>
      <c r="AM19" s="4853">
        <f>SUM('ПОЛНАЯ СЕБЕСТОИМОСТЬ ВОДА 2018'!Q19)</f>
        <v>0</v>
      </c>
      <c r="AN19" s="4854">
        <v>22.35</v>
      </c>
      <c r="AO19" s="4853">
        <f>SUM('Произв. прогр. Вода (СВОД)'!P23)</f>
        <v>27.04</v>
      </c>
      <c r="AP19" s="4853">
        <f>SUM('ПОЛНАЯ СЕБЕСТОИМОСТЬ ВОДА 2018'!R19)</f>
        <v>0</v>
      </c>
      <c r="AQ19" s="4854">
        <v>26.79</v>
      </c>
      <c r="AR19" s="4848">
        <f t="shared" ref="AR19:AT20" si="44">SUM(AI19+AL19+AO19)</f>
        <v>78.240000000000009</v>
      </c>
      <c r="AS19" s="4848">
        <f t="shared" si="44"/>
        <v>0</v>
      </c>
      <c r="AT19" s="4848">
        <f t="shared" si="44"/>
        <v>67.569999999999993</v>
      </c>
      <c r="AU19" s="4734">
        <f t="shared" si="13"/>
        <v>-78.240000000000009</v>
      </c>
      <c r="AV19" s="4734">
        <f t="shared" si="14"/>
        <v>-100</v>
      </c>
      <c r="AW19" s="4848">
        <f t="shared" ref="AW19:AY20" si="45">SUM(AD19+AR19)</f>
        <v>238.24</v>
      </c>
      <c r="AX19" s="4848">
        <f t="shared" si="45"/>
        <v>159.61000000000001</v>
      </c>
      <c r="AY19" s="4848">
        <f t="shared" si="45"/>
        <v>233.67999999999998</v>
      </c>
      <c r="AZ19" s="4734">
        <f t="shared" si="15"/>
        <v>-78.63</v>
      </c>
      <c r="BA19" s="4734">
        <f t="shared" si="16"/>
        <v>-33.004533243787776</v>
      </c>
      <c r="BB19" s="4853">
        <f>SUM('Произв. прогр. Вода (СВОД)'!S23)</f>
        <v>27.200000000000003</v>
      </c>
      <c r="BC19" s="4853">
        <f>SUM('ПОЛНАЯ СЕБЕСТОИМОСТЬ ВОДА 2018'!X19)</f>
        <v>0</v>
      </c>
      <c r="BD19" s="4854">
        <v>27.34</v>
      </c>
      <c r="BE19" s="4853">
        <f>SUM('Произв. прогр. Вода (СВОД)'!T23)</f>
        <v>27.200000000000003</v>
      </c>
      <c r="BF19" s="4853">
        <f>SUM('ПОЛНАЯ СЕБЕСТОИМОСТЬ ВОДА 2018'!Y19)</f>
        <v>0</v>
      </c>
      <c r="BG19" s="4854">
        <v>27.11</v>
      </c>
      <c r="BH19" s="4853">
        <f>SUM('Произв. прогр. Вода (СВОД)'!U23)</f>
        <v>27.360000000000003</v>
      </c>
      <c r="BI19" s="4853">
        <f>SUM('ПОЛНАЯ СЕБЕСТОИМОСТЬ ВОДА 2018'!Z19)</f>
        <v>0</v>
      </c>
      <c r="BJ19" s="4854">
        <v>24.62</v>
      </c>
      <c r="BK19" s="4848">
        <f t="shared" ref="BK19:BM20" si="46">SUM(BB19+BE19+BH19)</f>
        <v>81.760000000000005</v>
      </c>
      <c r="BL19" s="4848">
        <f t="shared" si="46"/>
        <v>0</v>
      </c>
      <c r="BM19" s="4848">
        <f t="shared" si="46"/>
        <v>79.070000000000007</v>
      </c>
      <c r="BN19" s="4734">
        <f t="shared" si="17"/>
        <v>-81.760000000000005</v>
      </c>
      <c r="BO19" s="4734">
        <f t="shared" si="18"/>
        <v>-100</v>
      </c>
      <c r="BP19" s="4848">
        <f t="shared" ref="BP19:BR20" si="47">SUM(AW19+BK19)</f>
        <v>320</v>
      </c>
      <c r="BQ19" s="4848">
        <f t="shared" si="47"/>
        <v>159.61000000000001</v>
      </c>
      <c r="BR19" s="4848">
        <f t="shared" si="47"/>
        <v>312.75</v>
      </c>
      <c r="BS19" s="4734">
        <f t="shared" si="19"/>
        <v>-160.38999999999999</v>
      </c>
      <c r="BT19" s="4734">
        <f t="shared" si="20"/>
        <v>-50.121874999999996</v>
      </c>
      <c r="BU19" s="657"/>
      <c r="BV19" s="657"/>
      <c r="BW19" s="657"/>
      <c r="BX19" s="657"/>
    </row>
    <row r="20" spans="1:76" ht="18.75">
      <c r="A20" s="4728" t="s">
        <v>655</v>
      </c>
      <c r="B20" s="4853">
        <f>SUM('Произв. прогр. Вода (СВОД)'!E24)</f>
        <v>0</v>
      </c>
      <c r="C20" s="4853">
        <f>SUM('ПОЛНАЯ СЕБЕСТОИМОСТЬ ВОДА 2018'!C20)</f>
        <v>0</v>
      </c>
      <c r="D20" s="4854">
        <v>0</v>
      </c>
      <c r="E20" s="4853">
        <f>SUM('Произв. прогр. Вода (СВОД)'!F24)</f>
        <v>0</v>
      </c>
      <c r="F20" s="4853">
        <f>SUM('ПОЛНАЯ СЕБЕСТОИМОСТЬ ВОДА 2018'!D20)</f>
        <v>0</v>
      </c>
      <c r="G20" s="4854">
        <v>0</v>
      </c>
      <c r="H20" s="4853">
        <f>SUM('Произв. прогр. Вода (СВОД)'!G24)</f>
        <v>0</v>
      </c>
      <c r="I20" s="4853">
        <f>SUM('ПОЛНАЯ СЕБЕСТОИМОСТЬ ВОДА 2018'!E20)</f>
        <v>0</v>
      </c>
      <c r="J20" s="4854">
        <v>0</v>
      </c>
      <c r="K20" s="4848">
        <f t="shared" si="41"/>
        <v>0</v>
      </c>
      <c r="L20" s="4848">
        <f t="shared" si="41"/>
        <v>0</v>
      </c>
      <c r="M20" s="4848">
        <f t="shared" si="41"/>
        <v>0</v>
      </c>
      <c r="N20" s="4734">
        <f t="shared" si="7"/>
        <v>0</v>
      </c>
      <c r="O20" s="4734" t="e">
        <f t="shared" si="8"/>
        <v>#DIV/0!</v>
      </c>
      <c r="P20" s="4853">
        <f>SUM('Произв. прогр. Вода (СВОД)'!I24)</f>
        <v>0</v>
      </c>
      <c r="Q20" s="4853">
        <f>SUM('ПОЛНАЯ СЕБЕСТОИМОСТЬ ВОДА 2018'!H20)</f>
        <v>0</v>
      </c>
      <c r="R20" s="4854">
        <v>0</v>
      </c>
      <c r="S20" s="4853">
        <f>SUM('Произв. прогр. Вода (СВОД)'!J24)</f>
        <v>0</v>
      </c>
      <c r="T20" s="4853">
        <f>SUM('ПОЛНАЯ СЕБЕСТОИМОСТЬ ВОДА 2018'!I20)</f>
        <v>0</v>
      </c>
      <c r="U20" s="4854">
        <v>0</v>
      </c>
      <c r="V20" s="4853">
        <f>SUM('Произв. прогр. Вода (СВОД)'!K24)</f>
        <v>0</v>
      </c>
      <c r="W20" s="4853">
        <f>SUM('ПОЛНАЯ СЕБЕСТОИМОСТЬ ВОДА 2018'!J20)</f>
        <v>0</v>
      </c>
      <c r="X20" s="4854">
        <v>0</v>
      </c>
      <c r="Y20" s="4848">
        <f t="shared" si="42"/>
        <v>0</v>
      </c>
      <c r="Z20" s="4848">
        <f t="shared" si="42"/>
        <v>0</v>
      </c>
      <c r="AA20" s="4848">
        <f t="shared" si="42"/>
        <v>0</v>
      </c>
      <c r="AB20" s="4734">
        <f t="shared" si="9"/>
        <v>0</v>
      </c>
      <c r="AC20" s="4734" t="e">
        <f t="shared" si="10"/>
        <v>#DIV/0!</v>
      </c>
      <c r="AD20" s="4848">
        <f t="shared" si="43"/>
        <v>0</v>
      </c>
      <c r="AE20" s="4848">
        <f t="shared" si="43"/>
        <v>0</v>
      </c>
      <c r="AF20" s="4848">
        <f t="shared" si="43"/>
        <v>0</v>
      </c>
      <c r="AG20" s="4734">
        <f t="shared" si="11"/>
        <v>0</v>
      </c>
      <c r="AH20" s="4734" t="e">
        <f t="shared" si="12"/>
        <v>#DIV/0!</v>
      </c>
      <c r="AI20" s="4853">
        <f>SUM('Произв. прогр. Вода (СВОД)'!N24)</f>
        <v>0</v>
      </c>
      <c r="AJ20" s="4853">
        <f>SUM('ПОЛНАЯ СЕБЕСТОИМОСТЬ ВОДА 2018'!P20)</f>
        <v>0</v>
      </c>
      <c r="AK20" s="4854">
        <v>0</v>
      </c>
      <c r="AL20" s="4853">
        <f>SUM('Произв. прогр. Вода (СВОД)'!O24)</f>
        <v>0</v>
      </c>
      <c r="AM20" s="4853">
        <f>SUM('ПОЛНАЯ СЕБЕСТОИМОСТЬ ВОДА 2018'!Q20)</f>
        <v>0</v>
      </c>
      <c r="AN20" s="4854">
        <v>0</v>
      </c>
      <c r="AO20" s="4853">
        <f>SUM('Произв. прогр. Вода (СВОД)'!P24)</f>
        <v>0</v>
      </c>
      <c r="AP20" s="4853">
        <f>SUM('ПОЛНАЯ СЕБЕСТОИМОСТЬ ВОДА 2018'!R20)</f>
        <v>0</v>
      </c>
      <c r="AQ20" s="4854">
        <v>0</v>
      </c>
      <c r="AR20" s="4848">
        <f t="shared" si="44"/>
        <v>0</v>
      </c>
      <c r="AS20" s="4848">
        <f t="shared" si="44"/>
        <v>0</v>
      </c>
      <c r="AT20" s="4848">
        <f t="shared" si="44"/>
        <v>0</v>
      </c>
      <c r="AU20" s="4734">
        <f t="shared" si="13"/>
        <v>0</v>
      </c>
      <c r="AV20" s="4734" t="e">
        <f t="shared" si="14"/>
        <v>#DIV/0!</v>
      </c>
      <c r="AW20" s="4848">
        <f t="shared" si="45"/>
        <v>0</v>
      </c>
      <c r="AX20" s="4848">
        <f t="shared" si="45"/>
        <v>0</v>
      </c>
      <c r="AY20" s="4848">
        <f t="shared" si="45"/>
        <v>0</v>
      </c>
      <c r="AZ20" s="4734">
        <f t="shared" si="15"/>
        <v>0</v>
      </c>
      <c r="BA20" s="4734" t="e">
        <f t="shared" si="16"/>
        <v>#DIV/0!</v>
      </c>
      <c r="BB20" s="4853">
        <f>SUM('Произв. прогр. Вода (СВОД)'!S24)</f>
        <v>0</v>
      </c>
      <c r="BC20" s="4853">
        <f>SUM('ПОЛНАЯ СЕБЕСТОИМОСТЬ ВОДА 2018'!X20)</f>
        <v>0</v>
      </c>
      <c r="BD20" s="4854">
        <v>0</v>
      </c>
      <c r="BE20" s="4853">
        <f>SUM('Произв. прогр. Вода (СВОД)'!T24)</f>
        <v>0</v>
      </c>
      <c r="BF20" s="4853">
        <f>SUM('ПОЛНАЯ СЕБЕСТОИМОСТЬ ВОДА 2018'!Y20)</f>
        <v>0</v>
      </c>
      <c r="BG20" s="4854">
        <v>0</v>
      </c>
      <c r="BH20" s="4853">
        <f>SUM('Произв. прогр. Вода (СВОД)'!U24)</f>
        <v>0</v>
      </c>
      <c r="BI20" s="4853">
        <f>SUM('ПОЛНАЯ СЕБЕСТОИМОСТЬ ВОДА 2018'!Z20)</f>
        <v>0</v>
      </c>
      <c r="BJ20" s="4854">
        <v>0</v>
      </c>
      <c r="BK20" s="4848">
        <f t="shared" si="46"/>
        <v>0</v>
      </c>
      <c r="BL20" s="4848">
        <f t="shared" si="46"/>
        <v>0</v>
      </c>
      <c r="BM20" s="4848">
        <f t="shared" si="46"/>
        <v>0</v>
      </c>
      <c r="BN20" s="4734">
        <f t="shared" si="17"/>
        <v>0</v>
      </c>
      <c r="BO20" s="4734" t="e">
        <f t="shared" si="18"/>
        <v>#DIV/0!</v>
      </c>
      <c r="BP20" s="4848">
        <f t="shared" si="47"/>
        <v>0</v>
      </c>
      <c r="BQ20" s="4848">
        <f t="shared" si="47"/>
        <v>0</v>
      </c>
      <c r="BR20" s="4849">
        <f t="shared" si="47"/>
        <v>0</v>
      </c>
      <c r="BS20" s="4734">
        <f t="shared" si="19"/>
        <v>0</v>
      </c>
      <c r="BT20" s="4734" t="e">
        <f t="shared" si="20"/>
        <v>#DIV/0!</v>
      </c>
      <c r="BU20" s="657"/>
      <c r="BV20" s="657"/>
      <c r="BW20" s="657"/>
      <c r="BX20" s="657"/>
    </row>
    <row r="21" spans="1:76" ht="18.75">
      <c r="A21" s="4717" t="s">
        <v>2024</v>
      </c>
      <c r="B21" s="4718"/>
      <c r="C21" s="4718"/>
      <c r="D21" s="4718"/>
      <c r="E21" s="4718"/>
      <c r="F21" s="4718"/>
      <c r="G21" s="4718"/>
      <c r="H21" s="4718"/>
      <c r="I21" s="4718"/>
      <c r="J21" s="4718"/>
      <c r="K21" s="4718"/>
      <c r="L21" s="4718"/>
      <c r="M21" s="4718"/>
      <c r="N21" s="4718"/>
      <c r="O21" s="4718"/>
      <c r="P21" s="4718"/>
      <c r="Q21" s="4718"/>
      <c r="R21" s="4718"/>
      <c r="S21" s="4718"/>
      <c r="T21" s="4718"/>
      <c r="U21" s="4718"/>
      <c r="V21" s="4718"/>
      <c r="W21" s="4718"/>
      <c r="X21" s="4718"/>
      <c r="Y21" s="4718"/>
      <c r="Z21" s="4718"/>
      <c r="AA21" s="4718"/>
      <c r="AB21" s="4718"/>
      <c r="AC21" s="4718"/>
      <c r="AD21" s="4718"/>
      <c r="AE21" s="4718"/>
      <c r="AF21" s="4718"/>
      <c r="AG21" s="4718"/>
      <c r="AH21" s="4718"/>
      <c r="AI21" s="4718"/>
      <c r="AJ21" s="4718"/>
      <c r="AK21" s="4718"/>
      <c r="AL21" s="4718"/>
      <c r="AM21" s="4718"/>
      <c r="AN21" s="4718"/>
      <c r="AO21" s="4718"/>
      <c r="AP21" s="4718"/>
      <c r="AQ21" s="4718"/>
      <c r="AR21" s="4718"/>
      <c r="AS21" s="4718"/>
      <c r="AT21" s="4718"/>
      <c r="AU21" s="4718"/>
      <c r="AV21" s="4718"/>
      <c r="AW21" s="4718"/>
      <c r="AX21" s="4718"/>
      <c r="AY21" s="4718"/>
      <c r="AZ21" s="4718"/>
      <c r="BA21" s="4718"/>
      <c r="BB21" s="4718"/>
      <c r="BC21" s="4718"/>
      <c r="BD21" s="4718"/>
      <c r="BE21" s="4718"/>
      <c r="BF21" s="4718"/>
      <c r="BG21" s="4718"/>
      <c r="BH21" s="4718"/>
      <c r="BI21" s="4718"/>
      <c r="BJ21" s="4718"/>
      <c r="BK21" s="4718"/>
      <c r="BL21" s="4718"/>
      <c r="BM21" s="4718"/>
      <c r="BN21" s="4718"/>
      <c r="BO21" s="4718"/>
      <c r="BP21" s="4718"/>
      <c r="BQ21" s="4718"/>
      <c r="BR21" s="4718"/>
      <c r="BS21" s="4718"/>
      <c r="BT21" s="4719"/>
      <c r="BU21" s="657"/>
      <c r="BV21" s="657"/>
      <c r="BW21" s="657"/>
      <c r="BX21" s="657"/>
    </row>
    <row r="22" spans="1:76" ht="20.25" customHeight="1">
      <c r="A22" s="4895" t="s">
        <v>545</v>
      </c>
      <c r="B22" s="4896" t="s">
        <v>2010</v>
      </c>
      <c r="C22" s="4897"/>
      <c r="D22" s="4897"/>
      <c r="E22" s="4896" t="s">
        <v>2011</v>
      </c>
      <c r="F22" s="4897"/>
      <c r="G22" s="4897"/>
      <c r="H22" s="4896" t="s">
        <v>2012</v>
      </c>
      <c r="I22" s="4897"/>
      <c r="J22" s="4897"/>
      <c r="K22" s="4905" t="s">
        <v>1983</v>
      </c>
      <c r="L22" s="4906"/>
      <c r="M22" s="4906"/>
      <c r="N22" s="4907"/>
      <c r="O22" s="4907"/>
      <c r="P22" s="4896" t="s">
        <v>2013</v>
      </c>
      <c r="Q22" s="4897"/>
      <c r="R22" s="4897"/>
      <c r="S22" s="4896" t="s">
        <v>2014</v>
      </c>
      <c r="T22" s="4897"/>
      <c r="U22" s="4897"/>
      <c r="V22" s="4896" t="s">
        <v>2015</v>
      </c>
      <c r="W22" s="4897"/>
      <c r="X22" s="4897"/>
      <c r="Y22" s="4905" t="s">
        <v>1984</v>
      </c>
      <c r="Z22" s="4906"/>
      <c r="AA22" s="4906"/>
      <c r="AB22" s="4907"/>
      <c r="AC22" s="4907"/>
      <c r="AD22" s="4905" t="s">
        <v>1985</v>
      </c>
      <c r="AE22" s="4905"/>
      <c r="AF22" s="4905"/>
      <c r="AG22" s="4905"/>
      <c r="AH22" s="4905"/>
      <c r="AI22" s="4896" t="s">
        <v>1376</v>
      </c>
      <c r="AJ22" s="4897"/>
      <c r="AK22" s="4897"/>
      <c r="AL22" s="4896" t="s">
        <v>2016</v>
      </c>
      <c r="AM22" s="4897"/>
      <c r="AN22" s="4897"/>
      <c r="AO22" s="4896" t="s">
        <v>2017</v>
      </c>
      <c r="AP22" s="4897"/>
      <c r="AQ22" s="4897"/>
      <c r="AR22" s="4905" t="s">
        <v>1986</v>
      </c>
      <c r="AS22" s="4906"/>
      <c r="AT22" s="4906"/>
      <c r="AU22" s="4907"/>
      <c r="AV22" s="4907"/>
      <c r="AW22" s="4905" t="s">
        <v>1987</v>
      </c>
      <c r="AX22" s="4906"/>
      <c r="AY22" s="4906"/>
      <c r="AZ22" s="4907"/>
      <c r="BA22" s="4907"/>
      <c r="BB22" s="4896" t="s">
        <v>2018</v>
      </c>
      <c r="BC22" s="4897"/>
      <c r="BD22" s="4897"/>
      <c r="BE22" s="4896" t="s">
        <v>2019</v>
      </c>
      <c r="BF22" s="4897"/>
      <c r="BG22" s="4897"/>
      <c r="BH22" s="4896" t="s">
        <v>2020</v>
      </c>
      <c r="BI22" s="4897"/>
      <c r="BJ22" s="4897"/>
      <c r="BK22" s="4905" t="s">
        <v>1988</v>
      </c>
      <c r="BL22" s="4906"/>
      <c r="BM22" s="4906"/>
      <c r="BN22" s="4907"/>
      <c r="BO22" s="4907"/>
      <c r="BP22" s="4905" t="s">
        <v>886</v>
      </c>
      <c r="BQ22" s="4906"/>
      <c r="BR22" s="4906"/>
      <c r="BS22" s="4907"/>
      <c r="BT22" s="4907"/>
      <c r="BU22" s="657"/>
      <c r="BV22" s="657"/>
      <c r="BW22" s="657"/>
      <c r="BX22" s="657"/>
    </row>
    <row r="23" spans="1:76" ht="20.25" customHeight="1">
      <c r="A23" s="4895"/>
      <c r="B23" s="4896" t="s">
        <v>1989</v>
      </c>
      <c r="C23" s="4896" t="s">
        <v>1990</v>
      </c>
      <c r="D23" s="4896" t="s">
        <v>2021</v>
      </c>
      <c r="E23" s="4896" t="s">
        <v>1989</v>
      </c>
      <c r="F23" s="4896" t="s">
        <v>1990</v>
      </c>
      <c r="G23" s="4896" t="s">
        <v>2021</v>
      </c>
      <c r="H23" s="4896" t="s">
        <v>1989</v>
      </c>
      <c r="I23" s="4896" t="s">
        <v>1990</v>
      </c>
      <c r="J23" s="4896" t="s">
        <v>2021</v>
      </c>
      <c r="K23" s="4905" t="s">
        <v>1989</v>
      </c>
      <c r="L23" s="4905" t="s">
        <v>1990</v>
      </c>
      <c r="M23" s="4905" t="s">
        <v>2021</v>
      </c>
      <c r="N23" s="4908" t="s">
        <v>2022</v>
      </c>
      <c r="O23" s="4908"/>
      <c r="P23" s="4896" t="s">
        <v>1989</v>
      </c>
      <c r="Q23" s="4896" t="s">
        <v>1990</v>
      </c>
      <c r="R23" s="4896" t="s">
        <v>2021</v>
      </c>
      <c r="S23" s="4896" t="s">
        <v>1989</v>
      </c>
      <c r="T23" s="4896" t="s">
        <v>1990</v>
      </c>
      <c r="U23" s="4896" t="s">
        <v>2021</v>
      </c>
      <c r="V23" s="4896" t="s">
        <v>1989</v>
      </c>
      <c r="W23" s="4896" t="s">
        <v>1990</v>
      </c>
      <c r="X23" s="4896" t="s">
        <v>2021</v>
      </c>
      <c r="Y23" s="4905" t="s">
        <v>1989</v>
      </c>
      <c r="Z23" s="4905" t="s">
        <v>1990</v>
      </c>
      <c r="AA23" s="4905" t="s">
        <v>2021</v>
      </c>
      <c r="AB23" s="4908" t="s">
        <v>2022</v>
      </c>
      <c r="AC23" s="4908"/>
      <c r="AD23" s="4905" t="s">
        <v>1989</v>
      </c>
      <c r="AE23" s="4905" t="s">
        <v>1990</v>
      </c>
      <c r="AF23" s="4905" t="s">
        <v>2021</v>
      </c>
      <c r="AG23" s="4908" t="s">
        <v>2022</v>
      </c>
      <c r="AH23" s="4908"/>
      <c r="AI23" s="4896" t="s">
        <v>1989</v>
      </c>
      <c r="AJ23" s="4896" t="s">
        <v>1990</v>
      </c>
      <c r="AK23" s="4896" t="s">
        <v>2021</v>
      </c>
      <c r="AL23" s="4896" t="s">
        <v>1989</v>
      </c>
      <c r="AM23" s="4896" t="s">
        <v>1990</v>
      </c>
      <c r="AN23" s="4896" t="s">
        <v>2021</v>
      </c>
      <c r="AO23" s="4896" t="s">
        <v>1989</v>
      </c>
      <c r="AP23" s="4896" t="s">
        <v>1990</v>
      </c>
      <c r="AQ23" s="4896" t="s">
        <v>2021</v>
      </c>
      <c r="AR23" s="4905" t="s">
        <v>1989</v>
      </c>
      <c r="AS23" s="4905" t="s">
        <v>1990</v>
      </c>
      <c r="AT23" s="4905" t="s">
        <v>2021</v>
      </c>
      <c r="AU23" s="4908" t="s">
        <v>2022</v>
      </c>
      <c r="AV23" s="4908"/>
      <c r="AW23" s="4905" t="s">
        <v>1989</v>
      </c>
      <c r="AX23" s="4905" t="s">
        <v>1990</v>
      </c>
      <c r="AY23" s="4905" t="s">
        <v>2021</v>
      </c>
      <c r="AZ23" s="4908" t="s">
        <v>2022</v>
      </c>
      <c r="BA23" s="4908"/>
      <c r="BB23" s="4896" t="s">
        <v>1989</v>
      </c>
      <c r="BC23" s="4896" t="s">
        <v>1990</v>
      </c>
      <c r="BD23" s="4896" t="s">
        <v>2021</v>
      </c>
      <c r="BE23" s="4896" t="s">
        <v>1989</v>
      </c>
      <c r="BF23" s="4896" t="s">
        <v>1990</v>
      </c>
      <c r="BG23" s="4896" t="s">
        <v>2021</v>
      </c>
      <c r="BH23" s="4896" t="s">
        <v>1989</v>
      </c>
      <c r="BI23" s="4896" t="s">
        <v>1990</v>
      </c>
      <c r="BJ23" s="4896" t="s">
        <v>2021</v>
      </c>
      <c r="BK23" s="4905" t="s">
        <v>1989</v>
      </c>
      <c r="BL23" s="4905" t="s">
        <v>1990</v>
      </c>
      <c r="BM23" s="4905" t="s">
        <v>2021</v>
      </c>
      <c r="BN23" s="4908" t="s">
        <v>2022</v>
      </c>
      <c r="BO23" s="4908"/>
      <c r="BP23" s="4905" t="s">
        <v>1989</v>
      </c>
      <c r="BQ23" s="4905" t="s">
        <v>1990</v>
      </c>
      <c r="BR23" s="4905" t="s">
        <v>2021</v>
      </c>
      <c r="BS23" s="4908" t="s">
        <v>2022</v>
      </c>
      <c r="BT23" s="4908"/>
      <c r="BU23" s="657"/>
      <c r="BV23" s="657"/>
      <c r="BW23" s="657"/>
      <c r="BX23" s="657"/>
    </row>
    <row r="24" spans="1:76" ht="25.5" customHeight="1">
      <c r="A24" s="4895"/>
      <c r="B24" s="4907"/>
      <c r="C24" s="4907"/>
      <c r="D24" s="4907"/>
      <c r="E24" s="4907"/>
      <c r="F24" s="4907"/>
      <c r="G24" s="4907"/>
      <c r="H24" s="4907"/>
      <c r="I24" s="4907"/>
      <c r="J24" s="4907"/>
      <c r="K24" s="4907"/>
      <c r="L24" s="4907"/>
      <c r="M24" s="4907"/>
      <c r="N24" s="4844" t="s">
        <v>2023</v>
      </c>
      <c r="O24" s="4844" t="s">
        <v>44</v>
      </c>
      <c r="P24" s="4907"/>
      <c r="Q24" s="4907"/>
      <c r="R24" s="4907"/>
      <c r="S24" s="4907"/>
      <c r="T24" s="4907"/>
      <c r="U24" s="4907"/>
      <c r="V24" s="4907"/>
      <c r="W24" s="4907"/>
      <c r="X24" s="4907"/>
      <c r="Y24" s="4907"/>
      <c r="Z24" s="4907"/>
      <c r="AA24" s="4907"/>
      <c r="AB24" s="4844" t="s">
        <v>2023</v>
      </c>
      <c r="AC24" s="4844" t="s">
        <v>44</v>
      </c>
      <c r="AD24" s="4907"/>
      <c r="AE24" s="4907"/>
      <c r="AF24" s="4907"/>
      <c r="AG24" s="4844" t="s">
        <v>2023</v>
      </c>
      <c r="AH24" s="4844" t="s">
        <v>44</v>
      </c>
      <c r="AI24" s="4907"/>
      <c r="AJ24" s="4907"/>
      <c r="AK24" s="4907"/>
      <c r="AL24" s="4907"/>
      <c r="AM24" s="4907"/>
      <c r="AN24" s="4907"/>
      <c r="AO24" s="4907"/>
      <c r="AP24" s="4907"/>
      <c r="AQ24" s="4907"/>
      <c r="AR24" s="4907"/>
      <c r="AS24" s="4907"/>
      <c r="AT24" s="4907"/>
      <c r="AU24" s="4844" t="s">
        <v>2023</v>
      </c>
      <c r="AV24" s="4844" t="s">
        <v>44</v>
      </c>
      <c r="AW24" s="4907"/>
      <c r="AX24" s="4907"/>
      <c r="AY24" s="4907"/>
      <c r="AZ24" s="4844" t="s">
        <v>2023</v>
      </c>
      <c r="BA24" s="4844" t="s">
        <v>44</v>
      </c>
      <c r="BB24" s="4907"/>
      <c r="BC24" s="4907"/>
      <c r="BD24" s="4907"/>
      <c r="BE24" s="4907"/>
      <c r="BF24" s="4907"/>
      <c r="BG24" s="4907"/>
      <c r="BH24" s="4907"/>
      <c r="BI24" s="4907"/>
      <c r="BJ24" s="4907"/>
      <c r="BK24" s="4907"/>
      <c r="BL24" s="4907"/>
      <c r="BM24" s="4907"/>
      <c r="BN24" s="4844" t="s">
        <v>2023</v>
      </c>
      <c r="BO24" s="4844" t="s">
        <v>44</v>
      </c>
      <c r="BP24" s="4907"/>
      <c r="BQ24" s="4907"/>
      <c r="BR24" s="4907"/>
      <c r="BS24" s="4844" t="s">
        <v>2023</v>
      </c>
      <c r="BT24" s="4844" t="s">
        <v>44</v>
      </c>
      <c r="BU24" s="657"/>
      <c r="BV24" s="657"/>
      <c r="BW24" s="657"/>
      <c r="BX24" s="657"/>
    </row>
    <row r="25" spans="1:76" ht="18.75">
      <c r="A25" s="4753" t="s">
        <v>1713</v>
      </c>
      <c r="B25" s="4725">
        <f>SUM('Произв. прогр. Вода (СВОД)'!E28)</f>
        <v>5844.3760980000006</v>
      </c>
      <c r="C25" s="4679">
        <v>6190.3</v>
      </c>
      <c r="D25" s="4679">
        <v>5315.6</v>
      </c>
      <c r="E25" s="4725">
        <f>SUM('Произв. прогр. Вода (СВОД)'!F28)</f>
        <v>5810.1984600000005</v>
      </c>
      <c r="F25" s="4679">
        <v>6016.06</v>
      </c>
      <c r="G25" s="4679">
        <v>5575.26</v>
      </c>
      <c r="H25" s="4725">
        <f>SUM('Произв. прогр. Вода (СВОД)'!G28)</f>
        <v>5810.1984600000005</v>
      </c>
      <c r="I25" s="4679">
        <v>5701.6</v>
      </c>
      <c r="J25" s="4679">
        <v>5583.39</v>
      </c>
      <c r="K25" s="4726">
        <f t="shared" ref="K25:M33" si="48">SUM(B25+E25+H25)</f>
        <v>17464.773018</v>
      </c>
      <c r="L25" s="4726">
        <f t="shared" si="48"/>
        <v>17907.96</v>
      </c>
      <c r="M25" s="4726">
        <f t="shared" si="48"/>
        <v>16474.25</v>
      </c>
      <c r="N25" s="4727">
        <f t="shared" ref="N25:N34" si="49">SUM(L25-K25)</f>
        <v>443.18698199999926</v>
      </c>
      <c r="O25" s="4727">
        <f t="shared" ref="O25:O34" si="50">SUM(N25/K25*100)</f>
        <v>2.5376051640821804</v>
      </c>
      <c r="P25" s="4725">
        <f>SUM('Произв. прогр. Вода (СВОД)'!I28)</f>
        <v>5776.0208219999995</v>
      </c>
      <c r="Q25" s="4679">
        <v>6076.44</v>
      </c>
      <c r="R25" s="4679">
        <v>6307.87</v>
      </c>
      <c r="S25" s="4725">
        <f>SUM('Произв. прогр. Вода (СВОД)'!J28)</f>
        <v>5468.4220800000003</v>
      </c>
      <c r="T25" s="4679">
        <v>5819.48</v>
      </c>
      <c r="U25" s="4679">
        <v>5762.1</v>
      </c>
      <c r="V25" s="4725">
        <f>SUM('Произв. прогр. Вода (СВОД)'!K28)</f>
        <v>5468.4220800000003</v>
      </c>
      <c r="W25" s="4679">
        <v>6306.23</v>
      </c>
      <c r="X25" s="4679">
        <v>5469.02</v>
      </c>
      <c r="Y25" s="4726">
        <f t="shared" ref="Y25:AA33" si="51">SUM(P25+S25+V25)</f>
        <v>16712.864981999999</v>
      </c>
      <c r="Z25" s="4726">
        <f t="shared" si="51"/>
        <v>18202.149999999998</v>
      </c>
      <c r="AA25" s="4726">
        <f t="shared" si="51"/>
        <v>17538.990000000002</v>
      </c>
      <c r="AB25" s="4727">
        <f t="shared" ref="AB25:AB34" si="52">SUM(Z25-Y25)</f>
        <v>1489.2850179999987</v>
      </c>
      <c r="AC25" s="4727">
        <f t="shared" ref="AC25:AC34" si="53">SUM(AB25/Y25*100)</f>
        <v>8.9110096898645477</v>
      </c>
      <c r="AD25" s="4726">
        <f t="shared" ref="AD25:AD33" si="54">SUM(K25+Y25)</f>
        <v>34177.637999999999</v>
      </c>
      <c r="AE25" s="4726">
        <f t="shared" ref="AE25:AF33" si="55">SUM(L25+Z25)</f>
        <v>36110.11</v>
      </c>
      <c r="AF25" s="4726">
        <f t="shared" si="55"/>
        <v>34013.240000000005</v>
      </c>
      <c r="AG25" s="4727">
        <f t="shared" ref="AG25:AG34" si="56">SUM(AE25-AD25)</f>
        <v>1932.4720000000016</v>
      </c>
      <c r="AH25" s="4727">
        <f t="shared" ref="AH25:AH34" si="57">SUM(AG25/AD25*100)</f>
        <v>5.6541999771897684</v>
      </c>
      <c r="AI25" s="4725">
        <f>SUM('Произв. прогр. Вода (СВОД)'!N28)</f>
        <v>5720.64</v>
      </c>
      <c r="AJ25" s="4679"/>
      <c r="AK25" s="4679">
        <v>5253.22</v>
      </c>
      <c r="AL25" s="4725">
        <f>SUM('Произв. прогр. Вода (СВОД)'!O28)</f>
        <v>5720.64</v>
      </c>
      <c r="AM25" s="4679"/>
      <c r="AN25" s="4679">
        <v>5605.38</v>
      </c>
      <c r="AO25" s="4725">
        <f>SUM('Произв. прогр. Вода (СВОД)'!P28)</f>
        <v>6042.4259999999995</v>
      </c>
      <c r="AP25" s="4679"/>
      <c r="AQ25" s="4679">
        <v>5822.81</v>
      </c>
      <c r="AR25" s="4726">
        <f t="shared" ref="AR25:AT33" si="58">SUM(AI25+AL25+AO25)</f>
        <v>17483.705999999998</v>
      </c>
      <c r="AS25" s="4726">
        <f t="shared" si="58"/>
        <v>0</v>
      </c>
      <c r="AT25" s="4726">
        <f t="shared" si="58"/>
        <v>16681.41</v>
      </c>
      <c r="AU25" s="4727">
        <f t="shared" ref="AU25:AU34" si="59">SUM(AS25-AR25)</f>
        <v>-17483.705999999998</v>
      </c>
      <c r="AV25" s="4727">
        <f t="shared" ref="AV25:AV34" si="60">SUM(AU25/AR25*100)</f>
        <v>-100</v>
      </c>
      <c r="AW25" s="4726">
        <f t="shared" ref="AW25:AW33" si="61">SUM(AD25+AR25)</f>
        <v>51661.343999999997</v>
      </c>
      <c r="AX25" s="4726">
        <f t="shared" ref="AX25:AY33" si="62">SUM(AE25+AS25)</f>
        <v>36110.11</v>
      </c>
      <c r="AY25" s="4726">
        <f t="shared" si="62"/>
        <v>50694.650000000009</v>
      </c>
      <c r="AZ25" s="4727">
        <f t="shared" ref="AZ25:AZ34" si="63">SUM(AX25-AW25)</f>
        <v>-15551.233999999997</v>
      </c>
      <c r="BA25" s="4727">
        <f t="shared" ref="BA25:BA34" si="64">SUM(AZ25/AW25*100)</f>
        <v>-30.102263696430349</v>
      </c>
      <c r="BB25" s="4725">
        <f>SUM('Произв. прогр. Вода (СВОД)'!S28)</f>
        <v>6078.1800000000012</v>
      </c>
      <c r="BC25" s="4679"/>
      <c r="BD25" s="4679">
        <v>6751.41</v>
      </c>
      <c r="BE25" s="4725">
        <f>SUM('Произв. прогр. Вода (СВОД)'!T28)</f>
        <v>6078.1800000000012</v>
      </c>
      <c r="BF25" s="4679"/>
      <c r="BG25" s="4679">
        <v>6452.17</v>
      </c>
      <c r="BH25" s="4725">
        <f>SUM('Произв. прогр. Вода (СВОД)'!U28)</f>
        <v>6113.9340000000011</v>
      </c>
      <c r="BI25" s="4679"/>
      <c r="BJ25" s="4679">
        <v>5564.2</v>
      </c>
      <c r="BK25" s="4726">
        <f t="shared" ref="BK25:BM33" si="65">SUM(BB25+BE25+BH25)</f>
        <v>18270.294000000002</v>
      </c>
      <c r="BL25" s="4726">
        <f t="shared" si="65"/>
        <v>0</v>
      </c>
      <c r="BM25" s="4726">
        <f t="shared" si="65"/>
        <v>18767.78</v>
      </c>
      <c r="BN25" s="4727">
        <f t="shared" ref="BN25:BN34" si="66">SUM(BL25-BK25)</f>
        <v>-18270.294000000002</v>
      </c>
      <c r="BO25" s="4727">
        <f t="shared" ref="BO25:BO34" si="67">SUM(BN25/BK25*100)</f>
        <v>-100</v>
      </c>
      <c r="BP25" s="4726">
        <f t="shared" ref="BP25:BP33" si="68">SUM(AW25+BK25)</f>
        <v>69931.638000000006</v>
      </c>
      <c r="BQ25" s="4726">
        <f t="shared" ref="BQ25:BR33" si="69">SUM(AX25+BL25)</f>
        <v>36110.11</v>
      </c>
      <c r="BR25" s="4726">
        <f t="shared" si="69"/>
        <v>69462.430000000008</v>
      </c>
      <c r="BS25" s="4727">
        <f t="shared" ref="BS25:BS34" si="70">SUM(BQ25-BP25)</f>
        <v>-33821.528000000006</v>
      </c>
      <c r="BT25" s="4727">
        <f t="shared" ref="BT25:BT34" si="71">SUM(BS25/BP25*100)</f>
        <v>-48.363700561396833</v>
      </c>
      <c r="BU25" s="657"/>
      <c r="BV25" s="657"/>
      <c r="BW25" s="657"/>
      <c r="BX25" s="657"/>
    </row>
    <row r="26" spans="1:76" ht="18.75">
      <c r="A26" s="4753" t="s">
        <v>1714</v>
      </c>
      <c r="B26" s="4725">
        <f>SUM('Произв. прогр. Вода (СВОД)'!E29)</f>
        <v>1426.6629107875933</v>
      </c>
      <c r="C26" s="4679">
        <v>1511.36</v>
      </c>
      <c r="D26" s="4679">
        <v>1132.0899999999999</v>
      </c>
      <c r="E26" s="4725">
        <f>SUM('Произв. прогр. Вода (СВОД)'!F29)</f>
        <v>1418.3198528297712</v>
      </c>
      <c r="F26" s="4679">
        <v>1468.81</v>
      </c>
      <c r="G26" s="4679">
        <v>1187.3900000000001</v>
      </c>
      <c r="H26" s="4725">
        <f>SUM('Произв. прогр. Вода (СВОД)'!G29)</f>
        <v>1418.3198528297712</v>
      </c>
      <c r="I26" s="4679">
        <v>1392.04</v>
      </c>
      <c r="J26" s="4679">
        <v>1189.1199999999999</v>
      </c>
      <c r="K26" s="4726">
        <f t="shared" si="48"/>
        <v>4263.3026164471357</v>
      </c>
      <c r="L26" s="4726">
        <f t="shared" si="48"/>
        <v>4372.21</v>
      </c>
      <c r="M26" s="4726">
        <f t="shared" si="48"/>
        <v>3508.6</v>
      </c>
      <c r="N26" s="4727">
        <f t="shared" si="49"/>
        <v>108.9073835528643</v>
      </c>
      <c r="O26" s="4727">
        <f t="shared" si="50"/>
        <v>2.5545309200598885</v>
      </c>
      <c r="P26" s="4725">
        <f>SUM('Произв. прогр. Вода (СВОД)'!I29)</f>
        <v>1409.9767948719486</v>
      </c>
      <c r="Q26" s="4679">
        <v>1483.56</v>
      </c>
      <c r="R26" s="4679">
        <v>1343.41</v>
      </c>
      <c r="S26" s="4725">
        <f>SUM('Произв. прогр. Вода (СВОД)'!J29)</f>
        <v>1334.8892732515492</v>
      </c>
      <c r="T26" s="4679">
        <v>1420.82</v>
      </c>
      <c r="U26" s="4679">
        <v>1227.18</v>
      </c>
      <c r="V26" s="4725">
        <f>SUM('Произв. прогр. Вода (СВОД)'!K29)</f>
        <v>1334.8892732515492</v>
      </c>
      <c r="W26" s="4679">
        <v>1539.66</v>
      </c>
      <c r="X26" s="4679">
        <v>1164.75</v>
      </c>
      <c r="Y26" s="4726">
        <f t="shared" si="51"/>
        <v>4079.755341375047</v>
      </c>
      <c r="Z26" s="4726">
        <f t="shared" si="51"/>
        <v>4444.04</v>
      </c>
      <c r="AA26" s="4726">
        <f t="shared" si="51"/>
        <v>3735.34</v>
      </c>
      <c r="AB26" s="4727">
        <f t="shared" si="52"/>
        <v>364.28465862495295</v>
      </c>
      <c r="AC26" s="4727">
        <f t="shared" si="53"/>
        <v>8.9290809899932349</v>
      </c>
      <c r="AD26" s="4726">
        <f t="shared" si="54"/>
        <v>8343.0579578221823</v>
      </c>
      <c r="AE26" s="4726">
        <f t="shared" si="55"/>
        <v>8816.25</v>
      </c>
      <c r="AF26" s="4726">
        <f t="shared" si="55"/>
        <v>7243.9400000000005</v>
      </c>
      <c r="AG26" s="4727">
        <f t="shared" si="56"/>
        <v>473.19204217781771</v>
      </c>
      <c r="AH26" s="4727">
        <f t="shared" si="57"/>
        <v>5.6716859042573002</v>
      </c>
      <c r="AI26" s="4725">
        <f>SUM('Произв. прогр. Вода (СВОД)'!N29)</f>
        <v>1236.9510380563229</v>
      </c>
      <c r="AJ26" s="4679"/>
      <c r="AK26" s="4679">
        <v>1282.45</v>
      </c>
      <c r="AL26" s="4725">
        <f>SUM('Произв. прогр. Вода (СВОД)'!O29)</f>
        <v>1236.9510380563229</v>
      </c>
      <c r="AM26" s="4679"/>
      <c r="AN26" s="4679">
        <v>1368.5</v>
      </c>
      <c r="AO26" s="4725">
        <f>SUM('Произв. прогр. Вода (СВОД)'!P29)</f>
        <v>1306.5295339469908</v>
      </c>
      <c r="AP26" s="4679"/>
      <c r="AQ26" s="4679">
        <v>1421.63</v>
      </c>
      <c r="AR26" s="4726">
        <f t="shared" si="58"/>
        <v>3780.4316100596366</v>
      </c>
      <c r="AS26" s="4726">
        <f t="shared" si="58"/>
        <v>0</v>
      </c>
      <c r="AT26" s="4726">
        <f t="shared" si="58"/>
        <v>4072.58</v>
      </c>
      <c r="AU26" s="4727">
        <f t="shared" si="59"/>
        <v>-3780.4316100596366</v>
      </c>
      <c r="AV26" s="4727">
        <f t="shared" si="60"/>
        <v>-100</v>
      </c>
      <c r="AW26" s="4726">
        <f t="shared" si="61"/>
        <v>12123.489567881819</v>
      </c>
      <c r="AX26" s="4726">
        <f t="shared" si="62"/>
        <v>8816.25</v>
      </c>
      <c r="AY26" s="4726">
        <f t="shared" si="62"/>
        <v>11316.52</v>
      </c>
      <c r="AZ26" s="4727">
        <f t="shared" si="63"/>
        <v>-3307.2395678818193</v>
      </c>
      <c r="BA26" s="4727">
        <f t="shared" si="64"/>
        <v>-27.27960088853898</v>
      </c>
      <c r="BB26" s="4725">
        <f>SUM('Произв. прогр. Вода (СВОД)'!S29)</f>
        <v>1314.2604779348433</v>
      </c>
      <c r="BC26" s="4679"/>
      <c r="BD26" s="4679">
        <v>1648.31</v>
      </c>
      <c r="BE26" s="4725">
        <f>SUM('Произв. прогр. Вода (СВОД)'!T29)</f>
        <v>1314.2604779348433</v>
      </c>
      <c r="BF26" s="4679"/>
      <c r="BG26" s="4679">
        <v>1575.32</v>
      </c>
      <c r="BH26" s="4725">
        <f>SUM('Произв. прогр. Вода (СВОД)'!U29)</f>
        <v>1321.9914219226953</v>
      </c>
      <c r="BI26" s="4679"/>
      <c r="BJ26" s="4679">
        <v>1358.42</v>
      </c>
      <c r="BK26" s="4726">
        <f t="shared" si="65"/>
        <v>3950.5123777923818</v>
      </c>
      <c r="BL26" s="4726">
        <f t="shared" si="65"/>
        <v>0</v>
      </c>
      <c r="BM26" s="4726">
        <f t="shared" si="65"/>
        <v>4582.05</v>
      </c>
      <c r="BN26" s="4727">
        <f t="shared" si="66"/>
        <v>-3950.5123777923818</v>
      </c>
      <c r="BO26" s="4727">
        <f t="shared" si="67"/>
        <v>-100</v>
      </c>
      <c r="BP26" s="4726">
        <f t="shared" si="68"/>
        <v>16074.001945674201</v>
      </c>
      <c r="BQ26" s="4726">
        <f t="shared" si="69"/>
        <v>8816.25</v>
      </c>
      <c r="BR26" s="4726">
        <f t="shared" si="69"/>
        <v>15898.57</v>
      </c>
      <c r="BS26" s="4727">
        <f t="shared" si="70"/>
        <v>-7257.7519456742011</v>
      </c>
      <c r="BT26" s="4727">
        <f t="shared" si="71"/>
        <v>-45.152115634945474</v>
      </c>
      <c r="BU26" s="657"/>
      <c r="BV26" s="657"/>
      <c r="BW26" s="657"/>
      <c r="BX26" s="657"/>
    </row>
    <row r="27" spans="1:76" ht="18.75">
      <c r="A27" s="4753" t="s">
        <v>1715</v>
      </c>
      <c r="B27" s="4725">
        <f>SUM('Произв. прогр. Вода (СВОД)'!E30)</f>
        <v>2836.1451945268605</v>
      </c>
      <c r="C27" s="4679">
        <v>2783.93</v>
      </c>
      <c r="D27" s="4679">
        <v>2590.7399999999998</v>
      </c>
      <c r="E27" s="4725">
        <f>SUM('Произв. прогр. Вода (СВОД)'!F30)</f>
        <v>2819.1834006333806</v>
      </c>
      <c r="F27" s="4679">
        <v>2862.23</v>
      </c>
      <c r="G27" s="4679">
        <v>2809.98</v>
      </c>
      <c r="H27" s="4725">
        <f>SUM('Произв. прогр. Вода (СВОД)'!G30)</f>
        <v>2819.1834006333806</v>
      </c>
      <c r="I27" s="4679">
        <v>2722.34</v>
      </c>
      <c r="J27" s="4679">
        <v>2472.2399999999998</v>
      </c>
      <c r="K27" s="4726">
        <f t="shared" si="48"/>
        <v>8474.5119957936222</v>
      </c>
      <c r="L27" s="4726">
        <f t="shared" si="48"/>
        <v>8368.5</v>
      </c>
      <c r="M27" s="4726">
        <f t="shared" si="48"/>
        <v>7872.9599999999991</v>
      </c>
      <c r="N27" s="4727">
        <f t="shared" si="49"/>
        <v>-106.01199579362219</v>
      </c>
      <c r="O27" s="4727">
        <f t="shared" si="50"/>
        <v>-1.2509510381983284</v>
      </c>
      <c r="P27" s="4725">
        <f>SUM('Произв. прогр. Вода (СВОД)'!I30)</f>
        <v>2802.2216067398999</v>
      </c>
      <c r="Q27" s="4679">
        <v>3047.97</v>
      </c>
      <c r="R27" s="4679">
        <v>2585.19</v>
      </c>
      <c r="S27" s="4725">
        <f>SUM('Произв. прогр. Вода (СВОД)'!J30)</f>
        <v>2649.5654616985794</v>
      </c>
      <c r="T27" s="4679">
        <v>2814.87</v>
      </c>
      <c r="U27" s="4679">
        <v>2550.56</v>
      </c>
      <c r="V27" s="4725">
        <f>SUM('Произв. прогр. Вода (СВОД)'!K30)</f>
        <v>2649.5654616985794</v>
      </c>
      <c r="W27" s="4679">
        <v>2894.63</v>
      </c>
      <c r="X27" s="4679">
        <v>2547.4699999999998</v>
      </c>
      <c r="Y27" s="4726">
        <f t="shared" si="51"/>
        <v>8101.3525301370591</v>
      </c>
      <c r="Z27" s="4726">
        <f t="shared" si="51"/>
        <v>8757.4700000000012</v>
      </c>
      <c r="AA27" s="4726">
        <f t="shared" si="51"/>
        <v>7683.2199999999993</v>
      </c>
      <c r="AB27" s="4727">
        <f t="shared" si="52"/>
        <v>656.11746986294202</v>
      </c>
      <c r="AC27" s="4727">
        <f t="shared" si="53"/>
        <v>8.0988633369821006</v>
      </c>
      <c r="AD27" s="4726">
        <f t="shared" si="54"/>
        <v>16575.86452593068</v>
      </c>
      <c r="AE27" s="4726">
        <f t="shared" si="55"/>
        <v>17125.97</v>
      </c>
      <c r="AF27" s="4726">
        <f t="shared" si="55"/>
        <v>15556.179999999998</v>
      </c>
      <c r="AG27" s="4727">
        <f t="shared" si="56"/>
        <v>550.10547406932164</v>
      </c>
      <c r="AH27" s="4727">
        <f t="shared" si="57"/>
        <v>3.3187136225006948</v>
      </c>
      <c r="AI27" s="4725">
        <f>SUM('Произв. прогр. Вода (СВОД)'!N30)</f>
        <v>2709.6500444959115</v>
      </c>
      <c r="AJ27" s="4679"/>
      <c r="AK27" s="4679">
        <v>2365.41</v>
      </c>
      <c r="AL27" s="4725">
        <f>SUM('Произв. прогр. Вода (СВОД)'!O30)</f>
        <v>2709.6500444959115</v>
      </c>
      <c r="AM27" s="4679"/>
      <c r="AN27" s="4679">
        <f>(3069849.77-805270.5)/1000</f>
        <v>2264.5792700000002</v>
      </c>
      <c r="AO27" s="4725">
        <f>SUM('Произв. прогр. Вода (СВОД)'!P30)</f>
        <v>2865.7679952253156</v>
      </c>
      <c r="AP27" s="4679"/>
      <c r="AQ27" s="4679">
        <v>3018.2</v>
      </c>
      <c r="AR27" s="4726">
        <f t="shared" si="58"/>
        <v>8285.0680842171387</v>
      </c>
      <c r="AS27" s="4726">
        <f t="shared" si="58"/>
        <v>0</v>
      </c>
      <c r="AT27" s="4726">
        <f t="shared" si="58"/>
        <v>7648.1892699999999</v>
      </c>
      <c r="AU27" s="4727">
        <f t="shared" si="59"/>
        <v>-8285.0680842171387</v>
      </c>
      <c r="AV27" s="4727">
        <f t="shared" si="60"/>
        <v>-100</v>
      </c>
      <c r="AW27" s="4726">
        <f t="shared" si="61"/>
        <v>24860.932610147818</v>
      </c>
      <c r="AX27" s="4726">
        <f t="shared" si="62"/>
        <v>17125.97</v>
      </c>
      <c r="AY27" s="4726">
        <f t="shared" si="62"/>
        <v>23204.369269999999</v>
      </c>
      <c r="AZ27" s="4727">
        <f t="shared" si="63"/>
        <v>-7734.962610147817</v>
      </c>
      <c r="BA27" s="4727">
        <f t="shared" si="64"/>
        <v>-31.11292215558532</v>
      </c>
      <c r="BB27" s="4725">
        <f>SUM('Произв. прогр. Вода (СВОД)'!S30)</f>
        <v>2883.1144341952495</v>
      </c>
      <c r="BC27" s="4679"/>
      <c r="BD27" s="4679">
        <v>2519.63</v>
      </c>
      <c r="BE27" s="4725">
        <f>SUM('Произв. прогр. Вода (СВОД)'!T30)</f>
        <v>2883.1144341952495</v>
      </c>
      <c r="BF27" s="4679"/>
      <c r="BG27" s="4679">
        <v>2630.84</v>
      </c>
      <c r="BH27" s="4725">
        <f>SUM('Произв. прогр. Вода (СВОД)'!U30)</f>
        <v>2900.4608731651833</v>
      </c>
      <c r="BI27" s="4679"/>
      <c r="BJ27" s="4679">
        <v>2834.3</v>
      </c>
      <c r="BK27" s="4726">
        <f t="shared" si="65"/>
        <v>8666.6897415556814</v>
      </c>
      <c r="BL27" s="4726">
        <f t="shared" si="65"/>
        <v>0</v>
      </c>
      <c r="BM27" s="4726">
        <f t="shared" si="65"/>
        <v>7984.77</v>
      </c>
      <c r="BN27" s="4727">
        <f t="shared" si="66"/>
        <v>-8666.6897415556814</v>
      </c>
      <c r="BO27" s="4727">
        <f t="shared" si="67"/>
        <v>-100</v>
      </c>
      <c r="BP27" s="4726">
        <f t="shared" si="68"/>
        <v>33527.622351703496</v>
      </c>
      <c r="BQ27" s="4726">
        <f t="shared" si="69"/>
        <v>17125.97</v>
      </c>
      <c r="BR27" s="4726">
        <f t="shared" si="69"/>
        <v>31189.13927</v>
      </c>
      <c r="BS27" s="4727">
        <f t="shared" si="70"/>
        <v>-16401.652351703495</v>
      </c>
      <c r="BT27" s="4727">
        <f t="shared" si="71"/>
        <v>-48.919819543571499</v>
      </c>
      <c r="BU27" s="657"/>
      <c r="BV27" s="657"/>
      <c r="BW27" s="657"/>
      <c r="BX27" s="657"/>
    </row>
    <row r="28" spans="1:76" ht="18.75">
      <c r="A28" s="4753" t="s">
        <v>1716</v>
      </c>
      <c r="B28" s="4725">
        <f>SUM('Произв. прогр. Вода (СВОД)'!E31)</f>
        <v>32.012400799739581</v>
      </c>
      <c r="C28" s="4679">
        <v>2.46</v>
      </c>
      <c r="D28" s="4679">
        <v>4.43</v>
      </c>
      <c r="E28" s="4725">
        <f>SUM('Произв. прогр. Вода (СВОД)'!F31)</f>
        <v>32.012400799739581</v>
      </c>
      <c r="F28" s="4679">
        <v>3.19</v>
      </c>
      <c r="G28" s="4679">
        <v>3.97</v>
      </c>
      <c r="H28" s="4725">
        <f>SUM('Произв. прогр. Вода (СВОД)'!G31)</f>
        <v>32.012400799739581</v>
      </c>
      <c r="I28" s="4679">
        <v>2.29</v>
      </c>
      <c r="J28" s="4679">
        <v>2.39</v>
      </c>
      <c r="K28" s="4726">
        <f t="shared" si="48"/>
        <v>96.037202399218742</v>
      </c>
      <c r="L28" s="4726">
        <f t="shared" si="48"/>
        <v>7.94</v>
      </c>
      <c r="M28" s="4726">
        <f t="shared" si="48"/>
        <v>10.790000000000001</v>
      </c>
      <c r="N28" s="4727">
        <f t="shared" si="49"/>
        <v>-88.097202399218745</v>
      </c>
      <c r="O28" s="4727">
        <f t="shared" si="50"/>
        <v>-91.732370579690496</v>
      </c>
      <c r="P28" s="4725">
        <f>SUM('Произв. прогр. Вода (СВОД)'!I31)</f>
        <v>32.012400799739581</v>
      </c>
      <c r="Q28" s="4679">
        <v>5.67</v>
      </c>
      <c r="R28" s="4679">
        <v>2.81</v>
      </c>
      <c r="S28" s="4725">
        <f>SUM('Произв. прогр. Вода (СВОД)'!J31)</f>
        <v>32.012400799739581</v>
      </c>
      <c r="T28" s="4679">
        <v>1.81</v>
      </c>
      <c r="U28" s="4679">
        <v>1.67</v>
      </c>
      <c r="V28" s="4725">
        <f>SUM('Произв. прогр. Вода (СВОД)'!K31)</f>
        <v>32.012400799739581</v>
      </c>
      <c r="W28" s="4679">
        <v>1.53</v>
      </c>
      <c r="X28" s="4679">
        <v>2.0099999999999998</v>
      </c>
      <c r="Y28" s="4726">
        <f t="shared" si="51"/>
        <v>96.037202399218742</v>
      </c>
      <c r="Z28" s="4726">
        <f t="shared" si="51"/>
        <v>9.01</v>
      </c>
      <c r="AA28" s="4726">
        <f t="shared" si="51"/>
        <v>6.49</v>
      </c>
      <c r="AB28" s="4727">
        <f t="shared" si="52"/>
        <v>-87.027202399218737</v>
      </c>
      <c r="AC28" s="4727">
        <f t="shared" si="53"/>
        <v>-90.618219007935934</v>
      </c>
      <c r="AD28" s="4726">
        <f t="shared" si="54"/>
        <v>192.07440479843748</v>
      </c>
      <c r="AE28" s="4726">
        <f t="shared" si="55"/>
        <v>16.95</v>
      </c>
      <c r="AF28" s="4726">
        <f t="shared" si="55"/>
        <v>17.28</v>
      </c>
      <c r="AG28" s="4727">
        <f t="shared" si="56"/>
        <v>-175.1244047984375</v>
      </c>
      <c r="AH28" s="4727">
        <f t="shared" si="57"/>
        <v>-91.175294793813222</v>
      </c>
      <c r="AI28" s="4725">
        <f>SUM('Произв. прогр. Вода (СВОД)'!N31)</f>
        <v>70.956246220614148</v>
      </c>
      <c r="AJ28" s="4679"/>
      <c r="AK28" s="4679">
        <v>2.5099999999999998</v>
      </c>
      <c r="AL28" s="4725">
        <f>SUM('Произв. прогр. Вода (СВОД)'!O31)</f>
        <v>70.956246220614148</v>
      </c>
      <c r="AM28" s="4679"/>
      <c r="AN28" s="4679">
        <v>3.12</v>
      </c>
      <c r="AO28" s="4725">
        <f>SUM('Произв. прогр. Вода (СВОД)'!P31)</f>
        <v>70.956246220614148</v>
      </c>
      <c r="AP28" s="4679"/>
      <c r="AQ28" s="4679">
        <v>0</v>
      </c>
      <c r="AR28" s="4726">
        <f t="shared" si="58"/>
        <v>212.86873866184243</v>
      </c>
      <c r="AS28" s="4726">
        <f t="shared" si="58"/>
        <v>0</v>
      </c>
      <c r="AT28" s="4726">
        <f t="shared" si="58"/>
        <v>5.63</v>
      </c>
      <c r="AU28" s="4727">
        <f t="shared" si="59"/>
        <v>-212.86873866184243</v>
      </c>
      <c r="AV28" s="4727">
        <f t="shared" si="60"/>
        <v>-100</v>
      </c>
      <c r="AW28" s="4726">
        <f t="shared" si="61"/>
        <v>404.94314346027988</v>
      </c>
      <c r="AX28" s="4726">
        <f t="shared" si="62"/>
        <v>16.95</v>
      </c>
      <c r="AY28" s="4726">
        <f t="shared" si="62"/>
        <v>22.91</v>
      </c>
      <c r="AZ28" s="4727">
        <f t="shared" si="63"/>
        <v>-387.9931434602799</v>
      </c>
      <c r="BA28" s="4727">
        <f t="shared" si="64"/>
        <v>-95.81422718874542</v>
      </c>
      <c r="BB28" s="4725">
        <f>SUM('Произв. прогр. Вода (СВОД)'!S31)</f>
        <v>70.956246220614148</v>
      </c>
      <c r="BC28" s="4679"/>
      <c r="BD28" s="4679">
        <v>1.1499999999999999</v>
      </c>
      <c r="BE28" s="4725">
        <f>SUM('Произв. прогр. Вода (СВОД)'!T31)</f>
        <v>70.956246220614148</v>
      </c>
      <c r="BF28" s="4679"/>
      <c r="BG28" s="4679">
        <v>3.21</v>
      </c>
      <c r="BH28" s="4725">
        <f>SUM('Произв. прогр. Вода (СВОД)'!U31)</f>
        <v>70.956246220614148</v>
      </c>
      <c r="BI28" s="4679"/>
      <c r="BJ28" s="4679">
        <v>2.5099999999999998</v>
      </c>
      <c r="BK28" s="4726">
        <f t="shared" si="65"/>
        <v>212.86873866184243</v>
      </c>
      <c r="BL28" s="4726">
        <f t="shared" si="65"/>
        <v>0</v>
      </c>
      <c r="BM28" s="4726">
        <f t="shared" si="65"/>
        <v>6.8699999999999992</v>
      </c>
      <c r="BN28" s="4727">
        <f t="shared" si="66"/>
        <v>-212.86873866184243</v>
      </c>
      <c r="BO28" s="4727">
        <f t="shared" si="67"/>
        <v>-100</v>
      </c>
      <c r="BP28" s="4726">
        <f t="shared" si="68"/>
        <v>617.81188212212237</v>
      </c>
      <c r="BQ28" s="4726">
        <f t="shared" si="69"/>
        <v>16.95</v>
      </c>
      <c r="BR28" s="4726">
        <f t="shared" si="69"/>
        <v>29.78</v>
      </c>
      <c r="BS28" s="4727">
        <f t="shared" si="70"/>
        <v>-600.86188212212232</v>
      </c>
      <c r="BT28" s="4727">
        <f t="shared" si="71"/>
        <v>-97.256446421558223</v>
      </c>
      <c r="BU28" s="657"/>
      <c r="BV28" s="657"/>
      <c r="BW28" s="657"/>
      <c r="BX28" s="657"/>
    </row>
    <row r="29" spans="1:76" ht="18.75">
      <c r="A29" s="4753" t="s">
        <v>1717</v>
      </c>
      <c r="B29" s="4725">
        <f>SUM('Произв. прогр. Вода (СВОД)'!E32)</f>
        <v>985.90359441187707</v>
      </c>
      <c r="C29" s="4725">
        <f>SUM(C30:C31)</f>
        <v>1014.32</v>
      </c>
      <c r="D29" s="4725">
        <f>SUM(D30:D31)</f>
        <v>990.32</v>
      </c>
      <c r="E29" s="4725">
        <f>SUM('Произв. прогр. Вода (СВОД)'!F32)</f>
        <v>980.13807631590123</v>
      </c>
      <c r="F29" s="4725">
        <f t="shared" ref="F29" si="72">SUM(F30:F31)</f>
        <v>1016.01</v>
      </c>
      <c r="G29" s="4725">
        <f t="shared" ref="G29" si="73">SUM(G30:G31)</f>
        <v>997.64</v>
      </c>
      <c r="H29" s="4725">
        <f>SUM('Произв. прогр. Вода (СВОД)'!G32)</f>
        <v>980.13807631590123</v>
      </c>
      <c r="I29" s="4725">
        <f t="shared" ref="I29" si="74">SUM(I30:I31)</f>
        <v>893.54</v>
      </c>
      <c r="J29" s="4725">
        <f t="shared" ref="J29" si="75">SUM(J30:J31)</f>
        <v>896.35</v>
      </c>
      <c r="K29" s="4726">
        <f t="shared" si="48"/>
        <v>2946.1797470436795</v>
      </c>
      <c r="L29" s="4726">
        <f t="shared" si="48"/>
        <v>2923.87</v>
      </c>
      <c r="M29" s="4726">
        <f t="shared" si="48"/>
        <v>2884.31</v>
      </c>
      <c r="N29" s="4727">
        <f t="shared" si="49"/>
        <v>-22.309747043679636</v>
      </c>
      <c r="O29" s="4727">
        <f t="shared" si="50"/>
        <v>-0.75724324240794105</v>
      </c>
      <c r="P29" s="4725">
        <f>SUM('Произв. прогр. Вода (СВОД)'!I32)</f>
        <v>974.37255821992517</v>
      </c>
      <c r="Q29" s="4725">
        <f t="shared" ref="Q29" si="76">SUM(Q30:Q31)</f>
        <v>928.49</v>
      </c>
      <c r="R29" s="4725">
        <f t="shared" ref="R29" si="77">SUM(R30:R31)</f>
        <v>954.41</v>
      </c>
      <c r="S29" s="4725">
        <f>SUM('Произв. прогр. Вода (СВОД)'!J32)</f>
        <v>922.48289535614231</v>
      </c>
      <c r="T29" s="4725">
        <f t="shared" ref="T29" si="78">SUM(T30:T31)</f>
        <v>933.21</v>
      </c>
      <c r="U29" s="4725">
        <f t="shared" ref="U29" si="79">SUM(U30:U31)</f>
        <v>860.94</v>
      </c>
      <c r="V29" s="4725">
        <f>SUM('Произв. прогр. Вода (СВОД)'!K32)</f>
        <v>922.48289535614231</v>
      </c>
      <c r="W29" s="4725">
        <f t="shared" ref="W29" si="80">SUM(W30:W31)</f>
        <v>965.03</v>
      </c>
      <c r="X29" s="4725">
        <f t="shared" ref="X29" si="81">SUM(X30:X31)</f>
        <v>901.47</v>
      </c>
      <c r="Y29" s="4726">
        <f t="shared" si="51"/>
        <v>2819.3383489322096</v>
      </c>
      <c r="Z29" s="4726">
        <f t="shared" si="51"/>
        <v>2826.73</v>
      </c>
      <c r="AA29" s="4726">
        <f t="shared" si="51"/>
        <v>2716.8199999999997</v>
      </c>
      <c r="AB29" s="4727">
        <f t="shared" si="52"/>
        <v>7.3916510677904625</v>
      </c>
      <c r="AC29" s="4727">
        <f t="shared" si="53"/>
        <v>0.26217680012014033</v>
      </c>
      <c r="AD29" s="4726">
        <f t="shared" si="54"/>
        <v>5765.5180959758891</v>
      </c>
      <c r="AE29" s="4726">
        <f t="shared" si="55"/>
        <v>5750.6</v>
      </c>
      <c r="AF29" s="4726">
        <f t="shared" si="55"/>
        <v>5601.1299999999992</v>
      </c>
      <c r="AG29" s="4727">
        <f t="shared" si="56"/>
        <v>-14.918095975888718</v>
      </c>
      <c r="AH29" s="4727">
        <f t="shared" si="57"/>
        <v>-0.25874684161170142</v>
      </c>
      <c r="AI29" s="4725">
        <f>SUM('Произв. прогр. Вода (СВОД)'!N32)</f>
        <v>943.40217465170485</v>
      </c>
      <c r="AJ29" s="4725">
        <f t="shared" ref="AJ29" si="82">SUM(AJ30:AJ31)</f>
        <v>0</v>
      </c>
      <c r="AK29" s="4725">
        <f t="shared" ref="AK29" si="83">SUM(AK30:AK31)</f>
        <v>663.89</v>
      </c>
      <c r="AL29" s="4725">
        <f>SUM('Произв. прогр. Вода (СВОД)'!O32)</f>
        <v>943.40217465170485</v>
      </c>
      <c r="AM29" s="4725">
        <f t="shared" ref="AM29" si="84">SUM(AM30:AM31)</f>
        <v>0</v>
      </c>
      <c r="AN29" s="4725">
        <f t="shared" ref="AN29" si="85">SUM(AN30:AN31)</f>
        <v>805.27</v>
      </c>
      <c r="AO29" s="4725">
        <f>SUM('Произв. прогр. Вода (СВОД)'!P32)</f>
        <v>996.46854697586321</v>
      </c>
      <c r="AP29" s="4725">
        <f t="shared" ref="AP29" si="86">SUM(AP30:AP31)</f>
        <v>0</v>
      </c>
      <c r="AQ29" s="4725">
        <f t="shared" ref="AQ29" si="87">SUM(AQ30:AQ31)</f>
        <v>965.28</v>
      </c>
      <c r="AR29" s="4726">
        <f t="shared" si="58"/>
        <v>2883.272896279273</v>
      </c>
      <c r="AS29" s="4726">
        <f t="shared" si="58"/>
        <v>0</v>
      </c>
      <c r="AT29" s="4726">
        <f t="shared" si="58"/>
        <v>2434.4399999999996</v>
      </c>
      <c r="AU29" s="4727">
        <f t="shared" si="59"/>
        <v>-2883.272896279273</v>
      </c>
      <c r="AV29" s="4727">
        <f t="shared" si="60"/>
        <v>-100</v>
      </c>
      <c r="AW29" s="4726">
        <f t="shared" si="61"/>
        <v>8648.7909922551626</v>
      </c>
      <c r="AX29" s="4726">
        <f t="shared" si="62"/>
        <v>5750.6</v>
      </c>
      <c r="AY29" s="4726">
        <f t="shared" si="62"/>
        <v>8035.5699999999988</v>
      </c>
      <c r="AZ29" s="4727">
        <f t="shared" si="63"/>
        <v>-2898.1909922551622</v>
      </c>
      <c r="BA29" s="4727">
        <f t="shared" si="64"/>
        <v>-33.509781827892944</v>
      </c>
      <c r="BB29" s="4725">
        <f>SUM('Произв. прогр. Вода (СВОД)'!S32)</f>
        <v>1002.3648105674365</v>
      </c>
      <c r="BC29" s="4725">
        <f t="shared" ref="BC29" si="88">SUM(BC30:BC31)</f>
        <v>0</v>
      </c>
      <c r="BD29" s="4725">
        <f t="shared" ref="BD29" si="89">SUM(BD30:BD31)</f>
        <v>985.2</v>
      </c>
      <c r="BE29" s="4725">
        <f>SUM('Произв. прогр. Вода (СВОД)'!T32)</f>
        <v>1002.3648105674365</v>
      </c>
      <c r="BF29" s="4725">
        <f t="shared" ref="BF29" si="90">SUM(BF30:BF31)</f>
        <v>0</v>
      </c>
      <c r="BG29" s="4725">
        <f t="shared" ref="BG29" si="91">SUM(BG30:BG31)</f>
        <v>976.77</v>
      </c>
      <c r="BH29" s="4725">
        <f>SUM('Произв. прогр. Вода (СВОД)'!U32)</f>
        <v>1008.2610741590096</v>
      </c>
      <c r="BI29" s="4725">
        <f t="shared" ref="BI29" si="92">SUM(BI30:BI31)</f>
        <v>0</v>
      </c>
      <c r="BJ29" s="4725">
        <f t="shared" ref="BJ29" si="93">SUM(BJ30:BJ31)</f>
        <v>887.28</v>
      </c>
      <c r="BK29" s="4726">
        <f t="shared" si="65"/>
        <v>3012.9906952938827</v>
      </c>
      <c r="BL29" s="4726">
        <f t="shared" si="65"/>
        <v>0</v>
      </c>
      <c r="BM29" s="4726">
        <f t="shared" si="65"/>
        <v>2849.25</v>
      </c>
      <c r="BN29" s="4727">
        <f t="shared" si="66"/>
        <v>-3012.9906952938827</v>
      </c>
      <c r="BO29" s="4727">
        <f t="shared" si="67"/>
        <v>-100</v>
      </c>
      <c r="BP29" s="4726">
        <f t="shared" si="68"/>
        <v>11661.781687549046</v>
      </c>
      <c r="BQ29" s="4726">
        <f t="shared" si="69"/>
        <v>5750.6</v>
      </c>
      <c r="BR29" s="4726">
        <f t="shared" si="69"/>
        <v>10884.82</v>
      </c>
      <c r="BS29" s="4727">
        <f t="shared" si="70"/>
        <v>-5911.1816875490458</v>
      </c>
      <c r="BT29" s="4727">
        <f t="shared" si="71"/>
        <v>-50.688495514028077</v>
      </c>
      <c r="BU29" s="657"/>
      <c r="BV29" s="657"/>
      <c r="BW29" s="657"/>
      <c r="BX29" s="657"/>
    </row>
    <row r="30" spans="1:76" ht="18.75">
      <c r="A30" s="4797" t="s">
        <v>654</v>
      </c>
      <c r="B30" s="4732">
        <f>SUM('Произв. прогр. Вода (СВОД)'!E33)</f>
        <v>985.90359441187707</v>
      </c>
      <c r="C30" s="4685">
        <v>1014.32</v>
      </c>
      <c r="D30" s="4685">
        <v>990.32</v>
      </c>
      <c r="E30" s="4732">
        <f>SUM('Произв. прогр. Вода (СВОД)'!F33)</f>
        <v>980.13807631590123</v>
      </c>
      <c r="F30" s="4685">
        <v>1016.01</v>
      </c>
      <c r="G30" s="4685">
        <v>997.64</v>
      </c>
      <c r="H30" s="4732">
        <f>SUM('Произв. прогр. Вода (СВОД)'!G33)</f>
        <v>980.13807631590123</v>
      </c>
      <c r="I30" s="4685">
        <v>893.54</v>
      </c>
      <c r="J30" s="4685">
        <v>896.35</v>
      </c>
      <c r="K30" s="4733">
        <f t="shared" si="48"/>
        <v>2946.1797470436795</v>
      </c>
      <c r="L30" s="4733">
        <f t="shared" si="48"/>
        <v>2923.87</v>
      </c>
      <c r="M30" s="4733">
        <f t="shared" si="48"/>
        <v>2884.31</v>
      </c>
      <c r="N30" s="4734">
        <f t="shared" si="49"/>
        <v>-22.309747043679636</v>
      </c>
      <c r="O30" s="4734">
        <f t="shared" si="50"/>
        <v>-0.75724324240794105</v>
      </c>
      <c r="P30" s="4732">
        <f>SUM('Произв. прогр. Вода (СВОД)'!I33)</f>
        <v>974.37255821992517</v>
      </c>
      <c r="Q30" s="4685">
        <v>928.49</v>
      </c>
      <c r="R30" s="4685">
        <v>954.41</v>
      </c>
      <c r="S30" s="4732">
        <f>SUM('Произв. прогр. Вода (СВОД)'!J33)</f>
        <v>922.48289535614231</v>
      </c>
      <c r="T30" s="4685">
        <v>933.21</v>
      </c>
      <c r="U30" s="4685">
        <v>860.94</v>
      </c>
      <c r="V30" s="4732">
        <f>SUM('Произв. прогр. Вода (СВОД)'!K33)</f>
        <v>922.48289535614231</v>
      </c>
      <c r="W30" s="4685">
        <v>965.03</v>
      </c>
      <c r="X30" s="4685">
        <v>901.47</v>
      </c>
      <c r="Y30" s="4733">
        <f t="shared" si="51"/>
        <v>2819.3383489322096</v>
      </c>
      <c r="Z30" s="4733">
        <f t="shared" si="51"/>
        <v>2826.73</v>
      </c>
      <c r="AA30" s="4733">
        <f t="shared" si="51"/>
        <v>2716.8199999999997</v>
      </c>
      <c r="AB30" s="4734">
        <f t="shared" si="52"/>
        <v>7.3916510677904625</v>
      </c>
      <c r="AC30" s="4734">
        <f t="shared" si="53"/>
        <v>0.26217680012014033</v>
      </c>
      <c r="AD30" s="4733">
        <f t="shared" si="54"/>
        <v>5765.5180959758891</v>
      </c>
      <c r="AE30" s="4733">
        <f t="shared" si="55"/>
        <v>5750.6</v>
      </c>
      <c r="AF30" s="4733">
        <f t="shared" si="55"/>
        <v>5601.1299999999992</v>
      </c>
      <c r="AG30" s="4734">
        <f t="shared" si="56"/>
        <v>-14.918095975888718</v>
      </c>
      <c r="AH30" s="4734">
        <f t="shared" si="57"/>
        <v>-0.25874684161170142</v>
      </c>
      <c r="AI30" s="4732">
        <f>SUM('Произв. прогр. Вода (СВОД)'!N33)</f>
        <v>943.40217465170485</v>
      </c>
      <c r="AJ30" s="4685"/>
      <c r="AK30" s="4685">
        <v>663.89</v>
      </c>
      <c r="AL30" s="4732">
        <f>SUM('Произв. прогр. Вода (СВОД)'!O33)</f>
        <v>943.40217465170485</v>
      </c>
      <c r="AM30" s="4685"/>
      <c r="AN30" s="4685">
        <v>805.27</v>
      </c>
      <c r="AO30" s="4732">
        <f>SUM('Произв. прогр. Вода (СВОД)'!P33)</f>
        <v>996.46854697586321</v>
      </c>
      <c r="AP30" s="4685"/>
      <c r="AQ30" s="4685">
        <v>965.28</v>
      </c>
      <c r="AR30" s="4733">
        <f t="shared" si="58"/>
        <v>2883.272896279273</v>
      </c>
      <c r="AS30" s="4733">
        <f t="shared" si="58"/>
        <v>0</v>
      </c>
      <c r="AT30" s="4733">
        <f t="shared" si="58"/>
        <v>2434.4399999999996</v>
      </c>
      <c r="AU30" s="4734">
        <f t="shared" si="59"/>
        <v>-2883.272896279273</v>
      </c>
      <c r="AV30" s="4734">
        <f t="shared" si="60"/>
        <v>-100</v>
      </c>
      <c r="AW30" s="4733">
        <f t="shared" si="61"/>
        <v>8648.7909922551626</v>
      </c>
      <c r="AX30" s="4733">
        <f t="shared" si="62"/>
        <v>5750.6</v>
      </c>
      <c r="AY30" s="4733">
        <f t="shared" si="62"/>
        <v>8035.5699999999988</v>
      </c>
      <c r="AZ30" s="4734">
        <f t="shared" si="63"/>
        <v>-2898.1909922551622</v>
      </c>
      <c r="BA30" s="4734">
        <f t="shared" si="64"/>
        <v>-33.509781827892944</v>
      </c>
      <c r="BB30" s="4732">
        <f>SUM('Произв. прогр. Вода (СВОД)'!S33)</f>
        <v>1002.3648105674365</v>
      </c>
      <c r="BC30" s="4685"/>
      <c r="BD30" s="4685">
        <v>985.2</v>
      </c>
      <c r="BE30" s="4732">
        <f>SUM('Произв. прогр. Вода (СВОД)'!T33)</f>
        <v>1002.3648105674365</v>
      </c>
      <c r="BF30" s="4685"/>
      <c r="BG30" s="4685">
        <v>976.77</v>
      </c>
      <c r="BH30" s="4732">
        <f>SUM('Произв. прогр. Вода (СВОД)'!U33)</f>
        <v>1008.2610741590096</v>
      </c>
      <c r="BI30" s="4685"/>
      <c r="BJ30" s="4685">
        <v>887.28</v>
      </c>
      <c r="BK30" s="4733">
        <f t="shared" si="65"/>
        <v>3012.9906952938827</v>
      </c>
      <c r="BL30" s="4733">
        <f t="shared" si="65"/>
        <v>0</v>
      </c>
      <c r="BM30" s="4733">
        <f t="shared" si="65"/>
        <v>2849.25</v>
      </c>
      <c r="BN30" s="4734">
        <f t="shared" si="66"/>
        <v>-3012.9906952938827</v>
      </c>
      <c r="BO30" s="4734">
        <f t="shared" si="67"/>
        <v>-100</v>
      </c>
      <c r="BP30" s="4733">
        <f t="shared" si="68"/>
        <v>11661.781687549046</v>
      </c>
      <c r="BQ30" s="4733">
        <f t="shared" si="69"/>
        <v>5750.6</v>
      </c>
      <c r="BR30" s="4733">
        <f t="shared" si="69"/>
        <v>10884.82</v>
      </c>
      <c r="BS30" s="4734">
        <f t="shared" si="70"/>
        <v>-5911.1816875490458</v>
      </c>
      <c r="BT30" s="4734">
        <f t="shared" si="71"/>
        <v>-50.688495514028077</v>
      </c>
      <c r="BU30" s="657"/>
      <c r="BV30" s="657"/>
      <c r="BW30" s="657"/>
      <c r="BX30" s="657"/>
    </row>
    <row r="31" spans="1:76" ht="18.75">
      <c r="A31" s="4797" t="s">
        <v>655</v>
      </c>
      <c r="B31" s="4732">
        <f>SUM('Произв. прогр. Вода (СВОД)'!E34)</f>
        <v>0</v>
      </c>
      <c r="C31" s="4685"/>
      <c r="D31" s="4685">
        <v>0</v>
      </c>
      <c r="E31" s="4732">
        <f>SUM('Произв. прогр. Вода (СВОД)'!F34)</f>
        <v>0</v>
      </c>
      <c r="F31" s="4685"/>
      <c r="G31" s="4685">
        <v>0</v>
      </c>
      <c r="H31" s="4732">
        <f>SUM('Произв. прогр. Вода (СВОД)'!G34)</f>
        <v>0</v>
      </c>
      <c r="I31" s="4685"/>
      <c r="J31" s="4685">
        <v>0</v>
      </c>
      <c r="K31" s="4733">
        <f t="shared" si="48"/>
        <v>0</v>
      </c>
      <c r="L31" s="4733">
        <f t="shared" si="48"/>
        <v>0</v>
      </c>
      <c r="M31" s="4733">
        <f t="shared" si="48"/>
        <v>0</v>
      </c>
      <c r="N31" s="4734">
        <f t="shared" si="49"/>
        <v>0</v>
      </c>
      <c r="O31" s="4734" t="e">
        <f t="shared" si="50"/>
        <v>#DIV/0!</v>
      </c>
      <c r="P31" s="4732">
        <f>SUM('Произв. прогр. Вода (СВОД)'!I34)</f>
        <v>0</v>
      </c>
      <c r="Q31" s="4685">
        <v>0</v>
      </c>
      <c r="R31" s="4685">
        <v>0</v>
      </c>
      <c r="S31" s="4732">
        <f>SUM('Произв. прогр. Вода (СВОД)'!J34)</f>
        <v>0</v>
      </c>
      <c r="T31" s="4685">
        <v>0</v>
      </c>
      <c r="U31" s="4685">
        <v>0</v>
      </c>
      <c r="V31" s="4732">
        <f>SUM('Произв. прогр. Вода (СВОД)'!K34)</f>
        <v>0</v>
      </c>
      <c r="W31" s="4685">
        <v>0</v>
      </c>
      <c r="X31" s="4685">
        <v>0</v>
      </c>
      <c r="Y31" s="4733">
        <f t="shared" si="51"/>
        <v>0</v>
      </c>
      <c r="Z31" s="4733">
        <f t="shared" si="51"/>
        <v>0</v>
      </c>
      <c r="AA31" s="4733">
        <f t="shared" si="51"/>
        <v>0</v>
      </c>
      <c r="AB31" s="4734">
        <f t="shared" si="52"/>
        <v>0</v>
      </c>
      <c r="AC31" s="4734" t="e">
        <f t="shared" si="53"/>
        <v>#DIV/0!</v>
      </c>
      <c r="AD31" s="4733">
        <f t="shared" si="54"/>
        <v>0</v>
      </c>
      <c r="AE31" s="4733">
        <f t="shared" si="55"/>
        <v>0</v>
      </c>
      <c r="AF31" s="4733">
        <f t="shared" si="55"/>
        <v>0</v>
      </c>
      <c r="AG31" s="4734">
        <f t="shared" si="56"/>
        <v>0</v>
      </c>
      <c r="AH31" s="4734" t="e">
        <f t="shared" si="57"/>
        <v>#DIV/0!</v>
      </c>
      <c r="AI31" s="4732">
        <f>SUM('Произв. прогр. Вода (СВОД)'!N34)</f>
        <v>0</v>
      </c>
      <c r="AJ31" s="4685"/>
      <c r="AK31" s="4685">
        <v>0</v>
      </c>
      <c r="AL31" s="4732">
        <f>SUM('Произв. прогр. Вода (СВОД)'!O34)</f>
        <v>0</v>
      </c>
      <c r="AM31" s="4685"/>
      <c r="AN31" s="4685">
        <v>0</v>
      </c>
      <c r="AO31" s="4732">
        <f>SUM('Произв. прогр. Вода (СВОД)'!P34)</f>
        <v>0</v>
      </c>
      <c r="AP31" s="4685"/>
      <c r="AQ31" s="4685">
        <v>0</v>
      </c>
      <c r="AR31" s="4733">
        <f t="shared" si="58"/>
        <v>0</v>
      </c>
      <c r="AS31" s="4733">
        <f t="shared" si="58"/>
        <v>0</v>
      </c>
      <c r="AT31" s="4733">
        <f t="shared" si="58"/>
        <v>0</v>
      </c>
      <c r="AU31" s="4734">
        <f t="shared" si="59"/>
        <v>0</v>
      </c>
      <c r="AV31" s="4734" t="e">
        <f t="shared" si="60"/>
        <v>#DIV/0!</v>
      </c>
      <c r="AW31" s="4733">
        <f t="shared" si="61"/>
        <v>0</v>
      </c>
      <c r="AX31" s="4733">
        <f t="shared" si="62"/>
        <v>0</v>
      </c>
      <c r="AY31" s="4733">
        <f t="shared" si="62"/>
        <v>0</v>
      </c>
      <c r="AZ31" s="4734">
        <f t="shared" si="63"/>
        <v>0</v>
      </c>
      <c r="BA31" s="4734" t="e">
        <f t="shared" si="64"/>
        <v>#DIV/0!</v>
      </c>
      <c r="BB31" s="4732">
        <f>SUM('Произв. прогр. Вода (СВОД)'!S34)</f>
        <v>0</v>
      </c>
      <c r="BC31" s="4685"/>
      <c r="BD31" s="4685">
        <v>0</v>
      </c>
      <c r="BE31" s="4732">
        <f>SUM('Произв. прогр. Вода (СВОД)'!T34)</f>
        <v>0</v>
      </c>
      <c r="BF31" s="4685"/>
      <c r="BG31" s="4685">
        <v>0</v>
      </c>
      <c r="BH31" s="4732">
        <f>SUM('Произв. прогр. Вода (СВОД)'!U34)</f>
        <v>0</v>
      </c>
      <c r="BI31" s="4685"/>
      <c r="BJ31" s="4685">
        <v>0</v>
      </c>
      <c r="BK31" s="4733">
        <f t="shared" si="65"/>
        <v>0</v>
      </c>
      <c r="BL31" s="4733">
        <f t="shared" si="65"/>
        <v>0</v>
      </c>
      <c r="BM31" s="4733">
        <f t="shared" si="65"/>
        <v>0</v>
      </c>
      <c r="BN31" s="4734">
        <f t="shared" si="66"/>
        <v>0</v>
      </c>
      <c r="BO31" s="4734" t="e">
        <f t="shared" si="67"/>
        <v>#DIV/0!</v>
      </c>
      <c r="BP31" s="4733">
        <f t="shared" si="68"/>
        <v>0</v>
      </c>
      <c r="BQ31" s="4733">
        <f t="shared" si="69"/>
        <v>0</v>
      </c>
      <c r="BR31" s="4733">
        <f t="shared" si="69"/>
        <v>0</v>
      </c>
      <c r="BS31" s="4734">
        <f t="shared" si="70"/>
        <v>0</v>
      </c>
      <c r="BT31" s="4734" t="e">
        <f t="shared" si="71"/>
        <v>#DIV/0!</v>
      </c>
      <c r="BU31" s="657"/>
      <c r="BV31" s="657"/>
      <c r="BW31" s="657"/>
      <c r="BX31" s="657"/>
    </row>
    <row r="32" spans="1:76" ht="18.75">
      <c r="A32" s="4781" t="s">
        <v>1718</v>
      </c>
      <c r="B32" s="4722">
        <f>SUM('Произв. прогр. Вода (СВОД)'!E35)</f>
        <v>11125.100198526072</v>
      </c>
      <c r="C32" s="4722">
        <f t="shared" ref="C32:BI32" si="94">SUM(C25+C26+C27+C28+C29)</f>
        <v>11502.369999999999</v>
      </c>
      <c r="D32" s="4722">
        <f t="shared" ref="D32" si="95">SUM(D25+D26+D27+D28+D29)</f>
        <v>10033.18</v>
      </c>
      <c r="E32" s="4722">
        <f>SUM('Произв. прогр. Вода (СВОД)'!F35)</f>
        <v>11059.852190578795</v>
      </c>
      <c r="F32" s="4722">
        <f t="shared" si="94"/>
        <v>11366.300000000001</v>
      </c>
      <c r="G32" s="4722">
        <f t="shared" ref="G32" si="96">SUM(G25+G26+G27+G28+G29)</f>
        <v>10574.24</v>
      </c>
      <c r="H32" s="4722">
        <f>SUM('Произв. прогр. Вода (СВОД)'!G35)</f>
        <v>11059.852190578795</v>
      </c>
      <c r="I32" s="4722">
        <f t="shared" si="94"/>
        <v>10711.810000000001</v>
      </c>
      <c r="J32" s="4722">
        <f t="shared" ref="J32" si="97">SUM(J25+J26+J27+J28+J29)</f>
        <v>10143.49</v>
      </c>
      <c r="K32" s="4723">
        <f t="shared" si="48"/>
        <v>33244.80457968366</v>
      </c>
      <c r="L32" s="4723">
        <f t="shared" si="48"/>
        <v>33580.479999999996</v>
      </c>
      <c r="M32" s="4723">
        <f t="shared" si="48"/>
        <v>30750.909999999996</v>
      </c>
      <c r="N32" s="4724">
        <f t="shared" si="49"/>
        <v>335.67542031633639</v>
      </c>
      <c r="O32" s="4724">
        <f t="shared" si="50"/>
        <v>1.0097079064241878</v>
      </c>
      <c r="P32" s="4722">
        <f>SUM('Произв. прогр. Вода (СВОД)'!I35)</f>
        <v>10994.604182631514</v>
      </c>
      <c r="Q32" s="4722">
        <f t="shared" si="94"/>
        <v>11542.13</v>
      </c>
      <c r="R32" s="4722">
        <f t="shared" ref="R32" si="98">SUM(R25+R26+R27+R28+R29)</f>
        <v>11193.689999999999</v>
      </c>
      <c r="S32" s="4722">
        <f>SUM('Произв. прогр. Вода (СВОД)'!J35)</f>
        <v>10407.372111106011</v>
      </c>
      <c r="T32" s="4722">
        <f t="shared" si="94"/>
        <v>10990.189999999999</v>
      </c>
      <c r="U32" s="4722">
        <f t="shared" ref="U32" si="99">SUM(U25+U26+U27+U28+U29)</f>
        <v>10402.450000000001</v>
      </c>
      <c r="V32" s="4722">
        <f>SUM('Произв. прогр. Вода (СВОД)'!K35)</f>
        <v>10407.372111106011</v>
      </c>
      <c r="W32" s="4722">
        <f t="shared" si="94"/>
        <v>11707.080000000002</v>
      </c>
      <c r="X32" s="4722">
        <f t="shared" ref="X32" si="100">SUM(X25+X26+X27+X28+X29)</f>
        <v>10084.719999999999</v>
      </c>
      <c r="Y32" s="4723">
        <f t="shared" si="51"/>
        <v>31809.348404843538</v>
      </c>
      <c r="Z32" s="4723">
        <f t="shared" si="51"/>
        <v>34239.4</v>
      </c>
      <c r="AA32" s="4723">
        <f t="shared" si="51"/>
        <v>31680.86</v>
      </c>
      <c r="AB32" s="4724">
        <f t="shared" si="52"/>
        <v>2430.051595156463</v>
      </c>
      <c r="AC32" s="4724">
        <f t="shared" si="53"/>
        <v>7.6394258826956811</v>
      </c>
      <c r="AD32" s="4723">
        <f t="shared" si="54"/>
        <v>65054.152984527202</v>
      </c>
      <c r="AE32" s="4723">
        <f t="shared" si="55"/>
        <v>67819.88</v>
      </c>
      <c r="AF32" s="4723">
        <f t="shared" si="55"/>
        <v>62431.77</v>
      </c>
      <c r="AG32" s="4724">
        <f t="shared" si="56"/>
        <v>2765.727015472803</v>
      </c>
      <c r="AH32" s="4724">
        <f t="shared" si="57"/>
        <v>4.2514226818549421</v>
      </c>
      <c r="AI32" s="4722">
        <f>SUM('Произв. прогр. Вода (СВОД)'!N35)</f>
        <v>10681.599503424553</v>
      </c>
      <c r="AJ32" s="4722">
        <f t="shared" si="94"/>
        <v>0</v>
      </c>
      <c r="AK32" s="4722">
        <f t="shared" ref="AK32" si="101">SUM(AK25+AK26+AK27+AK28+AK29)</f>
        <v>9567.48</v>
      </c>
      <c r="AL32" s="4722">
        <f>SUM('Произв. прогр. Вода (СВОД)'!O35)</f>
        <v>10681.599503424553</v>
      </c>
      <c r="AM32" s="4722">
        <f t="shared" si="94"/>
        <v>0</v>
      </c>
      <c r="AN32" s="4722">
        <f t="shared" ref="AN32" si="102">SUM(AN25+AN26+AN27+AN28+AN29)</f>
        <v>10046.849270000001</v>
      </c>
      <c r="AO32" s="4722">
        <f>SUM('Произв. прогр. Вода (СВОД)'!P35)</f>
        <v>11282.148322368781</v>
      </c>
      <c r="AP32" s="4722">
        <f t="shared" si="94"/>
        <v>0</v>
      </c>
      <c r="AQ32" s="4722">
        <f t="shared" ref="AQ32" si="103">SUM(AQ25+AQ26+AQ27+AQ28+AQ29)</f>
        <v>11227.92</v>
      </c>
      <c r="AR32" s="4723">
        <f t="shared" si="58"/>
        <v>32645.34732921789</v>
      </c>
      <c r="AS32" s="4723">
        <f t="shared" si="58"/>
        <v>0</v>
      </c>
      <c r="AT32" s="4723">
        <f t="shared" si="58"/>
        <v>30842.24927</v>
      </c>
      <c r="AU32" s="4724">
        <f t="shared" si="59"/>
        <v>-32645.34732921789</v>
      </c>
      <c r="AV32" s="4724">
        <f t="shared" si="60"/>
        <v>-100</v>
      </c>
      <c r="AW32" s="4723">
        <f t="shared" si="61"/>
        <v>97699.500313745084</v>
      </c>
      <c r="AX32" s="4723">
        <f t="shared" si="62"/>
        <v>67819.88</v>
      </c>
      <c r="AY32" s="4723">
        <f t="shared" si="62"/>
        <v>93274.01926999999</v>
      </c>
      <c r="AZ32" s="4724">
        <f t="shared" si="63"/>
        <v>-29879.620313745079</v>
      </c>
      <c r="BA32" s="4724">
        <f t="shared" si="64"/>
        <v>-30.583186421416524</v>
      </c>
      <c r="BB32" s="4722">
        <f>SUM('Произв. прогр. Вода (СВОД)'!S35)</f>
        <v>11348.875968918144</v>
      </c>
      <c r="BC32" s="4722">
        <f>SUM(BC25+BC26+BC27+BC28+BC29)</f>
        <v>0</v>
      </c>
      <c r="BD32" s="4722">
        <f>SUM(BD25+BD26+BD27+BD28+BD29)</f>
        <v>11905.699999999999</v>
      </c>
      <c r="BE32" s="4722">
        <f>SUM('Произв. прогр. Вода (СВОД)'!T35)</f>
        <v>11348.875968918144</v>
      </c>
      <c r="BF32" s="4722">
        <f t="shared" si="94"/>
        <v>0</v>
      </c>
      <c r="BG32" s="4722">
        <f t="shared" ref="BG32" si="104">SUM(BG25+BG26+BG27+BG28+BG29)</f>
        <v>11638.31</v>
      </c>
      <c r="BH32" s="4722">
        <f>SUM('Произв. прогр. Вода (СВОД)'!U35)</f>
        <v>11415.603615467502</v>
      </c>
      <c r="BI32" s="4722">
        <f t="shared" si="94"/>
        <v>0</v>
      </c>
      <c r="BJ32" s="4722">
        <f t="shared" ref="BJ32" si="105">SUM(BJ25+BJ26+BJ27+BJ28+BJ29)</f>
        <v>10646.710000000001</v>
      </c>
      <c r="BK32" s="4723">
        <f t="shared" si="65"/>
        <v>34113.355553303787</v>
      </c>
      <c r="BL32" s="4723">
        <f t="shared" si="65"/>
        <v>0</v>
      </c>
      <c r="BM32" s="4723">
        <f t="shared" si="65"/>
        <v>34190.720000000001</v>
      </c>
      <c r="BN32" s="4724">
        <f t="shared" si="66"/>
        <v>-34113.355553303787</v>
      </c>
      <c r="BO32" s="4724">
        <f t="shared" si="67"/>
        <v>-100</v>
      </c>
      <c r="BP32" s="4723">
        <f t="shared" si="68"/>
        <v>131812.85586704887</v>
      </c>
      <c r="BQ32" s="4723">
        <f t="shared" si="69"/>
        <v>67819.88</v>
      </c>
      <c r="BR32" s="4723">
        <f t="shared" si="69"/>
        <v>127464.73926999999</v>
      </c>
      <c r="BS32" s="4724">
        <f t="shared" si="70"/>
        <v>-63992.975867048866</v>
      </c>
      <c r="BT32" s="4724">
        <f t="shared" si="71"/>
        <v>-48.548357021863218</v>
      </c>
      <c r="BU32" s="657"/>
      <c r="BV32" s="657"/>
      <c r="BW32" s="657"/>
      <c r="BX32" s="657"/>
    </row>
    <row r="33" spans="1:76" ht="18.75" customHeight="1">
      <c r="A33" s="4797" t="s">
        <v>1719</v>
      </c>
      <c r="B33" s="4732">
        <f>SUM('Произв. прогр. Вода (СВОД)'!E36)</f>
        <v>-552.07499999999993</v>
      </c>
      <c r="C33" s="4685"/>
      <c r="D33" s="4702">
        <f>-1205.435/12</f>
        <v>-100.45291666666667</v>
      </c>
      <c r="E33" s="4732">
        <f>SUM('Произв. прогр. Вода (СВОД)'!F36)</f>
        <v>-552.07499999999993</v>
      </c>
      <c r="F33" s="4702"/>
      <c r="G33" s="4702">
        <f>SUM(D33)</f>
        <v>-100.45291666666667</v>
      </c>
      <c r="H33" s="4732">
        <f>SUM('Произв. прогр. Вода (СВОД)'!G36)</f>
        <v>-552.07499999999993</v>
      </c>
      <c r="I33" s="4702"/>
      <c r="J33" s="4702">
        <f>SUM(D33)</f>
        <v>-100.45291666666667</v>
      </c>
      <c r="K33" s="4733">
        <f t="shared" si="48"/>
        <v>-1656.2249999999999</v>
      </c>
      <c r="L33" s="4733">
        <f t="shared" si="48"/>
        <v>0</v>
      </c>
      <c r="M33" s="4733">
        <f t="shared" si="48"/>
        <v>-301.35874999999999</v>
      </c>
      <c r="N33" s="4734">
        <f t="shared" si="49"/>
        <v>1656.2249999999999</v>
      </c>
      <c r="O33" s="4734">
        <f t="shared" si="50"/>
        <v>-100</v>
      </c>
      <c r="P33" s="4732">
        <f>SUM('Произв. прогр. Вода (СВОД)'!I36)</f>
        <v>-552.07499999999993</v>
      </c>
      <c r="Q33" s="4702"/>
      <c r="R33" s="4702">
        <f>SUM(D33)</f>
        <v>-100.45291666666667</v>
      </c>
      <c r="S33" s="4732">
        <f>SUM('Произв. прогр. Вода (СВОД)'!J36)</f>
        <v>-552.07499999999993</v>
      </c>
      <c r="T33" s="4702"/>
      <c r="U33" s="4702">
        <f>SUM(D33)</f>
        <v>-100.45291666666667</v>
      </c>
      <c r="V33" s="4732">
        <f>SUM('Произв. прогр. Вода (СВОД)'!K36)</f>
        <v>-552.07499999999993</v>
      </c>
      <c r="W33" s="4702"/>
      <c r="X33" s="4702">
        <f>SUM(D33)</f>
        <v>-100.45291666666667</v>
      </c>
      <c r="Y33" s="4733">
        <f t="shared" si="51"/>
        <v>-1656.2249999999999</v>
      </c>
      <c r="Z33" s="4733">
        <f t="shared" si="51"/>
        <v>0</v>
      </c>
      <c r="AA33" s="4733">
        <f t="shared" si="51"/>
        <v>-301.35874999999999</v>
      </c>
      <c r="AB33" s="4734">
        <f t="shared" si="52"/>
        <v>1656.2249999999999</v>
      </c>
      <c r="AC33" s="4734">
        <f t="shared" si="53"/>
        <v>-100</v>
      </c>
      <c r="AD33" s="4733">
        <f t="shared" si="54"/>
        <v>-3312.45</v>
      </c>
      <c r="AE33" s="4733">
        <f t="shared" si="55"/>
        <v>0</v>
      </c>
      <c r="AF33" s="4733">
        <f t="shared" si="55"/>
        <v>-602.71749999999997</v>
      </c>
      <c r="AG33" s="4734">
        <f t="shared" si="56"/>
        <v>3312.45</v>
      </c>
      <c r="AH33" s="4734">
        <f t="shared" si="57"/>
        <v>-100</v>
      </c>
      <c r="AI33" s="4732">
        <f>SUM('Произв. прогр. Вода (СВОД)'!N36)</f>
        <v>-552.07499999999993</v>
      </c>
      <c r="AJ33" s="4702"/>
      <c r="AK33" s="4702">
        <f>SUM(D33)</f>
        <v>-100.45291666666667</v>
      </c>
      <c r="AL33" s="4732">
        <f>SUM('Произв. прогр. Вода (СВОД)'!O36)</f>
        <v>-552.07499999999993</v>
      </c>
      <c r="AM33" s="4702"/>
      <c r="AN33" s="4702">
        <f>SUM(D33)</f>
        <v>-100.45291666666667</v>
      </c>
      <c r="AO33" s="4732">
        <f>SUM('Произв. прогр. Вода (СВОД)'!P36)</f>
        <v>-552.07499999999993</v>
      </c>
      <c r="AP33" s="4732"/>
      <c r="AQ33" s="4732">
        <f>SUM(D33)</f>
        <v>-100.45291666666667</v>
      </c>
      <c r="AR33" s="4733">
        <f t="shared" si="58"/>
        <v>-1656.2249999999999</v>
      </c>
      <c r="AS33" s="4733">
        <f t="shared" si="58"/>
        <v>0</v>
      </c>
      <c r="AT33" s="4733">
        <f t="shared" si="58"/>
        <v>-301.35874999999999</v>
      </c>
      <c r="AU33" s="4734">
        <f t="shared" si="59"/>
        <v>1656.2249999999999</v>
      </c>
      <c r="AV33" s="4734">
        <f t="shared" si="60"/>
        <v>-100</v>
      </c>
      <c r="AW33" s="4733">
        <f t="shared" si="61"/>
        <v>-4968.6749999999993</v>
      </c>
      <c r="AX33" s="4733">
        <f t="shared" si="62"/>
        <v>0</v>
      </c>
      <c r="AY33" s="4733">
        <f t="shared" si="62"/>
        <v>-904.07624999999996</v>
      </c>
      <c r="AZ33" s="4734">
        <f t="shared" si="63"/>
        <v>4968.6749999999993</v>
      </c>
      <c r="BA33" s="4734">
        <f t="shared" si="64"/>
        <v>-100</v>
      </c>
      <c r="BB33" s="4732">
        <f>SUM('Произв. прогр. Вода (СВОД)'!S36)</f>
        <v>-552.07499999999993</v>
      </c>
      <c r="BC33" s="4702"/>
      <c r="BD33" s="4702">
        <f>SUM(D33)</f>
        <v>-100.45291666666667</v>
      </c>
      <c r="BE33" s="4732">
        <f>SUM('Произв. прогр. Вода (СВОД)'!T36)</f>
        <v>-552.07499999999993</v>
      </c>
      <c r="BF33" s="4702"/>
      <c r="BG33" s="4702">
        <f>SUM(D33)</f>
        <v>-100.45291666666667</v>
      </c>
      <c r="BH33" s="4732">
        <f>SUM('Произв. прогр. Вода (СВОД)'!U36)</f>
        <v>-552.07499999999993</v>
      </c>
      <c r="BI33" s="4702"/>
      <c r="BJ33" s="4702">
        <f>SUM(D33)</f>
        <v>-100.45291666666667</v>
      </c>
      <c r="BK33" s="4733">
        <f t="shared" si="65"/>
        <v>-1656.2249999999999</v>
      </c>
      <c r="BL33" s="4733">
        <f t="shared" si="65"/>
        <v>0</v>
      </c>
      <c r="BM33" s="4733">
        <f t="shared" si="65"/>
        <v>-301.35874999999999</v>
      </c>
      <c r="BN33" s="4734">
        <f t="shared" si="66"/>
        <v>1656.2249999999999</v>
      </c>
      <c r="BO33" s="4734">
        <f t="shared" si="67"/>
        <v>-100</v>
      </c>
      <c r="BP33" s="4733">
        <f t="shared" si="68"/>
        <v>-6624.9</v>
      </c>
      <c r="BQ33" s="4733">
        <f t="shared" si="69"/>
        <v>0</v>
      </c>
      <c r="BR33" s="4733">
        <f t="shared" si="69"/>
        <v>-1205.4349999999999</v>
      </c>
      <c r="BS33" s="4734">
        <f t="shared" si="70"/>
        <v>6624.9</v>
      </c>
      <c r="BT33" s="4734">
        <f t="shared" si="71"/>
        <v>-100</v>
      </c>
      <c r="BU33" s="657"/>
      <c r="BV33" s="657"/>
      <c r="BW33" s="657"/>
      <c r="BX33" s="657"/>
    </row>
    <row r="34" spans="1:76" ht="18.75">
      <c r="A34" s="4781" t="s">
        <v>1720</v>
      </c>
      <c r="B34" s="4722">
        <f>SUM('Произв. прогр. Вода (СВОД)'!E37)</f>
        <v>35.930140932814503</v>
      </c>
      <c r="C34" s="4722">
        <f t="shared" ref="C34:BR34" si="106">SUM(C32/C14)</f>
        <v>36.020323802962452</v>
      </c>
      <c r="D34" s="4722">
        <f t="shared" si="106"/>
        <v>33.701185717644691</v>
      </c>
      <c r="E34" s="4722">
        <f>SUM('Произв. прогр. Вода (СВОД)'!F37)</f>
        <v>35.929527125949598</v>
      </c>
      <c r="F34" s="4722">
        <f t="shared" si="106"/>
        <v>36.018316062997123</v>
      </c>
      <c r="G34" s="4722">
        <f t="shared" si="106"/>
        <v>33.703831197807105</v>
      </c>
      <c r="H34" s="4722">
        <f>SUM('Произв. прогр. Вода (СВОД)'!G37)</f>
        <v>35.929527125949598</v>
      </c>
      <c r="I34" s="4722">
        <f t="shared" si="106"/>
        <v>36.020613356648056</v>
      </c>
      <c r="J34" s="4722">
        <f t="shared" si="106"/>
        <v>33.709381542653951</v>
      </c>
      <c r="K34" s="4723">
        <f t="shared" si="106"/>
        <v>35.929732529029636</v>
      </c>
      <c r="L34" s="4723">
        <f t="shared" si="106"/>
        <v>36.019736559831806</v>
      </c>
      <c r="M34" s="4723">
        <f t="shared" si="106"/>
        <v>33.704798544434212</v>
      </c>
      <c r="N34" s="4724">
        <f t="shared" si="49"/>
        <v>9.0004030802170121E-2</v>
      </c>
      <c r="O34" s="4724">
        <f t="shared" si="50"/>
        <v>0.25050014143425881</v>
      </c>
      <c r="P34" s="4722">
        <f>SUM('Произв. прогр. Вода (СВОД)'!I37)</f>
        <v>35.928906055098118</v>
      </c>
      <c r="Q34" s="4722">
        <f t="shared" si="106"/>
        <v>36.010638961687256</v>
      </c>
      <c r="R34" s="4722">
        <f t="shared" si="106"/>
        <v>33.708826452254037</v>
      </c>
      <c r="S34" s="4722">
        <f>SUM('Произв. прогр. Вода (СВОД)'!J37)</f>
        <v>35.922967065080861</v>
      </c>
      <c r="T34" s="4722">
        <f t="shared" si="106"/>
        <v>36.022780163230522</v>
      </c>
      <c r="U34" s="4722">
        <f t="shared" si="106"/>
        <v>33.711799591664771</v>
      </c>
      <c r="V34" s="4722">
        <f>SUM('Произв. прогр. Вода (СВОД)'!K37)</f>
        <v>35.922967065080861</v>
      </c>
      <c r="W34" s="4722">
        <f t="shared" si="106"/>
        <v>36.024001477013975</v>
      </c>
      <c r="X34" s="4722">
        <f t="shared" si="106"/>
        <v>33.710121674020584</v>
      </c>
      <c r="Y34" s="4723">
        <f t="shared" si="106"/>
        <v>35.925019599463106</v>
      </c>
      <c r="Z34" s="4723">
        <f t="shared" si="106"/>
        <v>36.019103924930832</v>
      </c>
      <c r="AA34" s="4723">
        <f t="shared" si="106"/>
        <v>33.710214939348802</v>
      </c>
      <c r="AB34" s="4724">
        <f t="shared" si="52"/>
        <v>9.408432546772616E-2</v>
      </c>
      <c r="AC34" s="4724">
        <f t="shared" si="53"/>
        <v>0.26189081179828289</v>
      </c>
      <c r="AD34" s="4723">
        <f t="shared" si="106"/>
        <v>35.927427906471607</v>
      </c>
      <c r="AE34" s="4723">
        <f t="shared" si="106"/>
        <v>36.019417166347125</v>
      </c>
      <c r="AF34" s="4723">
        <f t="shared" si="106"/>
        <v>33.707546864201802</v>
      </c>
      <c r="AG34" s="4724">
        <f t="shared" si="56"/>
        <v>9.1989259875518314E-2</v>
      </c>
      <c r="AH34" s="4724">
        <f t="shared" si="57"/>
        <v>0.25604187451155747</v>
      </c>
      <c r="AI34" s="4722">
        <f>SUM('Произв. прогр. Вода (СВОД)'!N37)</f>
        <v>36.86951355899258</v>
      </c>
      <c r="AJ34" s="4722" t="e">
        <f t="shared" si="106"/>
        <v>#DIV/0!</v>
      </c>
      <c r="AK34" s="4722">
        <f t="shared" si="106"/>
        <v>36.018070248089444</v>
      </c>
      <c r="AL34" s="4722">
        <f>SUM('Произв. прогр. Вода (СВОД)'!O37)</f>
        <v>36.86951355899258</v>
      </c>
      <c r="AM34" s="4722" t="e">
        <f t="shared" si="106"/>
        <v>#DIV/0!</v>
      </c>
      <c r="AN34" s="4722">
        <f t="shared" si="106"/>
        <v>36.018390806658068</v>
      </c>
      <c r="AO34" s="4722">
        <f>SUM('Произв. прогр. Вода (СВОД)'!P37)</f>
        <v>36.86856210925918</v>
      </c>
      <c r="AP34" s="4722" t="e">
        <f t="shared" si="106"/>
        <v>#DIV/0!</v>
      </c>
      <c r="AQ34" s="4722">
        <f t="shared" si="106"/>
        <v>36.027338360340124</v>
      </c>
      <c r="AR34" s="4723">
        <f t="shared" si="106"/>
        <v>36.869184734851594</v>
      </c>
      <c r="AS34" s="4723" t="e">
        <f t="shared" si="106"/>
        <v>#DIV/0!</v>
      </c>
      <c r="AT34" s="4723">
        <f t="shared" si="106"/>
        <v>36.02154813270684</v>
      </c>
      <c r="AU34" s="4724" t="e">
        <f t="shared" si="59"/>
        <v>#DIV/0!</v>
      </c>
      <c r="AV34" s="4724" t="e">
        <f t="shared" si="60"/>
        <v>#DIV/0!</v>
      </c>
      <c r="AW34" s="4723">
        <f t="shared" si="106"/>
        <v>36.236708691614531</v>
      </c>
      <c r="AX34" s="4723">
        <f t="shared" si="106"/>
        <v>36.019417166347125</v>
      </c>
      <c r="AY34" s="4723">
        <f t="shared" si="106"/>
        <v>34.4390870708474</v>
      </c>
      <c r="AZ34" s="4724">
        <f t="shared" si="63"/>
        <v>-0.21729152526740592</v>
      </c>
      <c r="BA34" s="4724">
        <f t="shared" si="64"/>
        <v>-0.59964476110847487</v>
      </c>
      <c r="BB34" s="4722">
        <f>SUM('Произв. прогр. Вода (СВОД)'!S37)</f>
        <v>36.868462611247857</v>
      </c>
      <c r="BC34" s="4722" t="e">
        <f t="shared" si="106"/>
        <v>#DIV/0!</v>
      </c>
      <c r="BD34" s="4722">
        <f t="shared" si="106"/>
        <v>36.023298033282906</v>
      </c>
      <c r="BE34" s="4722">
        <f>SUM('Произв. прогр. Вода (СВОД)'!T37)</f>
        <v>36.868462611247857</v>
      </c>
      <c r="BF34" s="4722" t="e">
        <f t="shared" si="106"/>
        <v>#DIV/0!</v>
      </c>
      <c r="BG34" s="4722">
        <f t="shared" si="106"/>
        <v>36.018538004456545</v>
      </c>
      <c r="BH34" s="4722">
        <f>SUM('Произв. прогр. Вода (СВОД)'!U37)</f>
        <v>36.868364276955944</v>
      </c>
      <c r="BI34" s="4722" t="e">
        <f t="shared" si="106"/>
        <v>#DIV/0!</v>
      </c>
      <c r="BJ34" s="4722">
        <f t="shared" si="106"/>
        <v>36.020942585512742</v>
      </c>
      <c r="BK34" s="4723">
        <f t="shared" si="106"/>
        <v>36.868429704860546</v>
      </c>
      <c r="BL34" s="4723" t="e">
        <f t="shared" si="106"/>
        <v>#DIV/0!</v>
      </c>
      <c r="BM34" s="4723">
        <f t="shared" si="106"/>
        <v>36.020944173453159</v>
      </c>
      <c r="BN34" s="4724" t="e">
        <f t="shared" si="66"/>
        <v>#DIV/0!</v>
      </c>
      <c r="BO34" s="4724" t="e">
        <f t="shared" si="67"/>
        <v>#DIV/0!</v>
      </c>
      <c r="BP34" s="4723">
        <f t="shared" si="106"/>
        <v>36.398113410498887</v>
      </c>
      <c r="BQ34" s="4723">
        <f t="shared" si="106"/>
        <v>36.019417166347125</v>
      </c>
      <c r="BR34" s="4723">
        <f t="shared" si="106"/>
        <v>34.849601242399778</v>
      </c>
      <c r="BS34" s="4724">
        <f t="shared" si="70"/>
        <v>-0.37869624415176162</v>
      </c>
      <c r="BT34" s="4724">
        <f t="shared" si="71"/>
        <v>-1.0404282218718739</v>
      </c>
      <c r="BU34" s="657"/>
      <c r="BV34" s="657"/>
      <c r="BW34" s="657"/>
      <c r="BX34" s="657"/>
    </row>
    <row r="35" spans="1:76" ht="19.5">
      <c r="A35" s="3079" t="s">
        <v>264</v>
      </c>
      <c r="B35" s="4732">
        <f>SUM('Произв. прогр. Вода (СВОД)'!E38)</f>
        <v>28.964099999999998</v>
      </c>
      <c r="C35" s="4856">
        <f t="shared" ref="C35:D35" si="107">SUM(C25/C15)</f>
        <v>28.957758338401085</v>
      </c>
      <c r="D35" s="4856">
        <f t="shared" si="107"/>
        <v>27.796893792814938</v>
      </c>
      <c r="E35" s="4732">
        <f>SUM('Произв. прогр. Вода (СВОД)'!F38)</f>
        <v>28.964099999999998</v>
      </c>
      <c r="F35" s="4856">
        <f t="shared" ref="F35:G35" si="108">SUM(F25/F15)</f>
        <v>28.95817087845969</v>
      </c>
      <c r="G35" s="4856">
        <f t="shared" si="108"/>
        <v>27.797078326768712</v>
      </c>
      <c r="H35" s="4732">
        <f>SUM('Произв. прогр. Вода (СВОД)'!G38)</f>
        <v>28.964099999999998</v>
      </c>
      <c r="I35" s="4856">
        <f t="shared" ref="I35:J35" si="109">SUM(I25/I15)</f>
        <v>28.95683087861859</v>
      </c>
      <c r="J35" s="4856">
        <f t="shared" si="109"/>
        <v>27.796037238014637</v>
      </c>
      <c r="K35" s="4857">
        <f t="shared" ref="K35:M35" si="110">SUM(K25/K15)</f>
        <v>28.964099999999998</v>
      </c>
      <c r="L35" s="4857">
        <f t="shared" si="110"/>
        <v>28.957601629960223</v>
      </c>
      <c r="M35" s="4857">
        <f t="shared" si="110"/>
        <v>27.796665935512177</v>
      </c>
      <c r="N35" s="4855">
        <f t="shared" ref="N35:N38" si="111">SUM(L35-K35)</f>
        <v>-6.4983700397753807E-3</v>
      </c>
      <c r="O35" s="4855">
        <f t="shared" ref="O35:O38" si="112">SUM(N35/K35*100)</f>
        <v>-2.2435946705664532E-2</v>
      </c>
      <c r="P35" s="4732">
        <f>SUM('Произв. прогр. Вода (СВОД)'!I38)</f>
        <v>28.964099999999998</v>
      </c>
      <c r="Q35" s="4856">
        <f t="shared" ref="Q35:R35" si="113">SUM(Q25/Q15)</f>
        <v>28.957491422035833</v>
      </c>
      <c r="R35" s="4856">
        <f t="shared" si="113"/>
        <v>27.796545190146741</v>
      </c>
      <c r="S35" s="4732">
        <f>SUM('Произв. прогр. Вода (СВОД)'!J38)</f>
        <v>28.964099999999998</v>
      </c>
      <c r="T35" s="4856">
        <f t="shared" ref="T35:U35" si="114">SUM(T25/T15)</f>
        <v>28.958399681528658</v>
      </c>
      <c r="U35" s="4856">
        <f t="shared" si="114"/>
        <v>27.795947901591894</v>
      </c>
      <c r="V35" s="4732">
        <f>SUM('Произв. прогр. Вода (СВОД)'!K38)</f>
        <v>28.964099999999998</v>
      </c>
      <c r="W35" s="4856">
        <f t="shared" ref="W35:X35" si="115">SUM(W25/W15)</f>
        <v>28.958212793314043</v>
      </c>
      <c r="X35" s="4856">
        <f t="shared" si="115"/>
        <v>27.798210836637185</v>
      </c>
      <c r="Y35" s="4857">
        <f t="shared" ref="Y35:AA35" si="116">SUM(Y25/Y15)</f>
        <v>28.964099999999998</v>
      </c>
      <c r="Z35" s="4857">
        <f t="shared" si="116"/>
        <v>28.958031722799365</v>
      </c>
      <c r="AA35" s="4857">
        <f t="shared" si="116"/>
        <v>27.796868313865954</v>
      </c>
      <c r="AB35" s="4855">
        <f t="shared" ref="AB35:AB38" si="117">SUM(Z35-Y35)</f>
        <v>-6.0682772006330765E-3</v>
      </c>
      <c r="AC35" s="4855">
        <f t="shared" ref="AC35:AC38" si="118">SUM(AB35/Y35*100)</f>
        <v>-2.0951029725187652E-2</v>
      </c>
      <c r="AD35" s="4857">
        <f t="shared" ref="AD35:AF35" si="119">SUM(AD25/AD15)</f>
        <v>28.964099999999998</v>
      </c>
      <c r="AE35" s="4857">
        <f t="shared" si="119"/>
        <v>28.957818426771667</v>
      </c>
      <c r="AF35" s="4857">
        <f t="shared" si="119"/>
        <v>27.79677029191593</v>
      </c>
      <c r="AG35" s="4855">
        <f t="shared" ref="AG35:AG38" si="120">SUM(AE35-AD35)</f>
        <v>-6.2815732283318937E-3</v>
      </c>
      <c r="AH35" s="4855">
        <f t="shared" ref="AH35:AH38" si="121">SUM(AG35/AD35*100)</f>
        <v>-2.1687444900176059E-2</v>
      </c>
      <c r="AI35" s="4732">
        <f>SUM('Произв. прогр. Вода (СВОД)'!N38)</f>
        <v>30.3</v>
      </c>
      <c r="AJ35" s="4856" t="e">
        <f t="shared" ref="AJ35:AK35" si="122">SUM(AJ25/AJ15)</f>
        <v>#DIV/0!</v>
      </c>
      <c r="AK35" s="4856">
        <f t="shared" si="122"/>
        <v>28.960912949997248</v>
      </c>
      <c r="AL35" s="4732">
        <f>SUM('Произв. прогр. Вода (СВОД)'!O38)</f>
        <v>30.3</v>
      </c>
      <c r="AM35" s="4856" t="e">
        <f t="shared" ref="AM35:AN35" si="123">SUM(AM25/AM15)</f>
        <v>#DIV/0!</v>
      </c>
      <c r="AN35" s="4856">
        <f t="shared" si="123"/>
        <v>28.959392436453815</v>
      </c>
      <c r="AO35" s="4732">
        <f>SUM('Произв. прогр. Вода (СВОД)'!P38)</f>
        <v>30.3</v>
      </c>
      <c r="AP35" s="4856" t="e">
        <f t="shared" ref="AP35:AQ35" si="124">SUM(AP25/AP15)</f>
        <v>#DIV/0!</v>
      </c>
      <c r="AQ35" s="4856">
        <f t="shared" si="124"/>
        <v>28.957678535906108</v>
      </c>
      <c r="AR35" s="4857">
        <f t="shared" ref="AR35:AT35" si="125">SUM(AR25/AR15)</f>
        <v>30.299999999999997</v>
      </c>
      <c r="AS35" s="4857" t="e">
        <f t="shared" si="125"/>
        <v>#DIV/0!</v>
      </c>
      <c r="AT35" s="4857">
        <f t="shared" si="125"/>
        <v>28.95927295453362</v>
      </c>
      <c r="AU35" s="4724" t="e">
        <f t="shared" ref="AU35:AU38" si="126">SUM(AS35-AR35)</f>
        <v>#DIV/0!</v>
      </c>
      <c r="AV35" s="4724" t="e">
        <f t="shared" ref="AV35:AV38" si="127">SUM(AU35/AR35*100)</f>
        <v>#DIV/0!</v>
      </c>
      <c r="AW35" s="4857">
        <f t="shared" ref="AW35:AY35" si="128">SUM(AW25/AW15)</f>
        <v>29.402820685023503</v>
      </c>
      <c r="AX35" s="4857">
        <f t="shared" si="128"/>
        <v>28.957818426771667</v>
      </c>
      <c r="AY35" s="4857">
        <f t="shared" si="128"/>
        <v>28.168858735212574</v>
      </c>
      <c r="AZ35" s="4724">
        <f t="shared" ref="AZ35:AZ38" si="129">SUM(AX35-AW35)</f>
        <v>-0.44500225825183648</v>
      </c>
      <c r="BA35" s="4724">
        <f t="shared" ref="BA35:BA38" si="130">SUM(AZ35/AW35*100)</f>
        <v>-1.5134679186697926</v>
      </c>
      <c r="BB35" s="4725">
        <f>SUM('Произв. прогр. Вода (СВОД)'!S38)</f>
        <v>30.3</v>
      </c>
      <c r="BC35" s="4856" t="e">
        <f t="shared" ref="BC35:BD35" si="131">SUM(BC25/BC15)</f>
        <v>#DIV/0!</v>
      </c>
      <c r="BD35" s="4856">
        <f t="shared" si="131"/>
        <v>28.958608561379428</v>
      </c>
      <c r="BE35" s="4725">
        <f>SUM('Произв. прогр. Вода (СВОД)'!T38)</f>
        <v>30.3</v>
      </c>
      <c r="BF35" s="4856" t="e">
        <f t="shared" ref="BF35:BG35" si="132">SUM(BF25/BF15)</f>
        <v>#DIV/0!</v>
      </c>
      <c r="BG35" s="4856">
        <f t="shared" si="132"/>
        <v>28.956871016964367</v>
      </c>
      <c r="BH35" s="4725">
        <f>SUM('Произв. прогр. Вода (СВОД)'!U38)</f>
        <v>30.3</v>
      </c>
      <c r="BI35" s="4856" t="e">
        <f t="shared" ref="BI35:BJ35" si="133">SUM(BI25/BI15)</f>
        <v>#DIV/0!</v>
      </c>
      <c r="BJ35" s="4856">
        <f t="shared" si="133"/>
        <v>28.959092328510462</v>
      </c>
      <c r="BK35" s="4857">
        <f t="shared" ref="BK35:BM35" si="134">SUM(BK25/BK15)</f>
        <v>30.3</v>
      </c>
      <c r="BL35" s="4857" t="e">
        <f t="shared" si="134"/>
        <v>#DIV/0!</v>
      </c>
      <c r="BM35" s="4857">
        <f t="shared" si="134"/>
        <v>28.958154605770716</v>
      </c>
      <c r="BN35" s="4724" t="e">
        <f t="shared" ref="BN35:BN38" si="135">SUM(BL35-BK35)</f>
        <v>#DIV/0!</v>
      </c>
      <c r="BO35" s="4724" t="e">
        <f t="shared" ref="BO35:BO38" si="136">SUM(BN35/BK35*100)</f>
        <v>#DIV/0!</v>
      </c>
      <c r="BP35" s="4857">
        <f>SUM(BP25/BP15)</f>
        <v>29.632050000000003</v>
      </c>
      <c r="BQ35" s="4857">
        <f t="shared" ref="BQ35:BR35" si="137">SUM(BQ25/BQ15)</f>
        <v>28.957818426771667</v>
      </c>
      <c r="BR35" s="4857">
        <f t="shared" si="137"/>
        <v>28.37784187239815</v>
      </c>
      <c r="BS35" s="4724">
        <f t="shared" ref="BS35:BS38" si="138">SUM(BQ35-BP35)</f>
        <v>-0.6742315732283366</v>
      </c>
      <c r="BT35" s="4724">
        <f t="shared" ref="BT35:BT38" si="139">SUM(BS35/BP35*100)</f>
        <v>-2.2753456923443922</v>
      </c>
      <c r="BU35" s="657"/>
      <c r="BV35" s="657"/>
      <c r="BW35" s="657"/>
      <c r="BX35" s="657"/>
    </row>
    <row r="36" spans="1:76" ht="19.5">
      <c r="A36" s="3079" t="s">
        <v>1721</v>
      </c>
      <c r="B36" s="4732">
        <f>SUM('Произв. прогр. Вода (СВОД)'!E39)</f>
        <v>7.0703880998493069</v>
      </c>
      <c r="C36" s="4856">
        <f t="shared" ref="C36:D36" si="140">SUM(C26/C15)</f>
        <v>7.0700285353417218</v>
      </c>
      <c r="D36" s="4856">
        <f t="shared" si="140"/>
        <v>5.9200439261622133</v>
      </c>
      <c r="E36" s="4732">
        <f>SUM('Произв. прогр. Вода (СВОД)'!F39)</f>
        <v>7.0703880998493069</v>
      </c>
      <c r="F36" s="4856">
        <f t="shared" ref="F36:G36" si="141">SUM(F26/F15)</f>
        <v>7.070084235860409</v>
      </c>
      <c r="G36" s="4856">
        <f t="shared" si="141"/>
        <v>5.9200777783317555</v>
      </c>
      <c r="H36" s="4732">
        <f>SUM('Произв. прогр. Вода (СВОД)'!G39)</f>
        <v>7.0703880998493069</v>
      </c>
      <c r="I36" s="4856">
        <f t="shared" ref="I36:J36" si="142">SUM(I26/I15)</f>
        <v>7.0697816150330111</v>
      </c>
      <c r="J36" s="4856">
        <f t="shared" si="142"/>
        <v>5.9198486583362371</v>
      </c>
      <c r="K36" s="4857">
        <f t="shared" ref="K36:M36" si="143">SUM(K26/K15)</f>
        <v>7.0703880998493078</v>
      </c>
      <c r="L36" s="4857">
        <f t="shared" si="143"/>
        <v>7.0699686297338387</v>
      </c>
      <c r="M36" s="4857">
        <f t="shared" si="143"/>
        <v>5.9199892014105657</v>
      </c>
      <c r="N36" s="4855">
        <f t="shared" si="111"/>
        <v>-4.1947011546916713E-4</v>
      </c>
      <c r="O36" s="4855">
        <f t="shared" si="112"/>
        <v>-5.9327735556426861E-3</v>
      </c>
      <c r="P36" s="4732">
        <f>SUM('Произв. прогр. Вода (СВОД)'!I39)</f>
        <v>7.0703880998493069</v>
      </c>
      <c r="Q36" s="4856">
        <f t="shared" ref="Q36:R36" si="144">SUM(Q26/Q15)</f>
        <v>7.0699580632863128</v>
      </c>
      <c r="R36" s="4856">
        <f t="shared" si="144"/>
        <v>5.9199312563345527</v>
      </c>
      <c r="S36" s="4732">
        <f>SUM('Произв. прогр. Вода (СВОД)'!J39)</f>
        <v>7.0703880998493069</v>
      </c>
      <c r="T36" s="4856">
        <f t="shared" ref="T36:U36" si="145">SUM(T26/T15)</f>
        <v>7.0701632165605091</v>
      </c>
      <c r="U36" s="4856">
        <f t="shared" si="145"/>
        <v>5.9198263386396528</v>
      </c>
      <c r="V36" s="4732">
        <f>SUM('Произв. прогр. Вода (СВОД)'!K39)</f>
        <v>7.0703880998493069</v>
      </c>
      <c r="W36" s="4856">
        <f t="shared" ref="W36:X36" si="146">SUM(W26/W15)</f>
        <v>7.0701198512191761</v>
      </c>
      <c r="X36" s="4856">
        <f t="shared" si="146"/>
        <v>5.9202500762427563</v>
      </c>
      <c r="Y36" s="4857">
        <f t="shared" ref="Y36:AA36" si="147">SUM(Y26/Y15)</f>
        <v>7.0703880998493069</v>
      </c>
      <c r="Z36" s="4857">
        <f t="shared" si="147"/>
        <v>7.0700797047266013</v>
      </c>
      <c r="AA36" s="4857">
        <f t="shared" si="147"/>
        <v>5.9199961963326304</v>
      </c>
      <c r="AB36" s="4855">
        <f t="shared" si="117"/>
        <v>-3.0839512270564029E-4</v>
      </c>
      <c r="AC36" s="4855">
        <f t="shared" si="118"/>
        <v>-4.3617849310452024E-3</v>
      </c>
      <c r="AD36" s="4857">
        <f t="shared" ref="AD36:AF36" si="148">SUM(AD26/AD15)</f>
        <v>7.0703880998493069</v>
      </c>
      <c r="AE36" s="4857">
        <f t="shared" si="148"/>
        <v>7.0700246192832337</v>
      </c>
      <c r="AF36" s="4857">
        <f t="shared" si="148"/>
        <v>5.9199928083423243</v>
      </c>
      <c r="AG36" s="4855">
        <f t="shared" si="120"/>
        <v>-3.6348056607327095E-4</v>
      </c>
      <c r="AH36" s="4855">
        <f t="shared" si="121"/>
        <v>-5.1408856337181539E-3</v>
      </c>
      <c r="AI36" s="4732">
        <f>SUM('Произв. прогр. Вода (СВОД)'!N39)</f>
        <v>6.5516474473322184</v>
      </c>
      <c r="AJ36" s="4856" t="e">
        <f t="shared" ref="AJ36:AK36" si="149">SUM(AJ26/AJ15)</f>
        <v>#DIV/0!</v>
      </c>
      <c r="AK36" s="4856">
        <f t="shared" si="149"/>
        <v>7.0701251447158064</v>
      </c>
      <c r="AL36" s="4732">
        <f>SUM('Произв. прогр. Вода (СВОД)'!O39)</f>
        <v>6.5516474473322184</v>
      </c>
      <c r="AM36" s="4856" t="e">
        <f t="shared" ref="AM36:AN36" si="150">SUM(AM26/AM15)</f>
        <v>#DIV/0!</v>
      </c>
      <c r="AN36" s="4856">
        <f t="shared" si="150"/>
        <v>7.0701591237859063</v>
      </c>
      <c r="AO36" s="4732">
        <f>SUM('Произв. прогр. Вода (СВОД)'!P39)</f>
        <v>6.5516474473322184</v>
      </c>
      <c r="AP36" s="4856" t="e">
        <f t="shared" ref="AP36:AQ36" si="151">SUM(AP26/AP15)</f>
        <v>#DIV/0!</v>
      </c>
      <c r="AQ36" s="4856">
        <f t="shared" si="151"/>
        <v>7.0699721503879056</v>
      </c>
      <c r="AR36" s="4857">
        <f t="shared" ref="AR36:AT36" si="152">SUM(AR26/AR15)</f>
        <v>6.5516474473322184</v>
      </c>
      <c r="AS36" s="4857" t="e">
        <f t="shared" si="152"/>
        <v>#DIV/0!</v>
      </c>
      <c r="AT36" s="4857">
        <f t="shared" si="152"/>
        <v>7.0700831553912122</v>
      </c>
      <c r="AU36" s="4724" t="e">
        <f t="shared" si="126"/>
        <v>#DIV/0!</v>
      </c>
      <c r="AV36" s="4724" t="e">
        <f t="shared" si="127"/>
        <v>#DIV/0!</v>
      </c>
      <c r="AW36" s="4857">
        <f t="shared" ref="AW36:AY36" si="153">SUM(AW26/AW15)</f>
        <v>6.9000293496271068</v>
      </c>
      <c r="AX36" s="4857">
        <f t="shared" si="153"/>
        <v>7.0700246192832337</v>
      </c>
      <c r="AY36" s="4857">
        <f t="shared" si="153"/>
        <v>6.2881083754243843</v>
      </c>
      <c r="AZ36" s="4724">
        <f t="shared" si="129"/>
        <v>0.16999526965612688</v>
      </c>
      <c r="BA36" s="4724">
        <f t="shared" si="130"/>
        <v>2.4636890807618639</v>
      </c>
      <c r="BB36" s="4725">
        <f>SUM('Произв. прогр. Вода (СВОД)'!S39)</f>
        <v>6.5516474473322184</v>
      </c>
      <c r="BC36" s="4856" t="e">
        <f t="shared" ref="BC36:BD36" si="154">SUM(BC26/BC15)</f>
        <v>#DIV/0!</v>
      </c>
      <c r="BD36" s="4856">
        <f t="shared" si="154"/>
        <v>7.0700437505361586</v>
      </c>
      <c r="BE36" s="4725">
        <f>SUM('Произв. прогр. Вода (СВОД)'!T39)</f>
        <v>6.5516474473322184</v>
      </c>
      <c r="BF36" s="4856" t="e">
        <f t="shared" ref="BF36:BG36" si="155">SUM(BF26/BF15)</f>
        <v>#DIV/0!</v>
      </c>
      <c r="BG36" s="4856">
        <f t="shared" si="155"/>
        <v>7.0699219100619333</v>
      </c>
      <c r="BH36" s="4725">
        <f>SUM('Произв. прогр. Вода (СВОД)'!U39)</f>
        <v>6.5516474473322184</v>
      </c>
      <c r="BI36" s="4856" t="e">
        <f t="shared" ref="BI36:BJ36" si="156">SUM(BI26/BI15)</f>
        <v>#DIV/0!</v>
      </c>
      <c r="BJ36" s="4856">
        <f t="shared" si="156"/>
        <v>7.0699489955240979</v>
      </c>
      <c r="BK36" s="4857">
        <f t="shared" ref="BK36:BM36" si="157">SUM(BK26/BK15)</f>
        <v>6.5516474473322193</v>
      </c>
      <c r="BL36" s="4857" t="e">
        <f t="shared" si="157"/>
        <v>#DIV/0!</v>
      </c>
      <c r="BM36" s="4857">
        <f t="shared" si="157"/>
        <v>7.0699737694800202</v>
      </c>
      <c r="BN36" s="4724" t="e">
        <f t="shared" si="135"/>
        <v>#DIV/0!</v>
      </c>
      <c r="BO36" s="4724" t="e">
        <f t="shared" si="136"/>
        <v>#DIV/0!</v>
      </c>
      <c r="BP36" s="4857">
        <f>SUM(BP26/BP15)</f>
        <v>6.8110177735907635</v>
      </c>
      <c r="BQ36" s="4857">
        <f t="shared" ref="BQ36:BR36" si="158">SUM(BQ26/BQ15)</f>
        <v>7.0700246192832337</v>
      </c>
      <c r="BR36" s="4857">
        <f t="shared" si="158"/>
        <v>6.4951241333948868</v>
      </c>
      <c r="BS36" s="4724">
        <f t="shared" si="138"/>
        <v>0.25900684569247012</v>
      </c>
      <c r="BT36" s="4724">
        <f t="shared" si="139"/>
        <v>3.8027627338861265</v>
      </c>
      <c r="BU36" s="657"/>
      <c r="BV36" s="657"/>
      <c r="BW36" s="657"/>
      <c r="BX36" s="657"/>
    </row>
    <row r="37" spans="1:76" ht="19.5">
      <c r="A37" s="3079" t="s">
        <v>265</v>
      </c>
      <c r="B37" s="4732">
        <f>SUM('Произв. прогр. Вода (СВОД)'!E40)</f>
        <v>36.034488099849305</v>
      </c>
      <c r="C37" s="4856">
        <f t="shared" ref="C37:D37" si="159">SUM(C27+C29)/(C16-C17+C18)</f>
        <v>36.029690760766464</v>
      </c>
      <c r="D37" s="4856">
        <f t="shared" si="159"/>
        <v>33.716787496469259</v>
      </c>
      <c r="E37" s="4732">
        <f>SUM('Произв. прогр. Вода (СВОД)'!F40)</f>
        <v>36.034488099849305</v>
      </c>
      <c r="F37" s="4856">
        <f t="shared" ref="F37:G37" si="160">SUM(F27+F29)/(F16-F17+F18)</f>
        <v>36.029728725380899</v>
      </c>
      <c r="G37" s="4856">
        <f t="shared" si="160"/>
        <v>33.719624512929506</v>
      </c>
      <c r="H37" s="4732">
        <f>SUM('Произв. прогр. Вода (СВОД)'!G40)</f>
        <v>36.034488099849305</v>
      </c>
      <c r="I37" s="4856">
        <f t="shared" ref="I37:J37" si="161">SUM(I27+I29)/(I16-I17+I18)</f>
        <v>36.02909525707453</v>
      </c>
      <c r="J37" s="4856">
        <f t="shared" si="161"/>
        <v>33.722995294824308</v>
      </c>
      <c r="K37" s="4857">
        <f t="shared" ref="K37:M37" si="162">SUM(K27+K29)/(K16-K17+K18)</f>
        <v>36.034488099849305</v>
      </c>
      <c r="L37" s="4857">
        <f t="shared" si="162"/>
        <v>36.02951311339416</v>
      </c>
      <c r="M37" s="4857">
        <f t="shared" si="162"/>
        <v>33.719735439784337</v>
      </c>
      <c r="N37" s="4855">
        <f t="shared" si="111"/>
        <v>-4.9749864551458245E-3</v>
      </c>
      <c r="O37" s="4855">
        <f t="shared" si="112"/>
        <v>-1.3806180460675476E-2</v>
      </c>
      <c r="P37" s="4732">
        <f>SUM('Произв. прогр. Вода (СВОД)'!I40)</f>
        <v>36.034488099849305</v>
      </c>
      <c r="Q37" s="4856">
        <f t="shared" ref="Q37:R37" si="163">SUM(Q27+Q29)/(Q16-Q17+Q18)</f>
        <v>36.031714389271478</v>
      </c>
      <c r="R37" s="4856">
        <f t="shared" si="163"/>
        <v>33.72332317073171</v>
      </c>
      <c r="S37" s="4732">
        <f>SUM('Произв. прогр. Вода (СВОД)'!J40)</f>
        <v>36.034488099849305</v>
      </c>
      <c r="T37" s="4856">
        <f t="shared" ref="T37:U37" si="164">SUM(T27+T29)/(T16-T17+T18)</f>
        <v>36.028837835239834</v>
      </c>
      <c r="U37" s="4856">
        <f t="shared" si="164"/>
        <v>33.720470495206087</v>
      </c>
      <c r="V37" s="4732">
        <f>SUM('Произв. прогр. Вода (СВОД)'!K40)</f>
        <v>36.034488099849305</v>
      </c>
      <c r="W37" s="4856">
        <f t="shared" ref="W37:X37" si="165">SUM(W27+W29)/(W16-W17+W18)</f>
        <v>36.031179985063474</v>
      </c>
      <c r="X37" s="4856">
        <f t="shared" si="165"/>
        <v>33.717274415876425</v>
      </c>
      <c r="Y37" s="4857">
        <f t="shared" ref="Y37:AA37" si="166">SUM(Y27+Y29)/(Y16-Y17+Y18)</f>
        <v>36.034488099849305</v>
      </c>
      <c r="Z37" s="4857">
        <f t="shared" si="166"/>
        <v>36.030605579919758</v>
      </c>
      <c r="AA37" s="4857">
        <f t="shared" si="166"/>
        <v>33.72038129822969</v>
      </c>
      <c r="AB37" s="4855">
        <f t="shared" si="117"/>
        <v>-3.8825199295473567E-3</v>
      </c>
      <c r="AC37" s="4855">
        <f t="shared" si="118"/>
        <v>-1.077445562370454E-2</v>
      </c>
      <c r="AD37" s="4857">
        <f t="shared" ref="AD37:AF37" si="167">SUM(AD27+AD29)/(AD16-AD17+AD18)</f>
        <v>36.034488099849298</v>
      </c>
      <c r="AE37" s="4857">
        <f t="shared" si="167"/>
        <v>36.030066306521974</v>
      </c>
      <c r="AF37" s="4857">
        <f t="shared" si="167"/>
        <v>33.720052913425981</v>
      </c>
      <c r="AG37" s="4855">
        <f t="shared" si="120"/>
        <v>-4.421793327324508E-3</v>
      </c>
      <c r="AH37" s="4855">
        <f t="shared" si="121"/>
        <v>-1.2271003587096888E-2</v>
      </c>
      <c r="AI37" s="4732">
        <f>SUM('Произв. прогр. Вода (СВОД)'!N40)</f>
        <v>36.851647447332219</v>
      </c>
      <c r="AJ37" s="4856" t="e">
        <f t="shared" ref="AJ37:AK37" si="168">SUM(AJ27+AJ29)/(AJ16-AJ17+AJ18)</f>
        <v>#DIV/0!</v>
      </c>
      <c r="AK37" s="4856">
        <f t="shared" si="168"/>
        <v>36.020214030915575</v>
      </c>
      <c r="AL37" s="4732">
        <f>SUM('Произв. прогр. Вода (СВОД)'!O40)</f>
        <v>36.851647447332219</v>
      </c>
      <c r="AM37" s="4856" t="e">
        <f t="shared" ref="AM37:AN37" si="169">SUM(AM27+AM29)/(AM16-AM17+AM18)</f>
        <v>#DIV/0!</v>
      </c>
      <c r="AN37" s="4856">
        <f t="shared" si="169"/>
        <v>36.028282651647501</v>
      </c>
      <c r="AO37" s="4732">
        <f>SUM('Произв. прогр. Вода (СВОД)'!P40)</f>
        <v>36.851647447332219</v>
      </c>
      <c r="AP37" s="4856" t="e">
        <f t="shared" ref="AP37:AQ37" si="170">SUM(AP27+AP29)/(AP16-AP17+AP18)</f>
        <v>#DIV/0!</v>
      </c>
      <c r="AQ37" s="4856">
        <f t="shared" si="170"/>
        <v>36.026770371710228</v>
      </c>
      <c r="AR37" s="4857">
        <f t="shared" ref="AR37:AT37" si="171">SUM(AR27+AR29)/(AR16-AR17+AR18)</f>
        <v>36.851647447332219</v>
      </c>
      <c r="AS37" s="4857" t="e">
        <f t="shared" si="171"/>
        <v>#DIV/0!</v>
      </c>
      <c r="AT37" s="4857">
        <f t="shared" si="171"/>
        <v>36.025260663938916</v>
      </c>
      <c r="AU37" s="4724" t="e">
        <f t="shared" si="126"/>
        <v>#DIV/0!</v>
      </c>
      <c r="AV37" s="4724" t="e">
        <f t="shared" si="127"/>
        <v>#DIV/0!</v>
      </c>
      <c r="AW37" s="4857">
        <f t="shared" ref="AW37:AY37" si="172">SUM(AW27+AW29)/(AW16-AW17+AW18)</f>
        <v>36.302779991890887</v>
      </c>
      <c r="AX37" s="4857">
        <f t="shared" si="172"/>
        <v>36.030066306521974</v>
      </c>
      <c r="AY37" s="4857">
        <f t="shared" si="172"/>
        <v>34.431131920702654</v>
      </c>
      <c r="AZ37" s="4724">
        <f t="shared" si="129"/>
        <v>-0.27271368536891316</v>
      </c>
      <c r="BA37" s="4724">
        <f t="shared" si="130"/>
        <v>-0.75121983889341382</v>
      </c>
      <c r="BB37" s="4725">
        <f>SUM('Произв. прогр. Вода (СВОД)'!S40)</f>
        <v>36.851647447332219</v>
      </c>
      <c r="BC37" s="4856" t="e">
        <f t="shared" ref="BC37:BD37" si="173">SUM(BC27+BC29)/(BC16-BC17+BC18)</f>
        <v>#DIV/0!</v>
      </c>
      <c r="BD37" s="4856">
        <f t="shared" si="173"/>
        <v>36.020863309352521</v>
      </c>
      <c r="BE37" s="4725">
        <f>SUM('Произв. прогр. Вода (СВОД)'!T40)</f>
        <v>36.851647447332219</v>
      </c>
      <c r="BF37" s="4856" t="e">
        <f t="shared" ref="BF37:BG37" si="174">SUM(BF27+BF29)/(BF16-BF17+BF18)</f>
        <v>#DIV/0!</v>
      </c>
      <c r="BG37" s="4856">
        <f t="shared" si="174"/>
        <v>36.032860567319219</v>
      </c>
      <c r="BH37" s="4725">
        <f>SUM('Произв. прогр. Вода (СВОД)'!U40)</f>
        <v>36.851647447332219</v>
      </c>
      <c r="BI37" s="4856" t="e">
        <f t="shared" ref="BI37:BJ37" si="175">SUM(BI27+BI29)/(BI16-BI17+BI18)</f>
        <v>#DIV/0!</v>
      </c>
      <c r="BJ37" s="4856">
        <f t="shared" si="175"/>
        <v>36.030399845096326</v>
      </c>
      <c r="BK37" s="4857">
        <f t="shared" ref="BK37:BM37" si="176">SUM(BK27+BK29)/(BK16-BK17+BK18)</f>
        <v>36.851647447332219</v>
      </c>
      <c r="BL37" s="4857" t="e">
        <f t="shared" si="176"/>
        <v>#DIV/0!</v>
      </c>
      <c r="BM37" s="4857">
        <f t="shared" si="176"/>
        <v>36.028133417578402</v>
      </c>
      <c r="BN37" s="4724" t="e">
        <f t="shared" si="135"/>
        <v>#DIV/0!</v>
      </c>
      <c r="BO37" s="4724" t="e">
        <f t="shared" si="136"/>
        <v>#DIV/0!</v>
      </c>
      <c r="BP37" s="4857">
        <f>SUM(BP27+BP29)/(BP16-BP17+BP18)</f>
        <v>36.443067773590762</v>
      </c>
      <c r="BQ37" s="4857">
        <f t="shared" ref="BQ37:BR37" si="177">SUM(BQ27+BQ29)/(BQ16-BQ17+BQ18)</f>
        <v>36.030066306521974</v>
      </c>
      <c r="BR37" s="4857">
        <f t="shared" si="177"/>
        <v>34.828668117545256</v>
      </c>
      <c r="BS37" s="4724">
        <f t="shared" si="138"/>
        <v>-0.41300146706878849</v>
      </c>
      <c r="BT37" s="4724">
        <f t="shared" si="139"/>
        <v>-1.1332785418467946</v>
      </c>
      <c r="BU37" s="657"/>
      <c r="BV37" s="657"/>
      <c r="BW37" s="657"/>
      <c r="BX37" s="657"/>
    </row>
    <row r="38" spans="1:76" ht="19.5">
      <c r="A38" s="3066" t="s">
        <v>25</v>
      </c>
      <c r="B38" s="4732">
        <f>SUM('Произв. прогр. Вода (СВОД)'!E41)</f>
        <v>17.934118095092199</v>
      </c>
      <c r="C38" s="4856">
        <f t="shared" ref="C38:D38" si="178">SUM(C28/C17)</f>
        <v>17.571428571428569</v>
      </c>
      <c r="D38" s="4856">
        <f t="shared" si="178"/>
        <v>16.407407407407405</v>
      </c>
      <c r="E38" s="4732">
        <f>SUM('Произв. прогр. Вода (СВОД)'!F41)</f>
        <v>17.934118095092199</v>
      </c>
      <c r="F38" s="4856">
        <f t="shared" ref="F38:G38" si="179">SUM(F28/F17)</f>
        <v>17.722222222222221</v>
      </c>
      <c r="G38" s="4856">
        <f t="shared" si="179"/>
        <v>15.88</v>
      </c>
      <c r="H38" s="4732">
        <f>SUM('Произв. прогр. Вода (СВОД)'!G41)</f>
        <v>17.934118095092199</v>
      </c>
      <c r="I38" s="4856">
        <f t="shared" ref="I38:J38" si="180">SUM(I28/I17)</f>
        <v>19.083333333333336</v>
      </c>
      <c r="J38" s="4856">
        <f t="shared" si="180"/>
        <v>15.933333333333335</v>
      </c>
      <c r="K38" s="4857">
        <f t="shared" ref="K38:M38" si="181">SUM(K28/K17)</f>
        <v>17.934118095092202</v>
      </c>
      <c r="L38" s="4857">
        <f t="shared" si="181"/>
        <v>18.045454545454547</v>
      </c>
      <c r="M38" s="4857">
        <f t="shared" si="181"/>
        <v>16.1044776119403</v>
      </c>
      <c r="N38" s="4855">
        <f t="shared" si="111"/>
        <v>0.11133645036234441</v>
      </c>
      <c r="O38" s="4855">
        <f t="shared" si="112"/>
        <v>0.62080805853961907</v>
      </c>
      <c r="P38" s="4732">
        <f>SUM('Произв. прогр. Вода (СВОД)'!I41)</f>
        <v>17.934118095092199</v>
      </c>
      <c r="Q38" s="4856">
        <f t="shared" ref="Q38:R38" si="182">SUM(Q28/Q17)</f>
        <v>17.71875</v>
      </c>
      <c r="R38" s="4856">
        <f t="shared" si="182"/>
        <v>15.611111111111112</v>
      </c>
      <c r="S38" s="4732">
        <f>SUM('Произв. прогр. Вода (СВОД)'!J41)</f>
        <v>17.934118095092199</v>
      </c>
      <c r="T38" s="4856">
        <f t="shared" ref="T38:U38" si="183">SUM(T28/T17)</f>
        <v>18.099999999999998</v>
      </c>
      <c r="U38" s="4856">
        <f t="shared" si="183"/>
        <v>16.7</v>
      </c>
      <c r="V38" s="4732">
        <f>SUM('Произв. прогр. Вода (СВОД)'!K41)</f>
        <v>17.934118095092199</v>
      </c>
      <c r="W38" s="4856">
        <f t="shared" ref="W38:X38" si="184">SUM(W28/W17)</f>
        <v>17</v>
      </c>
      <c r="X38" s="4856">
        <f t="shared" si="184"/>
        <v>15.46153846153846</v>
      </c>
      <c r="Y38" s="4857">
        <f t="shared" ref="Y38:AA38" si="185">SUM(Y28/Y17)</f>
        <v>17.934118095092202</v>
      </c>
      <c r="Z38" s="4857">
        <f t="shared" si="185"/>
        <v>17.666666666666664</v>
      </c>
      <c r="AA38" s="4857">
        <f t="shared" si="185"/>
        <v>15.829268292682926</v>
      </c>
      <c r="AB38" s="4855">
        <f t="shared" si="117"/>
        <v>-0.26745142842553804</v>
      </c>
      <c r="AC38" s="4855">
        <f t="shared" si="118"/>
        <v>-1.4912995833273117</v>
      </c>
      <c r="AD38" s="4857">
        <f t="shared" ref="AD38:AF38" si="186">SUM(AD28/AD17)</f>
        <v>17.934118095092202</v>
      </c>
      <c r="AE38" s="4857">
        <f t="shared" si="186"/>
        <v>17.842105263157894</v>
      </c>
      <c r="AF38" s="4857">
        <f t="shared" si="186"/>
        <v>16</v>
      </c>
      <c r="AG38" s="4855">
        <f t="shared" si="120"/>
        <v>-9.2012831934308537E-2</v>
      </c>
      <c r="AH38" s="4855">
        <f t="shared" si="121"/>
        <v>-0.51306025446262948</v>
      </c>
      <c r="AI38" s="4732">
        <f>SUM('Произв. прогр. Вода (СВОД)'!N41)</f>
        <v>39.751398442921086</v>
      </c>
      <c r="AJ38" s="4856" t="e">
        <f t="shared" ref="AJ38:AK38" si="187">SUM(AJ28/AJ17)</f>
        <v>#DIV/0!</v>
      </c>
      <c r="AK38" s="4856">
        <f t="shared" si="187"/>
        <v>17.928571428571427</v>
      </c>
      <c r="AL38" s="4732">
        <f>SUM('Произв. прогр. Вода (СВОД)'!O41)</f>
        <v>39.751398442921086</v>
      </c>
      <c r="AM38" s="4856" t="e">
        <f t="shared" ref="AM38:AN38" si="188">SUM(AM28/AM17)</f>
        <v>#DIV/0!</v>
      </c>
      <c r="AN38" s="4856">
        <f t="shared" si="188"/>
        <v>18.352941176470587</v>
      </c>
      <c r="AO38" s="4732">
        <f>SUM('Произв. прогр. Вода (СВОД)'!P41)</f>
        <v>39.751398442921086</v>
      </c>
      <c r="AP38" s="4856" t="e">
        <f t="shared" ref="AP38:AQ38" si="189">SUM(AP28/AP17)</f>
        <v>#DIV/0!</v>
      </c>
      <c r="AQ38" s="4856" t="e">
        <f t="shared" si="189"/>
        <v>#DIV/0!</v>
      </c>
      <c r="AR38" s="4857">
        <f t="shared" ref="AR38:AT38" si="190">SUM(AR28/AR17)</f>
        <v>39.751398442921086</v>
      </c>
      <c r="AS38" s="4857" t="e">
        <f t="shared" si="190"/>
        <v>#DIV/0!</v>
      </c>
      <c r="AT38" s="4857">
        <f t="shared" si="190"/>
        <v>18.161290322580641</v>
      </c>
      <c r="AU38" s="4724" t="e">
        <f t="shared" si="126"/>
        <v>#DIV/0!</v>
      </c>
      <c r="AV38" s="4724" t="e">
        <f t="shared" si="127"/>
        <v>#DIV/0!</v>
      </c>
      <c r="AW38" s="4857">
        <f t="shared" ref="AW38:AY38" si="191">SUM(AW28/AW17)</f>
        <v>25.206544877701827</v>
      </c>
      <c r="AX38" s="4857">
        <f t="shared" si="191"/>
        <v>17.842105263157894</v>
      </c>
      <c r="AY38" s="4857">
        <f t="shared" si="191"/>
        <v>16.482014388489208</v>
      </c>
      <c r="AZ38" s="4724">
        <f t="shared" si="129"/>
        <v>-7.364439614543933</v>
      </c>
      <c r="BA38" s="4724">
        <f t="shared" si="130"/>
        <v>-29.216378723363441</v>
      </c>
      <c r="BB38" s="4725">
        <f>SUM('Произв. прогр. Вода (СВОД)'!S41)</f>
        <v>39.751398442921086</v>
      </c>
      <c r="BC38" s="4856" t="e">
        <f t="shared" ref="BC38:BD38" si="192">SUM(BC28/BC17)</f>
        <v>#DIV/0!</v>
      </c>
      <c r="BD38" s="4856">
        <f t="shared" si="192"/>
        <v>19.166666666666664</v>
      </c>
      <c r="BE38" s="4725">
        <f>SUM('Произв. прогр. Вода (СВОД)'!T41)</f>
        <v>39.751398442921086</v>
      </c>
      <c r="BF38" s="4856" t="e">
        <f t="shared" ref="BF38:BG38" si="193">SUM(BF28/BF17)</f>
        <v>#DIV/0!</v>
      </c>
      <c r="BG38" s="4856">
        <f t="shared" si="193"/>
        <v>17.833333333333332</v>
      </c>
      <c r="BH38" s="4725">
        <f>SUM('Произв. прогр. Вода (СВОД)'!U41)</f>
        <v>39.751398442921086</v>
      </c>
      <c r="BI38" s="4856" t="e">
        <f t="shared" ref="BI38:BJ38" si="194">SUM(BI28/BI17)</f>
        <v>#DIV/0!</v>
      </c>
      <c r="BJ38" s="4856">
        <f t="shared" si="194"/>
        <v>17.928571428571427</v>
      </c>
      <c r="BK38" s="4857">
        <f t="shared" ref="BK38:BM38" si="195">SUM(BK28/BK17)</f>
        <v>39.751398442921086</v>
      </c>
      <c r="BL38" s="4857" t="e">
        <f t="shared" si="195"/>
        <v>#DIV/0!</v>
      </c>
      <c r="BM38" s="4857">
        <f t="shared" si="195"/>
        <v>18.078947368421051</v>
      </c>
      <c r="BN38" s="4724" t="e">
        <f t="shared" si="135"/>
        <v>#DIV/0!</v>
      </c>
      <c r="BO38" s="4724" t="e">
        <f t="shared" si="136"/>
        <v>#DIV/0!</v>
      </c>
      <c r="BP38" s="4857">
        <f>SUM(BP28/BP17)</f>
        <v>28.842758269006644</v>
      </c>
      <c r="BQ38" s="4857">
        <f t="shared" ref="BQ38:BR38" si="196">SUM(BQ28/BQ17)</f>
        <v>17.842105263157894</v>
      </c>
      <c r="BR38" s="4857">
        <f t="shared" si="196"/>
        <v>16.824858757062149</v>
      </c>
      <c r="BS38" s="4724">
        <f t="shared" si="138"/>
        <v>-11.000653005848751</v>
      </c>
      <c r="BT38" s="4724">
        <f t="shared" si="139"/>
        <v>-38.140086683975866</v>
      </c>
      <c r="BU38" s="657"/>
      <c r="BV38" s="657"/>
      <c r="BW38" s="657"/>
      <c r="BX38" s="657"/>
    </row>
    <row r="39" spans="1:76" ht="18" customHeight="1">
      <c r="A39" s="4717" t="s">
        <v>1992</v>
      </c>
      <c r="B39" s="4735"/>
      <c r="C39" s="4735"/>
      <c r="D39" s="4735"/>
      <c r="E39" s="4735"/>
      <c r="F39" s="4735"/>
      <c r="G39" s="4735"/>
      <c r="H39" s="4735"/>
      <c r="I39" s="4735"/>
      <c r="J39" s="4735"/>
      <c r="K39" s="4735"/>
      <c r="L39" s="4735"/>
      <c r="M39" s="4735"/>
      <c r="N39" s="4735"/>
      <c r="O39" s="4735"/>
      <c r="P39" s="4735"/>
      <c r="Q39" s="4735"/>
      <c r="R39" s="4735"/>
      <c r="S39" s="4735"/>
      <c r="T39" s="4735"/>
      <c r="U39" s="4735"/>
      <c r="V39" s="4735"/>
      <c r="W39" s="4735"/>
      <c r="X39" s="4735"/>
      <c r="Y39" s="4718"/>
      <c r="Z39" s="4718"/>
      <c r="AA39" s="4718"/>
      <c r="AB39" s="4718"/>
      <c r="AC39" s="4718"/>
      <c r="AD39" s="4718"/>
      <c r="AE39" s="4718"/>
      <c r="AF39" s="4718"/>
      <c r="AG39" s="4718"/>
      <c r="AH39" s="4718"/>
      <c r="AI39" s="4718"/>
      <c r="AJ39" s="4718"/>
      <c r="AK39" s="4718"/>
      <c r="AL39" s="4718"/>
      <c r="AM39" s="4718"/>
      <c r="AN39" s="4718"/>
      <c r="AO39" s="4718"/>
      <c r="AP39" s="4718"/>
      <c r="AQ39" s="4718"/>
      <c r="AR39" s="4718"/>
      <c r="AS39" s="4718"/>
      <c r="AT39" s="4718"/>
      <c r="AU39" s="4718"/>
      <c r="AV39" s="4718"/>
      <c r="AW39" s="4718"/>
      <c r="AX39" s="4718"/>
      <c r="AY39" s="4718"/>
      <c r="AZ39" s="4718"/>
      <c r="BA39" s="4718"/>
      <c r="BB39" s="4718"/>
      <c r="BC39" s="4718"/>
      <c r="BD39" s="4718"/>
      <c r="BE39" s="4718"/>
      <c r="BF39" s="4718"/>
      <c r="BG39" s="4718"/>
      <c r="BH39" s="4718"/>
      <c r="BI39" s="4718"/>
      <c r="BJ39" s="4718"/>
      <c r="BK39" s="4718"/>
      <c r="BL39" s="4718"/>
      <c r="BM39" s="4718"/>
      <c r="BN39" s="4718"/>
      <c r="BO39" s="4718"/>
      <c r="BP39" s="4718"/>
      <c r="BQ39" s="4718"/>
      <c r="BR39" s="4718"/>
      <c r="BS39" s="4718"/>
      <c r="BT39" s="4719"/>
      <c r="BU39" s="657"/>
      <c r="BV39" s="657"/>
      <c r="BW39" s="657"/>
      <c r="BX39" s="657"/>
    </row>
    <row r="40" spans="1:76" ht="20.25" customHeight="1">
      <c r="A40" s="4895" t="s">
        <v>545</v>
      </c>
      <c r="B40" s="4896" t="s">
        <v>2010</v>
      </c>
      <c r="C40" s="4897"/>
      <c r="D40" s="4897"/>
      <c r="E40" s="4896" t="s">
        <v>2011</v>
      </c>
      <c r="F40" s="4897"/>
      <c r="G40" s="4897"/>
      <c r="H40" s="4896" t="s">
        <v>2012</v>
      </c>
      <c r="I40" s="4897"/>
      <c r="J40" s="4897"/>
      <c r="K40" s="4898" t="s">
        <v>1983</v>
      </c>
      <c r="L40" s="4899"/>
      <c r="M40" s="4899"/>
      <c r="N40" s="4900"/>
      <c r="O40" s="4901"/>
      <c r="P40" s="4896" t="s">
        <v>2013</v>
      </c>
      <c r="Q40" s="4897"/>
      <c r="R40" s="4897"/>
      <c r="S40" s="4896" t="s">
        <v>2014</v>
      </c>
      <c r="T40" s="4897"/>
      <c r="U40" s="4897"/>
      <c r="V40" s="4896" t="s">
        <v>2015</v>
      </c>
      <c r="W40" s="4897"/>
      <c r="X40" s="4897"/>
      <c r="Y40" s="4898" t="s">
        <v>1984</v>
      </c>
      <c r="Z40" s="4899"/>
      <c r="AA40" s="4899"/>
      <c r="AB40" s="4900"/>
      <c r="AC40" s="4901"/>
      <c r="AD40" s="4898" t="s">
        <v>1985</v>
      </c>
      <c r="AE40" s="4909"/>
      <c r="AF40" s="4909"/>
      <c r="AG40" s="4909"/>
      <c r="AH40" s="4910"/>
      <c r="AI40" s="4896" t="s">
        <v>1376</v>
      </c>
      <c r="AJ40" s="4897"/>
      <c r="AK40" s="4897"/>
      <c r="AL40" s="4896" t="s">
        <v>2016</v>
      </c>
      <c r="AM40" s="4897"/>
      <c r="AN40" s="4897"/>
      <c r="AO40" s="4896" t="s">
        <v>2017</v>
      </c>
      <c r="AP40" s="4897"/>
      <c r="AQ40" s="4897"/>
      <c r="AR40" s="4898" t="s">
        <v>1986</v>
      </c>
      <c r="AS40" s="4899"/>
      <c r="AT40" s="4899"/>
      <c r="AU40" s="4900"/>
      <c r="AV40" s="4901"/>
      <c r="AW40" s="4898" t="s">
        <v>1987</v>
      </c>
      <c r="AX40" s="4899"/>
      <c r="AY40" s="4899"/>
      <c r="AZ40" s="4900"/>
      <c r="BA40" s="4901"/>
      <c r="BB40" s="4896" t="s">
        <v>2018</v>
      </c>
      <c r="BC40" s="4897"/>
      <c r="BD40" s="4897"/>
      <c r="BE40" s="4896" t="s">
        <v>2019</v>
      </c>
      <c r="BF40" s="4897"/>
      <c r="BG40" s="4897"/>
      <c r="BH40" s="4896" t="s">
        <v>2020</v>
      </c>
      <c r="BI40" s="4897"/>
      <c r="BJ40" s="4897"/>
      <c r="BK40" s="4898" t="s">
        <v>1988</v>
      </c>
      <c r="BL40" s="4899"/>
      <c r="BM40" s="4899"/>
      <c r="BN40" s="4900"/>
      <c r="BO40" s="4901"/>
      <c r="BP40" s="4905" t="s">
        <v>887</v>
      </c>
      <c r="BQ40" s="4906"/>
      <c r="BR40" s="4906"/>
      <c r="BS40" s="4907"/>
      <c r="BT40" s="4907"/>
      <c r="BU40" s="657"/>
      <c r="BV40" s="657"/>
      <c r="BW40" s="657"/>
      <c r="BX40" s="657"/>
    </row>
    <row r="41" spans="1:76" ht="20.25" customHeight="1">
      <c r="A41" s="4895"/>
      <c r="B41" s="4902" t="s">
        <v>1989</v>
      </c>
      <c r="C41" s="4902" t="s">
        <v>1990</v>
      </c>
      <c r="D41" s="4902" t="s">
        <v>2021</v>
      </c>
      <c r="E41" s="4902" t="s">
        <v>1989</v>
      </c>
      <c r="F41" s="4902" t="s">
        <v>1990</v>
      </c>
      <c r="G41" s="4902" t="s">
        <v>2021</v>
      </c>
      <c r="H41" s="4902" t="s">
        <v>1989</v>
      </c>
      <c r="I41" s="4902" t="s">
        <v>1990</v>
      </c>
      <c r="J41" s="4902" t="s">
        <v>2021</v>
      </c>
      <c r="K41" s="4904" t="s">
        <v>1989</v>
      </c>
      <c r="L41" s="4904" t="s">
        <v>1990</v>
      </c>
      <c r="M41" s="4904" t="s">
        <v>2021</v>
      </c>
      <c r="N41" s="4908" t="s">
        <v>2022</v>
      </c>
      <c r="O41" s="4908"/>
      <c r="P41" s="4902" t="s">
        <v>1989</v>
      </c>
      <c r="Q41" s="4902" t="s">
        <v>1990</v>
      </c>
      <c r="R41" s="4902" t="s">
        <v>2021</v>
      </c>
      <c r="S41" s="4902" t="s">
        <v>1989</v>
      </c>
      <c r="T41" s="4902" t="s">
        <v>1990</v>
      </c>
      <c r="U41" s="4902" t="s">
        <v>2021</v>
      </c>
      <c r="V41" s="4902" t="s">
        <v>1989</v>
      </c>
      <c r="W41" s="4902" t="s">
        <v>1990</v>
      </c>
      <c r="X41" s="4902" t="s">
        <v>2021</v>
      </c>
      <c r="Y41" s="4904" t="s">
        <v>1989</v>
      </c>
      <c r="Z41" s="4904" t="s">
        <v>1990</v>
      </c>
      <c r="AA41" s="4904" t="s">
        <v>2021</v>
      </c>
      <c r="AB41" s="4908" t="s">
        <v>2022</v>
      </c>
      <c r="AC41" s="4908"/>
      <c r="AD41" s="4904" t="s">
        <v>1989</v>
      </c>
      <c r="AE41" s="4904" t="s">
        <v>1990</v>
      </c>
      <c r="AF41" s="4904" t="s">
        <v>2021</v>
      </c>
      <c r="AG41" s="4908" t="s">
        <v>2022</v>
      </c>
      <c r="AH41" s="4908"/>
      <c r="AI41" s="4902" t="s">
        <v>1989</v>
      </c>
      <c r="AJ41" s="4902" t="s">
        <v>1990</v>
      </c>
      <c r="AK41" s="4902" t="s">
        <v>2021</v>
      </c>
      <c r="AL41" s="4902" t="s">
        <v>1989</v>
      </c>
      <c r="AM41" s="4902" t="s">
        <v>1990</v>
      </c>
      <c r="AN41" s="4902" t="s">
        <v>2021</v>
      </c>
      <c r="AO41" s="4902" t="s">
        <v>1989</v>
      </c>
      <c r="AP41" s="4902" t="s">
        <v>1990</v>
      </c>
      <c r="AQ41" s="4902" t="s">
        <v>2021</v>
      </c>
      <c r="AR41" s="4904" t="s">
        <v>1989</v>
      </c>
      <c r="AS41" s="4904" t="s">
        <v>1990</v>
      </c>
      <c r="AT41" s="4904" t="s">
        <v>2021</v>
      </c>
      <c r="AU41" s="4908" t="s">
        <v>2022</v>
      </c>
      <c r="AV41" s="4908"/>
      <c r="AW41" s="4904" t="s">
        <v>1989</v>
      </c>
      <c r="AX41" s="4904" t="s">
        <v>1990</v>
      </c>
      <c r="AY41" s="4904" t="s">
        <v>2021</v>
      </c>
      <c r="AZ41" s="4908" t="s">
        <v>2022</v>
      </c>
      <c r="BA41" s="4908"/>
      <c r="BB41" s="4902" t="s">
        <v>1989</v>
      </c>
      <c r="BC41" s="4902" t="s">
        <v>1990</v>
      </c>
      <c r="BD41" s="4902" t="s">
        <v>2021</v>
      </c>
      <c r="BE41" s="4902" t="s">
        <v>1989</v>
      </c>
      <c r="BF41" s="4902" t="s">
        <v>1990</v>
      </c>
      <c r="BG41" s="4902" t="s">
        <v>2021</v>
      </c>
      <c r="BH41" s="4902" t="s">
        <v>1989</v>
      </c>
      <c r="BI41" s="4902" t="s">
        <v>1990</v>
      </c>
      <c r="BJ41" s="4902" t="s">
        <v>2021</v>
      </c>
      <c r="BK41" s="4904" t="s">
        <v>1989</v>
      </c>
      <c r="BL41" s="4904" t="s">
        <v>1990</v>
      </c>
      <c r="BM41" s="4904" t="s">
        <v>2021</v>
      </c>
      <c r="BN41" s="4908" t="s">
        <v>2022</v>
      </c>
      <c r="BO41" s="4908"/>
      <c r="BP41" s="4911" t="s">
        <v>1989</v>
      </c>
      <c r="BQ41" s="4911" t="s">
        <v>1990</v>
      </c>
      <c r="BR41" s="4911" t="s">
        <v>2021</v>
      </c>
      <c r="BS41" s="4908" t="s">
        <v>2022</v>
      </c>
      <c r="BT41" s="4908"/>
      <c r="BU41" s="430"/>
      <c r="BV41" s="430"/>
      <c r="BW41" s="430"/>
      <c r="BX41" s="430"/>
    </row>
    <row r="42" spans="1:76" ht="25.5" customHeight="1">
      <c r="A42" s="4895"/>
      <c r="B42" s="4903"/>
      <c r="C42" s="4903"/>
      <c r="D42" s="4903"/>
      <c r="E42" s="4903"/>
      <c r="F42" s="4903"/>
      <c r="G42" s="4903"/>
      <c r="H42" s="4903"/>
      <c r="I42" s="4903"/>
      <c r="J42" s="4903"/>
      <c r="K42" s="4903"/>
      <c r="L42" s="4903"/>
      <c r="M42" s="4903"/>
      <c r="N42" s="4720" t="s">
        <v>2023</v>
      </c>
      <c r="O42" s="4720" t="s">
        <v>44</v>
      </c>
      <c r="P42" s="4903"/>
      <c r="Q42" s="4903"/>
      <c r="R42" s="4903"/>
      <c r="S42" s="4903"/>
      <c r="T42" s="4903"/>
      <c r="U42" s="4903"/>
      <c r="V42" s="4903"/>
      <c r="W42" s="4903"/>
      <c r="X42" s="4903"/>
      <c r="Y42" s="4903"/>
      <c r="Z42" s="4903"/>
      <c r="AA42" s="4903"/>
      <c r="AB42" s="4720" t="s">
        <v>2023</v>
      </c>
      <c r="AC42" s="4720" t="s">
        <v>44</v>
      </c>
      <c r="AD42" s="4903"/>
      <c r="AE42" s="4903"/>
      <c r="AF42" s="4903"/>
      <c r="AG42" s="4720" t="s">
        <v>2023</v>
      </c>
      <c r="AH42" s="4720" t="s">
        <v>44</v>
      </c>
      <c r="AI42" s="4903"/>
      <c r="AJ42" s="4903"/>
      <c r="AK42" s="4903"/>
      <c r="AL42" s="4903"/>
      <c r="AM42" s="4903"/>
      <c r="AN42" s="4903"/>
      <c r="AO42" s="4903"/>
      <c r="AP42" s="4903"/>
      <c r="AQ42" s="4903"/>
      <c r="AR42" s="4903"/>
      <c r="AS42" s="4903"/>
      <c r="AT42" s="4903"/>
      <c r="AU42" s="4720" t="s">
        <v>2023</v>
      </c>
      <c r="AV42" s="4720" t="s">
        <v>44</v>
      </c>
      <c r="AW42" s="4903"/>
      <c r="AX42" s="4903"/>
      <c r="AY42" s="4903"/>
      <c r="AZ42" s="4720" t="s">
        <v>2023</v>
      </c>
      <c r="BA42" s="4720" t="s">
        <v>44</v>
      </c>
      <c r="BB42" s="4903"/>
      <c r="BC42" s="4903"/>
      <c r="BD42" s="4903"/>
      <c r="BE42" s="4903"/>
      <c r="BF42" s="4903"/>
      <c r="BG42" s="4903"/>
      <c r="BH42" s="4903"/>
      <c r="BI42" s="4903"/>
      <c r="BJ42" s="4903"/>
      <c r="BK42" s="4903"/>
      <c r="BL42" s="4903"/>
      <c r="BM42" s="4903"/>
      <c r="BN42" s="4720" t="s">
        <v>2023</v>
      </c>
      <c r="BO42" s="4720" t="s">
        <v>44</v>
      </c>
      <c r="BP42" s="4903"/>
      <c r="BQ42" s="4903"/>
      <c r="BR42" s="4903"/>
      <c r="BS42" s="4720" t="s">
        <v>2023</v>
      </c>
      <c r="BT42" s="4720" t="s">
        <v>44</v>
      </c>
      <c r="BU42" s="430"/>
      <c r="BV42" s="430"/>
      <c r="BW42" s="430"/>
      <c r="BX42" s="430"/>
    </row>
    <row r="43" spans="1:76" ht="18.75">
      <c r="A43" s="4736" t="s">
        <v>1</v>
      </c>
      <c r="B43" s="4737">
        <f>SUM('Произв. прогр. Вода (СВОД)'!E45)</f>
        <v>747.39358259553501</v>
      </c>
      <c r="C43" s="4737">
        <f>SUM('ПОЛНАЯ СЕБЕСТОИМОСТЬ ВОДА 2018'!C177)</f>
        <v>941.03</v>
      </c>
      <c r="D43" s="4738">
        <v>906.26</v>
      </c>
      <c r="E43" s="4737">
        <f>SUM('Произв. прогр. Вода (СВОД)'!F45)</f>
        <v>742.59366590801301</v>
      </c>
      <c r="F43" s="4737">
        <f>SUM('ПОЛНАЯ СЕБЕСТОИМОСТЬ ВОДА 2018'!D177)</f>
        <v>860.23</v>
      </c>
      <c r="G43" s="4738">
        <v>770.47</v>
      </c>
      <c r="H43" s="4737">
        <f>SUM('Произв. прогр. Вода (СВОД)'!G45)</f>
        <v>742.59366590801301</v>
      </c>
      <c r="I43" s="4737">
        <f>SUM('ПОЛНАЯ СЕБЕСТОИМОСТЬ ВОДА 2018'!E177)</f>
        <v>880.24</v>
      </c>
      <c r="J43" s="4738">
        <v>878.01</v>
      </c>
      <c r="K43" s="4726">
        <f t="shared" ref="K43:M49" si="197">SUM(B43+E43+H43)</f>
        <v>2232.580914411561</v>
      </c>
      <c r="L43" s="4726">
        <f t="shared" si="197"/>
        <v>2681.5</v>
      </c>
      <c r="M43" s="4726">
        <f t="shared" si="197"/>
        <v>2554.7399999999998</v>
      </c>
      <c r="N43" s="4727">
        <f t="shared" ref="N43:N84" si="198">SUM(L43-K43)</f>
        <v>448.91908558843897</v>
      </c>
      <c r="O43" s="4727">
        <f t="shared" ref="O43:O84" si="199">SUM(N43/K43*100)</f>
        <v>20.10762891909609</v>
      </c>
      <c r="P43" s="4737">
        <f>SUM('Произв. прогр. Вода (СВОД)'!I45)</f>
        <v>737.79374922049101</v>
      </c>
      <c r="Q43" s="4737">
        <f>SUM('ПОЛНАЯ СЕБЕСТОИМОСТЬ ВОДА 2018'!H177)</f>
        <v>909.62</v>
      </c>
      <c r="R43" s="4738">
        <v>916.38</v>
      </c>
      <c r="S43" s="4737">
        <f>SUM('Произв. прогр. Вода (СВОД)'!J45)</f>
        <v>694.59449903279301</v>
      </c>
      <c r="T43" s="4737">
        <f>SUM('ПОЛНАЯ СЕБЕСТОИМОСТЬ ВОДА 2018'!I177)</f>
        <v>1146.6100000000001</v>
      </c>
      <c r="U43" s="4738">
        <v>1012.93</v>
      </c>
      <c r="V43" s="4737">
        <f>SUM('Произв. прогр. Вода (СВОД)'!K45)</f>
        <v>694.59449903279301</v>
      </c>
      <c r="W43" s="4737">
        <f>SUM('ПОЛНАЯ СЕБЕСТОИМОСТЬ ВОДА 2018'!J177)</f>
        <v>953.06999999999994</v>
      </c>
      <c r="X43" s="4738">
        <v>800.26</v>
      </c>
      <c r="Y43" s="4726">
        <f t="shared" ref="Y43:AA49" si="200">SUM(P43+S43+V43)</f>
        <v>2126.982747286077</v>
      </c>
      <c r="Z43" s="4726">
        <f t="shared" si="200"/>
        <v>3009.3</v>
      </c>
      <c r="AA43" s="4726">
        <f t="shared" si="200"/>
        <v>2729.5699999999997</v>
      </c>
      <c r="AB43" s="4727">
        <f t="shared" ref="AB43:AB84" si="201">SUM(Z43-Y43)</f>
        <v>882.31725271392315</v>
      </c>
      <c r="AC43" s="4727">
        <f t="shared" ref="AC43:AC80" si="202">SUM(AB43/Y43*100)</f>
        <v>41.482106699723616</v>
      </c>
      <c r="AD43" s="4726">
        <f t="shared" ref="AD43:AD49" si="203">SUM(K43+Y43)</f>
        <v>4359.5636616976381</v>
      </c>
      <c r="AE43" s="4726">
        <f t="shared" ref="AE43:AF49" si="204">SUM(L43+Z43)</f>
        <v>5690.8</v>
      </c>
      <c r="AF43" s="4726">
        <f t="shared" si="204"/>
        <v>5284.3099999999995</v>
      </c>
      <c r="AG43" s="4727">
        <f t="shared" ref="AG43:AG84" si="205">SUM(AE43-AD43)</f>
        <v>1331.2363383023621</v>
      </c>
      <c r="AH43" s="4727">
        <f t="shared" ref="AH43:AH80" si="206">SUM(AG43/AD43*100)</f>
        <v>30.535999508353811</v>
      </c>
      <c r="AI43" s="4737">
        <f>SUM('Произв. прогр. Вода (СВОД)'!N45)</f>
        <v>743.21611396508865</v>
      </c>
      <c r="AJ43" s="4737">
        <f>SUM('ПОЛНАЯ СЕБЕСТОИМОСТЬ ВОДА 2018'!P177)</f>
        <v>0</v>
      </c>
      <c r="AK43" s="4738">
        <v>928.74</v>
      </c>
      <c r="AL43" s="4737">
        <f>SUM('Произв. прогр. Вода (СВОД)'!O45)</f>
        <v>743.21611396508865</v>
      </c>
      <c r="AM43" s="4737">
        <f>SUM('ПОЛНАЯ СЕБЕСТОИМОСТЬ ВОДА 2018'!Q177)</f>
        <v>0</v>
      </c>
      <c r="AN43" s="4738">
        <v>954.07</v>
      </c>
      <c r="AO43" s="4737">
        <f>SUM('Произв. прогр. Вода (СВОД)'!P45)</f>
        <v>789.4393116659254</v>
      </c>
      <c r="AP43" s="4737">
        <f>SUM('ПОЛНАЯ СЕБЕСТОИМОСТЬ ВОДА 2018'!R177)</f>
        <v>0</v>
      </c>
      <c r="AQ43" s="4738">
        <v>931.78</v>
      </c>
      <c r="AR43" s="4726">
        <f t="shared" ref="AR43:AT49" si="207">SUM(AI43+AL43+AO43)</f>
        <v>2275.8715395961026</v>
      </c>
      <c r="AS43" s="4726">
        <f t="shared" si="207"/>
        <v>0</v>
      </c>
      <c r="AT43" s="4726">
        <f t="shared" si="207"/>
        <v>2814.59</v>
      </c>
      <c r="AU43" s="4727">
        <f t="shared" ref="AU43:AU84" si="208">SUM(AS43-AR43)</f>
        <v>-2275.8715395961026</v>
      </c>
      <c r="AV43" s="4727">
        <f t="shared" ref="AV43:AV80" si="209">SUM(AU43/AR43*100)</f>
        <v>-100</v>
      </c>
      <c r="AW43" s="4726">
        <f t="shared" ref="AW43:AW49" si="210">SUM(AD43+AR43)</f>
        <v>6635.4352012937406</v>
      </c>
      <c r="AX43" s="4726">
        <f t="shared" ref="AX43:AY49" si="211">SUM(AE43+AS43)</f>
        <v>5690.8</v>
      </c>
      <c r="AY43" s="4726">
        <f t="shared" si="211"/>
        <v>8098.9</v>
      </c>
      <c r="AZ43" s="4727">
        <f t="shared" ref="AZ43:AZ84" si="212">SUM(AX43-AW43)</f>
        <v>-944.63520129374047</v>
      </c>
      <c r="BA43" s="4727">
        <f t="shared" ref="BA43:BA80" si="213">SUM(AZ43/AW43*100)</f>
        <v>-14.236220724596341</v>
      </c>
      <c r="BB43" s="4737">
        <f>SUM('Произв. прогр. Вода (СВОД)'!S45)</f>
        <v>794.57522252157401</v>
      </c>
      <c r="BC43" s="4737">
        <f>SUM('ПОЛНАЯ СЕБЕСТОИМОСТЬ ВОДА 2018'!X177)</f>
        <v>0</v>
      </c>
      <c r="BD43" s="4738">
        <v>1122.95</v>
      </c>
      <c r="BE43" s="4737">
        <f>SUM('Произв. прогр. Вода (СВОД)'!T45)</f>
        <v>794.57522252157401</v>
      </c>
      <c r="BF43" s="4737">
        <f>SUM('ПОЛНАЯ СЕБЕСТОИМОСТЬ ВОДА 2018'!Y177)</f>
        <v>0</v>
      </c>
      <c r="BG43" s="4738">
        <v>1044.1600000000001</v>
      </c>
      <c r="BH43" s="4737">
        <f>SUM('Произв. прогр. Вода (СВОД)'!U45)</f>
        <v>799.71113337722261</v>
      </c>
      <c r="BI43" s="4737">
        <f>SUM('ПОЛНАЯ СЕБЕСТОИМОСТЬ ВОДА 2018'!Z177)</f>
        <v>0</v>
      </c>
      <c r="BJ43" s="4738">
        <v>1068.76</v>
      </c>
      <c r="BK43" s="4726">
        <f t="shared" ref="BK43:BM49" si="214">SUM(BB43+BE43+BH43)</f>
        <v>2388.8615784203707</v>
      </c>
      <c r="BL43" s="4726">
        <f t="shared" si="214"/>
        <v>0</v>
      </c>
      <c r="BM43" s="4726">
        <f t="shared" si="214"/>
        <v>3235.87</v>
      </c>
      <c r="BN43" s="4727">
        <f t="shared" ref="BN43:BN84" si="215">SUM(BL43-BK43)</f>
        <v>-2388.8615784203707</v>
      </c>
      <c r="BO43" s="4727">
        <f t="shared" ref="BO43:BO80" si="216">SUM(BN43/BK43*100)</f>
        <v>-100</v>
      </c>
      <c r="BP43" s="4726">
        <f t="shared" ref="BP43:BP49" si="217">SUM(AW43+BK43)</f>
        <v>9024.2967797141118</v>
      </c>
      <c r="BQ43" s="4726">
        <f t="shared" ref="BQ43:BR49" si="218">SUM(AX43+BL43)</f>
        <v>5690.8</v>
      </c>
      <c r="BR43" s="4726">
        <f t="shared" si="218"/>
        <v>11334.77</v>
      </c>
      <c r="BS43" s="4727">
        <f t="shared" ref="BS43:BS84" si="219">SUM(BQ43-BP43)</f>
        <v>-3333.4967797141117</v>
      </c>
      <c r="BT43" s="4727">
        <f t="shared" ref="BT43:BT80" si="220">SUM(BS43/BP43*100)</f>
        <v>-36.939130672292855</v>
      </c>
      <c r="BU43" s="430"/>
      <c r="BV43" s="430"/>
      <c r="BW43" s="430"/>
      <c r="BX43" s="430"/>
    </row>
    <row r="44" spans="1:76" ht="18.75">
      <c r="A44" s="4736" t="s">
        <v>2</v>
      </c>
      <c r="B44" s="4737">
        <f>SUM('Произв. прогр. Вода (СВОД)'!E46)</f>
        <v>708.1583333333333</v>
      </c>
      <c r="C44" s="4737">
        <f>SUM('ПОЛНАЯ СЕБЕСТОИМОСТЬ ВОДА 2018'!C178)</f>
        <v>745.78</v>
      </c>
      <c r="D44" s="4738">
        <v>748.98</v>
      </c>
      <c r="E44" s="4737">
        <f>SUM('Произв. прогр. Вода (СВОД)'!F46)</f>
        <v>708.1583333333333</v>
      </c>
      <c r="F44" s="4737">
        <f>SUM('ПОЛНАЯ СЕБЕСТОИМОСТЬ ВОДА 2018'!D178)</f>
        <v>743.83</v>
      </c>
      <c r="G44" s="4738">
        <v>748.98</v>
      </c>
      <c r="H44" s="4737">
        <f>SUM('Произв. прогр. Вода (СВОД)'!G46)</f>
        <v>708.1583333333333</v>
      </c>
      <c r="I44" s="4737">
        <f>SUM('ПОЛНАЯ СЕБЕСТОИМОСТЬ ВОДА 2018'!E178)</f>
        <v>743.83</v>
      </c>
      <c r="J44" s="4738">
        <v>748.81</v>
      </c>
      <c r="K44" s="4726">
        <f t="shared" si="197"/>
        <v>2124.4749999999999</v>
      </c>
      <c r="L44" s="4726">
        <f t="shared" si="197"/>
        <v>2233.44</v>
      </c>
      <c r="M44" s="4726">
        <f t="shared" si="197"/>
        <v>2246.77</v>
      </c>
      <c r="N44" s="4727">
        <f t="shared" si="198"/>
        <v>108.96500000000015</v>
      </c>
      <c r="O44" s="4727">
        <f t="shared" si="199"/>
        <v>5.1290318784640982</v>
      </c>
      <c r="P44" s="4737">
        <f>SUM('Произв. прогр. Вода (СВОД)'!I46)</f>
        <v>708.1583333333333</v>
      </c>
      <c r="Q44" s="4737">
        <f>SUM('ПОЛНАЯ СЕБЕСТОИМОСТЬ ВОДА 2018'!H178)</f>
        <v>798.78</v>
      </c>
      <c r="R44" s="4738">
        <v>747.8</v>
      </c>
      <c r="S44" s="4737">
        <f>SUM('Произв. прогр. Вода (СВОД)'!J46)</f>
        <v>708.1583333333333</v>
      </c>
      <c r="T44" s="4737">
        <f>SUM('ПОЛНАЯ СЕБЕСТОИМОСТЬ ВОДА 2018'!I178)</f>
        <v>798.77</v>
      </c>
      <c r="U44" s="4738">
        <v>825.21</v>
      </c>
      <c r="V44" s="4737">
        <f>SUM('Произв. прогр. Вода (СВОД)'!K46)</f>
        <v>708.1583333333333</v>
      </c>
      <c r="W44" s="4737">
        <f>SUM('ПОЛНАЯ СЕБЕСТОИМОСТЬ ВОДА 2018'!J178)</f>
        <v>801.94</v>
      </c>
      <c r="X44" s="4738">
        <v>923.7</v>
      </c>
      <c r="Y44" s="4726">
        <f t="shared" si="200"/>
        <v>2124.4749999999999</v>
      </c>
      <c r="Z44" s="4726">
        <f t="shared" si="200"/>
        <v>2399.4899999999998</v>
      </c>
      <c r="AA44" s="4726">
        <f t="shared" si="200"/>
        <v>2496.71</v>
      </c>
      <c r="AB44" s="4727">
        <f t="shared" si="201"/>
        <v>275.01499999999987</v>
      </c>
      <c r="AC44" s="4727">
        <f t="shared" si="202"/>
        <v>12.945080549312177</v>
      </c>
      <c r="AD44" s="4726">
        <f t="shared" si="203"/>
        <v>4248.95</v>
      </c>
      <c r="AE44" s="4726">
        <f t="shared" si="204"/>
        <v>4632.93</v>
      </c>
      <c r="AF44" s="4726">
        <f t="shared" si="204"/>
        <v>4743.4799999999996</v>
      </c>
      <c r="AG44" s="4727">
        <f t="shared" si="205"/>
        <v>383.98000000000047</v>
      </c>
      <c r="AH44" s="4727">
        <f t="shared" si="206"/>
        <v>9.0370562138881496</v>
      </c>
      <c r="AI44" s="4737">
        <f>SUM('Произв. прогр. Вода (СВОД)'!N46)</f>
        <v>708.1583333333333</v>
      </c>
      <c r="AJ44" s="4737">
        <f>SUM('ПОЛНАЯ СЕБЕСТОИМОСТЬ ВОДА 2018'!P178)</f>
        <v>0</v>
      </c>
      <c r="AK44" s="4738">
        <v>923.54</v>
      </c>
      <c r="AL44" s="4737">
        <f>SUM('Произв. прогр. Вода (СВОД)'!O46)</f>
        <v>708.1583333333333</v>
      </c>
      <c r="AM44" s="4737">
        <f>SUM('ПОЛНАЯ СЕБЕСТОИМОСТЬ ВОДА 2018'!Q178)</f>
        <v>0</v>
      </c>
      <c r="AN44" s="4738">
        <v>901.34</v>
      </c>
      <c r="AO44" s="4737">
        <f>SUM('Произв. прогр. Вода (СВОД)'!P46)</f>
        <v>708.1583333333333</v>
      </c>
      <c r="AP44" s="4737">
        <f>SUM('ПОЛНАЯ СЕБЕСТОИМОСТЬ ВОДА 2018'!R178)</f>
        <v>0</v>
      </c>
      <c r="AQ44" s="4738">
        <v>903.39</v>
      </c>
      <c r="AR44" s="4726">
        <f t="shared" si="207"/>
        <v>2124.4749999999999</v>
      </c>
      <c r="AS44" s="4726">
        <f t="shared" si="207"/>
        <v>0</v>
      </c>
      <c r="AT44" s="4726">
        <f t="shared" si="207"/>
        <v>2728.27</v>
      </c>
      <c r="AU44" s="4727">
        <f t="shared" si="208"/>
        <v>-2124.4749999999999</v>
      </c>
      <c r="AV44" s="4727">
        <f t="shared" si="209"/>
        <v>-100</v>
      </c>
      <c r="AW44" s="4726">
        <f t="shared" si="210"/>
        <v>6373.4249999999993</v>
      </c>
      <c r="AX44" s="4726">
        <f t="shared" si="211"/>
        <v>4632.93</v>
      </c>
      <c r="AY44" s="4726">
        <f t="shared" si="211"/>
        <v>7471.75</v>
      </c>
      <c r="AZ44" s="4727">
        <f t="shared" si="212"/>
        <v>-1740.494999999999</v>
      </c>
      <c r="BA44" s="4727">
        <f t="shared" si="213"/>
        <v>-27.308629190741229</v>
      </c>
      <c r="BB44" s="4737">
        <f>SUM('Произв. прогр. Вода (СВОД)'!S46)</f>
        <v>708.1583333333333</v>
      </c>
      <c r="BC44" s="4737">
        <f>SUM('ПОЛНАЯ СЕБЕСТОИМОСТЬ ВОДА 2018'!X178)</f>
        <v>0</v>
      </c>
      <c r="BD44" s="4738">
        <v>903.05</v>
      </c>
      <c r="BE44" s="4737">
        <f>SUM('Произв. прогр. Вода (СВОД)'!T46)</f>
        <v>708.1583333333333</v>
      </c>
      <c r="BF44" s="4737">
        <f>SUM('ПОЛНАЯ СЕБЕСТОИМОСТЬ ВОДА 2018'!Y178)</f>
        <v>0</v>
      </c>
      <c r="BG44" s="4738">
        <v>861.62</v>
      </c>
      <c r="BH44" s="4737">
        <f>SUM('Произв. прогр. Вода (СВОД)'!U46)</f>
        <v>708.1583333333333</v>
      </c>
      <c r="BI44" s="4737">
        <f>SUM('ПОЛНАЯ СЕБЕСТОИМОСТЬ ВОДА 2018'!Z178)</f>
        <v>0</v>
      </c>
      <c r="BJ44" s="4738">
        <v>747.96</v>
      </c>
      <c r="BK44" s="4726">
        <f t="shared" si="214"/>
        <v>2124.4749999999999</v>
      </c>
      <c r="BL44" s="4726">
        <f t="shared" si="214"/>
        <v>0</v>
      </c>
      <c r="BM44" s="4726">
        <f t="shared" si="214"/>
        <v>2512.63</v>
      </c>
      <c r="BN44" s="4727">
        <f t="shared" si="215"/>
        <v>-2124.4749999999999</v>
      </c>
      <c r="BO44" s="4727">
        <f t="shared" si="216"/>
        <v>-100</v>
      </c>
      <c r="BP44" s="4726">
        <f t="shared" si="217"/>
        <v>8497.9</v>
      </c>
      <c r="BQ44" s="4726">
        <f t="shared" si="218"/>
        <v>4632.93</v>
      </c>
      <c r="BR44" s="4726">
        <f t="shared" si="218"/>
        <v>9984.380000000001</v>
      </c>
      <c r="BS44" s="4727">
        <f t="shared" si="219"/>
        <v>-3864.9699999999993</v>
      </c>
      <c r="BT44" s="4727">
        <f t="shared" si="220"/>
        <v>-45.481471893055925</v>
      </c>
      <c r="BU44" s="430"/>
      <c r="BV44" s="430"/>
      <c r="BW44" s="430"/>
      <c r="BX44" s="430"/>
    </row>
    <row r="45" spans="1:76" ht="18.75">
      <c r="A45" s="4753" t="s">
        <v>2046</v>
      </c>
      <c r="B45" s="4737">
        <f>SUM('Произв. прогр. Вода (СВОД)'!E47)</f>
        <v>0</v>
      </c>
      <c r="C45" s="4737">
        <f>SUM('ПОЛНАЯ СЕБЕСТОИМОСТЬ ВОДА 2018'!C179)</f>
        <v>0</v>
      </c>
      <c r="D45" s="4738">
        <v>0</v>
      </c>
      <c r="E45" s="4737">
        <f>SUM('Произв. прогр. Вода (СВОД)'!F47)</f>
        <v>0</v>
      </c>
      <c r="F45" s="4737">
        <f>SUM('ПОЛНАЯ СЕБЕСТОИМОСТЬ ВОДА 2018'!D179)</f>
        <v>0</v>
      </c>
      <c r="G45" s="4738">
        <v>0</v>
      </c>
      <c r="H45" s="4737">
        <f>SUM('Произв. прогр. Вода (СВОД)'!G47)</f>
        <v>0</v>
      </c>
      <c r="I45" s="4737">
        <f>SUM('ПОЛНАЯ СЕБЕСТОИМОСТЬ ВОДА 2018'!E179)</f>
        <v>10.91</v>
      </c>
      <c r="J45" s="4738">
        <v>0</v>
      </c>
      <c r="K45" s="4726">
        <f t="shared" si="197"/>
        <v>0</v>
      </c>
      <c r="L45" s="4726">
        <f t="shared" si="197"/>
        <v>10.91</v>
      </c>
      <c r="M45" s="4726">
        <f t="shared" si="197"/>
        <v>0</v>
      </c>
      <c r="N45" s="4727">
        <f t="shared" si="198"/>
        <v>10.91</v>
      </c>
      <c r="O45" s="4727" t="e">
        <f t="shared" si="199"/>
        <v>#DIV/0!</v>
      </c>
      <c r="P45" s="4737">
        <f>SUM('Произв. прогр. Вода (СВОД)'!I47)</f>
        <v>0</v>
      </c>
      <c r="Q45" s="4737">
        <f>SUM('ПОЛНАЯ СЕБЕСТОИМОСТЬ ВОДА 2018'!H179)</f>
        <v>0</v>
      </c>
      <c r="R45" s="4738">
        <v>0</v>
      </c>
      <c r="S45" s="4737">
        <f>SUM('Произв. прогр. Вода (СВОД)'!J47)</f>
        <v>0</v>
      </c>
      <c r="T45" s="4737">
        <f>SUM('ПОЛНАЯ СЕБЕСТОИМОСТЬ ВОДА 2018'!I179)</f>
        <v>0</v>
      </c>
      <c r="U45" s="4738">
        <v>0</v>
      </c>
      <c r="V45" s="4737">
        <f>SUM('Произв. прогр. Вода (СВОД)'!K47)</f>
        <v>0</v>
      </c>
      <c r="W45" s="4737">
        <f>SUM('ПОЛНАЯ СЕБЕСТОИМОСТЬ ВОДА 2018'!J179)</f>
        <v>0</v>
      </c>
      <c r="X45" s="4738">
        <v>0</v>
      </c>
      <c r="Y45" s="4726">
        <f t="shared" si="200"/>
        <v>0</v>
      </c>
      <c r="Z45" s="4726">
        <f t="shared" si="200"/>
        <v>0</v>
      </c>
      <c r="AA45" s="4726">
        <f t="shared" si="200"/>
        <v>0</v>
      </c>
      <c r="AB45" s="4727">
        <f t="shared" si="201"/>
        <v>0</v>
      </c>
      <c r="AC45" s="4727" t="e">
        <f t="shared" si="202"/>
        <v>#DIV/0!</v>
      </c>
      <c r="AD45" s="4726">
        <f t="shared" si="203"/>
        <v>0</v>
      </c>
      <c r="AE45" s="4726">
        <f t="shared" si="204"/>
        <v>10.91</v>
      </c>
      <c r="AF45" s="4726">
        <f t="shared" si="204"/>
        <v>0</v>
      </c>
      <c r="AG45" s="4727">
        <f t="shared" si="205"/>
        <v>10.91</v>
      </c>
      <c r="AH45" s="4727" t="e">
        <f t="shared" si="206"/>
        <v>#DIV/0!</v>
      </c>
      <c r="AI45" s="4737">
        <f>SUM('Произв. прогр. Вода (СВОД)'!N47)</f>
        <v>0</v>
      </c>
      <c r="AJ45" s="4737">
        <f>SUM('ПОЛНАЯ СЕБЕСТОИМОСТЬ ВОДА 2018'!P179)</f>
        <v>0</v>
      </c>
      <c r="AK45" s="4738">
        <v>0</v>
      </c>
      <c r="AL45" s="4737">
        <f>SUM('Произв. прогр. Вода (СВОД)'!O47)</f>
        <v>0</v>
      </c>
      <c r="AM45" s="4737">
        <f>SUM('ПОЛНАЯ СЕБЕСТОИМОСТЬ ВОДА 2018'!Q179)</f>
        <v>0</v>
      </c>
      <c r="AN45" s="4738">
        <v>0</v>
      </c>
      <c r="AO45" s="4737">
        <f>SUM('Произв. прогр. Вода (СВОД)'!P47)</f>
        <v>0</v>
      </c>
      <c r="AP45" s="4737">
        <f>SUM('ПОЛНАЯ СЕБЕСТОИМОСТЬ ВОДА 2018'!R179)</f>
        <v>0</v>
      </c>
      <c r="AQ45" s="4738">
        <v>0</v>
      </c>
      <c r="AR45" s="4726">
        <f t="shared" si="207"/>
        <v>0</v>
      </c>
      <c r="AS45" s="4726">
        <f t="shared" si="207"/>
        <v>0</v>
      </c>
      <c r="AT45" s="4726">
        <f t="shared" si="207"/>
        <v>0</v>
      </c>
      <c r="AU45" s="4727">
        <f t="shared" si="208"/>
        <v>0</v>
      </c>
      <c r="AV45" s="4727" t="e">
        <f t="shared" si="209"/>
        <v>#DIV/0!</v>
      </c>
      <c r="AW45" s="4726">
        <f t="shared" si="210"/>
        <v>0</v>
      </c>
      <c r="AX45" s="4726">
        <f t="shared" si="211"/>
        <v>10.91</v>
      </c>
      <c r="AY45" s="4726">
        <f t="shared" si="211"/>
        <v>0</v>
      </c>
      <c r="AZ45" s="4727">
        <f t="shared" si="212"/>
        <v>10.91</v>
      </c>
      <c r="BA45" s="4727" t="e">
        <f t="shared" si="213"/>
        <v>#DIV/0!</v>
      </c>
      <c r="BB45" s="4737">
        <f>SUM('Произв. прогр. Вода (СВОД)'!S47)</f>
        <v>0</v>
      </c>
      <c r="BC45" s="4737">
        <f>SUM('ПОЛНАЯ СЕБЕСТОИМОСТЬ ВОДА 2018'!X179)</f>
        <v>0</v>
      </c>
      <c r="BD45" s="4738">
        <v>0</v>
      </c>
      <c r="BE45" s="4737">
        <f>SUM('Произв. прогр. Вода (СВОД)'!T47)</f>
        <v>0</v>
      </c>
      <c r="BF45" s="4737">
        <f>SUM('ПОЛНАЯ СЕБЕСТОИМОСТЬ ВОДА 2018'!Y179)</f>
        <v>0</v>
      </c>
      <c r="BG45" s="4738">
        <v>0</v>
      </c>
      <c r="BH45" s="4737">
        <f>SUM('Произв. прогр. Вода (СВОД)'!U47)</f>
        <v>0</v>
      </c>
      <c r="BI45" s="4737">
        <f>SUM('ПОЛНАЯ СЕБЕСТОИМОСТЬ ВОДА 2018'!Z179)</f>
        <v>0</v>
      </c>
      <c r="BJ45" s="4738">
        <v>0</v>
      </c>
      <c r="BK45" s="4726">
        <f t="shared" si="214"/>
        <v>0</v>
      </c>
      <c r="BL45" s="4726">
        <f t="shared" si="214"/>
        <v>0</v>
      </c>
      <c r="BM45" s="4726">
        <f t="shared" si="214"/>
        <v>0</v>
      </c>
      <c r="BN45" s="4727">
        <f t="shared" si="215"/>
        <v>0</v>
      </c>
      <c r="BO45" s="4727" t="e">
        <f t="shared" si="216"/>
        <v>#DIV/0!</v>
      </c>
      <c r="BP45" s="4726">
        <f t="shared" si="217"/>
        <v>0</v>
      </c>
      <c r="BQ45" s="4726">
        <f t="shared" si="218"/>
        <v>10.91</v>
      </c>
      <c r="BR45" s="4726">
        <f t="shared" si="218"/>
        <v>0</v>
      </c>
      <c r="BS45" s="4727">
        <f t="shared" si="219"/>
        <v>10.91</v>
      </c>
      <c r="BT45" s="4727" t="e">
        <f t="shared" si="220"/>
        <v>#DIV/0!</v>
      </c>
      <c r="BU45" s="430"/>
      <c r="BV45" s="430"/>
      <c r="BW45" s="430"/>
      <c r="BX45" s="430"/>
    </row>
    <row r="46" spans="1:76" ht="18.75">
      <c r="A46" s="4736" t="s">
        <v>3</v>
      </c>
      <c r="B46" s="4737">
        <f>SUM('Произв. прогр. Вода (СВОД)'!E48)</f>
        <v>45.535546311407685</v>
      </c>
      <c r="C46" s="4737">
        <f>SUM('ПОЛНАЯ СЕБЕСТОИМОСТЬ ВОДА 2018'!C180)</f>
        <v>491.63</v>
      </c>
      <c r="D46" s="4738">
        <v>163.24</v>
      </c>
      <c r="E46" s="4737">
        <f>SUM('Произв. прогр. Вода (СВОД)'!F48)</f>
        <v>45.535546311407685</v>
      </c>
      <c r="F46" s="4737">
        <f>SUM('ПОЛНАЯ СЕБЕСТОИМОСТЬ ВОДА 2018'!D180)</f>
        <v>404.36</v>
      </c>
      <c r="G46" s="4738">
        <v>146.71</v>
      </c>
      <c r="H46" s="4737">
        <f>SUM('Произв. прогр. Вода (СВОД)'!G48)</f>
        <v>45.535546311407685</v>
      </c>
      <c r="I46" s="4737">
        <f>SUM('ПОЛНАЯ СЕБЕСТОИМОСТЬ ВОДА 2018'!E180)</f>
        <v>276.14999999999998</v>
      </c>
      <c r="J46" s="4738">
        <v>100.52</v>
      </c>
      <c r="K46" s="4726">
        <f t="shared" si="197"/>
        <v>136.60663893422304</v>
      </c>
      <c r="L46" s="4726">
        <f t="shared" si="197"/>
        <v>1172.1399999999999</v>
      </c>
      <c r="M46" s="4726">
        <f t="shared" si="197"/>
        <v>410.47</v>
      </c>
      <c r="N46" s="4727">
        <f t="shared" si="198"/>
        <v>1035.5333610657767</v>
      </c>
      <c r="O46" s="4727">
        <f t="shared" si="199"/>
        <v>758.04028936279781</v>
      </c>
      <c r="P46" s="4737">
        <f>SUM('Произв. прогр. Вода (СВОД)'!I48)</f>
        <v>45.535546311407685</v>
      </c>
      <c r="Q46" s="4737">
        <f>SUM('ПОЛНАЯ СЕБЕСТОИМОСТЬ ВОДА 2018'!H180)</f>
        <v>447.34000000000003</v>
      </c>
      <c r="R46" s="4738">
        <v>2242.0300000000002</v>
      </c>
      <c r="S46" s="4737">
        <f>SUM('Произв. прогр. Вода (СВОД)'!J48)</f>
        <v>45.535546311407685</v>
      </c>
      <c r="T46" s="4737">
        <f>SUM('ПОЛНАЯ СЕБЕСТОИМОСТЬ ВОДА 2018'!I180)</f>
        <v>142.97</v>
      </c>
      <c r="U46" s="4738">
        <v>153.36000000000001</v>
      </c>
      <c r="V46" s="4737">
        <f>SUM('Произв. прогр. Вода (СВОД)'!K48)</f>
        <v>45.535546311407685</v>
      </c>
      <c r="W46" s="4737">
        <f>SUM('ПОЛНАЯ СЕБЕСТОИМОСТЬ ВОДА 2018'!J180)</f>
        <v>463.3</v>
      </c>
      <c r="X46" s="4738">
        <v>400.29</v>
      </c>
      <c r="Y46" s="4726">
        <f t="shared" si="200"/>
        <v>136.60663893422304</v>
      </c>
      <c r="Z46" s="4726">
        <f t="shared" si="200"/>
        <v>1053.6100000000001</v>
      </c>
      <c r="AA46" s="4726">
        <f t="shared" si="200"/>
        <v>2795.6800000000003</v>
      </c>
      <c r="AB46" s="4727">
        <f t="shared" si="201"/>
        <v>917.00336106577709</v>
      </c>
      <c r="AC46" s="4727">
        <f t="shared" si="202"/>
        <v>671.27291046763833</v>
      </c>
      <c r="AD46" s="4726">
        <f t="shared" si="203"/>
        <v>273.21327786844608</v>
      </c>
      <c r="AE46" s="4726">
        <f t="shared" si="204"/>
        <v>2225.75</v>
      </c>
      <c r="AF46" s="4726">
        <f t="shared" si="204"/>
        <v>3206.1500000000005</v>
      </c>
      <c r="AG46" s="4727">
        <f t="shared" si="205"/>
        <v>1952.5367221315539</v>
      </c>
      <c r="AH46" s="4727">
        <f t="shared" si="206"/>
        <v>714.65659991521818</v>
      </c>
      <c r="AI46" s="4737">
        <f>SUM('Произв. прогр. Вода (СВОД)'!N48)</f>
        <v>45.535546311407685</v>
      </c>
      <c r="AJ46" s="4737">
        <f>SUM('ПОЛНАЯ СЕБЕСТОИМОСТЬ ВОДА 2018'!P180)</f>
        <v>0</v>
      </c>
      <c r="AK46" s="4738">
        <v>200.88</v>
      </c>
      <c r="AL46" s="4737">
        <f>SUM('Произв. прогр. Вода (СВОД)'!O48)</f>
        <v>45.535546311407685</v>
      </c>
      <c r="AM46" s="4737">
        <f>SUM('ПОЛНАЯ СЕБЕСТОИМОСТЬ ВОДА 2018'!Q180)</f>
        <v>0</v>
      </c>
      <c r="AN46" s="4738">
        <v>472.29</v>
      </c>
      <c r="AO46" s="4737">
        <f>SUM('Произв. прогр. Вода (СВОД)'!P48)</f>
        <v>45.535546311407685</v>
      </c>
      <c r="AP46" s="4737">
        <f>SUM('ПОЛНАЯ СЕБЕСТОИМОСТЬ ВОДА 2018'!R180)</f>
        <v>0</v>
      </c>
      <c r="AQ46" s="4738">
        <v>579.78</v>
      </c>
      <c r="AR46" s="4726">
        <f t="shared" si="207"/>
        <v>136.60663893422304</v>
      </c>
      <c r="AS46" s="4726">
        <f t="shared" si="207"/>
        <v>0</v>
      </c>
      <c r="AT46" s="4726">
        <f t="shared" si="207"/>
        <v>1252.95</v>
      </c>
      <c r="AU46" s="4727">
        <f t="shared" si="208"/>
        <v>-136.60663893422304</v>
      </c>
      <c r="AV46" s="4727">
        <f t="shared" si="209"/>
        <v>-100</v>
      </c>
      <c r="AW46" s="4726">
        <f t="shared" si="210"/>
        <v>409.81991680266913</v>
      </c>
      <c r="AX46" s="4726">
        <f t="shared" si="211"/>
        <v>2225.75</v>
      </c>
      <c r="AY46" s="4726">
        <f t="shared" si="211"/>
        <v>4459.1000000000004</v>
      </c>
      <c r="AZ46" s="4727">
        <f t="shared" si="212"/>
        <v>1815.930083197331</v>
      </c>
      <c r="BA46" s="4727">
        <f t="shared" si="213"/>
        <v>443.10439994347882</v>
      </c>
      <c r="BB46" s="4737">
        <f>SUM('Произв. прогр. Вода (СВОД)'!S48)</f>
        <v>45.535546311407685</v>
      </c>
      <c r="BC46" s="4737">
        <f>SUM('ПОЛНАЯ СЕБЕСТОИМОСТЬ ВОДА 2018'!X180)</f>
        <v>0</v>
      </c>
      <c r="BD46" s="4738">
        <v>93.2</v>
      </c>
      <c r="BE46" s="4737">
        <f>SUM('Произв. прогр. Вода (СВОД)'!T48)</f>
        <v>45.535546311407685</v>
      </c>
      <c r="BF46" s="4737">
        <f>SUM('ПОЛНАЯ СЕБЕСТОИМОСТЬ ВОДА 2018'!Y180)</f>
        <v>0</v>
      </c>
      <c r="BG46" s="4738">
        <v>-7.4</v>
      </c>
      <c r="BH46" s="4737">
        <f>SUM('Произв. прогр. Вода (СВОД)'!U48)</f>
        <v>45.535546311407685</v>
      </c>
      <c r="BI46" s="4737">
        <f>SUM('ПОЛНАЯ СЕБЕСТОИМОСТЬ ВОДА 2018'!Z180)</f>
        <v>0</v>
      </c>
      <c r="BJ46" s="4738">
        <v>2502.64</v>
      </c>
      <c r="BK46" s="4726">
        <f t="shared" si="214"/>
        <v>136.60663893422304</v>
      </c>
      <c r="BL46" s="4726">
        <f t="shared" si="214"/>
        <v>0</v>
      </c>
      <c r="BM46" s="4726">
        <f t="shared" si="214"/>
        <v>2588.44</v>
      </c>
      <c r="BN46" s="4727">
        <f t="shared" si="215"/>
        <v>-136.60663893422304</v>
      </c>
      <c r="BO46" s="4727">
        <f t="shared" si="216"/>
        <v>-100</v>
      </c>
      <c r="BP46" s="4726">
        <f t="shared" si="217"/>
        <v>546.42655573689217</v>
      </c>
      <c r="BQ46" s="4726">
        <f t="shared" si="218"/>
        <v>2225.75</v>
      </c>
      <c r="BR46" s="4726">
        <f t="shared" si="218"/>
        <v>7047.5400000000009</v>
      </c>
      <c r="BS46" s="4727">
        <f t="shared" si="219"/>
        <v>1679.3234442631078</v>
      </c>
      <c r="BT46" s="4727">
        <f t="shared" si="220"/>
        <v>307.32829995760909</v>
      </c>
      <c r="BU46" s="430"/>
      <c r="BV46" s="430"/>
      <c r="BW46" s="430"/>
      <c r="BX46" s="430"/>
    </row>
    <row r="47" spans="1:76" ht="18.75">
      <c r="A47" s="4736" t="s">
        <v>8</v>
      </c>
      <c r="B47" s="4737">
        <f>SUM('Произв. прогр. Вода (СВОД)'!E49)</f>
        <v>635.48455335602591</v>
      </c>
      <c r="C47" s="4737">
        <f>SUM('ПОЛНАЯ СЕБЕСТОИМОСТЬ ВОДА 2018'!C181)</f>
        <v>687.34</v>
      </c>
      <c r="D47" s="4738">
        <v>286.25</v>
      </c>
      <c r="E47" s="4737">
        <f>SUM('Произв. прогр. Вода (СВОД)'!F49)</f>
        <v>635.48455335602591</v>
      </c>
      <c r="F47" s="4737">
        <f>SUM('ПОЛНАЯ СЕБЕСТОИМОСТЬ ВОДА 2018'!D181)</f>
        <v>274.33</v>
      </c>
      <c r="G47" s="4738">
        <v>147.15</v>
      </c>
      <c r="H47" s="4737">
        <f>SUM('Произв. прогр. Вода (СВОД)'!G49)</f>
        <v>635.48455335602591</v>
      </c>
      <c r="I47" s="4737">
        <f>SUM('ПОЛНАЯ СЕБЕСТОИМОСТЬ ВОДА 2018'!E181)</f>
        <v>1799.45</v>
      </c>
      <c r="J47" s="4738">
        <v>132.66</v>
      </c>
      <c r="K47" s="4726">
        <f t="shared" si="197"/>
        <v>1906.4536600680776</v>
      </c>
      <c r="L47" s="4726">
        <f t="shared" si="197"/>
        <v>2761.12</v>
      </c>
      <c r="M47" s="4726">
        <f t="shared" si="197"/>
        <v>566.05999999999995</v>
      </c>
      <c r="N47" s="4727">
        <f t="shared" si="198"/>
        <v>854.66633993192227</v>
      </c>
      <c r="O47" s="4727">
        <f t="shared" si="199"/>
        <v>44.830165969069654</v>
      </c>
      <c r="P47" s="4737">
        <f>SUM('Произв. прогр. Вода (СВОД)'!I49)</f>
        <v>635.48455335602591</v>
      </c>
      <c r="Q47" s="4737">
        <f>SUM('ПОЛНАЯ СЕБЕСТОИМОСТЬ ВОДА 2018'!H181)</f>
        <v>1406.47</v>
      </c>
      <c r="R47" s="4738">
        <v>962.24</v>
      </c>
      <c r="S47" s="4737">
        <f>SUM('Произв. прогр. Вода (СВОД)'!J49)</f>
        <v>635.48455335602591</v>
      </c>
      <c r="T47" s="4737">
        <f>SUM('ПОЛНАЯ СЕБЕСТОИМОСТЬ ВОДА 2018'!I181)</f>
        <v>812.58</v>
      </c>
      <c r="U47" s="4738">
        <v>2063.1</v>
      </c>
      <c r="V47" s="4737">
        <f>SUM('Произв. прогр. Вода (СВОД)'!K49)</f>
        <v>635.48455335602591</v>
      </c>
      <c r="W47" s="4737">
        <f>SUM('ПОЛНАЯ СЕБЕСТОИМОСТЬ ВОДА 2018'!J181)</f>
        <v>758.6</v>
      </c>
      <c r="X47" s="4738">
        <v>977.27</v>
      </c>
      <c r="Y47" s="4726">
        <f t="shared" si="200"/>
        <v>1906.4536600680776</v>
      </c>
      <c r="Z47" s="4726">
        <f t="shared" si="200"/>
        <v>2977.65</v>
      </c>
      <c r="AA47" s="4726">
        <f t="shared" si="200"/>
        <v>4002.61</v>
      </c>
      <c r="AB47" s="4727">
        <f t="shared" si="201"/>
        <v>1071.1963399319225</v>
      </c>
      <c r="AC47" s="4727">
        <f t="shared" si="202"/>
        <v>56.187903350017486</v>
      </c>
      <c r="AD47" s="4726">
        <f t="shared" si="203"/>
        <v>3812.9073201361552</v>
      </c>
      <c r="AE47" s="4726">
        <f t="shared" si="204"/>
        <v>5738.77</v>
      </c>
      <c r="AF47" s="4726">
        <f t="shared" si="204"/>
        <v>4568.67</v>
      </c>
      <c r="AG47" s="4727">
        <f t="shared" si="205"/>
        <v>1925.8626798638452</v>
      </c>
      <c r="AH47" s="4727">
        <f t="shared" si="206"/>
        <v>50.50903465954358</v>
      </c>
      <c r="AI47" s="4737">
        <f>SUM('Произв. прогр. Вода (СВОД)'!N49)</f>
        <v>635.48455335602591</v>
      </c>
      <c r="AJ47" s="4737">
        <f>SUM('ПОЛНАЯ СЕБЕСТОИМОСТЬ ВОДА 2018'!P181)</f>
        <v>0</v>
      </c>
      <c r="AK47" s="4738">
        <v>1348.43</v>
      </c>
      <c r="AL47" s="4737">
        <f>SUM('Произв. прогр. Вода (СВОД)'!O49)</f>
        <v>635.48455335602591</v>
      </c>
      <c r="AM47" s="4737">
        <f>SUM('ПОЛНАЯ СЕБЕСТОИМОСТЬ ВОДА 2018'!Q181)</f>
        <v>0</v>
      </c>
      <c r="AN47" s="4738">
        <v>1801.3</v>
      </c>
      <c r="AO47" s="4737">
        <f>SUM('Произв. прогр. Вода (СВОД)'!P49)</f>
        <v>635.48455335602591</v>
      </c>
      <c r="AP47" s="4737">
        <f>SUM('ПОЛНАЯ СЕБЕСТОИМОСТЬ ВОДА 2018'!R181)</f>
        <v>0</v>
      </c>
      <c r="AQ47" s="4738">
        <v>2369.5300000000002</v>
      </c>
      <c r="AR47" s="4726">
        <f t="shared" si="207"/>
        <v>1906.4536600680776</v>
      </c>
      <c r="AS47" s="4726">
        <f t="shared" si="207"/>
        <v>0</v>
      </c>
      <c r="AT47" s="4726">
        <f t="shared" si="207"/>
        <v>5519.26</v>
      </c>
      <c r="AU47" s="4727">
        <f t="shared" si="208"/>
        <v>-1906.4536600680776</v>
      </c>
      <c r="AV47" s="4727">
        <f t="shared" si="209"/>
        <v>-100</v>
      </c>
      <c r="AW47" s="4726">
        <f t="shared" si="210"/>
        <v>5719.3609802042329</v>
      </c>
      <c r="AX47" s="4726">
        <f t="shared" si="211"/>
        <v>5738.77</v>
      </c>
      <c r="AY47" s="4726">
        <f t="shared" si="211"/>
        <v>10087.93</v>
      </c>
      <c r="AZ47" s="4727">
        <f t="shared" si="212"/>
        <v>19.409019795767563</v>
      </c>
      <c r="BA47" s="4727">
        <f t="shared" si="213"/>
        <v>0.33935643969572427</v>
      </c>
      <c r="BB47" s="4737">
        <f>SUM('Произв. прогр. Вода (СВОД)'!S49)</f>
        <v>635.48455335602591</v>
      </c>
      <c r="BC47" s="4737">
        <f>SUM('ПОЛНАЯ СЕБЕСТОИМОСТЬ ВОДА 2018'!X181)</f>
        <v>0</v>
      </c>
      <c r="BD47" s="4738">
        <v>686.81</v>
      </c>
      <c r="BE47" s="4737">
        <f>SUM('Произв. прогр. Вода (СВОД)'!T49)</f>
        <v>635.48455335602591</v>
      </c>
      <c r="BF47" s="4737">
        <f>SUM('ПОЛНАЯ СЕБЕСТОИМОСТЬ ВОДА 2018'!Y181)</f>
        <v>0</v>
      </c>
      <c r="BG47" s="4738">
        <v>1518.91</v>
      </c>
      <c r="BH47" s="4737">
        <f>SUM('Произв. прогр. Вода (СВОД)'!U49)</f>
        <v>635.48455335602591</v>
      </c>
      <c r="BI47" s="4737">
        <f>SUM('ПОЛНАЯ СЕБЕСТОИМОСТЬ ВОДА 2018'!Z181)</f>
        <v>0</v>
      </c>
      <c r="BJ47" s="4738">
        <v>1758.55</v>
      </c>
      <c r="BK47" s="4726">
        <f t="shared" si="214"/>
        <v>1906.4536600680776</v>
      </c>
      <c r="BL47" s="4726">
        <f t="shared" si="214"/>
        <v>0</v>
      </c>
      <c r="BM47" s="4726">
        <f t="shared" si="214"/>
        <v>3964.2700000000004</v>
      </c>
      <c r="BN47" s="4727">
        <f t="shared" si="215"/>
        <v>-1906.4536600680776</v>
      </c>
      <c r="BO47" s="4727">
        <f t="shared" si="216"/>
        <v>-100</v>
      </c>
      <c r="BP47" s="4726">
        <f t="shared" si="217"/>
        <v>7625.8146402723105</v>
      </c>
      <c r="BQ47" s="4726">
        <f t="shared" si="218"/>
        <v>5738.77</v>
      </c>
      <c r="BR47" s="4726">
        <f t="shared" si="218"/>
        <v>14052.2</v>
      </c>
      <c r="BS47" s="4727">
        <f t="shared" si="219"/>
        <v>-1887.0446402723101</v>
      </c>
      <c r="BT47" s="4727">
        <f t="shared" si="220"/>
        <v>-24.745482670228206</v>
      </c>
      <c r="BU47" s="430"/>
      <c r="BV47" s="430"/>
      <c r="BW47" s="430"/>
      <c r="BX47" s="430"/>
    </row>
    <row r="48" spans="1:76" ht="18.75">
      <c r="A48" s="4736" t="s">
        <v>4</v>
      </c>
      <c r="B48" s="4737">
        <f>SUM('Произв. прогр. Вода (СВОД)'!E50)</f>
        <v>4233.2830347816216</v>
      </c>
      <c r="C48" s="4737">
        <f>SUM('ПОЛНАЯ СЕБЕСТОИМОСТЬ ВОДА 2018'!C182)</f>
        <v>3416.2</v>
      </c>
      <c r="D48" s="4738">
        <v>3291.94</v>
      </c>
      <c r="E48" s="4737">
        <f>SUM('Произв. прогр. Вода (СВОД)'!F50)</f>
        <v>4233.2830347816216</v>
      </c>
      <c r="F48" s="4737">
        <f>SUM('ПОЛНАЯ СЕБЕСТОИМОСТЬ ВОДА 2018'!D182)</f>
        <v>3148.93</v>
      </c>
      <c r="G48" s="4738">
        <v>3314.02</v>
      </c>
      <c r="H48" s="4737">
        <f>SUM('Произв. прогр. Вода (СВОД)'!G50)</f>
        <v>4233.2830347816216</v>
      </c>
      <c r="I48" s="4737">
        <f>SUM('ПОЛНАЯ СЕБЕСТОИМОСТЬ ВОДА 2018'!E182)</f>
        <v>3108.39</v>
      </c>
      <c r="J48" s="4738">
        <v>3777.05</v>
      </c>
      <c r="K48" s="4726">
        <f t="shared" si="197"/>
        <v>12699.849104344865</v>
      </c>
      <c r="L48" s="4726">
        <f t="shared" si="197"/>
        <v>9673.5199999999986</v>
      </c>
      <c r="M48" s="4726">
        <f t="shared" si="197"/>
        <v>10383.01</v>
      </c>
      <c r="N48" s="4727">
        <f t="shared" si="198"/>
        <v>-3026.3291043448662</v>
      </c>
      <c r="O48" s="4727">
        <f t="shared" si="199"/>
        <v>-23.829646159413816</v>
      </c>
      <c r="P48" s="4737">
        <f>SUM('Произв. прогр. Вода (СВОД)'!I50)</f>
        <v>4233.2830347816216</v>
      </c>
      <c r="Q48" s="4737">
        <f>SUM('ПОЛНАЯ СЕБЕСТОИМОСТЬ ВОДА 2018'!H182)</f>
        <v>3481.2999999999997</v>
      </c>
      <c r="R48" s="4738">
        <v>3662.38</v>
      </c>
      <c r="S48" s="4737">
        <f>SUM('Произв. прогр. Вода (СВОД)'!J50)</f>
        <v>4233.2830347816216</v>
      </c>
      <c r="T48" s="4737">
        <f>SUM('ПОЛНАЯ СЕБЕСТОИМОСТЬ ВОДА 2018'!I182)</f>
        <v>3723.2599999999998</v>
      </c>
      <c r="U48" s="4738">
        <v>4002.68</v>
      </c>
      <c r="V48" s="4737">
        <f>SUM('Произв. прогр. Вода (СВОД)'!K50)</f>
        <v>4233.2830347816216</v>
      </c>
      <c r="W48" s="4737">
        <f>SUM('ПОЛНАЯ СЕБЕСТОИМОСТЬ ВОДА 2018'!J182)</f>
        <v>3920.59</v>
      </c>
      <c r="X48" s="4738">
        <v>3998.63</v>
      </c>
      <c r="Y48" s="4726">
        <f t="shared" si="200"/>
        <v>12699.849104344865</v>
      </c>
      <c r="Z48" s="4726">
        <f t="shared" si="200"/>
        <v>11125.15</v>
      </c>
      <c r="AA48" s="4726">
        <f t="shared" si="200"/>
        <v>11663.689999999999</v>
      </c>
      <c r="AB48" s="4727">
        <f t="shared" si="201"/>
        <v>-1574.6991043448652</v>
      </c>
      <c r="AC48" s="4727">
        <f t="shared" si="202"/>
        <v>-12.39935286952449</v>
      </c>
      <c r="AD48" s="4726">
        <f t="shared" si="203"/>
        <v>25399.69820868973</v>
      </c>
      <c r="AE48" s="4726">
        <f t="shared" si="204"/>
        <v>20798.669999999998</v>
      </c>
      <c r="AF48" s="4726">
        <f t="shared" si="204"/>
        <v>22046.699999999997</v>
      </c>
      <c r="AG48" s="4727">
        <f t="shared" si="205"/>
        <v>-4601.0282086897314</v>
      </c>
      <c r="AH48" s="4727">
        <f t="shared" si="206"/>
        <v>-18.114499514469156</v>
      </c>
      <c r="AI48" s="4737">
        <f>SUM('Произв. прогр. Вода (СВОД)'!N50)</f>
        <v>4402.6143561728859</v>
      </c>
      <c r="AJ48" s="4737">
        <f>SUM('ПОЛНАЯ СЕБЕСТОИМОСТЬ ВОДА 2018'!P182)</f>
        <v>0</v>
      </c>
      <c r="AK48" s="4738">
        <v>3620.36</v>
      </c>
      <c r="AL48" s="4737">
        <f>SUM('Произв. прогр. Вода (СВОД)'!O50)</f>
        <v>4402.6143561728859</v>
      </c>
      <c r="AM48" s="4737">
        <f>SUM('ПОЛНАЯ СЕБЕСТОИМОСТЬ ВОДА 2018'!Q182)</f>
        <v>0</v>
      </c>
      <c r="AN48" s="4738">
        <v>3781.48</v>
      </c>
      <c r="AO48" s="4737">
        <f>SUM('Произв. прогр. Вода (СВОД)'!P50)</f>
        <v>4402.6143561728859</v>
      </c>
      <c r="AP48" s="4737">
        <f>SUM('ПОЛНАЯ СЕБЕСТОИМОСТЬ ВОДА 2018'!R182)</f>
        <v>0</v>
      </c>
      <c r="AQ48" s="4738">
        <v>3475.69</v>
      </c>
      <c r="AR48" s="4726">
        <f t="shared" si="207"/>
        <v>13207.843068518658</v>
      </c>
      <c r="AS48" s="4726">
        <f t="shared" si="207"/>
        <v>0</v>
      </c>
      <c r="AT48" s="4726">
        <f t="shared" si="207"/>
        <v>10877.53</v>
      </c>
      <c r="AU48" s="4727">
        <f t="shared" si="208"/>
        <v>-13207.843068518658</v>
      </c>
      <c r="AV48" s="4727">
        <f t="shared" si="209"/>
        <v>-100</v>
      </c>
      <c r="AW48" s="4726">
        <f t="shared" si="210"/>
        <v>38607.541277208387</v>
      </c>
      <c r="AX48" s="4726">
        <f t="shared" si="211"/>
        <v>20798.669999999998</v>
      </c>
      <c r="AY48" s="4726">
        <f t="shared" si="211"/>
        <v>32924.229999999996</v>
      </c>
      <c r="AZ48" s="4727">
        <f t="shared" si="212"/>
        <v>-17808.871277208389</v>
      </c>
      <c r="BA48" s="4727">
        <f t="shared" si="213"/>
        <v>-46.1279602068876</v>
      </c>
      <c r="BB48" s="4737">
        <f>SUM('Произв. прогр. Вода (СВОД)'!S50)</f>
        <v>4402.6143561728859</v>
      </c>
      <c r="BC48" s="4737">
        <f>SUM('ПОЛНАЯ СЕБЕСТОИМОСТЬ ВОДА 2018'!X182)</f>
        <v>0</v>
      </c>
      <c r="BD48" s="4738">
        <v>2905.9</v>
      </c>
      <c r="BE48" s="4737">
        <f>SUM('Произв. прогр. Вода (СВОД)'!T50)</f>
        <v>4402.6143561728859</v>
      </c>
      <c r="BF48" s="4737">
        <f>SUM('ПОЛНАЯ СЕБЕСТОИМОСТЬ ВОДА 2018'!Y182)</f>
        <v>0</v>
      </c>
      <c r="BG48" s="4738">
        <v>3063.68</v>
      </c>
      <c r="BH48" s="4737">
        <f>SUM('Произв. прогр. Вода (СВОД)'!U50)</f>
        <v>4402.6143561728859</v>
      </c>
      <c r="BI48" s="4737">
        <f>SUM('ПОЛНАЯ СЕБЕСТОИМОСТЬ ВОДА 2018'!Z182)</f>
        <v>0</v>
      </c>
      <c r="BJ48" s="4738">
        <v>3228.25</v>
      </c>
      <c r="BK48" s="4726">
        <f t="shared" si="214"/>
        <v>13207.843068518658</v>
      </c>
      <c r="BL48" s="4726">
        <f t="shared" si="214"/>
        <v>0</v>
      </c>
      <c r="BM48" s="4726">
        <f t="shared" si="214"/>
        <v>9197.83</v>
      </c>
      <c r="BN48" s="4727">
        <f t="shared" si="215"/>
        <v>-13207.843068518658</v>
      </c>
      <c r="BO48" s="4727">
        <f t="shared" si="216"/>
        <v>-100</v>
      </c>
      <c r="BP48" s="4726">
        <f t="shared" si="217"/>
        <v>51815.384345727041</v>
      </c>
      <c r="BQ48" s="4726">
        <f t="shared" si="218"/>
        <v>20798.669999999998</v>
      </c>
      <c r="BR48" s="4726">
        <f t="shared" si="218"/>
        <v>42122.06</v>
      </c>
      <c r="BS48" s="4727">
        <f t="shared" si="219"/>
        <v>-31016.714345727043</v>
      </c>
      <c r="BT48" s="4727">
        <f t="shared" si="220"/>
        <v>-59.860048781602529</v>
      </c>
      <c r="BU48" s="430"/>
      <c r="BV48" s="430"/>
      <c r="BW48" s="430"/>
      <c r="BX48" s="430"/>
    </row>
    <row r="49" spans="1:76" ht="18.75">
      <c r="A49" s="4736" t="s">
        <v>5</v>
      </c>
      <c r="B49" s="4737">
        <f>SUM('Произв. прогр. Вода (СВОД)'!E51)</f>
        <v>1267.9381831961869</v>
      </c>
      <c r="C49" s="4737">
        <f>SUM('ПОЛНАЯ СЕБЕСТОИМОСТЬ ВОДА 2018'!C183)</f>
        <v>1041.57</v>
      </c>
      <c r="D49" s="4738">
        <v>991.65</v>
      </c>
      <c r="E49" s="4737">
        <f>SUM('Произв. прогр. Вода (СВОД)'!F51)</f>
        <v>1267.9381831961869</v>
      </c>
      <c r="F49" s="4737">
        <f>SUM('ПОЛНАЯ СЕБЕСТОИМОСТЬ ВОДА 2018'!D183)</f>
        <v>944.43000000000006</v>
      </c>
      <c r="G49" s="4738">
        <v>994.57</v>
      </c>
      <c r="H49" s="4737">
        <f>SUM('Произв. прогр. Вода (СВОД)'!G51)</f>
        <v>1267.9381831961869</v>
      </c>
      <c r="I49" s="4737">
        <f>SUM('ПОЛНАЯ СЕБЕСТОИМОСТЬ ВОДА 2018'!E183)</f>
        <v>968.81</v>
      </c>
      <c r="J49" s="4738">
        <v>1122.23</v>
      </c>
      <c r="K49" s="4726">
        <f t="shared" si="197"/>
        <v>3803.8145495885606</v>
      </c>
      <c r="L49" s="4726">
        <f t="shared" si="197"/>
        <v>2954.81</v>
      </c>
      <c r="M49" s="4726">
        <f t="shared" si="197"/>
        <v>3108.45</v>
      </c>
      <c r="N49" s="4727">
        <f t="shared" si="198"/>
        <v>-849.00454958856062</v>
      </c>
      <c r="O49" s="4727">
        <f t="shared" si="199"/>
        <v>-22.319819710463886</v>
      </c>
      <c r="P49" s="4737">
        <f>SUM('Произв. прогр. Вода (СВОД)'!I51)</f>
        <v>1267.9381831961869</v>
      </c>
      <c r="Q49" s="4737">
        <f>SUM('ПОЛНАЯ СЕБЕСТОИМОСТЬ ВОДА 2018'!H183)</f>
        <v>1044.6100000000001</v>
      </c>
      <c r="R49" s="4738">
        <v>1103.9000000000001</v>
      </c>
      <c r="S49" s="4737">
        <f>SUM('Произв. прогр. Вода (СВОД)'!J51)</f>
        <v>1267.9381831961869</v>
      </c>
      <c r="T49" s="4737">
        <f>SUM('ПОЛНАЯ СЕБЕСТОИМОСТЬ ВОДА 2018'!I183)</f>
        <v>1099.8400000000001</v>
      </c>
      <c r="U49" s="4738">
        <v>1212.8</v>
      </c>
      <c r="V49" s="4737">
        <f>SUM('Произв. прогр. Вода (СВОД)'!K51)</f>
        <v>1267.9381831961869</v>
      </c>
      <c r="W49" s="4737">
        <f>SUM('ПОЛНАЯ СЕБЕСТОИМОСТЬ ВОДА 2018'!J183)</f>
        <v>1188.29</v>
      </c>
      <c r="X49" s="4738">
        <v>1215.74</v>
      </c>
      <c r="Y49" s="4726">
        <f t="shared" si="200"/>
        <v>3803.8145495885606</v>
      </c>
      <c r="Z49" s="4726">
        <f t="shared" si="200"/>
        <v>3332.7400000000002</v>
      </c>
      <c r="AA49" s="4726">
        <f t="shared" si="200"/>
        <v>3532.4399999999996</v>
      </c>
      <c r="AB49" s="4727">
        <f t="shared" si="201"/>
        <v>-471.07454958856033</v>
      </c>
      <c r="AC49" s="4727">
        <f t="shared" si="202"/>
        <v>-12.384266989028529</v>
      </c>
      <c r="AD49" s="4726">
        <f t="shared" si="203"/>
        <v>7607.6290991771211</v>
      </c>
      <c r="AE49" s="4726">
        <f t="shared" si="204"/>
        <v>6287.55</v>
      </c>
      <c r="AF49" s="4726">
        <f t="shared" si="204"/>
        <v>6640.8899999999994</v>
      </c>
      <c r="AG49" s="4727">
        <f t="shared" si="205"/>
        <v>-1320.079099177121</v>
      </c>
      <c r="AH49" s="4727">
        <f t="shared" si="206"/>
        <v>-17.352043349746207</v>
      </c>
      <c r="AI49" s="4737">
        <f>SUM('Произв. прогр. Вода (СВОД)'!N51)</f>
        <v>1318.6557105240345</v>
      </c>
      <c r="AJ49" s="4737">
        <f>SUM('ПОЛНАЯ СЕБЕСТОИМОСТЬ ВОДА 2018'!P183)</f>
        <v>0</v>
      </c>
      <c r="AK49" s="4738">
        <v>1081.3800000000001</v>
      </c>
      <c r="AL49" s="4737">
        <f>SUM('Произв. прогр. Вода (СВОД)'!O51)</f>
        <v>1318.6557105240345</v>
      </c>
      <c r="AM49" s="4737">
        <f>SUM('ПОЛНАЯ СЕБЕСТОИМОСТЬ ВОДА 2018'!Q183)</f>
        <v>0</v>
      </c>
      <c r="AN49" s="4738">
        <v>1141.58</v>
      </c>
      <c r="AO49" s="4737">
        <f>SUM('Произв. прогр. Вода (СВОД)'!P51)</f>
        <v>1318.6557105240345</v>
      </c>
      <c r="AP49" s="4737">
        <f>SUM('ПОЛНАЯ СЕБЕСТОИМОСТЬ ВОДА 2018'!R183)</f>
        <v>0</v>
      </c>
      <c r="AQ49" s="4738">
        <v>1079.9100000000001</v>
      </c>
      <c r="AR49" s="4726">
        <f t="shared" si="207"/>
        <v>3955.9671315721034</v>
      </c>
      <c r="AS49" s="4726">
        <f t="shared" si="207"/>
        <v>0</v>
      </c>
      <c r="AT49" s="4726">
        <f t="shared" si="207"/>
        <v>3302.87</v>
      </c>
      <c r="AU49" s="4727">
        <f t="shared" si="208"/>
        <v>-3955.9671315721034</v>
      </c>
      <c r="AV49" s="4727">
        <f t="shared" si="209"/>
        <v>-100</v>
      </c>
      <c r="AW49" s="4726">
        <f t="shared" si="210"/>
        <v>11563.596230749225</v>
      </c>
      <c r="AX49" s="4726">
        <f t="shared" si="211"/>
        <v>6287.55</v>
      </c>
      <c r="AY49" s="4726">
        <f t="shared" si="211"/>
        <v>9943.7599999999984</v>
      </c>
      <c r="AZ49" s="4727">
        <f t="shared" si="212"/>
        <v>-5276.0462307492244</v>
      </c>
      <c r="BA49" s="4727">
        <f t="shared" si="213"/>
        <v>-45.62634430904356</v>
      </c>
      <c r="BB49" s="4737">
        <f>SUM('Произв. прогр. Вода (СВОД)'!S51)</f>
        <v>1318.6557105240345</v>
      </c>
      <c r="BC49" s="4737">
        <f>SUM('ПОЛНАЯ СЕБЕСТОИМОСТЬ ВОДА 2018'!X183)</f>
        <v>0</v>
      </c>
      <c r="BD49" s="4738">
        <v>873.9</v>
      </c>
      <c r="BE49" s="4737">
        <f>SUM('Произв. прогр. Вода (СВОД)'!T51)</f>
        <v>1318.6557105240345</v>
      </c>
      <c r="BF49" s="4737">
        <f>SUM('ПОЛНАЯ СЕБЕСТОИМОСТЬ ВОДА 2018'!Y183)</f>
        <v>0</v>
      </c>
      <c r="BG49" s="4738">
        <v>932.11</v>
      </c>
      <c r="BH49" s="4737">
        <f>SUM('Произв. прогр. Вода (СВОД)'!U51)</f>
        <v>1318.6557105240345</v>
      </c>
      <c r="BI49" s="4737">
        <f>SUM('ПОЛНАЯ СЕБЕСТОИМОСТЬ ВОДА 2018'!Z183)</f>
        <v>0</v>
      </c>
      <c r="BJ49" s="4738">
        <v>975.56</v>
      </c>
      <c r="BK49" s="4726">
        <f t="shared" si="214"/>
        <v>3955.9671315721034</v>
      </c>
      <c r="BL49" s="4726">
        <f t="shared" si="214"/>
        <v>0</v>
      </c>
      <c r="BM49" s="4726">
        <f t="shared" si="214"/>
        <v>2781.5699999999997</v>
      </c>
      <c r="BN49" s="4727">
        <f t="shared" si="215"/>
        <v>-3955.9671315721034</v>
      </c>
      <c r="BO49" s="4727">
        <f t="shared" si="216"/>
        <v>-100</v>
      </c>
      <c r="BP49" s="4726">
        <f t="shared" si="217"/>
        <v>15519.563362321329</v>
      </c>
      <c r="BQ49" s="4726">
        <f t="shared" si="218"/>
        <v>6287.55</v>
      </c>
      <c r="BR49" s="4726">
        <f t="shared" si="218"/>
        <v>12725.329999999998</v>
      </c>
      <c r="BS49" s="4727">
        <f t="shared" si="219"/>
        <v>-9232.0133623213296</v>
      </c>
      <c r="BT49" s="4727">
        <f t="shared" si="220"/>
        <v>-59.486295759679521</v>
      </c>
      <c r="BU49" s="430"/>
      <c r="BV49" s="430"/>
      <c r="BW49" s="430"/>
      <c r="BX49" s="430"/>
    </row>
    <row r="50" spans="1:76" ht="18.75">
      <c r="A50" s="4739" t="s">
        <v>321</v>
      </c>
      <c r="B50" s="4740">
        <f>SUM('Произв. прогр. Вода (СВОД)'!E52)</f>
        <v>0.29951651538026558</v>
      </c>
      <c r="C50" s="4740">
        <f>SUM('ПОЛНАЯ СЕБЕСТОИМОСТЬ ВОДА 2018'!C184)</f>
        <v>0.30489139980094843</v>
      </c>
      <c r="D50" s="4740">
        <f t="shared" ref="D50:BR50" si="221">SUM(D49/D48)</f>
        <v>0.30123574548746329</v>
      </c>
      <c r="E50" s="4740">
        <f>SUM('Произв. прогр. Вода (СВОД)'!F52)</f>
        <v>0.29951651538026558</v>
      </c>
      <c r="F50" s="4740">
        <f>SUM('ПОЛНАЯ СЕБЕСТОИМОСТЬ ВОДА 2018'!D184)</f>
        <v>0.29992092552073246</v>
      </c>
      <c r="G50" s="4740">
        <f t="shared" si="221"/>
        <v>0.30010983639205557</v>
      </c>
      <c r="H50" s="4740">
        <f>SUM('Произв. прогр. Вода (СВОД)'!G52)</f>
        <v>0.29951651538026558</v>
      </c>
      <c r="I50" s="4740">
        <f>SUM('ПОЛНАЯ СЕБЕСТОИМОСТЬ ВОДА 2018'!E184)</f>
        <v>0.31167581931482213</v>
      </c>
      <c r="J50" s="4740">
        <f t="shared" si="221"/>
        <v>0.29711812128512993</v>
      </c>
      <c r="K50" s="4741">
        <f t="shared" si="221"/>
        <v>0.29951651538026558</v>
      </c>
      <c r="L50" s="4741">
        <f t="shared" si="221"/>
        <v>0.30545344404105229</v>
      </c>
      <c r="M50" s="4741">
        <f t="shared" si="221"/>
        <v>0.29937850392130988</v>
      </c>
      <c r="N50" s="4731">
        <f t="shared" si="198"/>
        <v>5.9369286607867111E-3</v>
      </c>
      <c r="O50" s="4731">
        <f t="shared" si="199"/>
        <v>1.9821707171136116</v>
      </c>
      <c r="P50" s="4740">
        <f>SUM('Произв. прогр. Вода (СВОД)'!I52)</f>
        <v>0.29951651538026558</v>
      </c>
      <c r="Q50" s="4740">
        <f>SUM('ПОЛНАЯ СЕБЕСТОИМОСТЬ ВОДА 2018'!H184)</f>
        <v>0.30006319478355792</v>
      </c>
      <c r="R50" s="4740">
        <f t="shared" si="221"/>
        <v>0.30141601909141053</v>
      </c>
      <c r="S50" s="4740">
        <f>SUM('Произв. прогр. Вода (СВОД)'!J52)</f>
        <v>0.29951651538026558</v>
      </c>
      <c r="T50" s="4740">
        <f>SUM('ПОЛНАЯ СЕБЕСТОИМОСТЬ ВОДА 2018'!I184)</f>
        <v>0.29539704452549653</v>
      </c>
      <c r="U50" s="4740">
        <f t="shared" si="221"/>
        <v>0.30299699201534974</v>
      </c>
      <c r="V50" s="4740">
        <f>SUM('Произв. прогр. Вода (СВОД)'!K52)</f>
        <v>0.29951651538026558</v>
      </c>
      <c r="W50" s="4740">
        <f>SUM('ПОЛНАЯ СЕБЕСТОИМОСТЬ ВОДА 2018'!J184)</f>
        <v>0.30308958600618785</v>
      </c>
      <c r="X50" s="4740">
        <f t="shared" si="221"/>
        <v>0.30403913340319061</v>
      </c>
      <c r="Y50" s="4741">
        <f t="shared" si="221"/>
        <v>0.29951651538026558</v>
      </c>
      <c r="Z50" s="4741">
        <f t="shared" si="221"/>
        <v>0.29956809571106907</v>
      </c>
      <c r="AA50" s="4741">
        <f t="shared" si="221"/>
        <v>0.30285784344405586</v>
      </c>
      <c r="AB50" s="4731">
        <f t="shared" si="201"/>
        <v>5.1580330803491226E-5</v>
      </c>
      <c r="AC50" s="4731">
        <f t="shared" si="202"/>
        <v>1.7221197548323817E-2</v>
      </c>
      <c r="AD50" s="4741">
        <f t="shared" si="221"/>
        <v>0.29951651538026558</v>
      </c>
      <c r="AE50" s="4741">
        <f t="shared" si="221"/>
        <v>0.30230538779643124</v>
      </c>
      <c r="AF50" s="4741">
        <f t="shared" si="221"/>
        <v>0.30121923008885687</v>
      </c>
      <c r="AG50" s="4731">
        <f t="shared" si="205"/>
        <v>2.7888724161656553E-3</v>
      </c>
      <c r="AH50" s="4731">
        <f t="shared" si="206"/>
        <v>0.9311247537134667</v>
      </c>
      <c r="AI50" s="4740">
        <f>SUM('Произв. прогр. Вода (СВОД)'!N52)</f>
        <v>0.29951651538026564</v>
      </c>
      <c r="AJ50" s="4740" t="e">
        <f>SUM('ПОЛНАЯ СЕБЕСТОИМОСТЬ ВОДА 2018'!P184)</f>
        <v>#DIV/0!</v>
      </c>
      <c r="AK50" s="4740">
        <f t="shared" si="221"/>
        <v>0.29869405252516329</v>
      </c>
      <c r="AL50" s="4740">
        <f>SUM('Произв. прогр. Вода (СВОД)'!O52)</f>
        <v>0.29951651538026564</v>
      </c>
      <c r="AM50" s="4740" t="e">
        <f>SUM('ПОЛНАЯ СЕБЕСТОИМОСТЬ ВОДА 2018'!Q184)</f>
        <v>#DIV/0!</v>
      </c>
      <c r="AN50" s="4740">
        <f t="shared" si="221"/>
        <v>0.3018870918264806</v>
      </c>
      <c r="AO50" s="4740">
        <f>SUM('Произв. прогр. Вода (СВОД)'!P52)</f>
        <v>0.29951651538026564</v>
      </c>
      <c r="AP50" s="4740" t="e">
        <f>SUM('ПОЛНАЯ СЕБЕСТОИМОСТЬ ВОДА 2018'!R184)</f>
        <v>#DIV/0!</v>
      </c>
      <c r="AQ50" s="4740">
        <f t="shared" si="221"/>
        <v>0.31070377392690374</v>
      </c>
      <c r="AR50" s="4741">
        <f t="shared" si="221"/>
        <v>0.29951651538026564</v>
      </c>
      <c r="AS50" s="4741" t="e">
        <f t="shared" si="221"/>
        <v>#DIV/0!</v>
      </c>
      <c r="AT50" s="4741">
        <f t="shared" si="221"/>
        <v>0.30364154362249512</v>
      </c>
      <c r="AU50" s="4731" t="e">
        <f t="shared" si="208"/>
        <v>#DIV/0!</v>
      </c>
      <c r="AV50" s="4731" t="e">
        <f t="shared" si="209"/>
        <v>#DIV/0!</v>
      </c>
      <c r="AW50" s="4741">
        <f t="shared" si="221"/>
        <v>0.29951651538026558</v>
      </c>
      <c r="AX50" s="4741">
        <f t="shared" si="221"/>
        <v>0.30230538779643124</v>
      </c>
      <c r="AY50" s="4741">
        <f t="shared" si="221"/>
        <v>0.30201951571836305</v>
      </c>
      <c r="AZ50" s="4731">
        <f t="shared" si="212"/>
        <v>2.7888724161656553E-3</v>
      </c>
      <c r="BA50" s="4731">
        <f t="shared" si="213"/>
        <v>0.9311247537134667</v>
      </c>
      <c r="BB50" s="4740">
        <f>SUM('Произв. прогр. Вода (СВОД)'!S52)</f>
        <v>0.29951651538026564</v>
      </c>
      <c r="BC50" s="4740" t="e">
        <f>SUM('ПОЛНАЯ СЕБЕСТОИМОСТЬ ВОДА 2018'!X184)</f>
        <v>#DIV/0!</v>
      </c>
      <c r="BD50" s="4740">
        <f t="shared" si="221"/>
        <v>0.30073299150005162</v>
      </c>
      <c r="BE50" s="4740">
        <f>SUM('Произв. прогр. Вода (СВОД)'!T52)</f>
        <v>0.29951651538026564</v>
      </c>
      <c r="BF50" s="4740" t="e">
        <f>SUM('ПОЛНАЯ СЕБЕСТОИМОСТЬ ВОДА 2018'!Y184)</f>
        <v>#DIV/0!</v>
      </c>
      <c r="BG50" s="4740">
        <f t="shared" si="221"/>
        <v>0.30424522143304789</v>
      </c>
      <c r="BH50" s="4740">
        <f>SUM('Произв. прогр. Вода (СВОД)'!U52)</f>
        <v>0.29951651538026564</v>
      </c>
      <c r="BI50" s="4740" t="e">
        <f>SUM('ПОЛНАЯ СЕБЕСТОИМОСТЬ ВОДА 2018'!Z184)</f>
        <v>#DIV/0!</v>
      </c>
      <c r="BJ50" s="4740">
        <f t="shared" si="221"/>
        <v>0.30219468752420042</v>
      </c>
      <c r="BK50" s="4741">
        <f t="shared" si="221"/>
        <v>0.29951651538026564</v>
      </c>
      <c r="BL50" s="4741" t="e">
        <f t="shared" si="221"/>
        <v>#DIV/0!</v>
      </c>
      <c r="BM50" s="4741">
        <f t="shared" si="221"/>
        <v>0.3024158959232775</v>
      </c>
      <c r="BN50" s="4731" t="e">
        <f t="shared" si="215"/>
        <v>#DIV/0!</v>
      </c>
      <c r="BO50" s="4731" t="e">
        <f t="shared" si="216"/>
        <v>#DIV/0!</v>
      </c>
      <c r="BP50" s="4741">
        <f t="shared" si="221"/>
        <v>0.29951651538026564</v>
      </c>
      <c r="BQ50" s="4741">
        <f t="shared" si="221"/>
        <v>0.30230538779643124</v>
      </c>
      <c r="BR50" s="4741">
        <f t="shared" si="221"/>
        <v>0.30210606983609062</v>
      </c>
      <c r="BS50" s="4731">
        <f t="shared" si="219"/>
        <v>2.7888724161655998E-3</v>
      </c>
      <c r="BT50" s="4731">
        <f t="shared" si="220"/>
        <v>0.93112475371344794</v>
      </c>
      <c r="BU50" s="430"/>
      <c r="BV50" s="430"/>
      <c r="BW50" s="430"/>
      <c r="BX50" s="430"/>
    </row>
    <row r="51" spans="1:76" ht="18.75">
      <c r="A51" s="4736" t="s">
        <v>1745</v>
      </c>
      <c r="B51" s="4737">
        <f>SUM('Произв. прогр. Вода (СВОД)'!E53)</f>
        <v>2094.8150336459303</v>
      </c>
      <c r="C51" s="4737">
        <f>SUM('ПОЛНАЯ СЕБЕСТОИМОСТЬ ВОДА 2018'!C185)</f>
        <v>1978.7399999999998</v>
      </c>
      <c r="D51" s="4744">
        <f>SUM(D52:D55)</f>
        <v>2392.38</v>
      </c>
      <c r="E51" s="4737">
        <f>SUM('Произв. прогр. Вода (СВОД)'!F53)</f>
        <v>1976.8643665763482</v>
      </c>
      <c r="F51" s="4737">
        <f>SUM('ПОЛНАЯ СЕБЕСТОИМОСТЬ ВОДА 2018'!D185)</f>
        <v>1938.3299999999997</v>
      </c>
      <c r="G51" s="4744">
        <f>SUM(G52:G55)</f>
        <v>1828.22</v>
      </c>
      <c r="H51" s="4737">
        <f>SUM('Произв. прогр. Вода (СВОД)'!G53)</f>
        <v>1925.7828301026937</v>
      </c>
      <c r="I51" s="4737">
        <f>SUM('ПОЛНАЯ СЕБЕСТОИМОСТЬ ВОДА 2018'!E185)</f>
        <v>2110.91</v>
      </c>
      <c r="J51" s="4744">
        <f>SUM(J52:J55)</f>
        <v>1683.0900000000001</v>
      </c>
      <c r="K51" s="4745">
        <f t="shared" ref="K51:M73" si="222">SUM(B51+E51+H51)</f>
        <v>5997.4622303249726</v>
      </c>
      <c r="L51" s="4745">
        <f t="shared" si="222"/>
        <v>6027.98</v>
      </c>
      <c r="M51" s="4745">
        <f t="shared" si="222"/>
        <v>5903.6900000000005</v>
      </c>
      <c r="N51" s="4746">
        <f t="shared" si="198"/>
        <v>30.517769675027012</v>
      </c>
      <c r="O51" s="4746">
        <f t="shared" si="199"/>
        <v>0.50884471636553197</v>
      </c>
      <c r="P51" s="4737">
        <f>SUM('Произв. прогр. Вода (СВОД)'!I53)</f>
        <v>1748.0723363780469</v>
      </c>
      <c r="Q51" s="4737">
        <f>SUM('ПОЛНАЯ СЕБЕСТОИМОСТЬ ВОДА 2018'!H185)</f>
        <v>1863.7500000000002</v>
      </c>
      <c r="R51" s="4744">
        <f>SUM(R52:R55)</f>
        <v>1656.22</v>
      </c>
      <c r="S51" s="4737">
        <f>SUM('Произв. прогр. Вода (СВОД)'!J53)</f>
        <v>1395.5854349244526</v>
      </c>
      <c r="T51" s="4737">
        <f>SUM('ПОЛНАЯ СЕБЕСТОИМОСТЬ ВОДА 2018'!I185)</f>
        <v>1360.8</v>
      </c>
      <c r="U51" s="4744">
        <f>SUM(U52:U55)</f>
        <v>1743.91</v>
      </c>
      <c r="V51" s="4737">
        <f>SUM('Произв. прогр. Вода (СВОД)'!K53)</f>
        <v>1291.693139985382</v>
      </c>
      <c r="W51" s="4737">
        <f>SUM('ПОЛНАЯ СЕБЕСТОИМОСТЬ ВОДА 2018'!J185)</f>
        <v>1429.1999999999998</v>
      </c>
      <c r="X51" s="4744">
        <f>SUM(X52:X55)</f>
        <v>1076.56</v>
      </c>
      <c r="Y51" s="4745">
        <f t="shared" ref="Y51:AA68" si="223">SUM(P51+S51+V51)</f>
        <v>4435.3509112878819</v>
      </c>
      <c r="Z51" s="4745">
        <f t="shared" si="223"/>
        <v>4653.75</v>
      </c>
      <c r="AA51" s="4745">
        <f t="shared" si="223"/>
        <v>4476.6900000000005</v>
      </c>
      <c r="AB51" s="4746">
        <f t="shared" si="201"/>
        <v>218.3990887121181</v>
      </c>
      <c r="AC51" s="4746">
        <f t="shared" si="202"/>
        <v>4.9240543325737018</v>
      </c>
      <c r="AD51" s="4745">
        <f t="shared" ref="AD51:AF68" si="224">SUM(K51+Y51)</f>
        <v>10432.813141612854</v>
      </c>
      <c r="AE51" s="4745">
        <f t="shared" si="224"/>
        <v>10681.73</v>
      </c>
      <c r="AF51" s="4745">
        <f t="shared" si="224"/>
        <v>10380.380000000001</v>
      </c>
      <c r="AG51" s="4746">
        <f t="shared" si="205"/>
        <v>248.91685838714511</v>
      </c>
      <c r="AH51" s="4746">
        <f t="shared" si="206"/>
        <v>2.3859035430655089</v>
      </c>
      <c r="AI51" s="4737">
        <f>SUM('Произв. прогр. Вода (СВОД)'!N53)</f>
        <v>1319.7435090280221</v>
      </c>
      <c r="AJ51" s="4737">
        <f>SUM('ПОЛНАЯ СЕБЕСТОИМОСТЬ ВОДА 2018'!P185)</f>
        <v>0</v>
      </c>
      <c r="AK51" s="4744">
        <f>SUM(AK52:AK55)</f>
        <v>1194.3899999999999</v>
      </c>
      <c r="AL51" s="4737">
        <f>SUM('Произв. прогр. Вода (СВОД)'!O53)</f>
        <v>1317.6066745333069</v>
      </c>
      <c r="AM51" s="4737">
        <f>SUM('ПОЛНАЯ СЕБЕСТОИМОСТЬ ВОДА 2018'!Q185)</f>
        <v>0</v>
      </c>
      <c r="AN51" s="4744">
        <f>SUM(AN52:AN55)</f>
        <v>1393.37</v>
      </c>
      <c r="AO51" s="4737">
        <f>SUM('Произв. прогр. Вода (СВОД)'!P53)</f>
        <v>1513.919362948624</v>
      </c>
      <c r="AP51" s="4737">
        <f>SUM('ПОЛНАЯ СЕБЕСТОИМОСТЬ ВОДА 2018'!R185)</f>
        <v>0</v>
      </c>
      <c r="AQ51" s="4744">
        <f>SUM(AQ52:AQ55)</f>
        <v>1628.0900000000001</v>
      </c>
      <c r="AR51" s="4745">
        <f t="shared" ref="AR51:AT68" si="225">SUM(AI51+AL51+AO51)</f>
        <v>4151.2695465099532</v>
      </c>
      <c r="AS51" s="4745">
        <f t="shared" si="225"/>
        <v>0</v>
      </c>
      <c r="AT51" s="4745">
        <f t="shared" si="225"/>
        <v>4215.8500000000004</v>
      </c>
      <c r="AU51" s="4746">
        <f t="shared" si="208"/>
        <v>-4151.2695465099532</v>
      </c>
      <c r="AV51" s="4746">
        <f t="shared" si="209"/>
        <v>-100</v>
      </c>
      <c r="AW51" s="4745">
        <f t="shared" ref="AW51:AY68" si="226">SUM(AD51+AR51)</f>
        <v>14584.082688122808</v>
      </c>
      <c r="AX51" s="4745">
        <f t="shared" si="226"/>
        <v>10681.73</v>
      </c>
      <c r="AY51" s="4745">
        <f t="shared" si="226"/>
        <v>14596.230000000001</v>
      </c>
      <c r="AZ51" s="4746">
        <f t="shared" si="212"/>
        <v>-3902.3526881228081</v>
      </c>
      <c r="BA51" s="4746">
        <f t="shared" si="213"/>
        <v>-26.757614939339735</v>
      </c>
      <c r="BB51" s="4737">
        <f>SUM('Произв. прогр. Вода (СВОД)'!S53)</f>
        <v>1801.8976486057074</v>
      </c>
      <c r="BC51" s="4737">
        <f>SUM('ПОЛНАЯ СЕБЕСТОИМОСТЬ ВОДА 2018'!X185)</f>
        <v>0</v>
      </c>
      <c r="BD51" s="4747">
        <f>SUM(BD52:BD55)</f>
        <v>1494.9900000000002</v>
      </c>
      <c r="BE51" s="4737">
        <f>SUM('Произв. прогр. Вода (СВОД)'!T53)</f>
        <v>1930.6404594955204</v>
      </c>
      <c r="BF51" s="4737">
        <f>SUM('ПОЛНАЯ СЕБЕСТОИМОСТЬ ВОДА 2018'!Y185)</f>
        <v>0</v>
      </c>
      <c r="BG51" s="4747">
        <f>SUM(BG52:BG55)</f>
        <v>1864.44</v>
      </c>
      <c r="BH51" s="4737">
        <f>SUM('Произв. прогр. Вода (СВОД)'!U53)</f>
        <v>2091.2523086476463</v>
      </c>
      <c r="BI51" s="4737">
        <f>SUM('ПОЛНАЯ СЕБЕСТОИМОСТЬ ВОДА 2018'!Z185)</f>
        <v>0</v>
      </c>
      <c r="BJ51" s="4747">
        <f>SUM(BJ52:BJ55)</f>
        <v>1880.79</v>
      </c>
      <c r="BK51" s="4726">
        <f t="shared" ref="BK51:BM68" si="227">SUM(BB51+BE51+BH51)</f>
        <v>5823.7904167488741</v>
      </c>
      <c r="BL51" s="4726">
        <f t="shared" si="227"/>
        <v>0</v>
      </c>
      <c r="BM51" s="4726">
        <f t="shared" si="227"/>
        <v>5240.22</v>
      </c>
      <c r="BN51" s="4727">
        <f t="shared" si="215"/>
        <v>-5823.7904167488741</v>
      </c>
      <c r="BO51" s="4727">
        <f t="shared" si="216"/>
        <v>-100</v>
      </c>
      <c r="BP51" s="4726">
        <f t="shared" ref="BP51:BR68" si="228">SUM(AW51+BK51)</f>
        <v>20407.87310487168</v>
      </c>
      <c r="BQ51" s="4726">
        <f t="shared" si="228"/>
        <v>10681.73</v>
      </c>
      <c r="BR51" s="4726">
        <f t="shared" si="228"/>
        <v>19836.45</v>
      </c>
      <c r="BS51" s="4727">
        <f t="shared" si="219"/>
        <v>-9726.1431048716804</v>
      </c>
      <c r="BT51" s="4727">
        <f t="shared" si="220"/>
        <v>-47.658778819777638</v>
      </c>
      <c r="BU51" s="430"/>
      <c r="BV51" s="430"/>
      <c r="BW51" s="430"/>
      <c r="BX51" s="430"/>
    </row>
    <row r="52" spans="1:76" ht="18.75">
      <c r="A52" s="4739" t="s">
        <v>1746</v>
      </c>
      <c r="B52" s="4752">
        <f>SUM('Произв. прогр. Вода (СВОД)'!E54)</f>
        <v>497.60537231044975</v>
      </c>
      <c r="C52" s="4752">
        <f>SUM('ПОЛНАЯ СЕБЕСТОИМОСТЬ ВОДА 2018'!C186)</f>
        <v>601.05999999999995</v>
      </c>
      <c r="D52" s="4749">
        <v>718.24</v>
      </c>
      <c r="E52" s="4752">
        <f>SUM('Произв. прогр. Вода (СВОД)'!F54)</f>
        <v>497.60537231044975</v>
      </c>
      <c r="F52" s="4752">
        <f>SUM('ПОЛНАЯ СЕБЕСТОИМОСТЬ ВОДА 2018'!D186)</f>
        <v>577.16999999999996</v>
      </c>
      <c r="G52" s="4749">
        <v>467.44</v>
      </c>
      <c r="H52" s="4752">
        <f>SUM('Произв. прогр. Вода (СВОД)'!G54)</f>
        <v>497.60537231044975</v>
      </c>
      <c r="I52" s="4752">
        <f>SUM('ПОЛНАЯ СЕБЕСТОИМОСТЬ ВОДА 2018'!E186)</f>
        <v>603.05999999999995</v>
      </c>
      <c r="J52" s="4749">
        <v>375.23</v>
      </c>
      <c r="K52" s="4750">
        <f t="shared" si="222"/>
        <v>1492.8161169313494</v>
      </c>
      <c r="L52" s="4750">
        <f t="shared" si="222"/>
        <v>1781.29</v>
      </c>
      <c r="M52" s="4750">
        <f t="shared" si="222"/>
        <v>1560.91</v>
      </c>
      <c r="N52" s="4742">
        <f t="shared" si="198"/>
        <v>288.47388306865059</v>
      </c>
      <c r="O52" s="4742">
        <f t="shared" si="199"/>
        <v>19.32414044816457</v>
      </c>
      <c r="P52" s="4752">
        <f>SUM('Произв. прогр. Вода (СВОД)'!I54)</f>
        <v>497.60537231044975</v>
      </c>
      <c r="Q52" s="4752">
        <f>SUM('ПОЛНАЯ СЕБЕСТОИМОСТЬ ВОДА 2018'!H186)</f>
        <v>628.80000000000007</v>
      </c>
      <c r="R52" s="4749">
        <v>383.89</v>
      </c>
      <c r="S52" s="4752">
        <f>SUM('Произв. прогр. Вода (СВОД)'!J54)</f>
        <v>497.60537231044975</v>
      </c>
      <c r="T52" s="4752">
        <f>SUM('ПОЛНАЯ СЕБЕСТОИМОСТЬ ВОДА 2018'!I186)</f>
        <v>583.38</v>
      </c>
      <c r="U52" s="4749">
        <v>541.89</v>
      </c>
      <c r="V52" s="4752">
        <f>SUM('Произв. прогр. Вода (СВОД)'!K54)</f>
        <v>497.60537231044975</v>
      </c>
      <c r="W52" s="4752">
        <f>SUM('ПОЛНАЯ СЕБЕСТОИМОСТЬ ВОДА 2018'!J186)</f>
        <v>677.25</v>
      </c>
      <c r="X52" s="4749">
        <v>455.82</v>
      </c>
      <c r="Y52" s="4750">
        <f t="shared" si="223"/>
        <v>1492.8161169313494</v>
      </c>
      <c r="Z52" s="4750">
        <f t="shared" si="223"/>
        <v>1889.43</v>
      </c>
      <c r="AA52" s="4750">
        <f t="shared" si="223"/>
        <v>1381.6</v>
      </c>
      <c r="AB52" s="4742">
        <f t="shared" si="201"/>
        <v>396.61388306865069</v>
      </c>
      <c r="AC52" s="4742">
        <f t="shared" si="202"/>
        <v>26.568167275949229</v>
      </c>
      <c r="AD52" s="4750">
        <f t="shared" si="224"/>
        <v>2985.6322338626987</v>
      </c>
      <c r="AE52" s="4750">
        <f t="shared" si="224"/>
        <v>3670.7200000000003</v>
      </c>
      <c r="AF52" s="4750">
        <f t="shared" si="224"/>
        <v>2942.51</v>
      </c>
      <c r="AG52" s="4742">
        <f t="shared" si="205"/>
        <v>685.08776613730151</v>
      </c>
      <c r="AH52" s="4742">
        <f t="shared" si="206"/>
        <v>22.946153862056907</v>
      </c>
      <c r="AI52" s="4752">
        <f>SUM('Произв. прогр. Вода (СВОД)'!N54)</f>
        <v>517.50958720286792</v>
      </c>
      <c r="AJ52" s="4752">
        <f>SUM('ПОЛНАЯ СЕБЕСТОИМОСТЬ ВОДА 2018'!P186)</f>
        <v>0</v>
      </c>
      <c r="AK52" s="4749">
        <v>460.62</v>
      </c>
      <c r="AL52" s="4752">
        <f>SUM('Произв. прогр. Вода (СВОД)'!O54)</f>
        <v>517.50958720286792</v>
      </c>
      <c r="AM52" s="4752">
        <f>SUM('ПОЛНАЯ СЕБЕСТОИМОСТЬ ВОДА 2018'!Q186)</f>
        <v>0</v>
      </c>
      <c r="AN52" s="4749">
        <v>630.38</v>
      </c>
      <c r="AO52" s="4752">
        <f>SUM('Произв. прогр. Вода (СВОД)'!P54)</f>
        <v>517.50958720286792</v>
      </c>
      <c r="AP52" s="4752">
        <f>SUM('ПОЛНАЯ СЕБЕСТОИМОСТЬ ВОДА 2018'!R186)</f>
        <v>0</v>
      </c>
      <c r="AQ52" s="4749">
        <v>642.69000000000005</v>
      </c>
      <c r="AR52" s="4750">
        <f t="shared" si="225"/>
        <v>1552.5287616086039</v>
      </c>
      <c r="AS52" s="4750">
        <f t="shared" si="225"/>
        <v>0</v>
      </c>
      <c r="AT52" s="4750">
        <f t="shared" si="225"/>
        <v>1733.69</v>
      </c>
      <c r="AU52" s="4742">
        <f t="shared" si="208"/>
        <v>-1552.5287616086039</v>
      </c>
      <c r="AV52" s="4742">
        <f t="shared" si="209"/>
        <v>-100</v>
      </c>
      <c r="AW52" s="4750">
        <f t="shared" si="226"/>
        <v>4538.1609954713022</v>
      </c>
      <c r="AX52" s="4750">
        <f t="shared" si="226"/>
        <v>3670.7200000000003</v>
      </c>
      <c r="AY52" s="4750">
        <f t="shared" si="226"/>
        <v>4676.2000000000007</v>
      </c>
      <c r="AZ52" s="4742">
        <f t="shared" si="212"/>
        <v>-867.4409954713019</v>
      </c>
      <c r="BA52" s="4742">
        <f t="shared" si="213"/>
        <v>-19.11437245917309</v>
      </c>
      <c r="BB52" s="4752">
        <f>SUM('Произв. прогр. Вода (СВОД)'!S54)</f>
        <v>517.50958720286792</v>
      </c>
      <c r="BC52" s="4752">
        <f>SUM('ПОЛНАЯ СЕБЕСТОИМОСТЬ ВОДА 2018'!X186)</f>
        <v>0</v>
      </c>
      <c r="BD52" s="4751">
        <v>481</v>
      </c>
      <c r="BE52" s="4752">
        <f>SUM('Произв. прогр. Вода (СВОД)'!T54)</f>
        <v>517.50958720286792</v>
      </c>
      <c r="BF52" s="4752">
        <f>SUM('ПОЛНАЯ СЕБЕСТОИМОСТЬ ВОДА 2018'!Y186)</f>
        <v>0</v>
      </c>
      <c r="BG52" s="4751">
        <v>549.74</v>
      </c>
      <c r="BH52" s="4752">
        <f>SUM('Произв. прогр. Вода (СВОД)'!U54)</f>
        <v>517.50958720286792</v>
      </c>
      <c r="BI52" s="4752">
        <f>SUM('ПОЛНАЯ СЕБЕСТОИМОСТЬ ВОДА 2018'!Z186)</f>
        <v>0</v>
      </c>
      <c r="BJ52" s="4751">
        <v>549.69000000000005</v>
      </c>
      <c r="BK52" s="4733">
        <f t="shared" si="227"/>
        <v>1552.5287616086039</v>
      </c>
      <c r="BL52" s="4733">
        <f t="shared" si="227"/>
        <v>0</v>
      </c>
      <c r="BM52" s="4733">
        <f t="shared" si="227"/>
        <v>1580.43</v>
      </c>
      <c r="BN52" s="4734">
        <f t="shared" si="215"/>
        <v>-1552.5287616086039</v>
      </c>
      <c r="BO52" s="4734">
        <f t="shared" si="216"/>
        <v>-100</v>
      </c>
      <c r="BP52" s="4733">
        <f t="shared" si="228"/>
        <v>6090.6897570799065</v>
      </c>
      <c r="BQ52" s="4733">
        <f t="shared" si="228"/>
        <v>3670.7200000000003</v>
      </c>
      <c r="BR52" s="4733">
        <f t="shared" si="228"/>
        <v>6256.630000000001</v>
      </c>
      <c r="BS52" s="4734">
        <f t="shared" si="219"/>
        <v>-2419.9697570799062</v>
      </c>
      <c r="BT52" s="4734">
        <f t="shared" si="220"/>
        <v>-39.732277518599567</v>
      </c>
      <c r="BU52" s="430"/>
      <c r="BV52" s="430"/>
      <c r="BW52" s="430"/>
      <c r="BX52" s="430"/>
    </row>
    <row r="53" spans="1:76" ht="18.75">
      <c r="A53" s="4700" t="s">
        <v>1747</v>
      </c>
      <c r="B53" s="4752">
        <f>SUM('Произв. прогр. Вода (СВОД)'!E55)</f>
        <v>307.63896611976259</v>
      </c>
      <c r="C53" s="4752">
        <f>SUM('ПОЛНАЯ СЕБЕСТОИМОСТЬ ВОДА 2018'!C187)</f>
        <v>180.43</v>
      </c>
      <c r="D53" s="4749">
        <v>200.93</v>
      </c>
      <c r="E53" s="4752">
        <f>SUM('Произв. прогр. Вода (СВОД)'!F55)</f>
        <v>307.63896611976259</v>
      </c>
      <c r="F53" s="4752">
        <f>SUM('ПОЛНАЯ СЕБЕСТОИМОСТЬ ВОДА 2018'!D187)</f>
        <v>171.59999999999997</v>
      </c>
      <c r="G53" s="4749">
        <v>141.16</v>
      </c>
      <c r="H53" s="4752">
        <f>SUM('Произв. прогр. Вода (СВОД)'!G55)</f>
        <v>307.63896611976259</v>
      </c>
      <c r="I53" s="4752">
        <f>SUM('ПОЛНАЯ СЕБЕСТОИМОСТЬ ВОДА 2018'!E187)</f>
        <v>180.66</v>
      </c>
      <c r="J53" s="4749">
        <v>100.82</v>
      </c>
      <c r="K53" s="4750">
        <f t="shared" si="222"/>
        <v>922.91689835928776</v>
      </c>
      <c r="L53" s="4750">
        <f t="shared" si="222"/>
        <v>532.68999999999994</v>
      </c>
      <c r="M53" s="4750">
        <f t="shared" si="222"/>
        <v>442.91</v>
      </c>
      <c r="N53" s="4742">
        <f t="shared" si="198"/>
        <v>-390.22689835928782</v>
      </c>
      <c r="O53" s="4742">
        <f t="shared" si="199"/>
        <v>-42.281910652303836</v>
      </c>
      <c r="P53" s="4752">
        <f>SUM('Произв. прогр. Вода (СВОД)'!I55)</f>
        <v>307.63896611976259</v>
      </c>
      <c r="Q53" s="4752">
        <f>SUM('ПОЛНАЯ СЕБЕСТОИМОСТЬ ВОДА 2018'!H187)</f>
        <v>188.43</v>
      </c>
      <c r="R53" s="4749">
        <v>111.99</v>
      </c>
      <c r="S53" s="4752">
        <f>SUM('Произв. прогр. Вода (СВОД)'!J55)</f>
        <v>307.63896611976259</v>
      </c>
      <c r="T53" s="4752">
        <f>SUM('ПОЛНАЯ СЕБЕСТОИМОСТЬ ВОДА 2018'!I187)</f>
        <v>176.19</v>
      </c>
      <c r="U53" s="4749">
        <v>151.26</v>
      </c>
      <c r="V53" s="4752">
        <f>SUM('Произв. прогр. Вода (СВОД)'!K55)</f>
        <v>307.63896611976259</v>
      </c>
      <c r="W53" s="4752">
        <f>SUM('ПОЛНАЯ СЕБЕСТОИМОСТЬ ВОДА 2018'!J187)</f>
        <v>204.53</v>
      </c>
      <c r="X53" s="4749">
        <v>137.66</v>
      </c>
      <c r="Y53" s="4750">
        <f t="shared" si="223"/>
        <v>922.91689835928776</v>
      </c>
      <c r="Z53" s="4750">
        <f t="shared" si="223"/>
        <v>569.15</v>
      </c>
      <c r="AA53" s="4750">
        <f t="shared" si="223"/>
        <v>400.90999999999997</v>
      </c>
      <c r="AB53" s="4742">
        <f t="shared" si="201"/>
        <v>-353.76689835928778</v>
      </c>
      <c r="AC53" s="4742">
        <f t="shared" si="202"/>
        <v>-38.331392456698495</v>
      </c>
      <c r="AD53" s="4750">
        <f t="shared" si="224"/>
        <v>1845.8337967185755</v>
      </c>
      <c r="AE53" s="4750">
        <f t="shared" si="224"/>
        <v>1101.8399999999999</v>
      </c>
      <c r="AF53" s="4750">
        <f t="shared" si="224"/>
        <v>843.81999999999994</v>
      </c>
      <c r="AG53" s="4742">
        <f t="shared" si="205"/>
        <v>-743.9937967185756</v>
      </c>
      <c r="AH53" s="4742">
        <f t="shared" si="206"/>
        <v>-40.306651554501165</v>
      </c>
      <c r="AI53" s="4752">
        <f>SUM('Произв. прогр. Вода (СВОД)'!N55)</f>
        <v>319.94452476455314</v>
      </c>
      <c r="AJ53" s="4752">
        <f>SUM('ПОЛНАЯ СЕБЕСТОИМОСТЬ ВОДА 2018'!P187)</f>
        <v>0</v>
      </c>
      <c r="AK53" s="4749">
        <v>139.1</v>
      </c>
      <c r="AL53" s="4752">
        <f>SUM('Произв. прогр. Вода (СВОД)'!O55)</f>
        <v>319.94452476455314</v>
      </c>
      <c r="AM53" s="4752">
        <f>SUM('ПОЛНАЯ СЕБЕСТОИМОСТЬ ВОДА 2018'!Q187)</f>
        <v>0</v>
      </c>
      <c r="AN53" s="4749">
        <v>201.43</v>
      </c>
      <c r="AO53" s="4752">
        <f>SUM('Произв. прогр. Вода (СВОД)'!P55)</f>
        <v>319.94452476455314</v>
      </c>
      <c r="AP53" s="4752">
        <f>SUM('ПОЛНАЯ СЕБЕСТОИМОСТЬ ВОДА 2018'!R187)</f>
        <v>0</v>
      </c>
      <c r="AQ53" s="4749">
        <v>194.09</v>
      </c>
      <c r="AR53" s="4750">
        <f t="shared" si="225"/>
        <v>959.83357429365947</v>
      </c>
      <c r="AS53" s="4750">
        <f t="shared" si="225"/>
        <v>0</v>
      </c>
      <c r="AT53" s="4750">
        <f t="shared" si="225"/>
        <v>534.62</v>
      </c>
      <c r="AU53" s="4742">
        <f t="shared" si="208"/>
        <v>-959.83357429365947</v>
      </c>
      <c r="AV53" s="4742">
        <f t="shared" si="209"/>
        <v>-100</v>
      </c>
      <c r="AW53" s="4750">
        <f t="shared" si="226"/>
        <v>2805.667371012235</v>
      </c>
      <c r="AX53" s="4750">
        <f t="shared" si="226"/>
        <v>1101.8399999999999</v>
      </c>
      <c r="AY53" s="4750">
        <f t="shared" si="226"/>
        <v>1378.44</v>
      </c>
      <c r="AZ53" s="4742">
        <f t="shared" si="212"/>
        <v>-1703.8273710122351</v>
      </c>
      <c r="BA53" s="4742">
        <f t="shared" si="213"/>
        <v>-60.728060233224454</v>
      </c>
      <c r="BB53" s="4752">
        <f>SUM('Произв. прогр. Вода (СВОД)'!S55)</f>
        <v>319.94452476455314</v>
      </c>
      <c r="BC53" s="4752">
        <f>SUM('ПОЛНАЯ СЕБЕСТОИМОСТЬ ВОДА 2018'!X187)</f>
        <v>0</v>
      </c>
      <c r="BD53" s="4751">
        <v>144.44</v>
      </c>
      <c r="BE53" s="4752">
        <f>SUM('Произв. прогр. Вода (СВОД)'!T55)</f>
        <v>319.94452476455314</v>
      </c>
      <c r="BF53" s="4752">
        <f>SUM('ПОЛНАЯ СЕБЕСТОИМОСТЬ ВОДА 2018'!Y187)</f>
        <v>0</v>
      </c>
      <c r="BG53" s="4751">
        <v>166.02</v>
      </c>
      <c r="BH53" s="4752">
        <f>SUM('Произв. прогр. Вода (СВОД)'!U55)</f>
        <v>319.94452476455314</v>
      </c>
      <c r="BI53" s="4752">
        <f>SUM('ПОЛНАЯ СЕБЕСТОИМОСТЬ ВОДА 2018'!Z187)</f>
        <v>0</v>
      </c>
      <c r="BJ53" s="4751">
        <v>164.91</v>
      </c>
      <c r="BK53" s="4733">
        <f t="shared" si="227"/>
        <v>959.83357429365947</v>
      </c>
      <c r="BL53" s="4733">
        <f t="shared" si="227"/>
        <v>0</v>
      </c>
      <c r="BM53" s="4733">
        <f t="shared" si="227"/>
        <v>475.37</v>
      </c>
      <c r="BN53" s="4734">
        <f t="shared" si="215"/>
        <v>-959.83357429365947</v>
      </c>
      <c r="BO53" s="4734">
        <f t="shared" si="216"/>
        <v>-100</v>
      </c>
      <c r="BP53" s="4733">
        <f t="shared" si="228"/>
        <v>3765.5009453058947</v>
      </c>
      <c r="BQ53" s="4733">
        <f t="shared" si="228"/>
        <v>1101.8399999999999</v>
      </c>
      <c r="BR53" s="4733">
        <f t="shared" si="228"/>
        <v>1853.81</v>
      </c>
      <c r="BS53" s="4734">
        <f t="shared" si="219"/>
        <v>-2663.6609453058945</v>
      </c>
      <c r="BT53" s="4734">
        <f t="shared" si="220"/>
        <v>-70.738554683578997</v>
      </c>
      <c r="BU53" s="430"/>
      <c r="BV53" s="430"/>
      <c r="BW53" s="430"/>
      <c r="BX53" s="430"/>
    </row>
    <row r="54" spans="1:76" ht="18.75">
      <c r="A54" s="4700" t="s">
        <v>31</v>
      </c>
      <c r="B54" s="4748">
        <f>SUM('Произв. прогр. Вода'!E116)</f>
        <v>190.27019285650456</v>
      </c>
      <c r="C54" s="4752">
        <f>SUM('ПОЛНАЯ СЕБЕСТОИМОСТЬ ВОДА 2018'!C188)</f>
        <v>125.04</v>
      </c>
      <c r="D54" s="4749">
        <v>135.53</v>
      </c>
      <c r="E54" s="4748">
        <f>SUM('Произв. прогр. Вода'!F116)</f>
        <v>190.27019285650456</v>
      </c>
      <c r="F54" s="4752">
        <f>SUM('ПОЛНАЯ СЕБЕСТОИМОСТЬ ВОДА 2018'!D188)</f>
        <v>141.94999999999999</v>
      </c>
      <c r="G54" s="4749">
        <v>175.2</v>
      </c>
      <c r="H54" s="4748">
        <f>SUM('Произв. прогр. Вода'!G116)</f>
        <v>190.27019285650456</v>
      </c>
      <c r="I54" s="4752">
        <f>SUM('ПОЛНАЯ СЕБЕСТОИМОСТЬ ВОДА 2018'!E188)</f>
        <v>177.25</v>
      </c>
      <c r="J54" s="4749">
        <v>145.05000000000001</v>
      </c>
      <c r="K54" s="4750">
        <f t="shared" si="222"/>
        <v>570.81057856951372</v>
      </c>
      <c r="L54" s="4750">
        <f t="shared" si="222"/>
        <v>444.24</v>
      </c>
      <c r="M54" s="4750">
        <f t="shared" si="222"/>
        <v>455.78000000000003</v>
      </c>
      <c r="N54" s="4742">
        <f t="shared" si="198"/>
        <v>-126.57057856951371</v>
      </c>
      <c r="O54" s="4742">
        <f t="shared" si="199"/>
        <v>-22.173831971843853</v>
      </c>
      <c r="P54" s="4748">
        <f>SUM('Произв. прогр. Вода'!I116)</f>
        <v>190.27019285650456</v>
      </c>
      <c r="Q54" s="4752">
        <f>SUM('ПОЛНАЯ СЕБЕСТОИМОСТЬ ВОДА 2018'!H188)</f>
        <v>164.18</v>
      </c>
      <c r="R54" s="4749">
        <v>163.84</v>
      </c>
      <c r="S54" s="4748">
        <f>SUM('Произв. прогр. Вода'!J116)</f>
        <v>190.27019285650456</v>
      </c>
      <c r="T54" s="4752">
        <f>SUM('ПОЛНАЯ СЕБЕСТОИМОСТЬ ВОДА 2018'!I188)</f>
        <v>143.81</v>
      </c>
      <c r="U54" s="4749">
        <v>136.81</v>
      </c>
      <c r="V54" s="4748">
        <f>SUM('Произв. прогр. Вода'!K116)</f>
        <v>190.27019285650456</v>
      </c>
      <c r="W54" s="4752">
        <f>SUM('ПОЛНАЯ СЕБЕСТОИМОСТЬ ВОДА 2018'!J188)</f>
        <v>141.82</v>
      </c>
      <c r="X54" s="4749">
        <v>131.74</v>
      </c>
      <c r="Y54" s="4750">
        <f t="shared" si="223"/>
        <v>570.81057856951372</v>
      </c>
      <c r="Z54" s="4750">
        <f t="shared" si="223"/>
        <v>449.81</v>
      </c>
      <c r="AA54" s="4750">
        <f t="shared" si="223"/>
        <v>432.39</v>
      </c>
      <c r="AB54" s="4742">
        <f t="shared" si="201"/>
        <v>-121.00057856951372</v>
      </c>
      <c r="AC54" s="4742">
        <f t="shared" si="202"/>
        <v>-21.198026650583206</v>
      </c>
      <c r="AD54" s="4750">
        <f t="shared" si="224"/>
        <v>1141.6211571390274</v>
      </c>
      <c r="AE54" s="4750">
        <f t="shared" si="224"/>
        <v>894.05</v>
      </c>
      <c r="AF54" s="4750">
        <f t="shared" si="224"/>
        <v>888.17000000000007</v>
      </c>
      <c r="AG54" s="4742">
        <f t="shared" si="205"/>
        <v>-247.57115713902749</v>
      </c>
      <c r="AH54" s="4742">
        <f t="shared" si="206"/>
        <v>-21.685929311213535</v>
      </c>
      <c r="AI54" s="4752">
        <f>SUM('Произв. прогр. Вода'!N116)</f>
        <v>190.27019285650456</v>
      </c>
      <c r="AJ54" s="4752">
        <f>SUM('ПОЛНАЯ СЕБЕСТОИМОСТЬ ВОДА 2018'!P188)</f>
        <v>0</v>
      </c>
      <c r="AK54" s="4749">
        <v>124.55</v>
      </c>
      <c r="AL54" s="4752">
        <f>SUM('Произв. прогр. Вода'!O116)</f>
        <v>190.27019285650456</v>
      </c>
      <c r="AM54" s="4752">
        <f>SUM('ПОЛНАЯ СЕБЕСТОИМОСТЬ ВОДА 2018'!Q188)</f>
        <v>0</v>
      </c>
      <c r="AN54" s="4749">
        <v>151.1</v>
      </c>
      <c r="AO54" s="4752">
        <f>SUM('Произв. прогр. Вода'!P116)</f>
        <v>190.27019285650456</v>
      </c>
      <c r="AP54" s="4752">
        <f>SUM('ПОЛНАЯ СЕБЕСТОИМОСТЬ ВОДА 2018'!R188)</f>
        <v>0</v>
      </c>
      <c r="AQ54" s="4749">
        <v>131.97</v>
      </c>
      <c r="AR54" s="4750">
        <f t="shared" si="225"/>
        <v>570.81057856951372</v>
      </c>
      <c r="AS54" s="4750">
        <f t="shared" si="225"/>
        <v>0</v>
      </c>
      <c r="AT54" s="4750">
        <f t="shared" si="225"/>
        <v>407.62</v>
      </c>
      <c r="AU54" s="4742">
        <f t="shared" si="208"/>
        <v>-570.81057856951372</v>
      </c>
      <c r="AV54" s="4742">
        <f t="shared" si="209"/>
        <v>-100</v>
      </c>
      <c r="AW54" s="4750">
        <f t="shared" si="226"/>
        <v>1712.4317357085411</v>
      </c>
      <c r="AX54" s="4750">
        <f t="shared" si="226"/>
        <v>894.05</v>
      </c>
      <c r="AY54" s="4750">
        <f t="shared" si="226"/>
        <v>1295.79</v>
      </c>
      <c r="AZ54" s="4742">
        <f t="shared" si="212"/>
        <v>-818.3817357085411</v>
      </c>
      <c r="BA54" s="4742">
        <f t="shared" si="213"/>
        <v>-47.790619540809018</v>
      </c>
      <c r="BB54" s="4752">
        <f>SUM('Произв. прогр. Вода'!S116)</f>
        <v>190.27019285650456</v>
      </c>
      <c r="BC54" s="4752">
        <f>SUM('ПОЛНАЯ СЕБЕСТОИМОСТЬ ВОДА 2018'!X188)</f>
        <v>0</v>
      </c>
      <c r="BD54" s="4751">
        <v>111.58</v>
      </c>
      <c r="BE54" s="4752">
        <f>SUM('Произв. прогр. Вода'!T116)</f>
        <v>190.27019285650456</v>
      </c>
      <c r="BF54" s="4752">
        <f>SUM('ПОЛНАЯ СЕБЕСТОИМОСТЬ ВОДА 2018'!Y188)</f>
        <v>0</v>
      </c>
      <c r="BG54" s="4751">
        <v>131.44999999999999</v>
      </c>
      <c r="BH54" s="4752">
        <f>SUM('Произв. прогр. Вода'!U116)</f>
        <v>190.27019285650456</v>
      </c>
      <c r="BI54" s="4752">
        <f>SUM('ПОЛНАЯ СЕБЕСТОИМОСТЬ ВОДА 2018'!Z188)</f>
        <v>0</v>
      </c>
      <c r="BJ54" s="4751">
        <v>123.9</v>
      </c>
      <c r="BK54" s="4733">
        <f t="shared" si="227"/>
        <v>570.81057856951372</v>
      </c>
      <c r="BL54" s="4733">
        <f t="shared" si="227"/>
        <v>0</v>
      </c>
      <c r="BM54" s="4733">
        <f t="shared" si="227"/>
        <v>366.92999999999995</v>
      </c>
      <c r="BN54" s="4734">
        <f t="shared" si="215"/>
        <v>-570.81057856951372</v>
      </c>
      <c r="BO54" s="4734">
        <f t="shared" si="216"/>
        <v>-100</v>
      </c>
      <c r="BP54" s="4733">
        <f t="shared" si="228"/>
        <v>2283.2423142780549</v>
      </c>
      <c r="BQ54" s="4733">
        <f t="shared" si="228"/>
        <v>894.05</v>
      </c>
      <c r="BR54" s="4733">
        <f t="shared" si="228"/>
        <v>1662.7199999999998</v>
      </c>
      <c r="BS54" s="4734">
        <f t="shared" si="219"/>
        <v>-1389.1923142780549</v>
      </c>
      <c r="BT54" s="4734">
        <f t="shared" si="220"/>
        <v>-60.842964655606771</v>
      </c>
      <c r="BU54" s="430"/>
      <c r="BV54" s="430"/>
      <c r="BW54" s="430"/>
      <c r="BX54" s="430"/>
    </row>
    <row r="55" spans="1:76" ht="18.75">
      <c r="A55" s="4700" t="s">
        <v>300</v>
      </c>
      <c r="B55" s="4748">
        <f>SUM(B51-B52-B53-B54)</f>
        <v>1099.3005023592134</v>
      </c>
      <c r="C55" s="4752">
        <f>SUM('ПОЛНАЯ СЕБЕСТОИМОСТЬ ВОДА 2018'!C189)</f>
        <v>1072.2099999999998</v>
      </c>
      <c r="D55" s="4749">
        <v>1337.68</v>
      </c>
      <c r="E55" s="4748">
        <f t="shared" ref="E55:H55" si="229">SUM(E51-E52-E53-E54)</f>
        <v>981.34983528963107</v>
      </c>
      <c r="F55" s="4752">
        <f>SUM('ПОЛНАЯ СЕБЕСТОИМОСТЬ ВОДА 2018'!D189)</f>
        <v>1047.6099999999997</v>
      </c>
      <c r="G55" s="4749">
        <v>1044.42</v>
      </c>
      <c r="H55" s="4748">
        <f t="shared" si="229"/>
        <v>930.26829881597655</v>
      </c>
      <c r="I55" s="4752">
        <f>SUM('ПОЛНАЯ СЕБЕСТОИМОСТЬ ВОДА 2018'!E189)</f>
        <v>1149.94</v>
      </c>
      <c r="J55" s="4749">
        <v>1061.99</v>
      </c>
      <c r="K55" s="4750">
        <f t="shared" si="222"/>
        <v>3010.9186364648212</v>
      </c>
      <c r="L55" s="4750">
        <f t="shared" si="222"/>
        <v>3269.7599999999998</v>
      </c>
      <c r="M55" s="4750">
        <f t="shared" si="222"/>
        <v>3444.09</v>
      </c>
      <c r="N55" s="4742">
        <f t="shared" si="198"/>
        <v>258.84136353517852</v>
      </c>
      <c r="O55" s="4742">
        <f t="shared" si="199"/>
        <v>8.5967571624283163</v>
      </c>
      <c r="P55" s="4748">
        <f t="shared" ref="P55" si="230">SUM(P51-P52-P53-P54)</f>
        <v>752.5578050913299</v>
      </c>
      <c r="Q55" s="4752">
        <f>SUM('ПОЛНАЯ СЕБЕСТОИМОСТЬ ВОДА 2018'!H189)</f>
        <v>882.34000000000015</v>
      </c>
      <c r="R55" s="4749">
        <v>996.5</v>
      </c>
      <c r="S55" s="4748">
        <f t="shared" ref="S55" si="231">SUM(S51-S52-S53-S54)</f>
        <v>400.07090363773568</v>
      </c>
      <c r="T55" s="4752">
        <f>SUM('ПОЛНАЯ СЕБЕСТОИМОСТЬ ВОДА 2018'!I189)</f>
        <v>457.42000000000007</v>
      </c>
      <c r="U55" s="4749">
        <v>913.95</v>
      </c>
      <c r="V55" s="4748">
        <f t="shared" ref="V55" si="232">SUM(V51-V52-V53-V54)</f>
        <v>296.17860869866513</v>
      </c>
      <c r="W55" s="4752">
        <f>SUM('ПОЛНАЯ СЕБЕСТОИМОСТЬ ВОДА 2018'!J189)</f>
        <v>405.59999999999991</v>
      </c>
      <c r="X55" s="4749">
        <v>351.34</v>
      </c>
      <c r="Y55" s="4750">
        <f t="shared" si="223"/>
        <v>1448.8073174277308</v>
      </c>
      <c r="Z55" s="4750">
        <f t="shared" si="223"/>
        <v>1745.3600000000001</v>
      </c>
      <c r="AA55" s="4750">
        <f t="shared" si="223"/>
        <v>2261.79</v>
      </c>
      <c r="AB55" s="4742">
        <f t="shared" si="201"/>
        <v>296.5526825722693</v>
      </c>
      <c r="AC55" s="4742">
        <f t="shared" si="202"/>
        <v>20.468745498799699</v>
      </c>
      <c r="AD55" s="4750">
        <f t="shared" si="224"/>
        <v>4459.7259538925518</v>
      </c>
      <c r="AE55" s="4750">
        <f t="shared" si="224"/>
        <v>5015.12</v>
      </c>
      <c r="AF55" s="4750">
        <f t="shared" si="224"/>
        <v>5705.88</v>
      </c>
      <c r="AG55" s="4742">
        <f t="shared" si="205"/>
        <v>555.39404610744805</v>
      </c>
      <c r="AH55" s="4742">
        <f t="shared" si="206"/>
        <v>12.453546514953173</v>
      </c>
      <c r="AI55" s="4748">
        <f t="shared" ref="AI55" si="233">SUM(AI51-AI52-AI53-AI54)</f>
        <v>292.01920420409647</v>
      </c>
      <c r="AJ55" s="4752">
        <f>SUM('ПОЛНАЯ СЕБЕСТОИМОСТЬ ВОДА 2018'!P189)</f>
        <v>0</v>
      </c>
      <c r="AK55" s="4749">
        <v>470.12</v>
      </c>
      <c r="AL55" s="4748">
        <f t="shared" ref="AL55" si="234">SUM(AL51-AL52-AL53-AL54)</f>
        <v>289.88236970938124</v>
      </c>
      <c r="AM55" s="4752">
        <f>SUM('ПОЛНАЯ СЕБЕСТОИМОСТЬ ВОДА 2018'!Q189)</f>
        <v>0</v>
      </c>
      <c r="AN55" s="4749">
        <v>410.46</v>
      </c>
      <c r="AO55" s="4748">
        <f t="shared" ref="AO55" si="235">SUM(AO51-AO52-AO53-AO54)</f>
        <v>486.19505812469833</v>
      </c>
      <c r="AP55" s="4752">
        <f>SUM('ПОЛНАЯ СЕБЕСТОИМОСТЬ ВОДА 2018'!R189)</f>
        <v>0</v>
      </c>
      <c r="AQ55" s="4749">
        <v>659.34</v>
      </c>
      <c r="AR55" s="4750">
        <f t="shared" si="225"/>
        <v>1068.096632038176</v>
      </c>
      <c r="AS55" s="4750">
        <f t="shared" si="225"/>
        <v>0</v>
      </c>
      <c r="AT55" s="4750">
        <f t="shared" si="225"/>
        <v>1539.92</v>
      </c>
      <c r="AU55" s="4742">
        <f t="shared" si="208"/>
        <v>-1068.096632038176</v>
      </c>
      <c r="AV55" s="4742">
        <f t="shared" si="209"/>
        <v>-100</v>
      </c>
      <c r="AW55" s="4750">
        <f t="shared" si="226"/>
        <v>5527.8225859307277</v>
      </c>
      <c r="AX55" s="4750">
        <f t="shared" si="226"/>
        <v>5015.12</v>
      </c>
      <c r="AY55" s="4750">
        <f t="shared" si="226"/>
        <v>7245.8</v>
      </c>
      <c r="AZ55" s="4742">
        <f t="shared" si="212"/>
        <v>-512.70258593072776</v>
      </c>
      <c r="BA55" s="4742">
        <f t="shared" si="213"/>
        <v>-9.2749464723351505</v>
      </c>
      <c r="BB55" s="4748">
        <f t="shared" ref="BB55" si="236">SUM(BB51-BB52-BB53-BB54)</f>
        <v>774.1733437817818</v>
      </c>
      <c r="BC55" s="4752">
        <f>SUM('ПОЛНАЯ СЕБЕСТОИМОСТЬ ВОДА 2018'!X189)</f>
        <v>0</v>
      </c>
      <c r="BD55" s="4751">
        <v>757.97</v>
      </c>
      <c r="BE55" s="4752">
        <f t="shared" ref="BE55" si="237">SUM(BE51-BE52-BE53-BE54)</f>
        <v>902.91615467159477</v>
      </c>
      <c r="BF55" s="4752">
        <f>SUM('ПОЛНАЯ СЕБЕСТОИМОСТЬ ВОДА 2018'!Y189)</f>
        <v>0</v>
      </c>
      <c r="BG55" s="4751">
        <v>1017.23</v>
      </c>
      <c r="BH55" s="4752">
        <f t="shared" ref="BH55" si="238">SUM(BH51-BH52-BH53-BH54)</f>
        <v>1063.5280038237208</v>
      </c>
      <c r="BI55" s="4752">
        <f>SUM('ПОЛНАЯ СЕБЕСТОИМОСТЬ ВОДА 2018'!Z189)</f>
        <v>0</v>
      </c>
      <c r="BJ55" s="4751">
        <v>1042.29</v>
      </c>
      <c r="BK55" s="4733">
        <f t="shared" si="227"/>
        <v>2740.6175022770976</v>
      </c>
      <c r="BL55" s="4733">
        <f t="shared" si="227"/>
        <v>0</v>
      </c>
      <c r="BM55" s="4733">
        <f t="shared" si="227"/>
        <v>2817.49</v>
      </c>
      <c r="BN55" s="4734">
        <f t="shared" si="215"/>
        <v>-2740.6175022770976</v>
      </c>
      <c r="BO55" s="4734">
        <f t="shared" si="216"/>
        <v>-100</v>
      </c>
      <c r="BP55" s="4733">
        <f t="shared" si="228"/>
        <v>8268.4400882078262</v>
      </c>
      <c r="BQ55" s="4733">
        <f t="shared" si="228"/>
        <v>5015.12</v>
      </c>
      <c r="BR55" s="4733">
        <f t="shared" si="228"/>
        <v>10063.290000000001</v>
      </c>
      <c r="BS55" s="4734">
        <f t="shared" si="219"/>
        <v>-3253.3200882078263</v>
      </c>
      <c r="BT55" s="4734">
        <f t="shared" si="220"/>
        <v>-39.346237663953119</v>
      </c>
      <c r="BU55" s="430"/>
      <c r="BV55" s="430"/>
      <c r="BW55" s="430"/>
      <c r="BX55" s="430"/>
    </row>
    <row r="56" spans="1:76" ht="18.75">
      <c r="A56" s="4736" t="s">
        <v>1724</v>
      </c>
      <c r="B56" s="4743">
        <f>SUM('Произв. прогр. Вода (СВОД)'!E57)</f>
        <v>0</v>
      </c>
      <c r="C56" s="4737">
        <f>SUM('ПОЛНАЯ СЕБЕСТОИМОСТЬ ВОДА 2018'!C190)</f>
        <v>0</v>
      </c>
      <c r="D56" s="4744">
        <f>SUM(D57:D60)</f>
        <v>0</v>
      </c>
      <c r="E56" s="4743">
        <f>SUM('Произв. прогр. Вода (СВОД)'!F57)</f>
        <v>0</v>
      </c>
      <c r="F56" s="4737">
        <f>SUM('ПОЛНАЯ СЕБЕСТОИМОСТЬ ВОДА 2018'!D190)</f>
        <v>0</v>
      </c>
      <c r="G56" s="4744">
        <f>SUM(G57:G60)</f>
        <v>0</v>
      </c>
      <c r="H56" s="4743">
        <f>SUM('Произв. прогр. Вода (СВОД)'!G57)</f>
        <v>880.95560302602939</v>
      </c>
      <c r="I56" s="4737">
        <f>SUM('ПОЛНАЯ СЕБЕСТОИМОСТЬ ВОДА 2018'!E190)</f>
        <v>684.78</v>
      </c>
      <c r="J56" s="4744">
        <f>SUM(J57:J60)</f>
        <v>522.91999999999996</v>
      </c>
      <c r="K56" s="4745">
        <f t="shared" si="222"/>
        <v>880.95560302602939</v>
      </c>
      <c r="L56" s="4745">
        <f t="shared" si="222"/>
        <v>684.78</v>
      </c>
      <c r="M56" s="4745">
        <f t="shared" si="222"/>
        <v>522.91999999999996</v>
      </c>
      <c r="N56" s="4746">
        <f t="shared" si="198"/>
        <v>-196.17560302602942</v>
      </c>
      <c r="O56" s="4746">
        <f t="shared" si="199"/>
        <v>-22.268500518321019</v>
      </c>
      <c r="P56" s="4743">
        <f>SUM('Произв. прогр. Вода (СВОД)'!I57)</f>
        <v>0</v>
      </c>
      <c r="Q56" s="4737">
        <f>SUM('ПОЛНАЯ СЕБЕСТОИМОСТЬ ВОДА 2018'!H190)</f>
        <v>0</v>
      </c>
      <c r="R56" s="4744">
        <f>SUM(R57:R60)</f>
        <v>0</v>
      </c>
      <c r="S56" s="4743">
        <f>SUM('Произв. прогр. Вода (СВОД)'!J57)</f>
        <v>0</v>
      </c>
      <c r="T56" s="4737">
        <f>SUM('ПОЛНАЯ СЕБЕСТОИМОСТЬ ВОДА 2018'!I190)</f>
        <v>0</v>
      </c>
      <c r="U56" s="4744">
        <f>SUM(U57:U60)</f>
        <v>0</v>
      </c>
      <c r="V56" s="4743">
        <f>SUM('Произв. прогр. Вода (СВОД)'!K57)</f>
        <v>880.95560302602939</v>
      </c>
      <c r="W56" s="4737">
        <f>SUM('ПОЛНАЯ СЕБЕСТОИМОСТЬ ВОДА 2018'!J190)</f>
        <v>684.78</v>
      </c>
      <c r="X56" s="4744">
        <f>SUM(X57:X60)</f>
        <v>522.91999999999996</v>
      </c>
      <c r="Y56" s="4745">
        <f t="shared" si="223"/>
        <v>880.95560302602939</v>
      </c>
      <c r="Z56" s="4745">
        <f t="shared" si="223"/>
        <v>684.78</v>
      </c>
      <c r="AA56" s="4745">
        <f t="shared" si="223"/>
        <v>522.91999999999996</v>
      </c>
      <c r="AB56" s="4746">
        <f t="shared" si="201"/>
        <v>-196.17560302602942</v>
      </c>
      <c r="AC56" s="4746">
        <f t="shared" si="202"/>
        <v>-22.268500518321019</v>
      </c>
      <c r="AD56" s="4745">
        <f t="shared" si="224"/>
        <v>1761.9112060520588</v>
      </c>
      <c r="AE56" s="4745">
        <f t="shared" si="224"/>
        <v>1369.56</v>
      </c>
      <c r="AF56" s="4745">
        <f t="shared" si="224"/>
        <v>1045.8399999999999</v>
      </c>
      <c r="AG56" s="4746">
        <f t="shared" si="205"/>
        <v>-392.35120605205884</v>
      </c>
      <c r="AH56" s="4746">
        <f t="shared" si="206"/>
        <v>-22.268500518321019</v>
      </c>
      <c r="AI56" s="4743">
        <f>SUM('Произв. прогр. Вода (СВОД)'!N57)</f>
        <v>0</v>
      </c>
      <c r="AJ56" s="4737">
        <f>SUM('ПОЛНАЯ СЕБЕСТОИМОСТЬ ВОДА 2018'!P190)</f>
        <v>0</v>
      </c>
      <c r="AK56" s="4744">
        <f>SUM(AK57:AK60)</f>
        <v>0</v>
      </c>
      <c r="AL56" s="4743">
        <f>SUM('Произв. прогр. Вода (СВОД)'!O57)</f>
        <v>0</v>
      </c>
      <c r="AM56" s="4737">
        <f>SUM('ПОЛНАЯ СЕБЕСТОИМОСТЬ ВОДА 2018'!Q190)</f>
        <v>0</v>
      </c>
      <c r="AN56" s="4744">
        <f>SUM(AN57:AN60)</f>
        <v>0</v>
      </c>
      <c r="AO56" s="4743">
        <f>SUM('Произв. прогр. Вода (СВОД)'!P57)</f>
        <v>880.95560302602939</v>
      </c>
      <c r="AP56" s="4737">
        <f>SUM('ПОЛНАЯ СЕБЕСТОИМОСТЬ ВОДА 2018'!R190)</f>
        <v>0</v>
      </c>
      <c r="AQ56" s="4744">
        <f>SUM(AQ57:AQ60)</f>
        <v>522.91999999999996</v>
      </c>
      <c r="AR56" s="4745">
        <f t="shared" si="225"/>
        <v>880.95560302602939</v>
      </c>
      <c r="AS56" s="4745">
        <f t="shared" si="225"/>
        <v>0</v>
      </c>
      <c r="AT56" s="4745">
        <f t="shared" si="225"/>
        <v>522.91999999999996</v>
      </c>
      <c r="AU56" s="4746">
        <f t="shared" si="208"/>
        <v>-880.95560302602939</v>
      </c>
      <c r="AV56" s="4746">
        <f t="shared" si="209"/>
        <v>-100</v>
      </c>
      <c r="AW56" s="4745">
        <f t="shared" si="226"/>
        <v>2642.8668090780884</v>
      </c>
      <c r="AX56" s="4745">
        <f t="shared" si="226"/>
        <v>1369.56</v>
      </c>
      <c r="AY56" s="4745">
        <f t="shared" si="226"/>
        <v>1568.7599999999998</v>
      </c>
      <c r="AZ56" s="4746">
        <f t="shared" si="212"/>
        <v>-1273.3068090780885</v>
      </c>
      <c r="BA56" s="4746">
        <f t="shared" si="213"/>
        <v>-48.179000345547351</v>
      </c>
      <c r="BB56" s="4743">
        <f>SUM('Произв. прогр. Вода (СВОД)'!S57)</f>
        <v>0</v>
      </c>
      <c r="BC56" s="4737">
        <f>SUM('ПОЛНАЯ СЕБЕСТОИМОСТЬ ВОДА 2018'!X190)</f>
        <v>0</v>
      </c>
      <c r="BD56" s="4747">
        <f>SUM(BD57:BD60)</f>
        <v>0</v>
      </c>
      <c r="BE56" s="4737">
        <f>SUM('Произв. прогр. Вода (СВОД)'!T57)</f>
        <v>0</v>
      </c>
      <c r="BF56" s="4737">
        <f>SUM('ПОЛНАЯ СЕБЕСТОИМОСТЬ ВОДА 2018'!Y190)</f>
        <v>0</v>
      </c>
      <c r="BG56" s="4747">
        <f>SUM(BG57:BG60)</f>
        <v>0</v>
      </c>
      <c r="BH56" s="4737">
        <f>SUM('Произв. прогр. Вода (СВОД)'!U57)</f>
        <v>880.95560302602939</v>
      </c>
      <c r="BI56" s="4737">
        <f>SUM('ПОЛНАЯ СЕБЕСТОИМОСТЬ ВОДА 2018'!Z190)</f>
        <v>0</v>
      </c>
      <c r="BJ56" s="4747">
        <f>SUM(BJ57:BJ60)</f>
        <v>823.06999999999994</v>
      </c>
      <c r="BK56" s="4726">
        <f t="shared" si="227"/>
        <v>880.95560302602939</v>
      </c>
      <c r="BL56" s="4726">
        <f t="shared" si="227"/>
        <v>0</v>
      </c>
      <c r="BM56" s="4726">
        <f t="shared" si="227"/>
        <v>823.06999999999994</v>
      </c>
      <c r="BN56" s="4727">
        <f t="shared" si="215"/>
        <v>-880.95560302602939</v>
      </c>
      <c r="BO56" s="4727">
        <f t="shared" si="216"/>
        <v>-100</v>
      </c>
      <c r="BP56" s="4726">
        <f t="shared" si="228"/>
        <v>3523.8224121041176</v>
      </c>
      <c r="BQ56" s="4726">
        <f t="shared" si="228"/>
        <v>1369.56</v>
      </c>
      <c r="BR56" s="4726">
        <f t="shared" si="228"/>
        <v>2391.83</v>
      </c>
      <c r="BS56" s="4727">
        <f t="shared" si="219"/>
        <v>-2154.2624121041176</v>
      </c>
      <c r="BT56" s="4727">
        <f t="shared" si="220"/>
        <v>-61.134250259160503</v>
      </c>
      <c r="BU56" s="430"/>
      <c r="BV56" s="430"/>
      <c r="BW56" s="430"/>
      <c r="BX56" s="430"/>
    </row>
    <row r="57" spans="1:76" ht="18.75">
      <c r="A57" s="4739" t="s">
        <v>1725</v>
      </c>
      <c r="B57" s="4748">
        <f>SUM('Произв. прогр. Вода (СВОД)'!E58)</f>
        <v>0</v>
      </c>
      <c r="C57" s="4752">
        <f>SUM('ПОЛНАЯ СЕБЕСТОИМОСТЬ ВОДА 2018'!C191)</f>
        <v>0</v>
      </c>
      <c r="D57" s="4749">
        <v>0</v>
      </c>
      <c r="E57" s="4748">
        <f>SUM('Произв. прогр. Вода (СВОД)'!F58)</f>
        <v>0</v>
      </c>
      <c r="F57" s="4752">
        <f>SUM('ПОЛНАЯ СЕБЕСТОИМОСТЬ ВОДА 2018'!D191)</f>
        <v>0</v>
      </c>
      <c r="G57" s="4749">
        <v>0</v>
      </c>
      <c r="H57" s="4748">
        <f>SUM('Произв. прогр. Вода (СВОД)'!G58)</f>
        <v>359.10560302602937</v>
      </c>
      <c r="I57" s="4752">
        <f>SUM('ПОЛНАЯ СЕБЕСТОИМОСТЬ ВОДА 2018'!E191)</f>
        <v>663</v>
      </c>
      <c r="J57" s="4749">
        <v>501.14</v>
      </c>
      <c r="K57" s="4750">
        <f t="shared" si="222"/>
        <v>359.10560302602937</v>
      </c>
      <c r="L57" s="4750">
        <f t="shared" si="222"/>
        <v>663</v>
      </c>
      <c r="M57" s="4750">
        <f t="shared" si="222"/>
        <v>501.14</v>
      </c>
      <c r="N57" s="4742">
        <f t="shared" si="198"/>
        <v>303.89439697397063</v>
      </c>
      <c r="O57" s="4742">
        <f t="shared" si="199"/>
        <v>84.625356556172477</v>
      </c>
      <c r="P57" s="4748">
        <f>SUM('Произв. прогр. Вода (СВОД)'!I58)</f>
        <v>0</v>
      </c>
      <c r="Q57" s="4752">
        <f>SUM('ПОЛНАЯ СЕБЕСТОИМОСТЬ ВОДА 2018'!H191)</f>
        <v>0</v>
      </c>
      <c r="R57" s="4749">
        <v>0</v>
      </c>
      <c r="S57" s="4748">
        <f>SUM('Произв. прогр. Вода (СВОД)'!J58)</f>
        <v>0</v>
      </c>
      <c r="T57" s="4752">
        <f>SUM('ПОЛНАЯ СЕБЕСТОИМОСТЬ ВОДА 2018'!I191)</f>
        <v>0</v>
      </c>
      <c r="U57" s="4749">
        <v>0</v>
      </c>
      <c r="V57" s="4748">
        <f>SUM('Произв. прогр. Вода (СВОД)'!K58)</f>
        <v>359.10560302602937</v>
      </c>
      <c r="W57" s="4752">
        <f>SUM('ПОЛНАЯ СЕБЕСТОИМОСТЬ ВОДА 2018'!J191)</f>
        <v>663</v>
      </c>
      <c r="X57" s="4749">
        <v>501.14</v>
      </c>
      <c r="Y57" s="4750">
        <f t="shared" si="223"/>
        <v>359.10560302602937</v>
      </c>
      <c r="Z57" s="4750">
        <f t="shared" si="223"/>
        <v>663</v>
      </c>
      <c r="AA57" s="4750">
        <f t="shared" si="223"/>
        <v>501.14</v>
      </c>
      <c r="AB57" s="4742">
        <f t="shared" si="201"/>
        <v>303.89439697397063</v>
      </c>
      <c r="AC57" s="4742">
        <f t="shared" si="202"/>
        <v>84.625356556172477</v>
      </c>
      <c r="AD57" s="4750">
        <f t="shared" si="224"/>
        <v>718.21120605205874</v>
      </c>
      <c r="AE57" s="4750">
        <f t="shared" si="224"/>
        <v>1326</v>
      </c>
      <c r="AF57" s="4750">
        <f t="shared" si="224"/>
        <v>1002.28</v>
      </c>
      <c r="AG57" s="4742">
        <f t="shared" si="205"/>
        <v>607.78879394794126</v>
      </c>
      <c r="AH57" s="4742">
        <f t="shared" si="206"/>
        <v>84.625356556172477</v>
      </c>
      <c r="AI57" s="4748">
        <f>SUM('Произв. прогр. Вода (СВОД)'!N58)</f>
        <v>0</v>
      </c>
      <c r="AJ57" s="4752">
        <f>SUM('ПОЛНАЯ СЕБЕСТОИМОСТЬ ВОДА 2018'!P191)</f>
        <v>0</v>
      </c>
      <c r="AK57" s="4749">
        <v>0</v>
      </c>
      <c r="AL57" s="4748">
        <f>SUM('Произв. прогр. Вода (СВОД)'!O58)</f>
        <v>0</v>
      </c>
      <c r="AM57" s="4752">
        <f>SUM('ПОЛНАЯ СЕБЕСТОИМОСТЬ ВОДА 2018'!Q191)</f>
        <v>0</v>
      </c>
      <c r="AN57" s="4749">
        <v>0</v>
      </c>
      <c r="AO57" s="4748">
        <f>SUM('Произв. прогр. Вода (СВОД)'!P58)</f>
        <v>359.10560302602937</v>
      </c>
      <c r="AP57" s="4752">
        <f>SUM('ПОЛНАЯ СЕБЕСТОИМОСТЬ ВОДА 2018'!R191)</f>
        <v>0</v>
      </c>
      <c r="AQ57" s="4749">
        <v>501.14</v>
      </c>
      <c r="AR57" s="4750">
        <f t="shared" si="225"/>
        <v>359.10560302602937</v>
      </c>
      <c r="AS57" s="4750">
        <f t="shared" si="225"/>
        <v>0</v>
      </c>
      <c r="AT57" s="4750">
        <f t="shared" si="225"/>
        <v>501.14</v>
      </c>
      <c r="AU57" s="4742">
        <f t="shared" si="208"/>
        <v>-359.10560302602937</v>
      </c>
      <c r="AV57" s="4742">
        <f t="shared" si="209"/>
        <v>-100</v>
      </c>
      <c r="AW57" s="4750">
        <f t="shared" si="226"/>
        <v>1077.3168090780882</v>
      </c>
      <c r="AX57" s="4750">
        <f t="shared" si="226"/>
        <v>1326</v>
      </c>
      <c r="AY57" s="4750">
        <f t="shared" si="226"/>
        <v>1503.42</v>
      </c>
      <c r="AZ57" s="4742">
        <f t="shared" si="212"/>
        <v>248.68319092191177</v>
      </c>
      <c r="BA57" s="4742">
        <f t="shared" si="213"/>
        <v>23.083571037448301</v>
      </c>
      <c r="BB57" s="4748">
        <f>SUM('Произв. прогр. Вода (СВОД)'!S58)</f>
        <v>0</v>
      </c>
      <c r="BC57" s="4752">
        <f>SUM('ПОЛНАЯ СЕБЕСТОИМОСТЬ ВОДА 2018'!X191)</f>
        <v>0</v>
      </c>
      <c r="BD57" s="4751">
        <v>0</v>
      </c>
      <c r="BE57" s="4752">
        <f>SUM('Произв. прогр. Вода (СВОД)'!T58)</f>
        <v>0</v>
      </c>
      <c r="BF57" s="4752">
        <f>SUM('ПОЛНАЯ СЕБЕСТОИМОСТЬ ВОДА 2018'!Y191)</f>
        <v>0</v>
      </c>
      <c r="BG57" s="4751">
        <v>0</v>
      </c>
      <c r="BH57" s="4752">
        <f>SUM('Произв. прогр. Вода (СВОД)'!U58)</f>
        <v>359.10560302602937</v>
      </c>
      <c r="BI57" s="4752">
        <f>SUM('ПОЛНАЯ СЕБЕСТОИМОСТЬ ВОДА 2018'!Z191)</f>
        <v>0</v>
      </c>
      <c r="BJ57" s="4751">
        <v>801.3</v>
      </c>
      <c r="BK57" s="4733">
        <f t="shared" si="227"/>
        <v>359.10560302602937</v>
      </c>
      <c r="BL57" s="4733">
        <f t="shared" si="227"/>
        <v>0</v>
      </c>
      <c r="BM57" s="4733">
        <f t="shared" si="227"/>
        <v>801.3</v>
      </c>
      <c r="BN57" s="4734">
        <f t="shared" si="215"/>
        <v>-359.10560302602937</v>
      </c>
      <c r="BO57" s="4734">
        <f t="shared" si="216"/>
        <v>-100</v>
      </c>
      <c r="BP57" s="4733">
        <f t="shared" si="228"/>
        <v>1436.4224121041175</v>
      </c>
      <c r="BQ57" s="4733">
        <f t="shared" si="228"/>
        <v>1326</v>
      </c>
      <c r="BR57" s="4733">
        <f t="shared" si="228"/>
        <v>2304.7200000000003</v>
      </c>
      <c r="BS57" s="4734">
        <f t="shared" si="219"/>
        <v>-110.42241210411748</v>
      </c>
      <c r="BT57" s="4734">
        <f t="shared" si="220"/>
        <v>-7.6873217219137651</v>
      </c>
      <c r="BU57" s="430"/>
      <c r="BV57" s="430"/>
      <c r="BW57" s="430"/>
      <c r="BX57" s="430"/>
    </row>
    <row r="58" spans="1:76" ht="18.75">
      <c r="A58" s="4739" t="s">
        <v>542</v>
      </c>
      <c r="B58" s="4748">
        <f>SUM('Произв. прогр. Вода (СВОД)'!E59)</f>
        <v>0</v>
      </c>
      <c r="C58" s="4752">
        <f>SUM('ПОЛНАЯ СЕБЕСТОИМОСТЬ ВОДА 2018'!C192)</f>
        <v>0</v>
      </c>
      <c r="D58" s="4749">
        <v>0</v>
      </c>
      <c r="E58" s="4748">
        <f>SUM('Произв. прогр. Вода (СВОД)'!F59)</f>
        <v>0</v>
      </c>
      <c r="F58" s="4752">
        <f>SUM('ПОЛНАЯ СЕБЕСТОИМОСТЬ ВОДА 2018'!D192)</f>
        <v>0</v>
      </c>
      <c r="G58" s="4749">
        <v>0</v>
      </c>
      <c r="H58" s="4748">
        <f>SUM('Произв. прогр. Вода (СВОД)'!G59)</f>
        <v>22.79</v>
      </c>
      <c r="I58" s="4752">
        <f>SUM('ПОЛНАЯ СЕБЕСТОИМОСТЬ ВОДА 2018'!E192)</f>
        <v>21.78</v>
      </c>
      <c r="J58" s="4749">
        <v>21.78</v>
      </c>
      <c r="K58" s="4750">
        <f t="shared" si="222"/>
        <v>22.79</v>
      </c>
      <c r="L58" s="4750">
        <f t="shared" si="222"/>
        <v>21.78</v>
      </c>
      <c r="M58" s="4750">
        <f t="shared" si="222"/>
        <v>21.78</v>
      </c>
      <c r="N58" s="4742">
        <f t="shared" si="198"/>
        <v>-1.009999999999998</v>
      </c>
      <c r="O58" s="4742">
        <f t="shared" si="199"/>
        <v>-4.4317683194383415</v>
      </c>
      <c r="P58" s="4748">
        <f>SUM('Произв. прогр. Вода (СВОД)'!I59)</f>
        <v>0</v>
      </c>
      <c r="Q58" s="4752">
        <f>SUM('ПОЛНАЯ СЕБЕСТОИМОСТЬ ВОДА 2018'!H192)</f>
        <v>0</v>
      </c>
      <c r="R58" s="4749">
        <v>0</v>
      </c>
      <c r="S58" s="4748">
        <f>SUM('Произв. прогр. Вода (СВОД)'!J59)</f>
        <v>0</v>
      </c>
      <c r="T58" s="4752">
        <f>SUM('ПОЛНАЯ СЕБЕСТОИМОСТЬ ВОДА 2018'!I192)</f>
        <v>0</v>
      </c>
      <c r="U58" s="4749">
        <v>0</v>
      </c>
      <c r="V58" s="4748">
        <f>SUM('Произв. прогр. Вода (СВОД)'!K59)</f>
        <v>22.79</v>
      </c>
      <c r="W58" s="4752">
        <f>SUM('ПОЛНАЯ СЕБЕСТОИМОСТЬ ВОДА 2018'!J192)</f>
        <v>21.78</v>
      </c>
      <c r="X58" s="4749">
        <v>21.78</v>
      </c>
      <c r="Y58" s="4750">
        <f t="shared" si="223"/>
        <v>22.79</v>
      </c>
      <c r="Z58" s="4750">
        <f t="shared" si="223"/>
        <v>21.78</v>
      </c>
      <c r="AA58" s="4750">
        <f t="shared" si="223"/>
        <v>21.78</v>
      </c>
      <c r="AB58" s="4742">
        <f t="shared" si="201"/>
        <v>-1.009999999999998</v>
      </c>
      <c r="AC58" s="4742">
        <f t="shared" si="202"/>
        <v>-4.4317683194383415</v>
      </c>
      <c r="AD58" s="4750">
        <f t="shared" si="224"/>
        <v>45.58</v>
      </c>
      <c r="AE58" s="4750">
        <f t="shared" si="224"/>
        <v>43.56</v>
      </c>
      <c r="AF58" s="4750">
        <f t="shared" si="224"/>
        <v>43.56</v>
      </c>
      <c r="AG58" s="4742">
        <f t="shared" si="205"/>
        <v>-2.019999999999996</v>
      </c>
      <c r="AH58" s="4742">
        <f t="shared" si="206"/>
        <v>-4.4317683194383415</v>
      </c>
      <c r="AI58" s="4748">
        <f>SUM('Произв. прогр. Вода (СВОД)'!N59)</f>
        <v>0</v>
      </c>
      <c r="AJ58" s="4752">
        <f>SUM('ПОЛНАЯ СЕБЕСТОИМОСТЬ ВОДА 2018'!P192)</f>
        <v>0</v>
      </c>
      <c r="AK58" s="4749">
        <v>0</v>
      </c>
      <c r="AL58" s="4748">
        <f>SUM('Произв. прогр. Вода (СВОД)'!O59)</f>
        <v>0</v>
      </c>
      <c r="AM58" s="4752">
        <f>SUM('ПОЛНАЯ СЕБЕСТОИМОСТЬ ВОДА 2018'!Q192)</f>
        <v>0</v>
      </c>
      <c r="AN58" s="4749">
        <v>0</v>
      </c>
      <c r="AO58" s="4748">
        <f>SUM('Произв. прогр. Вода (СВОД)'!P59)</f>
        <v>22.79</v>
      </c>
      <c r="AP58" s="4752">
        <f>SUM('ПОЛНАЯ СЕБЕСТОИМОСТЬ ВОДА 2018'!R192)</f>
        <v>0</v>
      </c>
      <c r="AQ58" s="4749">
        <v>21.78</v>
      </c>
      <c r="AR58" s="4750">
        <f t="shared" si="225"/>
        <v>22.79</v>
      </c>
      <c r="AS58" s="4750">
        <f t="shared" si="225"/>
        <v>0</v>
      </c>
      <c r="AT58" s="4750">
        <f t="shared" si="225"/>
        <v>21.78</v>
      </c>
      <c r="AU58" s="4742">
        <f t="shared" si="208"/>
        <v>-22.79</v>
      </c>
      <c r="AV58" s="4742">
        <f t="shared" si="209"/>
        <v>-100</v>
      </c>
      <c r="AW58" s="4750">
        <f t="shared" si="226"/>
        <v>68.37</v>
      </c>
      <c r="AX58" s="4750">
        <f t="shared" si="226"/>
        <v>43.56</v>
      </c>
      <c r="AY58" s="4750">
        <f t="shared" si="226"/>
        <v>65.34</v>
      </c>
      <c r="AZ58" s="4742">
        <f t="shared" si="212"/>
        <v>-24.810000000000002</v>
      </c>
      <c r="BA58" s="4742">
        <f t="shared" si="213"/>
        <v>-36.287845546292239</v>
      </c>
      <c r="BB58" s="4748">
        <f>SUM('Произв. прогр. Вода (СВОД)'!S59)</f>
        <v>0</v>
      </c>
      <c r="BC58" s="4752">
        <f>SUM('ПОЛНАЯ СЕБЕСТОИМОСТЬ ВОДА 2018'!X192)</f>
        <v>0</v>
      </c>
      <c r="BD58" s="4751">
        <v>0</v>
      </c>
      <c r="BE58" s="4752">
        <f>SUM('Произв. прогр. Вода (СВОД)'!T59)</f>
        <v>0</v>
      </c>
      <c r="BF58" s="4752">
        <f>SUM('ПОЛНАЯ СЕБЕСТОИМОСТЬ ВОДА 2018'!Y192)</f>
        <v>0</v>
      </c>
      <c r="BG58" s="4751">
        <v>0</v>
      </c>
      <c r="BH58" s="4752">
        <f>SUM('Произв. прогр. Вода (СВОД)'!U59)</f>
        <v>22.79</v>
      </c>
      <c r="BI58" s="4752">
        <f>SUM('ПОЛНАЯ СЕБЕСТОИМОСТЬ ВОДА 2018'!Z192)</f>
        <v>0</v>
      </c>
      <c r="BJ58" s="4751">
        <v>21.77</v>
      </c>
      <c r="BK58" s="4733">
        <f t="shared" si="227"/>
        <v>22.79</v>
      </c>
      <c r="BL58" s="4733">
        <f t="shared" si="227"/>
        <v>0</v>
      </c>
      <c r="BM58" s="4733">
        <f t="shared" si="227"/>
        <v>21.77</v>
      </c>
      <c r="BN58" s="4734">
        <f t="shared" si="215"/>
        <v>-22.79</v>
      </c>
      <c r="BO58" s="4734">
        <f t="shared" si="216"/>
        <v>-100</v>
      </c>
      <c r="BP58" s="4733">
        <f t="shared" si="228"/>
        <v>91.16</v>
      </c>
      <c r="BQ58" s="4733">
        <f t="shared" si="228"/>
        <v>43.56</v>
      </c>
      <c r="BR58" s="4733">
        <f t="shared" si="228"/>
        <v>87.11</v>
      </c>
      <c r="BS58" s="4734">
        <f t="shared" si="219"/>
        <v>-47.599999999999994</v>
      </c>
      <c r="BT58" s="4734">
        <f t="shared" si="220"/>
        <v>-52.215884159719174</v>
      </c>
      <c r="BU58" s="430"/>
      <c r="BV58" s="430"/>
      <c r="BW58" s="430"/>
      <c r="BX58" s="430"/>
    </row>
    <row r="59" spans="1:76" ht="18.75">
      <c r="A59" s="4739" t="s">
        <v>543</v>
      </c>
      <c r="B59" s="4748">
        <f>SUM('Произв. прогр. Вода (СВОД)'!E60)</f>
        <v>0</v>
      </c>
      <c r="C59" s="4752">
        <f>SUM('ПОЛНАЯ СЕБЕСТОИМОСТЬ ВОДА 2018'!C193)</f>
        <v>0</v>
      </c>
      <c r="D59" s="4749">
        <v>0</v>
      </c>
      <c r="E59" s="4748">
        <f>SUM('Произв. прогр. Вода (СВОД)'!F60)</f>
        <v>0</v>
      </c>
      <c r="F59" s="4752">
        <f>SUM('ПОЛНАЯ СЕБЕСТОИМОСТЬ ВОДА 2018'!D193)</f>
        <v>0</v>
      </c>
      <c r="G59" s="4749">
        <v>0</v>
      </c>
      <c r="H59" s="4748">
        <f>SUM('Произв. прогр. Вода (СВОД)'!G60)</f>
        <v>0</v>
      </c>
      <c r="I59" s="4752">
        <f>SUM('ПОЛНАЯ СЕБЕСТОИМОСТЬ ВОДА 2018'!E193)</f>
        <v>0</v>
      </c>
      <c r="J59" s="4749">
        <v>0</v>
      </c>
      <c r="K59" s="4750">
        <f t="shared" si="222"/>
        <v>0</v>
      </c>
      <c r="L59" s="4750">
        <f t="shared" si="222"/>
        <v>0</v>
      </c>
      <c r="M59" s="4750">
        <f t="shared" si="222"/>
        <v>0</v>
      </c>
      <c r="N59" s="4742">
        <f t="shared" si="198"/>
        <v>0</v>
      </c>
      <c r="O59" s="4742" t="e">
        <f t="shared" si="199"/>
        <v>#DIV/0!</v>
      </c>
      <c r="P59" s="4748">
        <f>SUM('Произв. прогр. Вода (СВОД)'!I60)</f>
        <v>0</v>
      </c>
      <c r="Q59" s="4752">
        <f>SUM('ПОЛНАЯ СЕБЕСТОИМОСТЬ ВОДА 2018'!H193)</f>
        <v>0</v>
      </c>
      <c r="R59" s="4749">
        <v>0</v>
      </c>
      <c r="S59" s="4748">
        <f>SUM('Произв. прогр. Вода (СВОД)'!J60)</f>
        <v>0</v>
      </c>
      <c r="T59" s="4752">
        <f>SUM('ПОЛНАЯ СЕБЕСТОИМОСТЬ ВОДА 2018'!I193)</f>
        <v>0</v>
      </c>
      <c r="U59" s="4749">
        <v>0</v>
      </c>
      <c r="V59" s="4748">
        <f>SUM('Произв. прогр. Вода (СВОД)'!K60)</f>
        <v>0</v>
      </c>
      <c r="W59" s="4752">
        <f>SUM('ПОЛНАЯ СЕБЕСТОИМОСТЬ ВОДА 2018'!J193)</f>
        <v>0</v>
      </c>
      <c r="X59" s="4749">
        <v>0</v>
      </c>
      <c r="Y59" s="4750">
        <f t="shared" si="223"/>
        <v>0</v>
      </c>
      <c r="Z59" s="4750">
        <f t="shared" si="223"/>
        <v>0</v>
      </c>
      <c r="AA59" s="4750">
        <f t="shared" si="223"/>
        <v>0</v>
      </c>
      <c r="AB59" s="4742">
        <f t="shared" si="201"/>
        <v>0</v>
      </c>
      <c r="AC59" s="4742" t="e">
        <f t="shared" si="202"/>
        <v>#DIV/0!</v>
      </c>
      <c r="AD59" s="4750">
        <f t="shared" si="224"/>
        <v>0</v>
      </c>
      <c r="AE59" s="4750">
        <f t="shared" si="224"/>
        <v>0</v>
      </c>
      <c r="AF59" s="4750">
        <f t="shared" si="224"/>
        <v>0</v>
      </c>
      <c r="AG59" s="4742">
        <f t="shared" si="205"/>
        <v>0</v>
      </c>
      <c r="AH59" s="4742" t="e">
        <f t="shared" si="206"/>
        <v>#DIV/0!</v>
      </c>
      <c r="AI59" s="4748">
        <f>SUM('Произв. прогр. Вода (СВОД)'!N60)</f>
        <v>0</v>
      </c>
      <c r="AJ59" s="4752">
        <f>SUM('ПОЛНАЯ СЕБЕСТОИМОСТЬ ВОДА 2018'!P193)</f>
        <v>0</v>
      </c>
      <c r="AK59" s="4749">
        <v>0</v>
      </c>
      <c r="AL59" s="4748">
        <f>SUM('Произв. прогр. Вода (СВОД)'!O60)</f>
        <v>0</v>
      </c>
      <c r="AM59" s="4752">
        <f>SUM('ПОЛНАЯ СЕБЕСТОИМОСТЬ ВОДА 2018'!Q193)</f>
        <v>0</v>
      </c>
      <c r="AN59" s="4749">
        <v>0</v>
      </c>
      <c r="AO59" s="4748">
        <f>SUM('Произв. прогр. Вода (СВОД)'!P60)</f>
        <v>0</v>
      </c>
      <c r="AP59" s="4752">
        <f>SUM('ПОЛНАЯ СЕБЕСТОИМОСТЬ ВОДА 2018'!R193)</f>
        <v>0</v>
      </c>
      <c r="AQ59" s="4749">
        <v>0</v>
      </c>
      <c r="AR59" s="4750">
        <f t="shared" si="225"/>
        <v>0</v>
      </c>
      <c r="AS59" s="4750">
        <f t="shared" si="225"/>
        <v>0</v>
      </c>
      <c r="AT59" s="4750">
        <f t="shared" si="225"/>
        <v>0</v>
      </c>
      <c r="AU59" s="4742">
        <f t="shared" si="208"/>
        <v>0</v>
      </c>
      <c r="AV59" s="4742" t="e">
        <f t="shared" si="209"/>
        <v>#DIV/0!</v>
      </c>
      <c r="AW59" s="4750">
        <f t="shared" si="226"/>
        <v>0</v>
      </c>
      <c r="AX59" s="4750">
        <f t="shared" si="226"/>
        <v>0</v>
      </c>
      <c r="AY59" s="4750">
        <f t="shared" si="226"/>
        <v>0</v>
      </c>
      <c r="AZ59" s="4742">
        <f t="shared" si="212"/>
        <v>0</v>
      </c>
      <c r="BA59" s="4742" t="e">
        <f t="shared" si="213"/>
        <v>#DIV/0!</v>
      </c>
      <c r="BB59" s="4748">
        <f>SUM('Произв. прогр. Вода (СВОД)'!S60)</f>
        <v>0</v>
      </c>
      <c r="BC59" s="4752">
        <f>SUM('ПОЛНАЯ СЕБЕСТОИМОСТЬ ВОДА 2018'!X193)</f>
        <v>0</v>
      </c>
      <c r="BD59" s="4751">
        <v>0</v>
      </c>
      <c r="BE59" s="4752">
        <f>SUM('Произв. прогр. Вода (СВОД)'!T60)</f>
        <v>0</v>
      </c>
      <c r="BF59" s="4752">
        <f>SUM('ПОЛНАЯ СЕБЕСТОИМОСТЬ ВОДА 2018'!Y193)</f>
        <v>0</v>
      </c>
      <c r="BG59" s="4751">
        <v>0</v>
      </c>
      <c r="BH59" s="4752">
        <f>SUM('Произв. прогр. Вода (СВОД)'!U60)</f>
        <v>0</v>
      </c>
      <c r="BI59" s="4752">
        <f>SUM('ПОЛНАЯ СЕБЕСТОИМОСТЬ ВОДА 2018'!Z193)</f>
        <v>0</v>
      </c>
      <c r="BJ59" s="4751">
        <v>0</v>
      </c>
      <c r="BK59" s="4733">
        <f t="shared" si="227"/>
        <v>0</v>
      </c>
      <c r="BL59" s="4733">
        <f t="shared" si="227"/>
        <v>0</v>
      </c>
      <c r="BM59" s="4733">
        <f t="shared" si="227"/>
        <v>0</v>
      </c>
      <c r="BN59" s="4734">
        <f t="shared" si="215"/>
        <v>0</v>
      </c>
      <c r="BO59" s="4734" t="e">
        <f t="shared" si="216"/>
        <v>#DIV/0!</v>
      </c>
      <c r="BP59" s="4733">
        <f t="shared" si="228"/>
        <v>0</v>
      </c>
      <c r="BQ59" s="4733">
        <f t="shared" si="228"/>
        <v>0</v>
      </c>
      <c r="BR59" s="4733">
        <f t="shared" si="228"/>
        <v>0</v>
      </c>
      <c r="BS59" s="4734">
        <f t="shared" si="219"/>
        <v>0</v>
      </c>
      <c r="BT59" s="4734" t="e">
        <f t="shared" si="220"/>
        <v>#DIV/0!</v>
      </c>
      <c r="BU59" s="430"/>
      <c r="BV59" s="430"/>
      <c r="BW59" s="430"/>
      <c r="BX59" s="430"/>
    </row>
    <row r="60" spans="1:76" ht="18.75">
      <c r="A60" s="4739" t="s">
        <v>544</v>
      </c>
      <c r="B60" s="4748">
        <f>SUM('Произв. прогр. Вода (СВОД)'!E61)</f>
        <v>0</v>
      </c>
      <c r="C60" s="4752">
        <f>SUM('ПОЛНАЯ СЕБЕСТОИМОСТЬ ВОДА 2018'!C194)</f>
        <v>0</v>
      </c>
      <c r="D60" s="4749">
        <v>0</v>
      </c>
      <c r="E60" s="4748">
        <f>SUM('Произв. прогр. Вода (СВОД)'!F61)</f>
        <v>0</v>
      </c>
      <c r="F60" s="4752">
        <f>SUM('ПОЛНАЯ СЕБЕСТОИМОСТЬ ВОДА 2018'!D194)</f>
        <v>0</v>
      </c>
      <c r="G60" s="4749">
        <v>0</v>
      </c>
      <c r="H60" s="4748">
        <f>SUM('Произв. прогр. Вода (СВОД)'!G61)</f>
        <v>499.05999999999995</v>
      </c>
      <c r="I60" s="4752">
        <f>SUM('ПОЛНАЯ СЕБЕСТОИМОСТЬ ВОДА 2018'!E194)</f>
        <v>0</v>
      </c>
      <c r="J60" s="4749">
        <v>0</v>
      </c>
      <c r="K60" s="4750">
        <f t="shared" si="222"/>
        <v>499.05999999999995</v>
      </c>
      <c r="L60" s="4750">
        <f t="shared" si="222"/>
        <v>0</v>
      </c>
      <c r="M60" s="4750">
        <f t="shared" si="222"/>
        <v>0</v>
      </c>
      <c r="N60" s="4742">
        <f t="shared" si="198"/>
        <v>-499.05999999999995</v>
      </c>
      <c r="O60" s="4742">
        <f t="shared" si="199"/>
        <v>-100</v>
      </c>
      <c r="P60" s="4748">
        <f>SUM('Произв. прогр. Вода (СВОД)'!I61)</f>
        <v>0</v>
      </c>
      <c r="Q60" s="4752">
        <f>SUM('ПОЛНАЯ СЕБЕСТОИМОСТЬ ВОДА 2018'!H194)</f>
        <v>0</v>
      </c>
      <c r="R60" s="4749">
        <v>0</v>
      </c>
      <c r="S60" s="4748">
        <f>SUM('Произв. прогр. Вода (СВОД)'!J61)</f>
        <v>0</v>
      </c>
      <c r="T60" s="4752">
        <f>SUM('ПОЛНАЯ СЕБЕСТОИМОСТЬ ВОДА 2018'!I194)</f>
        <v>0</v>
      </c>
      <c r="U60" s="4749">
        <v>0</v>
      </c>
      <c r="V60" s="4748">
        <f>SUM('Произв. прогр. Вода (СВОД)'!K61)</f>
        <v>499.05999999999995</v>
      </c>
      <c r="W60" s="4752">
        <f>SUM('ПОЛНАЯ СЕБЕСТОИМОСТЬ ВОДА 2018'!J194)</f>
        <v>0</v>
      </c>
      <c r="X60" s="4749">
        <v>0</v>
      </c>
      <c r="Y60" s="4750">
        <f t="shared" si="223"/>
        <v>499.05999999999995</v>
      </c>
      <c r="Z60" s="4750">
        <f t="shared" si="223"/>
        <v>0</v>
      </c>
      <c r="AA60" s="4750">
        <f t="shared" si="223"/>
        <v>0</v>
      </c>
      <c r="AB60" s="4742">
        <f t="shared" si="201"/>
        <v>-499.05999999999995</v>
      </c>
      <c r="AC60" s="4742">
        <f t="shared" si="202"/>
        <v>-100</v>
      </c>
      <c r="AD60" s="4750">
        <f t="shared" si="224"/>
        <v>998.11999999999989</v>
      </c>
      <c r="AE60" s="4750">
        <f t="shared" si="224"/>
        <v>0</v>
      </c>
      <c r="AF60" s="4750">
        <f t="shared" si="224"/>
        <v>0</v>
      </c>
      <c r="AG60" s="4742">
        <f t="shared" si="205"/>
        <v>-998.11999999999989</v>
      </c>
      <c r="AH60" s="4742">
        <f t="shared" si="206"/>
        <v>-100</v>
      </c>
      <c r="AI60" s="4748">
        <f>SUM('Произв. прогр. Вода (СВОД)'!N61)</f>
        <v>0</v>
      </c>
      <c r="AJ60" s="4752">
        <f>SUM('ПОЛНАЯ СЕБЕСТОИМОСТЬ ВОДА 2018'!P194)</f>
        <v>0</v>
      </c>
      <c r="AK60" s="4749">
        <v>0</v>
      </c>
      <c r="AL60" s="4748">
        <f>SUM('Произв. прогр. Вода (СВОД)'!O61)</f>
        <v>0</v>
      </c>
      <c r="AM60" s="4752">
        <f>SUM('ПОЛНАЯ СЕБЕСТОИМОСТЬ ВОДА 2018'!Q194)</f>
        <v>0</v>
      </c>
      <c r="AN60" s="4749">
        <v>0</v>
      </c>
      <c r="AO60" s="4748">
        <f>SUM('Произв. прогр. Вода (СВОД)'!P61)</f>
        <v>499.05999999999995</v>
      </c>
      <c r="AP60" s="4752">
        <f>SUM('ПОЛНАЯ СЕБЕСТОИМОСТЬ ВОДА 2018'!R194)</f>
        <v>0</v>
      </c>
      <c r="AQ60" s="4749">
        <v>0</v>
      </c>
      <c r="AR60" s="4750">
        <f t="shared" si="225"/>
        <v>499.05999999999995</v>
      </c>
      <c r="AS60" s="4750">
        <f t="shared" si="225"/>
        <v>0</v>
      </c>
      <c r="AT60" s="4750">
        <f t="shared" si="225"/>
        <v>0</v>
      </c>
      <c r="AU60" s="4742">
        <f t="shared" si="208"/>
        <v>-499.05999999999995</v>
      </c>
      <c r="AV60" s="4742">
        <f t="shared" si="209"/>
        <v>-100</v>
      </c>
      <c r="AW60" s="4750">
        <f t="shared" si="226"/>
        <v>1497.1799999999998</v>
      </c>
      <c r="AX60" s="4750">
        <f t="shared" si="226"/>
        <v>0</v>
      </c>
      <c r="AY60" s="4750">
        <f t="shared" si="226"/>
        <v>0</v>
      </c>
      <c r="AZ60" s="4742">
        <f t="shared" si="212"/>
        <v>-1497.1799999999998</v>
      </c>
      <c r="BA60" s="4742">
        <f t="shared" si="213"/>
        <v>-100</v>
      </c>
      <c r="BB60" s="4748">
        <f>SUM('Произв. прогр. Вода (СВОД)'!S61)</f>
        <v>0</v>
      </c>
      <c r="BC60" s="4752">
        <f>SUM('ПОЛНАЯ СЕБЕСТОИМОСТЬ ВОДА 2018'!X194)</f>
        <v>0</v>
      </c>
      <c r="BD60" s="4751">
        <v>0</v>
      </c>
      <c r="BE60" s="4752">
        <f>SUM('Произв. прогр. Вода (СВОД)'!T61)</f>
        <v>0</v>
      </c>
      <c r="BF60" s="4752">
        <f>SUM('ПОЛНАЯ СЕБЕСТОИМОСТЬ ВОДА 2018'!Y194)</f>
        <v>0</v>
      </c>
      <c r="BG60" s="4751">
        <v>0</v>
      </c>
      <c r="BH60" s="4752">
        <f>SUM('Произв. прогр. Вода (СВОД)'!U61)</f>
        <v>499.05999999999995</v>
      </c>
      <c r="BI60" s="4752">
        <f>SUM('ПОЛНАЯ СЕБЕСТОИМОСТЬ ВОДА 2018'!Z194)</f>
        <v>0</v>
      </c>
      <c r="BJ60" s="4751">
        <v>0</v>
      </c>
      <c r="BK60" s="4733">
        <f t="shared" si="227"/>
        <v>499.05999999999995</v>
      </c>
      <c r="BL60" s="4733">
        <f t="shared" si="227"/>
        <v>0</v>
      </c>
      <c r="BM60" s="4733">
        <f t="shared" si="227"/>
        <v>0</v>
      </c>
      <c r="BN60" s="4734">
        <f t="shared" si="215"/>
        <v>-499.05999999999995</v>
      </c>
      <c r="BO60" s="4734">
        <f t="shared" si="216"/>
        <v>-100</v>
      </c>
      <c r="BP60" s="4733">
        <f t="shared" si="228"/>
        <v>1996.2399999999998</v>
      </c>
      <c r="BQ60" s="4733">
        <f t="shared" si="228"/>
        <v>0</v>
      </c>
      <c r="BR60" s="4733">
        <f t="shared" si="228"/>
        <v>0</v>
      </c>
      <c r="BS60" s="4734">
        <f t="shared" si="219"/>
        <v>-1996.2399999999998</v>
      </c>
      <c r="BT60" s="4734">
        <f t="shared" si="220"/>
        <v>-100</v>
      </c>
      <c r="BU60" s="430"/>
      <c r="BV60" s="430"/>
      <c r="BW60" s="430"/>
      <c r="BX60" s="430"/>
    </row>
    <row r="61" spans="1:76" ht="18.75">
      <c r="A61" s="4736" t="s">
        <v>1748</v>
      </c>
      <c r="B61" s="4743">
        <f>SUM('Произв. прогр. Вода (СВОД)'!E62)</f>
        <v>879.26458062136055</v>
      </c>
      <c r="C61" s="4737">
        <f>SUM('ПОЛНАЯ СЕБЕСТОИМОСТЬ ВОДА 2018'!C195)</f>
        <v>1212.6799999999998</v>
      </c>
      <c r="D61" s="4744">
        <f>SUM(D62:D67)</f>
        <v>1041.58</v>
      </c>
      <c r="E61" s="4743">
        <f>SUM('Произв. прогр. Вода (СВОД)'!F62)</f>
        <v>879.26458062136055</v>
      </c>
      <c r="F61" s="4737">
        <f>SUM('ПОЛНАЯ СЕБЕСТОИМОСТЬ ВОДА 2018'!D195)</f>
        <v>1129.96</v>
      </c>
      <c r="G61" s="4744">
        <f>SUM(G62:G67)</f>
        <v>1143.79</v>
      </c>
      <c r="H61" s="4743">
        <f>SUM('Произв. прогр. Вода (СВОД)'!G62)</f>
        <v>879.26458062136055</v>
      </c>
      <c r="I61" s="4737">
        <f>SUM('ПОЛНАЯ СЕБЕСТОИМОСТЬ ВОДА 2018'!E195)</f>
        <v>1429.8899999999999</v>
      </c>
      <c r="J61" s="4744">
        <f>SUM(J62:J67)</f>
        <v>1059.8</v>
      </c>
      <c r="K61" s="4745">
        <f t="shared" si="222"/>
        <v>2637.7937418640818</v>
      </c>
      <c r="L61" s="4745">
        <f t="shared" si="222"/>
        <v>3772.5299999999997</v>
      </c>
      <c r="M61" s="4745">
        <f t="shared" si="222"/>
        <v>3245.17</v>
      </c>
      <c r="N61" s="4746">
        <f t="shared" si="198"/>
        <v>1134.736258135918</v>
      </c>
      <c r="O61" s="4746">
        <f t="shared" si="199"/>
        <v>43.018384649514715</v>
      </c>
      <c r="P61" s="4743">
        <f>SUM('Произв. прогр. Вода (СВОД)'!I62)</f>
        <v>879.26458062136055</v>
      </c>
      <c r="Q61" s="4737">
        <f>SUM('ПОЛНАЯ СЕБЕСТОИМОСТЬ ВОДА 2018'!H195)</f>
        <v>1175.6099999999999</v>
      </c>
      <c r="R61" s="4744">
        <f>SUM(R62:R67)</f>
        <v>1047.5900000000001</v>
      </c>
      <c r="S61" s="4743">
        <f>SUM('Произв. прогр. Вода (СВОД)'!J62)</f>
        <v>879.26458062136055</v>
      </c>
      <c r="T61" s="4737">
        <f>SUM('ПОЛНАЯ СЕБЕСТОИМОСТЬ ВОДА 2018'!I195)</f>
        <v>1036.8700000000003</v>
      </c>
      <c r="U61" s="4744">
        <f>SUM(U62:U67)</f>
        <v>1160.6599999999999</v>
      </c>
      <c r="V61" s="4743">
        <f>SUM('Произв. прогр. Вода (СВОД)'!K62)</f>
        <v>879.26458062136055</v>
      </c>
      <c r="W61" s="4737">
        <f>SUM('ПОЛНАЯ СЕБЕСТОИМОСТЬ ВОДА 2018'!J195)</f>
        <v>1272.1199999999999</v>
      </c>
      <c r="X61" s="4744">
        <f>SUM(X62:X67)</f>
        <v>1288.3</v>
      </c>
      <c r="Y61" s="4745">
        <f t="shared" si="223"/>
        <v>2637.7937418640818</v>
      </c>
      <c r="Z61" s="4745">
        <f t="shared" si="223"/>
        <v>3484.6000000000004</v>
      </c>
      <c r="AA61" s="4745">
        <f t="shared" si="223"/>
        <v>3496.55</v>
      </c>
      <c r="AB61" s="4746">
        <f t="shared" si="201"/>
        <v>846.8062581359186</v>
      </c>
      <c r="AC61" s="4746">
        <f t="shared" si="202"/>
        <v>32.102823078861945</v>
      </c>
      <c r="AD61" s="4745">
        <f t="shared" si="224"/>
        <v>5275.5874837281635</v>
      </c>
      <c r="AE61" s="4745">
        <f t="shared" si="224"/>
        <v>7257.13</v>
      </c>
      <c r="AF61" s="4745">
        <f t="shared" si="224"/>
        <v>6741.72</v>
      </c>
      <c r="AG61" s="4746">
        <f t="shared" si="205"/>
        <v>1981.5425162718366</v>
      </c>
      <c r="AH61" s="4746">
        <f t="shared" si="206"/>
        <v>37.56060386418833</v>
      </c>
      <c r="AI61" s="4743">
        <f>SUM('Произв. прогр. Вода (СВОД)'!N62)</f>
        <v>911.48037274056162</v>
      </c>
      <c r="AJ61" s="4737">
        <f>SUM('ПОЛНАЯ СЕБЕСТОИМОСТЬ ВОДА 2018'!P195)</f>
        <v>0</v>
      </c>
      <c r="AK61" s="4744">
        <f>SUM(AK62:AK67)</f>
        <v>1093.54</v>
      </c>
      <c r="AL61" s="4743">
        <f>SUM('Произв. прогр. Вода (СВОД)'!O62)</f>
        <v>911.48037274056162</v>
      </c>
      <c r="AM61" s="4737">
        <f>SUM('ПОЛНАЯ СЕБЕСТОИМОСТЬ ВОДА 2018'!Q195)</f>
        <v>0</v>
      </c>
      <c r="AN61" s="4744">
        <f>SUM(AN62:AN67)</f>
        <v>1207.29</v>
      </c>
      <c r="AO61" s="4743">
        <f>SUM('Произв. прогр. Вода (СВОД)'!P62)</f>
        <v>911.48037274056162</v>
      </c>
      <c r="AP61" s="4737">
        <f>SUM('ПОЛНАЯ СЕБЕСТОИМОСТЬ ВОДА 2018'!R195)</f>
        <v>0</v>
      </c>
      <c r="AQ61" s="4744">
        <f>SUM(AQ62:AQ67)</f>
        <v>1229.0800000000002</v>
      </c>
      <c r="AR61" s="4745">
        <f t="shared" si="225"/>
        <v>2734.441118221685</v>
      </c>
      <c r="AS61" s="4745">
        <f t="shared" si="225"/>
        <v>0</v>
      </c>
      <c r="AT61" s="4745">
        <f t="shared" si="225"/>
        <v>3529.91</v>
      </c>
      <c r="AU61" s="4746">
        <f t="shared" si="208"/>
        <v>-2734.441118221685</v>
      </c>
      <c r="AV61" s="4746">
        <f t="shared" si="209"/>
        <v>-100</v>
      </c>
      <c r="AW61" s="4745">
        <f t="shared" si="226"/>
        <v>8010.028601949849</v>
      </c>
      <c r="AX61" s="4745">
        <f t="shared" si="226"/>
        <v>7257.13</v>
      </c>
      <c r="AY61" s="4745">
        <f t="shared" si="226"/>
        <v>10271.630000000001</v>
      </c>
      <c r="AZ61" s="4746">
        <f t="shared" si="212"/>
        <v>-752.89860194984885</v>
      </c>
      <c r="BA61" s="4746">
        <f t="shared" si="213"/>
        <v>-9.3994496070410261</v>
      </c>
      <c r="BB61" s="4743">
        <f>SUM('Произв. прогр. Вода (СВОД)'!S62)</f>
        <v>911.48037274056162</v>
      </c>
      <c r="BC61" s="4737">
        <f>SUM('ПОЛНАЯ СЕБЕСТОИМОСТЬ ВОДА 2018'!X195)</f>
        <v>0</v>
      </c>
      <c r="BD61" s="4747">
        <f>SUM(BD62:BD67)</f>
        <v>1029.6199999999999</v>
      </c>
      <c r="BE61" s="4737">
        <f>SUM('Произв. прогр. Вода (СВОД)'!T62)</f>
        <v>911.48037274056162</v>
      </c>
      <c r="BF61" s="4737">
        <f>SUM('ПОЛНАЯ СЕБЕСТОИМОСТЬ ВОДА 2018'!Y195)</f>
        <v>0</v>
      </c>
      <c r="BG61" s="4747">
        <f>SUM(BG62:BG67)</f>
        <v>1106.93</v>
      </c>
      <c r="BH61" s="4737">
        <f>SUM('Произв. прогр. Вода (СВОД)'!U62)</f>
        <v>911.48037274056162</v>
      </c>
      <c r="BI61" s="4737">
        <f>SUM('ПОЛНАЯ СЕБЕСТОИМОСТЬ ВОДА 2018'!Z195)</f>
        <v>0</v>
      </c>
      <c r="BJ61" s="4747">
        <f>SUM(BJ62:BJ67)</f>
        <v>1143.9000000000001</v>
      </c>
      <c r="BK61" s="4726">
        <f t="shared" si="227"/>
        <v>2734.441118221685</v>
      </c>
      <c r="BL61" s="4726">
        <f t="shared" si="227"/>
        <v>0</v>
      </c>
      <c r="BM61" s="4726">
        <f t="shared" si="227"/>
        <v>3280.4500000000003</v>
      </c>
      <c r="BN61" s="4727">
        <f t="shared" si="215"/>
        <v>-2734.441118221685</v>
      </c>
      <c r="BO61" s="4727">
        <f t="shared" si="216"/>
        <v>-100</v>
      </c>
      <c r="BP61" s="4726">
        <f t="shared" si="228"/>
        <v>10744.469720171533</v>
      </c>
      <c r="BQ61" s="4726">
        <f t="shared" si="228"/>
        <v>7257.13</v>
      </c>
      <c r="BR61" s="4726">
        <f t="shared" si="228"/>
        <v>13552.080000000002</v>
      </c>
      <c r="BS61" s="4727">
        <f t="shared" si="219"/>
        <v>-3487.3397201715334</v>
      </c>
      <c r="BT61" s="4727">
        <f t="shared" si="220"/>
        <v>-32.457066853885266</v>
      </c>
      <c r="BU61" s="430"/>
      <c r="BV61" s="430"/>
      <c r="BW61" s="430"/>
      <c r="BX61" s="430"/>
    </row>
    <row r="62" spans="1:76" ht="18.75">
      <c r="A62" s="4700" t="s">
        <v>1727</v>
      </c>
      <c r="B62" s="4748">
        <f>SUM('Произв. прогр. Вода (СВОД)'!E63)</f>
        <v>618.58279798772935</v>
      </c>
      <c r="C62" s="4752">
        <f>SUM('ПОЛНАЯ СЕБЕСТОИМОСТЬ ВОДА 2018'!C196)</f>
        <v>753.93</v>
      </c>
      <c r="D62" s="4749">
        <v>700.88</v>
      </c>
      <c r="E62" s="4748">
        <f>SUM('Произв. прогр. Вода (СВОД)'!F63)</f>
        <v>618.58279798772935</v>
      </c>
      <c r="F62" s="4752">
        <f>SUM('ПОЛНАЯ СЕБЕСТОИМОСТЬ ВОДА 2018'!D196)</f>
        <v>757.53</v>
      </c>
      <c r="G62" s="4749">
        <v>770.7</v>
      </c>
      <c r="H62" s="4748">
        <f>SUM('Произв. прогр. Вода (СВОД)'!G63)</f>
        <v>618.58279798772935</v>
      </c>
      <c r="I62" s="4752">
        <f>SUM('ПОЛНАЯ СЕБЕСТОИМОСТЬ ВОДА 2018'!E196)</f>
        <v>721.16</v>
      </c>
      <c r="J62" s="4749">
        <v>704.82</v>
      </c>
      <c r="K62" s="4750">
        <f t="shared" si="222"/>
        <v>1855.7483939631879</v>
      </c>
      <c r="L62" s="4750">
        <f t="shared" si="222"/>
        <v>2232.62</v>
      </c>
      <c r="M62" s="4750">
        <f t="shared" si="222"/>
        <v>2176.4</v>
      </c>
      <c r="N62" s="4742">
        <f t="shared" si="198"/>
        <v>376.87160603681195</v>
      </c>
      <c r="O62" s="4742">
        <f t="shared" si="199"/>
        <v>20.308335292800901</v>
      </c>
      <c r="P62" s="4748">
        <f>SUM('Произв. прогр. Вода (СВОД)'!I63)</f>
        <v>618.58279798772935</v>
      </c>
      <c r="Q62" s="4752">
        <f>SUM('ПОЛНАЯ СЕБЕСТОИМОСТЬ ВОДА 2018'!H196)</f>
        <v>735</v>
      </c>
      <c r="R62" s="4749">
        <v>680.34</v>
      </c>
      <c r="S62" s="4748">
        <f>SUM('Произв. прогр. Вода (СВОД)'!J63)</f>
        <v>618.58279798772935</v>
      </c>
      <c r="T62" s="4752">
        <f>SUM('ПОЛНАЯ СЕБЕСТОИМОСТЬ ВОДА 2018'!I196)</f>
        <v>685.88000000000011</v>
      </c>
      <c r="U62" s="4749">
        <v>805.05</v>
      </c>
      <c r="V62" s="4748">
        <f>SUM('Произв. прогр. Вода (СВОД)'!K63)</f>
        <v>618.58279798772935</v>
      </c>
      <c r="W62" s="4752">
        <f>SUM('ПОЛНАЯ СЕБЕСТОИМОСТЬ ВОДА 2018'!J196)</f>
        <v>875.19</v>
      </c>
      <c r="X62" s="4749">
        <v>878.38</v>
      </c>
      <c r="Y62" s="4750">
        <f t="shared" si="223"/>
        <v>1855.7483939631879</v>
      </c>
      <c r="Z62" s="4750">
        <f t="shared" si="223"/>
        <v>2296.0700000000002</v>
      </c>
      <c r="AA62" s="4750">
        <f t="shared" si="223"/>
        <v>2363.77</v>
      </c>
      <c r="AB62" s="4742">
        <f t="shared" si="201"/>
        <v>440.32160603681223</v>
      </c>
      <c r="AC62" s="4742">
        <f t="shared" si="202"/>
        <v>23.727441040455336</v>
      </c>
      <c r="AD62" s="4750">
        <f t="shared" si="224"/>
        <v>3711.4967879263759</v>
      </c>
      <c r="AE62" s="4750">
        <f t="shared" si="224"/>
        <v>4528.6900000000005</v>
      </c>
      <c r="AF62" s="4750">
        <f t="shared" si="224"/>
        <v>4540.17</v>
      </c>
      <c r="AG62" s="4742">
        <f t="shared" si="205"/>
        <v>817.19321207362464</v>
      </c>
      <c r="AH62" s="4742">
        <f t="shared" si="206"/>
        <v>22.017888166628129</v>
      </c>
      <c r="AI62" s="4748">
        <f>SUM('Произв. прогр. Вода (СВОД)'!N63)</f>
        <v>643.32610990723867</v>
      </c>
      <c r="AJ62" s="4752">
        <f>SUM('ПОЛНАЯ СЕБЕСТОИМОСТЬ ВОДА 2018'!P196)</f>
        <v>0</v>
      </c>
      <c r="AK62" s="4749">
        <v>707.71</v>
      </c>
      <c r="AL62" s="4748">
        <f>SUM('Произв. прогр. Вода (СВОД)'!O63)</f>
        <v>643.32610990723867</v>
      </c>
      <c r="AM62" s="4752">
        <f>SUM('ПОЛНАЯ СЕБЕСТОИМОСТЬ ВОДА 2018'!Q196)</f>
        <v>0</v>
      </c>
      <c r="AN62" s="4749">
        <v>781.88</v>
      </c>
      <c r="AO62" s="4748">
        <f>SUM('Произв. прогр. Вода (СВОД)'!P63)</f>
        <v>643.32610990723867</v>
      </c>
      <c r="AP62" s="4752">
        <f>SUM('ПОЛНАЯ СЕБЕСТОИМОСТЬ ВОДА 2018'!R196)</f>
        <v>0</v>
      </c>
      <c r="AQ62" s="4749">
        <v>730.95</v>
      </c>
      <c r="AR62" s="4750">
        <f t="shared" si="225"/>
        <v>1929.9783297217159</v>
      </c>
      <c r="AS62" s="4750">
        <f t="shared" si="225"/>
        <v>0</v>
      </c>
      <c r="AT62" s="4750">
        <f t="shared" si="225"/>
        <v>2220.54</v>
      </c>
      <c r="AU62" s="4742">
        <f t="shared" si="208"/>
        <v>-1929.9783297217159</v>
      </c>
      <c r="AV62" s="4742">
        <f t="shared" si="209"/>
        <v>-100</v>
      </c>
      <c r="AW62" s="4750">
        <f t="shared" si="226"/>
        <v>5641.4751176480913</v>
      </c>
      <c r="AX62" s="4750">
        <f t="shared" si="226"/>
        <v>4528.6900000000005</v>
      </c>
      <c r="AY62" s="4750">
        <f t="shared" si="226"/>
        <v>6760.71</v>
      </c>
      <c r="AZ62" s="4742">
        <f t="shared" si="212"/>
        <v>-1112.7851176480908</v>
      </c>
      <c r="BA62" s="4742">
        <f t="shared" si="213"/>
        <v>-19.725073574586759</v>
      </c>
      <c r="BB62" s="4748">
        <f>SUM('Произв. прогр. Вода (СВОД)'!S63)</f>
        <v>643.32610990723867</v>
      </c>
      <c r="BC62" s="4752">
        <f>SUM('ПОЛНАЯ СЕБЕСТОИМОСТЬ ВОДА 2018'!X196)</f>
        <v>0</v>
      </c>
      <c r="BD62" s="4751">
        <v>680.38</v>
      </c>
      <c r="BE62" s="4752">
        <f>SUM('Произв. прогр. Вода (СВОД)'!T63)</f>
        <v>643.32610990723867</v>
      </c>
      <c r="BF62" s="4752">
        <f>SUM('ПОЛНАЯ СЕБЕСТОИМОСТЬ ВОДА 2018'!Y196)</f>
        <v>0</v>
      </c>
      <c r="BG62" s="4751">
        <v>739.95</v>
      </c>
      <c r="BH62" s="4752">
        <f>SUM('Произв. прогр. Вода (СВОД)'!U63)</f>
        <v>643.32610990723867</v>
      </c>
      <c r="BI62" s="4752">
        <f>SUM('ПОЛНАЯ СЕБЕСТОИМОСТЬ ВОДА 2018'!Z196)</f>
        <v>0</v>
      </c>
      <c r="BJ62" s="4751">
        <v>779.97</v>
      </c>
      <c r="BK62" s="4733">
        <f t="shared" si="227"/>
        <v>1929.9783297217159</v>
      </c>
      <c r="BL62" s="4733">
        <f t="shared" si="227"/>
        <v>0</v>
      </c>
      <c r="BM62" s="4733">
        <f t="shared" si="227"/>
        <v>2200.3000000000002</v>
      </c>
      <c r="BN62" s="4734">
        <f t="shared" si="215"/>
        <v>-1929.9783297217159</v>
      </c>
      <c r="BO62" s="4734">
        <f t="shared" si="216"/>
        <v>-100</v>
      </c>
      <c r="BP62" s="4733">
        <f t="shared" si="228"/>
        <v>7571.4534473698077</v>
      </c>
      <c r="BQ62" s="4733">
        <f t="shared" si="228"/>
        <v>4528.6900000000005</v>
      </c>
      <c r="BR62" s="4733">
        <f t="shared" si="228"/>
        <v>8961.01</v>
      </c>
      <c r="BS62" s="4734">
        <f t="shared" si="219"/>
        <v>-3042.7634473698072</v>
      </c>
      <c r="BT62" s="4734">
        <f t="shared" si="220"/>
        <v>-40.187309722241125</v>
      </c>
      <c r="BU62" s="430"/>
      <c r="BV62" s="430"/>
      <c r="BW62" s="430"/>
      <c r="BX62" s="430"/>
    </row>
    <row r="63" spans="1:76" ht="18.75">
      <c r="A63" s="4700" t="s">
        <v>1728</v>
      </c>
      <c r="B63" s="4748">
        <f>SUM('Произв. прогр. Вода (СВОД)'!E64)</f>
        <v>186.81200499229428</v>
      </c>
      <c r="C63" s="4752">
        <f>SUM('ПОЛНАЯ СЕБЕСТОИМОСТЬ ВОДА 2018'!C197)</f>
        <v>244.85</v>
      </c>
      <c r="D63" s="4749">
        <v>211.04</v>
      </c>
      <c r="E63" s="4748">
        <f>SUM('Произв. прогр. Вода (СВОД)'!F64)</f>
        <v>186.81200499229428</v>
      </c>
      <c r="F63" s="4752">
        <f>SUM('ПОЛНАЯ СЕБЕСТОИМОСТЬ ВОДА 2018'!D197)</f>
        <v>228.12</v>
      </c>
      <c r="G63" s="4749">
        <v>231.23</v>
      </c>
      <c r="H63" s="4748">
        <f>SUM('Произв. прогр. Вода (СВОД)'!G64)</f>
        <v>186.81200499229428</v>
      </c>
      <c r="I63" s="4752">
        <f>SUM('ПОЛНАЯ СЕБЕСТОИМОСТЬ ВОДА 2018'!E197)</f>
        <v>220.34</v>
      </c>
      <c r="J63" s="4749">
        <v>212.18</v>
      </c>
      <c r="K63" s="4750">
        <f t="shared" si="222"/>
        <v>560.4360149768828</v>
      </c>
      <c r="L63" s="4750">
        <f t="shared" si="222"/>
        <v>693.31000000000006</v>
      </c>
      <c r="M63" s="4750">
        <f t="shared" si="222"/>
        <v>654.45000000000005</v>
      </c>
      <c r="N63" s="4742">
        <f t="shared" si="198"/>
        <v>132.87398502311726</v>
      </c>
      <c r="O63" s="4742">
        <f t="shared" si="199"/>
        <v>23.709037512265894</v>
      </c>
      <c r="P63" s="4748">
        <f>SUM('Произв. прогр. Вода (СВОД)'!I64)</f>
        <v>186.81200499229428</v>
      </c>
      <c r="Q63" s="4752">
        <f>SUM('ПОЛНАЯ СЕБЕСТОИМОСТЬ ВОДА 2018'!H197)</f>
        <v>220.11</v>
      </c>
      <c r="R63" s="4749">
        <v>205.46</v>
      </c>
      <c r="S63" s="4748">
        <f>SUM('Произв. прогр. Вода (СВОД)'!J64)</f>
        <v>186.81200499229428</v>
      </c>
      <c r="T63" s="4752">
        <f>SUM('ПОЛНАЯ СЕБЕСТОИМОСТЬ ВОДА 2018'!I197)</f>
        <v>225.33</v>
      </c>
      <c r="U63" s="4749">
        <v>243.06</v>
      </c>
      <c r="V63" s="4748">
        <f>SUM('Произв. прогр. Вода (СВОД)'!K64)</f>
        <v>186.81200499229428</v>
      </c>
      <c r="W63" s="4752">
        <f>SUM('ПОЛНАЯ СЕБЕСТОИМОСТЬ ВОДА 2018'!J197)</f>
        <v>264.56</v>
      </c>
      <c r="X63" s="4749">
        <v>262.07</v>
      </c>
      <c r="Y63" s="4750">
        <f t="shared" si="223"/>
        <v>560.4360149768828</v>
      </c>
      <c r="Z63" s="4750">
        <f t="shared" si="223"/>
        <v>710</v>
      </c>
      <c r="AA63" s="4750">
        <f t="shared" si="223"/>
        <v>710.58999999999992</v>
      </c>
      <c r="AB63" s="4742">
        <f t="shared" si="201"/>
        <v>149.5639850231172</v>
      </c>
      <c r="AC63" s="4742">
        <f t="shared" si="202"/>
        <v>26.687075959828615</v>
      </c>
      <c r="AD63" s="4750">
        <f t="shared" si="224"/>
        <v>1120.8720299537656</v>
      </c>
      <c r="AE63" s="4750">
        <f t="shared" si="224"/>
        <v>1403.31</v>
      </c>
      <c r="AF63" s="4750">
        <f t="shared" si="224"/>
        <v>1365.04</v>
      </c>
      <c r="AG63" s="4742">
        <f t="shared" si="205"/>
        <v>282.43797004623434</v>
      </c>
      <c r="AH63" s="4742">
        <f t="shared" si="206"/>
        <v>25.198056736047249</v>
      </c>
      <c r="AI63" s="4748">
        <f>SUM('Произв. прогр. Вода (СВОД)'!N64)</f>
        <v>194.28448519198602</v>
      </c>
      <c r="AJ63" s="4752">
        <f>SUM('ПОЛНАЯ СЕБЕСТОИМОСТЬ ВОДА 2018'!P197)</f>
        <v>0</v>
      </c>
      <c r="AK63" s="4749">
        <v>210.87</v>
      </c>
      <c r="AL63" s="4748">
        <f>SUM('Произв. прогр. Вода (СВОД)'!O64)</f>
        <v>194.28448519198602</v>
      </c>
      <c r="AM63" s="4752">
        <f>SUM('ПОЛНАЯ СЕБЕСТОИМОСТЬ ВОДА 2018'!Q197)</f>
        <v>0</v>
      </c>
      <c r="AN63" s="4749">
        <v>228.78</v>
      </c>
      <c r="AO63" s="4748">
        <f>SUM('Произв. прогр. Вода (СВОД)'!P64)</f>
        <v>194.28448519198602</v>
      </c>
      <c r="AP63" s="4752">
        <f>SUM('ПОЛНАЯ СЕБЕСТОИМОСТЬ ВОДА 2018'!R197)</f>
        <v>0</v>
      </c>
      <c r="AQ63" s="4749">
        <v>235.34</v>
      </c>
      <c r="AR63" s="4750">
        <f t="shared" si="225"/>
        <v>582.85345557595804</v>
      </c>
      <c r="AS63" s="4750">
        <f t="shared" si="225"/>
        <v>0</v>
      </c>
      <c r="AT63" s="4750">
        <f t="shared" si="225"/>
        <v>674.99</v>
      </c>
      <c r="AU63" s="4742">
        <f t="shared" si="208"/>
        <v>-582.85345557595804</v>
      </c>
      <c r="AV63" s="4742">
        <f t="shared" si="209"/>
        <v>-100</v>
      </c>
      <c r="AW63" s="4750">
        <f t="shared" si="226"/>
        <v>1703.7254855297238</v>
      </c>
      <c r="AX63" s="4750">
        <f t="shared" si="226"/>
        <v>1403.31</v>
      </c>
      <c r="AY63" s="4750">
        <f t="shared" si="226"/>
        <v>2040.03</v>
      </c>
      <c r="AZ63" s="4742">
        <f t="shared" si="212"/>
        <v>-300.41548552972381</v>
      </c>
      <c r="BA63" s="4742">
        <f t="shared" si="213"/>
        <v>-17.632857410495234</v>
      </c>
      <c r="BB63" s="4748">
        <f>SUM('Произв. прогр. Вода (СВОД)'!S64)</f>
        <v>194.28448519198602</v>
      </c>
      <c r="BC63" s="4752">
        <f>SUM('ПОЛНАЯ СЕБЕСТОИМОСТЬ ВОДА 2018'!X197)</f>
        <v>0</v>
      </c>
      <c r="BD63" s="4751">
        <v>189.52</v>
      </c>
      <c r="BE63" s="4752">
        <f>SUM('Произв. прогр. Вода (СВОД)'!T64)</f>
        <v>194.28448519198602</v>
      </c>
      <c r="BF63" s="4752">
        <f>SUM('ПОЛНАЯ СЕБЕСТОИМОСТЬ ВОДА 2018'!Y197)</f>
        <v>0</v>
      </c>
      <c r="BG63" s="4751">
        <v>202.12</v>
      </c>
      <c r="BH63" s="4752">
        <f>SUM('Произв. прогр. Вода (СВОД)'!U64)</f>
        <v>194.28448519198602</v>
      </c>
      <c r="BI63" s="4752">
        <f>SUM('ПОЛНАЯ СЕБЕСТОИМОСТЬ ВОДА 2018'!Z197)</f>
        <v>0</v>
      </c>
      <c r="BJ63" s="4751">
        <v>212.11</v>
      </c>
      <c r="BK63" s="4733">
        <f t="shared" si="227"/>
        <v>582.85345557595804</v>
      </c>
      <c r="BL63" s="4733">
        <f t="shared" si="227"/>
        <v>0</v>
      </c>
      <c r="BM63" s="4733">
        <f t="shared" si="227"/>
        <v>603.75</v>
      </c>
      <c r="BN63" s="4734">
        <f t="shared" si="215"/>
        <v>-582.85345557595804</v>
      </c>
      <c r="BO63" s="4734">
        <f t="shared" si="216"/>
        <v>-100</v>
      </c>
      <c r="BP63" s="4733">
        <f t="shared" si="228"/>
        <v>2286.5789411056817</v>
      </c>
      <c r="BQ63" s="4733">
        <f t="shared" si="228"/>
        <v>1403.31</v>
      </c>
      <c r="BR63" s="4733">
        <f t="shared" si="228"/>
        <v>2643.7799999999997</v>
      </c>
      <c r="BS63" s="4734">
        <f t="shared" si="219"/>
        <v>-883.26894110568173</v>
      </c>
      <c r="BT63" s="4734">
        <f t="shared" si="220"/>
        <v>-38.62840356076115</v>
      </c>
      <c r="BU63" s="430"/>
      <c r="BV63" s="430"/>
      <c r="BW63" s="430"/>
      <c r="BX63" s="430"/>
    </row>
    <row r="64" spans="1:76" ht="18.75">
      <c r="A64" s="4700" t="s">
        <v>285</v>
      </c>
      <c r="B64" s="4748"/>
      <c r="C64" s="4752">
        <f>SUM('ПОЛНАЯ СЕБЕСТОИМОСТЬ ВОДА 2018'!C198)</f>
        <v>0.13</v>
      </c>
      <c r="D64" s="4749">
        <v>0.02</v>
      </c>
      <c r="E64" s="4748"/>
      <c r="F64" s="4752">
        <f>SUM('ПОЛНАЯ СЕБЕСТОИМОСТЬ ВОДА 2018'!D198)</f>
        <v>0.12</v>
      </c>
      <c r="G64" s="4749">
        <v>0.02</v>
      </c>
      <c r="H64" s="4748"/>
      <c r="I64" s="4752">
        <f>SUM('ПОЛНАЯ СЕБЕСТОИМОСТЬ ВОДА 2018'!E198)</f>
        <v>2.35</v>
      </c>
      <c r="J64" s="4749">
        <v>0.02</v>
      </c>
      <c r="K64" s="4750"/>
      <c r="L64" s="4750">
        <f t="shared" si="222"/>
        <v>2.6</v>
      </c>
      <c r="M64" s="4750">
        <f t="shared" si="222"/>
        <v>0.06</v>
      </c>
      <c r="N64" s="4742"/>
      <c r="O64" s="4742"/>
      <c r="P64" s="4748"/>
      <c r="Q64" s="4752">
        <f>SUM('ПОЛНАЯ СЕБЕСТОИМОСТЬ ВОДА 2018'!H198)</f>
        <v>2.59</v>
      </c>
      <c r="R64" s="4749">
        <v>0.02</v>
      </c>
      <c r="S64" s="4748"/>
      <c r="T64" s="4752">
        <f>SUM('ПОЛНАЯ СЕБЕСТОИМОСТЬ ВОДА 2018'!I198)</f>
        <v>2.76</v>
      </c>
      <c r="U64" s="4749">
        <v>0.02</v>
      </c>
      <c r="V64" s="4748"/>
      <c r="W64" s="4752">
        <f>SUM('ПОЛНАЯ СЕБЕСТОИМОСТЬ ВОДА 2018'!J198)</f>
        <v>3.16</v>
      </c>
      <c r="X64" s="4749">
        <v>0.02</v>
      </c>
      <c r="Y64" s="4750"/>
      <c r="Z64" s="4750">
        <f t="shared" si="223"/>
        <v>8.51</v>
      </c>
      <c r="AA64" s="4750">
        <f t="shared" si="223"/>
        <v>0.06</v>
      </c>
      <c r="AB64" s="4742"/>
      <c r="AC64" s="4742"/>
      <c r="AD64" s="4750"/>
      <c r="AE64" s="4750">
        <f t="shared" si="224"/>
        <v>11.11</v>
      </c>
      <c r="AF64" s="4750">
        <f t="shared" si="224"/>
        <v>0.12</v>
      </c>
      <c r="AG64" s="4742"/>
      <c r="AH64" s="4742"/>
      <c r="AI64" s="4748"/>
      <c r="AJ64" s="4752">
        <f>SUM('ПОЛНАЯ СЕБЕСТОИМОСТЬ ВОДА 2018'!P198)</f>
        <v>0</v>
      </c>
      <c r="AK64" s="4749">
        <v>0.56000000000000005</v>
      </c>
      <c r="AL64" s="4748"/>
      <c r="AM64" s="4752">
        <f>SUM('ПОЛНАЯ СЕБЕСТОИМОСТЬ ВОДА 2018'!Q198)</f>
        <v>0</v>
      </c>
      <c r="AN64" s="4749">
        <v>0.02</v>
      </c>
      <c r="AO64" s="4748"/>
      <c r="AP64" s="4752">
        <f>SUM('ПОЛНАЯ СЕБЕСТОИМОСТЬ ВОДА 2018'!R198)</f>
        <v>0</v>
      </c>
      <c r="AQ64" s="4749">
        <v>0.01</v>
      </c>
      <c r="AR64" s="4750"/>
      <c r="AS64" s="4750">
        <f t="shared" si="225"/>
        <v>0</v>
      </c>
      <c r="AT64" s="4750">
        <f t="shared" si="225"/>
        <v>0.59000000000000008</v>
      </c>
      <c r="AU64" s="4742"/>
      <c r="AV64" s="4742"/>
      <c r="AW64" s="4750"/>
      <c r="AX64" s="4750">
        <f t="shared" si="226"/>
        <v>11.11</v>
      </c>
      <c r="AY64" s="4750">
        <f t="shared" si="226"/>
        <v>0.71000000000000008</v>
      </c>
      <c r="AZ64" s="4742"/>
      <c r="BA64" s="4742"/>
      <c r="BB64" s="4748"/>
      <c r="BC64" s="4752">
        <f>SUM('ПОЛНАЯ СЕБЕСТОИМОСТЬ ВОДА 2018'!X198)</f>
        <v>0</v>
      </c>
      <c r="BD64" s="4751">
        <v>0.13</v>
      </c>
      <c r="BE64" s="4752"/>
      <c r="BF64" s="4752">
        <f>SUM('ПОЛНАЯ СЕБЕСТОИМОСТЬ ВОДА 2018'!Y198)</f>
        <v>0</v>
      </c>
      <c r="BG64" s="4751">
        <v>7.0000000000000007E-2</v>
      </c>
      <c r="BH64" s="4752"/>
      <c r="BI64" s="4752">
        <f>SUM('ПОЛНАЯ СЕБЕСТОИМОСТЬ ВОДА 2018'!Z198)</f>
        <v>0</v>
      </c>
      <c r="BJ64" s="4751">
        <v>0.12</v>
      </c>
      <c r="BK64" s="4733"/>
      <c r="BL64" s="4733">
        <f t="shared" si="227"/>
        <v>0</v>
      </c>
      <c r="BM64" s="4733">
        <f t="shared" si="227"/>
        <v>0.32</v>
      </c>
      <c r="BN64" s="4734"/>
      <c r="BO64" s="4734"/>
      <c r="BP64" s="4733"/>
      <c r="BQ64" s="4733">
        <f t="shared" si="228"/>
        <v>11.11</v>
      </c>
      <c r="BR64" s="4733">
        <f t="shared" si="228"/>
        <v>1.03</v>
      </c>
      <c r="BS64" s="4734"/>
      <c r="BT64" s="4734"/>
      <c r="BU64" s="430"/>
      <c r="BV64" s="430"/>
      <c r="BW64" s="430"/>
      <c r="BX64" s="430"/>
    </row>
    <row r="65" spans="1:76" ht="18.75">
      <c r="A65" s="4700" t="s">
        <v>1997</v>
      </c>
      <c r="B65" s="4748"/>
      <c r="C65" s="4752">
        <f>SUM('ПОЛНАЯ СЕБЕСТОИМОСТЬ ВОДА 2018'!C199)</f>
        <v>10.02</v>
      </c>
      <c r="D65" s="4749">
        <v>9.94</v>
      </c>
      <c r="E65" s="4748"/>
      <c r="F65" s="4752">
        <f>SUM('ПОЛНАЯ СЕБЕСТОИМОСТЬ ВОДА 2018'!D199)</f>
        <v>10.82</v>
      </c>
      <c r="G65" s="4749">
        <v>9.26</v>
      </c>
      <c r="H65" s="4748"/>
      <c r="I65" s="4752">
        <f>SUM('ПОЛНАЯ СЕБЕСТОИМОСТЬ ВОДА 2018'!E199)</f>
        <v>10.31</v>
      </c>
      <c r="J65" s="4749">
        <v>7.9</v>
      </c>
      <c r="K65" s="4750"/>
      <c r="L65" s="4750">
        <f t="shared" si="222"/>
        <v>31.15</v>
      </c>
      <c r="M65" s="4750">
        <f t="shared" si="222"/>
        <v>27.1</v>
      </c>
      <c r="N65" s="4742"/>
      <c r="O65" s="4742"/>
      <c r="P65" s="4748"/>
      <c r="Q65" s="4752">
        <f>SUM('ПОЛНАЯ СЕБЕСТОИМОСТЬ ВОДА 2018'!H199)</f>
        <v>8.0500000000000007</v>
      </c>
      <c r="R65" s="4749">
        <v>6.21</v>
      </c>
      <c r="S65" s="4748"/>
      <c r="T65" s="4752">
        <f>SUM('ПОЛНАЯ СЕБЕСТОИМОСТЬ ВОДА 2018'!I199)</f>
        <v>2.58</v>
      </c>
      <c r="U65" s="4749">
        <v>4.74</v>
      </c>
      <c r="V65" s="4748"/>
      <c r="W65" s="4752">
        <f>SUM('ПОЛНАЯ СЕБЕСТОИМОСТЬ ВОДА 2018'!J199)</f>
        <v>0</v>
      </c>
      <c r="X65" s="4749">
        <v>0</v>
      </c>
      <c r="Y65" s="4750"/>
      <c r="Z65" s="4750">
        <f t="shared" si="223"/>
        <v>10.63</v>
      </c>
      <c r="AA65" s="4750">
        <f t="shared" si="223"/>
        <v>10.95</v>
      </c>
      <c r="AB65" s="4742"/>
      <c r="AC65" s="4742"/>
      <c r="AD65" s="4750"/>
      <c r="AE65" s="4750">
        <f t="shared" si="224"/>
        <v>41.78</v>
      </c>
      <c r="AF65" s="4750">
        <f t="shared" si="224"/>
        <v>38.049999999999997</v>
      </c>
      <c r="AG65" s="4742"/>
      <c r="AH65" s="4742"/>
      <c r="AI65" s="4748"/>
      <c r="AJ65" s="4752">
        <f>SUM('ПОЛНАЯ СЕБЕСТОИМОСТЬ ВОДА 2018'!P199)</f>
        <v>0</v>
      </c>
      <c r="AK65" s="4749">
        <v>0</v>
      </c>
      <c r="AL65" s="4748"/>
      <c r="AM65" s="4752">
        <f>SUM('ПОЛНАЯ СЕБЕСТОИМОСТЬ ВОДА 2018'!Q199)</f>
        <v>0</v>
      </c>
      <c r="AN65" s="4749">
        <v>0</v>
      </c>
      <c r="AO65" s="4748"/>
      <c r="AP65" s="4752">
        <f>SUM('ПОЛНАЯ СЕБЕСТОИМОСТЬ ВОДА 2018'!R199)</f>
        <v>0</v>
      </c>
      <c r="AQ65" s="4749">
        <v>2.14</v>
      </c>
      <c r="AR65" s="4750"/>
      <c r="AS65" s="4750">
        <f t="shared" si="225"/>
        <v>0</v>
      </c>
      <c r="AT65" s="4750">
        <f t="shared" si="225"/>
        <v>2.14</v>
      </c>
      <c r="AU65" s="4742"/>
      <c r="AV65" s="4742"/>
      <c r="AW65" s="4750"/>
      <c r="AX65" s="4750">
        <f t="shared" si="226"/>
        <v>41.78</v>
      </c>
      <c r="AY65" s="4750">
        <f t="shared" si="226"/>
        <v>40.19</v>
      </c>
      <c r="AZ65" s="4742"/>
      <c r="BA65" s="4742"/>
      <c r="BB65" s="4748"/>
      <c r="BC65" s="4752">
        <f>SUM('ПОЛНАЯ СЕБЕСТОИМОСТЬ ВОДА 2018'!X199)</f>
        <v>0</v>
      </c>
      <c r="BD65" s="4751">
        <v>5.73</v>
      </c>
      <c r="BE65" s="4752"/>
      <c r="BF65" s="4752">
        <f>SUM('ПОЛНАЯ СЕБЕСТОИМОСТЬ ВОДА 2018'!Y199)</f>
        <v>0</v>
      </c>
      <c r="BG65" s="4751">
        <v>6.7</v>
      </c>
      <c r="BH65" s="4752"/>
      <c r="BI65" s="4752">
        <f>SUM('ПОЛНАЯ СЕБЕСТОИМОСТЬ ВОДА 2018'!Z199)</f>
        <v>0</v>
      </c>
      <c r="BJ65" s="4751">
        <v>8.82</v>
      </c>
      <c r="BK65" s="4733"/>
      <c r="BL65" s="4733">
        <f t="shared" si="227"/>
        <v>0</v>
      </c>
      <c r="BM65" s="4733">
        <f t="shared" si="227"/>
        <v>21.25</v>
      </c>
      <c r="BN65" s="4734"/>
      <c r="BO65" s="4734"/>
      <c r="BP65" s="4733"/>
      <c r="BQ65" s="4733">
        <f t="shared" si="228"/>
        <v>41.78</v>
      </c>
      <c r="BR65" s="4733">
        <f t="shared" si="228"/>
        <v>61.44</v>
      </c>
      <c r="BS65" s="4734"/>
      <c r="BT65" s="4734"/>
      <c r="BU65" s="430"/>
      <c r="BV65" s="430"/>
      <c r="BW65" s="430"/>
      <c r="BX65" s="430"/>
    </row>
    <row r="66" spans="1:76" ht="18.75">
      <c r="A66" s="4700" t="s">
        <v>286</v>
      </c>
      <c r="B66" s="4748"/>
      <c r="C66" s="4752">
        <f>SUM('ПОЛНАЯ СЕБЕСТОИМОСТЬ ВОДА 2018'!C200)</f>
        <v>6.3</v>
      </c>
      <c r="D66" s="4749">
        <v>6.13</v>
      </c>
      <c r="E66" s="4748"/>
      <c r="F66" s="4752">
        <f>SUM('ПОЛНАЯ СЕБЕСТОИМОСТЬ ВОДА 2018'!D200)</f>
        <v>6.35</v>
      </c>
      <c r="G66" s="4749">
        <v>6.49</v>
      </c>
      <c r="H66" s="4748"/>
      <c r="I66" s="4752">
        <f>SUM('ПОЛНАЯ СЕБЕСТОИМОСТЬ ВОДА 2018'!E200)</f>
        <v>5.98</v>
      </c>
      <c r="J66" s="4749">
        <v>6.18</v>
      </c>
      <c r="K66" s="4750"/>
      <c r="L66" s="4750">
        <f t="shared" si="222"/>
        <v>18.63</v>
      </c>
      <c r="M66" s="4750">
        <f t="shared" si="222"/>
        <v>18.8</v>
      </c>
      <c r="N66" s="4742"/>
      <c r="O66" s="4742"/>
      <c r="P66" s="4748"/>
      <c r="Q66" s="4752">
        <f>SUM('ПОЛНАЯ СЕБЕСТОИМОСТЬ ВОДА 2018'!H200)</f>
        <v>6.29</v>
      </c>
      <c r="R66" s="4749">
        <v>6.37</v>
      </c>
      <c r="S66" s="4748"/>
      <c r="T66" s="4752">
        <f>SUM('ПОЛНАЯ СЕБЕСТОИМОСТЬ ВОДА 2018'!I200)</f>
        <v>6.4399999999999995</v>
      </c>
      <c r="U66" s="4749">
        <v>6.6</v>
      </c>
      <c r="V66" s="4748"/>
      <c r="W66" s="4752">
        <f>SUM('ПОЛНАЯ СЕБЕСТОИМОСТЬ ВОДА 2018'!J200)</f>
        <v>6.33</v>
      </c>
      <c r="X66" s="4749">
        <v>6.48</v>
      </c>
      <c r="Y66" s="4750"/>
      <c r="Z66" s="4750">
        <f t="shared" si="223"/>
        <v>19.060000000000002</v>
      </c>
      <c r="AA66" s="4750">
        <f t="shared" si="223"/>
        <v>19.45</v>
      </c>
      <c r="AB66" s="4742"/>
      <c r="AC66" s="4742"/>
      <c r="AD66" s="4750"/>
      <c r="AE66" s="4750">
        <f t="shared" si="224"/>
        <v>37.69</v>
      </c>
      <c r="AF66" s="4750">
        <f t="shared" si="224"/>
        <v>38.25</v>
      </c>
      <c r="AG66" s="4742"/>
      <c r="AH66" s="4742"/>
      <c r="AI66" s="4748"/>
      <c r="AJ66" s="4752">
        <f>SUM('ПОЛНАЯ СЕБЕСТОИМОСТЬ ВОДА 2018'!P200)</f>
        <v>0</v>
      </c>
      <c r="AK66" s="4749">
        <v>6.37</v>
      </c>
      <c r="AL66" s="4748"/>
      <c r="AM66" s="4752">
        <f>SUM('ПОЛНАЯ СЕБЕСТОИМОСТЬ ВОДА 2018'!Q200)</f>
        <v>0</v>
      </c>
      <c r="AN66" s="4749">
        <v>6.16</v>
      </c>
      <c r="AO66" s="4748"/>
      <c r="AP66" s="4752">
        <f>SUM('ПОЛНАЯ СЕБЕСТОИМОСТЬ ВОДА 2018'!R200)</f>
        <v>0</v>
      </c>
      <c r="AQ66" s="4749">
        <v>6.49</v>
      </c>
      <c r="AR66" s="4750"/>
      <c r="AS66" s="4750">
        <f t="shared" si="225"/>
        <v>0</v>
      </c>
      <c r="AT66" s="4750">
        <f t="shared" si="225"/>
        <v>19.020000000000003</v>
      </c>
      <c r="AU66" s="4742"/>
      <c r="AV66" s="4742"/>
      <c r="AW66" s="4750"/>
      <c r="AX66" s="4750">
        <f t="shared" si="226"/>
        <v>37.69</v>
      </c>
      <c r="AY66" s="4750">
        <f t="shared" si="226"/>
        <v>57.27</v>
      </c>
      <c r="AZ66" s="4742"/>
      <c r="BA66" s="4742"/>
      <c r="BB66" s="4748"/>
      <c r="BC66" s="4752">
        <f>SUM('ПОЛНАЯ СЕБЕСТОИМОСТЬ ВОДА 2018'!X200)</f>
        <v>0</v>
      </c>
      <c r="BD66" s="4751">
        <v>6.3</v>
      </c>
      <c r="BE66" s="4752"/>
      <c r="BF66" s="4752">
        <f>SUM('ПОЛНАЯ СЕБЕСТОИМОСТЬ ВОДА 2018'!Y200)</f>
        <v>0</v>
      </c>
      <c r="BG66" s="4751">
        <v>6.17</v>
      </c>
      <c r="BH66" s="4752"/>
      <c r="BI66" s="4752">
        <f>SUM('ПОЛНАЯ СЕБЕСТОИМОСТЬ ВОДА 2018'!Z200)</f>
        <v>0</v>
      </c>
      <c r="BJ66" s="4751">
        <v>6.53</v>
      </c>
      <c r="BK66" s="4733"/>
      <c r="BL66" s="4733">
        <f t="shared" si="227"/>
        <v>0</v>
      </c>
      <c r="BM66" s="4733">
        <f t="shared" si="227"/>
        <v>19</v>
      </c>
      <c r="BN66" s="4734"/>
      <c r="BO66" s="4734"/>
      <c r="BP66" s="4733"/>
      <c r="BQ66" s="4733">
        <f t="shared" si="228"/>
        <v>37.69</v>
      </c>
      <c r="BR66" s="4733">
        <f t="shared" si="228"/>
        <v>76.27000000000001</v>
      </c>
      <c r="BS66" s="4734"/>
      <c r="BT66" s="4734"/>
      <c r="BU66" s="430"/>
      <c r="BV66" s="430"/>
      <c r="BW66" s="430"/>
      <c r="BX66" s="430"/>
    </row>
    <row r="67" spans="1:76" ht="18.75">
      <c r="A67" s="4700" t="s">
        <v>1729</v>
      </c>
      <c r="B67" s="4748">
        <f>SUM('Произв. прогр. Вода (СВОД)'!E65)</f>
        <v>73.869777641336924</v>
      </c>
      <c r="C67" s="4752">
        <f>SUM('ПОЛНАЯ СЕБЕСТОИМОСТЬ ВОДА 2018'!C201)</f>
        <v>197.45</v>
      </c>
      <c r="D67" s="4749">
        <v>113.57</v>
      </c>
      <c r="E67" s="4748">
        <f>SUM('Произв. прогр. Вода (СВОД)'!F65)</f>
        <v>73.869777641336924</v>
      </c>
      <c r="F67" s="4752">
        <f>SUM('ПОЛНАЯ СЕБЕСТОИМОСТЬ ВОДА 2018'!D201)</f>
        <v>127.02</v>
      </c>
      <c r="G67" s="4749">
        <v>126.09</v>
      </c>
      <c r="H67" s="4748">
        <f>SUM('Произв. прогр. Вода (СВОД)'!G65)</f>
        <v>73.869777641336924</v>
      </c>
      <c r="I67" s="4752">
        <f>SUM('ПОЛНАЯ СЕБЕСТОИМОСТЬ ВОДА 2018'!E201)</f>
        <v>469.75</v>
      </c>
      <c r="J67" s="4749">
        <v>128.69999999999999</v>
      </c>
      <c r="K67" s="4750">
        <f t="shared" si="222"/>
        <v>221.60933292401077</v>
      </c>
      <c r="L67" s="4750">
        <f t="shared" si="222"/>
        <v>794.22</v>
      </c>
      <c r="M67" s="4750">
        <f t="shared" si="222"/>
        <v>368.36</v>
      </c>
      <c r="N67" s="4742">
        <f t="shared" si="198"/>
        <v>572.61066707598923</v>
      </c>
      <c r="O67" s="4742">
        <f t="shared" si="199"/>
        <v>258.38743320090038</v>
      </c>
      <c r="P67" s="4748">
        <f>SUM('Произв. прогр. Вода (СВОД)'!I65)</f>
        <v>73.869777641336924</v>
      </c>
      <c r="Q67" s="4752">
        <f>SUM('ПОЛНАЯ СЕБЕСТОИМОСТЬ ВОДА 2018'!H201)</f>
        <v>203.57</v>
      </c>
      <c r="R67" s="4749">
        <v>149.19</v>
      </c>
      <c r="S67" s="4748">
        <f>SUM('Произв. прогр. Вода (СВОД)'!J65)</f>
        <v>73.869777641336924</v>
      </c>
      <c r="T67" s="4752">
        <f>SUM('ПОЛНАЯ СЕБЕСТОИМОСТЬ ВОДА 2018'!I201)</f>
        <v>113.88</v>
      </c>
      <c r="U67" s="4749">
        <v>101.19</v>
      </c>
      <c r="V67" s="4748">
        <f>SUM('Произв. прогр. Вода (СВОД)'!K65)</f>
        <v>73.869777641336924</v>
      </c>
      <c r="W67" s="4752">
        <f>SUM('ПОЛНАЯ СЕБЕСТОИМОСТЬ ВОДА 2018'!J201)</f>
        <v>122.88</v>
      </c>
      <c r="X67" s="4749">
        <v>141.35</v>
      </c>
      <c r="Y67" s="4750">
        <f t="shared" si="223"/>
        <v>221.60933292401077</v>
      </c>
      <c r="Z67" s="4750">
        <f t="shared" si="223"/>
        <v>440.33</v>
      </c>
      <c r="AA67" s="4750">
        <f t="shared" si="223"/>
        <v>391.73</v>
      </c>
      <c r="AB67" s="4742">
        <f t="shared" si="201"/>
        <v>218.72066707598921</v>
      </c>
      <c r="AC67" s="4742">
        <f t="shared" si="202"/>
        <v>98.69650532768307</v>
      </c>
      <c r="AD67" s="4750">
        <f t="shared" si="224"/>
        <v>443.21866584802154</v>
      </c>
      <c r="AE67" s="4750">
        <f t="shared" si="224"/>
        <v>1234.55</v>
      </c>
      <c r="AF67" s="4750">
        <f t="shared" si="224"/>
        <v>760.09</v>
      </c>
      <c r="AG67" s="4742">
        <f t="shared" si="205"/>
        <v>791.33133415197835</v>
      </c>
      <c r="AH67" s="4742">
        <f t="shared" si="206"/>
        <v>178.54196926429168</v>
      </c>
      <c r="AI67" s="4748">
        <f>SUM('Произв. прогр. Вода (СВОД)'!N65)</f>
        <v>73.869777641336924</v>
      </c>
      <c r="AJ67" s="4752">
        <f>SUM('ПОЛНАЯ СЕБЕСТОИМОСТЬ ВОДА 2018'!P201)</f>
        <v>0</v>
      </c>
      <c r="AK67" s="4749">
        <v>168.03</v>
      </c>
      <c r="AL67" s="4748">
        <f>SUM('Произв. прогр. Вода (СВОД)'!O65)</f>
        <v>73.869777641336924</v>
      </c>
      <c r="AM67" s="4752">
        <f>SUM('ПОЛНАЯ СЕБЕСТОИМОСТЬ ВОДА 2018'!Q201)</f>
        <v>0</v>
      </c>
      <c r="AN67" s="4749">
        <v>190.45</v>
      </c>
      <c r="AO67" s="4748">
        <f>SUM('Произв. прогр. Вода (СВОД)'!P65)</f>
        <v>73.869777641336924</v>
      </c>
      <c r="AP67" s="4752">
        <f>SUM('ПОЛНАЯ СЕБЕСТОИМОСТЬ ВОДА 2018'!R201)</f>
        <v>0</v>
      </c>
      <c r="AQ67" s="4749">
        <v>254.15</v>
      </c>
      <c r="AR67" s="4750">
        <f t="shared" si="225"/>
        <v>221.60933292401077</v>
      </c>
      <c r="AS67" s="4750">
        <f t="shared" si="225"/>
        <v>0</v>
      </c>
      <c r="AT67" s="4750">
        <f t="shared" si="225"/>
        <v>612.63</v>
      </c>
      <c r="AU67" s="4742">
        <f t="shared" si="208"/>
        <v>-221.60933292401077</v>
      </c>
      <c r="AV67" s="4742">
        <f t="shared" si="209"/>
        <v>-100</v>
      </c>
      <c r="AW67" s="4750">
        <f t="shared" si="226"/>
        <v>664.82799877203229</v>
      </c>
      <c r="AX67" s="4750">
        <f t="shared" si="226"/>
        <v>1234.55</v>
      </c>
      <c r="AY67" s="4750">
        <f t="shared" si="226"/>
        <v>1372.72</v>
      </c>
      <c r="AZ67" s="4742">
        <f t="shared" si="212"/>
        <v>569.72200122796767</v>
      </c>
      <c r="BA67" s="4742">
        <f t="shared" si="213"/>
        <v>85.694646176194482</v>
      </c>
      <c r="BB67" s="4748">
        <f>SUM('Произв. прогр. Вода (СВОД)'!S65)</f>
        <v>73.869777641336924</v>
      </c>
      <c r="BC67" s="4752">
        <f>SUM('ПОЛНАЯ СЕБЕСТОИМОСТЬ ВОДА 2018'!X201)</f>
        <v>0</v>
      </c>
      <c r="BD67" s="4751">
        <v>147.56</v>
      </c>
      <c r="BE67" s="4752">
        <f>SUM('Произв. прогр. Вода (СВОД)'!T65)</f>
        <v>73.869777641336924</v>
      </c>
      <c r="BF67" s="4752">
        <f>SUM('ПОЛНАЯ СЕБЕСТОИМОСТЬ ВОДА 2018'!Y201)</f>
        <v>0</v>
      </c>
      <c r="BG67" s="4751">
        <v>151.91999999999999</v>
      </c>
      <c r="BH67" s="4752">
        <f>SUM('Произв. прогр. Вода (СВОД)'!U65)</f>
        <v>73.869777641336924</v>
      </c>
      <c r="BI67" s="4752">
        <f>SUM('ПОЛНАЯ СЕБЕСТОИМОСТЬ ВОДА 2018'!Z201)</f>
        <v>0</v>
      </c>
      <c r="BJ67" s="4751">
        <v>136.35</v>
      </c>
      <c r="BK67" s="4733">
        <f t="shared" si="227"/>
        <v>221.60933292401077</v>
      </c>
      <c r="BL67" s="4733">
        <f t="shared" si="227"/>
        <v>0</v>
      </c>
      <c r="BM67" s="4733">
        <f t="shared" si="227"/>
        <v>435.83000000000004</v>
      </c>
      <c r="BN67" s="4734">
        <f t="shared" si="215"/>
        <v>-221.60933292401077</v>
      </c>
      <c r="BO67" s="4734">
        <f t="shared" si="216"/>
        <v>-100</v>
      </c>
      <c r="BP67" s="4733">
        <f t="shared" si="228"/>
        <v>886.43733169604309</v>
      </c>
      <c r="BQ67" s="4733">
        <f t="shared" si="228"/>
        <v>1234.55</v>
      </c>
      <c r="BR67" s="4733">
        <f t="shared" si="228"/>
        <v>1808.5500000000002</v>
      </c>
      <c r="BS67" s="4734">
        <f t="shared" si="219"/>
        <v>348.11266830395687</v>
      </c>
      <c r="BT67" s="4734">
        <f t="shared" si="220"/>
        <v>39.270984632145854</v>
      </c>
      <c r="BU67" s="430"/>
      <c r="BV67" s="430"/>
      <c r="BW67" s="430"/>
      <c r="BX67" s="430"/>
    </row>
    <row r="68" spans="1:76" ht="18.75">
      <c r="A68" s="4620" t="s">
        <v>1730</v>
      </c>
      <c r="B68" s="4748">
        <f>SUM('Произв. прогр. Вода (СВОД)'!E66)</f>
        <v>0</v>
      </c>
      <c r="C68" s="4737">
        <f>SUM('ПОЛНАЯ СЕБЕСТОИМОСТЬ ВОДА 2018'!C202)</f>
        <v>0</v>
      </c>
      <c r="D68" s="4754">
        <v>0</v>
      </c>
      <c r="E68" s="4748">
        <f>SUM('Произв. прогр. Вода (СВОД)'!F66)</f>
        <v>0</v>
      </c>
      <c r="F68" s="4737">
        <f>SUM('ПОЛНАЯ СЕБЕСТОИМОСТЬ ВОДА 2018'!D202)</f>
        <v>0</v>
      </c>
      <c r="G68" s="4754">
        <v>0</v>
      </c>
      <c r="H68" s="4748">
        <f>SUM('Произв. прогр. Вода (СВОД)'!G66)</f>
        <v>0</v>
      </c>
      <c r="I68" s="4737">
        <f>SUM('ПОЛНАЯ СЕБЕСТОИМОСТЬ ВОДА 2018'!E202)</f>
        <v>0</v>
      </c>
      <c r="J68" s="4754">
        <v>0</v>
      </c>
      <c r="K68" s="4745">
        <f t="shared" si="222"/>
        <v>0</v>
      </c>
      <c r="L68" s="4745">
        <f t="shared" si="222"/>
        <v>0</v>
      </c>
      <c r="M68" s="4745">
        <f t="shared" si="222"/>
        <v>0</v>
      </c>
      <c r="N68" s="4746">
        <f t="shared" si="198"/>
        <v>0</v>
      </c>
      <c r="O68" s="4746" t="e">
        <f t="shared" si="199"/>
        <v>#DIV/0!</v>
      </c>
      <c r="P68" s="4748">
        <f>SUM('Произв. прогр. Вода (СВОД)'!I66)</f>
        <v>0</v>
      </c>
      <c r="Q68" s="4737">
        <f>SUM('ПОЛНАЯ СЕБЕСТОИМОСТЬ ВОДА 2018'!H202)</f>
        <v>0</v>
      </c>
      <c r="R68" s="4754">
        <v>0</v>
      </c>
      <c r="S68" s="4748">
        <f>SUM('Произв. прогр. Вода (СВОД)'!J66)</f>
        <v>0</v>
      </c>
      <c r="T68" s="4737">
        <f>SUM('ПОЛНАЯ СЕБЕСТОИМОСТЬ ВОДА 2018'!I202)</f>
        <v>0</v>
      </c>
      <c r="U68" s="4754">
        <v>0</v>
      </c>
      <c r="V68" s="4748">
        <f>SUM('Произв. прогр. Вода (СВОД)'!K66)</f>
        <v>0</v>
      </c>
      <c r="W68" s="4737">
        <f>SUM('ПОЛНАЯ СЕБЕСТОИМОСТЬ ВОДА 2018'!J202)</f>
        <v>0</v>
      </c>
      <c r="X68" s="4754">
        <v>0</v>
      </c>
      <c r="Y68" s="4745">
        <f t="shared" si="223"/>
        <v>0</v>
      </c>
      <c r="Z68" s="4745">
        <f t="shared" si="223"/>
        <v>0</v>
      </c>
      <c r="AA68" s="4745">
        <f t="shared" si="223"/>
        <v>0</v>
      </c>
      <c r="AB68" s="4746">
        <f t="shared" si="201"/>
        <v>0</v>
      </c>
      <c r="AC68" s="4746" t="e">
        <f t="shared" si="202"/>
        <v>#DIV/0!</v>
      </c>
      <c r="AD68" s="4745">
        <f t="shared" si="224"/>
        <v>0</v>
      </c>
      <c r="AE68" s="4745">
        <f t="shared" si="224"/>
        <v>0</v>
      </c>
      <c r="AF68" s="4745">
        <f t="shared" si="224"/>
        <v>0</v>
      </c>
      <c r="AG68" s="4746">
        <f t="shared" si="205"/>
        <v>0</v>
      </c>
      <c r="AH68" s="4746" t="e">
        <f t="shared" si="206"/>
        <v>#DIV/0!</v>
      </c>
      <c r="AI68" s="4748">
        <f>SUM('Произв. прогр. Вода (СВОД)'!N66)</f>
        <v>0</v>
      </c>
      <c r="AJ68" s="4737">
        <f>SUM('ПОЛНАЯ СЕБЕСТОИМОСТЬ ВОДА 2018'!P202)</f>
        <v>0</v>
      </c>
      <c r="AK68" s="4754">
        <v>0</v>
      </c>
      <c r="AL68" s="4748">
        <f>SUM('Произв. прогр. Вода (СВОД)'!O66)</f>
        <v>0</v>
      </c>
      <c r="AM68" s="4737">
        <f>SUM('ПОЛНАЯ СЕБЕСТОИМОСТЬ ВОДА 2018'!Q202)</f>
        <v>0</v>
      </c>
      <c r="AN68" s="4754">
        <v>0</v>
      </c>
      <c r="AO68" s="4748">
        <f>SUM('Произв. прогр. Вода (СВОД)'!P66)</f>
        <v>0</v>
      </c>
      <c r="AP68" s="4737">
        <f>SUM('ПОЛНАЯ СЕБЕСТОИМОСТЬ ВОДА 2018'!R202)</f>
        <v>0</v>
      </c>
      <c r="AQ68" s="4754">
        <v>0</v>
      </c>
      <c r="AR68" s="4745">
        <f t="shared" si="225"/>
        <v>0</v>
      </c>
      <c r="AS68" s="4745">
        <f t="shared" si="225"/>
        <v>0</v>
      </c>
      <c r="AT68" s="4745">
        <f t="shared" si="225"/>
        <v>0</v>
      </c>
      <c r="AU68" s="4746">
        <f t="shared" si="208"/>
        <v>0</v>
      </c>
      <c r="AV68" s="4746" t="e">
        <f t="shared" si="209"/>
        <v>#DIV/0!</v>
      </c>
      <c r="AW68" s="4745">
        <f t="shared" si="226"/>
        <v>0</v>
      </c>
      <c r="AX68" s="4745">
        <f t="shared" si="226"/>
        <v>0</v>
      </c>
      <c r="AY68" s="4745">
        <f t="shared" si="226"/>
        <v>0</v>
      </c>
      <c r="AZ68" s="4746">
        <f t="shared" si="212"/>
        <v>0</v>
      </c>
      <c r="BA68" s="4746" t="e">
        <f t="shared" si="213"/>
        <v>#DIV/0!</v>
      </c>
      <c r="BB68" s="4748">
        <f>SUM('Произв. прогр. Вода (СВОД)'!S66)</f>
        <v>0</v>
      </c>
      <c r="BC68" s="4737">
        <f>SUM('ПОЛНАЯ СЕБЕСТОИМОСТЬ ВОДА 2018'!X202)</f>
        <v>0</v>
      </c>
      <c r="BD68" s="4738">
        <v>0</v>
      </c>
      <c r="BE68" s="4752">
        <f>SUM('Произв. прогр. Вода (СВОД)'!T66)</f>
        <v>0</v>
      </c>
      <c r="BF68" s="4737">
        <f>SUM('ПОЛНАЯ СЕБЕСТОИМОСТЬ ВОДА 2018'!Y202)</f>
        <v>0</v>
      </c>
      <c r="BG68" s="4738">
        <v>0</v>
      </c>
      <c r="BH68" s="4752">
        <f>SUM('Произв. прогр. Вода (СВОД)'!U66)</f>
        <v>0</v>
      </c>
      <c r="BI68" s="4737">
        <f>SUM('ПОЛНАЯ СЕБЕСТОИМОСТЬ ВОДА 2018'!Z202)</f>
        <v>0</v>
      </c>
      <c r="BJ68" s="4738">
        <v>0</v>
      </c>
      <c r="BK68" s="4726">
        <f t="shared" si="227"/>
        <v>0</v>
      </c>
      <c r="BL68" s="4726">
        <f t="shared" si="227"/>
        <v>0</v>
      </c>
      <c r="BM68" s="4726">
        <f t="shared" si="227"/>
        <v>0</v>
      </c>
      <c r="BN68" s="4727">
        <f t="shared" si="215"/>
        <v>0</v>
      </c>
      <c r="BO68" s="4727" t="e">
        <f t="shared" si="216"/>
        <v>#DIV/0!</v>
      </c>
      <c r="BP68" s="4726">
        <f t="shared" si="228"/>
        <v>0</v>
      </c>
      <c r="BQ68" s="4726">
        <f t="shared" si="228"/>
        <v>0</v>
      </c>
      <c r="BR68" s="4726">
        <f t="shared" si="228"/>
        <v>0</v>
      </c>
      <c r="BS68" s="4727">
        <f t="shared" si="219"/>
        <v>0</v>
      </c>
      <c r="BT68" s="4727" t="e">
        <f t="shared" si="220"/>
        <v>#DIV/0!</v>
      </c>
      <c r="BU68" s="430"/>
      <c r="BV68" s="430"/>
      <c r="BW68" s="430"/>
      <c r="BX68" s="430"/>
    </row>
    <row r="69" spans="1:76" ht="18.75">
      <c r="A69" s="4620" t="s">
        <v>1731</v>
      </c>
      <c r="B69" s="4743">
        <f>SUM('Произв. прогр. Вода (СВОД)'!E70)</f>
        <v>36.403300302055449</v>
      </c>
      <c r="C69" s="4737">
        <f>SUM('ПОЛНАЯ СЕБЕСТОИМОСТЬ ВОДА 2018'!C203)</f>
        <v>0</v>
      </c>
      <c r="D69" s="4754">
        <v>0</v>
      </c>
      <c r="E69" s="4743">
        <f>SUM('Произв. прогр. Вода (СВОД)'!F70)</f>
        <v>36.403300302055449</v>
      </c>
      <c r="F69" s="4737">
        <f>SUM('ПОЛНАЯ СЕБЕСТОИМОСТЬ ВОДА 2018'!D203)</f>
        <v>0</v>
      </c>
      <c r="G69" s="4754">
        <v>0</v>
      </c>
      <c r="H69" s="4743">
        <f>SUM('Произв. прогр. Вода (СВОД)'!G70)</f>
        <v>36.403300302055449</v>
      </c>
      <c r="I69" s="4737">
        <f>SUM('ПОЛНАЯ СЕБЕСТОИМОСТЬ ВОДА 2018'!E203)</f>
        <v>0</v>
      </c>
      <c r="J69" s="4754">
        <v>0</v>
      </c>
      <c r="K69" s="4745">
        <f t="shared" si="222"/>
        <v>109.20990090616635</v>
      </c>
      <c r="L69" s="4745">
        <f t="shared" si="222"/>
        <v>0</v>
      </c>
      <c r="M69" s="4745">
        <f t="shared" si="222"/>
        <v>0</v>
      </c>
      <c r="N69" s="4746">
        <f t="shared" si="198"/>
        <v>-109.20990090616635</v>
      </c>
      <c r="O69" s="4746">
        <f t="shared" si="199"/>
        <v>-100</v>
      </c>
      <c r="P69" s="4743">
        <f>SUM('Произв. прогр. Вода (СВОД)'!I70)</f>
        <v>36.403300302055449</v>
      </c>
      <c r="Q69" s="4737">
        <f>SUM('ПОЛНАЯ СЕБЕСТОИМОСТЬ ВОДА 2018'!H203)</f>
        <v>0</v>
      </c>
      <c r="R69" s="4754">
        <v>0</v>
      </c>
      <c r="S69" s="4743">
        <f>SUM('Произв. прогр. Вода (СВОД)'!J70)</f>
        <v>36.403300302055449</v>
      </c>
      <c r="T69" s="4737">
        <f>SUM('ПОЛНАЯ СЕБЕСТОИМОСТЬ ВОДА 2018'!I203)</f>
        <v>0</v>
      </c>
      <c r="U69" s="4754">
        <v>0</v>
      </c>
      <c r="V69" s="4743">
        <f>SUM('Произв. прогр. Вода (СВОД)'!K70)</f>
        <v>36.403300302055449</v>
      </c>
      <c r="W69" s="4737">
        <f>SUM('ПОЛНАЯ СЕБЕСТОИМОСТЬ ВОДА 2018'!J203)</f>
        <v>0</v>
      </c>
      <c r="X69" s="4754">
        <v>0</v>
      </c>
      <c r="Y69" s="4745">
        <f t="shared" ref="Y69:AA69" si="239">SUM(P69+S69+V69)</f>
        <v>109.20990090616635</v>
      </c>
      <c r="Z69" s="4745">
        <f t="shared" si="239"/>
        <v>0</v>
      </c>
      <c r="AA69" s="4745">
        <f t="shared" si="239"/>
        <v>0</v>
      </c>
      <c r="AB69" s="4746">
        <f t="shared" si="201"/>
        <v>-109.20990090616635</v>
      </c>
      <c r="AC69" s="4746">
        <f t="shared" si="202"/>
        <v>-100</v>
      </c>
      <c r="AD69" s="4745">
        <f t="shared" ref="AD69:AF71" si="240">SUM(K69+Y69)</f>
        <v>218.41980181233271</v>
      </c>
      <c r="AE69" s="4745">
        <f t="shared" si="240"/>
        <v>0</v>
      </c>
      <c r="AF69" s="4745">
        <f t="shared" si="240"/>
        <v>0</v>
      </c>
      <c r="AG69" s="4746">
        <f t="shared" si="205"/>
        <v>-218.41980181233271</v>
      </c>
      <c r="AH69" s="4746">
        <f t="shared" si="206"/>
        <v>-100</v>
      </c>
      <c r="AI69" s="4743">
        <f>SUM('Произв. прогр. Вода (СВОД)'!N70)</f>
        <v>36.403300302055449</v>
      </c>
      <c r="AJ69" s="4737">
        <f>SUM('ПОЛНАЯ СЕБЕСТОИМОСТЬ ВОДА 2018'!P203)</f>
        <v>0</v>
      </c>
      <c r="AK69" s="4754">
        <v>0</v>
      </c>
      <c r="AL69" s="4743">
        <f>SUM('Произв. прогр. Вода (СВОД)'!O70)</f>
        <v>36.403300302055449</v>
      </c>
      <c r="AM69" s="4737">
        <f>SUM('ПОЛНАЯ СЕБЕСТОИМОСТЬ ВОДА 2018'!Q203)</f>
        <v>0</v>
      </c>
      <c r="AN69" s="4754">
        <v>0</v>
      </c>
      <c r="AO69" s="4743">
        <f>SUM('Произв. прогр. Вода (СВОД)'!P70)</f>
        <v>36.403300302055449</v>
      </c>
      <c r="AP69" s="4737">
        <f>SUM('ПОЛНАЯ СЕБЕСТОИМОСТЬ ВОДА 2018'!R203)</f>
        <v>0</v>
      </c>
      <c r="AQ69" s="4754">
        <v>0</v>
      </c>
      <c r="AR69" s="4745">
        <f t="shared" ref="AR69:AT69" si="241">SUM(AI69+AL69+AO69)</f>
        <v>109.20990090616635</v>
      </c>
      <c r="AS69" s="4745">
        <f t="shared" si="241"/>
        <v>0</v>
      </c>
      <c r="AT69" s="4745">
        <f t="shared" si="241"/>
        <v>0</v>
      </c>
      <c r="AU69" s="4746">
        <f t="shared" si="208"/>
        <v>-109.20990090616635</v>
      </c>
      <c r="AV69" s="4746">
        <f t="shared" si="209"/>
        <v>-100</v>
      </c>
      <c r="AW69" s="4745">
        <f t="shared" ref="AW69:AY69" si="242">SUM(AD69+AR69)</f>
        <v>327.62970271849906</v>
      </c>
      <c r="AX69" s="4745">
        <f t="shared" si="242"/>
        <v>0</v>
      </c>
      <c r="AY69" s="4745">
        <f t="shared" si="242"/>
        <v>0</v>
      </c>
      <c r="AZ69" s="4746">
        <f t="shared" si="212"/>
        <v>-327.62970271849906</v>
      </c>
      <c r="BA69" s="4746">
        <f t="shared" si="213"/>
        <v>-100</v>
      </c>
      <c r="BB69" s="4743">
        <f>SUM('Произв. прогр. Вода (СВОД)'!S70)</f>
        <v>36.403300302055449</v>
      </c>
      <c r="BC69" s="4737">
        <f>SUM('ПОЛНАЯ СЕБЕСТОИМОСТЬ ВОДА 2018'!X203)</f>
        <v>0</v>
      </c>
      <c r="BD69" s="4738">
        <v>0</v>
      </c>
      <c r="BE69" s="4737">
        <f>SUM('Произв. прогр. Вода (СВОД)'!T70)</f>
        <v>36.403300302055449</v>
      </c>
      <c r="BF69" s="4737">
        <f>SUM('ПОЛНАЯ СЕБЕСТОИМОСТЬ ВОДА 2018'!Y203)</f>
        <v>0</v>
      </c>
      <c r="BG69" s="4738">
        <v>0</v>
      </c>
      <c r="BH69" s="4737">
        <f>SUM('Произв. прогр. Вода (СВОД)'!U70)</f>
        <v>36.403300302055449</v>
      </c>
      <c r="BI69" s="4737">
        <f>SUM('ПОЛНАЯ СЕБЕСТОИМОСТЬ ВОДА 2018'!Z203)</f>
        <v>0</v>
      </c>
      <c r="BJ69" s="4738">
        <v>0</v>
      </c>
      <c r="BK69" s="4726">
        <f t="shared" ref="BK69:BM69" si="243">SUM(BB69+BE69+BH69)</f>
        <v>109.20990090616635</v>
      </c>
      <c r="BL69" s="4726">
        <f t="shared" si="243"/>
        <v>0</v>
      </c>
      <c r="BM69" s="4726">
        <f t="shared" si="243"/>
        <v>0</v>
      </c>
      <c r="BN69" s="4727">
        <f t="shared" si="215"/>
        <v>-109.20990090616635</v>
      </c>
      <c r="BO69" s="4727">
        <f t="shared" si="216"/>
        <v>-100</v>
      </c>
      <c r="BP69" s="4726">
        <f t="shared" ref="BP69:BR69" si="244">SUM(AW69+BK69)</f>
        <v>436.83960362466541</v>
      </c>
      <c r="BQ69" s="4726">
        <f t="shared" si="244"/>
        <v>0</v>
      </c>
      <c r="BR69" s="4726">
        <f t="shared" si="244"/>
        <v>0</v>
      </c>
      <c r="BS69" s="4727">
        <f t="shared" si="219"/>
        <v>-436.83960362466541</v>
      </c>
      <c r="BT69" s="4727">
        <f t="shared" si="220"/>
        <v>-100</v>
      </c>
      <c r="BU69" s="430"/>
      <c r="BV69" s="430"/>
      <c r="BW69" s="430"/>
      <c r="BX69" s="430"/>
    </row>
    <row r="70" spans="1:76" ht="18.75">
      <c r="A70" s="4755" t="s">
        <v>12</v>
      </c>
      <c r="B70" s="4756">
        <f t="shared" ref="B70:J70" si="245">SUM(B43+B44+B45+B46+B47+B48+B49+B51+B56+B61+B68+B69)</f>
        <v>10648.276148143455</v>
      </c>
      <c r="C70" s="4756">
        <f t="shared" si="245"/>
        <v>10514.97</v>
      </c>
      <c r="D70" s="4756">
        <f t="shared" si="245"/>
        <v>9822.2800000000007</v>
      </c>
      <c r="E70" s="4756">
        <f t="shared" si="245"/>
        <v>10525.525564386353</v>
      </c>
      <c r="F70" s="4756">
        <f t="shared" si="245"/>
        <v>9444.4000000000015</v>
      </c>
      <c r="G70" s="4756">
        <f t="shared" si="245"/>
        <v>9093.91</v>
      </c>
      <c r="H70" s="4756">
        <f t="shared" si="245"/>
        <v>11355.399630938728</v>
      </c>
      <c r="I70" s="4756">
        <f t="shared" si="245"/>
        <v>12013.359999999999</v>
      </c>
      <c r="J70" s="4756">
        <f t="shared" si="245"/>
        <v>10025.09</v>
      </c>
      <c r="K70" s="4757">
        <f t="shared" si="222"/>
        <v>32529.201343468536</v>
      </c>
      <c r="L70" s="4757">
        <f t="shared" si="222"/>
        <v>31972.730000000003</v>
      </c>
      <c r="M70" s="4757">
        <f t="shared" si="222"/>
        <v>28941.280000000002</v>
      </c>
      <c r="N70" s="4758">
        <f t="shared" si="198"/>
        <v>-556.47134346853272</v>
      </c>
      <c r="O70" s="4758">
        <f t="shared" si="199"/>
        <v>-1.7106824652498434</v>
      </c>
      <c r="P70" s="4756">
        <f t="shared" ref="P70:X70" si="246">SUM(P43+P44+P45+P46+P47+P48+P49+P51+P56+P61+P68+P69)</f>
        <v>10291.93361750053</v>
      </c>
      <c r="Q70" s="4756">
        <f t="shared" si="246"/>
        <v>11127.480000000001</v>
      </c>
      <c r="R70" s="4756">
        <f t="shared" si="246"/>
        <v>12338.539999999999</v>
      </c>
      <c r="S70" s="4756">
        <f t="shared" si="246"/>
        <v>9896.2474658592382</v>
      </c>
      <c r="T70" s="4756">
        <f t="shared" si="246"/>
        <v>10121.700000000001</v>
      </c>
      <c r="U70" s="4756">
        <f t="shared" si="246"/>
        <v>12174.65</v>
      </c>
      <c r="V70" s="4756">
        <f t="shared" si="246"/>
        <v>10673.310773946198</v>
      </c>
      <c r="W70" s="4756">
        <f t="shared" si="246"/>
        <v>11471.89</v>
      </c>
      <c r="X70" s="4756">
        <f t="shared" si="246"/>
        <v>11203.669999999998</v>
      </c>
      <c r="Y70" s="4757">
        <f t="shared" ref="Y70:AA71" si="247">SUM(P70+S70+V70)</f>
        <v>30861.491857305969</v>
      </c>
      <c r="Z70" s="4757">
        <f t="shared" si="247"/>
        <v>32721.07</v>
      </c>
      <c r="AA70" s="4757">
        <f t="shared" si="247"/>
        <v>35716.86</v>
      </c>
      <c r="AB70" s="4758">
        <f t="shared" si="201"/>
        <v>1859.5781426940302</v>
      </c>
      <c r="AC70" s="4758">
        <f t="shared" si="202"/>
        <v>6.0255614060789631</v>
      </c>
      <c r="AD70" s="4757">
        <f t="shared" si="240"/>
        <v>63390.693200774505</v>
      </c>
      <c r="AE70" s="4757">
        <f t="shared" si="240"/>
        <v>64693.8</v>
      </c>
      <c r="AF70" s="4757">
        <f t="shared" si="240"/>
        <v>64658.14</v>
      </c>
      <c r="AG70" s="4758">
        <f t="shared" si="205"/>
        <v>1303.1067992254975</v>
      </c>
      <c r="AH70" s="4758">
        <f t="shared" si="206"/>
        <v>2.0556752630835344</v>
      </c>
      <c r="AI70" s="4756">
        <f t="shared" ref="AI70:AT70" si="248">SUM(AI43+AI44+AI45+AI46+AI47+AI48+AI49+AI51+AI56+AI61+AI68+AI69)</f>
        <v>10121.291795733416</v>
      </c>
      <c r="AJ70" s="4756">
        <f t="shared" si="248"/>
        <v>0</v>
      </c>
      <c r="AK70" s="4756">
        <f t="shared" si="248"/>
        <v>10391.260000000002</v>
      </c>
      <c r="AL70" s="4756">
        <f t="shared" si="248"/>
        <v>10119.154961238701</v>
      </c>
      <c r="AM70" s="4756">
        <f t="shared" si="248"/>
        <v>0</v>
      </c>
      <c r="AN70" s="4756">
        <f t="shared" si="248"/>
        <v>11652.720000000001</v>
      </c>
      <c r="AO70" s="4756">
        <f t="shared" si="248"/>
        <v>11242.646450380884</v>
      </c>
      <c r="AP70" s="4756">
        <f t="shared" si="248"/>
        <v>0</v>
      </c>
      <c r="AQ70" s="4756">
        <f t="shared" si="248"/>
        <v>12720.17</v>
      </c>
      <c r="AR70" s="4759">
        <f t="shared" si="248"/>
        <v>31483.093207352998</v>
      </c>
      <c r="AS70" s="4759">
        <f t="shared" si="248"/>
        <v>0</v>
      </c>
      <c r="AT70" s="4759">
        <f t="shared" si="248"/>
        <v>34764.149999999994</v>
      </c>
      <c r="AU70" s="4758">
        <f t="shared" si="208"/>
        <v>-31483.093207352998</v>
      </c>
      <c r="AV70" s="4758">
        <f t="shared" si="209"/>
        <v>-100</v>
      </c>
      <c r="AW70" s="4759">
        <f>SUM(AW43+AW44+AW45+AW46+AW47+AW48+AW49+AW51+AW56+AW61+AW68+AW69)</f>
        <v>94873.786408127489</v>
      </c>
      <c r="AX70" s="4759">
        <f>SUM(AX43+AX44+AX45+AX46+AX47+AX48+AX49+AX51+AX56+AX61+AX68+AX69)</f>
        <v>64693.799999999996</v>
      </c>
      <c r="AY70" s="4759">
        <f>SUM(AY43+AY44+AY45+AY46+AY47+AY48+AY49+AY51+AY56+AY61+AY68+AY69)</f>
        <v>99422.29</v>
      </c>
      <c r="AZ70" s="4758">
        <f t="shared" si="212"/>
        <v>-30179.986408127494</v>
      </c>
      <c r="BA70" s="4758">
        <f t="shared" si="213"/>
        <v>-31.810669259366765</v>
      </c>
      <c r="BB70" s="4756">
        <f t="shared" ref="BB70:BM70" si="249">SUM(BB43+BB44+BB45+BB46+BB47+BB48+BB49+BB51+BB56+BB61+BB68+BB69)</f>
        <v>10654.805043867587</v>
      </c>
      <c r="BC70" s="4756">
        <f t="shared" si="249"/>
        <v>0</v>
      </c>
      <c r="BD70" s="4760">
        <f t="shared" si="249"/>
        <v>9110.4199999999983</v>
      </c>
      <c r="BE70" s="4760">
        <f t="shared" si="249"/>
        <v>10783.5478547574</v>
      </c>
      <c r="BF70" s="4760">
        <f t="shared" si="249"/>
        <v>0</v>
      </c>
      <c r="BG70" s="4760">
        <f t="shared" si="249"/>
        <v>10384.449999999999</v>
      </c>
      <c r="BH70" s="4760">
        <f t="shared" si="249"/>
        <v>11830.251217791203</v>
      </c>
      <c r="BI70" s="4760">
        <f t="shared" si="249"/>
        <v>0</v>
      </c>
      <c r="BJ70" s="4760">
        <f t="shared" si="249"/>
        <v>14129.479999999998</v>
      </c>
      <c r="BK70" s="4761">
        <f t="shared" si="249"/>
        <v>33268.60411641618</v>
      </c>
      <c r="BL70" s="4761">
        <f t="shared" si="249"/>
        <v>0</v>
      </c>
      <c r="BM70" s="4761">
        <f t="shared" si="249"/>
        <v>33624.35</v>
      </c>
      <c r="BN70" s="4724">
        <f t="shared" si="215"/>
        <v>-33268.60411641618</v>
      </c>
      <c r="BO70" s="4724">
        <f t="shared" si="216"/>
        <v>-100</v>
      </c>
      <c r="BP70" s="4761">
        <f>SUM(BP43+BP44+BP45+BP46+BP47+BP48+BP49+BP51+BP56+BP61+BP68+BP69)</f>
        <v>128142.39052454369</v>
      </c>
      <c r="BQ70" s="4761">
        <f>SUM(BQ43+BQ44+BQ45+BQ46+BQ47+BQ48+BQ49+BQ51+BQ56+BQ61+BQ68+BQ69)</f>
        <v>64693.799999999996</v>
      </c>
      <c r="BR70" s="4761">
        <f>SUM(BR43+BR44+BR45+BR46+BR47+BR48+BR49+BR51+BR56+BR61+BR68+BR69)</f>
        <v>133046.64000000001</v>
      </c>
      <c r="BS70" s="4724">
        <f t="shared" si="219"/>
        <v>-63448.590524543695</v>
      </c>
      <c r="BT70" s="4724">
        <f t="shared" si="220"/>
        <v>-49.514130542453941</v>
      </c>
      <c r="BU70" s="430"/>
      <c r="BV70" s="430"/>
      <c r="BW70" s="430"/>
      <c r="BX70" s="430"/>
    </row>
    <row r="71" spans="1:76" ht="18.75">
      <c r="A71" s="4755" t="s">
        <v>13</v>
      </c>
      <c r="B71" s="4756">
        <f t="shared" ref="B71" si="250">SUM(B14)</f>
        <v>309.63141000000007</v>
      </c>
      <c r="C71" s="4756">
        <f t="shared" ref="C71:BR71" si="251">SUM(C14)</f>
        <v>319.33</v>
      </c>
      <c r="D71" s="4756">
        <f t="shared" si="251"/>
        <v>297.70999999999998</v>
      </c>
      <c r="E71" s="4756">
        <f t="shared" si="251"/>
        <v>307.82070000000004</v>
      </c>
      <c r="F71" s="4756">
        <f t="shared" si="251"/>
        <v>315.57</v>
      </c>
      <c r="G71" s="4756">
        <f t="shared" si="251"/>
        <v>313.73999999999995</v>
      </c>
      <c r="H71" s="4756">
        <f t="shared" ref="H71" si="252">SUM(H14)</f>
        <v>307.82070000000004</v>
      </c>
      <c r="I71" s="4756">
        <f t="shared" si="251"/>
        <v>297.38000000000005</v>
      </c>
      <c r="J71" s="4756">
        <f t="shared" si="251"/>
        <v>300.90999999999997</v>
      </c>
      <c r="K71" s="4757">
        <f t="shared" si="222"/>
        <v>925.27281000000016</v>
      </c>
      <c r="L71" s="4757">
        <f t="shared" si="222"/>
        <v>932.28</v>
      </c>
      <c r="M71" s="4757">
        <f t="shared" si="222"/>
        <v>912.3599999999999</v>
      </c>
      <c r="N71" s="4758">
        <f t="shared" si="198"/>
        <v>7.0071899999998095</v>
      </c>
      <c r="O71" s="4758">
        <f t="shared" si="199"/>
        <v>0.75731070061377981</v>
      </c>
      <c r="P71" s="4756">
        <f t="shared" ref="P71" si="253">SUM(P14)</f>
        <v>306.00999000000002</v>
      </c>
      <c r="Q71" s="4756">
        <f t="shared" si="251"/>
        <v>320.52</v>
      </c>
      <c r="R71" s="4756">
        <f t="shared" si="251"/>
        <v>332.07</v>
      </c>
      <c r="S71" s="4756">
        <f t="shared" si="251"/>
        <v>289.71360000000004</v>
      </c>
      <c r="T71" s="4756">
        <f t="shared" si="251"/>
        <v>305.08999999999997</v>
      </c>
      <c r="U71" s="4756">
        <f t="shared" si="251"/>
        <v>308.57000000000005</v>
      </c>
      <c r="V71" s="4756">
        <f t="shared" si="251"/>
        <v>289.71360000000004</v>
      </c>
      <c r="W71" s="4756">
        <f t="shared" si="251"/>
        <v>324.98</v>
      </c>
      <c r="X71" s="4756">
        <f t="shared" si="251"/>
        <v>299.16000000000003</v>
      </c>
      <c r="Y71" s="4757">
        <f t="shared" si="247"/>
        <v>885.4371900000001</v>
      </c>
      <c r="Z71" s="4757">
        <f t="shared" si="247"/>
        <v>950.58999999999992</v>
      </c>
      <c r="AA71" s="4757">
        <f t="shared" si="247"/>
        <v>939.80000000000018</v>
      </c>
      <c r="AB71" s="4758">
        <f t="shared" si="201"/>
        <v>65.152809999999818</v>
      </c>
      <c r="AC71" s="4758">
        <f t="shared" si="202"/>
        <v>7.3582644523887479</v>
      </c>
      <c r="AD71" s="4757">
        <f t="shared" si="240"/>
        <v>1810.7100000000003</v>
      </c>
      <c r="AE71" s="4757">
        <f t="shared" si="240"/>
        <v>1882.87</v>
      </c>
      <c r="AF71" s="4757">
        <f t="shared" si="240"/>
        <v>1852.16</v>
      </c>
      <c r="AG71" s="4758">
        <f t="shared" si="205"/>
        <v>72.159999999999627</v>
      </c>
      <c r="AH71" s="4758">
        <f t="shared" si="206"/>
        <v>3.9851770852317383</v>
      </c>
      <c r="AI71" s="4756">
        <f t="shared" si="251"/>
        <v>289.71360000000004</v>
      </c>
      <c r="AJ71" s="4756">
        <f t="shared" si="251"/>
        <v>0</v>
      </c>
      <c r="AK71" s="4756">
        <f t="shared" si="251"/>
        <v>265.63</v>
      </c>
      <c r="AL71" s="4756">
        <f t="shared" si="251"/>
        <v>289.71360000000004</v>
      </c>
      <c r="AM71" s="4756">
        <f t="shared" si="251"/>
        <v>0</v>
      </c>
      <c r="AN71" s="4756">
        <f t="shared" si="251"/>
        <v>278.93665000000004</v>
      </c>
      <c r="AO71" s="4756">
        <f t="shared" si="251"/>
        <v>306.00999000000002</v>
      </c>
      <c r="AP71" s="4756">
        <f t="shared" si="251"/>
        <v>0</v>
      </c>
      <c r="AQ71" s="4756">
        <f t="shared" si="251"/>
        <v>311.65000000000003</v>
      </c>
      <c r="AR71" s="4759">
        <f t="shared" si="251"/>
        <v>885.43718999999999</v>
      </c>
      <c r="AS71" s="4759">
        <f t="shared" si="251"/>
        <v>0</v>
      </c>
      <c r="AT71" s="4759">
        <f t="shared" si="251"/>
        <v>856.21664999999985</v>
      </c>
      <c r="AU71" s="4758">
        <f t="shared" si="208"/>
        <v>-885.43718999999999</v>
      </c>
      <c r="AV71" s="4758">
        <f t="shared" si="209"/>
        <v>-100</v>
      </c>
      <c r="AW71" s="4759">
        <f t="shared" si="251"/>
        <v>2696.1471899999997</v>
      </c>
      <c r="AX71" s="4759">
        <f t="shared" si="251"/>
        <v>1882.87</v>
      </c>
      <c r="AY71" s="4759">
        <f t="shared" si="251"/>
        <v>2708.3766499999997</v>
      </c>
      <c r="AZ71" s="4758">
        <f t="shared" si="212"/>
        <v>-813.27718999999979</v>
      </c>
      <c r="BA71" s="4758">
        <f t="shared" si="213"/>
        <v>-30.164421030737564</v>
      </c>
      <c r="BB71" s="4756">
        <f t="shared" si="251"/>
        <v>307.82070000000004</v>
      </c>
      <c r="BC71" s="4756">
        <f t="shared" si="251"/>
        <v>0</v>
      </c>
      <c r="BD71" s="4760">
        <f t="shared" si="251"/>
        <v>330.49999999999994</v>
      </c>
      <c r="BE71" s="4760">
        <f t="shared" si="251"/>
        <v>307.82070000000004</v>
      </c>
      <c r="BF71" s="4760">
        <f t="shared" si="251"/>
        <v>0</v>
      </c>
      <c r="BG71" s="4760">
        <f t="shared" si="251"/>
        <v>323.12</v>
      </c>
      <c r="BH71" s="4760">
        <f t="shared" si="251"/>
        <v>309.63141000000007</v>
      </c>
      <c r="BI71" s="4760">
        <f t="shared" si="251"/>
        <v>0</v>
      </c>
      <c r="BJ71" s="4760">
        <f t="shared" si="251"/>
        <v>295.57</v>
      </c>
      <c r="BK71" s="4761">
        <f t="shared" si="251"/>
        <v>925.27281000000005</v>
      </c>
      <c r="BL71" s="4761">
        <f t="shared" si="251"/>
        <v>0</v>
      </c>
      <c r="BM71" s="4761">
        <f t="shared" si="251"/>
        <v>949.18999999999994</v>
      </c>
      <c r="BN71" s="4724">
        <f t="shared" si="215"/>
        <v>-925.27281000000005</v>
      </c>
      <c r="BO71" s="4724">
        <f t="shared" si="216"/>
        <v>-100</v>
      </c>
      <c r="BP71" s="4761">
        <f t="shared" si="251"/>
        <v>3621.42</v>
      </c>
      <c r="BQ71" s="4761">
        <f t="shared" si="251"/>
        <v>1882.87</v>
      </c>
      <c r="BR71" s="4761">
        <f t="shared" si="251"/>
        <v>3657.5666499999998</v>
      </c>
      <c r="BS71" s="4724">
        <f t="shared" si="219"/>
        <v>-1738.5500000000002</v>
      </c>
      <c r="BT71" s="4724">
        <f t="shared" si="220"/>
        <v>-48.007411457384123</v>
      </c>
      <c r="BU71" s="430"/>
      <c r="BV71" s="430"/>
      <c r="BW71" s="430"/>
      <c r="BX71" s="430"/>
    </row>
    <row r="72" spans="1:76" ht="18.75">
      <c r="A72" s="4597" t="s">
        <v>14</v>
      </c>
      <c r="B72" s="4756">
        <f t="shared" ref="B72" si="254">SUM(B70/B71)</f>
        <v>34.39016780675918</v>
      </c>
      <c r="C72" s="4756">
        <f t="shared" ref="C72:BR72" si="255">SUM(C70/C71)</f>
        <v>32.928224720508567</v>
      </c>
      <c r="D72" s="4756">
        <f t="shared" si="255"/>
        <v>32.992778206979949</v>
      </c>
      <c r="E72" s="4756">
        <f t="shared" si="255"/>
        <v>34.193689912297486</v>
      </c>
      <c r="F72" s="4756">
        <f t="shared" si="255"/>
        <v>29.928066673004409</v>
      </c>
      <c r="G72" s="4756">
        <f t="shared" si="255"/>
        <v>28.985497545738514</v>
      </c>
      <c r="H72" s="4756">
        <f t="shared" ref="H72" si="256">SUM(H70/H71)</f>
        <v>36.889655669481378</v>
      </c>
      <c r="I72" s="4756">
        <f t="shared" si="255"/>
        <v>40.397336740870259</v>
      </c>
      <c r="J72" s="4756">
        <f t="shared" si="255"/>
        <v>33.31590841115284</v>
      </c>
      <c r="K72" s="4759">
        <f t="shared" si="255"/>
        <v>35.156335506571871</v>
      </c>
      <c r="L72" s="4759">
        <f t="shared" si="255"/>
        <v>34.295201012571333</v>
      </c>
      <c r="M72" s="4759">
        <f t="shared" si="255"/>
        <v>31.721338068306377</v>
      </c>
      <c r="N72" s="4758">
        <f t="shared" si="198"/>
        <v>-0.8611344940005381</v>
      </c>
      <c r="O72" s="4758">
        <f t="shared" si="199"/>
        <v>-2.4494432698753936</v>
      </c>
      <c r="P72" s="4756">
        <f t="shared" ref="P72" si="257">SUM(P70/P71)</f>
        <v>33.632671984011139</v>
      </c>
      <c r="Q72" s="4756">
        <f t="shared" si="255"/>
        <v>34.716959940097347</v>
      </c>
      <c r="R72" s="4756">
        <f t="shared" si="255"/>
        <v>37.156442918661725</v>
      </c>
      <c r="S72" s="4756">
        <f t="shared" si="255"/>
        <v>34.158725948175153</v>
      </c>
      <c r="T72" s="4756">
        <f t="shared" si="255"/>
        <v>33.176111966960576</v>
      </c>
      <c r="U72" s="4756">
        <f t="shared" si="255"/>
        <v>39.455066921606111</v>
      </c>
      <c r="V72" s="4756">
        <f t="shared" si="255"/>
        <v>36.840903478284055</v>
      </c>
      <c r="W72" s="4756">
        <f t="shared" si="255"/>
        <v>35.300295402794013</v>
      </c>
      <c r="X72" s="4756">
        <f t="shared" si="255"/>
        <v>37.450427864687782</v>
      </c>
      <c r="Y72" s="4759">
        <f t="shared" si="255"/>
        <v>34.854524076751247</v>
      </c>
      <c r="Z72" s="4759">
        <f t="shared" si="255"/>
        <v>34.421853796063502</v>
      </c>
      <c r="AA72" s="4759">
        <f t="shared" si="255"/>
        <v>38.004745690572456</v>
      </c>
      <c r="AB72" s="4758">
        <f t="shared" si="201"/>
        <v>-0.43267028068774493</v>
      </c>
      <c r="AC72" s="4758">
        <f t="shared" si="202"/>
        <v>-1.2413604607969551</v>
      </c>
      <c r="AD72" s="4759">
        <f t="shared" si="255"/>
        <v>35.008749717389584</v>
      </c>
      <c r="AE72" s="4759">
        <f t="shared" si="255"/>
        <v>34.359143222845979</v>
      </c>
      <c r="AF72" s="4759">
        <f t="shared" si="255"/>
        <v>34.909586644782308</v>
      </c>
      <c r="AG72" s="4758">
        <f t="shared" si="205"/>
        <v>-0.64960649454360464</v>
      </c>
      <c r="AH72" s="4758">
        <f t="shared" si="206"/>
        <v>-1.8555546821511635</v>
      </c>
      <c r="AI72" s="4756">
        <f t="shared" si="255"/>
        <v>34.935508018033723</v>
      </c>
      <c r="AJ72" s="4756" t="e">
        <f t="shared" si="255"/>
        <v>#DIV/0!</v>
      </c>
      <c r="AK72" s="4756">
        <f t="shared" si="255"/>
        <v>39.119301283740548</v>
      </c>
      <c r="AL72" s="4756">
        <f t="shared" si="255"/>
        <v>34.928132339105581</v>
      </c>
      <c r="AM72" s="4756" t="e">
        <f t="shared" si="255"/>
        <v>#DIV/0!</v>
      </c>
      <c r="AN72" s="4756">
        <f t="shared" si="255"/>
        <v>41.775507090946995</v>
      </c>
      <c r="AO72" s="4756">
        <f t="shared" si="255"/>
        <v>36.739475238638072</v>
      </c>
      <c r="AP72" s="4756" t="e">
        <f t="shared" si="255"/>
        <v>#DIV/0!</v>
      </c>
      <c r="AQ72" s="4756">
        <f t="shared" si="255"/>
        <v>40.815562329536334</v>
      </c>
      <c r="AR72" s="4759">
        <f t="shared" si="255"/>
        <v>35.556551681947084</v>
      </c>
      <c r="AS72" s="4759" t="e">
        <f t="shared" si="255"/>
        <v>#DIV/0!</v>
      </c>
      <c r="AT72" s="4759">
        <f t="shared" si="255"/>
        <v>40.602048558621235</v>
      </c>
      <c r="AU72" s="4758" t="e">
        <f t="shared" si="208"/>
        <v>#DIV/0!</v>
      </c>
      <c r="AV72" s="4758" t="e">
        <f t="shared" si="209"/>
        <v>#DIV/0!</v>
      </c>
      <c r="AW72" s="4759">
        <f t="shared" si="255"/>
        <v>35.188652444500811</v>
      </c>
      <c r="AX72" s="4759">
        <f t="shared" si="255"/>
        <v>34.359143222845972</v>
      </c>
      <c r="AY72" s="4759">
        <f t="shared" si="255"/>
        <v>36.709181494383365</v>
      </c>
      <c r="AZ72" s="4758">
        <f t="shared" si="212"/>
        <v>-0.82950922165483831</v>
      </c>
      <c r="BA72" s="4758">
        <f t="shared" si="213"/>
        <v>-2.3573202269201183</v>
      </c>
      <c r="BB72" s="4756">
        <f t="shared" si="255"/>
        <v>34.61367297218019</v>
      </c>
      <c r="BC72" s="4756" t="e">
        <f t="shared" si="255"/>
        <v>#DIV/0!</v>
      </c>
      <c r="BD72" s="4760">
        <f t="shared" si="255"/>
        <v>27.56556732223903</v>
      </c>
      <c r="BE72" s="4760">
        <f t="shared" si="255"/>
        <v>35.031912586636956</v>
      </c>
      <c r="BF72" s="4760" t="e">
        <f t="shared" si="255"/>
        <v>#DIV/0!</v>
      </c>
      <c r="BG72" s="4760">
        <f t="shared" si="255"/>
        <v>32.138060163406777</v>
      </c>
      <c r="BH72" s="4760">
        <f t="shared" si="255"/>
        <v>38.207529455074344</v>
      </c>
      <c r="BI72" s="4760" t="e">
        <f t="shared" si="255"/>
        <v>#DIV/0!</v>
      </c>
      <c r="BJ72" s="4760">
        <f t="shared" si="255"/>
        <v>47.80417498392935</v>
      </c>
      <c r="BK72" s="4761">
        <f t="shared" si="255"/>
        <v>35.955454171852494</v>
      </c>
      <c r="BL72" s="4761" t="e">
        <f t="shared" si="255"/>
        <v>#DIV/0!</v>
      </c>
      <c r="BM72" s="4761">
        <f t="shared" si="255"/>
        <v>35.424256471307118</v>
      </c>
      <c r="BN72" s="4724" t="e">
        <f t="shared" si="215"/>
        <v>#DIV/0!</v>
      </c>
      <c r="BO72" s="4724" t="e">
        <f t="shared" si="216"/>
        <v>#DIV/0!</v>
      </c>
      <c r="BP72" s="4761">
        <f t="shared" si="255"/>
        <v>35.384570285839168</v>
      </c>
      <c r="BQ72" s="4761">
        <f t="shared" si="255"/>
        <v>34.359143222845972</v>
      </c>
      <c r="BR72" s="4761">
        <f t="shared" si="255"/>
        <v>36.375725374683199</v>
      </c>
      <c r="BS72" s="4724">
        <f t="shared" si="219"/>
        <v>-1.0254270629931952</v>
      </c>
      <c r="BT72" s="4724">
        <f t="shared" si="220"/>
        <v>-2.8979497411151804</v>
      </c>
      <c r="BU72" s="430"/>
      <c r="BV72" s="430"/>
      <c r="BW72" s="430"/>
      <c r="BX72" s="430"/>
    </row>
    <row r="73" spans="1:76" ht="18.75">
      <c r="A73" s="4597" t="s">
        <v>1909</v>
      </c>
      <c r="B73" s="4756">
        <f>SUM('Произв. прогр. Вода (СВОД)'!E74)</f>
        <v>857.947111922212</v>
      </c>
      <c r="C73" s="4756"/>
      <c r="D73" s="4756"/>
      <c r="E73" s="4756">
        <f>SUM('Произв. прогр. Вода (СВОД)'!F74)</f>
        <v>857.947111922212</v>
      </c>
      <c r="F73" s="4756"/>
      <c r="G73" s="4756"/>
      <c r="H73" s="4756">
        <f>SUM('Произв. прогр. Вода (СВОД)'!G74)</f>
        <v>857.947111922212</v>
      </c>
      <c r="I73" s="4756"/>
      <c r="J73" s="4756"/>
      <c r="K73" s="4757">
        <f t="shared" si="222"/>
        <v>2573.8413357666359</v>
      </c>
      <c r="L73" s="4757">
        <f t="shared" si="222"/>
        <v>0</v>
      </c>
      <c r="M73" s="4757">
        <f t="shared" si="222"/>
        <v>0</v>
      </c>
      <c r="N73" s="4758">
        <f t="shared" ref="N73" si="258">SUM(L73-K73)</f>
        <v>-2573.8413357666359</v>
      </c>
      <c r="O73" s="4758">
        <f t="shared" ref="O73" si="259">SUM(N73/K73*100)</f>
        <v>-100</v>
      </c>
      <c r="P73" s="4756">
        <f>SUM('Произв. прогр. Вода (СВОД)'!I74)</f>
        <v>857.947111922212</v>
      </c>
      <c r="Q73" s="4756"/>
      <c r="R73" s="4756"/>
      <c r="S73" s="4756">
        <f>SUM('Произв. прогр. Вода (СВОД)'!J74)</f>
        <v>857.947111922212</v>
      </c>
      <c r="T73" s="4756"/>
      <c r="U73" s="4756"/>
      <c r="V73" s="4756">
        <f>SUM('Произв. прогр. Вода (СВОД)'!K74)</f>
        <v>857.947111922212</v>
      </c>
      <c r="W73" s="4756"/>
      <c r="X73" s="4756"/>
      <c r="Y73" s="4757">
        <f t="shared" ref="Y73" si="260">SUM(P73+S73+V73)</f>
        <v>2573.8413357666359</v>
      </c>
      <c r="Z73" s="4757">
        <f t="shared" ref="Z73" si="261">SUM(Q73+T73+W73)</f>
        <v>0</v>
      </c>
      <c r="AA73" s="4757">
        <f t="shared" ref="AA73" si="262">SUM(R73+U73+X73)</f>
        <v>0</v>
      </c>
      <c r="AB73" s="4758">
        <f t="shared" ref="AB73" si="263">SUM(Z73-Y73)</f>
        <v>-2573.8413357666359</v>
      </c>
      <c r="AC73" s="4758">
        <f t="shared" ref="AC73" si="264">SUM(AB73/Y73*100)</f>
        <v>-100</v>
      </c>
      <c r="AD73" s="4757">
        <f t="shared" ref="AD73" si="265">SUM(K73+Y73)</f>
        <v>5147.6826715332718</v>
      </c>
      <c r="AE73" s="4757">
        <f t="shared" ref="AE73" si="266">SUM(L73+Z73)</f>
        <v>0</v>
      </c>
      <c r="AF73" s="4757">
        <f t="shared" ref="AF73" si="267">SUM(M73+AA73)</f>
        <v>0</v>
      </c>
      <c r="AG73" s="4758">
        <f t="shared" ref="AG73" si="268">SUM(AE73-AD73)</f>
        <v>-5147.6826715332718</v>
      </c>
      <c r="AH73" s="4758">
        <f t="shared" ref="AH73" si="269">SUM(AG73/AD73*100)</f>
        <v>-100</v>
      </c>
      <c r="AI73" s="4756">
        <f>SUM('Произв. прогр. Вода (СВОД)'!N74)</f>
        <v>857.947111922212</v>
      </c>
      <c r="AJ73" s="4756"/>
      <c r="AK73" s="4756"/>
      <c r="AL73" s="4756">
        <f>SUM('Произв. прогр. Вода (СВОД)'!O74)</f>
        <v>857.947111922212</v>
      </c>
      <c r="AM73" s="4756"/>
      <c r="AN73" s="4756"/>
      <c r="AO73" s="4756">
        <f>SUM('Произв. прогр. Вода (СВОД)'!P74)</f>
        <v>857.947111922212</v>
      </c>
      <c r="AP73" s="4756"/>
      <c r="AQ73" s="4756"/>
      <c r="AR73" s="4757">
        <f t="shared" ref="AR73" si="270">SUM(AI73+AL73+AO73)</f>
        <v>2573.8413357666359</v>
      </c>
      <c r="AS73" s="4757">
        <f t="shared" ref="AS73" si="271">SUM(AJ73+AM73+AP73)</f>
        <v>0</v>
      </c>
      <c r="AT73" s="4757">
        <f t="shared" ref="AT73" si="272">SUM(AK73+AN73+AQ73)</f>
        <v>0</v>
      </c>
      <c r="AU73" s="4758">
        <f t="shared" si="208"/>
        <v>-2573.8413357666359</v>
      </c>
      <c r="AV73" s="4758">
        <f t="shared" si="209"/>
        <v>-100</v>
      </c>
      <c r="AW73" s="4759">
        <f>SUM(AD73+AR73)</f>
        <v>7721.5240072999077</v>
      </c>
      <c r="AX73" s="4759">
        <f t="shared" ref="AX73:AY73" si="273">SUM(AE73+AS73)</f>
        <v>0</v>
      </c>
      <c r="AY73" s="4759">
        <f t="shared" si="273"/>
        <v>0</v>
      </c>
      <c r="AZ73" s="4758">
        <f t="shared" ref="AZ73" si="274">SUM(AX73-AW73)</f>
        <v>-7721.5240072999077</v>
      </c>
      <c r="BA73" s="4758">
        <f t="shared" ref="BA73" si="275">SUM(AZ73/AW73*100)</f>
        <v>-100</v>
      </c>
      <c r="BB73" s="4756">
        <f>SUM('Произв. прогр. Вода (СВОД)'!S74)</f>
        <v>857.947111922212</v>
      </c>
      <c r="BC73" s="4756"/>
      <c r="BD73" s="4760"/>
      <c r="BE73" s="4760">
        <f>SUM('Произв. прогр. Вода (СВОД)'!T74)</f>
        <v>857.947111922212</v>
      </c>
      <c r="BF73" s="4760"/>
      <c r="BG73" s="4760"/>
      <c r="BH73" s="4760">
        <f>SUM('Произв. прогр. Вода (СВОД)'!U74)</f>
        <v>857.947111922212</v>
      </c>
      <c r="BI73" s="4760"/>
      <c r="BJ73" s="4760"/>
      <c r="BK73" s="4757">
        <f t="shared" ref="BK73" si="276">SUM(BB73+BE73+BH73)</f>
        <v>2573.8413357666359</v>
      </c>
      <c r="BL73" s="4757">
        <f t="shared" ref="BL73" si="277">SUM(BC73+BF73+BI73)</f>
        <v>0</v>
      </c>
      <c r="BM73" s="4757">
        <f t="shared" ref="BM73" si="278">SUM(BD73+BG73+BJ73)</f>
        <v>0</v>
      </c>
      <c r="BN73" s="4758">
        <f t="shared" si="215"/>
        <v>-2573.8413357666359</v>
      </c>
      <c r="BO73" s="4758">
        <f t="shared" si="216"/>
        <v>-100</v>
      </c>
      <c r="BP73" s="4759">
        <f>SUM(AW73+BK73)</f>
        <v>10295.365343066544</v>
      </c>
      <c r="BQ73" s="4759">
        <f t="shared" ref="BQ73" si="279">SUM(AX73+BL73)</f>
        <v>0</v>
      </c>
      <c r="BR73" s="4759">
        <f t="shared" ref="BR73" si="280">SUM(AY73+BM73)</f>
        <v>0</v>
      </c>
      <c r="BS73" s="4758">
        <f t="shared" si="219"/>
        <v>-10295.365343066544</v>
      </c>
      <c r="BT73" s="4758">
        <f t="shared" si="220"/>
        <v>-100</v>
      </c>
      <c r="BU73" s="430"/>
      <c r="BV73" s="430"/>
      <c r="BW73" s="430"/>
      <c r="BX73" s="430"/>
    </row>
    <row r="74" spans="1:76" ht="18.75">
      <c r="A74" s="4597" t="s">
        <v>1968</v>
      </c>
      <c r="B74" s="4756">
        <f>SUM(B70+B73)</f>
        <v>11506.223260065668</v>
      </c>
      <c r="C74" s="4756">
        <f t="shared" ref="C74:D74" si="281">SUM(C70+C73)</f>
        <v>10514.97</v>
      </c>
      <c r="D74" s="4756">
        <f t="shared" si="281"/>
        <v>9822.2800000000007</v>
      </c>
      <c r="E74" s="4756">
        <f>SUM(E70+E73)</f>
        <v>11383.472676308565</v>
      </c>
      <c r="F74" s="4756">
        <f t="shared" ref="F74" si="282">SUM(F70+F73)</f>
        <v>9444.4000000000015</v>
      </c>
      <c r="G74" s="4756">
        <f t="shared" ref="G74" si="283">SUM(G70+G73)</f>
        <v>9093.91</v>
      </c>
      <c r="H74" s="4756">
        <f>SUM(H70+H73)</f>
        <v>12213.34674286094</v>
      </c>
      <c r="I74" s="4756">
        <f t="shared" ref="I74" si="284">SUM(I70+I73)</f>
        <v>12013.359999999999</v>
      </c>
      <c r="J74" s="4756">
        <f t="shared" ref="J74" si="285">SUM(J70+J73)</f>
        <v>10025.09</v>
      </c>
      <c r="K74" s="4759">
        <f>SUM(K70+K73)</f>
        <v>35103.042679235172</v>
      </c>
      <c r="L74" s="4759">
        <f t="shared" ref="L74:M74" si="286">SUM(L70+L73)</f>
        <v>31972.730000000003</v>
      </c>
      <c r="M74" s="4759">
        <f t="shared" si="286"/>
        <v>28941.280000000002</v>
      </c>
      <c r="N74" s="4758">
        <f t="shared" ref="N74" si="287">SUM(L74-K74)</f>
        <v>-3130.3126792351686</v>
      </c>
      <c r="O74" s="4758">
        <f t="shared" ref="O74" si="288">SUM(N74/K74*100)</f>
        <v>-8.9174967191287706</v>
      </c>
      <c r="P74" s="4756">
        <f>SUM(P70+P73)</f>
        <v>11149.880729422743</v>
      </c>
      <c r="Q74" s="4756">
        <f t="shared" ref="Q74" si="289">SUM(Q70+Q73)</f>
        <v>11127.480000000001</v>
      </c>
      <c r="R74" s="4756">
        <f t="shared" ref="R74" si="290">SUM(R70+R73)</f>
        <v>12338.539999999999</v>
      </c>
      <c r="S74" s="4756">
        <f>SUM(S70+S73)</f>
        <v>10754.194577781451</v>
      </c>
      <c r="T74" s="4756">
        <f t="shared" ref="T74" si="291">SUM(T70+T73)</f>
        <v>10121.700000000001</v>
      </c>
      <c r="U74" s="4756">
        <f t="shared" ref="U74" si="292">SUM(U70+U73)</f>
        <v>12174.65</v>
      </c>
      <c r="V74" s="4756">
        <f>SUM(V70+V73)</f>
        <v>11531.25788586841</v>
      </c>
      <c r="W74" s="4756">
        <f t="shared" ref="W74" si="293">SUM(W70+W73)</f>
        <v>11471.89</v>
      </c>
      <c r="X74" s="4756">
        <f t="shared" ref="X74" si="294">SUM(X70+X73)</f>
        <v>11203.669999999998</v>
      </c>
      <c r="Y74" s="4759">
        <f t="shared" ref="Y74" si="295">SUM(Y70+Y73)</f>
        <v>33435.333193072605</v>
      </c>
      <c r="Z74" s="4759">
        <f t="shared" ref="Z74" si="296">SUM(Z70+Z73)</f>
        <v>32721.07</v>
      </c>
      <c r="AA74" s="4759">
        <f t="shared" ref="AA74" si="297">SUM(AA70+AA73)</f>
        <v>35716.86</v>
      </c>
      <c r="AB74" s="4758">
        <f t="shared" ref="AB74" si="298">SUM(Z74-Y74)</f>
        <v>-714.26319307260565</v>
      </c>
      <c r="AC74" s="4758">
        <f t="shared" ref="AC74" si="299">SUM(AB74/Y74*100)</f>
        <v>-2.1362526550822358</v>
      </c>
      <c r="AD74" s="4759">
        <f t="shared" ref="AD74" si="300">SUM(AD70+AD73)</f>
        <v>68538.375872307777</v>
      </c>
      <c r="AE74" s="4759">
        <f t="shared" ref="AE74" si="301">SUM(AE70+AE73)</f>
        <v>64693.8</v>
      </c>
      <c r="AF74" s="4759">
        <f t="shared" ref="AF74" si="302">SUM(AF70+AF73)</f>
        <v>64658.14</v>
      </c>
      <c r="AG74" s="4758">
        <f t="shared" ref="AG74" si="303">SUM(AE74-AD74)</f>
        <v>-3844.5758723077743</v>
      </c>
      <c r="AH74" s="4758">
        <f t="shared" ref="AH74" si="304">SUM(AG74/AD74*100)</f>
        <v>-5.6093769707506818</v>
      </c>
      <c r="AI74" s="4756">
        <f t="shared" ref="AI74" si="305">SUM(AI70+AI73)</f>
        <v>10979.238907655628</v>
      </c>
      <c r="AJ74" s="4756">
        <f t="shared" ref="AJ74" si="306">SUM(AJ70+AJ73)</f>
        <v>0</v>
      </c>
      <c r="AK74" s="4756">
        <f t="shared" ref="AK74" si="307">SUM(AK70+AK73)</f>
        <v>10391.260000000002</v>
      </c>
      <c r="AL74" s="4756">
        <f t="shared" ref="AL74" si="308">SUM(AL70+AL73)</f>
        <v>10977.102073160913</v>
      </c>
      <c r="AM74" s="4756">
        <f t="shared" ref="AM74" si="309">SUM(AM70+AM73)</f>
        <v>0</v>
      </c>
      <c r="AN74" s="4756">
        <f t="shared" ref="AN74" si="310">SUM(AN70+AN73)</f>
        <v>11652.720000000001</v>
      </c>
      <c r="AO74" s="4756">
        <f t="shared" ref="AO74" si="311">SUM(AO70+AO73)</f>
        <v>12100.593562303096</v>
      </c>
      <c r="AP74" s="4756">
        <f t="shared" ref="AP74" si="312">SUM(AP70+AP73)</f>
        <v>0</v>
      </c>
      <c r="AQ74" s="4756">
        <f t="shared" ref="AQ74" si="313">SUM(AQ70+AQ73)</f>
        <v>12720.17</v>
      </c>
      <c r="AR74" s="4759">
        <f t="shared" ref="AR74" si="314">SUM(AR70+AR73)</f>
        <v>34056.934543119634</v>
      </c>
      <c r="AS74" s="4759">
        <f t="shared" ref="AS74" si="315">SUM(AS70+AS73)</f>
        <v>0</v>
      </c>
      <c r="AT74" s="4759">
        <f t="shared" ref="AT74" si="316">SUM(AT70+AT73)</f>
        <v>34764.149999999994</v>
      </c>
      <c r="AU74" s="4758">
        <f t="shared" ref="AU74" si="317">SUM(AS74-AR74)</f>
        <v>-34056.934543119634</v>
      </c>
      <c r="AV74" s="4758">
        <f t="shared" ref="AV74" si="318">SUM(AU74/AR74*100)</f>
        <v>-100</v>
      </c>
      <c r="AW74" s="4759">
        <f t="shared" ref="AW74" si="319">SUM(AW70+AW73)</f>
        <v>102595.3104154274</v>
      </c>
      <c r="AX74" s="4759">
        <f t="shared" ref="AX74" si="320">SUM(AX70+AX73)</f>
        <v>64693.799999999996</v>
      </c>
      <c r="AY74" s="4759">
        <f t="shared" ref="AY74" si="321">SUM(AY70+AY73)</f>
        <v>99422.29</v>
      </c>
      <c r="AZ74" s="4758">
        <f t="shared" ref="AZ74" si="322">SUM(AX74-AW74)</f>
        <v>-37901.510415427409</v>
      </c>
      <c r="BA74" s="4758">
        <f t="shared" ref="BA74" si="323">SUM(AZ74/AW74*100)</f>
        <v>-36.942731848032018</v>
      </c>
      <c r="BB74" s="4756">
        <f t="shared" ref="BB74" si="324">SUM(BB70+BB73)</f>
        <v>11512.7521557898</v>
      </c>
      <c r="BC74" s="4756">
        <f t="shared" ref="BC74" si="325">SUM(BC70+BC73)</f>
        <v>0</v>
      </c>
      <c r="BD74" s="4756">
        <f t="shared" ref="BD74" si="326">SUM(BD70+BD73)</f>
        <v>9110.4199999999983</v>
      </c>
      <c r="BE74" s="4756">
        <f t="shared" ref="BE74" si="327">SUM(BE70+BE73)</f>
        <v>11641.494966679613</v>
      </c>
      <c r="BF74" s="4756">
        <f t="shared" ref="BF74" si="328">SUM(BF70+BF73)</f>
        <v>0</v>
      </c>
      <c r="BG74" s="4756">
        <f t="shared" ref="BG74" si="329">SUM(BG70+BG73)</f>
        <v>10384.449999999999</v>
      </c>
      <c r="BH74" s="4756">
        <f t="shared" ref="BH74" si="330">SUM(BH70+BH73)</f>
        <v>12688.198329713416</v>
      </c>
      <c r="BI74" s="4756">
        <f t="shared" ref="BI74" si="331">SUM(BI70+BI73)</f>
        <v>0</v>
      </c>
      <c r="BJ74" s="4756">
        <f t="shared" ref="BJ74" si="332">SUM(BJ70+BJ73)</f>
        <v>14129.479999999998</v>
      </c>
      <c r="BK74" s="4759">
        <f t="shared" ref="BK74" si="333">SUM(BK70+BK73)</f>
        <v>35842.445452182816</v>
      </c>
      <c r="BL74" s="4759">
        <f t="shared" ref="BL74" si="334">SUM(BL70+BL73)</f>
        <v>0</v>
      </c>
      <c r="BM74" s="4759">
        <f t="shared" ref="BM74" si="335">SUM(BM70+BM73)</f>
        <v>33624.35</v>
      </c>
      <c r="BN74" s="4724">
        <f t="shared" ref="BN74" si="336">SUM(BL74-BK74)</f>
        <v>-35842.445452182816</v>
      </c>
      <c r="BO74" s="4724">
        <f t="shared" ref="BO74" si="337">SUM(BN74/BK74*100)</f>
        <v>-100</v>
      </c>
      <c r="BP74" s="4759">
        <f t="shared" ref="BP74" si="338">SUM(BP70+BP73)</f>
        <v>138437.75586761022</v>
      </c>
      <c r="BQ74" s="4759">
        <f t="shared" ref="BQ74" si="339">SUM(BQ70+BQ73)</f>
        <v>64693.799999999996</v>
      </c>
      <c r="BR74" s="4759">
        <f t="shared" ref="BR74" si="340">SUM(BR70+BR73)</f>
        <v>133046.64000000001</v>
      </c>
      <c r="BS74" s="4724">
        <f t="shared" ref="BS74" si="341">SUM(BQ74-BP74)</f>
        <v>-73743.955867610232</v>
      </c>
      <c r="BT74" s="4724">
        <f t="shared" ref="BT74" si="342">SUM(BS74/BP74*100)</f>
        <v>-53.268673278792903</v>
      </c>
      <c r="BU74" s="430"/>
      <c r="BV74" s="430"/>
      <c r="BW74" s="430"/>
      <c r="BX74" s="430"/>
    </row>
    <row r="75" spans="1:76" ht="18.75">
      <c r="A75" s="4721" t="s">
        <v>1969</v>
      </c>
      <c r="B75" s="4756">
        <f>SUM('Произв. прогр. Вода (СВОД)'!E79)</f>
        <v>0</v>
      </c>
      <c r="C75" s="4756">
        <f>SUM(C32-C70)</f>
        <v>987.39999999999964</v>
      </c>
      <c r="D75" s="4756">
        <f>SUM(D32-D70)</f>
        <v>210.89999999999964</v>
      </c>
      <c r="E75" s="4756">
        <f>SUM('Произв. прогр. Вода (СВОД)'!F79)</f>
        <v>0</v>
      </c>
      <c r="F75" s="4756">
        <f>SUM(F32-F70)</f>
        <v>1921.8999999999996</v>
      </c>
      <c r="G75" s="4756">
        <f>SUM(G32-G70)</f>
        <v>1480.33</v>
      </c>
      <c r="H75" s="4756">
        <f>SUM('Произв. прогр. Вода (СВОД)'!G79)</f>
        <v>0</v>
      </c>
      <c r="I75" s="4756">
        <f>SUM(I32-I70)</f>
        <v>-1301.5499999999975</v>
      </c>
      <c r="J75" s="4756">
        <f>SUM(J32-J70)</f>
        <v>118.39999999999964</v>
      </c>
      <c r="K75" s="4757">
        <f t="shared" ref="K75:M75" si="343">SUM(B75+E75+H75)</f>
        <v>0</v>
      </c>
      <c r="L75" s="4757">
        <f t="shared" si="343"/>
        <v>1607.7500000000018</v>
      </c>
      <c r="M75" s="4757">
        <f t="shared" si="343"/>
        <v>1809.6299999999992</v>
      </c>
      <c r="N75" s="4758">
        <f t="shared" si="198"/>
        <v>1607.7500000000018</v>
      </c>
      <c r="O75" s="4758" t="e">
        <f t="shared" si="199"/>
        <v>#DIV/0!</v>
      </c>
      <c r="P75" s="4756">
        <f>SUM('Произв. прогр. Вода (СВОД)'!I79)</f>
        <v>0</v>
      </c>
      <c r="Q75" s="4756">
        <f>SUM(Q32-Q70)</f>
        <v>414.64999999999782</v>
      </c>
      <c r="R75" s="4756">
        <f>SUM(R32-R70)</f>
        <v>-1144.8500000000004</v>
      </c>
      <c r="S75" s="4756">
        <f>SUM('Произв. прогр. Вода (СВОД)'!J79)</f>
        <v>0</v>
      </c>
      <c r="T75" s="4756">
        <f>SUM(T32-T70)</f>
        <v>868.48999999999796</v>
      </c>
      <c r="U75" s="4756">
        <f>SUM(U32-U70)</f>
        <v>-1772.1999999999989</v>
      </c>
      <c r="V75" s="4756">
        <f>SUM('Произв. прогр. Вода (СВОД)'!K79)</f>
        <v>0</v>
      </c>
      <c r="W75" s="4756">
        <f>SUM(W32-W70)</f>
        <v>235.19000000000233</v>
      </c>
      <c r="X75" s="4756">
        <f>SUM(X32-X70)</f>
        <v>-1118.9499999999989</v>
      </c>
      <c r="Y75" s="4757">
        <f t="shared" ref="Y75:AA75" si="344">SUM(P75+S75+V75)</f>
        <v>0</v>
      </c>
      <c r="Z75" s="4757">
        <f t="shared" si="344"/>
        <v>1518.3299999999981</v>
      </c>
      <c r="AA75" s="4757">
        <f t="shared" si="344"/>
        <v>-4035.9999999999982</v>
      </c>
      <c r="AB75" s="4758">
        <f t="shared" si="201"/>
        <v>1518.3299999999981</v>
      </c>
      <c r="AC75" s="4758" t="e">
        <f t="shared" si="202"/>
        <v>#DIV/0!</v>
      </c>
      <c r="AD75" s="4757">
        <f t="shared" ref="AD75:AF75" si="345">SUM(K75+Y75)</f>
        <v>0</v>
      </c>
      <c r="AE75" s="4757">
        <f t="shared" si="345"/>
        <v>3126.08</v>
      </c>
      <c r="AF75" s="4757">
        <f t="shared" si="345"/>
        <v>-2226.369999999999</v>
      </c>
      <c r="AG75" s="4758">
        <f t="shared" si="205"/>
        <v>3126.08</v>
      </c>
      <c r="AH75" s="4758" t="e">
        <f t="shared" si="206"/>
        <v>#DIV/0!</v>
      </c>
      <c r="AI75" s="4756">
        <f>SUM('Произв. прогр. Вода (СВОД)'!N79)</f>
        <v>0</v>
      </c>
      <c r="AJ75" s="4756">
        <f>SUM(AJ32-AJ70)</f>
        <v>0</v>
      </c>
      <c r="AK75" s="4756">
        <f>SUM(AK32-AK70)</f>
        <v>-823.78000000000247</v>
      </c>
      <c r="AL75" s="4756">
        <f>SUM('Произв. прогр. Вода (СВОД)'!O79)</f>
        <v>0</v>
      </c>
      <c r="AM75" s="4756">
        <f>SUM(AM32-AM70)</f>
        <v>0</v>
      </c>
      <c r="AN75" s="4756">
        <f>SUM(AN32-AN70)</f>
        <v>-1605.8707300000005</v>
      </c>
      <c r="AO75" s="4756">
        <f>SUM('Произв. прогр. Вода (СВОД)'!P79)</f>
        <v>0</v>
      </c>
      <c r="AP75" s="4756">
        <f>SUM(AP32-AP70)</f>
        <v>0</v>
      </c>
      <c r="AQ75" s="4756">
        <f>SUM(AQ32-AQ70)</f>
        <v>-1492.25</v>
      </c>
      <c r="AR75" s="4757">
        <f t="shared" ref="AR75:AT75" si="346">SUM(AI75+AL75+AO75)</f>
        <v>0</v>
      </c>
      <c r="AS75" s="4757">
        <f t="shared" si="346"/>
        <v>0</v>
      </c>
      <c r="AT75" s="4757">
        <f t="shared" si="346"/>
        <v>-3921.900730000003</v>
      </c>
      <c r="AU75" s="4758">
        <f t="shared" si="208"/>
        <v>0</v>
      </c>
      <c r="AV75" s="4758" t="e">
        <f t="shared" si="209"/>
        <v>#DIV/0!</v>
      </c>
      <c r="AW75" s="4757">
        <f t="shared" ref="AW75:AY75" si="347">SUM(AD75+AR75)</f>
        <v>0</v>
      </c>
      <c r="AX75" s="4757">
        <f t="shared" si="347"/>
        <v>3126.08</v>
      </c>
      <c r="AY75" s="4757">
        <f t="shared" si="347"/>
        <v>-6148.270730000002</v>
      </c>
      <c r="AZ75" s="4758">
        <f t="shared" si="212"/>
        <v>3126.08</v>
      </c>
      <c r="BA75" s="4758" t="e">
        <f t="shared" si="213"/>
        <v>#DIV/0!</v>
      </c>
      <c r="BB75" s="4756">
        <f>SUM('Произв. прогр. Вода (СВОД)'!S79)</f>
        <v>0</v>
      </c>
      <c r="BC75" s="4756">
        <f>SUM(BC32-BC70)</f>
        <v>0</v>
      </c>
      <c r="BD75" s="4760">
        <f>SUM(BD32-BD70)</f>
        <v>2795.2800000000007</v>
      </c>
      <c r="BE75" s="4760">
        <f>SUM('Произв. прогр. Вода (СВОД)'!T79)</f>
        <v>0</v>
      </c>
      <c r="BF75" s="4760">
        <f>SUM(BF32-BF70)</f>
        <v>0</v>
      </c>
      <c r="BG75" s="4760">
        <f>SUM(BG32-BG70)</f>
        <v>1253.8600000000006</v>
      </c>
      <c r="BH75" s="4760">
        <f>SUM('Произв. прогр. Вода (СВОД)'!U79)</f>
        <v>0</v>
      </c>
      <c r="BI75" s="4760">
        <f>SUM(BI32-BI70)</f>
        <v>0</v>
      </c>
      <c r="BJ75" s="4760">
        <f>SUM(BJ32-BJ70)</f>
        <v>-3482.7699999999968</v>
      </c>
      <c r="BK75" s="4723">
        <f t="shared" ref="BK75:BM75" si="348">SUM(BB75+BE75+BH75)</f>
        <v>0</v>
      </c>
      <c r="BL75" s="4723">
        <f t="shared" si="348"/>
        <v>0</v>
      </c>
      <c r="BM75" s="4723">
        <f t="shared" si="348"/>
        <v>566.37000000000444</v>
      </c>
      <c r="BN75" s="4724">
        <f t="shared" si="215"/>
        <v>0</v>
      </c>
      <c r="BO75" s="4724" t="e">
        <f t="shared" si="216"/>
        <v>#DIV/0!</v>
      </c>
      <c r="BP75" s="4723">
        <f t="shared" ref="BP75:BR75" si="349">SUM(AW75+BK75)</f>
        <v>0</v>
      </c>
      <c r="BQ75" s="4723">
        <f t="shared" si="349"/>
        <v>3126.08</v>
      </c>
      <c r="BR75" s="4723">
        <f t="shared" si="349"/>
        <v>-5581.9007299999976</v>
      </c>
      <c r="BS75" s="4724">
        <f t="shared" si="219"/>
        <v>3126.08</v>
      </c>
      <c r="BT75" s="4724" t="e">
        <f t="shared" si="220"/>
        <v>#DIV/0!</v>
      </c>
      <c r="BU75" s="430"/>
      <c r="BV75" s="430"/>
      <c r="BW75" s="430"/>
      <c r="BX75" s="430"/>
    </row>
    <row r="76" spans="1:76" ht="18.75">
      <c r="A76" s="4721" t="s">
        <v>547</v>
      </c>
      <c r="B76" s="4756">
        <f>SUM(B74:B75)</f>
        <v>11506.223260065668</v>
      </c>
      <c r="C76" s="4756">
        <f t="shared" ref="C76:J76" si="350">SUM(C74:C75)</f>
        <v>11502.369999999999</v>
      </c>
      <c r="D76" s="4756">
        <f t="shared" si="350"/>
        <v>10033.18</v>
      </c>
      <c r="E76" s="4756">
        <f t="shared" si="350"/>
        <v>11383.472676308565</v>
      </c>
      <c r="F76" s="4756">
        <f t="shared" si="350"/>
        <v>11366.300000000001</v>
      </c>
      <c r="G76" s="4756">
        <f t="shared" si="350"/>
        <v>10574.24</v>
      </c>
      <c r="H76" s="4756">
        <f t="shared" si="350"/>
        <v>12213.34674286094</v>
      </c>
      <c r="I76" s="4756">
        <f t="shared" si="350"/>
        <v>10711.810000000001</v>
      </c>
      <c r="J76" s="4756">
        <f t="shared" si="350"/>
        <v>10143.49</v>
      </c>
      <c r="K76" s="4759">
        <f t="shared" ref="K76" si="351">SUM(K74:K75)</f>
        <v>35103.042679235172</v>
      </c>
      <c r="L76" s="4759">
        <f t="shared" ref="L76" si="352">SUM(L74:L75)</f>
        <v>33580.480000000003</v>
      </c>
      <c r="M76" s="4759">
        <f t="shared" ref="M76" si="353">SUM(M74:M75)</f>
        <v>30750.910000000003</v>
      </c>
      <c r="N76" s="4758">
        <f t="shared" si="198"/>
        <v>-1522.5626792351686</v>
      </c>
      <c r="O76" s="4758">
        <f t="shared" si="199"/>
        <v>-4.337409418175092</v>
      </c>
      <c r="P76" s="4756">
        <f t="shared" ref="P76" si="354">SUM(P74:P75)</f>
        <v>11149.880729422743</v>
      </c>
      <c r="Q76" s="4756">
        <f t="shared" ref="Q76" si="355">SUM(Q74:Q75)</f>
        <v>11542.13</v>
      </c>
      <c r="R76" s="4756">
        <f t="shared" ref="R76" si="356">SUM(R74:R75)</f>
        <v>11193.689999999999</v>
      </c>
      <c r="S76" s="4756">
        <f t="shared" ref="S76" si="357">SUM(S74:S75)</f>
        <v>10754.194577781451</v>
      </c>
      <c r="T76" s="4756">
        <f t="shared" ref="T76" si="358">SUM(T74:T75)</f>
        <v>10990.189999999999</v>
      </c>
      <c r="U76" s="4756">
        <f t="shared" ref="U76" si="359">SUM(U74:U75)</f>
        <v>10402.450000000001</v>
      </c>
      <c r="V76" s="4756">
        <f t="shared" ref="V76" si="360">SUM(V74:V75)</f>
        <v>11531.25788586841</v>
      </c>
      <c r="W76" s="4756">
        <f t="shared" ref="W76" si="361">SUM(W74:W75)</f>
        <v>11707.080000000002</v>
      </c>
      <c r="X76" s="4756">
        <f t="shared" ref="X76" si="362">SUM(X74:X75)</f>
        <v>10084.719999999999</v>
      </c>
      <c r="Y76" s="4759">
        <f t="shared" ref="Y76" si="363">SUM(Y74:Y75)</f>
        <v>33435.333193072605</v>
      </c>
      <c r="Z76" s="4759">
        <f t="shared" ref="Z76" si="364">SUM(Z74:Z75)</f>
        <v>34239.399999999994</v>
      </c>
      <c r="AA76" s="4759">
        <f t="shared" ref="AA76" si="365">SUM(AA74:AA75)</f>
        <v>31680.86</v>
      </c>
      <c r="AB76" s="4758">
        <f t="shared" si="201"/>
        <v>804.06680692738882</v>
      </c>
      <c r="AC76" s="4758">
        <f t="shared" si="202"/>
        <v>2.404841615557705</v>
      </c>
      <c r="AD76" s="4759">
        <f t="shared" ref="AD76" si="366">SUM(AD74:AD75)</f>
        <v>68538.375872307777</v>
      </c>
      <c r="AE76" s="4759">
        <f t="shared" ref="AE76" si="367">SUM(AE74:AE75)</f>
        <v>67819.88</v>
      </c>
      <c r="AF76" s="4759">
        <f t="shared" ref="AF76" si="368">SUM(AF74:AF75)</f>
        <v>62431.770000000004</v>
      </c>
      <c r="AG76" s="4758">
        <f t="shared" si="205"/>
        <v>-718.49587230777252</v>
      </c>
      <c r="AH76" s="4758">
        <f t="shared" si="206"/>
        <v>-1.0483117861537674</v>
      </c>
      <c r="AI76" s="4756">
        <f t="shared" ref="AI76" si="369">SUM(AI74:AI75)</f>
        <v>10979.238907655628</v>
      </c>
      <c r="AJ76" s="4756">
        <f t="shared" ref="AJ76" si="370">SUM(AJ74:AJ75)</f>
        <v>0</v>
      </c>
      <c r="AK76" s="4756">
        <f t="shared" ref="AK76" si="371">SUM(AK74:AK75)</f>
        <v>9567.48</v>
      </c>
      <c r="AL76" s="4756">
        <f t="shared" ref="AL76" si="372">SUM(AL74:AL75)</f>
        <v>10977.102073160913</v>
      </c>
      <c r="AM76" s="4756">
        <f t="shared" ref="AM76" si="373">SUM(AM74:AM75)</f>
        <v>0</v>
      </c>
      <c r="AN76" s="4756">
        <f t="shared" ref="AN76" si="374">SUM(AN74:AN75)</f>
        <v>10046.849270000001</v>
      </c>
      <c r="AO76" s="4756">
        <f t="shared" ref="AO76" si="375">SUM(AO74:AO75)</f>
        <v>12100.593562303096</v>
      </c>
      <c r="AP76" s="4756">
        <f t="shared" ref="AP76" si="376">SUM(AP74:AP75)</f>
        <v>0</v>
      </c>
      <c r="AQ76" s="4756">
        <f t="shared" ref="AQ76" si="377">SUM(AQ74:AQ75)</f>
        <v>11227.92</v>
      </c>
      <c r="AR76" s="4759">
        <f t="shared" ref="AR76" si="378">SUM(AR74:AR75)</f>
        <v>34056.934543119634</v>
      </c>
      <c r="AS76" s="4759">
        <f t="shared" ref="AS76" si="379">SUM(AS74:AS75)</f>
        <v>0</v>
      </c>
      <c r="AT76" s="4759">
        <f t="shared" ref="AT76" si="380">SUM(AT74:AT75)</f>
        <v>30842.249269999993</v>
      </c>
      <c r="AU76" s="4758">
        <f t="shared" si="208"/>
        <v>-34056.934543119634</v>
      </c>
      <c r="AV76" s="4758">
        <f t="shared" si="209"/>
        <v>-100</v>
      </c>
      <c r="AW76" s="4759">
        <f t="shared" ref="AW76" si="381">SUM(AW74:AW75)</f>
        <v>102595.3104154274</v>
      </c>
      <c r="AX76" s="4759">
        <f t="shared" ref="AX76" si="382">SUM(AX74:AX75)</f>
        <v>67819.87999999999</v>
      </c>
      <c r="AY76" s="4759">
        <f t="shared" ref="AY76" si="383">SUM(AY74:AY75)</f>
        <v>93274.01926999999</v>
      </c>
      <c r="AZ76" s="4758">
        <f t="shared" si="212"/>
        <v>-34775.430415427414</v>
      </c>
      <c r="BA76" s="4758">
        <f t="shared" si="213"/>
        <v>-33.895730978945586</v>
      </c>
      <c r="BB76" s="4756">
        <f t="shared" ref="BB76" si="384">SUM(BB74:BB75)</f>
        <v>11512.7521557898</v>
      </c>
      <c r="BC76" s="4756">
        <f t="shared" ref="BC76" si="385">SUM(BC74:BC75)</f>
        <v>0</v>
      </c>
      <c r="BD76" s="4756">
        <f t="shared" ref="BD76" si="386">SUM(BD74:BD75)</f>
        <v>11905.699999999999</v>
      </c>
      <c r="BE76" s="4756">
        <f t="shared" ref="BE76" si="387">SUM(BE74:BE75)</f>
        <v>11641.494966679613</v>
      </c>
      <c r="BF76" s="4756">
        <f t="shared" ref="BF76" si="388">SUM(BF74:BF75)</f>
        <v>0</v>
      </c>
      <c r="BG76" s="4756">
        <f t="shared" ref="BG76" si="389">SUM(BG74:BG75)</f>
        <v>11638.31</v>
      </c>
      <c r="BH76" s="4756">
        <f t="shared" ref="BH76" si="390">SUM(BH74:BH75)</f>
        <v>12688.198329713416</v>
      </c>
      <c r="BI76" s="4756">
        <f t="shared" ref="BI76" si="391">SUM(BI74:BI75)</f>
        <v>0</v>
      </c>
      <c r="BJ76" s="4756">
        <f t="shared" ref="BJ76" si="392">SUM(BJ74:BJ75)</f>
        <v>10646.710000000001</v>
      </c>
      <c r="BK76" s="4759">
        <f t="shared" ref="BK76" si="393">SUM(BK74:BK75)</f>
        <v>35842.445452182816</v>
      </c>
      <c r="BL76" s="4759">
        <f t="shared" ref="BL76" si="394">SUM(BL74:BL75)</f>
        <v>0</v>
      </c>
      <c r="BM76" s="4759">
        <f t="shared" ref="BM76" si="395">SUM(BM74:BM75)</f>
        <v>34190.720000000001</v>
      </c>
      <c r="BN76" s="4724">
        <f t="shared" si="215"/>
        <v>-35842.445452182816</v>
      </c>
      <c r="BO76" s="4724">
        <f t="shared" si="216"/>
        <v>-100</v>
      </c>
      <c r="BP76" s="4759">
        <f t="shared" ref="BP76" si="396">SUM(BP74:BP75)</f>
        <v>138437.75586761022</v>
      </c>
      <c r="BQ76" s="4759">
        <f t="shared" ref="BQ76" si="397">SUM(BQ74:BQ75)</f>
        <v>67819.87999999999</v>
      </c>
      <c r="BR76" s="4759">
        <f t="shared" ref="BR76" si="398">SUM(BR74:BR75)</f>
        <v>127464.73927000002</v>
      </c>
      <c r="BS76" s="4724">
        <f t="shared" si="219"/>
        <v>-70617.87586761023</v>
      </c>
      <c r="BT76" s="4724">
        <f t="shared" si="220"/>
        <v>-51.01056097380183</v>
      </c>
      <c r="BU76" s="430"/>
      <c r="BV76" s="430"/>
      <c r="BW76" s="430"/>
      <c r="BX76" s="430"/>
    </row>
    <row r="77" spans="1:76" ht="18.75">
      <c r="A77" s="4597" t="s">
        <v>70</v>
      </c>
      <c r="B77" s="4756">
        <f t="shared" ref="B77:BR77" si="399">SUM(B76/B71)</f>
        <v>37.161033695081727</v>
      </c>
      <c r="C77" s="4756">
        <f t="shared" si="399"/>
        <v>36.020323802962452</v>
      </c>
      <c r="D77" s="4756">
        <f t="shared" si="399"/>
        <v>33.701185717644691</v>
      </c>
      <c r="E77" s="4756">
        <f t="shared" si="399"/>
        <v>36.980855011727812</v>
      </c>
      <c r="F77" s="4756">
        <f t="shared" si="399"/>
        <v>36.018316062997123</v>
      </c>
      <c r="G77" s="4756">
        <f t="shared" si="399"/>
        <v>33.703831197807105</v>
      </c>
      <c r="H77" s="4756">
        <f t="shared" si="399"/>
        <v>39.676820768911703</v>
      </c>
      <c r="I77" s="4756">
        <f t="shared" si="399"/>
        <v>36.020613356648056</v>
      </c>
      <c r="J77" s="4756">
        <f t="shared" si="399"/>
        <v>33.709381542653951</v>
      </c>
      <c r="K77" s="4759">
        <f t="shared" si="399"/>
        <v>37.938046271169654</v>
      </c>
      <c r="L77" s="4759">
        <f t="shared" si="399"/>
        <v>36.019736559831813</v>
      </c>
      <c r="M77" s="4759">
        <f t="shared" si="399"/>
        <v>33.704798544434219</v>
      </c>
      <c r="N77" s="4758">
        <f t="shared" si="198"/>
        <v>-1.9183097113378409</v>
      </c>
      <c r="O77" s="4758">
        <f t="shared" si="199"/>
        <v>-5.0564272541246442</v>
      </c>
      <c r="P77" s="4756">
        <f t="shared" si="399"/>
        <v>36.436329184621528</v>
      </c>
      <c r="Q77" s="4756">
        <f t="shared" si="399"/>
        <v>36.010638961687256</v>
      </c>
      <c r="R77" s="4756">
        <f t="shared" si="399"/>
        <v>33.708826452254037</v>
      </c>
      <c r="S77" s="4756">
        <f t="shared" si="399"/>
        <v>37.120088866319875</v>
      </c>
      <c r="T77" s="4756">
        <f t="shared" si="399"/>
        <v>36.022780163230522</v>
      </c>
      <c r="U77" s="4756">
        <f t="shared" si="399"/>
        <v>33.711799591664771</v>
      </c>
      <c r="V77" s="4756">
        <f t="shared" si="399"/>
        <v>39.802266396428777</v>
      </c>
      <c r="W77" s="4756">
        <f t="shared" si="399"/>
        <v>36.024001477013975</v>
      </c>
      <c r="X77" s="4756">
        <f t="shared" si="399"/>
        <v>33.710121674020584</v>
      </c>
      <c r="Y77" s="4759">
        <f t="shared" si="399"/>
        <v>37.761383382905571</v>
      </c>
      <c r="Z77" s="4759">
        <f t="shared" si="399"/>
        <v>36.019103924930832</v>
      </c>
      <c r="AA77" s="4759">
        <f t="shared" si="399"/>
        <v>33.710214939348795</v>
      </c>
      <c r="AB77" s="4758">
        <f t="shared" si="201"/>
        <v>-1.7422794579747389</v>
      </c>
      <c r="AC77" s="4758">
        <f t="shared" si="202"/>
        <v>-4.6139185111620193</v>
      </c>
      <c r="AD77" s="4759">
        <f t="shared" si="399"/>
        <v>37.851658118808515</v>
      </c>
      <c r="AE77" s="4759">
        <f t="shared" si="399"/>
        <v>36.019417166347125</v>
      </c>
      <c r="AF77" s="4759">
        <f t="shared" si="399"/>
        <v>33.707546864201795</v>
      </c>
      <c r="AG77" s="4758">
        <f t="shared" si="205"/>
        <v>-1.8322409524613903</v>
      </c>
      <c r="AH77" s="4758">
        <f t="shared" si="206"/>
        <v>-4.8405830643148189</v>
      </c>
      <c r="AI77" s="4756">
        <f t="shared" si="399"/>
        <v>37.896870936178445</v>
      </c>
      <c r="AJ77" s="4756" t="e">
        <f t="shared" si="399"/>
        <v>#DIV/0!</v>
      </c>
      <c r="AK77" s="4756">
        <f t="shared" si="399"/>
        <v>36.018070248089444</v>
      </c>
      <c r="AL77" s="4756">
        <f t="shared" si="399"/>
        <v>37.889495257250303</v>
      </c>
      <c r="AM77" s="4756" t="e">
        <f t="shared" si="399"/>
        <v>#DIV/0!</v>
      </c>
      <c r="AN77" s="4756">
        <f t="shared" si="399"/>
        <v>36.018390806658068</v>
      </c>
      <c r="AO77" s="4756">
        <f t="shared" si="399"/>
        <v>39.54313243924846</v>
      </c>
      <c r="AP77" s="4756" t="e">
        <f t="shared" si="399"/>
        <v>#DIV/0!</v>
      </c>
      <c r="AQ77" s="4756">
        <f t="shared" si="399"/>
        <v>36.027338360340124</v>
      </c>
      <c r="AR77" s="4759">
        <f t="shared" si="399"/>
        <v>38.463410988101408</v>
      </c>
      <c r="AS77" s="4759" t="e">
        <f t="shared" si="399"/>
        <v>#DIV/0!</v>
      </c>
      <c r="AT77" s="4759">
        <f t="shared" si="399"/>
        <v>36.021548132706833</v>
      </c>
      <c r="AU77" s="4758" t="e">
        <f t="shared" si="208"/>
        <v>#DIV/0!</v>
      </c>
      <c r="AV77" s="4758" t="e">
        <f t="shared" si="209"/>
        <v>#DIV/0!</v>
      </c>
      <c r="AW77" s="4759">
        <f t="shared" si="399"/>
        <v>38.052562855601153</v>
      </c>
      <c r="AX77" s="4759">
        <f t="shared" si="399"/>
        <v>36.019417166347118</v>
      </c>
      <c r="AY77" s="4759">
        <f t="shared" si="399"/>
        <v>34.4390870708474</v>
      </c>
      <c r="AZ77" s="4758">
        <f t="shared" si="212"/>
        <v>-2.0331456892540345</v>
      </c>
      <c r="BA77" s="4758">
        <f t="shared" si="213"/>
        <v>-5.3429927886046853</v>
      </c>
      <c r="BB77" s="4756">
        <f t="shared" si="399"/>
        <v>37.400838071610515</v>
      </c>
      <c r="BC77" s="4756" t="e">
        <f t="shared" si="399"/>
        <v>#DIV/0!</v>
      </c>
      <c r="BD77" s="4760">
        <f t="shared" si="399"/>
        <v>36.023298033282906</v>
      </c>
      <c r="BE77" s="4760">
        <f t="shared" si="399"/>
        <v>37.819077686067281</v>
      </c>
      <c r="BF77" s="4760" t="e">
        <f t="shared" si="399"/>
        <v>#DIV/0!</v>
      </c>
      <c r="BG77" s="4760">
        <f t="shared" si="399"/>
        <v>36.018538004456545</v>
      </c>
      <c r="BH77" s="4760">
        <f t="shared" si="399"/>
        <v>40.97839534339689</v>
      </c>
      <c r="BI77" s="4760" t="e">
        <f t="shared" si="399"/>
        <v>#DIV/0!</v>
      </c>
      <c r="BJ77" s="4760">
        <f t="shared" si="399"/>
        <v>36.020942585512742</v>
      </c>
      <c r="BK77" s="4761">
        <f t="shared" si="399"/>
        <v>38.73716493645027</v>
      </c>
      <c r="BL77" s="4761" t="e">
        <f t="shared" si="399"/>
        <v>#DIV/0!</v>
      </c>
      <c r="BM77" s="4761">
        <f t="shared" si="399"/>
        <v>36.020944173453159</v>
      </c>
      <c r="BN77" s="4724" t="e">
        <f t="shared" si="215"/>
        <v>#DIV/0!</v>
      </c>
      <c r="BO77" s="4724" t="e">
        <f t="shared" si="216"/>
        <v>#DIV/0!</v>
      </c>
      <c r="BP77" s="4761">
        <f t="shared" si="399"/>
        <v>38.227478687258099</v>
      </c>
      <c r="BQ77" s="4761">
        <f t="shared" si="399"/>
        <v>36.019417166347118</v>
      </c>
      <c r="BR77" s="4761">
        <f t="shared" si="399"/>
        <v>34.849601242399785</v>
      </c>
      <c r="BS77" s="4724">
        <f t="shared" si="219"/>
        <v>-2.2080615209109808</v>
      </c>
      <c r="BT77" s="4724">
        <f t="shared" si="220"/>
        <v>-5.7761107892448242</v>
      </c>
      <c r="BU77" s="430"/>
      <c r="BV77" s="430"/>
      <c r="BW77" s="430"/>
      <c r="BX77" s="430"/>
    </row>
    <row r="78" spans="1:76" ht="18.75">
      <c r="A78" s="4597" t="s">
        <v>326</v>
      </c>
      <c r="B78" s="4756">
        <f>SUM('Произв. прогр. Вода (СВОД)'!E82)</f>
        <v>-552.07499999999993</v>
      </c>
      <c r="C78" s="4762"/>
      <c r="D78" s="4763"/>
      <c r="E78" s="4756">
        <f>SUM('Произв. прогр. Вода (СВОД)'!F82)</f>
        <v>-552.07499999999993</v>
      </c>
      <c r="F78" s="4762"/>
      <c r="G78" s="4763"/>
      <c r="H78" s="4756">
        <f>SUM('Произв. прогр. Вода (СВОД)'!G82)</f>
        <v>-552.07499999999993</v>
      </c>
      <c r="I78" s="4762"/>
      <c r="J78" s="4763"/>
      <c r="K78" s="4757">
        <f t="shared" ref="K78:M78" si="400">SUM(B78+E78+H78)</f>
        <v>-1656.2249999999999</v>
      </c>
      <c r="L78" s="4757">
        <f t="shared" si="400"/>
        <v>0</v>
      </c>
      <c r="M78" s="4757">
        <f t="shared" si="400"/>
        <v>0</v>
      </c>
      <c r="N78" s="4758">
        <f t="shared" si="198"/>
        <v>1656.2249999999999</v>
      </c>
      <c r="O78" s="4758">
        <f t="shared" si="199"/>
        <v>-100</v>
      </c>
      <c r="P78" s="4756">
        <f>SUM('Произв. прогр. Вода (СВОД)'!I82)</f>
        <v>-552.07499999999993</v>
      </c>
      <c r="Q78" s="4762"/>
      <c r="R78" s="4763"/>
      <c r="S78" s="4756">
        <f>SUM('Произв. прогр. Вода (СВОД)'!J82)</f>
        <v>-552.07499999999993</v>
      </c>
      <c r="T78" s="4762"/>
      <c r="U78" s="4763"/>
      <c r="V78" s="4756">
        <f>SUM('Произв. прогр. Вода (СВОД)'!K82)</f>
        <v>-552.07499999999993</v>
      </c>
      <c r="W78" s="4762"/>
      <c r="X78" s="4763"/>
      <c r="Y78" s="4757">
        <f t="shared" ref="Y78:AA78" si="401">SUM(P78+S78+V78)</f>
        <v>-1656.2249999999999</v>
      </c>
      <c r="Z78" s="4757">
        <f t="shared" si="401"/>
        <v>0</v>
      </c>
      <c r="AA78" s="4757">
        <f t="shared" si="401"/>
        <v>0</v>
      </c>
      <c r="AB78" s="4758">
        <f t="shared" si="201"/>
        <v>1656.2249999999999</v>
      </c>
      <c r="AC78" s="4758">
        <f t="shared" si="202"/>
        <v>-100</v>
      </c>
      <c r="AD78" s="4757">
        <f t="shared" ref="AD78:AF78" si="402">SUM(K78+Y78)</f>
        <v>-3312.45</v>
      </c>
      <c r="AE78" s="4757">
        <f t="shared" si="402"/>
        <v>0</v>
      </c>
      <c r="AF78" s="4757">
        <f t="shared" si="402"/>
        <v>0</v>
      </c>
      <c r="AG78" s="4758">
        <f t="shared" si="205"/>
        <v>3312.45</v>
      </c>
      <c r="AH78" s="4758">
        <f t="shared" si="206"/>
        <v>-100</v>
      </c>
      <c r="AI78" s="4756">
        <f>SUM('Произв. прогр. Вода (СВОД)'!N82)</f>
        <v>-552.07499999999993</v>
      </c>
      <c r="AJ78" s="4762"/>
      <c r="AK78" s="4763"/>
      <c r="AL78" s="4756">
        <f>SUM('Произв. прогр. Вода (СВОД)'!O82)</f>
        <v>-552.07499999999993</v>
      </c>
      <c r="AM78" s="4762"/>
      <c r="AN78" s="4763"/>
      <c r="AO78" s="4756">
        <f>SUM('Произв. прогр. Вода (СВОД)'!P82)</f>
        <v>-552.07499999999993</v>
      </c>
      <c r="AP78" s="4762"/>
      <c r="AQ78" s="4763"/>
      <c r="AR78" s="4757">
        <f t="shared" ref="AR78:AT78" si="403">SUM(AI78+AL78+AO78)</f>
        <v>-1656.2249999999999</v>
      </c>
      <c r="AS78" s="4757">
        <f t="shared" si="403"/>
        <v>0</v>
      </c>
      <c r="AT78" s="4757">
        <f t="shared" si="403"/>
        <v>0</v>
      </c>
      <c r="AU78" s="4758">
        <f t="shared" si="208"/>
        <v>1656.2249999999999</v>
      </c>
      <c r="AV78" s="4758">
        <f t="shared" si="209"/>
        <v>-100</v>
      </c>
      <c r="AW78" s="4757">
        <f t="shared" ref="AW78:AY78" si="404">SUM(AD78+AR78)</f>
        <v>-4968.6749999999993</v>
      </c>
      <c r="AX78" s="4757">
        <f t="shared" si="404"/>
        <v>0</v>
      </c>
      <c r="AY78" s="4757">
        <f t="shared" si="404"/>
        <v>0</v>
      </c>
      <c r="AZ78" s="4758">
        <f t="shared" si="212"/>
        <v>4968.6749999999993</v>
      </c>
      <c r="BA78" s="4758">
        <f t="shared" si="213"/>
        <v>-100</v>
      </c>
      <c r="BB78" s="4756">
        <f>SUM('Произв. прогр. Вода (СВОД)'!S82)</f>
        <v>-552.07499999999993</v>
      </c>
      <c r="BC78" s="4762"/>
      <c r="BD78" s="4763"/>
      <c r="BE78" s="4760">
        <f>SUM('Произв. прогр. Вода (СВОД)'!T82)</f>
        <v>-552.07499999999993</v>
      </c>
      <c r="BF78" s="4765"/>
      <c r="BG78" s="4763"/>
      <c r="BH78" s="4760">
        <f>SUM('Произв. прогр. Вода (СВОД)'!U82)</f>
        <v>-552.07499999999993</v>
      </c>
      <c r="BI78" s="4765"/>
      <c r="BJ78" s="4763"/>
      <c r="BK78" s="4723">
        <f t="shared" ref="BK78:BM78" si="405">SUM(BB78+BE78+BH78)</f>
        <v>-1656.2249999999999</v>
      </c>
      <c r="BL78" s="4723">
        <f t="shared" si="405"/>
        <v>0</v>
      </c>
      <c r="BM78" s="4723">
        <f t="shared" si="405"/>
        <v>0</v>
      </c>
      <c r="BN78" s="4724">
        <f t="shared" si="215"/>
        <v>1656.2249999999999</v>
      </c>
      <c r="BO78" s="4724">
        <f t="shared" si="216"/>
        <v>-100</v>
      </c>
      <c r="BP78" s="4723">
        <f t="shared" ref="BP78:BR78" si="406">SUM(AW78+BK78)</f>
        <v>-6624.9</v>
      </c>
      <c r="BQ78" s="4723">
        <f t="shared" si="406"/>
        <v>0</v>
      </c>
      <c r="BR78" s="4723">
        <f t="shared" si="406"/>
        <v>0</v>
      </c>
      <c r="BS78" s="4724">
        <f t="shared" si="219"/>
        <v>6624.9</v>
      </c>
      <c r="BT78" s="4724">
        <f t="shared" si="220"/>
        <v>-100</v>
      </c>
      <c r="BU78" s="430"/>
      <c r="BV78" s="430"/>
      <c r="BW78" s="430"/>
      <c r="BX78" s="430"/>
    </row>
    <row r="79" spans="1:76" ht="18.75">
      <c r="A79" s="4721" t="s">
        <v>548</v>
      </c>
      <c r="B79" s="4756">
        <f>SUM(B78+B76)</f>
        <v>10954.148260065667</v>
      </c>
      <c r="C79" s="4756">
        <f t="shared" ref="C79:BR79" si="407">SUM(C78+C76)</f>
        <v>11502.369999999999</v>
      </c>
      <c r="D79" s="4756">
        <f t="shared" si="407"/>
        <v>10033.18</v>
      </c>
      <c r="E79" s="4756">
        <f t="shared" si="407"/>
        <v>10831.397676308565</v>
      </c>
      <c r="F79" s="4756">
        <f t="shared" si="407"/>
        <v>11366.300000000001</v>
      </c>
      <c r="G79" s="4756">
        <f t="shared" si="407"/>
        <v>10574.24</v>
      </c>
      <c r="H79" s="4756">
        <f t="shared" si="407"/>
        <v>11661.271742860939</v>
      </c>
      <c r="I79" s="4756">
        <f t="shared" si="407"/>
        <v>10711.810000000001</v>
      </c>
      <c r="J79" s="4756">
        <f t="shared" si="407"/>
        <v>10143.49</v>
      </c>
      <c r="K79" s="4759">
        <f t="shared" si="407"/>
        <v>33446.817679235173</v>
      </c>
      <c r="L79" s="4759">
        <f t="shared" si="407"/>
        <v>33580.480000000003</v>
      </c>
      <c r="M79" s="4759">
        <f t="shared" si="407"/>
        <v>30750.910000000003</v>
      </c>
      <c r="N79" s="4758">
        <f t="shared" si="198"/>
        <v>133.66232076482993</v>
      </c>
      <c r="O79" s="4758">
        <f t="shared" si="199"/>
        <v>0.39962642200131243</v>
      </c>
      <c r="P79" s="4756">
        <f t="shared" si="407"/>
        <v>10597.805729422742</v>
      </c>
      <c r="Q79" s="4756">
        <f t="shared" si="407"/>
        <v>11542.13</v>
      </c>
      <c r="R79" s="4756">
        <f t="shared" si="407"/>
        <v>11193.689999999999</v>
      </c>
      <c r="S79" s="4756">
        <f t="shared" si="407"/>
        <v>10202.11957778145</v>
      </c>
      <c r="T79" s="4756">
        <f t="shared" si="407"/>
        <v>10990.189999999999</v>
      </c>
      <c r="U79" s="4756">
        <f t="shared" si="407"/>
        <v>10402.450000000001</v>
      </c>
      <c r="V79" s="4756">
        <f t="shared" si="407"/>
        <v>10979.182885868409</v>
      </c>
      <c r="W79" s="4756">
        <f t="shared" si="407"/>
        <v>11707.080000000002</v>
      </c>
      <c r="X79" s="4756">
        <f t="shared" si="407"/>
        <v>10084.719999999999</v>
      </c>
      <c r="Y79" s="4759">
        <f t="shared" si="407"/>
        <v>31779.108193072607</v>
      </c>
      <c r="Z79" s="4759">
        <f t="shared" si="407"/>
        <v>34239.399999999994</v>
      </c>
      <c r="AA79" s="4759">
        <f t="shared" si="407"/>
        <v>31680.86</v>
      </c>
      <c r="AB79" s="4758">
        <f t="shared" si="201"/>
        <v>2460.2918069273874</v>
      </c>
      <c r="AC79" s="4758">
        <f t="shared" si="202"/>
        <v>7.7418528927243342</v>
      </c>
      <c r="AD79" s="4759">
        <f t="shared" si="407"/>
        <v>65225.92587230778</v>
      </c>
      <c r="AE79" s="4759">
        <f t="shared" si="407"/>
        <v>67819.88</v>
      </c>
      <c r="AF79" s="4759">
        <f t="shared" si="407"/>
        <v>62431.770000000004</v>
      </c>
      <c r="AG79" s="4758">
        <f t="shared" si="205"/>
        <v>2593.9541276922246</v>
      </c>
      <c r="AH79" s="4758">
        <f t="shared" si="206"/>
        <v>3.9768759017240871</v>
      </c>
      <c r="AI79" s="4756">
        <f t="shared" si="407"/>
        <v>10427.163907655628</v>
      </c>
      <c r="AJ79" s="4756">
        <f t="shared" si="407"/>
        <v>0</v>
      </c>
      <c r="AK79" s="4756">
        <f t="shared" si="407"/>
        <v>9567.48</v>
      </c>
      <c r="AL79" s="4756">
        <f t="shared" si="407"/>
        <v>10425.027073160913</v>
      </c>
      <c r="AM79" s="4756">
        <f t="shared" si="407"/>
        <v>0</v>
      </c>
      <c r="AN79" s="4756">
        <f t="shared" si="407"/>
        <v>10046.849270000001</v>
      </c>
      <c r="AO79" s="4756">
        <f t="shared" si="407"/>
        <v>11548.518562303096</v>
      </c>
      <c r="AP79" s="4756">
        <f t="shared" si="407"/>
        <v>0</v>
      </c>
      <c r="AQ79" s="4756">
        <f t="shared" si="407"/>
        <v>11227.92</v>
      </c>
      <c r="AR79" s="4759">
        <f t="shared" si="407"/>
        <v>32400.709543119636</v>
      </c>
      <c r="AS79" s="4759">
        <f t="shared" si="407"/>
        <v>0</v>
      </c>
      <c r="AT79" s="4759">
        <f t="shared" si="407"/>
        <v>30842.249269999993</v>
      </c>
      <c r="AU79" s="4758">
        <f t="shared" si="208"/>
        <v>-32400.709543119636</v>
      </c>
      <c r="AV79" s="4758">
        <f t="shared" si="209"/>
        <v>-100</v>
      </c>
      <c r="AW79" s="4759">
        <f t="shared" si="407"/>
        <v>97626.635415427401</v>
      </c>
      <c r="AX79" s="4759">
        <f t="shared" si="407"/>
        <v>67819.87999999999</v>
      </c>
      <c r="AY79" s="4759">
        <f t="shared" si="407"/>
        <v>93274.01926999999</v>
      </c>
      <c r="AZ79" s="4758">
        <f t="shared" si="212"/>
        <v>-29806.755415427411</v>
      </c>
      <c r="BA79" s="4758">
        <f t="shared" si="213"/>
        <v>-30.531376287415529</v>
      </c>
      <c r="BB79" s="4756">
        <f t="shared" si="407"/>
        <v>10960.677155789799</v>
      </c>
      <c r="BC79" s="4756">
        <f t="shared" si="407"/>
        <v>0</v>
      </c>
      <c r="BD79" s="4760">
        <f t="shared" si="407"/>
        <v>11905.699999999999</v>
      </c>
      <c r="BE79" s="4760">
        <f t="shared" si="407"/>
        <v>11089.419966679612</v>
      </c>
      <c r="BF79" s="4760">
        <f t="shared" si="407"/>
        <v>0</v>
      </c>
      <c r="BG79" s="4760">
        <f t="shared" si="407"/>
        <v>11638.31</v>
      </c>
      <c r="BH79" s="4760">
        <f t="shared" si="407"/>
        <v>12136.123329713415</v>
      </c>
      <c r="BI79" s="4760">
        <f t="shared" si="407"/>
        <v>0</v>
      </c>
      <c r="BJ79" s="4760">
        <f t="shared" si="407"/>
        <v>10646.710000000001</v>
      </c>
      <c r="BK79" s="4761">
        <f t="shared" si="407"/>
        <v>34186.220452182817</v>
      </c>
      <c r="BL79" s="4761">
        <f t="shared" si="407"/>
        <v>0</v>
      </c>
      <c r="BM79" s="4761">
        <f t="shared" si="407"/>
        <v>34190.720000000001</v>
      </c>
      <c r="BN79" s="4724">
        <f t="shared" si="215"/>
        <v>-34186.220452182817</v>
      </c>
      <c r="BO79" s="4724">
        <f t="shared" si="216"/>
        <v>-100</v>
      </c>
      <c r="BP79" s="4761">
        <f t="shared" si="407"/>
        <v>131812.85586761023</v>
      </c>
      <c r="BQ79" s="4761">
        <f t="shared" si="407"/>
        <v>67819.87999999999</v>
      </c>
      <c r="BR79" s="4761">
        <f t="shared" si="407"/>
        <v>127464.73927000002</v>
      </c>
      <c r="BS79" s="4724">
        <f t="shared" si="219"/>
        <v>-63992.975867610236</v>
      </c>
      <c r="BT79" s="4724">
        <f t="shared" si="220"/>
        <v>-48.548357022082349</v>
      </c>
      <c r="BU79" s="430"/>
      <c r="BV79" s="430"/>
      <c r="BW79" s="430"/>
      <c r="BX79" s="430"/>
    </row>
    <row r="80" spans="1:76" ht="18.75">
      <c r="A80" s="4721" t="s">
        <v>327</v>
      </c>
      <c r="B80" s="4756">
        <f t="shared" ref="B80:BR80" si="408">SUM(B79/B71)</f>
        <v>35.378026602874897</v>
      </c>
      <c r="C80" s="4756">
        <f t="shared" si="408"/>
        <v>36.020323802962452</v>
      </c>
      <c r="D80" s="4756">
        <f t="shared" si="408"/>
        <v>33.701185717644691</v>
      </c>
      <c r="E80" s="4756">
        <f t="shared" si="408"/>
        <v>35.187359642508</v>
      </c>
      <c r="F80" s="4756">
        <f t="shared" si="408"/>
        <v>36.018316062997123</v>
      </c>
      <c r="G80" s="4756">
        <f t="shared" si="408"/>
        <v>33.703831197807105</v>
      </c>
      <c r="H80" s="4756">
        <f t="shared" si="408"/>
        <v>37.883325399691891</v>
      </c>
      <c r="I80" s="4756">
        <f t="shared" si="408"/>
        <v>36.020613356648056</v>
      </c>
      <c r="J80" s="4756">
        <f t="shared" si="408"/>
        <v>33.709381542653951</v>
      </c>
      <c r="K80" s="4759">
        <f t="shared" si="408"/>
        <v>36.148060677623462</v>
      </c>
      <c r="L80" s="4759">
        <f t="shared" si="408"/>
        <v>36.019736559831813</v>
      </c>
      <c r="M80" s="4759">
        <f t="shared" si="408"/>
        <v>33.704798544434219</v>
      </c>
      <c r="N80" s="4758">
        <f t="shared" si="198"/>
        <v>-0.12832411779164943</v>
      </c>
      <c r="O80" s="4758">
        <f t="shared" si="199"/>
        <v>-0.35499585700066399</v>
      </c>
      <c r="P80" s="4756">
        <f t="shared" si="408"/>
        <v>34.63222141676728</v>
      </c>
      <c r="Q80" s="4756">
        <f t="shared" si="408"/>
        <v>36.010638961687256</v>
      </c>
      <c r="R80" s="4756">
        <f t="shared" si="408"/>
        <v>33.708826452254037</v>
      </c>
      <c r="S80" s="4756">
        <f t="shared" si="408"/>
        <v>35.214500036523823</v>
      </c>
      <c r="T80" s="4756">
        <f t="shared" si="408"/>
        <v>36.022780163230522</v>
      </c>
      <c r="U80" s="4756">
        <f t="shared" si="408"/>
        <v>33.711799591664771</v>
      </c>
      <c r="V80" s="4756">
        <f t="shared" si="408"/>
        <v>37.896677566632732</v>
      </c>
      <c r="W80" s="4756">
        <f t="shared" si="408"/>
        <v>36.024001477013975</v>
      </c>
      <c r="X80" s="4756">
        <f t="shared" si="408"/>
        <v>33.710121674020584</v>
      </c>
      <c r="Y80" s="4759">
        <f t="shared" si="408"/>
        <v>35.890866740160988</v>
      </c>
      <c r="Z80" s="4759">
        <f t="shared" si="408"/>
        <v>36.019103924930832</v>
      </c>
      <c r="AA80" s="4759">
        <f t="shared" si="408"/>
        <v>33.710214939348795</v>
      </c>
      <c r="AB80" s="4758">
        <f t="shared" si="201"/>
        <v>0.12823718476984425</v>
      </c>
      <c r="AC80" s="4758">
        <f t="shared" si="202"/>
        <v>0.35729754229186672</v>
      </c>
      <c r="AD80" s="4759">
        <f t="shared" si="408"/>
        <v>36.022292842204315</v>
      </c>
      <c r="AE80" s="4759">
        <f t="shared" si="408"/>
        <v>36.019417166347125</v>
      </c>
      <c r="AF80" s="4759">
        <f t="shared" si="408"/>
        <v>33.707546864201795</v>
      </c>
      <c r="AG80" s="4758">
        <f t="shared" si="205"/>
        <v>-2.8756758571901742E-3</v>
      </c>
      <c r="AH80" s="4758">
        <f t="shared" si="206"/>
        <v>-7.983045026553625E-3</v>
      </c>
      <c r="AI80" s="4756">
        <f t="shared" si="408"/>
        <v>35.991282106382393</v>
      </c>
      <c r="AJ80" s="4756" t="e">
        <f t="shared" si="408"/>
        <v>#DIV/0!</v>
      </c>
      <c r="AK80" s="4756">
        <f t="shared" si="408"/>
        <v>36.018070248089444</v>
      </c>
      <c r="AL80" s="4756">
        <f t="shared" si="408"/>
        <v>35.983906427454258</v>
      </c>
      <c r="AM80" s="4756" t="e">
        <f t="shared" si="408"/>
        <v>#DIV/0!</v>
      </c>
      <c r="AN80" s="4756">
        <f t="shared" si="408"/>
        <v>36.018390806658068</v>
      </c>
      <c r="AO80" s="4756">
        <f t="shared" si="408"/>
        <v>37.739024671394212</v>
      </c>
      <c r="AP80" s="4756" t="e">
        <f t="shared" si="408"/>
        <v>#DIV/0!</v>
      </c>
      <c r="AQ80" s="4756">
        <f t="shared" si="408"/>
        <v>36.027338360340124</v>
      </c>
      <c r="AR80" s="4759">
        <f t="shared" si="408"/>
        <v>36.592894345356825</v>
      </c>
      <c r="AS80" s="4759" t="e">
        <f t="shared" si="408"/>
        <v>#DIV/0!</v>
      </c>
      <c r="AT80" s="4759">
        <f t="shared" si="408"/>
        <v>36.021548132706833</v>
      </c>
      <c r="AU80" s="4758" t="e">
        <f t="shared" si="208"/>
        <v>#DIV/0!</v>
      </c>
      <c r="AV80" s="4758" t="e">
        <f t="shared" si="209"/>
        <v>#DIV/0!</v>
      </c>
      <c r="AW80" s="4759">
        <f t="shared" si="408"/>
        <v>36.2096831276587</v>
      </c>
      <c r="AX80" s="4759">
        <f t="shared" si="408"/>
        <v>36.019417166347118</v>
      </c>
      <c r="AY80" s="4759">
        <f t="shared" si="408"/>
        <v>34.4390870708474</v>
      </c>
      <c r="AZ80" s="4758">
        <f t="shared" si="212"/>
        <v>-0.19026596131158158</v>
      </c>
      <c r="BA80" s="4758">
        <f t="shared" si="213"/>
        <v>-0.52545602412700287</v>
      </c>
      <c r="BB80" s="4756">
        <f t="shared" si="408"/>
        <v>35.607342702390703</v>
      </c>
      <c r="BC80" s="4756" t="e">
        <f t="shared" si="408"/>
        <v>#DIV/0!</v>
      </c>
      <c r="BD80" s="4760">
        <f t="shared" si="408"/>
        <v>36.023298033282906</v>
      </c>
      <c r="BE80" s="4760">
        <f t="shared" si="408"/>
        <v>36.025582316847469</v>
      </c>
      <c r="BF80" s="4760" t="e">
        <f t="shared" si="408"/>
        <v>#DIV/0!</v>
      </c>
      <c r="BG80" s="4760">
        <f t="shared" si="408"/>
        <v>36.018538004456545</v>
      </c>
      <c r="BH80" s="4760">
        <f t="shared" si="408"/>
        <v>39.19538825119006</v>
      </c>
      <c r="BI80" s="4760" t="e">
        <f t="shared" si="408"/>
        <v>#DIV/0!</v>
      </c>
      <c r="BJ80" s="4760">
        <f t="shared" si="408"/>
        <v>36.020942585512742</v>
      </c>
      <c r="BK80" s="4761">
        <f t="shared" si="408"/>
        <v>36.947179342904086</v>
      </c>
      <c r="BL80" s="4761" t="e">
        <f t="shared" si="408"/>
        <v>#DIV/0!</v>
      </c>
      <c r="BM80" s="4761">
        <f t="shared" si="408"/>
        <v>36.020944173453159</v>
      </c>
      <c r="BN80" s="4724" t="e">
        <f t="shared" si="215"/>
        <v>#DIV/0!</v>
      </c>
      <c r="BO80" s="4724" t="e">
        <f t="shared" si="216"/>
        <v>#DIV/0!</v>
      </c>
      <c r="BP80" s="4761">
        <f t="shared" si="408"/>
        <v>36.398113410653892</v>
      </c>
      <c r="BQ80" s="4761">
        <f t="shared" si="408"/>
        <v>36.019417166347118</v>
      </c>
      <c r="BR80" s="4761">
        <f t="shared" si="408"/>
        <v>34.849601242399785</v>
      </c>
      <c r="BS80" s="4724">
        <f t="shared" si="219"/>
        <v>-0.37869624430677362</v>
      </c>
      <c r="BT80" s="4724">
        <f t="shared" si="220"/>
        <v>-1.0404282222933223</v>
      </c>
      <c r="BU80" s="430"/>
      <c r="BV80" s="430"/>
      <c r="BW80" s="430"/>
      <c r="BX80" s="430"/>
    </row>
    <row r="81" spans="1:76" ht="18.75">
      <c r="A81" s="4597" t="s">
        <v>2025</v>
      </c>
      <c r="B81" s="4766">
        <f>SUM(B82:B83)</f>
        <v>0</v>
      </c>
      <c r="C81" s="4766">
        <f>SUM('[20]ПОЛНАЯ СЕБЕСТОИМОСТЬ ВОДА 2017'!C214)</f>
        <v>0</v>
      </c>
      <c r="D81" s="4766">
        <f t="shared" ref="D81:BH81" si="409">SUM(D82:D83)</f>
        <v>0</v>
      </c>
      <c r="E81" s="4766">
        <f t="shared" si="409"/>
        <v>0</v>
      </c>
      <c r="F81" s="4756">
        <f>SUM('[20]ПОЛНАЯ СЕБЕСТОИМОСТЬ ВОДА 2017'!D214)</f>
        <v>0</v>
      </c>
      <c r="G81" s="4766">
        <f t="shared" ref="G81" si="410">SUM(G82:G83)</f>
        <v>0</v>
      </c>
      <c r="H81" s="4766">
        <f t="shared" si="409"/>
        <v>0</v>
      </c>
      <c r="I81" s="4766">
        <f>SUM('[20]ПОЛНАЯ СЕБЕСТОИМОСТЬ ВОДА 2017'!E214)</f>
        <v>0</v>
      </c>
      <c r="J81" s="4766">
        <f t="shared" ref="J81" si="411">SUM(J82:J83)</f>
        <v>0</v>
      </c>
      <c r="K81" s="4757">
        <f t="shared" ref="K81:M84" si="412">SUM(B81+E81+H81)</f>
        <v>0</v>
      </c>
      <c r="L81" s="4757">
        <f t="shared" si="412"/>
        <v>0</v>
      </c>
      <c r="M81" s="4757">
        <f t="shared" si="412"/>
        <v>0</v>
      </c>
      <c r="N81" s="4758">
        <f t="shared" si="198"/>
        <v>0</v>
      </c>
      <c r="O81" s="4758"/>
      <c r="P81" s="4766">
        <f t="shared" si="409"/>
        <v>0</v>
      </c>
      <c r="Q81" s="4766">
        <f>SUM('[20]ПОЛНАЯ СЕБЕСТОИМОСТЬ ВОДА 2017'!H214)</f>
        <v>0</v>
      </c>
      <c r="R81" s="4766">
        <f t="shared" ref="R81" si="413">SUM(R82:R83)</f>
        <v>0</v>
      </c>
      <c r="S81" s="4766">
        <f t="shared" si="409"/>
        <v>0</v>
      </c>
      <c r="T81" s="4766">
        <f>SUM('[20]ПОЛНАЯ СЕБЕСТОИМОСТЬ ВОДА 2017'!I214)</f>
        <v>0</v>
      </c>
      <c r="U81" s="4766">
        <f t="shared" ref="U81" si="414">SUM(U82:U83)</f>
        <v>0</v>
      </c>
      <c r="V81" s="4766">
        <f t="shared" si="409"/>
        <v>0</v>
      </c>
      <c r="W81" s="4766">
        <f>SUM('[20]ПОЛНАЯ СЕБЕСТОИМОСТЬ ВОДА 2017'!J214)</f>
        <v>0</v>
      </c>
      <c r="X81" s="4766">
        <f t="shared" ref="X81" si="415">SUM(X82:X83)</f>
        <v>0</v>
      </c>
      <c r="Y81" s="4757">
        <f t="shared" ref="Y81:AA84" si="416">SUM(P81+S81+V81)</f>
        <v>0</v>
      </c>
      <c r="Z81" s="4757">
        <f t="shared" si="416"/>
        <v>0</v>
      </c>
      <c r="AA81" s="4757">
        <f t="shared" si="416"/>
        <v>0</v>
      </c>
      <c r="AB81" s="4758">
        <f t="shared" si="201"/>
        <v>0</v>
      </c>
      <c r="AC81" s="4758"/>
      <c r="AD81" s="4757">
        <f t="shared" ref="AD81:AF84" si="417">SUM(K81+Y81)</f>
        <v>0</v>
      </c>
      <c r="AE81" s="4757">
        <f t="shared" si="417"/>
        <v>0</v>
      </c>
      <c r="AF81" s="4757">
        <f t="shared" si="417"/>
        <v>0</v>
      </c>
      <c r="AG81" s="4758">
        <f t="shared" si="205"/>
        <v>0</v>
      </c>
      <c r="AH81" s="4758"/>
      <c r="AI81" s="4766">
        <f t="shared" si="409"/>
        <v>0</v>
      </c>
      <c r="AJ81" s="4766">
        <f>SUM('[20]ПОЛНАЯ СЕБЕСТОИМОСТЬ ВОДА 2017'!P214)</f>
        <v>0</v>
      </c>
      <c r="AK81" s="4766">
        <f t="shared" ref="AK81" si="418">SUM(AK82:AK83)</f>
        <v>0</v>
      </c>
      <c r="AL81" s="4766">
        <f t="shared" si="409"/>
        <v>0</v>
      </c>
      <c r="AM81" s="4766">
        <f>SUM('[20]ПОЛНАЯ СЕБЕСТОИМОСТЬ ВОДА 2017'!Q214)</f>
        <v>0</v>
      </c>
      <c r="AN81" s="4766">
        <f t="shared" ref="AN81" si="419">SUM(AN82:AN83)</f>
        <v>0</v>
      </c>
      <c r="AO81" s="4766">
        <f t="shared" si="409"/>
        <v>0</v>
      </c>
      <c r="AP81" s="4766">
        <f>SUM('[20]ПОЛНАЯ СЕБЕСТОИМОСТЬ ВОДА 2017'!R214)</f>
        <v>0</v>
      </c>
      <c r="AQ81" s="4766">
        <f t="shared" ref="AQ81" si="420">SUM(AQ82:AQ83)</f>
        <v>0</v>
      </c>
      <c r="AR81" s="4757">
        <f t="shared" ref="AR81:AT84" si="421">SUM(AI81+AL81+AO81)</f>
        <v>0</v>
      </c>
      <c r="AS81" s="4757">
        <f t="shared" si="421"/>
        <v>0</v>
      </c>
      <c r="AT81" s="4757">
        <f t="shared" si="421"/>
        <v>0</v>
      </c>
      <c r="AU81" s="4758">
        <f t="shared" si="208"/>
        <v>0</v>
      </c>
      <c r="AV81" s="4758"/>
      <c r="AW81" s="4757">
        <f t="shared" ref="AW81:AY84" si="422">SUM(AD81+AR81)</f>
        <v>0</v>
      </c>
      <c r="AX81" s="4757">
        <f t="shared" si="422"/>
        <v>0</v>
      </c>
      <c r="AY81" s="4757">
        <f t="shared" si="422"/>
        <v>0</v>
      </c>
      <c r="AZ81" s="4758">
        <f t="shared" si="212"/>
        <v>0</v>
      </c>
      <c r="BA81" s="4758"/>
      <c r="BB81" s="4766">
        <f t="shared" si="409"/>
        <v>0</v>
      </c>
      <c r="BC81" s="4766">
        <f>SUM('[20]ПОЛНАЯ СЕБЕСТОИМОСТЬ ВОДА 2017'!W214)</f>
        <v>0</v>
      </c>
      <c r="BD81" s="4722">
        <f t="shared" ref="BD81" si="423">SUM(BD82:BD83)</f>
        <v>0</v>
      </c>
      <c r="BE81" s="4722">
        <f t="shared" si="409"/>
        <v>0</v>
      </c>
      <c r="BF81" s="4722">
        <f>SUM('[20]ПОЛНАЯ СЕБЕСТОИМОСТЬ ВОДА 2017'!Y214)</f>
        <v>0</v>
      </c>
      <c r="BG81" s="4722">
        <f t="shared" ref="BG81" si="424">SUM(BG82:BG83)</f>
        <v>0</v>
      </c>
      <c r="BH81" s="4722">
        <f t="shared" si="409"/>
        <v>0</v>
      </c>
      <c r="BI81" s="4722">
        <f>SUM('[20]ПОЛНАЯ СЕБЕСТОИМОСТЬ ВОДА 2017'!Z214)</f>
        <v>0</v>
      </c>
      <c r="BJ81" s="4722">
        <f t="shared" ref="BJ81" si="425">SUM(BJ82:BJ83)</f>
        <v>0</v>
      </c>
      <c r="BK81" s="4723">
        <f t="shared" ref="BK81:BM84" si="426">SUM(BB81+BE81+BH81)</f>
        <v>0</v>
      </c>
      <c r="BL81" s="4723">
        <f t="shared" si="426"/>
        <v>0</v>
      </c>
      <c r="BM81" s="4723">
        <f t="shared" si="426"/>
        <v>0</v>
      </c>
      <c r="BN81" s="4724">
        <f t="shared" si="215"/>
        <v>0</v>
      </c>
      <c r="BO81" s="4724"/>
      <c r="BP81" s="4723">
        <f t="shared" ref="BP81:BR84" si="427">SUM(AW81+BK81)</f>
        <v>0</v>
      </c>
      <c r="BQ81" s="4723">
        <f t="shared" si="427"/>
        <v>0</v>
      </c>
      <c r="BR81" s="4723">
        <f t="shared" si="427"/>
        <v>0</v>
      </c>
      <c r="BS81" s="4724">
        <f t="shared" si="219"/>
        <v>0</v>
      </c>
      <c r="BT81" s="4724"/>
      <c r="BU81" s="430"/>
      <c r="BV81" s="430"/>
      <c r="BW81" s="430"/>
      <c r="BX81" s="430"/>
    </row>
    <row r="82" spans="1:76" ht="18.75">
      <c r="A82" s="4739" t="s">
        <v>2003</v>
      </c>
      <c r="B82" s="4767">
        <v>0</v>
      </c>
      <c r="C82" s="4767">
        <f>SUM('[20]ПОЛНАЯ СЕБЕСТОИМОСТЬ ВОДА 2017'!C215)</f>
        <v>0</v>
      </c>
      <c r="D82" s="4767">
        <v>0</v>
      </c>
      <c r="E82" s="4767">
        <v>0</v>
      </c>
      <c r="F82" s="4748">
        <f>SUM('[20]ПОЛНАЯ СЕБЕСТОИМОСТЬ ВОДА 2017'!D215)</f>
        <v>0</v>
      </c>
      <c r="G82" s="4767">
        <v>0</v>
      </c>
      <c r="H82" s="4767">
        <v>0</v>
      </c>
      <c r="I82" s="4767">
        <f>SUM('[20]ПОЛНАЯ СЕБЕСТОИМОСТЬ ВОДА 2017'!E215)</f>
        <v>0</v>
      </c>
      <c r="J82" s="4767">
        <v>0</v>
      </c>
      <c r="K82" s="4750">
        <f t="shared" si="412"/>
        <v>0</v>
      </c>
      <c r="L82" s="4750">
        <f t="shared" si="412"/>
        <v>0</v>
      </c>
      <c r="M82" s="4750">
        <f t="shared" si="412"/>
        <v>0</v>
      </c>
      <c r="N82" s="4742">
        <f t="shared" si="198"/>
        <v>0</v>
      </c>
      <c r="O82" s="4742"/>
      <c r="P82" s="4767">
        <v>0</v>
      </c>
      <c r="Q82" s="4767">
        <f>SUM('[20]ПОЛНАЯ СЕБЕСТОИМОСТЬ ВОДА 2017'!H215)</f>
        <v>0</v>
      </c>
      <c r="R82" s="4767">
        <v>0</v>
      </c>
      <c r="S82" s="4767">
        <v>0</v>
      </c>
      <c r="T82" s="4767">
        <f>SUM('[20]ПОЛНАЯ СЕБЕСТОИМОСТЬ ВОДА 2017'!I215)</f>
        <v>0</v>
      </c>
      <c r="U82" s="4767">
        <v>0</v>
      </c>
      <c r="V82" s="4767">
        <v>0</v>
      </c>
      <c r="W82" s="4767">
        <f>SUM('[20]ПОЛНАЯ СЕБЕСТОИМОСТЬ ВОДА 2017'!J215)</f>
        <v>0</v>
      </c>
      <c r="X82" s="4767">
        <v>0</v>
      </c>
      <c r="Y82" s="4750">
        <f t="shared" si="416"/>
        <v>0</v>
      </c>
      <c r="Z82" s="4750">
        <f t="shared" si="416"/>
        <v>0</v>
      </c>
      <c r="AA82" s="4750">
        <f t="shared" si="416"/>
        <v>0</v>
      </c>
      <c r="AB82" s="4742">
        <f t="shared" si="201"/>
        <v>0</v>
      </c>
      <c r="AC82" s="4742"/>
      <c r="AD82" s="4750">
        <f t="shared" si="417"/>
        <v>0</v>
      </c>
      <c r="AE82" s="4750">
        <f t="shared" si="417"/>
        <v>0</v>
      </c>
      <c r="AF82" s="4750">
        <f t="shared" si="417"/>
        <v>0</v>
      </c>
      <c r="AG82" s="4742">
        <f t="shared" si="205"/>
        <v>0</v>
      </c>
      <c r="AH82" s="4742"/>
      <c r="AI82" s="4767">
        <v>0</v>
      </c>
      <c r="AJ82" s="4767">
        <f>SUM('[20]ПОЛНАЯ СЕБЕСТОИМОСТЬ ВОДА 2017'!P215)</f>
        <v>0</v>
      </c>
      <c r="AK82" s="4767">
        <v>0</v>
      </c>
      <c r="AL82" s="4767">
        <v>0</v>
      </c>
      <c r="AM82" s="4767">
        <f>SUM('[20]ПОЛНАЯ СЕБЕСТОИМОСТЬ ВОДА 2017'!Q215)</f>
        <v>0</v>
      </c>
      <c r="AN82" s="4767">
        <v>0</v>
      </c>
      <c r="AO82" s="4767">
        <v>0</v>
      </c>
      <c r="AP82" s="4767">
        <f>SUM('[20]ПОЛНАЯ СЕБЕСТОИМОСТЬ ВОДА 2017'!R215)</f>
        <v>0</v>
      </c>
      <c r="AQ82" s="4767">
        <v>0</v>
      </c>
      <c r="AR82" s="4750">
        <f t="shared" si="421"/>
        <v>0</v>
      </c>
      <c r="AS82" s="4750">
        <f t="shared" si="421"/>
        <v>0</v>
      </c>
      <c r="AT82" s="4750">
        <f t="shared" si="421"/>
        <v>0</v>
      </c>
      <c r="AU82" s="4742">
        <f t="shared" si="208"/>
        <v>0</v>
      </c>
      <c r="AV82" s="4742"/>
      <c r="AW82" s="4750">
        <f t="shared" si="422"/>
        <v>0</v>
      </c>
      <c r="AX82" s="4750">
        <f t="shared" si="422"/>
        <v>0</v>
      </c>
      <c r="AY82" s="4750">
        <f t="shared" si="422"/>
        <v>0</v>
      </c>
      <c r="AZ82" s="4742">
        <f t="shared" si="212"/>
        <v>0</v>
      </c>
      <c r="BA82" s="4742"/>
      <c r="BB82" s="4767">
        <v>0</v>
      </c>
      <c r="BC82" s="4767">
        <f>SUM('[20]ПОЛНАЯ СЕБЕСТОИМОСТЬ ВОДА 2017'!W215)</f>
        <v>0</v>
      </c>
      <c r="BD82" s="4732">
        <v>0</v>
      </c>
      <c r="BE82" s="4732">
        <v>0</v>
      </c>
      <c r="BF82" s="4732">
        <f>SUM('[20]ПОЛНАЯ СЕБЕСТОИМОСТЬ ВОДА 2017'!Y215)</f>
        <v>0</v>
      </c>
      <c r="BG82" s="4732">
        <v>0</v>
      </c>
      <c r="BH82" s="4732">
        <v>0</v>
      </c>
      <c r="BI82" s="4732">
        <f>SUM('[20]ПОЛНАЯ СЕБЕСТОИМОСТЬ ВОДА 2017'!Z215)</f>
        <v>0</v>
      </c>
      <c r="BJ82" s="4732">
        <v>0</v>
      </c>
      <c r="BK82" s="4733">
        <f t="shared" si="426"/>
        <v>0</v>
      </c>
      <c r="BL82" s="4733">
        <f t="shared" si="426"/>
        <v>0</v>
      </c>
      <c r="BM82" s="4733">
        <f t="shared" si="426"/>
        <v>0</v>
      </c>
      <c r="BN82" s="4734">
        <f t="shared" si="215"/>
        <v>0</v>
      </c>
      <c r="BO82" s="4734"/>
      <c r="BP82" s="4733">
        <f t="shared" si="427"/>
        <v>0</v>
      </c>
      <c r="BQ82" s="4733">
        <f t="shared" si="427"/>
        <v>0</v>
      </c>
      <c r="BR82" s="4733">
        <f t="shared" si="427"/>
        <v>0</v>
      </c>
      <c r="BS82" s="4734">
        <f t="shared" si="219"/>
        <v>0</v>
      </c>
      <c r="BT82" s="4734"/>
      <c r="BU82" s="430"/>
      <c r="BV82" s="430"/>
      <c r="BW82" s="430"/>
      <c r="BX82" s="430"/>
    </row>
    <row r="83" spans="1:76" ht="18.75">
      <c r="A83" s="4739" t="s">
        <v>2000</v>
      </c>
      <c r="B83" s="4767">
        <v>0</v>
      </c>
      <c r="C83" s="4767">
        <f>SUM('[20]ПОЛНАЯ СЕБЕСТОИМОСТЬ ВОДА 2017'!C216)</f>
        <v>0</v>
      </c>
      <c r="D83" s="4767">
        <v>0</v>
      </c>
      <c r="E83" s="4767">
        <v>0</v>
      </c>
      <c r="F83" s="4748">
        <f>SUM('[20]ПОЛНАЯ СЕБЕСТОИМОСТЬ ВОДА 2017'!D216)</f>
        <v>0</v>
      </c>
      <c r="G83" s="4767">
        <v>0</v>
      </c>
      <c r="H83" s="4767">
        <v>0</v>
      </c>
      <c r="I83" s="4767">
        <f>SUM('[20]ПОЛНАЯ СЕБЕСТОИМОСТЬ ВОДА 2017'!E216)</f>
        <v>0</v>
      </c>
      <c r="J83" s="4767">
        <v>0</v>
      </c>
      <c r="K83" s="4750">
        <f t="shared" si="412"/>
        <v>0</v>
      </c>
      <c r="L83" s="4750">
        <f t="shared" si="412"/>
        <v>0</v>
      </c>
      <c r="M83" s="4750">
        <f t="shared" si="412"/>
        <v>0</v>
      </c>
      <c r="N83" s="4742">
        <f t="shared" si="198"/>
        <v>0</v>
      </c>
      <c r="O83" s="4742"/>
      <c r="P83" s="4767">
        <v>0</v>
      </c>
      <c r="Q83" s="4767">
        <f>SUM('[20]ПОЛНАЯ СЕБЕСТОИМОСТЬ ВОДА 2017'!H216)</f>
        <v>0</v>
      </c>
      <c r="R83" s="4767">
        <v>0</v>
      </c>
      <c r="S83" s="4767">
        <v>0</v>
      </c>
      <c r="T83" s="4767">
        <f>SUM('[20]ПОЛНАЯ СЕБЕСТОИМОСТЬ ВОДА 2017'!I216)</f>
        <v>0</v>
      </c>
      <c r="U83" s="4767">
        <v>0</v>
      </c>
      <c r="V83" s="4767">
        <v>0</v>
      </c>
      <c r="W83" s="4767">
        <f>SUM('[20]ПОЛНАЯ СЕБЕСТОИМОСТЬ ВОДА 2017'!J216)</f>
        <v>0</v>
      </c>
      <c r="X83" s="4767">
        <v>0</v>
      </c>
      <c r="Y83" s="4750">
        <f t="shared" si="416"/>
        <v>0</v>
      </c>
      <c r="Z83" s="4750">
        <f t="shared" si="416"/>
        <v>0</v>
      </c>
      <c r="AA83" s="4750">
        <f t="shared" si="416"/>
        <v>0</v>
      </c>
      <c r="AB83" s="4742">
        <f t="shared" si="201"/>
        <v>0</v>
      </c>
      <c r="AC83" s="4742"/>
      <c r="AD83" s="4750">
        <f t="shared" si="417"/>
        <v>0</v>
      </c>
      <c r="AE83" s="4750">
        <f t="shared" si="417"/>
        <v>0</v>
      </c>
      <c r="AF83" s="4750">
        <f t="shared" si="417"/>
        <v>0</v>
      </c>
      <c r="AG83" s="4742">
        <f t="shared" si="205"/>
        <v>0</v>
      </c>
      <c r="AH83" s="4742"/>
      <c r="AI83" s="4767">
        <v>0</v>
      </c>
      <c r="AJ83" s="4767">
        <f>SUM('[20]ПОЛНАЯ СЕБЕСТОИМОСТЬ ВОДА 2017'!P216)</f>
        <v>0</v>
      </c>
      <c r="AK83" s="4767">
        <v>0</v>
      </c>
      <c r="AL83" s="4767">
        <v>0</v>
      </c>
      <c r="AM83" s="4767">
        <f>SUM('[20]ПОЛНАЯ СЕБЕСТОИМОСТЬ ВОДА 2017'!Q216)</f>
        <v>0</v>
      </c>
      <c r="AN83" s="4767">
        <v>0</v>
      </c>
      <c r="AO83" s="4767">
        <v>0</v>
      </c>
      <c r="AP83" s="4767">
        <f>SUM('[20]ПОЛНАЯ СЕБЕСТОИМОСТЬ ВОДА 2017'!R216)</f>
        <v>0</v>
      </c>
      <c r="AQ83" s="4767">
        <v>0</v>
      </c>
      <c r="AR83" s="4750">
        <f t="shared" si="421"/>
        <v>0</v>
      </c>
      <c r="AS83" s="4750">
        <f t="shared" si="421"/>
        <v>0</v>
      </c>
      <c r="AT83" s="4750">
        <f t="shared" si="421"/>
        <v>0</v>
      </c>
      <c r="AU83" s="4742">
        <f t="shared" si="208"/>
        <v>0</v>
      </c>
      <c r="AV83" s="4742"/>
      <c r="AW83" s="4750">
        <f t="shared" si="422"/>
        <v>0</v>
      </c>
      <c r="AX83" s="4750">
        <f t="shared" si="422"/>
        <v>0</v>
      </c>
      <c r="AY83" s="4750">
        <f t="shared" si="422"/>
        <v>0</v>
      </c>
      <c r="AZ83" s="4742">
        <f t="shared" si="212"/>
        <v>0</v>
      </c>
      <c r="BA83" s="4742"/>
      <c r="BB83" s="4767">
        <v>0</v>
      </c>
      <c r="BC83" s="4767">
        <f>SUM('[20]ПОЛНАЯ СЕБЕСТОИМОСТЬ ВОДА 2017'!W216)</f>
        <v>0</v>
      </c>
      <c r="BD83" s="4732">
        <v>0</v>
      </c>
      <c r="BE83" s="4732">
        <v>0</v>
      </c>
      <c r="BF83" s="4732">
        <f>SUM('[20]ПОЛНАЯ СЕБЕСТОИМОСТЬ ВОДА 2017'!Y216)</f>
        <v>0</v>
      </c>
      <c r="BG83" s="4732">
        <v>0</v>
      </c>
      <c r="BH83" s="4732">
        <v>0</v>
      </c>
      <c r="BI83" s="4732">
        <f>SUM('[20]ПОЛНАЯ СЕБЕСТОИМОСТЬ ВОДА 2017'!Z216)</f>
        <v>0</v>
      </c>
      <c r="BJ83" s="4732">
        <v>0</v>
      </c>
      <c r="BK83" s="4733">
        <f t="shared" si="426"/>
        <v>0</v>
      </c>
      <c r="BL83" s="4733">
        <f t="shared" si="426"/>
        <v>0</v>
      </c>
      <c r="BM83" s="4733">
        <f t="shared" si="426"/>
        <v>0</v>
      </c>
      <c r="BN83" s="4734">
        <f t="shared" si="215"/>
        <v>0</v>
      </c>
      <c r="BO83" s="4734"/>
      <c r="BP83" s="4733">
        <f t="shared" si="427"/>
        <v>0</v>
      </c>
      <c r="BQ83" s="4733">
        <f t="shared" si="427"/>
        <v>0</v>
      </c>
      <c r="BR83" s="4733">
        <f t="shared" si="427"/>
        <v>0</v>
      </c>
      <c r="BS83" s="4734">
        <f t="shared" si="219"/>
        <v>0</v>
      </c>
      <c r="BT83" s="4734"/>
      <c r="BU83" s="430"/>
      <c r="BV83" s="430"/>
      <c r="BW83" s="430"/>
      <c r="BX83" s="430"/>
    </row>
    <row r="84" spans="1:76" ht="18.75">
      <c r="A84" s="4597" t="s">
        <v>2001</v>
      </c>
      <c r="B84" s="4756">
        <f>SUM(B70+B81)</f>
        <v>10648.276148143455</v>
      </c>
      <c r="C84" s="4756">
        <f t="shared" ref="C84:J84" si="428">SUM(C70+C81)</f>
        <v>10514.97</v>
      </c>
      <c r="D84" s="4756">
        <f t="shared" si="428"/>
        <v>9822.2800000000007</v>
      </c>
      <c r="E84" s="4756">
        <f t="shared" si="428"/>
        <v>10525.525564386353</v>
      </c>
      <c r="F84" s="4756">
        <f t="shared" si="428"/>
        <v>9444.4000000000015</v>
      </c>
      <c r="G84" s="4756">
        <f t="shared" si="428"/>
        <v>9093.91</v>
      </c>
      <c r="H84" s="4756">
        <f t="shared" si="428"/>
        <v>11355.399630938728</v>
      </c>
      <c r="I84" s="4756">
        <f t="shared" si="428"/>
        <v>12013.359999999999</v>
      </c>
      <c r="J84" s="4756">
        <f t="shared" si="428"/>
        <v>10025.09</v>
      </c>
      <c r="K84" s="4757">
        <f t="shared" si="412"/>
        <v>32529.201343468536</v>
      </c>
      <c r="L84" s="4757">
        <f t="shared" si="412"/>
        <v>31972.730000000003</v>
      </c>
      <c r="M84" s="4757">
        <f t="shared" si="412"/>
        <v>28941.280000000002</v>
      </c>
      <c r="N84" s="4758">
        <f t="shared" si="198"/>
        <v>-556.47134346853272</v>
      </c>
      <c r="O84" s="4758">
        <f t="shared" si="199"/>
        <v>-1.7106824652498434</v>
      </c>
      <c r="P84" s="4756">
        <f t="shared" ref="P84:X84" si="429">SUM(P70+P81)</f>
        <v>10291.93361750053</v>
      </c>
      <c r="Q84" s="4756">
        <f t="shared" si="429"/>
        <v>11127.480000000001</v>
      </c>
      <c r="R84" s="4756">
        <f t="shared" si="429"/>
        <v>12338.539999999999</v>
      </c>
      <c r="S84" s="4756">
        <f t="shared" si="429"/>
        <v>9896.2474658592382</v>
      </c>
      <c r="T84" s="4756">
        <f t="shared" si="429"/>
        <v>10121.700000000001</v>
      </c>
      <c r="U84" s="4756">
        <f t="shared" si="429"/>
        <v>12174.65</v>
      </c>
      <c r="V84" s="4756">
        <f t="shared" si="429"/>
        <v>10673.310773946198</v>
      </c>
      <c r="W84" s="4756">
        <f t="shared" si="429"/>
        <v>11471.89</v>
      </c>
      <c r="X84" s="4756">
        <f t="shared" si="429"/>
        <v>11203.669999999998</v>
      </c>
      <c r="Y84" s="4757">
        <f t="shared" si="416"/>
        <v>30861.491857305969</v>
      </c>
      <c r="Z84" s="4757">
        <f t="shared" si="416"/>
        <v>32721.07</v>
      </c>
      <c r="AA84" s="4757">
        <f t="shared" si="416"/>
        <v>35716.86</v>
      </c>
      <c r="AB84" s="4758">
        <f t="shared" si="201"/>
        <v>1859.5781426940302</v>
      </c>
      <c r="AC84" s="4758">
        <f t="shared" ref="AC84" si="430">SUM(AB84/Y84*100)</f>
        <v>6.0255614060789631</v>
      </c>
      <c r="AD84" s="4757">
        <f t="shared" si="417"/>
        <v>63390.693200774505</v>
      </c>
      <c r="AE84" s="4757">
        <f t="shared" si="417"/>
        <v>64693.8</v>
      </c>
      <c r="AF84" s="4757">
        <f t="shared" si="417"/>
        <v>64658.14</v>
      </c>
      <c r="AG84" s="4758">
        <f t="shared" si="205"/>
        <v>1303.1067992254975</v>
      </c>
      <c r="AH84" s="4758">
        <f t="shared" ref="AH84" si="431">SUM(AG84/AD84*100)</f>
        <v>2.0556752630835344</v>
      </c>
      <c r="AI84" s="4756">
        <f t="shared" ref="AI84:AQ84" si="432">SUM(AI70+AI81)</f>
        <v>10121.291795733416</v>
      </c>
      <c r="AJ84" s="4756">
        <f t="shared" si="432"/>
        <v>0</v>
      </c>
      <c r="AK84" s="4756">
        <f t="shared" si="432"/>
        <v>10391.260000000002</v>
      </c>
      <c r="AL84" s="4756">
        <f t="shared" si="432"/>
        <v>10119.154961238701</v>
      </c>
      <c r="AM84" s="4756">
        <f t="shared" si="432"/>
        <v>0</v>
      </c>
      <c r="AN84" s="4756">
        <f t="shared" si="432"/>
        <v>11652.720000000001</v>
      </c>
      <c r="AO84" s="4756">
        <f t="shared" si="432"/>
        <v>11242.646450380884</v>
      </c>
      <c r="AP84" s="4756">
        <f t="shared" si="432"/>
        <v>0</v>
      </c>
      <c r="AQ84" s="4756">
        <f t="shared" si="432"/>
        <v>12720.17</v>
      </c>
      <c r="AR84" s="4757">
        <f t="shared" si="421"/>
        <v>31483.093207352998</v>
      </c>
      <c r="AS84" s="4757">
        <f t="shared" si="421"/>
        <v>0</v>
      </c>
      <c r="AT84" s="4757">
        <f t="shared" si="421"/>
        <v>34764.15</v>
      </c>
      <c r="AU84" s="4758">
        <f t="shared" si="208"/>
        <v>-31483.093207352998</v>
      </c>
      <c r="AV84" s="4758">
        <f t="shared" ref="AV84" si="433">SUM(AU84/AR84*100)</f>
        <v>-100</v>
      </c>
      <c r="AW84" s="4757">
        <f t="shared" si="422"/>
        <v>94873.786408127504</v>
      </c>
      <c r="AX84" s="4757">
        <f t="shared" si="422"/>
        <v>64693.8</v>
      </c>
      <c r="AY84" s="4757">
        <f t="shared" si="422"/>
        <v>99422.290000000008</v>
      </c>
      <c r="AZ84" s="4758">
        <f t="shared" si="212"/>
        <v>-30179.986408127501</v>
      </c>
      <c r="BA84" s="4758">
        <f t="shared" ref="BA84" si="434">SUM(AZ84/AW84*100)</f>
        <v>-31.810669259366765</v>
      </c>
      <c r="BB84" s="4756">
        <f t="shared" ref="BB84:BJ84" si="435">SUM(BB70+BB81)</f>
        <v>10654.805043867587</v>
      </c>
      <c r="BC84" s="4756">
        <f t="shared" si="435"/>
        <v>0</v>
      </c>
      <c r="BD84" s="4756">
        <f t="shared" si="435"/>
        <v>9110.4199999999983</v>
      </c>
      <c r="BE84" s="4756">
        <f t="shared" si="435"/>
        <v>10783.5478547574</v>
      </c>
      <c r="BF84" s="4756">
        <f t="shared" si="435"/>
        <v>0</v>
      </c>
      <c r="BG84" s="4756">
        <f t="shared" si="435"/>
        <v>10384.449999999999</v>
      </c>
      <c r="BH84" s="4756">
        <f t="shared" si="435"/>
        <v>11830.251217791203</v>
      </c>
      <c r="BI84" s="4756">
        <f t="shared" si="435"/>
        <v>0</v>
      </c>
      <c r="BJ84" s="4756">
        <f t="shared" si="435"/>
        <v>14129.479999999998</v>
      </c>
      <c r="BK84" s="4723">
        <f t="shared" si="426"/>
        <v>33268.604116416187</v>
      </c>
      <c r="BL84" s="4723">
        <f t="shared" si="426"/>
        <v>0</v>
      </c>
      <c r="BM84" s="4723">
        <f t="shared" si="426"/>
        <v>33624.349999999991</v>
      </c>
      <c r="BN84" s="4724">
        <f t="shared" si="215"/>
        <v>-33268.604116416187</v>
      </c>
      <c r="BO84" s="4724">
        <f t="shared" ref="BO84" si="436">SUM(BN84/BK84*100)</f>
        <v>-100</v>
      </c>
      <c r="BP84" s="4723">
        <f t="shared" si="427"/>
        <v>128142.39052454369</v>
      </c>
      <c r="BQ84" s="4723">
        <f t="shared" si="427"/>
        <v>64693.8</v>
      </c>
      <c r="BR84" s="4723">
        <f t="shared" si="427"/>
        <v>133046.64000000001</v>
      </c>
      <c r="BS84" s="4724">
        <f t="shared" si="219"/>
        <v>-63448.590524543688</v>
      </c>
      <c r="BT84" s="4724">
        <f t="shared" ref="BT84" si="437">SUM(BS84/BP84*100)</f>
        <v>-49.514130542453941</v>
      </c>
      <c r="BU84" s="430"/>
      <c r="BV84" s="430"/>
      <c r="BW84" s="430"/>
      <c r="BX84" s="430"/>
    </row>
    <row r="85" spans="1:76" ht="18.75">
      <c r="A85" s="3237"/>
      <c r="B85" s="430"/>
      <c r="C85" s="430"/>
      <c r="D85" s="430"/>
      <c r="E85" s="430"/>
      <c r="F85" s="430"/>
      <c r="G85" s="430"/>
      <c r="H85" s="430"/>
      <c r="I85" s="430"/>
      <c r="J85" s="430"/>
      <c r="K85" s="430"/>
      <c r="L85" s="430"/>
      <c r="M85" s="430"/>
      <c r="N85" s="430"/>
      <c r="O85" s="430"/>
      <c r="P85" s="430"/>
      <c r="Q85" s="430"/>
      <c r="R85" s="430"/>
      <c r="S85" s="430"/>
      <c r="T85" s="430"/>
      <c r="U85" s="430"/>
      <c r="V85" s="430"/>
      <c r="W85" s="430"/>
      <c r="X85" s="430"/>
      <c r="Y85" s="430"/>
      <c r="Z85" s="430"/>
      <c r="AA85" s="430"/>
      <c r="AB85" s="430"/>
      <c r="AC85" s="430"/>
      <c r="AD85" s="430"/>
      <c r="AE85" s="430"/>
      <c r="AF85" s="430"/>
      <c r="AG85" s="430"/>
      <c r="AH85" s="430"/>
      <c r="AI85" s="4768"/>
      <c r="AJ85" s="4768"/>
      <c r="AK85" s="4768"/>
      <c r="AL85" s="4768"/>
      <c r="AM85" s="4768"/>
      <c r="AN85" s="4768"/>
      <c r="AO85" s="4768"/>
      <c r="AP85" s="4768"/>
      <c r="AQ85" s="4768"/>
      <c r="AR85" s="430"/>
      <c r="AS85" s="430"/>
      <c r="AT85" s="430"/>
      <c r="AU85" s="430"/>
      <c r="AV85" s="430"/>
      <c r="AW85" s="430"/>
      <c r="AX85" s="430"/>
      <c r="AY85" s="430"/>
      <c r="AZ85" s="430"/>
      <c r="BA85" s="430"/>
      <c r="BB85" s="4768"/>
      <c r="BC85" s="4768"/>
      <c r="BD85" s="4768"/>
      <c r="BE85" s="4768"/>
      <c r="BF85" s="4768"/>
      <c r="BG85" s="4768"/>
      <c r="BH85" s="4768"/>
      <c r="BI85" s="4768"/>
      <c r="BJ85" s="4768"/>
      <c r="BK85" s="430"/>
      <c r="BL85" s="430"/>
      <c r="BM85" s="430"/>
      <c r="BN85" s="430"/>
      <c r="BO85" s="430"/>
      <c r="BP85" s="430"/>
      <c r="BQ85" s="430"/>
      <c r="BR85" s="430"/>
      <c r="BS85" s="430"/>
      <c r="BT85" s="430"/>
      <c r="BU85" s="430"/>
      <c r="BV85" s="430"/>
      <c r="BW85" s="430"/>
      <c r="BX85" s="430"/>
    </row>
    <row r="86" spans="1:76" ht="18.75">
      <c r="A86" s="3237"/>
      <c r="B86" s="3237"/>
      <c r="C86" s="3237"/>
      <c r="D86" s="3237"/>
      <c r="E86" s="3237"/>
      <c r="F86" s="3237"/>
      <c r="G86" s="3237"/>
      <c r="H86" s="3237"/>
      <c r="I86" s="3237"/>
      <c r="J86" s="3237"/>
      <c r="K86" s="3237"/>
      <c r="L86" s="3237"/>
      <c r="M86" s="3237"/>
      <c r="N86" s="3237" t="s">
        <v>2047</v>
      </c>
      <c r="O86" s="3237"/>
      <c r="P86" s="430"/>
      <c r="Q86" s="430"/>
      <c r="R86" s="430"/>
      <c r="S86" s="430"/>
      <c r="T86" s="430"/>
      <c r="U86" s="430"/>
      <c r="V86" s="430"/>
      <c r="W86" s="430"/>
      <c r="X86" s="430"/>
      <c r="Y86" s="430"/>
      <c r="Z86" s="430"/>
      <c r="AA86" s="430"/>
      <c r="AB86" s="430"/>
      <c r="AC86" s="430"/>
      <c r="AD86" s="430"/>
      <c r="AE86" s="430"/>
      <c r="AF86" s="430"/>
      <c r="AG86" s="430"/>
      <c r="AH86" s="430"/>
      <c r="AI86" s="4768"/>
      <c r="AJ86" s="4768"/>
      <c r="AK86" s="430" t="s">
        <v>1744</v>
      </c>
      <c r="AL86" s="4768"/>
      <c r="AM86" s="4768"/>
      <c r="AN86" s="4768"/>
      <c r="AO86" s="4768"/>
      <c r="AP86" s="4768"/>
      <c r="AQ86" s="4768"/>
      <c r="AR86" s="430"/>
      <c r="AS86" s="430"/>
      <c r="AT86" s="430"/>
      <c r="AU86" s="430"/>
      <c r="AV86" s="430"/>
      <c r="AW86" s="430"/>
      <c r="AX86" s="430"/>
      <c r="AY86" s="430"/>
      <c r="AZ86" s="430" t="s">
        <v>1744</v>
      </c>
      <c r="BA86" s="430"/>
      <c r="BB86" s="4768"/>
      <c r="BC86" s="4768"/>
      <c r="BD86" s="4768"/>
      <c r="BE86" s="4768"/>
      <c r="BF86" s="4768"/>
      <c r="BG86" s="4768"/>
      <c r="BH86" s="4768"/>
      <c r="BI86" s="4768"/>
      <c r="BJ86" s="4768"/>
      <c r="BK86" s="430"/>
      <c r="BL86" s="430"/>
      <c r="BM86" s="430"/>
      <c r="BN86" s="430"/>
      <c r="BO86" s="430"/>
      <c r="BP86" s="430"/>
      <c r="BQ86" s="430"/>
      <c r="BR86" s="430"/>
      <c r="BS86" s="430"/>
      <c r="BT86" s="430"/>
      <c r="BU86" s="430"/>
      <c r="BV86" s="430"/>
      <c r="BW86" s="430"/>
      <c r="BX86" s="430"/>
    </row>
    <row r="87" spans="1:76" ht="18.75">
      <c r="A87" s="3237"/>
      <c r="B87" s="3237"/>
      <c r="C87" s="3237"/>
      <c r="D87" s="3237"/>
      <c r="E87" s="3237"/>
      <c r="F87" s="3237"/>
      <c r="G87" s="3237"/>
      <c r="H87" s="3237"/>
      <c r="I87" s="3237"/>
      <c r="J87" s="3237"/>
      <c r="K87" s="3237"/>
      <c r="L87" s="3237"/>
      <c r="M87" s="3237"/>
      <c r="N87" s="3237"/>
      <c r="O87" s="3237"/>
      <c r="P87" s="430"/>
      <c r="Q87" s="430"/>
      <c r="R87" s="430"/>
      <c r="S87" s="430"/>
      <c r="T87" s="430"/>
      <c r="U87" s="430"/>
      <c r="V87" s="430"/>
      <c r="W87" s="430"/>
      <c r="X87" s="430"/>
      <c r="Y87" s="430"/>
      <c r="Z87" s="430"/>
      <c r="AA87" s="430"/>
      <c r="AB87" s="430"/>
      <c r="AC87" s="430"/>
      <c r="AD87" s="430"/>
      <c r="AE87" s="430"/>
      <c r="AF87" s="430"/>
      <c r="AG87" s="430"/>
      <c r="AH87" s="430"/>
      <c r="AI87" s="4768"/>
      <c r="AJ87" s="4768"/>
      <c r="AK87" s="430" t="s">
        <v>1409</v>
      </c>
      <c r="AL87" s="4768"/>
      <c r="AM87" s="4768"/>
      <c r="AN87" s="4768"/>
      <c r="AO87" s="4768"/>
      <c r="AP87" s="4768"/>
      <c r="AQ87" s="4768"/>
      <c r="AR87" s="430"/>
      <c r="AS87" s="430"/>
      <c r="AT87" s="430"/>
      <c r="AU87" s="430"/>
      <c r="AV87" s="430"/>
      <c r="AW87" s="430"/>
      <c r="AX87" s="430"/>
      <c r="AY87" s="430"/>
      <c r="AZ87" s="430" t="s">
        <v>1409</v>
      </c>
      <c r="BA87" s="430"/>
      <c r="BB87" s="4768"/>
      <c r="BC87" s="4768"/>
      <c r="BD87" s="4768"/>
      <c r="BE87" s="4768"/>
      <c r="BF87" s="4768"/>
      <c r="BG87" s="4768"/>
      <c r="BH87" s="4768"/>
      <c r="BI87" s="4768"/>
      <c r="BJ87" s="4768"/>
      <c r="BK87" s="430"/>
      <c r="BL87" s="430"/>
      <c r="BM87" s="430"/>
      <c r="BN87" s="430"/>
      <c r="BO87" s="430"/>
      <c r="BP87" s="430"/>
      <c r="BQ87" s="430"/>
      <c r="BR87" s="430"/>
      <c r="BS87" s="430"/>
      <c r="BT87" s="430"/>
      <c r="BU87" s="430"/>
      <c r="BV87" s="430"/>
      <c r="BW87" s="430"/>
      <c r="BX87" s="430"/>
    </row>
    <row r="88" spans="1:76" ht="18.75">
      <c r="A88" s="3237"/>
      <c r="B88" s="3252"/>
      <c r="C88" s="3252"/>
      <c r="D88" s="3252"/>
      <c r="E88" s="3252"/>
      <c r="F88" s="3252"/>
      <c r="G88" s="3252"/>
      <c r="H88" s="3252"/>
      <c r="I88" s="3252"/>
      <c r="J88" s="3252"/>
      <c r="K88" s="3252"/>
      <c r="L88" s="3252"/>
      <c r="M88" s="3252"/>
      <c r="N88" s="3252" t="s">
        <v>1409</v>
      </c>
      <c r="O88" s="3252"/>
      <c r="P88" s="657"/>
      <c r="Q88" s="657"/>
      <c r="R88" s="657"/>
      <c r="S88" s="657"/>
      <c r="T88" s="657"/>
      <c r="U88" s="657"/>
      <c r="V88" s="657"/>
      <c r="W88" s="657"/>
      <c r="X88" s="430"/>
      <c r="Y88" s="430"/>
      <c r="Z88" s="430"/>
      <c r="AA88" s="430"/>
      <c r="AB88" s="430"/>
      <c r="AC88" s="430"/>
      <c r="AD88" s="430"/>
      <c r="AE88" s="430"/>
      <c r="AF88" s="430"/>
      <c r="AG88" s="430"/>
      <c r="AH88" s="430"/>
      <c r="AI88" s="4768"/>
      <c r="AJ88" s="4768"/>
      <c r="AK88" s="4768"/>
      <c r="AL88" s="4768"/>
      <c r="AM88" s="4768"/>
      <c r="AN88" s="4768"/>
      <c r="AO88" s="4768"/>
      <c r="AP88" s="4768"/>
      <c r="AQ88" s="4768"/>
      <c r="AR88" s="430"/>
      <c r="AS88" s="430"/>
      <c r="AT88" s="430"/>
      <c r="AU88" s="430"/>
      <c r="AV88" s="430"/>
      <c r="AW88" s="430"/>
      <c r="AX88" s="430"/>
      <c r="AY88" s="430"/>
      <c r="AZ88" s="430"/>
      <c r="BA88" s="430"/>
      <c r="BB88" s="4768"/>
      <c r="BC88" s="4768"/>
      <c r="BD88" s="4768"/>
      <c r="BE88" s="4768"/>
      <c r="BF88" s="4768"/>
      <c r="BG88" s="4768"/>
      <c r="BH88" s="4768"/>
      <c r="BI88" s="4768"/>
      <c r="BJ88" s="4768"/>
      <c r="BK88" s="430"/>
      <c r="BL88" s="430"/>
      <c r="BM88" s="430"/>
      <c r="BN88" s="430"/>
      <c r="BO88" s="430"/>
      <c r="BP88" s="430"/>
      <c r="BQ88" s="430"/>
      <c r="BR88" s="430"/>
      <c r="BS88" s="430"/>
      <c r="BT88" s="430"/>
      <c r="BU88" s="430"/>
      <c r="BV88" s="430"/>
      <c r="BW88" s="430"/>
      <c r="BX88" s="430"/>
    </row>
    <row r="89" spans="1:76" ht="18.75">
      <c r="A89" s="3237"/>
      <c r="B89" s="3252"/>
      <c r="C89" s="3252"/>
      <c r="D89" s="3252"/>
      <c r="E89" s="3252"/>
      <c r="F89" s="3252"/>
      <c r="G89" s="3252"/>
      <c r="H89" s="3252"/>
      <c r="I89" s="3252"/>
      <c r="J89" s="3252"/>
      <c r="K89" s="3252"/>
      <c r="L89" s="3252"/>
      <c r="M89" s="3252"/>
      <c r="N89" s="3252"/>
      <c r="O89" s="3252"/>
      <c r="P89" s="657"/>
      <c r="Q89" s="657"/>
      <c r="R89" s="657"/>
      <c r="S89" s="657"/>
      <c r="T89" s="657"/>
      <c r="U89" s="657"/>
      <c r="V89" s="657"/>
      <c r="W89" s="657"/>
      <c r="X89" s="430"/>
      <c r="Y89" s="430"/>
      <c r="Z89" s="430"/>
      <c r="AA89" s="430"/>
      <c r="AB89" s="430"/>
      <c r="AC89" s="430"/>
      <c r="AD89" s="430"/>
      <c r="AE89" s="430"/>
      <c r="AF89" s="430"/>
      <c r="AG89" s="430"/>
      <c r="AH89" s="430"/>
      <c r="AI89" s="4768"/>
      <c r="AJ89" s="4768"/>
      <c r="AK89" s="4768"/>
      <c r="AL89" s="4768"/>
      <c r="AM89" s="4768"/>
      <c r="AN89" s="4768"/>
      <c r="AO89" s="4768"/>
      <c r="AP89" s="4768"/>
      <c r="AQ89" s="4768"/>
      <c r="AR89" s="430"/>
      <c r="AS89" s="430"/>
      <c r="AT89" s="430"/>
      <c r="AU89" s="430"/>
      <c r="AV89" s="430"/>
      <c r="AW89" s="430"/>
      <c r="AX89" s="430"/>
      <c r="AY89" s="430"/>
      <c r="AZ89" s="430"/>
      <c r="BA89" s="430"/>
      <c r="BB89" s="4768"/>
      <c r="BC89" s="4768"/>
      <c r="BD89" s="4768"/>
      <c r="BE89" s="4768"/>
      <c r="BF89" s="4768"/>
      <c r="BG89" s="4768"/>
      <c r="BH89" s="4768"/>
      <c r="BI89" s="4768"/>
      <c r="BJ89" s="4768"/>
      <c r="BK89" s="430"/>
      <c r="BL89" s="430"/>
      <c r="BM89" s="430"/>
      <c r="BN89" s="430"/>
      <c r="BO89" s="430"/>
      <c r="BP89" s="430"/>
      <c r="BQ89" s="430"/>
      <c r="BR89" s="430"/>
      <c r="BS89" s="430"/>
      <c r="BT89" s="430"/>
      <c r="BU89" s="430"/>
      <c r="BV89" s="430"/>
      <c r="BW89" s="430"/>
      <c r="BX89" s="430"/>
    </row>
    <row r="90" spans="1:76" ht="18.75">
      <c r="A90" s="657"/>
      <c r="B90" s="657"/>
      <c r="C90" s="657"/>
      <c r="D90" s="657"/>
      <c r="E90" s="657"/>
      <c r="F90" s="657"/>
      <c r="G90" s="657"/>
      <c r="H90" s="657"/>
      <c r="I90" s="657"/>
      <c r="J90" s="657"/>
      <c r="K90" s="657"/>
      <c r="L90" s="657"/>
      <c r="M90" s="657"/>
      <c r="N90" s="657"/>
      <c r="O90" s="657"/>
      <c r="P90" s="657"/>
      <c r="Q90" s="657"/>
      <c r="R90" s="657"/>
      <c r="S90" s="657"/>
      <c r="T90" s="657"/>
      <c r="U90" s="657"/>
      <c r="V90" s="657"/>
      <c r="W90" s="657"/>
      <c r="X90" s="430"/>
      <c r="Y90" s="430"/>
      <c r="Z90" s="430"/>
      <c r="AA90" s="430"/>
      <c r="AB90" s="430"/>
      <c r="AC90" s="430"/>
      <c r="AD90" s="430"/>
      <c r="AE90" s="430"/>
      <c r="AF90" s="430"/>
      <c r="AG90" s="430"/>
      <c r="AH90" s="430"/>
      <c r="AI90" s="4768"/>
      <c r="AJ90" s="4768"/>
      <c r="AK90" s="4768"/>
      <c r="AL90" s="4768"/>
      <c r="AM90" s="4768"/>
      <c r="AN90" s="4768"/>
      <c r="AO90" s="4768"/>
      <c r="AP90" s="4768"/>
      <c r="AQ90" s="4768"/>
      <c r="AR90" s="430"/>
      <c r="AS90" s="430"/>
      <c r="AT90" s="430"/>
      <c r="AU90" s="430"/>
      <c r="AV90" s="430"/>
      <c r="AW90" s="430"/>
      <c r="AX90" s="430"/>
      <c r="AY90" s="430"/>
      <c r="AZ90" s="430"/>
      <c r="BA90" s="430"/>
      <c r="BB90" s="4768"/>
      <c r="BC90" s="4768"/>
      <c r="BD90" s="4768"/>
      <c r="BE90" s="4768"/>
      <c r="BF90" s="4768"/>
      <c r="BG90" s="4768"/>
      <c r="BH90" s="4768"/>
      <c r="BI90" s="4768"/>
      <c r="BJ90" s="4768"/>
      <c r="BK90" s="430"/>
      <c r="BL90" s="430"/>
      <c r="BM90" s="430"/>
      <c r="BN90" s="430"/>
      <c r="BO90" s="430"/>
      <c r="BP90" s="430"/>
      <c r="BQ90" s="430"/>
      <c r="BR90" s="430"/>
      <c r="BS90" s="430"/>
      <c r="BT90" s="430"/>
      <c r="BU90" s="430"/>
      <c r="BV90" s="430"/>
      <c r="BW90" s="430"/>
      <c r="BX90" s="430"/>
    </row>
    <row r="91" spans="1:76" ht="18.75">
      <c r="A91" s="657"/>
      <c r="B91" s="657"/>
      <c r="C91" s="657"/>
      <c r="D91" s="657"/>
      <c r="E91" s="657"/>
      <c r="F91" s="657"/>
      <c r="G91" s="657"/>
      <c r="H91" s="657"/>
      <c r="I91" s="657"/>
      <c r="J91" s="657"/>
      <c r="K91" s="657"/>
      <c r="L91" s="657"/>
      <c r="M91" s="657"/>
      <c r="N91" s="657"/>
      <c r="O91" s="657"/>
      <c r="P91" s="657"/>
      <c r="Q91" s="657"/>
      <c r="R91" s="657"/>
      <c r="S91" s="657"/>
      <c r="T91" s="657"/>
      <c r="U91" s="657"/>
      <c r="V91" s="657"/>
      <c r="W91" s="657"/>
      <c r="X91" s="430"/>
      <c r="Y91" s="430"/>
      <c r="Z91" s="430"/>
      <c r="AA91" s="430"/>
      <c r="AB91" s="430"/>
      <c r="AC91" s="430"/>
      <c r="AD91" s="430"/>
      <c r="AE91" s="430"/>
      <c r="AF91" s="430"/>
      <c r="AG91" s="430"/>
      <c r="AH91" s="430"/>
      <c r="AI91" s="4768"/>
      <c r="AJ91" s="4768"/>
      <c r="AK91" s="4768"/>
      <c r="AL91" s="4768"/>
      <c r="AM91" s="4768"/>
      <c r="AN91" s="4768"/>
      <c r="AO91" s="4768"/>
      <c r="AP91" s="4768"/>
      <c r="AQ91" s="4768"/>
      <c r="AR91" s="430"/>
      <c r="AS91" s="430"/>
      <c r="AT91" s="430"/>
      <c r="AU91" s="430"/>
      <c r="AV91" s="430"/>
      <c r="AW91" s="430"/>
      <c r="AX91" s="430"/>
      <c r="AY91" s="430"/>
      <c r="AZ91" s="430"/>
      <c r="BA91" s="430"/>
      <c r="BB91" s="4768"/>
      <c r="BC91" s="4768"/>
      <c r="BD91" s="4768"/>
      <c r="BE91" s="4768"/>
      <c r="BF91" s="4768"/>
      <c r="BG91" s="4768"/>
      <c r="BH91" s="4768"/>
      <c r="BI91" s="4768"/>
      <c r="BJ91" s="4768"/>
      <c r="BK91" s="430"/>
      <c r="BL91" s="430"/>
      <c r="BM91" s="430"/>
      <c r="BN91" s="430"/>
      <c r="BO91" s="430"/>
      <c r="BP91" s="430"/>
      <c r="BQ91" s="430"/>
      <c r="BR91" s="430"/>
      <c r="BS91" s="430"/>
      <c r="BT91" s="430"/>
      <c r="BU91" s="430"/>
      <c r="BV91" s="430"/>
      <c r="BW91" s="430"/>
      <c r="BX91" s="430"/>
    </row>
    <row r="92" spans="1:76" ht="18.75">
      <c r="A92" s="657"/>
      <c r="B92" s="657"/>
      <c r="C92" s="657"/>
      <c r="D92" s="657"/>
      <c r="E92" s="657"/>
      <c r="F92" s="657"/>
      <c r="G92" s="657"/>
      <c r="H92" s="657"/>
      <c r="I92" s="657"/>
      <c r="J92" s="657"/>
      <c r="K92" s="657"/>
      <c r="L92" s="657"/>
      <c r="M92" s="657"/>
      <c r="N92" s="657"/>
      <c r="O92" s="657"/>
      <c r="P92" s="657"/>
      <c r="Q92" s="657"/>
      <c r="R92" s="657"/>
      <c r="S92" s="657"/>
      <c r="T92" s="657"/>
      <c r="U92" s="657"/>
      <c r="V92" s="657"/>
      <c r="W92" s="657"/>
      <c r="X92" s="430"/>
      <c r="Y92" s="430"/>
      <c r="Z92" s="430"/>
      <c r="AA92" s="430"/>
      <c r="AB92" s="430"/>
      <c r="AC92" s="430"/>
      <c r="AD92" s="430"/>
      <c r="AE92" s="430"/>
      <c r="AF92" s="430"/>
      <c r="AG92" s="430"/>
      <c r="AH92" s="430"/>
      <c r="AI92" s="4768"/>
      <c r="AJ92" s="4768"/>
      <c r="AK92" s="4768"/>
      <c r="AL92" s="4768"/>
      <c r="AM92" s="4768"/>
      <c r="AN92" s="4768"/>
      <c r="AO92" s="4768"/>
      <c r="AP92" s="4768"/>
      <c r="AQ92" s="4768"/>
      <c r="AR92" s="430"/>
      <c r="AS92" s="430"/>
      <c r="AT92" s="430"/>
      <c r="AU92" s="430"/>
      <c r="AV92" s="430"/>
      <c r="AW92" s="430"/>
      <c r="AX92" s="430"/>
      <c r="AY92" s="430"/>
      <c r="AZ92" s="430"/>
      <c r="BA92" s="430"/>
      <c r="BB92" s="4768"/>
      <c r="BC92" s="4768"/>
      <c r="BD92" s="4768"/>
      <c r="BE92" s="4768"/>
      <c r="BF92" s="4768"/>
      <c r="BG92" s="4768"/>
      <c r="BH92" s="4768"/>
      <c r="BI92" s="4768"/>
      <c r="BJ92" s="4768"/>
      <c r="BK92" s="430"/>
      <c r="BL92" s="430"/>
      <c r="BM92" s="430"/>
      <c r="BN92" s="430"/>
      <c r="BO92" s="430"/>
      <c r="BP92" s="430"/>
      <c r="BQ92" s="430"/>
      <c r="BR92" s="430"/>
      <c r="BS92" s="430"/>
      <c r="BT92" s="430"/>
      <c r="BU92" s="430"/>
      <c r="BV92" s="430"/>
      <c r="BW92" s="430"/>
      <c r="BX92" s="430"/>
    </row>
    <row r="93" spans="1:76" ht="18.75">
      <c r="A93" s="657"/>
      <c r="B93" s="657"/>
      <c r="C93" s="657"/>
      <c r="D93" s="657"/>
      <c r="E93" s="657"/>
      <c r="F93" s="657"/>
      <c r="G93" s="657"/>
      <c r="H93" s="657"/>
      <c r="I93" s="657"/>
      <c r="J93" s="657"/>
      <c r="K93" s="657"/>
      <c r="L93" s="657"/>
      <c r="M93" s="657"/>
      <c r="N93" s="657"/>
      <c r="O93" s="657"/>
      <c r="P93" s="657"/>
      <c r="Q93" s="657"/>
      <c r="R93" s="657"/>
      <c r="S93" s="657"/>
      <c r="T93" s="657"/>
      <c r="U93" s="657"/>
      <c r="V93" s="657"/>
      <c r="W93" s="657"/>
      <c r="X93" s="430"/>
      <c r="Y93" s="430"/>
      <c r="Z93" s="430"/>
      <c r="AA93" s="430"/>
      <c r="AB93" s="430"/>
      <c r="AC93" s="430"/>
      <c r="AD93" s="430"/>
      <c r="AE93" s="430"/>
      <c r="AF93" s="430"/>
      <c r="AG93" s="430"/>
      <c r="AH93" s="430"/>
      <c r="AI93" s="4768"/>
      <c r="AJ93" s="4768"/>
      <c r="AK93" s="4768"/>
      <c r="AL93" s="4768"/>
      <c r="AM93" s="4768"/>
      <c r="AN93" s="4768"/>
      <c r="AO93" s="4768"/>
      <c r="AP93" s="4768"/>
      <c r="AQ93" s="4768"/>
      <c r="AR93" s="430"/>
      <c r="AS93" s="430"/>
      <c r="AT93" s="430"/>
      <c r="AU93" s="430"/>
      <c r="AV93" s="430"/>
      <c r="AW93" s="430"/>
      <c r="AX93" s="430"/>
      <c r="AY93" s="430"/>
      <c r="AZ93" s="430"/>
      <c r="BA93" s="430"/>
      <c r="BB93" s="4768"/>
      <c r="BC93" s="4768"/>
      <c r="BD93" s="4768"/>
      <c r="BE93" s="4768"/>
      <c r="BF93" s="4768"/>
      <c r="BG93" s="4768"/>
      <c r="BH93" s="4768"/>
      <c r="BI93" s="4768"/>
      <c r="BJ93" s="4768"/>
      <c r="BK93" s="430"/>
      <c r="BL93" s="430"/>
      <c r="BM93" s="430"/>
      <c r="BN93" s="430"/>
      <c r="BO93" s="430"/>
      <c r="BP93" s="430"/>
      <c r="BQ93" s="430"/>
      <c r="BR93" s="430"/>
      <c r="BS93" s="430"/>
      <c r="BT93" s="430"/>
      <c r="BU93" s="430"/>
      <c r="BV93" s="430"/>
      <c r="BW93" s="430"/>
      <c r="BX93" s="430"/>
    </row>
    <row r="94" spans="1:76" ht="18.75">
      <c r="A94" s="657"/>
      <c r="B94" s="657"/>
      <c r="C94" s="657"/>
      <c r="D94" s="657"/>
      <c r="E94" s="657"/>
      <c r="F94" s="657"/>
      <c r="G94" s="657"/>
      <c r="H94" s="657"/>
      <c r="I94" s="657"/>
      <c r="J94" s="657"/>
      <c r="K94" s="657"/>
      <c r="L94" s="657"/>
      <c r="M94" s="657"/>
      <c r="N94" s="657"/>
      <c r="O94" s="657"/>
      <c r="P94" s="657"/>
      <c r="Q94" s="657"/>
      <c r="R94" s="657"/>
      <c r="S94" s="657"/>
      <c r="T94" s="657"/>
      <c r="U94" s="657"/>
      <c r="V94" s="657"/>
      <c r="W94" s="657"/>
      <c r="X94" s="430"/>
      <c r="Y94" s="430"/>
      <c r="Z94" s="430"/>
      <c r="AA94" s="430"/>
      <c r="AB94" s="430"/>
      <c r="AC94" s="430"/>
      <c r="AD94" s="430"/>
      <c r="AE94" s="430"/>
      <c r="AF94" s="430"/>
      <c r="AG94" s="430"/>
      <c r="AH94" s="430"/>
      <c r="AI94" s="4768"/>
      <c r="AJ94" s="4768"/>
      <c r="AK94" s="4768"/>
      <c r="AL94" s="4768"/>
      <c r="AM94" s="4768"/>
      <c r="AN94" s="4768"/>
      <c r="AO94" s="4768"/>
      <c r="AP94" s="4768"/>
      <c r="AQ94" s="4768"/>
      <c r="AR94" s="430"/>
      <c r="AS94" s="430"/>
      <c r="AT94" s="430"/>
      <c r="AU94" s="430"/>
      <c r="AV94" s="430"/>
      <c r="AW94" s="430"/>
      <c r="AX94" s="430"/>
      <c r="AY94" s="430"/>
      <c r="AZ94" s="430"/>
      <c r="BA94" s="430"/>
      <c r="BB94" s="4768"/>
      <c r="BC94" s="4768"/>
      <c r="BD94" s="4768"/>
      <c r="BE94" s="4768"/>
      <c r="BF94" s="4768"/>
      <c r="BG94" s="4768"/>
      <c r="BH94" s="4768"/>
      <c r="BI94" s="4768"/>
      <c r="BJ94" s="4768"/>
      <c r="BK94" s="430"/>
      <c r="BL94" s="430"/>
      <c r="BM94" s="430"/>
      <c r="BN94" s="430"/>
      <c r="BO94" s="430"/>
      <c r="BP94" s="430"/>
      <c r="BQ94" s="430"/>
      <c r="BR94" s="430"/>
      <c r="BS94" s="430"/>
      <c r="BT94" s="430"/>
      <c r="BU94" s="430"/>
      <c r="BV94" s="430"/>
      <c r="BW94" s="430"/>
      <c r="BX94" s="430"/>
    </row>
    <row r="95" spans="1:76">
      <c r="AI95" s="618"/>
      <c r="AJ95" s="618"/>
      <c r="AK95" s="618"/>
      <c r="AL95" s="618"/>
      <c r="AM95" s="618"/>
      <c r="AN95" s="618"/>
      <c r="AO95" s="618"/>
      <c r="AP95" s="618"/>
      <c r="AQ95" s="618"/>
      <c r="BB95" s="618"/>
      <c r="BC95" s="618"/>
      <c r="BD95" s="618"/>
      <c r="BE95" s="618"/>
      <c r="BF95" s="618"/>
      <c r="BG95" s="618"/>
      <c r="BH95" s="618"/>
      <c r="BI95" s="618"/>
      <c r="BJ95" s="618"/>
    </row>
    <row r="96" spans="1:76">
      <c r="AI96" s="618"/>
      <c r="AJ96" s="618"/>
      <c r="AK96" s="618"/>
      <c r="AL96" s="618"/>
      <c r="AM96" s="618"/>
      <c r="AN96" s="618"/>
      <c r="AO96" s="618"/>
      <c r="AP96" s="618"/>
      <c r="AQ96" s="618"/>
      <c r="BB96" s="618"/>
      <c r="BC96" s="618"/>
      <c r="BD96" s="618"/>
      <c r="BE96" s="618"/>
      <c r="BF96" s="618"/>
      <c r="BG96" s="618"/>
      <c r="BH96" s="618"/>
      <c r="BI96" s="618"/>
      <c r="BJ96" s="618"/>
    </row>
    <row r="97" spans="54:62">
      <c r="BB97" s="618"/>
      <c r="BC97" s="618"/>
      <c r="BD97" s="618"/>
      <c r="BE97" s="618"/>
      <c r="BF97" s="618"/>
      <c r="BG97" s="618"/>
      <c r="BH97" s="618"/>
      <c r="BI97" s="618"/>
      <c r="BJ97" s="618"/>
    </row>
  </sheetData>
  <sheetProtection formatCells="0" formatColumns="0" formatRows="0" insertColumns="0" insertRows="0" insertHyperlinks="0" deleteColumns="0" deleteRows="0" sort="0" autoFilter="0" pivotTables="0"/>
  <mergeCells count="252">
    <mergeCell ref="BP41:BP42"/>
    <mergeCell ref="BQ41:BQ42"/>
    <mergeCell ref="BR41:BR42"/>
    <mergeCell ref="BS41:BT41"/>
    <mergeCell ref="BI41:BI42"/>
    <mergeCell ref="BJ41:BJ42"/>
    <mergeCell ref="BK41:BK42"/>
    <mergeCell ref="BL41:BL42"/>
    <mergeCell ref="BM41:BM42"/>
    <mergeCell ref="BN41:BO41"/>
    <mergeCell ref="BC41:BC42"/>
    <mergeCell ref="BD41:BD42"/>
    <mergeCell ref="BE41:BE42"/>
    <mergeCell ref="BF41:BF42"/>
    <mergeCell ref="BG41:BG42"/>
    <mergeCell ref="BH41:BH42"/>
    <mergeCell ref="AU41:AV41"/>
    <mergeCell ref="AW41:AW42"/>
    <mergeCell ref="AX41:AX42"/>
    <mergeCell ref="AY41:AY42"/>
    <mergeCell ref="AZ41:BA41"/>
    <mergeCell ref="BB41:BB42"/>
    <mergeCell ref="AO41:AO42"/>
    <mergeCell ref="AP41:AP42"/>
    <mergeCell ref="AQ41:AQ42"/>
    <mergeCell ref="AR41:AR42"/>
    <mergeCell ref="AS41:AS42"/>
    <mergeCell ref="AT41:AT42"/>
    <mergeCell ref="AI41:AI42"/>
    <mergeCell ref="AJ41:AJ42"/>
    <mergeCell ref="AK41:AK42"/>
    <mergeCell ref="AL41:AL42"/>
    <mergeCell ref="AM41:AM42"/>
    <mergeCell ref="AN41:AN42"/>
    <mergeCell ref="AE41:AE42"/>
    <mergeCell ref="AF41:AF42"/>
    <mergeCell ref="AG41:AH41"/>
    <mergeCell ref="U41:U42"/>
    <mergeCell ref="V41:V42"/>
    <mergeCell ref="W41:W42"/>
    <mergeCell ref="X41:X42"/>
    <mergeCell ref="Y41:Y42"/>
    <mergeCell ref="Z41:Z42"/>
    <mergeCell ref="B41:B42"/>
    <mergeCell ref="C41:C42"/>
    <mergeCell ref="D41:D42"/>
    <mergeCell ref="E41:E42"/>
    <mergeCell ref="F41:F42"/>
    <mergeCell ref="G41:G42"/>
    <mergeCell ref="AW40:BA40"/>
    <mergeCell ref="BB40:BD40"/>
    <mergeCell ref="BE40:BG40"/>
    <mergeCell ref="N41:O41"/>
    <mergeCell ref="P41:P42"/>
    <mergeCell ref="Q41:Q42"/>
    <mergeCell ref="R41:R42"/>
    <mergeCell ref="S41:S42"/>
    <mergeCell ref="T41:T42"/>
    <mergeCell ref="H41:H42"/>
    <mergeCell ref="I41:I42"/>
    <mergeCell ref="J41:J42"/>
    <mergeCell ref="K41:K42"/>
    <mergeCell ref="L41:L42"/>
    <mergeCell ref="M41:M42"/>
    <mergeCell ref="AA41:AA42"/>
    <mergeCell ref="AB41:AC41"/>
    <mergeCell ref="AD41:AD42"/>
    <mergeCell ref="BH40:BJ40"/>
    <mergeCell ref="BK40:BO40"/>
    <mergeCell ref="BP40:BT40"/>
    <mergeCell ref="Y40:AC40"/>
    <mergeCell ref="AD40:AH40"/>
    <mergeCell ref="AI40:AK40"/>
    <mergeCell ref="AL40:AN40"/>
    <mergeCell ref="AO40:AQ40"/>
    <mergeCell ref="AR40:AV40"/>
    <mergeCell ref="BR23:BR24"/>
    <mergeCell ref="BS23:BT23"/>
    <mergeCell ref="A40:A42"/>
    <mergeCell ref="B40:D40"/>
    <mergeCell ref="E40:G40"/>
    <mergeCell ref="H40:J40"/>
    <mergeCell ref="K40:O40"/>
    <mergeCell ref="P40:R40"/>
    <mergeCell ref="S40:U40"/>
    <mergeCell ref="V40:X40"/>
    <mergeCell ref="BK23:BK24"/>
    <mergeCell ref="BL23:BL24"/>
    <mergeCell ref="BM23:BM24"/>
    <mergeCell ref="BN23:BO23"/>
    <mergeCell ref="BP23:BP24"/>
    <mergeCell ref="BQ23:BQ24"/>
    <mergeCell ref="BE23:BE24"/>
    <mergeCell ref="BF23:BF24"/>
    <mergeCell ref="BG23:BG24"/>
    <mergeCell ref="BH23:BH24"/>
    <mergeCell ref="BI23:BI24"/>
    <mergeCell ref="BJ23:BJ24"/>
    <mergeCell ref="AX23:AX24"/>
    <mergeCell ref="AY23:AY24"/>
    <mergeCell ref="AZ23:BA23"/>
    <mergeCell ref="BB23:BB24"/>
    <mergeCell ref="BC23:BC24"/>
    <mergeCell ref="BD23:BD24"/>
    <mergeCell ref="AQ23:AQ24"/>
    <mergeCell ref="AR23:AR24"/>
    <mergeCell ref="AS23:AS24"/>
    <mergeCell ref="AT23:AT24"/>
    <mergeCell ref="AU23:AV23"/>
    <mergeCell ref="AW23:AW24"/>
    <mergeCell ref="AK23:AK24"/>
    <mergeCell ref="AL23:AL24"/>
    <mergeCell ref="AM23:AM24"/>
    <mergeCell ref="AN23:AN24"/>
    <mergeCell ref="AO23:AO24"/>
    <mergeCell ref="AP23:AP24"/>
    <mergeCell ref="AD23:AD24"/>
    <mergeCell ref="AE23:AE24"/>
    <mergeCell ref="AF23:AF24"/>
    <mergeCell ref="AG23:AH23"/>
    <mergeCell ref="AI23:AI24"/>
    <mergeCell ref="AJ23:AJ24"/>
    <mergeCell ref="W23:W24"/>
    <mergeCell ref="X23:X24"/>
    <mergeCell ref="Y23:Y24"/>
    <mergeCell ref="Z23:Z24"/>
    <mergeCell ref="AA23:AA24"/>
    <mergeCell ref="AB23:AC23"/>
    <mergeCell ref="Q23:Q24"/>
    <mergeCell ref="R23:R24"/>
    <mergeCell ref="S23:S24"/>
    <mergeCell ref="T23:T24"/>
    <mergeCell ref="U23:U24"/>
    <mergeCell ref="V23:V24"/>
    <mergeCell ref="J23:J24"/>
    <mergeCell ref="K23:K24"/>
    <mergeCell ref="L23:L24"/>
    <mergeCell ref="M23:M24"/>
    <mergeCell ref="N23:O23"/>
    <mergeCell ref="P23:P24"/>
    <mergeCell ref="BK22:BO22"/>
    <mergeCell ref="BP22:BT22"/>
    <mergeCell ref="B23:B24"/>
    <mergeCell ref="C23:C24"/>
    <mergeCell ref="D23:D24"/>
    <mergeCell ref="E23:E24"/>
    <mergeCell ref="F23:F24"/>
    <mergeCell ref="G23:G24"/>
    <mergeCell ref="H23:H24"/>
    <mergeCell ref="I23:I24"/>
    <mergeCell ref="AO22:AQ22"/>
    <mergeCell ref="AR22:AV22"/>
    <mergeCell ref="AW22:BA22"/>
    <mergeCell ref="BB22:BD22"/>
    <mergeCell ref="BE22:BG22"/>
    <mergeCell ref="BH22:BJ22"/>
    <mergeCell ref="S22:U22"/>
    <mergeCell ref="V22:X22"/>
    <mergeCell ref="Y22:AC22"/>
    <mergeCell ref="AD22:AH22"/>
    <mergeCell ref="AI22:AK22"/>
    <mergeCell ref="AL22:AN22"/>
    <mergeCell ref="BP6:BP7"/>
    <mergeCell ref="BQ6:BQ7"/>
    <mergeCell ref="BR6:BR7"/>
    <mergeCell ref="BS6:BT6"/>
    <mergeCell ref="A22:A24"/>
    <mergeCell ref="B22:D22"/>
    <mergeCell ref="E22:G22"/>
    <mergeCell ref="H22:J22"/>
    <mergeCell ref="K22:O22"/>
    <mergeCell ref="P22:R22"/>
    <mergeCell ref="BI6:BI7"/>
    <mergeCell ref="BJ6:BJ7"/>
    <mergeCell ref="BK6:BK7"/>
    <mergeCell ref="BL6:BL7"/>
    <mergeCell ref="BM6:BM7"/>
    <mergeCell ref="BN6:BO6"/>
    <mergeCell ref="BC6:BC7"/>
    <mergeCell ref="BD6:BD7"/>
    <mergeCell ref="BE6:BE7"/>
    <mergeCell ref="BF6:BF7"/>
    <mergeCell ref="BG6:BG7"/>
    <mergeCell ref="BH6:BH7"/>
    <mergeCell ref="AU6:AV6"/>
    <mergeCell ref="AW6:AW7"/>
    <mergeCell ref="AX6:AX7"/>
    <mergeCell ref="AY6:AY7"/>
    <mergeCell ref="AZ6:BA6"/>
    <mergeCell ref="BB6:BB7"/>
    <mergeCell ref="AO6:AO7"/>
    <mergeCell ref="AP6:AP7"/>
    <mergeCell ref="AQ6:AQ7"/>
    <mergeCell ref="AR6:AR7"/>
    <mergeCell ref="AS6:AS7"/>
    <mergeCell ref="AT6:AT7"/>
    <mergeCell ref="AI6:AI7"/>
    <mergeCell ref="AJ6:AJ7"/>
    <mergeCell ref="AK6:AK7"/>
    <mergeCell ref="AL6:AL7"/>
    <mergeCell ref="AM6:AM7"/>
    <mergeCell ref="AN6:AN7"/>
    <mergeCell ref="AA6:AA7"/>
    <mergeCell ref="AB6:AC6"/>
    <mergeCell ref="AD6:AD7"/>
    <mergeCell ref="AE6:AE7"/>
    <mergeCell ref="AF6:AF7"/>
    <mergeCell ref="AG6:AH6"/>
    <mergeCell ref="W6:W7"/>
    <mergeCell ref="X6:X7"/>
    <mergeCell ref="Y6:Y7"/>
    <mergeCell ref="Z6:Z7"/>
    <mergeCell ref="N6:O6"/>
    <mergeCell ref="P6:P7"/>
    <mergeCell ref="Q6:Q7"/>
    <mergeCell ref="R6:R7"/>
    <mergeCell ref="S6:S7"/>
    <mergeCell ref="T6:T7"/>
    <mergeCell ref="BK5:BO5"/>
    <mergeCell ref="BP5:BT5"/>
    <mergeCell ref="B6:B7"/>
    <mergeCell ref="C6:C7"/>
    <mergeCell ref="D6:D7"/>
    <mergeCell ref="E6:E7"/>
    <mergeCell ref="F6:F7"/>
    <mergeCell ref="G6:G7"/>
    <mergeCell ref="H6:H7"/>
    <mergeCell ref="I6:I7"/>
    <mergeCell ref="AO5:AQ5"/>
    <mergeCell ref="AR5:AV5"/>
    <mergeCell ref="AW5:BA5"/>
    <mergeCell ref="BB5:BD5"/>
    <mergeCell ref="BE5:BG5"/>
    <mergeCell ref="BH5:BJ5"/>
    <mergeCell ref="S5:U5"/>
    <mergeCell ref="V5:X5"/>
    <mergeCell ref="Y5:AC5"/>
    <mergeCell ref="AD5:AH5"/>
    <mergeCell ref="AI5:AK5"/>
    <mergeCell ref="AL5:AN5"/>
    <mergeCell ref="U6:U7"/>
    <mergeCell ref="V6:V7"/>
    <mergeCell ref="A5:A7"/>
    <mergeCell ref="B5:D5"/>
    <mergeCell ref="E5:G5"/>
    <mergeCell ref="H5:J5"/>
    <mergeCell ref="K5:O5"/>
    <mergeCell ref="P5:R5"/>
    <mergeCell ref="J6:J7"/>
    <mergeCell ref="K6:K7"/>
    <mergeCell ref="L6:L7"/>
    <mergeCell ref="M6:M7"/>
  </mergeCells>
  <printOptions horizontalCentered="1"/>
  <pageMargins left="0.39370078740157483" right="0" top="0" bottom="0" header="0" footer="0"/>
  <pageSetup paperSize="9" scale="75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CN66"/>
  <sheetViews>
    <sheetView zoomScale="80" zoomScaleNormal="80" zoomScaleSheetLayoutView="77" workbookViewId="0">
      <pane xSplit="17" ySplit="7" topLeftCell="BS8" activePane="bottomRight" state="frozen"/>
      <selection pane="topRight" activeCell="R1" sqref="R1"/>
      <selection pane="bottomLeft" activeCell="A8" sqref="A8"/>
      <selection pane="bottomRight" activeCell="CH49" sqref="CH49:CI49"/>
    </sheetView>
  </sheetViews>
  <sheetFormatPr defaultRowHeight="12.75" outlineLevelCol="1"/>
  <cols>
    <col min="1" max="1" width="30.85546875" style="179" customWidth="1"/>
    <col min="2" max="3" width="9.140625" style="179" hidden="1" customWidth="1"/>
    <col min="4" max="4" width="8.140625" style="179" hidden="1" customWidth="1"/>
    <col min="5" max="5" width="9.28515625" style="179" hidden="1" customWidth="1" outlineLevel="1"/>
    <col min="6" max="7" width="9" style="179" hidden="1" customWidth="1" outlineLevel="1"/>
    <col min="8" max="8" width="7.7109375" style="179" hidden="1" customWidth="1" outlineLevel="1"/>
    <col min="9" max="9" width="12.140625" style="617" hidden="1" customWidth="1" collapsed="1"/>
    <col min="10" max="10" width="11.5703125" style="617" hidden="1" customWidth="1" outlineLevel="1"/>
    <col min="11" max="11" width="9.7109375" style="617" hidden="1" customWidth="1" outlineLevel="1"/>
    <col min="12" max="12" width="11.7109375" style="617" hidden="1" customWidth="1" collapsed="1"/>
    <col min="13" max="13" width="8" style="617" hidden="1" customWidth="1" outlineLevel="1"/>
    <col min="14" max="14" width="11.140625" style="617" hidden="1" customWidth="1" collapsed="1"/>
    <col min="15" max="15" width="10.42578125" style="617" hidden="1" customWidth="1"/>
    <col min="16" max="16" width="10.85546875" style="617" hidden="1" customWidth="1"/>
    <col min="17" max="17" width="13.140625" style="617" hidden="1" customWidth="1"/>
    <col min="18" max="18" width="15" style="617" hidden="1" customWidth="1" collapsed="1"/>
    <col min="19" max="19" width="14.7109375" style="617" hidden="1" customWidth="1"/>
    <col min="20" max="20" width="10.28515625" style="617" hidden="1" customWidth="1" outlineLevel="1"/>
    <col min="21" max="21" width="13.7109375" style="617" hidden="1" customWidth="1" outlineLevel="1"/>
    <col min="22" max="22" width="14.5703125" style="617" hidden="1" customWidth="1" outlineLevel="1"/>
    <col min="23" max="23" width="14.140625" style="617" hidden="1" customWidth="1" collapsed="1"/>
    <col min="24" max="29" width="14.140625" style="617" hidden="1" customWidth="1"/>
    <col min="30" max="30" width="15.85546875" style="617" hidden="1" customWidth="1"/>
    <col min="31" max="31" width="14.140625" style="617" hidden="1" customWidth="1"/>
    <col min="32" max="32" width="14.5703125" style="179" hidden="1" customWidth="1"/>
    <col min="33" max="33" width="13.85546875" style="179" hidden="1" customWidth="1"/>
    <col min="34" max="38" width="13" style="179" hidden="1" customWidth="1"/>
    <col min="39" max="39" width="14.140625" style="179" customWidth="1"/>
    <col min="40" max="48" width="10.140625" style="179" customWidth="1"/>
    <col min="49" max="49" width="14.85546875" style="179" hidden="1" customWidth="1"/>
    <col min="50" max="55" width="9.140625" style="179" hidden="1" customWidth="1"/>
    <col min="56" max="58" width="10.140625" style="179" customWidth="1"/>
    <col min="59" max="59" width="12.7109375" style="179" customWidth="1"/>
    <col min="60" max="61" width="10.140625" style="179" customWidth="1"/>
    <col min="62" max="63" width="10.140625" style="179" hidden="1" customWidth="1"/>
    <col min="64" max="64" width="12.5703125" style="179" customWidth="1"/>
    <col min="65" max="66" width="10.140625" style="179" customWidth="1"/>
    <col min="67" max="68" width="10.140625" style="179" hidden="1" customWidth="1"/>
    <col min="69" max="77" width="10.140625" style="179" customWidth="1"/>
    <col min="78" max="78" width="9.140625" style="179"/>
    <col min="79" max="79" width="12.5703125" style="179" customWidth="1"/>
    <col min="80" max="81" width="10.140625" style="179" customWidth="1"/>
    <col min="82" max="83" width="10.140625" style="179" hidden="1" customWidth="1"/>
    <col min="84" max="84" width="9.140625" style="179"/>
    <col min="85" max="85" width="12.7109375" style="179" customWidth="1"/>
    <col min="86" max="87" width="10.140625" style="179" customWidth="1"/>
    <col min="88" max="89" width="10.140625" style="179" hidden="1" customWidth="1"/>
    <col min="90" max="91" width="9.140625" style="179"/>
    <col min="92" max="92" width="10.85546875" style="179" bestFit="1" customWidth="1"/>
    <col min="93" max="16384" width="9.140625" style="179"/>
  </cols>
  <sheetData>
    <row r="1" spans="1:90">
      <c r="A1" s="6318" t="s">
        <v>1542</v>
      </c>
      <c r="B1" s="5021"/>
      <c r="C1" s="5021"/>
      <c r="D1" s="5021"/>
      <c r="E1" s="5021"/>
      <c r="F1" s="5021"/>
      <c r="G1" s="5021"/>
      <c r="H1" s="5021"/>
      <c r="I1" s="5021"/>
      <c r="J1" s="5021"/>
      <c r="K1" s="5021"/>
      <c r="L1" s="5021"/>
      <c r="M1" s="5021"/>
      <c r="N1" s="5021"/>
      <c r="O1" s="5021"/>
      <c r="P1" s="5021"/>
      <c r="Q1" s="5021"/>
      <c r="R1" s="5021"/>
      <c r="S1" s="5021"/>
      <c r="T1" s="5021"/>
      <c r="U1" s="5021"/>
      <c r="V1" s="5021"/>
      <c r="W1" s="5021"/>
      <c r="X1" s="5021"/>
      <c r="Y1" s="5021"/>
      <c r="Z1" s="5021"/>
      <c r="AA1" s="5021"/>
      <c r="AB1" s="5021"/>
      <c r="AC1" s="5021"/>
      <c r="AD1" s="5021"/>
      <c r="AE1" s="5021"/>
      <c r="AF1" s="5021"/>
      <c r="AG1" s="5021"/>
      <c r="AH1" s="5021"/>
      <c r="AI1" s="5021"/>
      <c r="AJ1" s="5021"/>
      <c r="AK1" s="5021"/>
      <c r="AL1" s="5021"/>
      <c r="AM1" s="5021"/>
      <c r="AN1" s="5021"/>
      <c r="AO1" s="5021"/>
      <c r="AP1" s="5021"/>
      <c r="AQ1" s="5021"/>
      <c r="AR1" s="5021"/>
      <c r="AS1" s="5021"/>
      <c r="AT1" s="5021"/>
      <c r="AU1" s="5021"/>
      <c r="AV1" s="5021"/>
      <c r="AW1" s="5021"/>
      <c r="AX1" s="5021"/>
      <c r="AY1" s="5021"/>
      <c r="AZ1" s="5021"/>
      <c r="BA1" s="5021"/>
      <c r="BB1" s="5021"/>
      <c r="BC1" s="5021"/>
      <c r="BD1" s="5021"/>
      <c r="BE1" s="5021"/>
      <c r="BF1" s="5021"/>
      <c r="BG1" s="5021"/>
      <c r="BH1" s="5021"/>
      <c r="BI1" s="5021"/>
      <c r="BJ1" s="5021"/>
      <c r="BK1" s="5021"/>
      <c r="BL1" s="5021"/>
      <c r="BM1" s="5021"/>
      <c r="BN1" s="5021"/>
      <c r="BO1" s="5021"/>
      <c r="BP1" s="5021"/>
      <c r="BQ1" s="5021"/>
      <c r="BR1" s="5021"/>
      <c r="BS1" s="5021"/>
      <c r="BT1" s="5021"/>
      <c r="BU1" s="5021"/>
      <c r="BV1" s="5021"/>
      <c r="BW1" s="5021"/>
      <c r="BX1" s="5021"/>
      <c r="BY1" s="5021"/>
      <c r="BZ1" s="5021"/>
      <c r="CA1" s="4894"/>
      <c r="CB1" s="4894"/>
      <c r="CC1" s="4894"/>
      <c r="CD1" s="4894"/>
      <c r="CE1" s="4894"/>
      <c r="CF1" s="4894"/>
      <c r="CG1" s="4894"/>
      <c r="CH1" s="4894"/>
      <c r="CI1" s="4894"/>
      <c r="CJ1" s="4894"/>
      <c r="CK1" s="4894"/>
      <c r="CL1" s="4894"/>
    </row>
    <row r="2" spans="1:90" ht="27">
      <c r="A2" s="6319" t="s">
        <v>302</v>
      </c>
      <c r="B2" s="6319"/>
      <c r="C2" s="6319"/>
      <c r="D2" s="6319"/>
      <c r="E2" s="6319"/>
      <c r="F2" s="6319"/>
      <c r="G2" s="6319"/>
      <c r="H2" s="6319"/>
      <c r="I2" s="6319"/>
      <c r="J2" s="6319"/>
      <c r="K2" s="6319"/>
      <c r="L2" s="6319"/>
      <c r="M2" s="6319"/>
      <c r="N2" s="6319"/>
      <c r="O2" s="6319"/>
      <c r="P2" s="6319"/>
      <c r="Q2" s="6319"/>
      <c r="R2" s="6319"/>
      <c r="S2" s="6319"/>
      <c r="T2" s="6319"/>
      <c r="U2" s="6319"/>
      <c r="V2" s="6319"/>
      <c r="W2" s="6319"/>
      <c r="X2" s="6319"/>
      <c r="Y2" s="6319"/>
      <c r="Z2" s="6319"/>
      <c r="AA2" s="6319"/>
      <c r="AB2" s="6319"/>
      <c r="AC2" s="6319"/>
      <c r="AD2" s="6319"/>
      <c r="AE2" s="6319"/>
      <c r="AF2" s="6319"/>
      <c r="AG2" s="6319"/>
      <c r="AH2" s="6319"/>
      <c r="AI2" s="6319"/>
      <c r="AJ2" s="6319"/>
      <c r="AK2" s="6319"/>
      <c r="AL2" s="6319"/>
      <c r="AM2" s="6319"/>
      <c r="AN2" s="6319"/>
      <c r="AO2" s="6319"/>
      <c r="AP2" s="6319"/>
      <c r="AQ2" s="6319"/>
      <c r="AR2" s="4894"/>
      <c r="AS2" s="4894"/>
      <c r="AT2" s="4894"/>
      <c r="AU2" s="4894"/>
      <c r="AV2" s="4894"/>
      <c r="AW2" s="4894"/>
      <c r="AX2" s="4894"/>
      <c r="AY2" s="4894"/>
      <c r="AZ2" s="4894"/>
      <c r="BA2" s="4894"/>
      <c r="BB2" s="4894"/>
      <c r="BC2" s="4894"/>
      <c r="BD2" s="4894"/>
      <c r="BE2" s="4894"/>
      <c r="BF2" s="4894"/>
      <c r="BG2" s="4894"/>
      <c r="BH2" s="4894"/>
      <c r="BI2" s="4894"/>
      <c r="BJ2" s="4894"/>
      <c r="BK2" s="4894"/>
      <c r="BL2" s="4894"/>
      <c r="BM2" s="4894"/>
      <c r="BN2" s="4894"/>
      <c r="BO2" s="4894"/>
      <c r="BP2" s="4894"/>
      <c r="BQ2" s="4894"/>
      <c r="BR2" s="4894"/>
      <c r="BS2" s="4894"/>
      <c r="BT2" s="4894"/>
      <c r="BU2" s="4894"/>
      <c r="BV2" s="4894"/>
      <c r="BW2" s="4894"/>
      <c r="BX2" s="4894"/>
      <c r="BY2" s="4894"/>
      <c r="BZ2" s="4894"/>
      <c r="CA2" s="4894"/>
      <c r="CB2" s="4894"/>
      <c r="CC2" s="4894"/>
      <c r="CD2" s="4894"/>
      <c r="CE2" s="4894"/>
      <c r="CF2" s="4894"/>
      <c r="CG2" s="4894"/>
      <c r="CH2" s="4894"/>
      <c r="CI2" s="4894"/>
      <c r="CJ2" s="4894"/>
      <c r="CK2" s="4894"/>
      <c r="CL2" s="4894"/>
    </row>
    <row r="3" spans="1:90" ht="16.5" thickBot="1">
      <c r="A3" s="602"/>
      <c r="B3" s="602"/>
      <c r="C3" s="602"/>
      <c r="D3" s="602"/>
      <c r="E3" s="602"/>
      <c r="F3" s="602"/>
      <c r="G3" s="602"/>
      <c r="H3" s="602"/>
      <c r="I3" s="602"/>
      <c r="J3" s="602"/>
      <c r="K3" s="602"/>
      <c r="L3" s="602"/>
      <c r="M3" s="602"/>
      <c r="N3" s="602"/>
      <c r="O3" s="602"/>
      <c r="P3" s="602"/>
      <c r="Q3" s="602"/>
      <c r="R3" s="602"/>
      <c r="S3" s="602"/>
      <c r="T3" s="602"/>
      <c r="U3" s="602"/>
      <c r="V3" s="602"/>
      <c r="W3" s="602"/>
      <c r="X3" s="602"/>
      <c r="Y3" s="602"/>
      <c r="Z3" s="602"/>
      <c r="AA3" s="602"/>
      <c r="AB3" s="602"/>
      <c r="AC3" s="602"/>
      <c r="AD3" s="602"/>
      <c r="AE3" s="602"/>
      <c r="AF3" s="617"/>
      <c r="AG3" s="617"/>
      <c r="AH3" s="617"/>
      <c r="AI3" s="617"/>
      <c r="AJ3" s="617"/>
      <c r="AK3" s="617"/>
      <c r="AL3" s="617"/>
      <c r="AM3" s="617"/>
      <c r="AN3" s="617"/>
      <c r="AO3" s="617"/>
      <c r="AP3" s="617"/>
      <c r="AQ3" s="617"/>
      <c r="AR3" s="617"/>
    </row>
    <row r="4" spans="1:90" ht="32.25" customHeight="1">
      <c r="A4" s="6274" t="s">
        <v>17</v>
      </c>
      <c r="B4" s="6243" t="s">
        <v>58</v>
      </c>
      <c r="C4" s="6277" t="s">
        <v>73</v>
      </c>
      <c r="D4" s="6277" t="s">
        <v>74</v>
      </c>
      <c r="E4" s="6247" t="s">
        <v>67</v>
      </c>
      <c r="F4" s="6247"/>
      <c r="G4" s="6238" t="s">
        <v>95</v>
      </c>
      <c r="H4" s="6239"/>
      <c r="I4" s="6240" t="s">
        <v>303</v>
      </c>
      <c r="J4" s="6241"/>
      <c r="K4" s="6241"/>
      <c r="L4" s="6241"/>
      <c r="M4" s="6243"/>
      <c r="N4" s="6240" t="s">
        <v>163</v>
      </c>
      <c r="O4" s="6241"/>
      <c r="P4" s="6241"/>
      <c r="Q4" s="6241"/>
      <c r="R4" s="6228" t="s">
        <v>238</v>
      </c>
      <c r="S4" s="6229"/>
      <c r="T4" s="6229"/>
      <c r="U4" s="6229"/>
      <c r="V4" s="6229"/>
      <c r="W4" s="6229"/>
      <c r="X4" s="6229"/>
      <c r="Y4" s="6229"/>
      <c r="Z4" s="6229"/>
      <c r="AA4" s="6230"/>
      <c r="AB4" s="6248" t="s">
        <v>379</v>
      </c>
      <c r="AC4" s="6249"/>
      <c r="AD4" s="6249"/>
      <c r="AE4" s="6249"/>
      <c r="AF4" s="6249"/>
      <c r="AG4" s="6249"/>
      <c r="AH4" s="6250"/>
      <c r="AI4" s="6250"/>
      <c r="AJ4" s="6250"/>
      <c r="AK4" s="6250"/>
      <c r="AL4" s="5155"/>
      <c r="AM4" s="6185" t="s">
        <v>660</v>
      </c>
      <c r="AN4" s="6323"/>
      <c r="AO4" s="6323"/>
      <c r="AP4" s="6323"/>
      <c r="AQ4" s="6324"/>
      <c r="AR4" s="6203" t="s">
        <v>661</v>
      </c>
      <c r="AS4" s="6325"/>
      <c r="AT4" s="6325"/>
      <c r="AU4" s="6325"/>
      <c r="AV4" s="6325"/>
      <c r="AW4" s="6225"/>
      <c r="AX4" s="6171" t="s">
        <v>1595</v>
      </c>
      <c r="AY4" s="6172"/>
      <c r="AZ4" s="6172"/>
      <c r="BA4" s="6172"/>
      <c r="BB4" s="6172"/>
      <c r="BC4" s="6172"/>
      <c r="BD4" s="6172"/>
      <c r="BE4" s="6172"/>
      <c r="BF4" s="6173"/>
      <c r="BG4" s="6185" t="s">
        <v>1672</v>
      </c>
      <c r="BH4" s="6186"/>
      <c r="BI4" s="6186"/>
      <c r="BJ4" s="6186"/>
      <c r="BK4" s="6187"/>
      <c r="BL4" s="6203" t="s">
        <v>1673</v>
      </c>
      <c r="BM4" s="6204"/>
      <c r="BN4" s="6204"/>
      <c r="BO4" s="6204"/>
      <c r="BP4" s="6205"/>
      <c r="BQ4" s="6210" t="s">
        <v>1897</v>
      </c>
      <c r="BR4" s="6211"/>
      <c r="BS4" s="6211"/>
      <c r="BT4" s="6211"/>
      <c r="BU4" s="6211"/>
      <c r="BV4" s="6211"/>
      <c r="BW4" s="6211"/>
      <c r="BX4" s="6211"/>
      <c r="BY4" s="6211"/>
      <c r="BZ4" s="6159"/>
      <c r="CA4" s="6203" t="s">
        <v>1852</v>
      </c>
      <c r="CB4" s="6204"/>
      <c r="CC4" s="6204"/>
      <c r="CD4" s="6204"/>
      <c r="CE4" s="6205"/>
      <c r="CF4" s="6159"/>
      <c r="CG4" s="6203" t="s">
        <v>1853</v>
      </c>
      <c r="CH4" s="6204"/>
      <c r="CI4" s="6204"/>
      <c r="CJ4" s="6204"/>
      <c r="CK4" s="6204"/>
      <c r="CL4" s="6320"/>
    </row>
    <row r="5" spans="1:90" ht="30.75" customHeight="1">
      <c r="A5" s="6275"/>
      <c r="B5" s="6243"/>
      <c r="C5" s="6277"/>
      <c r="D5" s="6277"/>
      <c r="E5" s="6235" t="s">
        <v>61</v>
      </c>
      <c r="F5" s="6235" t="s">
        <v>66</v>
      </c>
      <c r="G5" s="6235" t="s">
        <v>61</v>
      </c>
      <c r="H5" s="6235" t="s">
        <v>112</v>
      </c>
      <c r="I5" s="6242" t="s">
        <v>304</v>
      </c>
      <c r="J5" s="6242" t="s">
        <v>110</v>
      </c>
      <c r="K5" s="6242" t="s">
        <v>64</v>
      </c>
      <c r="L5" s="6242" t="s">
        <v>305</v>
      </c>
      <c r="M5" s="6242" t="s">
        <v>123</v>
      </c>
      <c r="N5" s="6242" t="s">
        <v>304</v>
      </c>
      <c r="O5" s="6242" t="s">
        <v>306</v>
      </c>
      <c r="P5" s="6242" t="s">
        <v>307</v>
      </c>
      <c r="Q5" s="6244" t="s">
        <v>305</v>
      </c>
      <c r="R5" s="6189" t="s">
        <v>309</v>
      </c>
      <c r="S5" s="6233" t="s">
        <v>310</v>
      </c>
      <c r="T5" s="603"/>
      <c r="U5" s="6197" t="s">
        <v>126</v>
      </c>
      <c r="V5" s="6197"/>
      <c r="W5" s="6197" t="s">
        <v>127</v>
      </c>
      <c r="X5" s="6197"/>
      <c r="Y5" s="6195" t="s">
        <v>391</v>
      </c>
      <c r="Z5" s="6195" t="s">
        <v>393</v>
      </c>
      <c r="AA5" s="6231" t="s">
        <v>1635</v>
      </c>
      <c r="AB5" s="6189" t="s">
        <v>309</v>
      </c>
      <c r="AC5" s="6233" t="s">
        <v>310</v>
      </c>
      <c r="AD5" s="6197" t="s">
        <v>127</v>
      </c>
      <c r="AE5" s="6197"/>
      <c r="AF5" s="6206" t="s">
        <v>243</v>
      </c>
      <c r="AG5" s="6206"/>
      <c r="AH5" s="6195" t="s">
        <v>391</v>
      </c>
      <c r="AI5" s="6308" t="s">
        <v>393</v>
      </c>
      <c r="AJ5" s="6311" t="s">
        <v>1632</v>
      </c>
      <c r="AK5" s="6312"/>
      <c r="AL5" s="6313"/>
      <c r="AM5" s="6188" t="s">
        <v>658</v>
      </c>
      <c r="AN5" s="6191" t="s">
        <v>50</v>
      </c>
      <c r="AO5" s="6192"/>
      <c r="AP5" s="6193" t="s">
        <v>243</v>
      </c>
      <c r="AQ5" s="6194"/>
      <c r="AR5" s="6189" t="s">
        <v>310</v>
      </c>
      <c r="AS5" s="6197" t="s">
        <v>127</v>
      </c>
      <c r="AT5" s="6197"/>
      <c r="AU5" s="6206" t="s">
        <v>243</v>
      </c>
      <c r="AV5" s="6206"/>
      <c r="AW5" s="6226"/>
      <c r="AX5" s="5618"/>
      <c r="AY5" s="5619"/>
      <c r="AZ5" s="5619"/>
      <c r="BA5" s="5619"/>
      <c r="BB5" s="5619"/>
      <c r="BC5" s="5619"/>
      <c r="BD5" s="5619"/>
      <c r="BE5" s="5619"/>
      <c r="BF5" s="5620"/>
      <c r="BG5" s="6188" t="s">
        <v>658</v>
      </c>
      <c r="BH5" s="6191" t="s">
        <v>50</v>
      </c>
      <c r="BI5" s="6192"/>
      <c r="BJ5" s="6193" t="s">
        <v>243</v>
      </c>
      <c r="BK5" s="6194"/>
      <c r="BL5" s="6189" t="s">
        <v>310</v>
      </c>
      <c r="BM5" s="6197" t="s">
        <v>127</v>
      </c>
      <c r="BN5" s="6197"/>
      <c r="BO5" s="6206" t="s">
        <v>243</v>
      </c>
      <c r="BP5" s="6207"/>
      <c r="BQ5" s="6218" t="s">
        <v>598</v>
      </c>
      <c r="BR5" s="6219"/>
      <c r="BS5" s="6219"/>
      <c r="BT5" s="6219" t="s">
        <v>229</v>
      </c>
      <c r="BU5" s="6219"/>
      <c r="BV5" s="6219"/>
      <c r="BW5" s="6219" t="s">
        <v>1899</v>
      </c>
      <c r="BX5" s="6219"/>
      <c r="BY5" s="6220"/>
      <c r="BZ5" s="6160"/>
      <c r="CA5" s="6189" t="s">
        <v>310</v>
      </c>
      <c r="CB5" s="6197" t="s">
        <v>127</v>
      </c>
      <c r="CC5" s="6197"/>
      <c r="CD5" s="6206" t="s">
        <v>243</v>
      </c>
      <c r="CE5" s="6207"/>
      <c r="CF5" s="6160"/>
      <c r="CG5" s="6189" t="s">
        <v>310</v>
      </c>
      <c r="CH5" s="6197" t="s">
        <v>127</v>
      </c>
      <c r="CI5" s="6197"/>
      <c r="CJ5" s="6206" t="s">
        <v>243</v>
      </c>
      <c r="CK5" s="6206"/>
      <c r="CL5" s="6321"/>
    </row>
    <row r="6" spans="1:90" ht="15.75" customHeight="1">
      <c r="A6" s="6275"/>
      <c r="B6" s="6243"/>
      <c r="C6" s="6277"/>
      <c r="D6" s="6277"/>
      <c r="E6" s="6236"/>
      <c r="F6" s="6236"/>
      <c r="G6" s="6236"/>
      <c r="H6" s="6236"/>
      <c r="I6" s="6236"/>
      <c r="J6" s="6236"/>
      <c r="K6" s="6236"/>
      <c r="L6" s="6236"/>
      <c r="M6" s="6236"/>
      <c r="N6" s="6236"/>
      <c r="O6" s="6236"/>
      <c r="P6" s="6236"/>
      <c r="Q6" s="6245"/>
      <c r="R6" s="6189"/>
      <c r="S6" s="6233"/>
      <c r="T6" s="603"/>
      <c r="U6" s="6197" t="s">
        <v>374</v>
      </c>
      <c r="V6" s="6197" t="s">
        <v>375</v>
      </c>
      <c r="W6" s="6197" t="s">
        <v>374</v>
      </c>
      <c r="X6" s="6197" t="s">
        <v>375</v>
      </c>
      <c r="Y6" s="6221"/>
      <c r="Z6" s="6221"/>
      <c r="AA6" s="6232"/>
      <c r="AB6" s="6189"/>
      <c r="AC6" s="6233"/>
      <c r="AD6" s="6197" t="s">
        <v>374</v>
      </c>
      <c r="AE6" s="6197" t="s">
        <v>375</v>
      </c>
      <c r="AF6" s="6197" t="s">
        <v>374</v>
      </c>
      <c r="AG6" s="6197" t="s">
        <v>375</v>
      </c>
      <c r="AH6" s="6221"/>
      <c r="AI6" s="6309"/>
      <c r="AJ6" s="6222" t="s">
        <v>631</v>
      </c>
      <c r="AK6" s="6222" t="s">
        <v>1633</v>
      </c>
      <c r="AL6" s="6251" t="s">
        <v>1634</v>
      </c>
      <c r="AM6" s="6189"/>
      <c r="AN6" s="6195" t="s">
        <v>46</v>
      </c>
      <c r="AO6" s="6195" t="s">
        <v>47</v>
      </c>
      <c r="AP6" s="6197" t="s">
        <v>374</v>
      </c>
      <c r="AQ6" s="6199" t="s">
        <v>375</v>
      </c>
      <c r="AR6" s="6189"/>
      <c r="AS6" s="6197" t="s">
        <v>374</v>
      </c>
      <c r="AT6" s="6197" t="s">
        <v>375</v>
      </c>
      <c r="AU6" s="6197" t="s">
        <v>374</v>
      </c>
      <c r="AV6" s="6197" t="s">
        <v>375</v>
      </c>
      <c r="AW6" s="6226"/>
      <c r="AX6" s="6223" t="s">
        <v>631</v>
      </c>
      <c r="AY6" s="6164" t="s">
        <v>1633</v>
      </c>
      <c r="AZ6" s="6164" t="s">
        <v>1634</v>
      </c>
      <c r="BA6" s="6164" t="s">
        <v>631</v>
      </c>
      <c r="BB6" s="6164" t="s">
        <v>1633</v>
      </c>
      <c r="BC6" s="6164" t="s">
        <v>1634</v>
      </c>
      <c r="BD6" s="6164" t="s">
        <v>631</v>
      </c>
      <c r="BE6" s="6164" t="s">
        <v>1633</v>
      </c>
      <c r="BF6" s="6201" t="s">
        <v>1634</v>
      </c>
      <c r="BG6" s="6189"/>
      <c r="BH6" s="6195" t="s">
        <v>46</v>
      </c>
      <c r="BI6" s="6195" t="s">
        <v>47</v>
      </c>
      <c r="BJ6" s="6197" t="s">
        <v>374</v>
      </c>
      <c r="BK6" s="6199" t="s">
        <v>375</v>
      </c>
      <c r="BL6" s="6189"/>
      <c r="BM6" s="6197" t="s">
        <v>374</v>
      </c>
      <c r="BN6" s="6197" t="s">
        <v>375</v>
      </c>
      <c r="BO6" s="6197" t="s">
        <v>374</v>
      </c>
      <c r="BP6" s="6208" t="s">
        <v>375</v>
      </c>
      <c r="BQ6" s="6212" t="s">
        <v>631</v>
      </c>
      <c r="BR6" s="6214" t="s">
        <v>1633</v>
      </c>
      <c r="BS6" s="6214" t="s">
        <v>1634</v>
      </c>
      <c r="BT6" s="6214" t="s">
        <v>631</v>
      </c>
      <c r="BU6" s="6214" t="s">
        <v>1633</v>
      </c>
      <c r="BV6" s="6214" t="s">
        <v>1634</v>
      </c>
      <c r="BW6" s="6214" t="s">
        <v>631</v>
      </c>
      <c r="BX6" s="6214" t="s">
        <v>1633</v>
      </c>
      <c r="BY6" s="6216" t="s">
        <v>1634</v>
      </c>
      <c r="BZ6" s="6160"/>
      <c r="CA6" s="6189"/>
      <c r="CB6" s="6197" t="s">
        <v>374</v>
      </c>
      <c r="CC6" s="6197" t="s">
        <v>375</v>
      </c>
      <c r="CD6" s="6197" t="s">
        <v>374</v>
      </c>
      <c r="CE6" s="6208" t="s">
        <v>375</v>
      </c>
      <c r="CF6" s="6160"/>
      <c r="CG6" s="6189"/>
      <c r="CH6" s="6197" t="s">
        <v>374</v>
      </c>
      <c r="CI6" s="6197" t="s">
        <v>375</v>
      </c>
      <c r="CJ6" s="6197" t="s">
        <v>374</v>
      </c>
      <c r="CK6" s="6197" t="s">
        <v>375</v>
      </c>
      <c r="CL6" s="6321"/>
    </row>
    <row r="7" spans="1:90" ht="28.5" customHeight="1" thickBot="1">
      <c r="A7" s="6276"/>
      <c r="B7" s="6243"/>
      <c r="C7" s="6277"/>
      <c r="D7" s="6277"/>
      <c r="E7" s="6237"/>
      <c r="F7" s="6237"/>
      <c r="G7" s="6237"/>
      <c r="H7" s="6237"/>
      <c r="I7" s="6237"/>
      <c r="J7" s="6237"/>
      <c r="K7" s="6237"/>
      <c r="L7" s="6237"/>
      <c r="M7" s="6237"/>
      <c r="N7" s="6237"/>
      <c r="O7" s="6237"/>
      <c r="P7" s="6237"/>
      <c r="Q7" s="6246"/>
      <c r="R7" s="6190"/>
      <c r="S7" s="6234"/>
      <c r="T7" s="2125"/>
      <c r="U7" s="6198"/>
      <c r="V7" s="6198"/>
      <c r="W7" s="6198"/>
      <c r="X7" s="6198"/>
      <c r="Y7" s="6165"/>
      <c r="Z7" s="6165"/>
      <c r="AA7" s="6202"/>
      <c r="AB7" s="6190"/>
      <c r="AC7" s="6234"/>
      <c r="AD7" s="6198"/>
      <c r="AE7" s="6198"/>
      <c r="AF7" s="6198"/>
      <c r="AG7" s="6198"/>
      <c r="AH7" s="6165"/>
      <c r="AI7" s="6310"/>
      <c r="AJ7" s="6165"/>
      <c r="AK7" s="6165"/>
      <c r="AL7" s="6202"/>
      <c r="AM7" s="6190"/>
      <c r="AN7" s="6196"/>
      <c r="AO7" s="6196"/>
      <c r="AP7" s="6198"/>
      <c r="AQ7" s="6200"/>
      <c r="AR7" s="6190"/>
      <c r="AS7" s="6198"/>
      <c r="AT7" s="6198"/>
      <c r="AU7" s="6198"/>
      <c r="AV7" s="6198"/>
      <c r="AW7" s="6227"/>
      <c r="AX7" s="6224"/>
      <c r="AY7" s="6165"/>
      <c r="AZ7" s="6165"/>
      <c r="BA7" s="6165"/>
      <c r="BB7" s="6165"/>
      <c r="BC7" s="6165"/>
      <c r="BD7" s="6165"/>
      <c r="BE7" s="6165"/>
      <c r="BF7" s="6202"/>
      <c r="BG7" s="6190"/>
      <c r="BH7" s="6196"/>
      <c r="BI7" s="6196"/>
      <c r="BJ7" s="6198"/>
      <c r="BK7" s="6200"/>
      <c r="BL7" s="6190"/>
      <c r="BM7" s="6198"/>
      <c r="BN7" s="6198"/>
      <c r="BO7" s="6198"/>
      <c r="BP7" s="6209"/>
      <c r="BQ7" s="6213"/>
      <c r="BR7" s="6215"/>
      <c r="BS7" s="6215"/>
      <c r="BT7" s="6215"/>
      <c r="BU7" s="6215"/>
      <c r="BV7" s="6215"/>
      <c r="BW7" s="6215"/>
      <c r="BX7" s="6215"/>
      <c r="BY7" s="6217"/>
      <c r="BZ7" s="6161"/>
      <c r="CA7" s="6190"/>
      <c r="CB7" s="6198"/>
      <c r="CC7" s="6198"/>
      <c r="CD7" s="6198"/>
      <c r="CE7" s="6209"/>
      <c r="CF7" s="6161"/>
      <c r="CG7" s="6190"/>
      <c r="CH7" s="6198"/>
      <c r="CI7" s="6198"/>
      <c r="CJ7" s="6198"/>
      <c r="CK7" s="6198"/>
      <c r="CL7" s="6322"/>
    </row>
    <row r="8" spans="1:90" ht="15">
      <c r="A8" s="2856" t="s">
        <v>30</v>
      </c>
      <c r="B8" s="704">
        <v>6</v>
      </c>
      <c r="C8" s="2714">
        <v>6.5</v>
      </c>
      <c r="D8" s="605">
        <f>C8/B8*100</f>
        <v>108.33333333333333</v>
      </c>
      <c r="E8" s="2714">
        <v>13.7</v>
      </c>
      <c r="F8" s="605">
        <f>E8/C8*100</f>
        <v>210.76923076923077</v>
      </c>
      <c r="G8" s="182">
        <v>6.4</v>
      </c>
      <c r="H8" s="605">
        <f>G8/E8*100</f>
        <v>46.715328467153292</v>
      </c>
      <c r="I8" s="604">
        <v>9.8000000000000007</v>
      </c>
      <c r="J8" s="186">
        <v>10.7</v>
      </c>
      <c r="K8" s="186">
        <v>10.7</v>
      </c>
      <c r="L8" s="182">
        <v>11.9</v>
      </c>
      <c r="M8" s="605">
        <f>K8/G8*100</f>
        <v>167.18749999999997</v>
      </c>
      <c r="N8" s="604">
        <v>11.224299999999998</v>
      </c>
      <c r="O8" s="186">
        <v>34.700000000000003</v>
      </c>
      <c r="P8" s="604">
        <v>51.447620000000001</v>
      </c>
      <c r="Q8" s="689">
        <v>55.6</v>
      </c>
      <c r="R8" s="697">
        <v>12.36</v>
      </c>
      <c r="S8" s="606">
        <f>R8</f>
        <v>12.36</v>
      </c>
      <c r="T8" s="2124">
        <f>S8/N8</f>
        <v>1.1011822563545166</v>
      </c>
      <c r="U8" s="723" t="e">
        <f>R8*#REF!</f>
        <v>#REF!</v>
      </c>
      <c r="V8" s="723" t="e">
        <f>R8*#REF!</f>
        <v>#REF!</v>
      </c>
      <c r="W8" s="723">
        <f>S8*$Y$56</f>
        <v>7.0573012718600943</v>
      </c>
      <c r="X8" s="723">
        <f>S8*$Y$57</f>
        <v>5.0126530206677247</v>
      </c>
      <c r="Y8" s="723">
        <v>111.34</v>
      </c>
      <c r="Z8" s="723">
        <v>125.94</v>
      </c>
      <c r="AA8" s="724">
        <v>144.41</v>
      </c>
      <c r="AB8" s="2710">
        <v>13.2</v>
      </c>
      <c r="AC8" s="606">
        <f>S8/S13*AC13*1.049</f>
        <v>12.706327199999999</v>
      </c>
      <c r="AD8" s="723">
        <f>AC8*$AG$56</f>
        <v>7.522135289083125</v>
      </c>
      <c r="AE8" s="723">
        <f>AC8*$AG$57</f>
        <v>5.082539079462105</v>
      </c>
      <c r="AF8" s="2762">
        <f t="shared" ref="AF8:AF23" si="0">AD8/W8</f>
        <v>1.0658656899169778</v>
      </c>
      <c r="AG8" s="2762">
        <f t="shared" ref="AG8:AG23" si="1">AE8/X8</f>
        <v>1.0139419302525494</v>
      </c>
      <c r="AH8" s="723">
        <v>3.67</v>
      </c>
      <c r="AI8" s="723">
        <v>9</v>
      </c>
      <c r="AJ8" s="723">
        <f>SUM(AK8:AL8)</f>
        <v>113.18</v>
      </c>
      <c r="AK8" s="723">
        <v>65.84</v>
      </c>
      <c r="AL8" s="724">
        <v>47.34</v>
      </c>
      <c r="AM8" s="763">
        <f>AA8/AA13*AM13*1.1</f>
        <v>158.851</v>
      </c>
      <c r="AN8" s="723">
        <f>AM8*AI56</f>
        <v>94.675196</v>
      </c>
      <c r="AO8" s="723">
        <f>AM8*AI57</f>
        <v>64.175803999999999</v>
      </c>
      <c r="AP8" s="2762">
        <f t="shared" ref="AP8:AP18" si="2">AN8/AD8</f>
        <v>12.586212871949021</v>
      </c>
      <c r="AQ8" s="2763">
        <f t="shared" ref="AQ8:AQ18" si="3">AO8/AE8</f>
        <v>12.626721210925121</v>
      </c>
      <c r="AR8" s="763">
        <f>AI8/3*4*1.062</f>
        <v>12.744</v>
      </c>
      <c r="AS8" s="723">
        <f>AR8*$AO$56</f>
        <v>6.9347111022409402</v>
      </c>
      <c r="AT8" s="723">
        <f>AR8*$AO$57</f>
        <v>5.7406127877638191</v>
      </c>
      <c r="AU8" s="2762">
        <f>AS8/AD8</f>
        <v>0.92190725581674748</v>
      </c>
      <c r="AV8" s="2762">
        <f>AT8/AE8</f>
        <v>1.1294773533490192</v>
      </c>
      <c r="AW8" s="2764"/>
      <c r="AX8" s="2786">
        <f>SUM(AY8:AZ8)</f>
        <v>7.84</v>
      </c>
      <c r="AY8" s="723">
        <v>4.55</v>
      </c>
      <c r="AZ8" s="723">
        <v>3.29</v>
      </c>
      <c r="BA8" s="723">
        <f>SUM(BB8:BC8)</f>
        <v>17.47</v>
      </c>
      <c r="BB8" s="723">
        <v>10</v>
      </c>
      <c r="BC8" s="723">
        <v>7.47</v>
      </c>
      <c r="BD8" s="723">
        <v>22.74</v>
      </c>
      <c r="BE8" s="2995">
        <f>SUM(BD8*AV56)</f>
        <v>13.416599999999999</v>
      </c>
      <c r="BF8" s="2996">
        <f>SUM(BD8*AV57)</f>
        <v>9.3233999999999995</v>
      </c>
      <c r="BG8" s="763">
        <f>SUM(AJ8*1.074*1.1)</f>
        <v>133.71085200000002</v>
      </c>
      <c r="BH8" s="723">
        <f>SUM(BG8*AQ56)</f>
        <v>78.889402680000003</v>
      </c>
      <c r="BI8" s="723">
        <f>SUM(BG8*AQ57)</f>
        <v>54.821449320000006</v>
      </c>
      <c r="BJ8" s="2762">
        <f t="shared" ref="BJ8:BK10" si="4">BH8/AS8</f>
        <v>11.376018628159871</v>
      </c>
      <c r="BK8" s="2763">
        <f t="shared" si="4"/>
        <v>9.5497556352960338</v>
      </c>
      <c r="BL8" s="763">
        <f>AR8*(1-0.01)*(1+0.071)*(1+0)</f>
        <v>13.512335759999999</v>
      </c>
      <c r="BM8" s="723">
        <f>SUM(BL8*AO56)</f>
        <v>7.3528048345950463</v>
      </c>
      <c r="BN8" s="723">
        <f>BL8*$AO$57</f>
        <v>6.086714332738099</v>
      </c>
      <c r="BO8" s="2762">
        <f>BM8/AS8</f>
        <v>1.06029</v>
      </c>
      <c r="BP8" s="2763">
        <f>BN8/AT8</f>
        <v>1.06029</v>
      </c>
      <c r="BQ8" s="4380">
        <f>SUM(BR8:BS8)</f>
        <v>19.47</v>
      </c>
      <c r="BR8" s="4490">
        <v>11.6</v>
      </c>
      <c r="BS8" s="4491">
        <v>7.87</v>
      </c>
      <c r="BT8" s="4490">
        <f>SUM(BU8:BV8)</f>
        <v>41.790000000000006</v>
      </c>
      <c r="BU8" s="4381">
        <v>24.78</v>
      </c>
      <c r="BV8" s="4382">
        <v>17.010000000000002</v>
      </c>
      <c r="BW8" s="2857">
        <f>SUM(BX8:BY8)</f>
        <v>55.72</v>
      </c>
      <c r="BX8" s="4365">
        <f>SUM(BU8/9*12)</f>
        <v>33.04</v>
      </c>
      <c r="BY8" s="4366">
        <f>SUM(BV8/9*12)</f>
        <v>22.68</v>
      </c>
      <c r="BZ8" s="4351"/>
      <c r="CA8" s="763">
        <f>BL8*(1-0.01)*(1+0.058)*(1+0)</f>
        <v>14.153090721739201</v>
      </c>
      <c r="CB8" s="723">
        <f>SUM(CA8*AV56)</f>
        <v>8.350323525826127</v>
      </c>
      <c r="CC8" s="723">
        <f>CA8*AV57</f>
        <v>5.8027671959130718</v>
      </c>
      <c r="CD8" s="2762">
        <f>CB8/AY8</f>
        <v>1.8352359397420059</v>
      </c>
      <c r="CE8" s="2763">
        <f>CC8/AZ8</f>
        <v>1.7637590261133957</v>
      </c>
      <c r="CF8" s="4351"/>
      <c r="CG8" s="763">
        <f>BL8*(1-0.01)*(1+0.04)*(1+0)</f>
        <v>13.912300898495999</v>
      </c>
      <c r="CH8" s="723">
        <f>SUM(CG8*BE56)</f>
        <v>8.2082575301126397</v>
      </c>
      <c r="CI8" s="723">
        <f>CG8*AV57</f>
        <v>5.7040433683833598</v>
      </c>
      <c r="CJ8" s="2762">
        <f>CH8/BE8</f>
        <v>0.61179863229973619</v>
      </c>
      <c r="CK8" s="2762">
        <f>CI8/BF8</f>
        <v>0.61179863229973619</v>
      </c>
      <c r="CL8" s="2764"/>
    </row>
    <row r="9" spans="1:90" ht="15">
      <c r="A9" s="721" t="s">
        <v>31</v>
      </c>
      <c r="B9" s="704">
        <v>82.2</v>
      </c>
      <c r="C9" s="2714">
        <v>99.2</v>
      </c>
      <c r="D9" s="605">
        <f>C9/B9*100</f>
        <v>120.68126520681265</v>
      </c>
      <c r="E9" s="2714">
        <v>80.400000000000006</v>
      </c>
      <c r="F9" s="605">
        <f>E9/C9*100</f>
        <v>81.048387096774206</v>
      </c>
      <c r="G9" s="182">
        <v>53.9</v>
      </c>
      <c r="H9" s="605">
        <f>G9/E9*100</f>
        <v>67.039800995024862</v>
      </c>
      <c r="I9" s="186">
        <v>99.9</v>
      </c>
      <c r="J9" s="186">
        <v>44.9</v>
      </c>
      <c r="K9" s="186">
        <f>J9/9*12</f>
        <v>59.866666666666667</v>
      </c>
      <c r="L9" s="182">
        <v>52.1</v>
      </c>
      <c r="M9" s="605">
        <f>K9/G9*100</f>
        <v>111.06988249845394</v>
      </c>
      <c r="N9" s="186">
        <v>56.873333333333328</v>
      </c>
      <c r="O9" s="182">
        <v>8.1</v>
      </c>
      <c r="P9" s="182">
        <v>8.0765999999999991</v>
      </c>
      <c r="Q9" s="690">
        <v>14.7</v>
      </c>
      <c r="R9" s="698">
        <v>65</v>
      </c>
      <c r="S9" s="688">
        <f>P9/9*12*1.03</f>
        <v>11.091863999999999</v>
      </c>
      <c r="T9" s="684">
        <f>S9/N9</f>
        <v>0.19502749970695113</v>
      </c>
      <c r="U9" s="722" t="e">
        <f>R9*#REF!</f>
        <v>#REF!</v>
      </c>
      <c r="V9" s="722" t="e">
        <f>R9*#REF!</f>
        <v>#REF!</v>
      </c>
      <c r="W9" s="722">
        <f>S9*$Y$56</f>
        <v>6.3332221613672486</v>
      </c>
      <c r="X9" s="722">
        <f>S9*$Y$57</f>
        <v>4.4983548207472159</v>
      </c>
      <c r="Y9" s="722"/>
      <c r="Z9" s="722"/>
      <c r="AA9" s="725"/>
      <c r="AB9" s="694">
        <v>15.5</v>
      </c>
      <c r="AC9" s="688">
        <f>AB9</f>
        <v>15.5</v>
      </c>
      <c r="AD9" s="722">
        <f>AC9*$AG$56</f>
        <v>9.1759872971623508</v>
      </c>
      <c r="AE9" s="722">
        <f>AC9*$AG$57</f>
        <v>6.2000100022343698</v>
      </c>
      <c r="AF9" s="2765">
        <f t="shared" si="0"/>
        <v>1.4488655321671822</v>
      </c>
      <c r="AG9" s="2765">
        <f t="shared" si="1"/>
        <v>1.3782838947338738</v>
      </c>
      <c r="AH9" s="722">
        <v>0</v>
      </c>
      <c r="AI9" s="2625">
        <v>0</v>
      </c>
      <c r="AJ9" s="2625">
        <f t="shared" ref="AJ9:AJ11" si="5">SUM(AK9:AL9)</f>
        <v>0</v>
      </c>
      <c r="AK9" s="2625">
        <v>0</v>
      </c>
      <c r="AL9" s="2626">
        <v>0</v>
      </c>
      <c r="AM9" s="698">
        <v>17.05</v>
      </c>
      <c r="AN9" s="722">
        <f>AM9*AI56</f>
        <v>10.161799999999999</v>
      </c>
      <c r="AO9" s="722">
        <f>AM9*AI57</f>
        <v>6.8882000000000003</v>
      </c>
      <c r="AP9" s="2765">
        <f t="shared" si="2"/>
        <v>1.1074339655137173</v>
      </c>
      <c r="AQ9" s="2766">
        <f t="shared" si="3"/>
        <v>1.1109982076670231</v>
      </c>
      <c r="AR9" s="2121"/>
      <c r="AS9" s="2119">
        <f>AR9*$AO$56</f>
        <v>0</v>
      </c>
      <c r="AT9" s="2119">
        <f>AR9*$AO$57</f>
        <v>0</v>
      </c>
      <c r="AU9" s="2767"/>
      <c r="AV9" s="2767"/>
      <c r="AW9" s="2768"/>
      <c r="AX9" s="2787">
        <f t="shared" ref="AX9:AX11" si="6">SUM(AY9:AZ9)</f>
        <v>0</v>
      </c>
      <c r="AY9" s="2788">
        <v>0</v>
      </c>
      <c r="AZ9" s="2788">
        <v>0</v>
      </c>
      <c r="BA9" s="2788">
        <f t="shared" ref="BA9:BA11" si="7">SUM(BB9:BC9)</f>
        <v>0</v>
      </c>
      <c r="BB9" s="2788"/>
      <c r="BC9" s="2788"/>
      <c r="BD9" s="3592">
        <v>0</v>
      </c>
      <c r="BE9" s="723">
        <f>SUM(BD9*AV56)</f>
        <v>0</v>
      </c>
      <c r="BF9" s="723">
        <f>SUM(BD9*AV57)</f>
        <v>0</v>
      </c>
      <c r="BG9" s="698">
        <v>0</v>
      </c>
      <c r="BH9" s="722">
        <v>0</v>
      </c>
      <c r="BI9" s="722">
        <v>0</v>
      </c>
      <c r="BJ9" s="2765" t="e">
        <f t="shared" si="4"/>
        <v>#DIV/0!</v>
      </c>
      <c r="BK9" s="2766" t="e">
        <f t="shared" si="4"/>
        <v>#DIV/0!</v>
      </c>
      <c r="BL9" s="763">
        <f t="shared" ref="BL9:BL11" si="8">AR9*(1-0.01)*(1+0.071)*(1+0)</f>
        <v>0</v>
      </c>
      <c r="BM9" s="2119">
        <f>BL9*$AO$56</f>
        <v>0</v>
      </c>
      <c r="BN9" s="2119">
        <f>BL9*$AO$57</f>
        <v>0</v>
      </c>
      <c r="BO9" s="2767"/>
      <c r="BP9" s="4069"/>
      <c r="BQ9" s="4383">
        <f>SUM(BR9:BS9)</f>
        <v>0</v>
      </c>
      <c r="BR9" s="4492"/>
      <c r="BS9" s="4492"/>
      <c r="BT9" s="4492">
        <f>SUM(BU9:BV9)</f>
        <v>0</v>
      </c>
      <c r="BU9" s="4384">
        <v>0</v>
      </c>
      <c r="BV9" s="4384">
        <v>0</v>
      </c>
      <c r="BW9" s="4367">
        <f t="shared" ref="BW9:BW11" si="9">SUM(BX9:BY9)</f>
        <v>0</v>
      </c>
      <c r="BX9" s="2857">
        <f>SUM(BU9/9*12)</f>
        <v>0</v>
      </c>
      <c r="BY9" s="4368">
        <f>SUM(BV9/9*12)</f>
        <v>0</v>
      </c>
      <c r="BZ9" s="4352"/>
      <c r="CA9" s="763">
        <f>BL9*(1-0.01)*(1+0.058)*(1+0)</f>
        <v>0</v>
      </c>
      <c r="CB9" s="2119">
        <f>CA9*AV56</f>
        <v>0</v>
      </c>
      <c r="CC9" s="2119">
        <f>CA9*AV57</f>
        <v>0</v>
      </c>
      <c r="CD9" s="2767"/>
      <c r="CE9" s="4069"/>
      <c r="CF9" s="4352"/>
      <c r="CG9" s="763">
        <f t="shared" ref="CG9" si="10">BL9*(1-0.01)*(1+0.058)*(1+0)</f>
        <v>0</v>
      </c>
      <c r="CH9" s="723">
        <f>SUM(CG9*BE56)</f>
        <v>0</v>
      </c>
      <c r="CI9" s="723">
        <f>CG9*AV57</f>
        <v>0</v>
      </c>
      <c r="CJ9" s="2767"/>
      <c r="CK9" s="2767"/>
      <c r="CL9" s="2768"/>
    </row>
    <row r="10" spans="1:90" ht="15">
      <c r="A10" s="721" t="s">
        <v>311</v>
      </c>
      <c r="B10" s="704">
        <v>10325.299999999999</v>
      </c>
      <c r="C10" s="2714">
        <v>12193.1</v>
      </c>
      <c r="D10" s="605">
        <f>C10/B10*100</f>
        <v>118.089547034953</v>
      </c>
      <c r="E10" s="2714">
        <v>12095</v>
      </c>
      <c r="F10" s="605">
        <f>E10/C10*100</f>
        <v>99.19544660504711</v>
      </c>
      <c r="G10" s="182">
        <v>12881.2</v>
      </c>
      <c r="H10" s="605">
        <f>G10/E10*100</f>
        <v>106.50020669698223</v>
      </c>
      <c r="I10" s="186">
        <v>12960.8</v>
      </c>
      <c r="J10" s="186">
        <v>10117.200000000001</v>
      </c>
      <c r="K10" s="186">
        <v>14921</v>
      </c>
      <c r="L10" s="186">
        <v>14265.4</v>
      </c>
      <c r="M10" s="605">
        <f>K10/G10*100</f>
        <v>115.83548116635096</v>
      </c>
      <c r="N10" s="186">
        <v>13881.016799999999</v>
      </c>
      <c r="O10" s="186">
        <v>8199.1</v>
      </c>
      <c r="P10" s="186">
        <v>12742.602274999999</v>
      </c>
      <c r="Q10" s="691">
        <v>17158.3</v>
      </c>
      <c r="R10" s="699">
        <v>18101.8</v>
      </c>
      <c r="S10" s="685">
        <f>N10*1.056</f>
        <v>14658.353740799999</v>
      </c>
      <c r="T10" s="684">
        <f>S10/N10</f>
        <v>1.056</v>
      </c>
      <c r="U10" s="722" t="e">
        <f>R10*#REF!</f>
        <v>#REF!</v>
      </c>
      <c r="V10" s="722" t="e">
        <f>R10*#REF!</f>
        <v>#REF!</v>
      </c>
      <c r="W10" s="722">
        <f>S10*$Y$56</f>
        <v>8369.6131471135122</v>
      </c>
      <c r="X10" s="722">
        <f>S10*$Y$57</f>
        <v>5944.7606113945931</v>
      </c>
      <c r="Y10" s="722">
        <v>7870.29</v>
      </c>
      <c r="Z10" s="722">
        <v>11609.64</v>
      </c>
      <c r="AA10" s="725">
        <v>15326</v>
      </c>
      <c r="AB10" s="695">
        <v>17000</v>
      </c>
      <c r="AC10" s="685">
        <f>AC14*AC13*12/1000</f>
        <v>15327.654172604925</v>
      </c>
      <c r="AD10" s="685">
        <f>AD14*AD13*12/1000</f>
        <v>9073.958708588405</v>
      </c>
      <c r="AE10" s="685">
        <f>AE14*AE13*12/1000</f>
        <v>6131.07156006064</v>
      </c>
      <c r="AF10" s="2765">
        <f t="shared" si="0"/>
        <v>1.0841550916505389</v>
      </c>
      <c r="AG10" s="2765">
        <f t="shared" si="1"/>
        <v>1.0313403618488752</v>
      </c>
      <c r="AH10" s="722">
        <v>7441.55</v>
      </c>
      <c r="AI10" s="2625">
        <v>11108.4</v>
      </c>
      <c r="AJ10" s="2625">
        <f t="shared" si="5"/>
        <v>14479.76</v>
      </c>
      <c r="AK10" s="2625">
        <v>8551.52</v>
      </c>
      <c r="AL10" s="2626">
        <v>5928.24</v>
      </c>
      <c r="AM10" s="699">
        <v>18700</v>
      </c>
      <c r="AN10" s="685">
        <f>AN14*AN13*12/1000</f>
        <v>11145.2</v>
      </c>
      <c r="AO10" s="685">
        <f>AO14*AO13*12/1000</f>
        <v>7554.8000000000011</v>
      </c>
      <c r="AP10" s="2765">
        <f t="shared" si="2"/>
        <v>1.2282621464269159</v>
      </c>
      <c r="AQ10" s="2766">
        <f t="shared" si="3"/>
        <v>1.2322152703638121</v>
      </c>
      <c r="AR10" s="2122">
        <f>AR13*AR14*12/1000</f>
        <v>16797.857736099682</v>
      </c>
      <c r="AS10" s="2119">
        <f>AR10*$AO$56</f>
        <v>9140.6379893592548</v>
      </c>
      <c r="AT10" s="2119">
        <f>AR10*$AO$57</f>
        <v>7566.6978128445726</v>
      </c>
      <c r="AU10" s="2767">
        <f t="shared" ref="AU10:AU18" si="11">AS10/AD10</f>
        <v>1.0073484223272626</v>
      </c>
      <c r="AV10" s="2767">
        <f t="shared" ref="AV10:AV18" si="12">AT10/AE10</f>
        <v>1.2341558467749696</v>
      </c>
      <c r="AW10" s="2768"/>
      <c r="AX10" s="2787">
        <f t="shared" si="6"/>
        <v>6767.27</v>
      </c>
      <c r="AY10" s="2788">
        <v>3928.37</v>
      </c>
      <c r="AZ10" s="2788">
        <v>2838.9</v>
      </c>
      <c r="BA10" s="2788">
        <f t="shared" si="7"/>
        <v>10344.970000000001</v>
      </c>
      <c r="BB10" s="2788">
        <v>5964.51</v>
      </c>
      <c r="BC10" s="2788">
        <v>4380.46</v>
      </c>
      <c r="BD10" s="3592">
        <v>13787.45</v>
      </c>
      <c r="BE10" s="723">
        <f>SUM(BD10*AV56)</f>
        <v>8134.5955000000004</v>
      </c>
      <c r="BF10" s="723">
        <f>SUM(BD10*AV57)</f>
        <v>5652.8545000000004</v>
      </c>
      <c r="BG10" s="699">
        <f>SUM(BG14*BG13*12)/1000</f>
        <v>18477.643509709651</v>
      </c>
      <c r="BH10" s="685">
        <f>SUM(BG10*AQ56)</f>
        <v>10901.809670728693</v>
      </c>
      <c r="BI10" s="685">
        <f>SUM(BG10*AQ57)</f>
        <v>7575.8338389809569</v>
      </c>
      <c r="BJ10" s="2765">
        <f t="shared" si="4"/>
        <v>1.1926749186894441</v>
      </c>
      <c r="BK10" s="2766">
        <f t="shared" si="4"/>
        <v>1.0012073993652655</v>
      </c>
      <c r="BL10" s="763">
        <f t="shared" si="8"/>
        <v>17810.600579009129</v>
      </c>
      <c r="BM10" s="2119">
        <f>BL10*AT56</f>
        <v>10602.517057652914</v>
      </c>
      <c r="BN10" s="2119">
        <f>BL10*AT57</f>
        <v>7208.0835213562168</v>
      </c>
      <c r="BO10" s="2767">
        <f t="shared" ref="BO10:BO18" si="13">BM10/AS10</f>
        <v>1.1599318417374644</v>
      </c>
      <c r="BP10" s="4069">
        <f t="shared" ref="BP10:BP18" si="14">BN10/AT10</f>
        <v>0.95260623585633308</v>
      </c>
      <c r="BQ10" s="4383">
        <f t="shared" ref="BQ10:BQ11" si="15">SUM(BR10:BS10)</f>
        <v>7783.17</v>
      </c>
      <c r="BR10" s="4492">
        <v>4540.17</v>
      </c>
      <c r="BS10" s="4493">
        <v>3243</v>
      </c>
      <c r="BT10" s="4492">
        <f t="shared" ref="BT10:BT11" si="16">SUM(BU10:BV10)</f>
        <v>11619.33</v>
      </c>
      <c r="BU10" s="4384">
        <v>6760.71</v>
      </c>
      <c r="BV10" s="4385">
        <v>4858.62</v>
      </c>
      <c r="BW10" s="4367">
        <f t="shared" si="9"/>
        <v>15455.49</v>
      </c>
      <c r="BX10" s="4369">
        <f>SUM(BR10+((BU10-BR10)/3*6))</f>
        <v>8981.25</v>
      </c>
      <c r="BY10" s="4370">
        <f>SUM(BS10+((BV10-BS10)/3*6))</f>
        <v>6474.24</v>
      </c>
      <c r="BZ10" s="4352"/>
      <c r="CA10" s="763">
        <f>BL10*(1-0.01)*(1+0.058)*(1+0)</f>
        <v>18655.179258465745</v>
      </c>
      <c r="CB10" s="2119">
        <f>CA10*AV56</f>
        <v>11006.555762494789</v>
      </c>
      <c r="CC10" s="2119">
        <f>CA10*AV57</f>
        <v>7648.6234959709554</v>
      </c>
      <c r="CD10" s="2767">
        <f t="shared" ref="CD10:CD18" si="17">CB10/AY10</f>
        <v>2.8018123961069832</v>
      </c>
      <c r="CE10" s="4069">
        <f t="shared" ref="CE10:CE18" si="18">CC10/AZ10</f>
        <v>2.6942208235481897</v>
      </c>
      <c r="CF10" s="4352"/>
      <c r="CG10" s="763">
        <f>BL10*(1-0.01)*(1+0.04)*(1+0)</f>
        <v>18337.794356147802</v>
      </c>
      <c r="CH10" s="723">
        <f>SUM(CG10*BE56)</f>
        <v>10819.298670127202</v>
      </c>
      <c r="CI10" s="723">
        <f>CG10*AV57</f>
        <v>7518.4956860205984</v>
      </c>
      <c r="CJ10" s="2767">
        <f t="shared" ref="CJ10:CJ18" si="19">CH10/BE10</f>
        <v>1.3300352390143064</v>
      </c>
      <c r="CK10" s="2767">
        <f t="shared" ref="CK10:CK18" si="20">CI10/BF10</f>
        <v>1.3300352390143064</v>
      </c>
      <c r="CL10" s="2768"/>
    </row>
    <row r="11" spans="1:90" ht="15">
      <c r="A11" s="721" t="s">
        <v>121</v>
      </c>
      <c r="B11" s="704">
        <v>2324</v>
      </c>
      <c r="C11" s="2714">
        <v>2475.9</v>
      </c>
      <c r="D11" s="605">
        <f>C11/B11*100</f>
        <v>106.53614457831327</v>
      </c>
      <c r="E11" s="2714">
        <v>2575.3000000000002</v>
      </c>
      <c r="F11" s="605">
        <f>E11/C11*100</f>
        <v>104.0147017246254</v>
      </c>
      <c r="G11" s="182">
        <v>3451.8</v>
      </c>
      <c r="H11" s="605">
        <f>G11/E11*100</f>
        <v>134.03486972391565</v>
      </c>
      <c r="I11" s="186">
        <f>I10*30.2/100</f>
        <v>3914.1615999999999</v>
      </c>
      <c r="J11" s="186">
        <v>2906</v>
      </c>
      <c r="K11" s="186">
        <v>4506.1000000000004</v>
      </c>
      <c r="L11" s="186">
        <v>3778.4</v>
      </c>
      <c r="M11" s="607">
        <f>K11/G11*100</f>
        <v>130.54348455878093</v>
      </c>
      <c r="N11" s="186">
        <v>4192.0670736000002</v>
      </c>
      <c r="O11" s="186">
        <v>2372.5</v>
      </c>
      <c r="P11" s="186">
        <v>3474.6754099999998</v>
      </c>
      <c r="Q11" s="691">
        <v>4427.2</v>
      </c>
      <c r="R11" s="699">
        <v>5466.7</v>
      </c>
      <c r="S11" s="685">
        <f>S10*S12</f>
        <v>3997.0659206844994</v>
      </c>
      <c r="T11" s="684">
        <f>S11/N11</f>
        <v>0.95348329368498375</v>
      </c>
      <c r="U11" s="722" t="e">
        <f>R11*#REF!</f>
        <v>#REF!</v>
      </c>
      <c r="V11" s="722" t="e">
        <f>R11*#REF!</f>
        <v>#REF!</v>
      </c>
      <c r="W11" s="722">
        <f>S11*$Y$56</f>
        <v>2282.24097133943</v>
      </c>
      <c r="X11" s="722">
        <f>S11*$Y$57</f>
        <v>1621.0278771138494</v>
      </c>
      <c r="Y11" s="722">
        <v>2366.94</v>
      </c>
      <c r="Z11" s="722">
        <v>3391.7</v>
      </c>
      <c r="AA11" s="725">
        <v>4288.66</v>
      </c>
      <c r="AB11" s="695">
        <v>5134</v>
      </c>
      <c r="AC11" s="685">
        <f>AC10*AC12</f>
        <v>4477.8998019942155</v>
      </c>
      <c r="AD11" s="685">
        <f>AD10*AD12</f>
        <v>2650.9130129719174</v>
      </c>
      <c r="AE11" s="685">
        <f>AE10*AE12</f>
        <v>1791.1628104108026</v>
      </c>
      <c r="AF11" s="2765">
        <f t="shared" si="0"/>
        <v>1.1615394895904076</v>
      </c>
      <c r="AG11" s="2765">
        <f t="shared" si="1"/>
        <v>1.1049549706695168</v>
      </c>
      <c r="AH11" s="722">
        <v>2092.0300000000002</v>
      </c>
      <c r="AI11" s="2625">
        <v>3102.56</v>
      </c>
      <c r="AJ11" s="2625">
        <f t="shared" si="5"/>
        <v>4002.3199999999997</v>
      </c>
      <c r="AK11" s="2625">
        <v>2364.4899999999998</v>
      </c>
      <c r="AL11" s="2626">
        <v>1637.83</v>
      </c>
      <c r="AM11" s="699">
        <f>AM10*AM12</f>
        <v>5232.8032102309808</v>
      </c>
      <c r="AN11" s="685">
        <f>AN10*AN12</f>
        <v>3118.7507132976643</v>
      </c>
      <c r="AO11" s="685">
        <f>AO10*AO12</f>
        <v>2114.0524969333164</v>
      </c>
      <c r="AP11" s="2765">
        <f t="shared" si="2"/>
        <v>1.1764817246120263</v>
      </c>
      <c r="AQ11" s="2766">
        <f t="shared" si="3"/>
        <v>1.1802681948540787</v>
      </c>
      <c r="AR11" s="2122">
        <f>AR10*AR12</f>
        <v>4700.5285500783812</v>
      </c>
      <c r="AS11" s="2119">
        <f>AR11*$AO$56</f>
        <v>2557.8160328491103</v>
      </c>
      <c r="AT11" s="2119">
        <f>AR11*$AO$57</f>
        <v>2117.3818505829313</v>
      </c>
      <c r="AU11" s="2767">
        <f t="shared" si="11"/>
        <v>0.96488116370954147</v>
      </c>
      <c r="AV11" s="2767">
        <f t="shared" si="12"/>
        <v>1.1821269614777845</v>
      </c>
      <c r="AW11" s="2768"/>
      <c r="AX11" s="2787">
        <f t="shared" si="6"/>
        <v>2032.17</v>
      </c>
      <c r="AY11" s="2788">
        <v>1179.6600000000001</v>
      </c>
      <c r="AZ11" s="2788">
        <v>852.51</v>
      </c>
      <c r="BA11" s="2788">
        <f t="shared" si="7"/>
        <v>3095.95</v>
      </c>
      <c r="BB11" s="2788">
        <v>1785.27</v>
      </c>
      <c r="BC11" s="2788">
        <v>1310.68</v>
      </c>
      <c r="BD11" s="3592">
        <v>4121.75</v>
      </c>
      <c r="BE11" s="723">
        <f>SUM(BD11*AV56)</f>
        <v>2431.8325</v>
      </c>
      <c r="BF11" s="723">
        <f>SUM(BD11*AV57)</f>
        <v>1689.9174999999998</v>
      </c>
      <c r="BG11" s="699">
        <f>BG10*BG12</f>
        <v>5173.7401827187032</v>
      </c>
      <c r="BH11" s="685">
        <f>SUM(BG11*AQ56)</f>
        <v>3052.5067078040347</v>
      </c>
      <c r="BI11" s="685">
        <f>SUM(BG11*AQ57)</f>
        <v>2121.233474914668</v>
      </c>
      <c r="BJ11" s="2765">
        <f t="shared" ref="BJ11:BJ49" si="21">BH11/AS11</f>
        <v>1.1934035398174812</v>
      </c>
      <c r="BK11" s="2766">
        <f t="shared" ref="BK11:BK49" si="22">BI11/AT11</f>
        <v>1.0018190504139233</v>
      </c>
      <c r="BL11" s="763">
        <f t="shared" si="8"/>
        <v>4983.923416362607</v>
      </c>
      <c r="BM11" s="2119">
        <f>BL11*AT56</f>
        <v>2966.8922618082838</v>
      </c>
      <c r="BN11" s="2119">
        <f>BL11*AT57</f>
        <v>2017.0311545543234</v>
      </c>
      <c r="BO11" s="2767">
        <f t="shared" si="13"/>
        <v>1.1599318417374647</v>
      </c>
      <c r="BP11" s="4069">
        <f t="shared" si="14"/>
        <v>0.95260623585633331</v>
      </c>
      <c r="BQ11" s="4383">
        <f t="shared" si="15"/>
        <v>2340.08</v>
      </c>
      <c r="BR11" s="4493">
        <v>1365.04</v>
      </c>
      <c r="BS11" s="4493">
        <v>975.04</v>
      </c>
      <c r="BT11" s="4492">
        <f t="shared" si="16"/>
        <v>3505.16</v>
      </c>
      <c r="BU11" s="4385">
        <v>2040.03</v>
      </c>
      <c r="BV11" s="4385">
        <v>1465.13</v>
      </c>
      <c r="BW11" s="4367">
        <f t="shared" si="9"/>
        <v>4670.24</v>
      </c>
      <c r="BX11" s="4369">
        <f>SUM(BR11+((BU11-BR11)/3*6))</f>
        <v>2715.02</v>
      </c>
      <c r="BY11" s="4370">
        <f>SUM(BS11+((BV11-BS11)/3*6))</f>
        <v>1955.2200000000003</v>
      </c>
      <c r="BZ11" s="4352"/>
      <c r="CA11" s="763">
        <f>BL11*(1-0.01)*(1+0.058)*(1+0)</f>
        <v>5220.2610647665215</v>
      </c>
      <c r="CB11" s="2119">
        <f>CA11*AV56</f>
        <v>3079.9540282122475</v>
      </c>
      <c r="CC11" s="2119">
        <f>CA11*AV57</f>
        <v>2140.3070365542735</v>
      </c>
      <c r="CD11" s="2767">
        <f t="shared" si="17"/>
        <v>2.6108828206536181</v>
      </c>
      <c r="CE11" s="4069">
        <f t="shared" si="18"/>
        <v>2.5105946400092356</v>
      </c>
      <c r="CF11" s="4352"/>
      <c r="CG11" s="763">
        <f>BL11*(1-0.01)*(1+0.04)*(1+0)</f>
        <v>5131.4475494869403</v>
      </c>
      <c r="CH11" s="723">
        <f>SUM(CG11*BE56)</f>
        <v>3027.5540541972946</v>
      </c>
      <c r="CI11" s="723">
        <f>CG11*AV57</f>
        <v>2103.8934952896452</v>
      </c>
      <c r="CJ11" s="2767">
        <f t="shared" si="19"/>
        <v>1.244968168735838</v>
      </c>
      <c r="CK11" s="2767">
        <f t="shared" si="20"/>
        <v>1.244968168735838</v>
      </c>
      <c r="CL11" s="2768"/>
    </row>
    <row r="12" spans="1:90" s="180" customFormat="1" ht="15">
      <c r="A12" s="726" t="s">
        <v>312</v>
      </c>
      <c r="B12" s="727"/>
      <c r="C12" s="728"/>
      <c r="D12" s="605"/>
      <c r="E12" s="728"/>
      <c r="F12" s="605"/>
      <c r="G12" s="605"/>
      <c r="H12" s="605"/>
      <c r="I12" s="183">
        <f t="shared" ref="I12:R12" si="23">I11/I10</f>
        <v>0.30199999999999999</v>
      </c>
      <c r="J12" s="183">
        <f t="shared" si="23"/>
        <v>0.28723362195073732</v>
      </c>
      <c r="K12" s="183">
        <f t="shared" si="23"/>
        <v>0.30199718517525637</v>
      </c>
      <c r="L12" s="183">
        <f t="shared" si="23"/>
        <v>0.2648646375145457</v>
      </c>
      <c r="M12" s="183">
        <f t="shared" si="23"/>
        <v>1.1269732144618785</v>
      </c>
      <c r="N12" s="183">
        <f t="shared" si="23"/>
        <v>0.30200000000000005</v>
      </c>
      <c r="O12" s="181">
        <f t="shared" si="23"/>
        <v>0.28936102742983982</v>
      </c>
      <c r="P12" s="181">
        <f t="shared" si="23"/>
        <v>0.27268177527733439</v>
      </c>
      <c r="Q12" s="692">
        <f t="shared" si="23"/>
        <v>0.25802089950636137</v>
      </c>
      <c r="R12" s="700">
        <f t="shared" si="23"/>
        <v>0.3019975913997503</v>
      </c>
      <c r="S12" s="684">
        <f>P12</f>
        <v>0.27268177527733439</v>
      </c>
      <c r="T12" s="684">
        <f>S12/N12</f>
        <v>0.90291978568653763</v>
      </c>
      <c r="U12" s="729">
        <f>R12</f>
        <v>0.3019975913997503</v>
      </c>
      <c r="V12" s="729">
        <f>R12</f>
        <v>0.3019975913997503</v>
      </c>
      <c r="W12" s="730">
        <f>S12</f>
        <v>0.27268177527733439</v>
      </c>
      <c r="X12" s="730">
        <f>S12</f>
        <v>0.27268177527733439</v>
      </c>
      <c r="Y12" s="684">
        <f>Y11/Y10</f>
        <v>0.30074368288843234</v>
      </c>
      <c r="Z12" s="684">
        <f>Z11/Z10</f>
        <v>0.2921451483422397</v>
      </c>
      <c r="AA12" s="702">
        <f>AA11/AA10</f>
        <v>0.2798290486754535</v>
      </c>
      <c r="AB12" s="696">
        <f>AB11/AB10</f>
        <v>0.30199999999999999</v>
      </c>
      <c r="AC12" s="684">
        <f>Z12</f>
        <v>0.2921451483422397</v>
      </c>
      <c r="AD12" s="730">
        <f>AC12</f>
        <v>0.2921451483422397</v>
      </c>
      <c r="AE12" s="730">
        <f>AC12</f>
        <v>0.2921451483422397</v>
      </c>
      <c r="AF12" s="2765">
        <f t="shared" si="0"/>
        <v>1.07137760873498</v>
      </c>
      <c r="AG12" s="2765">
        <f t="shared" si="1"/>
        <v>1.07137760873498</v>
      </c>
      <c r="AH12" s="684">
        <f>AH11/AH10</f>
        <v>0.28112825956957893</v>
      </c>
      <c r="AI12" s="2627">
        <f>AI11/AI10</f>
        <v>0.27929854884591843</v>
      </c>
      <c r="AJ12" s="2627">
        <f t="shared" ref="AJ12:AL12" si="24">AJ11/AJ10</f>
        <v>0.27640789626347395</v>
      </c>
      <c r="AK12" s="2627">
        <f t="shared" si="24"/>
        <v>0.27649938256590639</v>
      </c>
      <c r="AL12" s="2627">
        <f t="shared" si="24"/>
        <v>0.27627592675060386</v>
      </c>
      <c r="AM12" s="700">
        <f>AA12</f>
        <v>0.2798290486754535</v>
      </c>
      <c r="AN12" s="730">
        <f>AM12</f>
        <v>0.2798290486754535</v>
      </c>
      <c r="AO12" s="730">
        <f>AM12</f>
        <v>0.2798290486754535</v>
      </c>
      <c r="AP12" s="2765">
        <f t="shared" si="2"/>
        <v>0.95784253225948413</v>
      </c>
      <c r="AQ12" s="2766">
        <f t="shared" si="3"/>
        <v>0.95784253225948413</v>
      </c>
      <c r="AR12" s="2123">
        <f>AA12</f>
        <v>0.2798290486754535</v>
      </c>
      <c r="AS12" s="2120">
        <f>AR12</f>
        <v>0.2798290486754535</v>
      </c>
      <c r="AT12" s="2120">
        <f>AS12</f>
        <v>0.2798290486754535</v>
      </c>
      <c r="AU12" s="2767">
        <f t="shared" si="11"/>
        <v>0.95784253225948413</v>
      </c>
      <c r="AV12" s="2767">
        <f t="shared" si="12"/>
        <v>0.95784253225948413</v>
      </c>
      <c r="AW12" s="2768"/>
      <c r="AX12" s="2789">
        <f t="shared" ref="AX12:AZ12" si="25">AX11/AX10</f>
        <v>0.3002939146805137</v>
      </c>
      <c r="AY12" s="2790">
        <f t="shared" si="25"/>
        <v>0.30029248772391604</v>
      </c>
      <c r="AZ12" s="2790">
        <f t="shared" si="25"/>
        <v>0.30029588925287964</v>
      </c>
      <c r="BA12" s="2790">
        <f t="shared" ref="BA12:BC12" si="26">BA11/BA10</f>
        <v>0.29927104670192367</v>
      </c>
      <c r="BB12" s="2790">
        <f t="shared" si="26"/>
        <v>0.29931545089202632</v>
      </c>
      <c r="BC12" s="2790">
        <f t="shared" si="26"/>
        <v>0.2992105851896833</v>
      </c>
      <c r="BD12" s="2790">
        <f t="shared" ref="BD12:BF12" si="27">BD11/BD10</f>
        <v>0.29894940688814825</v>
      </c>
      <c r="BE12" s="2997">
        <f t="shared" si="27"/>
        <v>0.29894940688814825</v>
      </c>
      <c r="BF12" s="2998">
        <f t="shared" si="27"/>
        <v>0.29894940688814825</v>
      </c>
      <c r="BG12" s="700">
        <v>0.28000000000000003</v>
      </c>
      <c r="BH12" s="730">
        <f>BG12</f>
        <v>0.28000000000000003</v>
      </c>
      <c r="BI12" s="730">
        <f>BG12</f>
        <v>0.28000000000000003</v>
      </c>
      <c r="BJ12" s="2765">
        <f t="shared" si="21"/>
        <v>1.0006109134321677</v>
      </c>
      <c r="BK12" s="2766">
        <f t="shared" si="22"/>
        <v>1.0006109134321677</v>
      </c>
      <c r="BL12" s="2123">
        <f>SUM(BL11/BL10)</f>
        <v>0.27982904867545355</v>
      </c>
      <c r="BM12" s="2120">
        <f>BL12</f>
        <v>0.27982904867545355</v>
      </c>
      <c r="BN12" s="2120">
        <f>BM12</f>
        <v>0.27982904867545355</v>
      </c>
      <c r="BO12" s="2767">
        <f t="shared" si="13"/>
        <v>1.0000000000000002</v>
      </c>
      <c r="BP12" s="4069">
        <f t="shared" si="14"/>
        <v>1.0000000000000002</v>
      </c>
      <c r="BQ12" s="4386">
        <f t="shared" ref="BQ12:BS12" si="28">BQ11/BQ10</f>
        <v>0.30065898599156898</v>
      </c>
      <c r="BR12" s="4371">
        <f t="shared" si="28"/>
        <v>0.30065834539235314</v>
      </c>
      <c r="BS12" s="4371">
        <f t="shared" si="28"/>
        <v>0.30065988282454514</v>
      </c>
      <c r="BT12" s="4371">
        <f t="shared" ref="BT12:BY12" si="29">BT11/BT10</f>
        <v>0.3016662750778229</v>
      </c>
      <c r="BU12" s="4371">
        <f t="shared" si="29"/>
        <v>0.30174789334256313</v>
      </c>
      <c r="BV12" s="4371">
        <f t="shared" si="29"/>
        <v>0.30155270426582037</v>
      </c>
      <c r="BW12" s="4371">
        <f t="shared" si="29"/>
        <v>0.30217353186472895</v>
      </c>
      <c r="BX12" s="4371">
        <f t="shared" si="29"/>
        <v>0.30229867780097425</v>
      </c>
      <c r="BY12" s="4372">
        <f t="shared" si="29"/>
        <v>0.30199992586002378</v>
      </c>
      <c r="BZ12" s="4352"/>
      <c r="CA12" s="2123">
        <f>SUM(CA11/CA10)</f>
        <v>0.2798290486754535</v>
      </c>
      <c r="CB12" s="2120">
        <f>CA12</f>
        <v>0.2798290486754535</v>
      </c>
      <c r="CC12" s="2120">
        <f>CB12</f>
        <v>0.2798290486754535</v>
      </c>
      <c r="CD12" s="2767">
        <f t="shared" si="17"/>
        <v>0.93185497511587345</v>
      </c>
      <c r="CE12" s="4069">
        <f t="shared" si="18"/>
        <v>0.93184441975430776</v>
      </c>
      <c r="CF12" s="4352"/>
      <c r="CG12" s="2123">
        <f>SUM(CG11/CG10)</f>
        <v>0.2798290486754535</v>
      </c>
      <c r="CH12" s="2120">
        <f>CG12</f>
        <v>0.2798290486754535</v>
      </c>
      <c r="CI12" s="2120">
        <f>CH12</f>
        <v>0.2798290486754535</v>
      </c>
      <c r="CJ12" s="2767">
        <f t="shared" si="19"/>
        <v>0.93604149139573767</v>
      </c>
      <c r="CK12" s="2767">
        <f t="shared" si="20"/>
        <v>0.93604149139573767</v>
      </c>
      <c r="CL12" s="2768"/>
    </row>
    <row r="13" spans="1:90" s="184" customFormat="1" ht="15">
      <c r="A13" s="721" t="s">
        <v>313</v>
      </c>
      <c r="B13" s="704"/>
      <c r="C13" s="2714"/>
      <c r="D13" s="182"/>
      <c r="E13" s="2714"/>
      <c r="F13" s="182"/>
      <c r="G13" s="182"/>
      <c r="H13" s="182"/>
      <c r="I13" s="181"/>
      <c r="J13" s="181"/>
      <c r="K13" s="181"/>
      <c r="L13" s="181"/>
      <c r="M13" s="181"/>
      <c r="N13" s="182">
        <v>29</v>
      </c>
      <c r="O13" s="182">
        <v>29</v>
      </c>
      <c r="P13" s="182">
        <v>29</v>
      </c>
      <c r="Q13" s="690">
        <v>29</v>
      </c>
      <c r="R13" s="698">
        <v>29</v>
      </c>
      <c r="S13" s="688">
        <v>29</v>
      </c>
      <c r="T13" s="684"/>
      <c r="U13" s="722" t="e">
        <f>R13*#REF!</f>
        <v>#REF!</v>
      </c>
      <c r="V13" s="722" t="e">
        <f>R13*#REF!</f>
        <v>#REF!</v>
      </c>
      <c r="W13" s="722">
        <f>S13*$Y$56</f>
        <v>16.558392951775303</v>
      </c>
      <c r="X13" s="722">
        <f>S13*$Y$57</f>
        <v>11.76107909379968</v>
      </c>
      <c r="Y13" s="722">
        <v>29</v>
      </c>
      <c r="Z13" s="722">
        <v>29</v>
      </c>
      <c r="AA13" s="725">
        <v>29</v>
      </c>
      <c r="AB13" s="694">
        <v>29</v>
      </c>
      <c r="AC13" s="688">
        <f>29-29*Y58</f>
        <v>28.42</v>
      </c>
      <c r="AD13" s="722">
        <f>AC13*AG56</f>
        <v>16.824616708732517</v>
      </c>
      <c r="AE13" s="722">
        <f>AC13*AG57</f>
        <v>11.368018339580697</v>
      </c>
      <c r="AF13" s="2765">
        <f t="shared" si="0"/>
        <v>1.0160778740867284</v>
      </c>
      <c r="AG13" s="2765">
        <f t="shared" si="1"/>
        <v>0.96657953312921774</v>
      </c>
      <c r="AH13" s="722">
        <v>27</v>
      </c>
      <c r="AI13" s="2625">
        <v>27</v>
      </c>
      <c r="AJ13" s="2625">
        <f>SUM(AK13)</f>
        <v>27</v>
      </c>
      <c r="AK13" s="6303">
        <v>27</v>
      </c>
      <c r="AL13" s="6304"/>
      <c r="AM13" s="698">
        <f>29-29*AD58</f>
        <v>29</v>
      </c>
      <c r="AN13" s="722">
        <f>AM13*AI56</f>
        <v>17.283999999999999</v>
      </c>
      <c r="AO13" s="722">
        <f>AM13*AI57</f>
        <v>11.716000000000001</v>
      </c>
      <c r="AP13" s="2765">
        <f t="shared" si="2"/>
        <v>1.0273042351704242</v>
      </c>
      <c r="AQ13" s="2766">
        <f t="shared" si="3"/>
        <v>1.0306105822514129</v>
      </c>
      <c r="AR13" s="2121">
        <v>29</v>
      </c>
      <c r="AS13" s="2119">
        <f>AR13*$AO$56</f>
        <v>15.780494504471694</v>
      </c>
      <c r="AT13" s="2119">
        <f>AR13*$AO$57</f>
        <v>13.063227467447485</v>
      </c>
      <c r="AU13" s="2767">
        <f t="shared" si="11"/>
        <v>0.93794080291178994</v>
      </c>
      <c r="AV13" s="2767">
        <f t="shared" si="12"/>
        <v>1.1491209001629139</v>
      </c>
      <c r="AW13" s="2768"/>
      <c r="AX13" s="2787">
        <f>SUM(AY13)</f>
        <v>26</v>
      </c>
      <c r="AY13" s="6183">
        <v>26</v>
      </c>
      <c r="AZ13" s="6184"/>
      <c r="BA13" s="2788">
        <f>SUM(BB13)</f>
        <v>26</v>
      </c>
      <c r="BB13" s="6183">
        <v>26</v>
      </c>
      <c r="BC13" s="6184"/>
      <c r="BD13" s="3592">
        <f>SUM(BE13)</f>
        <v>26</v>
      </c>
      <c r="BE13" s="6162">
        <v>26</v>
      </c>
      <c r="BF13" s="6163"/>
      <c r="BG13" s="698">
        <f>SUM(BH13:BI13)</f>
        <v>29</v>
      </c>
      <c r="BH13" s="722">
        <v>15.95</v>
      </c>
      <c r="BI13" s="722">
        <v>13.05</v>
      </c>
      <c r="BJ13" s="2765">
        <f t="shared" si="21"/>
        <v>1.0107414565164781</v>
      </c>
      <c r="BK13" s="2766">
        <f t="shared" si="22"/>
        <v>0.99898742730458867</v>
      </c>
      <c r="BL13" s="2121">
        <v>29</v>
      </c>
      <c r="BM13" s="2119">
        <f>BL13*$AO$56</f>
        <v>15.780494504471694</v>
      </c>
      <c r="BN13" s="2119">
        <f>BL13*$AO$57</f>
        <v>13.063227467447485</v>
      </c>
      <c r="BO13" s="2767">
        <f t="shared" si="13"/>
        <v>1</v>
      </c>
      <c r="BP13" s="4069">
        <f t="shared" si="14"/>
        <v>1</v>
      </c>
      <c r="BQ13" s="4387">
        <v>26</v>
      </c>
      <c r="BR13" s="6157">
        <v>26</v>
      </c>
      <c r="BS13" s="6317"/>
      <c r="BT13" s="4493">
        <v>26</v>
      </c>
      <c r="BU13" s="6157">
        <v>26</v>
      </c>
      <c r="BV13" s="6157"/>
      <c r="BW13" s="4431">
        <f>SUM(BX13)</f>
        <v>26</v>
      </c>
      <c r="BX13" s="6157">
        <v>26</v>
      </c>
      <c r="BY13" s="6158"/>
      <c r="BZ13" s="4352"/>
      <c r="CA13" s="2121">
        <v>29</v>
      </c>
      <c r="CB13" s="2119">
        <v>15.95</v>
      </c>
      <c r="CC13" s="2119">
        <v>13.05</v>
      </c>
      <c r="CD13" s="2767">
        <f t="shared" si="17"/>
        <v>0.61346153846153839</v>
      </c>
      <c r="CE13" s="4069" t="e">
        <f t="shared" si="18"/>
        <v>#DIV/0!</v>
      </c>
      <c r="CF13" s="4352"/>
      <c r="CG13" s="2121">
        <v>29</v>
      </c>
      <c r="CH13" s="2119">
        <v>15.95</v>
      </c>
      <c r="CI13" s="2119">
        <v>13.05</v>
      </c>
      <c r="CJ13" s="2767">
        <f t="shared" si="19"/>
        <v>0.61346153846153839</v>
      </c>
      <c r="CK13" s="2767" t="e">
        <f t="shared" si="20"/>
        <v>#DIV/0!</v>
      </c>
      <c r="CL13" s="2768"/>
    </row>
    <row r="14" spans="1:90" s="185" customFormat="1" ht="30">
      <c r="A14" s="731" t="s">
        <v>314</v>
      </c>
      <c r="B14" s="704"/>
      <c r="C14" s="2714"/>
      <c r="D14" s="182"/>
      <c r="E14" s="2714"/>
      <c r="F14" s="182"/>
      <c r="G14" s="182"/>
      <c r="H14" s="182"/>
      <c r="I14" s="181"/>
      <c r="J14" s="181"/>
      <c r="K14" s="181"/>
      <c r="L14" s="181"/>
      <c r="M14" s="181"/>
      <c r="N14" s="186">
        <f t="shared" ref="N14:S14" si="30">N10/N13/12*1000</f>
        <v>39887.979310344825</v>
      </c>
      <c r="O14" s="186">
        <f t="shared" si="30"/>
        <v>23560.632183908045</v>
      </c>
      <c r="P14" s="186">
        <f t="shared" si="30"/>
        <v>36616.673204022991</v>
      </c>
      <c r="Q14" s="691">
        <f t="shared" si="30"/>
        <v>49305.45977011494</v>
      </c>
      <c r="R14" s="699">
        <f t="shared" si="30"/>
        <v>52016.666666666657</v>
      </c>
      <c r="S14" s="685">
        <f t="shared" si="30"/>
        <v>42121.706151724131</v>
      </c>
      <c r="T14" s="684"/>
      <c r="U14" s="722">
        <f>R14</f>
        <v>52016.666666666657</v>
      </c>
      <c r="V14" s="722">
        <f>R14</f>
        <v>52016.666666666657</v>
      </c>
      <c r="W14" s="722">
        <f>S14</f>
        <v>42121.706151724131</v>
      </c>
      <c r="X14" s="722">
        <f>S14</f>
        <v>42121.706151724131</v>
      </c>
      <c r="Y14" s="685">
        <f>Y10/Y13/6*1000</f>
        <v>45231.551724137935</v>
      </c>
      <c r="Z14" s="685">
        <f>Z10/Z13/9*1000</f>
        <v>44481.379310344826</v>
      </c>
      <c r="AA14" s="703">
        <f>SUM(AA10/AA13/12)*1000</f>
        <v>44040.229885057473</v>
      </c>
      <c r="AB14" s="695">
        <f>AB10/AB13/12*1000</f>
        <v>48850.574712643684</v>
      </c>
      <c r="AC14" s="685">
        <f>S14*1.067</f>
        <v>44943.860463889643</v>
      </c>
      <c r="AD14" s="722">
        <f>W14*1.067</f>
        <v>44943.860463889643</v>
      </c>
      <c r="AE14" s="722">
        <f>AD14</f>
        <v>44943.860463889643</v>
      </c>
      <c r="AF14" s="2765">
        <f t="shared" si="0"/>
        <v>1.0669999999999999</v>
      </c>
      <c r="AG14" s="2765">
        <f t="shared" si="1"/>
        <v>1.0669999999999999</v>
      </c>
      <c r="AH14" s="685">
        <f>AH10/AH13/6*1000</f>
        <v>45935.493827160491</v>
      </c>
      <c r="AI14" s="2628">
        <f>AI10/AI13/9*1000</f>
        <v>45713.580246913582</v>
      </c>
      <c r="AJ14" s="2628">
        <f>SUM(AJ10/AJ13/12)*1000</f>
        <v>44690.617283950618</v>
      </c>
      <c r="AK14" s="2628">
        <f>SUM(AK10+AL10)/AK13/12*1000</f>
        <v>44690.617283950618</v>
      </c>
      <c r="AL14" s="2628">
        <f>SUM(AK10+AL10)/AK13/12*1000</f>
        <v>44690.617283950618</v>
      </c>
      <c r="AM14" s="699">
        <f>SUM(AM10/AM13/12)*1000</f>
        <v>53735.632183908048</v>
      </c>
      <c r="AN14" s="722">
        <f>SUM(AM14)</f>
        <v>53735.632183908048</v>
      </c>
      <c r="AO14" s="722">
        <f>AN14</f>
        <v>53735.632183908048</v>
      </c>
      <c r="AP14" s="2765">
        <f t="shared" si="2"/>
        <v>1.1956167456305227</v>
      </c>
      <c r="AQ14" s="2766">
        <f t="shared" si="3"/>
        <v>1.1956167456305227</v>
      </c>
      <c r="AR14" s="2122">
        <f>AC14*1.074</f>
        <v>48269.70613821748</v>
      </c>
      <c r="AS14" s="2119">
        <f>AR14</f>
        <v>48269.70613821748</v>
      </c>
      <c r="AT14" s="2119">
        <f>AS14</f>
        <v>48269.70613821748</v>
      </c>
      <c r="AU14" s="2767">
        <f t="shared" si="11"/>
        <v>1.0740000000000001</v>
      </c>
      <c r="AV14" s="2767">
        <f t="shared" si="12"/>
        <v>1.0740000000000001</v>
      </c>
      <c r="AW14" s="2770" t="s">
        <v>1507</v>
      </c>
      <c r="AX14" s="2791">
        <f>SUM(AX10/AX13/12)*1000</f>
        <v>21689.967948717949</v>
      </c>
      <c r="AY14" s="2792">
        <f>SUM(AY10+AZ10)/AY13/6*1000</f>
        <v>43379.935897435898</v>
      </c>
      <c r="AZ14" s="2792">
        <f>SUM(AY10+AZ10)/AY13/6*1000</f>
        <v>43379.935897435898</v>
      </c>
      <c r="BA14" s="2792">
        <f>SUM(BA10/BA13/12)*1000</f>
        <v>33156.955128205132</v>
      </c>
      <c r="BB14" s="2792">
        <f>SUM(BB10+BC10)/BB13/9*1000</f>
        <v>44209.273504273515</v>
      </c>
      <c r="BC14" s="2792">
        <f>SUM(BB10+BC10)/BB13/9*1000</f>
        <v>44209.273504273515</v>
      </c>
      <c r="BD14" s="2792">
        <f>SUM(BD10/BD13/12)*1000</f>
        <v>44190.544871794875</v>
      </c>
      <c r="BE14" s="723">
        <f>SUM(BD14*AV56)</f>
        <v>26072.421474358976</v>
      </c>
      <c r="BF14" s="723">
        <f>SUM(BD14*AV57)</f>
        <v>18118.123397435898</v>
      </c>
      <c r="BG14" s="699">
        <f>SUM(AR14*1.1)</f>
        <v>53096.676752039231</v>
      </c>
      <c r="BH14" s="722">
        <f>SUM(AS14*1.1)</f>
        <v>53096.676752039231</v>
      </c>
      <c r="BI14" s="722">
        <f>SUM(AT14*1.1)</f>
        <v>53096.676752039231</v>
      </c>
      <c r="BJ14" s="2765">
        <f t="shared" si="21"/>
        <v>1.1000000000000001</v>
      </c>
      <c r="BK14" s="2766">
        <f t="shared" si="22"/>
        <v>1.1000000000000001</v>
      </c>
      <c r="BL14" s="2122">
        <f>SUM(BL10/BL13/12)*1000</f>
        <v>51179.886721290604</v>
      </c>
      <c r="BM14" s="2119">
        <f>BL14</f>
        <v>51179.886721290604</v>
      </c>
      <c r="BN14" s="2119">
        <f>BM14</f>
        <v>51179.886721290604</v>
      </c>
      <c r="BO14" s="2767">
        <f t="shared" si="13"/>
        <v>1.06029</v>
      </c>
      <c r="BP14" s="4069">
        <f t="shared" si="14"/>
        <v>1.06029</v>
      </c>
      <c r="BQ14" s="3008">
        <f>SUM(BQ10/BQ13/6)*1000</f>
        <v>49892.11538461539</v>
      </c>
      <c r="BR14" s="4431">
        <f>BQ14</f>
        <v>49892.11538461539</v>
      </c>
      <c r="BS14" s="4431">
        <f>BR14</f>
        <v>49892.11538461539</v>
      </c>
      <c r="BT14" s="4373">
        <f>SUM(BT10/BT13/9)*1000</f>
        <v>49655.256410256407</v>
      </c>
      <c r="BU14" s="3009">
        <f>BT14</f>
        <v>49655.256410256407</v>
      </c>
      <c r="BV14" s="3009">
        <f>BU14</f>
        <v>49655.256410256407</v>
      </c>
      <c r="BW14" s="4373">
        <f>SUM(BW10/BW13/12)*1000</f>
        <v>49536.826923076922</v>
      </c>
      <c r="BX14" s="4373">
        <f>SUM(BX10+BY10)/BX13/12*1000</f>
        <v>49536.826923076922</v>
      </c>
      <c r="BY14" s="4374">
        <f>SUM(BX10+BY10)/BX13/12*1000</f>
        <v>49536.826923076922</v>
      </c>
      <c r="BZ14" s="4353"/>
      <c r="CA14" s="2122">
        <f>SUM(CA10/CA13/12)*1000</f>
        <v>53606.836949614204</v>
      </c>
      <c r="CB14" s="2119">
        <f>SUM(CA14)</f>
        <v>53606.836949614204</v>
      </c>
      <c r="CC14" s="2119">
        <f>CB14</f>
        <v>53606.836949614204</v>
      </c>
      <c r="CD14" s="2767">
        <f t="shared" si="17"/>
        <v>1.2357518710114737</v>
      </c>
      <c r="CE14" s="4069">
        <f t="shared" si="18"/>
        <v>1.2357518710114737</v>
      </c>
      <c r="CF14" s="4353"/>
      <c r="CG14" s="2122">
        <f>SUM(CG10/CG13/12)*1000</f>
        <v>52694.811368240815</v>
      </c>
      <c r="CH14" s="2119">
        <f>SUM(CG14)</f>
        <v>52694.811368240815</v>
      </c>
      <c r="CI14" s="2119">
        <f>CH14</f>
        <v>52694.811368240815</v>
      </c>
      <c r="CJ14" s="2767">
        <f t="shared" si="19"/>
        <v>2.0210938757669181</v>
      </c>
      <c r="CK14" s="2767">
        <f t="shared" si="20"/>
        <v>2.9084033822011754</v>
      </c>
      <c r="CL14" s="2770"/>
    </row>
    <row r="15" spans="1:90" ht="38.25">
      <c r="A15" s="721" t="s">
        <v>32</v>
      </c>
      <c r="B15" s="704">
        <v>142.5</v>
      </c>
      <c r="C15" s="2714">
        <v>344.3</v>
      </c>
      <c r="D15" s="605">
        <f t="shared" ref="D15:D24" si="31">C15/B15*100</f>
        <v>241.61403508771932</v>
      </c>
      <c r="E15" s="2714">
        <v>436.2</v>
      </c>
      <c r="F15" s="605">
        <f>E15/C15*100</f>
        <v>126.69183851292476</v>
      </c>
      <c r="G15" s="182">
        <f>219.6+211.5+61.1</f>
        <v>492.20000000000005</v>
      </c>
      <c r="H15" s="605">
        <f t="shared" ref="H15:H24" si="32">G15/E15*100</f>
        <v>112.83814763869786</v>
      </c>
      <c r="I15" s="186">
        <v>371.4</v>
      </c>
      <c r="J15" s="186">
        <f>205.9+142</f>
        <v>347.9</v>
      </c>
      <c r="K15" s="186">
        <f>J15/9*12</f>
        <v>463.86666666666662</v>
      </c>
      <c r="L15" s="186">
        <v>473.9</v>
      </c>
      <c r="M15" s="607">
        <f t="shared" ref="M15:M23" si="33">K15/G15*100</f>
        <v>94.243532439387764</v>
      </c>
      <c r="N15" s="186">
        <v>486.59613333333323</v>
      </c>
      <c r="O15" s="186">
        <f>221.8+105.4</f>
        <v>327.20000000000005</v>
      </c>
      <c r="P15" s="186">
        <f>318.79145+167.22607</f>
        <v>486.01751999999999</v>
      </c>
      <c r="Q15" s="691">
        <v>654.70000000000005</v>
      </c>
      <c r="R15" s="699">
        <v>679.8</v>
      </c>
      <c r="S15" s="688">
        <f>N15*1.048</f>
        <v>509.95274773333324</v>
      </c>
      <c r="T15" s="684">
        <f>S15/N15</f>
        <v>1.048</v>
      </c>
      <c r="U15" s="722" t="e">
        <f>R15*#REF!</f>
        <v>#REF!</v>
      </c>
      <c r="V15" s="722" t="e">
        <f>R15*#REF!</f>
        <v>#REF!</v>
      </c>
      <c r="W15" s="722">
        <f t="shared" ref="W15:W47" si="34">S15*$Y$56</f>
        <v>291.17234426917497</v>
      </c>
      <c r="X15" s="722">
        <f t="shared" ref="X15:X47" si="35">S15*$Y$57</f>
        <v>206.81360690317956</v>
      </c>
      <c r="Y15" s="722">
        <v>313.62</v>
      </c>
      <c r="Z15" s="722">
        <v>419.82</v>
      </c>
      <c r="AA15" s="725">
        <v>568.21</v>
      </c>
      <c r="AB15" s="695">
        <v>525.29999999999995</v>
      </c>
      <c r="AC15" s="688">
        <f>AB15</f>
        <v>525.29999999999995</v>
      </c>
      <c r="AD15" s="722">
        <f t="shared" ref="AD15:AD41" si="36">AC15*$AG$56</f>
        <v>310.97716949673435</v>
      </c>
      <c r="AE15" s="722">
        <f t="shared" ref="AE15:AE41" si="37">AC15*$AG$57</f>
        <v>210.12033897894929</v>
      </c>
      <c r="AF15" s="2765">
        <f t="shared" si="0"/>
        <v>1.0680175353784656</v>
      </c>
      <c r="AG15" s="2765">
        <f t="shared" si="1"/>
        <v>1.0159889483350957</v>
      </c>
      <c r="AH15" s="722">
        <v>230.39</v>
      </c>
      <c r="AI15" s="2625">
        <v>322.31</v>
      </c>
      <c r="AJ15" s="2625">
        <f>SUM(AK15:AL15)</f>
        <v>387.88</v>
      </c>
      <c r="AK15" s="2625">
        <f>121.77+106.91</f>
        <v>228.68</v>
      </c>
      <c r="AL15" s="2626">
        <f>84.3+74.9</f>
        <v>159.19999999999999</v>
      </c>
      <c r="AM15" s="698">
        <f>SUM(AA15*1.1)</f>
        <v>625.03100000000006</v>
      </c>
      <c r="AN15" s="722">
        <f>AM15*AI56</f>
        <v>372.51847600000002</v>
      </c>
      <c r="AO15" s="722">
        <f>AM15*AI57</f>
        <v>252.51252400000004</v>
      </c>
      <c r="AP15" s="2765">
        <f t="shared" si="2"/>
        <v>1.1978965420608214</v>
      </c>
      <c r="AQ15" s="2766">
        <f t="shared" si="3"/>
        <v>1.2017519352341126</v>
      </c>
      <c r="AR15" s="2121">
        <f>AH15*2*1.062</f>
        <v>489.34836000000001</v>
      </c>
      <c r="AS15" s="2119">
        <f t="shared" ref="AS15:AS48" si="38">AR15*$AO$56</f>
        <v>266.28134847421506</v>
      </c>
      <c r="AT15" s="2119">
        <f t="shared" ref="AT15:AT48" si="39">AR15*$AO$57</f>
        <v>220.42996336215103</v>
      </c>
      <c r="AU15" s="2767">
        <f t="shared" si="11"/>
        <v>0.85627298269242025</v>
      </c>
      <c r="AV15" s="2767">
        <f t="shared" si="12"/>
        <v>1.0490653329101787</v>
      </c>
      <c r="AW15" s="2770" t="s">
        <v>1506</v>
      </c>
      <c r="AX15" s="2787">
        <f>SUM(AY15:AZ15)</f>
        <v>254.58</v>
      </c>
      <c r="AY15" s="2788">
        <f>57.66+89.76</f>
        <v>147.42000000000002</v>
      </c>
      <c r="AZ15" s="2788">
        <f>41.65+65.51</f>
        <v>107.16</v>
      </c>
      <c r="BA15" s="2788">
        <f>SUM(BB15:BC15)</f>
        <v>365.85</v>
      </c>
      <c r="BB15" s="2788">
        <f>209.69+1.3</f>
        <v>210.99</v>
      </c>
      <c r="BC15" s="2788">
        <f>153.9+0.96</f>
        <v>154.86000000000001</v>
      </c>
      <c r="BD15" s="3592">
        <v>484.68</v>
      </c>
      <c r="BE15" s="723">
        <f>SUM(BD15*AV56)</f>
        <v>285.96119999999996</v>
      </c>
      <c r="BF15" s="723">
        <f>SUM(BD15*AV57)</f>
        <v>198.71879999999999</v>
      </c>
      <c r="BG15" s="698">
        <f>SUM(AR15*1.1)</f>
        <v>538.28319600000009</v>
      </c>
      <c r="BH15" s="685">
        <f>SUM(BG15*AQ56)</f>
        <v>317.58708564000005</v>
      </c>
      <c r="BI15" s="685">
        <f>SUM(BG15*AQ57)</f>
        <v>220.69611036000003</v>
      </c>
      <c r="BJ15" s="2765">
        <f t="shared" si="21"/>
        <v>1.1926749186894443</v>
      </c>
      <c r="BK15" s="2766">
        <f t="shared" si="22"/>
        <v>1.0012073993652657</v>
      </c>
      <c r="BL15" s="763">
        <f t="shared" ref="BL15:BL48" si="40">AR15*(1-0.01)*(1+0.071)*(1+0)</f>
        <v>518.85117262439996</v>
      </c>
      <c r="BM15" s="2119">
        <f t="shared" ref="BM15:BM48" si="41">BL15*$AO$56</f>
        <v>282.33545097372547</v>
      </c>
      <c r="BN15" s="2119">
        <f t="shared" ref="BN15:BN48" si="42">BL15*$AO$57</f>
        <v>233.7196858532551</v>
      </c>
      <c r="BO15" s="2767">
        <f t="shared" si="13"/>
        <v>1.06029</v>
      </c>
      <c r="BP15" s="4069">
        <f t="shared" si="14"/>
        <v>1.06029</v>
      </c>
      <c r="BQ15" s="4383">
        <f t="shared" ref="BQ15:BQ48" si="43">SUM(BR15:BS15)</f>
        <v>417.70000000000005</v>
      </c>
      <c r="BR15" s="4493">
        <v>244.4</v>
      </c>
      <c r="BS15" s="4493">
        <v>173.3</v>
      </c>
      <c r="BT15" s="4492">
        <f t="shared" ref="BT15:BT48" si="44">SUM(BU15:BV15)</f>
        <v>556.88</v>
      </c>
      <c r="BU15" s="4385">
        <f>252.95+71.98</f>
        <v>324.93</v>
      </c>
      <c r="BV15" s="4385">
        <f>180.29+51.66</f>
        <v>231.95</v>
      </c>
      <c r="BW15" s="4367">
        <f>SUM(BX15:BY15)</f>
        <v>696.06</v>
      </c>
      <c r="BX15" s="4369">
        <f t="shared" ref="BX15:BY25" si="45">SUM(BR15+((BU15-BR15)/3*6))</f>
        <v>405.46000000000004</v>
      </c>
      <c r="BY15" s="4370">
        <f t="shared" si="45"/>
        <v>290.59999999999997</v>
      </c>
      <c r="BZ15" s="4353"/>
      <c r="CA15" s="763">
        <f>BL15*(1-0.01)*(1+0.058)*(1+0)</f>
        <v>543.45509523024907</v>
      </c>
      <c r="CB15" s="2119">
        <f>CA15*AV56</f>
        <v>320.63850618584695</v>
      </c>
      <c r="CC15" s="2119">
        <f>CA15*AV57</f>
        <v>222.81658904440209</v>
      </c>
      <c r="CD15" s="2767">
        <f t="shared" si="17"/>
        <v>2.1750000419607036</v>
      </c>
      <c r="CE15" s="4069">
        <f t="shared" si="18"/>
        <v>2.0792888115379067</v>
      </c>
      <c r="CF15" s="4353"/>
      <c r="CG15" s="763">
        <f>BL15*(1-0.01)*(1+0.04)*(1+0)</f>
        <v>534.20916733408228</v>
      </c>
      <c r="CH15" s="723">
        <f>SUM(CG15*BE56)</f>
        <v>315.18340872710854</v>
      </c>
      <c r="CI15" s="723">
        <f>CG15*AV57</f>
        <v>219.02575860697371</v>
      </c>
      <c r="CJ15" s="2767">
        <f t="shared" si="19"/>
        <v>1.1021894184494561</v>
      </c>
      <c r="CK15" s="2767">
        <f t="shared" si="20"/>
        <v>1.1021894184494558</v>
      </c>
      <c r="CL15" s="2770"/>
    </row>
    <row r="16" spans="1:90" ht="15">
      <c r="A16" s="721" t="s">
        <v>75</v>
      </c>
      <c r="B16" s="704">
        <v>44.6</v>
      </c>
      <c r="C16" s="2714">
        <v>51.8</v>
      </c>
      <c r="D16" s="605">
        <f t="shared" si="31"/>
        <v>116.14349775784751</v>
      </c>
      <c r="E16" s="2714">
        <v>70</v>
      </c>
      <c r="F16" s="605">
        <f>E16/C16*100</f>
        <v>135.13513513513513</v>
      </c>
      <c r="G16" s="182">
        <v>78.5</v>
      </c>
      <c r="H16" s="605">
        <f t="shared" si="32"/>
        <v>112.14285714285714</v>
      </c>
      <c r="I16" s="186">
        <v>73.900000000000006</v>
      </c>
      <c r="J16" s="186">
        <v>49.3</v>
      </c>
      <c r="K16" s="186">
        <f>J16/9*12</f>
        <v>65.733333333333334</v>
      </c>
      <c r="L16" s="186">
        <v>82</v>
      </c>
      <c r="M16" s="607">
        <f t="shared" si="33"/>
        <v>83.736730360934189</v>
      </c>
      <c r="N16" s="186">
        <v>68.954266666666669</v>
      </c>
      <c r="O16" s="186">
        <v>53.5</v>
      </c>
      <c r="P16" s="186">
        <v>54.917679999999997</v>
      </c>
      <c r="Q16" s="691">
        <v>87.8</v>
      </c>
      <c r="R16" s="699">
        <v>94.6</v>
      </c>
      <c r="S16" s="688">
        <f>P16/9*12*1.073</f>
        <v>78.568894186666668</v>
      </c>
      <c r="T16" s="684">
        <f>S16/N16</f>
        <v>1.1394348455111309</v>
      </c>
      <c r="U16" s="722" t="e">
        <f>R16*#REF!</f>
        <v>#REF!</v>
      </c>
      <c r="V16" s="722" t="e">
        <f>R16*#REF!</f>
        <v>#REF!</v>
      </c>
      <c r="W16" s="722">
        <f t="shared" si="34"/>
        <v>44.861193921699339</v>
      </c>
      <c r="X16" s="722">
        <f t="shared" si="35"/>
        <v>31.863964787647053</v>
      </c>
      <c r="Y16" s="722">
        <v>57.93</v>
      </c>
      <c r="Z16" s="722">
        <v>59.6</v>
      </c>
      <c r="AA16" s="725">
        <v>94.03</v>
      </c>
      <c r="AB16" s="695">
        <v>93.9</v>
      </c>
      <c r="AC16" s="688">
        <f>AB16</f>
        <v>93.9</v>
      </c>
      <c r="AD16" s="722">
        <f t="shared" si="36"/>
        <v>55.588723045389983</v>
      </c>
      <c r="AE16" s="722">
        <f t="shared" si="37"/>
        <v>37.560060594181117</v>
      </c>
      <c r="AF16" s="2765">
        <f t="shared" si="0"/>
        <v>1.2391271427687469</v>
      </c>
      <c r="AG16" s="2765">
        <f t="shared" si="1"/>
        <v>1.1787629331282186</v>
      </c>
      <c r="AH16" s="722">
        <v>54.59</v>
      </c>
      <c r="AI16" s="2625">
        <v>56.06</v>
      </c>
      <c r="AJ16" s="2625">
        <f t="shared" ref="AJ16:AJ48" si="46">SUM(AK16:AL16)</f>
        <v>91.5</v>
      </c>
      <c r="AK16" s="2625">
        <v>53.82</v>
      </c>
      <c r="AL16" s="2626">
        <v>37.68</v>
      </c>
      <c r="AM16" s="698">
        <f>SUM(AA16*1.15)</f>
        <v>108.13449999999999</v>
      </c>
      <c r="AN16" s="722">
        <f>AM16*AI56</f>
        <v>64.448161999999996</v>
      </c>
      <c r="AO16" s="722">
        <f>AM16*AI57</f>
        <v>43.686337999999999</v>
      </c>
      <c r="AP16" s="2765">
        <f t="shared" si="2"/>
        <v>1.159374752094521</v>
      </c>
      <c r="AQ16" s="2766">
        <f t="shared" si="3"/>
        <v>1.1631061640717368</v>
      </c>
      <c r="AR16" s="2121">
        <f>AM16</f>
        <v>108.13449999999999</v>
      </c>
      <c r="AS16" s="2119">
        <f t="shared" si="38"/>
        <v>58.841926999786011</v>
      </c>
      <c r="AT16" s="2119">
        <f t="shared" si="39"/>
        <v>48.709847261334481</v>
      </c>
      <c r="AU16" s="2767">
        <f t="shared" si="11"/>
        <v>1.0585227322408481</v>
      </c>
      <c r="AV16" s="2767">
        <f t="shared" si="12"/>
        <v>1.296852201268299</v>
      </c>
      <c r="AW16" s="2768"/>
      <c r="AX16" s="2787">
        <f t="shared" ref="AX16:AX48" si="47">SUM(AY16:AZ16)</f>
        <v>57.44</v>
      </c>
      <c r="AY16" s="2788">
        <v>33.28</v>
      </c>
      <c r="AZ16" s="2788">
        <v>24.16</v>
      </c>
      <c r="BA16" s="2788">
        <f t="shared" ref="BA16:BA48" si="48">SUM(BB16:BC16)</f>
        <v>60.78</v>
      </c>
      <c r="BB16" s="2788">
        <v>35.11</v>
      </c>
      <c r="BC16" s="2788">
        <v>25.67</v>
      </c>
      <c r="BD16" s="3592">
        <v>103.76</v>
      </c>
      <c r="BE16" s="723">
        <f>SUM(BD16*AV56)</f>
        <v>61.218400000000003</v>
      </c>
      <c r="BF16" s="723">
        <f>SUM(BD16*AV57)</f>
        <v>42.541600000000003</v>
      </c>
      <c r="BG16" s="698">
        <f>SUM(AR16*1.1)</f>
        <v>118.94794999999999</v>
      </c>
      <c r="BH16" s="685">
        <f>SUM(BG16*AQ56)</f>
        <v>70.179290499999993</v>
      </c>
      <c r="BI16" s="685">
        <f>SUM(BG16*AQ57)</f>
        <v>48.768659499999991</v>
      </c>
      <c r="BJ16" s="2765">
        <f t="shared" si="21"/>
        <v>1.1926749186894443</v>
      </c>
      <c r="BK16" s="2766">
        <f t="shared" si="22"/>
        <v>1.0012073993652655</v>
      </c>
      <c r="BL16" s="3795">
        <f>SUM(BM16:BN16)</f>
        <v>111.75999999999999</v>
      </c>
      <c r="BM16" s="3796">
        <v>61.15</v>
      </c>
      <c r="BN16" s="3796">
        <v>50.61</v>
      </c>
      <c r="BO16" s="3797">
        <f t="shared" si="13"/>
        <v>1.0392249730404373</v>
      </c>
      <c r="BP16" s="4070">
        <f t="shared" si="14"/>
        <v>1.0390096221914011</v>
      </c>
      <c r="BQ16" s="4383">
        <f t="shared" si="43"/>
        <v>65.84</v>
      </c>
      <c r="BR16" s="4493">
        <v>38.049999999999997</v>
      </c>
      <c r="BS16" s="4493">
        <v>27.79</v>
      </c>
      <c r="BT16" s="4492">
        <f t="shared" si="44"/>
        <v>69.45</v>
      </c>
      <c r="BU16" s="4385">
        <v>40.19</v>
      </c>
      <c r="BV16" s="4385">
        <v>29.26</v>
      </c>
      <c r="BW16" s="4367">
        <f t="shared" ref="BW16:BW48" si="49">SUM(BX16:BY16)</f>
        <v>73.06</v>
      </c>
      <c r="BX16" s="4369">
        <f t="shared" si="45"/>
        <v>42.33</v>
      </c>
      <c r="BY16" s="4370">
        <f t="shared" si="45"/>
        <v>30.730000000000004</v>
      </c>
      <c r="BZ16" s="4352"/>
      <c r="CA16" s="3795">
        <f>SUM(BL16*1.1)</f>
        <v>122.93599999999999</v>
      </c>
      <c r="CB16" s="2119">
        <f>CA16*AV56</f>
        <v>72.532239999999987</v>
      </c>
      <c r="CC16" s="2119">
        <f>CA16*AV57</f>
        <v>50.403759999999991</v>
      </c>
      <c r="CD16" s="2767">
        <f t="shared" si="17"/>
        <v>2.1794543269230764</v>
      </c>
      <c r="CE16" s="4069">
        <f t="shared" si="18"/>
        <v>2.0862483443708606</v>
      </c>
      <c r="CF16" s="4352"/>
      <c r="CG16" s="3795">
        <f>SUM(CH16)</f>
        <v>65.956000000000003</v>
      </c>
      <c r="CH16" s="4596">
        <v>65.956000000000003</v>
      </c>
      <c r="CI16" s="4596">
        <v>0</v>
      </c>
      <c r="CJ16" s="2767">
        <f t="shared" si="19"/>
        <v>1.0773884975758923</v>
      </c>
      <c r="CK16" s="2767">
        <f t="shared" si="20"/>
        <v>0</v>
      </c>
      <c r="CL16" s="2768"/>
    </row>
    <row r="17" spans="1:92" ht="38.25">
      <c r="A17" s="721" t="s">
        <v>33</v>
      </c>
      <c r="B17" s="704">
        <v>190.4</v>
      </c>
      <c r="C17" s="2714">
        <v>231.2</v>
      </c>
      <c r="D17" s="605">
        <f t="shared" si="31"/>
        <v>121.42857142857142</v>
      </c>
      <c r="E17" s="2714">
        <v>260.8</v>
      </c>
      <c r="F17" s="605">
        <f>E17/C17*100</f>
        <v>112.80276816608999</v>
      </c>
      <c r="G17" s="182">
        <v>260</v>
      </c>
      <c r="H17" s="605">
        <f t="shared" si="32"/>
        <v>99.693251533742327</v>
      </c>
      <c r="I17" s="186">
        <v>267.8</v>
      </c>
      <c r="J17" s="186">
        <v>218.7</v>
      </c>
      <c r="K17" s="186">
        <f>J17/9*12</f>
        <v>291.59999999999997</v>
      </c>
      <c r="L17" s="186">
        <v>292.10000000000002</v>
      </c>
      <c r="M17" s="607">
        <f t="shared" si="33"/>
        <v>112.15384615384613</v>
      </c>
      <c r="N17" s="186">
        <v>293.7</v>
      </c>
      <c r="O17" s="186">
        <v>149</v>
      </c>
      <c r="P17" s="186">
        <v>215.84181000000001</v>
      </c>
      <c r="Q17" s="691">
        <v>284.7</v>
      </c>
      <c r="R17" s="699">
        <v>330.84</v>
      </c>
      <c r="S17" s="688">
        <f>P17/9*12*1.048</f>
        <v>301.60295584000005</v>
      </c>
      <c r="T17" s="684">
        <f>S17/N17</f>
        <v>1.0269082595846104</v>
      </c>
      <c r="U17" s="722" t="e">
        <f>R17*#REF!</f>
        <v>#REF!</v>
      </c>
      <c r="V17" s="722" t="e">
        <f>R17*#REF!</f>
        <v>#REF!</v>
      </c>
      <c r="W17" s="722">
        <f t="shared" si="34"/>
        <v>172.20897442122947</v>
      </c>
      <c r="X17" s="722">
        <f t="shared" si="35"/>
        <v>122.31642132958663</v>
      </c>
      <c r="Y17" s="722">
        <v>125.67</v>
      </c>
      <c r="Z17" s="722">
        <v>186.94</v>
      </c>
      <c r="AA17" s="725">
        <v>248.97</v>
      </c>
      <c r="AB17" s="695">
        <v>318.5</v>
      </c>
      <c r="AC17" s="688">
        <f>AB17</f>
        <v>318.5</v>
      </c>
      <c r="AD17" s="722">
        <f t="shared" si="36"/>
        <v>188.55173897717475</v>
      </c>
      <c r="AE17" s="722">
        <f t="shared" si="37"/>
        <v>127.40020552978366</v>
      </c>
      <c r="AF17" s="2765">
        <f t="shared" si="0"/>
        <v>1.0949007716402182</v>
      </c>
      <c r="AG17" s="2765">
        <f t="shared" si="1"/>
        <v>1.0415625649028641</v>
      </c>
      <c r="AH17" s="722">
        <v>117.99</v>
      </c>
      <c r="AI17" s="2625">
        <v>174.17</v>
      </c>
      <c r="AJ17" s="2625">
        <f t="shared" si="46"/>
        <v>230.57</v>
      </c>
      <c r="AK17" s="2625">
        <v>135.76</v>
      </c>
      <c r="AL17" s="2626">
        <v>94.81</v>
      </c>
      <c r="AM17" s="698">
        <f t="shared" ref="AM17:AM22" si="50">SUM(AA17*1.1)</f>
        <v>273.86700000000002</v>
      </c>
      <c r="AN17" s="722">
        <f>AM17*AI56</f>
        <v>163.22473200000002</v>
      </c>
      <c r="AO17" s="722">
        <f>AM17*AI57</f>
        <v>110.64226800000002</v>
      </c>
      <c r="AP17" s="2765">
        <f t="shared" si="2"/>
        <v>0.86567608914898042</v>
      </c>
      <c r="AQ17" s="2766">
        <f t="shared" si="3"/>
        <v>0.8684622410136853</v>
      </c>
      <c r="AR17" s="2121">
        <f>AH17*2*1.062</f>
        <v>250.61076</v>
      </c>
      <c r="AS17" s="2119">
        <f t="shared" si="38"/>
        <v>136.3710938255681</v>
      </c>
      <c r="AT17" s="2119">
        <f t="shared" si="39"/>
        <v>112.8891504713755</v>
      </c>
      <c r="AU17" s="2767">
        <f t="shared" si="11"/>
        <v>0.72325556139302738</v>
      </c>
      <c r="AV17" s="2767">
        <f t="shared" si="12"/>
        <v>0.88609865268219079</v>
      </c>
      <c r="AW17" s="2770" t="s">
        <v>1506</v>
      </c>
      <c r="AX17" s="2787">
        <f t="shared" si="47"/>
        <v>117.03</v>
      </c>
      <c r="AY17" s="2788">
        <v>67.930000000000007</v>
      </c>
      <c r="AZ17" s="2788">
        <v>49.1</v>
      </c>
      <c r="BA17" s="2788">
        <f t="shared" si="48"/>
        <v>174.32</v>
      </c>
      <c r="BB17" s="2788">
        <v>100.55</v>
      </c>
      <c r="BC17" s="2788">
        <v>73.77</v>
      </c>
      <c r="BD17" s="3592">
        <v>240.87</v>
      </c>
      <c r="BE17" s="723">
        <f>SUM(BD17*AV56)</f>
        <v>142.11329999999998</v>
      </c>
      <c r="BF17" s="723">
        <f>SUM(BD17*AV57)</f>
        <v>98.756699999999995</v>
      </c>
      <c r="BG17" s="698">
        <f>SUM(AR17*1.1)</f>
        <v>275.67183600000004</v>
      </c>
      <c r="BH17" s="685">
        <f>SUM(BG17*AQ56)</f>
        <v>162.64638324000001</v>
      </c>
      <c r="BI17" s="685">
        <f>SUM(BG17*AQ57)</f>
        <v>113.02545276000001</v>
      </c>
      <c r="BJ17" s="2765">
        <f t="shared" si="21"/>
        <v>1.1926749186894443</v>
      </c>
      <c r="BK17" s="2766">
        <f t="shared" si="22"/>
        <v>1.0012073993652655</v>
      </c>
      <c r="BL17" s="763">
        <f t="shared" si="40"/>
        <v>265.7200827204</v>
      </c>
      <c r="BM17" s="2119">
        <f t="shared" si="41"/>
        <v>144.59290707231159</v>
      </c>
      <c r="BN17" s="2119">
        <f t="shared" si="42"/>
        <v>119.69523735329473</v>
      </c>
      <c r="BO17" s="2767">
        <f t="shared" si="13"/>
        <v>1.06029</v>
      </c>
      <c r="BP17" s="4069">
        <f t="shared" si="14"/>
        <v>1.06029</v>
      </c>
      <c r="BQ17" s="4383">
        <f t="shared" si="43"/>
        <v>118.97999999999999</v>
      </c>
      <c r="BR17" s="4493">
        <v>69.36</v>
      </c>
      <c r="BS17" s="4493">
        <v>49.62</v>
      </c>
      <c r="BT17" s="4492">
        <f t="shared" si="44"/>
        <v>181.51</v>
      </c>
      <c r="BU17" s="4385">
        <v>105.57</v>
      </c>
      <c r="BV17" s="4385">
        <v>75.94</v>
      </c>
      <c r="BW17" s="4367">
        <f t="shared" si="49"/>
        <v>244.03999999999996</v>
      </c>
      <c r="BX17" s="4369">
        <f t="shared" si="45"/>
        <v>141.77999999999997</v>
      </c>
      <c r="BY17" s="4370">
        <f t="shared" si="45"/>
        <v>102.25999999999999</v>
      </c>
      <c r="BZ17" s="4353"/>
      <c r="CA17" s="763">
        <f>BL17*(1-0.01)*(1+0.058)*(1+0)</f>
        <v>278.32052904300139</v>
      </c>
      <c r="CB17" s="2119">
        <f>CA17*AV56</f>
        <v>164.20911213537082</v>
      </c>
      <c r="CC17" s="2119">
        <f>CA17*AV57</f>
        <v>114.11141690763056</v>
      </c>
      <c r="CD17" s="2767">
        <f t="shared" si="17"/>
        <v>2.4173283105457206</v>
      </c>
      <c r="CE17" s="4069">
        <f t="shared" si="18"/>
        <v>2.3240614441472616</v>
      </c>
      <c r="CF17" s="4353"/>
      <c r="CG17" s="763">
        <f t="shared" ref="CG17:CG48" si="51">BL17*(1-0.01)*(1+0.04)*(1+0)</f>
        <v>273.58539716892386</v>
      </c>
      <c r="CH17" s="723">
        <f>SUM(CG17*BE56)</f>
        <v>161.41538432966507</v>
      </c>
      <c r="CI17" s="723">
        <f>CG17*AV57</f>
        <v>112.17001283925877</v>
      </c>
      <c r="CJ17" s="2767">
        <f t="shared" si="19"/>
        <v>1.1358218008424623</v>
      </c>
      <c r="CK17" s="2767">
        <f t="shared" si="20"/>
        <v>1.1358218008424621</v>
      </c>
      <c r="CL17" s="2770"/>
    </row>
    <row r="18" spans="1:92" ht="25.5">
      <c r="A18" s="721" t="s">
        <v>34</v>
      </c>
      <c r="B18" s="704">
        <v>36</v>
      </c>
      <c r="C18" s="2714">
        <v>59.4</v>
      </c>
      <c r="D18" s="605">
        <f t="shared" si="31"/>
        <v>165</v>
      </c>
      <c r="E18" s="2714">
        <v>28.1</v>
      </c>
      <c r="F18" s="605">
        <f>E18/C18*100</f>
        <v>47.306397306397308</v>
      </c>
      <c r="G18" s="182">
        <v>89.5</v>
      </c>
      <c r="H18" s="605">
        <f t="shared" si="32"/>
        <v>318.5053380782918</v>
      </c>
      <c r="I18" s="186">
        <v>48.5</v>
      </c>
      <c r="J18" s="186">
        <v>60.2</v>
      </c>
      <c r="K18" s="186">
        <v>60.2</v>
      </c>
      <c r="L18" s="186">
        <v>82.6</v>
      </c>
      <c r="M18" s="607">
        <f t="shared" si="33"/>
        <v>67.262569832402235</v>
      </c>
      <c r="N18" s="186">
        <v>53.4</v>
      </c>
      <c r="O18" s="186">
        <v>57.2</v>
      </c>
      <c r="P18" s="186">
        <v>72.839410000000001</v>
      </c>
      <c r="Q18" s="691">
        <v>111.2</v>
      </c>
      <c r="R18" s="699">
        <v>93.73</v>
      </c>
      <c r="S18" s="688">
        <f>R18</f>
        <v>93.73</v>
      </c>
      <c r="T18" s="684">
        <f>S18/N18</f>
        <v>1.755243445692884</v>
      </c>
      <c r="U18" s="722" t="e">
        <f>R18*#REF!</f>
        <v>#REF!</v>
      </c>
      <c r="V18" s="722" t="e">
        <f>R18*#REF!</f>
        <v>#REF!</v>
      </c>
      <c r="W18" s="722">
        <f t="shared" si="34"/>
        <v>53.517867978272385</v>
      </c>
      <c r="X18" s="722">
        <f t="shared" si="35"/>
        <v>38.012618740063587</v>
      </c>
      <c r="Y18" s="722">
        <v>27.94</v>
      </c>
      <c r="Z18" s="722">
        <v>42.12</v>
      </c>
      <c r="AA18" s="725">
        <v>111.36</v>
      </c>
      <c r="AB18" s="695">
        <v>97.9</v>
      </c>
      <c r="AC18" s="688">
        <f>AB18</f>
        <v>97.9</v>
      </c>
      <c r="AD18" s="722">
        <f t="shared" si="36"/>
        <v>57.956719767238333</v>
      </c>
      <c r="AE18" s="722">
        <f t="shared" si="37"/>
        <v>39.16006317540289</v>
      </c>
      <c r="AF18" s="2765">
        <f t="shared" si="0"/>
        <v>1.0829414914429714</v>
      </c>
      <c r="AG18" s="2765">
        <f t="shared" si="1"/>
        <v>1.0301858823036032</v>
      </c>
      <c r="AH18" s="722">
        <v>23.89</v>
      </c>
      <c r="AI18" s="2625">
        <v>48.14</v>
      </c>
      <c r="AJ18" s="2625">
        <f t="shared" si="46"/>
        <v>90.93</v>
      </c>
      <c r="AK18" s="2625">
        <v>53.22</v>
      </c>
      <c r="AL18" s="2626">
        <v>37.71</v>
      </c>
      <c r="AM18" s="698">
        <f t="shared" si="50"/>
        <v>122.49600000000001</v>
      </c>
      <c r="AN18" s="722">
        <f>AM18*AI56</f>
        <v>73.007615999999999</v>
      </c>
      <c r="AO18" s="722">
        <f>AM18*AI57</f>
        <v>49.488384000000003</v>
      </c>
      <c r="AP18" s="2765">
        <f t="shared" si="2"/>
        <v>1.2596919959101898</v>
      </c>
      <c r="AQ18" s="2766">
        <f t="shared" si="3"/>
        <v>1.2637462758508651</v>
      </c>
      <c r="AR18" s="2121">
        <f>AI18/3*4*1.062</f>
        <v>68.166240000000002</v>
      </c>
      <c r="AS18" s="2119">
        <f t="shared" si="38"/>
        <v>37.092999162430985</v>
      </c>
      <c r="AT18" s="2119">
        <f t="shared" si="39"/>
        <v>30.705899955883361</v>
      </c>
      <c r="AU18" s="2767">
        <f t="shared" si="11"/>
        <v>0.6400120522935262</v>
      </c>
      <c r="AV18" s="2767">
        <f t="shared" si="12"/>
        <v>0.78411262561931372</v>
      </c>
      <c r="AW18" s="2770" t="s">
        <v>1508</v>
      </c>
      <c r="AX18" s="2787">
        <f t="shared" si="47"/>
        <v>73.22</v>
      </c>
      <c r="AY18" s="2788">
        <v>42.54</v>
      </c>
      <c r="AZ18" s="2788">
        <v>30.68</v>
      </c>
      <c r="BA18" s="2788">
        <f t="shared" si="48"/>
        <v>148.93</v>
      </c>
      <c r="BB18" s="2788">
        <v>84.9</v>
      </c>
      <c r="BC18" s="2788">
        <v>64.03</v>
      </c>
      <c r="BD18" s="3592">
        <v>225.19</v>
      </c>
      <c r="BE18" s="723">
        <f>SUM(BD18*AV56)</f>
        <v>132.8621</v>
      </c>
      <c r="BF18" s="723">
        <f>SUM(BD18*AV57)</f>
        <v>92.3279</v>
      </c>
      <c r="BG18" s="698">
        <f>SUM(AJ18*1.074*1.1)</f>
        <v>107.42470200000002</v>
      </c>
      <c r="BH18" s="685">
        <f>SUM(BG18*AQ56)</f>
        <v>63.380574180000011</v>
      </c>
      <c r="BI18" s="685">
        <f>SUM(BG18*AQ57)</f>
        <v>44.044127820000007</v>
      </c>
      <c r="BJ18" s="2765">
        <f t="shared" si="21"/>
        <v>1.7086937053122939</v>
      </c>
      <c r="BK18" s="2766">
        <f t="shared" si="22"/>
        <v>1.4343864821835646</v>
      </c>
      <c r="BL18" s="763">
        <f t="shared" si="40"/>
        <v>72.275982609599993</v>
      </c>
      <c r="BM18" s="2119">
        <f t="shared" si="41"/>
        <v>39.329336081933945</v>
      </c>
      <c r="BN18" s="2119">
        <f t="shared" si="42"/>
        <v>32.557158664223564</v>
      </c>
      <c r="BO18" s="2767">
        <f t="shared" si="13"/>
        <v>1.06029</v>
      </c>
      <c r="BP18" s="4069">
        <f t="shared" si="14"/>
        <v>1.06029</v>
      </c>
      <c r="BQ18" s="4383">
        <f t="shared" si="43"/>
        <v>187.2</v>
      </c>
      <c r="BR18" s="4493">
        <v>110.08</v>
      </c>
      <c r="BS18" s="4493">
        <v>77.12</v>
      </c>
      <c r="BT18" s="4492">
        <f t="shared" si="44"/>
        <v>318.19</v>
      </c>
      <c r="BU18" s="4385">
        <v>186.24</v>
      </c>
      <c r="BV18" s="4385">
        <v>131.94999999999999</v>
      </c>
      <c r="BW18" s="4367">
        <f t="shared" si="49"/>
        <v>449.18</v>
      </c>
      <c r="BX18" s="4369">
        <f t="shared" si="45"/>
        <v>262.40000000000003</v>
      </c>
      <c r="BY18" s="4370">
        <f t="shared" si="45"/>
        <v>186.77999999999997</v>
      </c>
      <c r="BZ18" s="4353"/>
      <c r="CA18" s="763">
        <f t="shared" ref="CA18:CA48" si="52">BL18*(1-0.01)*(1+0.058)*(1+0)</f>
        <v>75.70330970494723</v>
      </c>
      <c r="CB18" s="2119">
        <f>CA18*AV56</f>
        <v>44.664952725918866</v>
      </c>
      <c r="CC18" s="2119">
        <f>CA18*AV57</f>
        <v>31.038356979028361</v>
      </c>
      <c r="CD18" s="2767">
        <f t="shared" si="17"/>
        <v>1.0499518741400768</v>
      </c>
      <c r="CE18" s="4069">
        <f t="shared" si="18"/>
        <v>1.0116804751964916</v>
      </c>
      <c r="CF18" s="4353"/>
      <c r="CG18" s="763">
        <f t="shared" si="51"/>
        <v>74.415351694844162</v>
      </c>
      <c r="CH18" s="723">
        <f>SUM(CG18*BE56)</f>
        <v>43.905057499958055</v>
      </c>
      <c r="CI18" s="723">
        <f>CG18*AV57</f>
        <v>30.510294194886104</v>
      </c>
      <c r="CJ18" s="2767">
        <f t="shared" si="19"/>
        <v>0.33045584481923779</v>
      </c>
      <c r="CK18" s="2767">
        <f t="shared" si="20"/>
        <v>0.33045584481923779</v>
      </c>
      <c r="CL18" s="2770"/>
    </row>
    <row r="19" spans="1:92" ht="15">
      <c r="A19" s="721" t="s">
        <v>9</v>
      </c>
      <c r="B19" s="704">
        <v>154.6</v>
      </c>
      <c r="C19" s="2714"/>
      <c r="D19" s="605">
        <f t="shared" si="31"/>
        <v>0</v>
      </c>
      <c r="E19" s="2714">
        <v>191.2</v>
      </c>
      <c r="F19" s="605"/>
      <c r="G19" s="182">
        <v>6.6</v>
      </c>
      <c r="H19" s="605">
        <f t="shared" si="32"/>
        <v>3.4518828451882846</v>
      </c>
      <c r="I19" s="186">
        <f>C19*1.03</f>
        <v>0</v>
      </c>
      <c r="J19" s="186">
        <v>2</v>
      </c>
      <c r="K19" s="186">
        <v>30</v>
      </c>
      <c r="L19" s="186">
        <v>29.2</v>
      </c>
      <c r="M19" s="607">
        <f t="shared" si="33"/>
        <v>454.54545454545456</v>
      </c>
      <c r="N19" s="186">
        <v>0</v>
      </c>
      <c r="O19" s="186">
        <v>0.3</v>
      </c>
      <c r="P19" s="186">
        <v>0.57765</v>
      </c>
      <c r="Q19" s="691">
        <v>0.6</v>
      </c>
      <c r="R19" s="699">
        <v>30.08</v>
      </c>
      <c r="S19" s="688">
        <f>P19/9*12*1.048</f>
        <v>0.80716960000000004</v>
      </c>
      <c r="T19" s="684"/>
      <c r="U19" s="722" t="e">
        <f>R19*#REF!</f>
        <v>#REF!</v>
      </c>
      <c r="V19" s="722" t="e">
        <f>R19*#REF!</f>
        <v>#REF!</v>
      </c>
      <c r="W19" s="722">
        <f t="shared" si="34"/>
        <v>0.46087694536300999</v>
      </c>
      <c r="X19" s="722">
        <f t="shared" si="35"/>
        <v>0.32735122440381553</v>
      </c>
      <c r="Y19" s="722"/>
      <c r="Z19" s="722"/>
      <c r="AA19" s="725">
        <v>19.600000000000001</v>
      </c>
      <c r="AB19" s="695">
        <v>1</v>
      </c>
      <c r="AC19" s="688">
        <v>0</v>
      </c>
      <c r="AD19" s="722">
        <f t="shared" si="36"/>
        <v>0</v>
      </c>
      <c r="AE19" s="722">
        <f t="shared" si="37"/>
        <v>0</v>
      </c>
      <c r="AF19" s="2765">
        <f t="shared" si="0"/>
        <v>0</v>
      </c>
      <c r="AG19" s="2765">
        <f t="shared" si="1"/>
        <v>0</v>
      </c>
      <c r="AH19" s="722">
        <v>0</v>
      </c>
      <c r="AI19" s="2625">
        <v>0</v>
      </c>
      <c r="AJ19" s="2625">
        <f t="shared" si="46"/>
        <v>2.5700000000000003</v>
      </c>
      <c r="AK19" s="2625">
        <v>1.48</v>
      </c>
      <c r="AL19" s="2626">
        <v>1.0900000000000001</v>
      </c>
      <c r="AM19" s="698">
        <f t="shared" si="50"/>
        <v>21.560000000000002</v>
      </c>
      <c r="AN19" s="722">
        <f>AM19*AI56</f>
        <v>12.849760000000002</v>
      </c>
      <c r="AO19" s="722">
        <f>AM19*AI57</f>
        <v>8.7102400000000006</v>
      </c>
      <c r="AP19" s="2765"/>
      <c r="AQ19" s="2766"/>
      <c r="AR19" s="2121">
        <f>AH19*2*1.071</f>
        <v>0</v>
      </c>
      <c r="AS19" s="2119">
        <f t="shared" si="38"/>
        <v>0</v>
      </c>
      <c r="AT19" s="2119">
        <f t="shared" si="39"/>
        <v>0</v>
      </c>
      <c r="AU19" s="2767"/>
      <c r="AV19" s="2767"/>
      <c r="AW19" s="2768"/>
      <c r="AX19" s="2787">
        <f t="shared" si="47"/>
        <v>0.41000000000000003</v>
      </c>
      <c r="AY19" s="2788">
        <v>0.24</v>
      </c>
      <c r="AZ19" s="2788">
        <v>0.17</v>
      </c>
      <c r="BA19" s="2788">
        <f t="shared" si="48"/>
        <v>0.41000000000000003</v>
      </c>
      <c r="BB19" s="2788">
        <v>0.24</v>
      </c>
      <c r="BC19" s="2788">
        <v>0.17</v>
      </c>
      <c r="BD19" s="3592">
        <v>2.2200000000000002</v>
      </c>
      <c r="BE19" s="723">
        <f>SUM(BD19*AV56)</f>
        <v>1.3098000000000001</v>
      </c>
      <c r="BF19" s="723">
        <f>SUM(BD19*AV57)</f>
        <v>0.91020000000000001</v>
      </c>
      <c r="BG19" s="698">
        <f>SUM(AJ19*1.074*1.1)</f>
        <v>3.0361980000000006</v>
      </c>
      <c r="BH19" s="685">
        <f>SUM(BG19*AQ56)</f>
        <v>1.7913568200000003</v>
      </c>
      <c r="BI19" s="685">
        <f>SUM(BG19*AQ57)</f>
        <v>1.2448411800000001</v>
      </c>
      <c r="BJ19" s="2765" t="e">
        <f t="shared" si="21"/>
        <v>#DIV/0!</v>
      </c>
      <c r="BK19" s="2766" t="e">
        <f t="shared" si="22"/>
        <v>#DIV/0!</v>
      </c>
      <c r="BL19" s="763">
        <f t="shared" si="40"/>
        <v>0</v>
      </c>
      <c r="BM19" s="2119">
        <f t="shared" si="41"/>
        <v>0</v>
      </c>
      <c r="BN19" s="2119">
        <f t="shared" si="42"/>
        <v>0</v>
      </c>
      <c r="BO19" s="2767"/>
      <c r="BP19" s="4069"/>
      <c r="BQ19" s="4383">
        <f t="shared" si="43"/>
        <v>0.92999999999999994</v>
      </c>
      <c r="BR19" s="4493">
        <v>0.52</v>
      </c>
      <c r="BS19" s="4493">
        <v>0.41</v>
      </c>
      <c r="BT19" s="4492">
        <f t="shared" si="44"/>
        <v>52.3</v>
      </c>
      <c r="BU19" s="4385">
        <f>30.39+0.57+7.93</f>
        <v>38.89</v>
      </c>
      <c r="BV19" s="4385">
        <f>20.88+0.39-7.86</f>
        <v>13.41</v>
      </c>
      <c r="BW19" s="4367">
        <f t="shared" si="49"/>
        <v>103.66999999999999</v>
      </c>
      <c r="BX19" s="4369">
        <f t="shared" si="45"/>
        <v>77.259999999999991</v>
      </c>
      <c r="BY19" s="4370">
        <f t="shared" si="45"/>
        <v>26.41</v>
      </c>
      <c r="BZ19" s="4352"/>
      <c r="CA19" s="763">
        <f t="shared" si="52"/>
        <v>0</v>
      </c>
      <c r="CB19" s="2119">
        <f>CA19*AV56</f>
        <v>0</v>
      </c>
      <c r="CC19" s="2119">
        <f>CA19*AV57</f>
        <v>0</v>
      </c>
      <c r="CD19" s="2767"/>
      <c r="CE19" s="4069"/>
      <c r="CF19" s="4352"/>
      <c r="CG19" s="763">
        <f t="shared" si="51"/>
        <v>0</v>
      </c>
      <c r="CH19" s="723">
        <f>SUM(CG19*BE56)</f>
        <v>0</v>
      </c>
      <c r="CI19" s="723">
        <f>CG19*AV57</f>
        <v>0</v>
      </c>
      <c r="CJ19" s="2767"/>
      <c r="CK19" s="2767"/>
      <c r="CL19" s="2768"/>
    </row>
    <row r="20" spans="1:92" ht="15">
      <c r="A20" s="721" t="s">
        <v>1</v>
      </c>
      <c r="B20" s="704">
        <v>121.5</v>
      </c>
      <c r="C20" s="2714">
        <v>143.30000000000001</v>
      </c>
      <c r="D20" s="605">
        <f t="shared" si="31"/>
        <v>117.94238683127574</v>
      </c>
      <c r="E20" s="2714">
        <v>133</v>
      </c>
      <c r="F20" s="605">
        <f>E20/C20*100</f>
        <v>92.8122819260293</v>
      </c>
      <c r="G20" s="182">
        <v>159.6</v>
      </c>
      <c r="H20" s="605">
        <f t="shared" si="32"/>
        <v>120</v>
      </c>
      <c r="I20" s="186">
        <v>164.8</v>
      </c>
      <c r="J20" s="186">
        <v>96</v>
      </c>
      <c r="K20" s="186">
        <f>J20/9*12</f>
        <v>128</v>
      </c>
      <c r="L20" s="186">
        <v>138.1</v>
      </c>
      <c r="M20" s="607">
        <f t="shared" si="33"/>
        <v>80.200501253132842</v>
      </c>
      <c r="N20" s="186">
        <v>135.68</v>
      </c>
      <c r="O20" s="186">
        <v>67</v>
      </c>
      <c r="P20" s="186">
        <v>102.06036</v>
      </c>
      <c r="Q20" s="691">
        <v>114.5</v>
      </c>
      <c r="R20" s="699">
        <v>164.3</v>
      </c>
      <c r="S20" s="688">
        <f>P20/9*12*1.073</f>
        <v>146.01435504</v>
      </c>
      <c r="T20" s="684">
        <f>S20/N20</f>
        <v>1.0761671214622641</v>
      </c>
      <c r="U20" s="722" t="e">
        <f>R20*#REF!</f>
        <v>#REF!</v>
      </c>
      <c r="V20" s="722" t="e">
        <f>R20*#REF!</f>
        <v>#REF!</v>
      </c>
      <c r="W20" s="722">
        <f t="shared" si="34"/>
        <v>83.371140253529404</v>
      </c>
      <c r="X20" s="722">
        <f t="shared" si="35"/>
        <v>59.216771670882338</v>
      </c>
      <c r="Y20" s="722"/>
      <c r="Z20" s="722"/>
      <c r="AA20" s="725">
        <v>6.61</v>
      </c>
      <c r="AB20" s="695">
        <v>156.9</v>
      </c>
      <c r="AC20" s="688">
        <v>0</v>
      </c>
      <c r="AD20" s="722">
        <f t="shared" si="36"/>
        <v>0</v>
      </c>
      <c r="AE20" s="722">
        <f t="shared" si="37"/>
        <v>0</v>
      </c>
      <c r="AF20" s="2765">
        <f t="shared" si="0"/>
        <v>0</v>
      </c>
      <c r="AG20" s="2765">
        <f t="shared" si="1"/>
        <v>0</v>
      </c>
      <c r="AH20" s="722">
        <v>66.040000000000006</v>
      </c>
      <c r="AI20" s="2625">
        <v>99.61</v>
      </c>
      <c r="AJ20" s="2625">
        <f t="shared" si="46"/>
        <v>136.57999999999998</v>
      </c>
      <c r="AK20" s="2625">
        <v>80.489999999999995</v>
      </c>
      <c r="AL20" s="2626">
        <v>56.09</v>
      </c>
      <c r="AM20" s="698">
        <f t="shared" si="50"/>
        <v>7.2710000000000008</v>
      </c>
      <c r="AN20" s="722">
        <f>AM20*AI56</f>
        <v>4.3335160000000004</v>
      </c>
      <c r="AO20" s="722">
        <f>AM20*AI57</f>
        <v>2.9374840000000004</v>
      </c>
      <c r="AP20" s="2765"/>
      <c r="AQ20" s="2766"/>
      <c r="AR20" s="2121">
        <f>AM20</f>
        <v>7.2710000000000008</v>
      </c>
      <c r="AS20" s="2119">
        <f t="shared" si="38"/>
        <v>3.9565508807590932</v>
      </c>
      <c r="AT20" s="2119">
        <f t="shared" si="39"/>
        <v>3.275266445372782</v>
      </c>
      <c r="AU20" s="2767"/>
      <c r="AV20" s="2767"/>
      <c r="AW20" s="2768"/>
      <c r="AX20" s="2787">
        <f t="shared" si="47"/>
        <v>31.799999999999997</v>
      </c>
      <c r="AY20" s="2788">
        <v>18.45</v>
      </c>
      <c r="AZ20" s="2788">
        <v>13.35</v>
      </c>
      <c r="BA20" s="2788">
        <f t="shared" si="48"/>
        <v>39.880000000000003</v>
      </c>
      <c r="BB20" s="2788">
        <v>23.1</v>
      </c>
      <c r="BC20" s="2788">
        <v>16.78</v>
      </c>
      <c r="BD20" s="3592">
        <v>39.950000000000003</v>
      </c>
      <c r="BE20" s="723">
        <f>SUM(BD20*AV56)</f>
        <v>23.570499999999999</v>
      </c>
      <c r="BF20" s="723">
        <f>SUM(BD20*AV57)</f>
        <v>16.3795</v>
      </c>
      <c r="BG20" s="698">
        <f>SUM(AJ20*1.074*1.1)</f>
        <v>161.35561200000001</v>
      </c>
      <c r="BH20" s="685">
        <f>SUM(BG20*AQ56)</f>
        <v>95.199811080000003</v>
      </c>
      <c r="BI20" s="685">
        <f>SUM(BG20*AQ57)</f>
        <v>66.155800920000004</v>
      </c>
      <c r="BJ20" s="2765">
        <f t="shared" si="21"/>
        <v>24.061313489726999</v>
      </c>
      <c r="BK20" s="2766">
        <f t="shared" si="22"/>
        <v>20.198601250735901</v>
      </c>
      <c r="BL20" s="3795">
        <f>SUM(BM20:BN20)</f>
        <v>7.73</v>
      </c>
      <c r="BM20" s="3796">
        <v>4.2300000000000004</v>
      </c>
      <c r="BN20" s="3796">
        <v>3.5</v>
      </c>
      <c r="BO20" s="3797">
        <f t="shared" ref="BO20" si="53">BM20/AS20</f>
        <v>1.0691130046047692</v>
      </c>
      <c r="BP20" s="4070">
        <f t="shared" ref="BP20" si="54">BN20/AT20</f>
        <v>1.0686153503464477</v>
      </c>
      <c r="BQ20" s="4383">
        <f t="shared" si="43"/>
        <v>0.19</v>
      </c>
      <c r="BR20" s="4493">
        <v>0.11</v>
      </c>
      <c r="BS20" s="4493">
        <v>0.08</v>
      </c>
      <c r="BT20" s="4492">
        <f t="shared" si="44"/>
        <v>1.22</v>
      </c>
      <c r="BU20" s="4385">
        <v>0.71</v>
      </c>
      <c r="BV20" s="4385">
        <v>0.51</v>
      </c>
      <c r="BW20" s="4367">
        <f t="shared" si="49"/>
        <v>2.25</v>
      </c>
      <c r="BX20" s="4369">
        <f t="shared" ref="BX20:BX25" si="55">SUM(BR20+((BU20-BR20)/3*6))</f>
        <v>1.31</v>
      </c>
      <c r="BY20" s="4370">
        <f t="shared" si="45"/>
        <v>0.94000000000000006</v>
      </c>
      <c r="BZ20" s="4352"/>
      <c r="CA20" s="763">
        <f>SUM(BL20*1.07)</f>
        <v>8.2711000000000006</v>
      </c>
      <c r="CB20" s="2119">
        <f>CA20*AV56</f>
        <v>4.8799489999999999</v>
      </c>
      <c r="CC20" s="2119">
        <f>CA20*AV57</f>
        <v>3.3911510000000002</v>
      </c>
      <c r="CD20" s="2767">
        <f>CB20/AY20</f>
        <v>0.26449588075880759</v>
      </c>
      <c r="CE20" s="4069">
        <f>CC20/AZ20</f>
        <v>0.25401880149812739</v>
      </c>
      <c r="CF20" s="4352"/>
      <c r="CG20" s="3795">
        <f>SUM(CH20)</f>
        <v>26.26</v>
      </c>
      <c r="CH20" s="4596">
        <v>26.26</v>
      </c>
      <c r="CI20" s="4596">
        <v>0</v>
      </c>
      <c r="CJ20" s="2767">
        <f>CH20/BE20</f>
        <v>1.1141044950255616</v>
      </c>
      <c r="CK20" s="2767">
        <f>CI20/BF20</f>
        <v>0</v>
      </c>
      <c r="CL20" s="2768"/>
    </row>
    <row r="21" spans="1:92" ht="15">
      <c r="A21" s="721" t="s">
        <v>35</v>
      </c>
      <c r="B21" s="704">
        <v>52.8</v>
      </c>
      <c r="C21" s="2714">
        <v>88.4</v>
      </c>
      <c r="D21" s="605">
        <f t="shared" si="31"/>
        <v>167.42424242424246</v>
      </c>
      <c r="E21" s="2714">
        <v>34.1</v>
      </c>
      <c r="F21" s="605">
        <f>E21/C21*100</f>
        <v>38.574660633484164</v>
      </c>
      <c r="G21" s="182">
        <v>140.9</v>
      </c>
      <c r="H21" s="605">
        <f t="shared" si="32"/>
        <v>413.19648093841641</v>
      </c>
      <c r="I21" s="186">
        <v>33.1</v>
      </c>
      <c r="J21" s="186">
        <v>12.2</v>
      </c>
      <c r="K21" s="186">
        <v>33.1</v>
      </c>
      <c r="L21" s="186">
        <v>12.1</v>
      </c>
      <c r="M21" s="607">
        <f t="shared" si="33"/>
        <v>23.491838183108587</v>
      </c>
      <c r="N21" s="186">
        <v>34.721899999999998</v>
      </c>
      <c r="O21" s="186">
        <v>5.3</v>
      </c>
      <c r="P21" s="186">
        <v>7.43</v>
      </c>
      <c r="Q21" s="691">
        <v>7.4</v>
      </c>
      <c r="R21" s="699">
        <v>36.049999999999997</v>
      </c>
      <c r="S21" s="688">
        <f>P21/9*12*1.073</f>
        <v>10.629853333333333</v>
      </c>
      <c r="T21" s="684">
        <f>S21/N21</f>
        <v>0.30614261700348583</v>
      </c>
      <c r="U21" s="722" t="e">
        <f>R21*#REF!</f>
        <v>#REF!</v>
      </c>
      <c r="V21" s="722" t="e">
        <f>R21*#REF!</f>
        <v>#REF!</v>
      </c>
      <c r="W21" s="722">
        <f t="shared" si="34"/>
        <v>6.0694237418300645</v>
      </c>
      <c r="X21" s="722">
        <f t="shared" si="35"/>
        <v>4.3109843382352926</v>
      </c>
      <c r="Y21" s="722"/>
      <c r="Z21" s="722"/>
      <c r="AA21" s="725">
        <v>0.34</v>
      </c>
      <c r="AB21" s="695">
        <v>21.8</v>
      </c>
      <c r="AC21" s="688">
        <v>0</v>
      </c>
      <c r="AD21" s="722">
        <f t="shared" si="36"/>
        <v>0</v>
      </c>
      <c r="AE21" s="722">
        <f t="shared" si="37"/>
        <v>0</v>
      </c>
      <c r="AF21" s="2765">
        <f t="shared" si="0"/>
        <v>0</v>
      </c>
      <c r="AG21" s="2765">
        <f t="shared" si="1"/>
        <v>0</v>
      </c>
      <c r="AH21" s="722">
        <v>0</v>
      </c>
      <c r="AI21" s="2625">
        <v>0</v>
      </c>
      <c r="AJ21" s="2625">
        <f t="shared" si="46"/>
        <v>0</v>
      </c>
      <c r="AK21" s="2625">
        <v>0</v>
      </c>
      <c r="AL21" s="2626">
        <v>0</v>
      </c>
      <c r="AM21" s="698">
        <f t="shared" si="50"/>
        <v>0.37400000000000005</v>
      </c>
      <c r="AN21" s="722">
        <f>AM21*AI56</f>
        <v>0.22290400000000002</v>
      </c>
      <c r="AO21" s="722">
        <f>AM21*AI57</f>
        <v>0.15109600000000004</v>
      </c>
      <c r="AP21" s="2765"/>
      <c r="AQ21" s="2766"/>
      <c r="AR21" s="2121">
        <v>0</v>
      </c>
      <c r="AS21" s="2119">
        <f t="shared" si="38"/>
        <v>0</v>
      </c>
      <c r="AT21" s="2119">
        <f t="shared" si="39"/>
        <v>0</v>
      </c>
      <c r="AU21" s="2767"/>
      <c r="AV21" s="2767"/>
      <c r="AW21" s="2768"/>
      <c r="AX21" s="2787">
        <f t="shared" si="47"/>
        <v>0</v>
      </c>
      <c r="AY21" s="2788">
        <v>0</v>
      </c>
      <c r="AZ21" s="2788">
        <v>0</v>
      </c>
      <c r="BA21" s="2788">
        <f t="shared" si="48"/>
        <v>0</v>
      </c>
      <c r="BB21" s="2788"/>
      <c r="BC21" s="2788"/>
      <c r="BD21" s="3592">
        <v>0</v>
      </c>
      <c r="BE21" s="723">
        <f>SUM(BD21*AV56)</f>
        <v>0</v>
      </c>
      <c r="BF21" s="723">
        <f>SUM(BD21*AV57)</f>
        <v>0</v>
      </c>
      <c r="BG21" s="698">
        <f t="shared" ref="BG21" si="56">SUM(AU21*1.1)</f>
        <v>0</v>
      </c>
      <c r="BH21" s="685">
        <f>SUM(BG21*AQ56)</f>
        <v>0</v>
      </c>
      <c r="BI21" s="685">
        <f>SUM(BG21*AQ57)</f>
        <v>0</v>
      </c>
      <c r="BJ21" s="2765" t="e">
        <f t="shared" si="21"/>
        <v>#DIV/0!</v>
      </c>
      <c r="BK21" s="2766" t="e">
        <f t="shared" si="22"/>
        <v>#DIV/0!</v>
      </c>
      <c r="BL21" s="763">
        <f t="shared" si="40"/>
        <v>0</v>
      </c>
      <c r="BM21" s="2119">
        <f t="shared" si="41"/>
        <v>0</v>
      </c>
      <c r="BN21" s="2119">
        <f t="shared" si="42"/>
        <v>0</v>
      </c>
      <c r="BO21" s="2767"/>
      <c r="BP21" s="4069"/>
      <c r="BQ21" s="4383">
        <f t="shared" si="43"/>
        <v>0</v>
      </c>
      <c r="BR21" s="4493"/>
      <c r="BS21" s="4493"/>
      <c r="BT21" s="4492">
        <f t="shared" si="44"/>
        <v>0</v>
      </c>
      <c r="BU21" s="4385">
        <v>0</v>
      </c>
      <c r="BV21" s="4385">
        <v>0</v>
      </c>
      <c r="BW21" s="4367">
        <f t="shared" si="49"/>
        <v>0</v>
      </c>
      <c r="BX21" s="4369">
        <f t="shared" si="55"/>
        <v>0</v>
      </c>
      <c r="BY21" s="4370">
        <f t="shared" si="45"/>
        <v>0</v>
      </c>
      <c r="BZ21" s="4352"/>
      <c r="CA21" s="763">
        <f t="shared" si="52"/>
        <v>0</v>
      </c>
      <c r="CB21" s="2119">
        <f>CA21*AV56</f>
        <v>0</v>
      </c>
      <c r="CC21" s="2119">
        <f>CA21*AV57</f>
        <v>0</v>
      </c>
      <c r="CD21" s="2767"/>
      <c r="CE21" s="4069"/>
      <c r="CF21" s="4352"/>
      <c r="CG21" s="763">
        <f t="shared" si="51"/>
        <v>0</v>
      </c>
      <c r="CH21" s="723">
        <f>SUM(CG21*BE56)</f>
        <v>0</v>
      </c>
      <c r="CI21" s="723">
        <f>CG21*AV57</f>
        <v>0</v>
      </c>
      <c r="CJ21" s="2767"/>
      <c r="CK21" s="2767"/>
      <c r="CL21" s="2768"/>
    </row>
    <row r="22" spans="1:92" ht="25.5">
      <c r="A22" s="721" t="s">
        <v>76</v>
      </c>
      <c r="B22" s="704">
        <v>162.5</v>
      </c>
      <c r="C22" s="2714">
        <v>130</v>
      </c>
      <c r="D22" s="605">
        <f t="shared" si="31"/>
        <v>80</v>
      </c>
      <c r="E22" s="2714">
        <v>161</v>
      </c>
      <c r="F22" s="605">
        <f>E22/C22*100</f>
        <v>123.84615384615385</v>
      </c>
      <c r="G22" s="182">
        <v>121</v>
      </c>
      <c r="H22" s="605">
        <f t="shared" si="32"/>
        <v>75.155279503105589</v>
      </c>
      <c r="I22" s="186">
        <v>165.3</v>
      </c>
      <c r="J22" s="186">
        <v>109.1</v>
      </c>
      <c r="K22" s="186">
        <f>J22/9*12</f>
        <v>145.46666666666667</v>
      </c>
      <c r="L22" s="186">
        <v>189.7</v>
      </c>
      <c r="M22" s="607">
        <f t="shared" si="33"/>
        <v>120.22038567493114</v>
      </c>
      <c r="N22" s="186">
        <v>152.59453333333332</v>
      </c>
      <c r="O22" s="186">
        <v>109.3</v>
      </c>
      <c r="P22" s="186">
        <v>155.21807999999999</v>
      </c>
      <c r="Q22" s="691">
        <v>205.2</v>
      </c>
      <c r="R22" s="699">
        <v>195.7</v>
      </c>
      <c r="S22" s="688">
        <f>R22</f>
        <v>195.7</v>
      </c>
      <c r="T22" s="684">
        <f>S22/N22</f>
        <v>1.2824836887996862</v>
      </c>
      <c r="U22" s="722" t="e">
        <f>R22*#REF!</f>
        <v>#REF!</v>
      </c>
      <c r="V22" s="722" t="e">
        <f>R22*#REF!</f>
        <v>#REF!</v>
      </c>
      <c r="W22" s="722">
        <f t="shared" si="34"/>
        <v>111.74060347111815</v>
      </c>
      <c r="X22" s="722">
        <f t="shared" si="35"/>
        <v>79.367006160572316</v>
      </c>
      <c r="Y22" s="722">
        <v>130.79</v>
      </c>
      <c r="Z22" s="722">
        <v>191.71</v>
      </c>
      <c r="AA22" s="725">
        <v>266.32</v>
      </c>
      <c r="AB22" s="695">
        <v>206</v>
      </c>
      <c r="AC22" s="688">
        <f>AB22</f>
        <v>206</v>
      </c>
      <c r="AD22" s="722">
        <f t="shared" si="36"/>
        <v>121.95183117518994</v>
      </c>
      <c r="AE22" s="722">
        <f t="shared" si="37"/>
        <v>82.400132932921309</v>
      </c>
      <c r="AF22" s="2765">
        <f t="shared" si="0"/>
        <v>1.0913833234014267</v>
      </c>
      <c r="AG22" s="2765">
        <f t="shared" si="1"/>
        <v>1.0382164695265497</v>
      </c>
      <c r="AH22" s="722">
        <v>151.34</v>
      </c>
      <c r="AI22" s="2625">
        <v>182.55</v>
      </c>
      <c r="AJ22" s="2625">
        <f t="shared" si="46"/>
        <v>251.72</v>
      </c>
      <c r="AK22" s="2625">
        <v>148.62</v>
      </c>
      <c r="AL22" s="2626">
        <v>103.1</v>
      </c>
      <c r="AM22" s="698">
        <f t="shared" si="50"/>
        <v>292.952</v>
      </c>
      <c r="AN22" s="722">
        <f>AM22*AI56</f>
        <v>174.59939199999999</v>
      </c>
      <c r="AO22" s="722">
        <f>AM22*AI57</f>
        <v>118.352608</v>
      </c>
      <c r="AP22" s="2765">
        <f>AN22/AD22</f>
        <v>1.4317078334738507</v>
      </c>
      <c r="AQ22" s="2766">
        <f>AO22/AE22</f>
        <v>1.4363157410965124</v>
      </c>
      <c r="AR22" s="2121">
        <f>AI22/3*4*1.062</f>
        <v>258.49080000000004</v>
      </c>
      <c r="AS22" s="2119">
        <f t="shared" si="38"/>
        <v>140.65905685712042</v>
      </c>
      <c r="AT22" s="2119">
        <f t="shared" si="39"/>
        <v>116.43876271180947</v>
      </c>
      <c r="AU22" s="2767">
        <f>AS22/AD22</f>
        <v>1.1533984812007998</v>
      </c>
      <c r="AV22" s="2767">
        <f>AT22/AE22</f>
        <v>1.4130895007972579</v>
      </c>
      <c r="AW22" s="2770" t="s">
        <v>1508</v>
      </c>
      <c r="AX22" s="2787">
        <f t="shared" si="47"/>
        <v>126.28</v>
      </c>
      <c r="AY22" s="2788">
        <v>73.38</v>
      </c>
      <c r="AZ22" s="2788">
        <v>52.9</v>
      </c>
      <c r="BA22" s="2788">
        <f t="shared" si="48"/>
        <v>141.46</v>
      </c>
      <c r="BB22" s="2788">
        <v>82.14</v>
      </c>
      <c r="BC22" s="2788">
        <v>59.32</v>
      </c>
      <c r="BD22" s="3592">
        <v>175.97</v>
      </c>
      <c r="BE22" s="723">
        <f>SUM(BD22*AV56)</f>
        <v>103.8223</v>
      </c>
      <c r="BF22" s="723">
        <f>SUM(BD22*AV57)</f>
        <v>72.1477</v>
      </c>
      <c r="BG22" s="698">
        <f>SUM(AR22*1.1)</f>
        <v>284.33988000000005</v>
      </c>
      <c r="BH22" s="685">
        <f>SUM(BG22*AQ56)</f>
        <v>167.76052920000001</v>
      </c>
      <c r="BI22" s="685">
        <f>SUM(BG22*AQ57)</f>
        <v>116.57935080000001</v>
      </c>
      <c r="BJ22" s="2765">
        <f t="shared" si="21"/>
        <v>1.1926749186894443</v>
      </c>
      <c r="BK22" s="2766">
        <f t="shared" si="22"/>
        <v>1.0012073993652655</v>
      </c>
      <c r="BL22" s="763">
        <f t="shared" si="40"/>
        <v>274.07521033200004</v>
      </c>
      <c r="BM22" s="2119">
        <f t="shared" si="41"/>
        <v>149.13939139503623</v>
      </c>
      <c r="BN22" s="2119">
        <f t="shared" si="42"/>
        <v>123.45885571570447</v>
      </c>
      <c r="BO22" s="2767">
        <f>BM22/AS22</f>
        <v>1.0602900000000002</v>
      </c>
      <c r="BP22" s="4069">
        <f>BN22/AT22</f>
        <v>1.06029</v>
      </c>
      <c r="BQ22" s="4383">
        <f t="shared" si="43"/>
        <v>3.1100000000000003</v>
      </c>
      <c r="BR22" s="4493">
        <v>1.84</v>
      </c>
      <c r="BS22" s="4493">
        <v>1.27</v>
      </c>
      <c r="BT22" s="4492">
        <f t="shared" si="44"/>
        <v>4.07</v>
      </c>
      <c r="BU22" s="4385">
        <v>2.41</v>
      </c>
      <c r="BV22" s="4385">
        <v>1.66</v>
      </c>
      <c r="BW22" s="4367">
        <f t="shared" si="49"/>
        <v>5.03</v>
      </c>
      <c r="BX22" s="4369">
        <f t="shared" si="55"/>
        <v>2.9800000000000004</v>
      </c>
      <c r="BY22" s="4370">
        <f t="shared" si="45"/>
        <v>2.0499999999999998</v>
      </c>
      <c r="BZ22" s="4353"/>
      <c r="CA22" s="763">
        <f t="shared" si="52"/>
        <v>287.07185680594347</v>
      </c>
      <c r="CB22" s="2119">
        <f>CA22*AV56</f>
        <v>169.37239551550664</v>
      </c>
      <c r="CC22" s="2119">
        <f>CA22*AV57</f>
        <v>117.69946129043682</v>
      </c>
      <c r="CD22" s="2767">
        <f>CB22/AY22</f>
        <v>2.3081547494617967</v>
      </c>
      <c r="CE22" s="4069">
        <f>CC22/AZ22</f>
        <v>2.2249425574751762</v>
      </c>
      <c r="CF22" s="4353"/>
      <c r="CG22" s="763">
        <f t="shared" si="51"/>
        <v>282.18783655782727</v>
      </c>
      <c r="CH22" s="723">
        <f>SUM(CG22*BE56)</f>
        <v>166.49082356911808</v>
      </c>
      <c r="CI22" s="723">
        <f>CG22*AV57</f>
        <v>115.69701298870918</v>
      </c>
      <c r="CJ22" s="2767">
        <f>CH22/BE22</f>
        <v>1.6036133236223633</v>
      </c>
      <c r="CK22" s="2767">
        <f>CI22/BF22</f>
        <v>1.6036133236223633</v>
      </c>
      <c r="CL22" s="2770"/>
    </row>
    <row r="23" spans="1:92" ht="15">
      <c r="A23" s="721" t="s">
        <v>2</v>
      </c>
      <c r="B23" s="704">
        <v>273.60000000000002</v>
      </c>
      <c r="C23" s="2714">
        <v>282.3</v>
      </c>
      <c r="D23" s="605">
        <f t="shared" si="31"/>
        <v>103.17982456140351</v>
      </c>
      <c r="E23" s="2714">
        <v>261.5</v>
      </c>
      <c r="F23" s="605">
        <f>E23/C23*100</f>
        <v>92.631951824300387</v>
      </c>
      <c r="G23" s="182">
        <v>230.4</v>
      </c>
      <c r="H23" s="605">
        <f t="shared" si="32"/>
        <v>88.107074569789674</v>
      </c>
      <c r="I23" s="186">
        <v>299.7</v>
      </c>
      <c r="J23" s="186">
        <v>155.1</v>
      </c>
      <c r="K23" s="186">
        <f>J23/9*12</f>
        <v>206.8</v>
      </c>
      <c r="L23" s="186">
        <v>206.6</v>
      </c>
      <c r="M23" s="607">
        <f t="shared" si="33"/>
        <v>89.756944444444443</v>
      </c>
      <c r="N23" s="186">
        <v>216.9332</v>
      </c>
      <c r="O23" s="186">
        <v>98.2</v>
      </c>
      <c r="P23" s="186">
        <v>145.27706000000001</v>
      </c>
      <c r="Q23" s="691">
        <v>192.4</v>
      </c>
      <c r="R23" s="699">
        <v>216.9</v>
      </c>
      <c r="S23" s="688">
        <f>P23/9*12</f>
        <v>193.70274666666668</v>
      </c>
      <c r="T23" s="684">
        <f>S23/N23</f>
        <v>0.89291425501798105</v>
      </c>
      <c r="U23" s="722" t="e">
        <f>R23*#REF!</f>
        <v>#REF!</v>
      </c>
      <c r="V23" s="722" t="e">
        <f>R23*#REF!</f>
        <v>#REF!</v>
      </c>
      <c r="W23" s="722">
        <f t="shared" si="34"/>
        <v>110.6002136256845</v>
      </c>
      <c r="X23" s="722">
        <f t="shared" si="35"/>
        <v>78.557011180445144</v>
      </c>
      <c r="Y23" s="722">
        <v>93.6</v>
      </c>
      <c r="Z23" s="722">
        <v>137.56</v>
      </c>
      <c r="AA23" s="725">
        <v>182.16</v>
      </c>
      <c r="AB23" s="695">
        <v>193.7</v>
      </c>
      <c r="AC23" s="688">
        <f>AB23</f>
        <v>193.7</v>
      </c>
      <c r="AD23" s="722">
        <f t="shared" si="36"/>
        <v>114.67024125550627</v>
      </c>
      <c r="AE23" s="722">
        <f t="shared" si="37"/>
        <v>77.48012499566434</v>
      </c>
      <c r="AF23" s="2765">
        <f t="shared" si="0"/>
        <v>1.0367994554115092</v>
      </c>
      <c r="AG23" s="2765">
        <f t="shared" si="1"/>
        <v>0.9862916604310823</v>
      </c>
      <c r="AH23" s="722">
        <v>79.34</v>
      </c>
      <c r="AI23" s="2625">
        <v>112.52</v>
      </c>
      <c r="AJ23" s="2625">
        <f t="shared" si="46"/>
        <v>144.51999999999998</v>
      </c>
      <c r="AK23" s="2625">
        <v>85.36</v>
      </c>
      <c r="AL23" s="2626">
        <v>59.16</v>
      </c>
      <c r="AM23" s="698">
        <v>193.7</v>
      </c>
      <c r="AN23" s="722">
        <f>AM23*AI56</f>
        <v>115.44519999999999</v>
      </c>
      <c r="AO23" s="722">
        <f>AM23*AI57</f>
        <v>78.254800000000003</v>
      </c>
      <c r="AP23" s="2765">
        <f>AN23/AD23</f>
        <v>1.0067581504670158</v>
      </c>
      <c r="AQ23" s="2766">
        <f>AO23/AE23</f>
        <v>1.0099983706063846</v>
      </c>
      <c r="AR23" s="2121">
        <f>AM23</f>
        <v>193.7</v>
      </c>
      <c r="AS23" s="2119">
        <f t="shared" si="38"/>
        <v>105.40282019021265</v>
      </c>
      <c r="AT23" s="2119">
        <f t="shared" si="39"/>
        <v>87.253350360157853</v>
      </c>
      <c r="AU23" s="2767">
        <f>AS23/AD23</f>
        <v>0.91918198685355423</v>
      </c>
      <c r="AV23" s="2767">
        <f>AT23/AE23</f>
        <v>1.1261384821596558</v>
      </c>
      <c r="AW23" s="2768"/>
      <c r="AX23" s="2787">
        <f t="shared" si="47"/>
        <v>65.64</v>
      </c>
      <c r="AY23" s="2788">
        <v>38.1</v>
      </c>
      <c r="AZ23" s="2788">
        <v>27.54</v>
      </c>
      <c r="BA23" s="2788">
        <f t="shared" si="48"/>
        <v>98.460000000000008</v>
      </c>
      <c r="BB23" s="2788">
        <v>56.76</v>
      </c>
      <c r="BC23" s="2788">
        <v>41.7</v>
      </c>
      <c r="BD23" s="3592">
        <v>131.28</v>
      </c>
      <c r="BE23" s="723">
        <f>SUM(BD23*AV56)</f>
        <v>77.455199999999991</v>
      </c>
      <c r="BF23" s="723">
        <f>SUM(BD23*AV57)</f>
        <v>53.824799999999996</v>
      </c>
      <c r="BG23" s="698">
        <v>193.7</v>
      </c>
      <c r="BH23" s="685">
        <f>SUM(BG23*AQ56)</f>
        <v>114.28299999999999</v>
      </c>
      <c r="BI23" s="685">
        <f>SUM(BG23*AQ57)</f>
        <v>79.416999999999987</v>
      </c>
      <c r="BJ23" s="2765">
        <f t="shared" si="21"/>
        <v>1.084249926081313</v>
      </c>
      <c r="BK23" s="2766">
        <f t="shared" si="22"/>
        <v>0.91018854487751399</v>
      </c>
      <c r="BL23" s="3795">
        <f t="shared" si="40"/>
        <v>205.37817299999998</v>
      </c>
      <c r="BM23" s="3796">
        <f t="shared" si="41"/>
        <v>111.75755621948058</v>
      </c>
      <c r="BN23" s="3796">
        <f t="shared" si="42"/>
        <v>92.513854853371754</v>
      </c>
      <c r="BO23" s="3797">
        <f>BM23/AS23</f>
        <v>1.06029</v>
      </c>
      <c r="BP23" s="4070">
        <f>BN23/AT23</f>
        <v>1.0602899999999997</v>
      </c>
      <c r="BQ23" s="4383">
        <f t="shared" si="43"/>
        <v>303.13</v>
      </c>
      <c r="BR23" s="4493">
        <f>38.25+136.74</f>
        <v>174.99</v>
      </c>
      <c r="BS23" s="4493">
        <f>27.39+100.75</f>
        <v>128.13999999999999</v>
      </c>
      <c r="BT23" s="4492">
        <f t="shared" si="44"/>
        <v>505.8</v>
      </c>
      <c r="BU23" s="4385">
        <f>57.27+235.48</f>
        <v>292.75</v>
      </c>
      <c r="BV23" s="4385">
        <f>41.19+171.86</f>
        <v>213.05</v>
      </c>
      <c r="BW23" s="4367">
        <f t="shared" si="49"/>
        <v>708.47</v>
      </c>
      <c r="BX23" s="4369">
        <f t="shared" si="55"/>
        <v>410.51</v>
      </c>
      <c r="BY23" s="4370">
        <f t="shared" si="45"/>
        <v>297.96000000000004</v>
      </c>
      <c r="BZ23" s="4352"/>
      <c r="CA23" s="763">
        <f t="shared" si="52"/>
        <v>215.11720596365998</v>
      </c>
      <c r="CB23" s="2119">
        <f>CA23*AV56</f>
        <v>126.91915151855939</v>
      </c>
      <c r="CC23" s="2119">
        <f>CA23*AV57</f>
        <v>88.198054445100581</v>
      </c>
      <c r="CD23" s="2767">
        <f>CB23/AY23</f>
        <v>3.3312113259464406</v>
      </c>
      <c r="CE23" s="4069">
        <f>CC23/AZ23</f>
        <v>3.2025437343899994</v>
      </c>
      <c r="CF23" s="4352"/>
      <c r="CG23" s="3795">
        <f t="shared" si="51"/>
        <v>211.45736692079998</v>
      </c>
      <c r="CH23" s="4596">
        <f>SUM(CG23*BE56)</f>
        <v>124.75984648327199</v>
      </c>
      <c r="CI23" s="4596">
        <f>CG23*AV57</f>
        <v>86.697520437527984</v>
      </c>
      <c r="CJ23" s="2767">
        <f>CH23/BE23</f>
        <v>1.6107355798354661</v>
      </c>
      <c r="CK23" s="2767">
        <f>CI23/BF23</f>
        <v>1.6107355798354661</v>
      </c>
      <c r="CL23" s="2768"/>
      <c r="CN23" s="4488">
        <f>SUM('Тариф вода 2016-2018 ПЛАН'!Q11)</f>
        <v>101552.11014623656</v>
      </c>
    </row>
    <row r="24" spans="1:92" ht="15">
      <c r="A24" s="721" t="s">
        <v>36</v>
      </c>
      <c r="B24" s="704">
        <v>355.7</v>
      </c>
      <c r="C24" s="2714">
        <v>201.4</v>
      </c>
      <c r="D24" s="605">
        <f t="shared" si="31"/>
        <v>56.620747821197639</v>
      </c>
      <c r="E24" s="2714">
        <v>15.5</v>
      </c>
      <c r="F24" s="605">
        <f>E24/C24*100</f>
        <v>7.6961271102284012</v>
      </c>
      <c r="G24" s="182">
        <v>0</v>
      </c>
      <c r="H24" s="605">
        <f t="shared" si="32"/>
        <v>0</v>
      </c>
      <c r="I24" s="186">
        <v>0</v>
      </c>
      <c r="J24" s="186">
        <v>0</v>
      </c>
      <c r="K24" s="186">
        <v>0</v>
      </c>
      <c r="L24" s="186"/>
      <c r="M24" s="607"/>
      <c r="N24" s="186">
        <v>0</v>
      </c>
      <c r="O24" s="186"/>
      <c r="P24" s="186"/>
      <c r="Q24" s="691"/>
      <c r="R24" s="699"/>
      <c r="S24" s="688">
        <f>K24*1.049</f>
        <v>0</v>
      </c>
      <c r="T24" s="684"/>
      <c r="U24" s="722" t="e">
        <f>R24*#REF!</f>
        <v>#REF!</v>
      </c>
      <c r="V24" s="722" t="e">
        <f>R24*#REF!</f>
        <v>#REF!</v>
      </c>
      <c r="W24" s="722">
        <f t="shared" si="34"/>
        <v>0</v>
      </c>
      <c r="X24" s="722">
        <f t="shared" si="35"/>
        <v>0</v>
      </c>
      <c r="Y24" s="722"/>
      <c r="Z24" s="722"/>
      <c r="AA24" s="725"/>
      <c r="AB24" s="695">
        <v>0</v>
      </c>
      <c r="AC24" s="688">
        <f>R24*1.049</f>
        <v>0</v>
      </c>
      <c r="AD24" s="722">
        <f t="shared" si="36"/>
        <v>0</v>
      </c>
      <c r="AE24" s="722">
        <f t="shared" si="37"/>
        <v>0</v>
      </c>
      <c r="AF24" s="2765"/>
      <c r="AG24" s="2765"/>
      <c r="AH24" s="722">
        <v>0</v>
      </c>
      <c r="AI24" s="2625">
        <v>0</v>
      </c>
      <c r="AJ24" s="2625">
        <f t="shared" si="46"/>
        <v>0</v>
      </c>
      <c r="AK24" s="2625">
        <v>0</v>
      </c>
      <c r="AL24" s="2626">
        <v>0</v>
      </c>
      <c r="AM24" s="698">
        <f t="shared" ref="AM24:AM36" si="57">SUM(AA24*1.1)</f>
        <v>0</v>
      </c>
      <c r="AN24" s="722">
        <f>AM24*AI56</f>
        <v>0</v>
      </c>
      <c r="AO24" s="722">
        <f>AM24*AI57</f>
        <v>0</v>
      </c>
      <c r="AP24" s="2765"/>
      <c r="AQ24" s="2766"/>
      <c r="AR24" s="2121">
        <v>0</v>
      </c>
      <c r="AS24" s="2119">
        <f t="shared" si="38"/>
        <v>0</v>
      </c>
      <c r="AT24" s="2119">
        <f t="shared" si="39"/>
        <v>0</v>
      </c>
      <c r="AU24" s="2767"/>
      <c r="AV24" s="2767"/>
      <c r="AW24" s="2768"/>
      <c r="AX24" s="2787">
        <f t="shared" si="47"/>
        <v>0</v>
      </c>
      <c r="AY24" s="2788">
        <v>0</v>
      </c>
      <c r="AZ24" s="2788">
        <v>0</v>
      </c>
      <c r="BA24" s="2788">
        <f t="shared" si="48"/>
        <v>0</v>
      </c>
      <c r="BB24" s="2788"/>
      <c r="BC24" s="2788"/>
      <c r="BD24" s="3592">
        <v>0</v>
      </c>
      <c r="BE24" s="723">
        <f>SUM(BD24*AV56)</f>
        <v>0</v>
      </c>
      <c r="BF24" s="723">
        <f>SUM(BD24*AV57)</f>
        <v>0</v>
      </c>
      <c r="BG24" s="698">
        <f t="shared" ref="BG24:BG34" si="58">SUM(AU24*1.1)</f>
        <v>0</v>
      </c>
      <c r="BH24" s="685">
        <f>SUM(BG24*AQ56)</f>
        <v>0</v>
      </c>
      <c r="BI24" s="685">
        <f>SUM(BG24*AQ57)</f>
        <v>0</v>
      </c>
      <c r="BJ24" s="2765" t="e">
        <f t="shared" si="21"/>
        <v>#DIV/0!</v>
      </c>
      <c r="BK24" s="2766" t="e">
        <f t="shared" si="22"/>
        <v>#DIV/0!</v>
      </c>
      <c r="BL24" s="763">
        <f t="shared" si="40"/>
        <v>0</v>
      </c>
      <c r="BM24" s="2119">
        <f t="shared" si="41"/>
        <v>0</v>
      </c>
      <c r="BN24" s="2119">
        <f t="shared" si="42"/>
        <v>0</v>
      </c>
      <c r="BO24" s="2767"/>
      <c r="BP24" s="4069"/>
      <c r="BQ24" s="4383">
        <f t="shared" si="43"/>
        <v>0</v>
      </c>
      <c r="BR24" s="4493"/>
      <c r="BS24" s="4493"/>
      <c r="BT24" s="4492">
        <f t="shared" si="44"/>
        <v>0</v>
      </c>
      <c r="BU24" s="4385">
        <v>0</v>
      </c>
      <c r="BV24" s="4385">
        <v>0</v>
      </c>
      <c r="BW24" s="4367">
        <f t="shared" si="49"/>
        <v>0</v>
      </c>
      <c r="BX24" s="4369">
        <f t="shared" si="55"/>
        <v>0</v>
      </c>
      <c r="BY24" s="4370">
        <f t="shared" si="45"/>
        <v>0</v>
      </c>
      <c r="BZ24" s="4352"/>
      <c r="CA24" s="763">
        <f t="shared" si="52"/>
        <v>0</v>
      </c>
      <c r="CB24" s="2119">
        <f>CA24*AV56</f>
        <v>0</v>
      </c>
      <c r="CC24" s="2119">
        <f>CA24*AV57</f>
        <v>0</v>
      </c>
      <c r="CD24" s="2767"/>
      <c r="CE24" s="4069"/>
      <c r="CF24" s="4352"/>
      <c r="CG24" s="763">
        <f t="shared" si="51"/>
        <v>0</v>
      </c>
      <c r="CH24" s="723">
        <f>SUM(CG24*BE56)</f>
        <v>0</v>
      </c>
      <c r="CI24" s="723">
        <f>CG24*AV57</f>
        <v>0</v>
      </c>
      <c r="CJ24" s="2767"/>
      <c r="CK24" s="2767"/>
      <c r="CL24" s="2768"/>
    </row>
    <row r="25" spans="1:92" ht="15">
      <c r="A25" s="721" t="s">
        <v>1636</v>
      </c>
      <c r="B25" s="704"/>
      <c r="C25" s="2714"/>
      <c r="D25" s="605"/>
      <c r="E25" s="2714"/>
      <c r="F25" s="605"/>
      <c r="G25" s="182">
        <v>6</v>
      </c>
      <c r="H25" s="605"/>
      <c r="I25" s="186"/>
      <c r="J25" s="186">
        <v>10.5</v>
      </c>
      <c r="K25" s="186">
        <v>10.5</v>
      </c>
      <c r="L25" s="186">
        <v>10.5</v>
      </c>
      <c r="M25" s="607">
        <f>K25/G25*100</f>
        <v>175</v>
      </c>
      <c r="N25" s="186">
        <v>0</v>
      </c>
      <c r="O25" s="186"/>
      <c r="P25" s="186">
        <v>12.746</v>
      </c>
      <c r="Q25" s="691">
        <v>12.7</v>
      </c>
      <c r="R25" s="699">
        <v>12.36</v>
      </c>
      <c r="S25" s="688">
        <f>R25</f>
        <v>12.36</v>
      </c>
      <c r="T25" s="684"/>
      <c r="U25" s="722" t="e">
        <f>R25*#REF!</f>
        <v>#REF!</v>
      </c>
      <c r="V25" s="722" t="e">
        <f>R25*#REF!</f>
        <v>#REF!</v>
      </c>
      <c r="W25" s="722">
        <f t="shared" si="34"/>
        <v>7.0573012718600943</v>
      </c>
      <c r="X25" s="722">
        <f t="shared" si="35"/>
        <v>5.0126530206677247</v>
      </c>
      <c r="Y25" s="722"/>
      <c r="Z25" s="722">
        <v>11.9</v>
      </c>
      <c r="AA25" s="725">
        <v>11.9</v>
      </c>
      <c r="AB25" s="695">
        <v>13.2</v>
      </c>
      <c r="AC25" s="688">
        <f>AB25</f>
        <v>13.2</v>
      </c>
      <c r="AD25" s="722">
        <f t="shared" si="36"/>
        <v>7.814389182099549</v>
      </c>
      <c r="AE25" s="722">
        <f t="shared" si="37"/>
        <v>5.2800085180318499</v>
      </c>
      <c r="AF25" s="2765">
        <f t="shared" ref="AF25:AF38" si="59">AD25/W25</f>
        <v>1.1072772552956223</v>
      </c>
      <c r="AG25" s="2765">
        <f t="shared" ref="AG25:AG38" si="60">AE25/X25</f>
        <v>1.0533361268497519</v>
      </c>
      <c r="AH25" s="722">
        <v>5.82</v>
      </c>
      <c r="AI25" s="2625">
        <v>6.39</v>
      </c>
      <c r="AJ25" s="2625">
        <f t="shared" si="46"/>
        <v>46.05</v>
      </c>
      <c r="AK25" s="2625">
        <f>3.77+23.49</f>
        <v>27.259999999999998</v>
      </c>
      <c r="AL25" s="2626">
        <f>2.59+16.2</f>
        <v>18.79</v>
      </c>
      <c r="AM25" s="698">
        <f t="shared" si="57"/>
        <v>13.090000000000002</v>
      </c>
      <c r="AN25" s="722">
        <f>AM25*AI56</f>
        <v>7.8016400000000008</v>
      </c>
      <c r="AO25" s="722">
        <f>AM25*AI57</f>
        <v>5.2883600000000008</v>
      </c>
      <c r="AP25" s="2765">
        <f t="shared" ref="AP25:AQ30" si="61">AN25/AD25</f>
        <v>0.99836849921312432</v>
      </c>
      <c r="AQ25" s="2766">
        <f t="shared" si="61"/>
        <v>1.0015817175179982</v>
      </c>
      <c r="AR25" s="2121">
        <f>AM25</f>
        <v>13.090000000000002</v>
      </c>
      <c r="AS25" s="2119">
        <f t="shared" si="38"/>
        <v>7.1229887263287761</v>
      </c>
      <c r="AT25" s="2119">
        <f t="shared" si="39"/>
        <v>5.8964706051340547</v>
      </c>
      <c r="AU25" s="2767">
        <f t="shared" ref="AU25:AV30" si="62">AS25/AD25</f>
        <v>0.91152213696310824</v>
      </c>
      <c r="AV25" s="2767">
        <f t="shared" si="62"/>
        <v>1.1167539948083254</v>
      </c>
      <c r="AW25" s="2768"/>
      <c r="AX25" s="2787">
        <f t="shared" si="47"/>
        <v>0</v>
      </c>
      <c r="AY25" s="2788">
        <v>0</v>
      </c>
      <c r="AZ25" s="2788">
        <v>0</v>
      </c>
      <c r="BA25" s="2788">
        <f t="shared" si="48"/>
        <v>4.57</v>
      </c>
      <c r="BB25" s="2788">
        <v>2.69</v>
      </c>
      <c r="BC25" s="2788">
        <v>1.88</v>
      </c>
      <c r="BD25" s="3592">
        <v>4.5599999999999996</v>
      </c>
      <c r="BE25" s="723">
        <f>SUM(BD25*AV56)</f>
        <v>2.6903999999999995</v>
      </c>
      <c r="BF25" s="723">
        <f>SUM(BD25*AV57)</f>
        <v>1.8695999999999997</v>
      </c>
      <c r="BG25" s="698">
        <f>SUM(AJ25*1.074*1.1)</f>
        <v>54.403470000000006</v>
      </c>
      <c r="BH25" s="685">
        <f>SUM(BG25*AQ56)</f>
        <v>32.098047300000005</v>
      </c>
      <c r="BI25" s="685">
        <f>SUM(BG25*AQ57)</f>
        <v>22.305422700000001</v>
      </c>
      <c r="BJ25" s="2765">
        <f t="shared" si="21"/>
        <v>4.5062611402648534</v>
      </c>
      <c r="BK25" s="2766">
        <f t="shared" si="22"/>
        <v>3.7828430248729941</v>
      </c>
      <c r="BL25" s="763">
        <f t="shared" si="40"/>
        <v>13.879196100000001</v>
      </c>
      <c r="BM25" s="2119">
        <f t="shared" si="41"/>
        <v>7.552433716639138</v>
      </c>
      <c r="BN25" s="2119">
        <f t="shared" si="42"/>
        <v>6.2519688179175867</v>
      </c>
      <c r="BO25" s="2767">
        <f t="shared" ref="BO25:BP30" si="63">BM25/AS25</f>
        <v>1.06029</v>
      </c>
      <c r="BP25" s="4069">
        <f t="shared" si="63"/>
        <v>1.06029</v>
      </c>
      <c r="BQ25" s="4383">
        <f t="shared" si="43"/>
        <v>0.3</v>
      </c>
      <c r="BR25" s="4493">
        <v>0.18</v>
      </c>
      <c r="BS25" s="4493">
        <v>0.12</v>
      </c>
      <c r="BT25" s="4492">
        <f t="shared" si="44"/>
        <v>47.46</v>
      </c>
      <c r="BU25" s="4385">
        <f>2.87+17.23</f>
        <v>20.100000000000001</v>
      </c>
      <c r="BV25" s="4385">
        <f>2.22+25.14</f>
        <v>27.36</v>
      </c>
      <c r="BW25" s="4367">
        <f t="shared" si="49"/>
        <v>94.62</v>
      </c>
      <c r="BX25" s="4369">
        <f t="shared" si="55"/>
        <v>40.020000000000003</v>
      </c>
      <c r="BY25" s="4370">
        <f t="shared" si="45"/>
        <v>54.6</v>
      </c>
      <c r="BZ25" s="4352"/>
      <c r="CA25" s="763">
        <f t="shared" si="52"/>
        <v>14.537347579062001</v>
      </c>
      <c r="CB25" s="2119">
        <f>CA25*AV56</f>
        <v>8.5770350716465806</v>
      </c>
      <c r="CC25" s="2119">
        <f>CA25*AV57</f>
        <v>5.96031250741542</v>
      </c>
      <c r="CD25" s="2767" t="e">
        <f t="shared" ref="CD25:CE30" si="64">CB25/AY25</f>
        <v>#DIV/0!</v>
      </c>
      <c r="CE25" s="4069" t="e">
        <f t="shared" si="64"/>
        <v>#DIV/0!</v>
      </c>
      <c r="CF25" s="4352"/>
      <c r="CG25" s="763">
        <f t="shared" si="51"/>
        <v>14.29002030456</v>
      </c>
      <c r="CH25" s="723">
        <f>SUM(CG25*BE56)</f>
        <v>8.4311119796903995</v>
      </c>
      <c r="CI25" s="723">
        <f>CG25*AV57</f>
        <v>5.8589083248696001</v>
      </c>
      <c r="CJ25" s="2767">
        <f t="shared" ref="CJ25:CK30" si="65">CH25/BE25</f>
        <v>3.1337763825789478</v>
      </c>
      <c r="CK25" s="2767">
        <f t="shared" si="65"/>
        <v>3.1337763825789478</v>
      </c>
      <c r="CL25" s="2768"/>
    </row>
    <row r="26" spans="1:92" ht="25.5">
      <c r="A26" s="721" t="s">
        <v>37</v>
      </c>
      <c r="B26" s="704">
        <v>131.4</v>
      </c>
      <c r="C26" s="2714">
        <v>189</v>
      </c>
      <c r="D26" s="605">
        <f t="shared" ref="D26:D39" si="66">C26/B26*100</f>
        <v>143.83561643835617</v>
      </c>
      <c r="E26" s="2714">
        <v>188</v>
      </c>
      <c r="F26" s="605">
        <f t="shared" ref="F26:F38" si="67">E26/C26*100</f>
        <v>99.470899470899468</v>
      </c>
      <c r="G26" s="182">
        <f>166.8+12.3+1</f>
        <v>180.10000000000002</v>
      </c>
      <c r="H26" s="605">
        <f t="shared" ref="H26:H38" si="68">G26/E26*100</f>
        <v>95.797872340425556</v>
      </c>
      <c r="I26" s="186">
        <v>145.4</v>
      </c>
      <c r="J26" s="186">
        <f>149.1+8.8</f>
        <v>157.9</v>
      </c>
      <c r="K26" s="186">
        <v>170</v>
      </c>
      <c r="L26" s="186">
        <v>164.9</v>
      </c>
      <c r="M26" s="607">
        <f>K26/G26*100</f>
        <v>94.392004441976667</v>
      </c>
      <c r="N26" s="186">
        <v>170</v>
      </c>
      <c r="O26" s="186">
        <f>42.4+13.5</f>
        <v>55.9</v>
      </c>
      <c r="P26" s="186">
        <f>116.0149+23.8634</f>
        <v>139.8783</v>
      </c>
      <c r="Q26" s="691">
        <v>206.9</v>
      </c>
      <c r="R26" s="699">
        <v>175.1</v>
      </c>
      <c r="S26" s="688">
        <f>R26</f>
        <v>175.1</v>
      </c>
      <c r="T26" s="684">
        <f t="shared" ref="T26:T32" si="69">S26/N26</f>
        <v>1.03</v>
      </c>
      <c r="U26" s="722" t="e">
        <f>R26*#REF!</f>
        <v>#REF!</v>
      </c>
      <c r="V26" s="722" t="e">
        <f>R26*#REF!</f>
        <v>#REF!</v>
      </c>
      <c r="W26" s="722">
        <f t="shared" si="34"/>
        <v>99.978434684684672</v>
      </c>
      <c r="X26" s="722">
        <f t="shared" si="35"/>
        <v>71.012584459459433</v>
      </c>
      <c r="Y26" s="722">
        <v>83.42</v>
      </c>
      <c r="Z26" s="722">
        <v>235.47</v>
      </c>
      <c r="AA26" s="725">
        <v>324.43</v>
      </c>
      <c r="AB26" s="695">
        <v>187.7</v>
      </c>
      <c r="AC26" s="688">
        <f>AB26</f>
        <v>187.7</v>
      </c>
      <c r="AD26" s="722">
        <f t="shared" si="36"/>
        <v>111.11824617273375</v>
      </c>
      <c r="AE26" s="722">
        <f t="shared" si="37"/>
        <v>75.080121123831688</v>
      </c>
      <c r="AF26" s="2765">
        <f t="shared" si="59"/>
        <v>1.1114221434170497</v>
      </c>
      <c r="AG26" s="2765">
        <f t="shared" si="60"/>
        <v>1.0572790963085477</v>
      </c>
      <c r="AH26" s="722">
        <v>67.86</v>
      </c>
      <c r="AI26" s="2625">
        <v>217.83</v>
      </c>
      <c r="AJ26" s="2625">
        <f t="shared" si="46"/>
        <v>288.98</v>
      </c>
      <c r="AK26" s="2625">
        <f>131.49+38.29</f>
        <v>169.78</v>
      </c>
      <c r="AL26" s="2626">
        <f>91.96+27.24</f>
        <v>119.19999999999999</v>
      </c>
      <c r="AM26" s="698">
        <f t="shared" si="57"/>
        <v>356.87300000000005</v>
      </c>
      <c r="AN26" s="722">
        <f>AM26*AI56</f>
        <v>212.69630800000002</v>
      </c>
      <c r="AO26" s="722">
        <f>AM26*AI57</f>
        <v>144.17669200000003</v>
      </c>
      <c r="AP26" s="2765">
        <f t="shared" si="61"/>
        <v>1.914143854190812</v>
      </c>
      <c r="AQ26" s="2766">
        <f t="shared" si="61"/>
        <v>1.9203044673064058</v>
      </c>
      <c r="AR26" s="2121">
        <f>AI26/3*4*1.062</f>
        <v>308.44728000000003</v>
      </c>
      <c r="AS26" s="2119">
        <f t="shared" si="38"/>
        <v>167.84312437790493</v>
      </c>
      <c r="AT26" s="2119">
        <f t="shared" si="39"/>
        <v>138.94196483984365</v>
      </c>
      <c r="AU26" s="2767">
        <f t="shared" si="62"/>
        <v>1.5104911223759969</v>
      </c>
      <c r="AV26" s="2767">
        <f t="shared" si="62"/>
        <v>1.8505825877755695</v>
      </c>
      <c r="AW26" s="2770" t="s">
        <v>1508</v>
      </c>
      <c r="AX26" s="2787">
        <f t="shared" si="47"/>
        <v>0</v>
      </c>
      <c r="AY26" s="2788">
        <v>0</v>
      </c>
      <c r="AZ26" s="2788">
        <v>0</v>
      </c>
      <c r="BA26" s="2788">
        <f t="shared" si="48"/>
        <v>209.82</v>
      </c>
      <c r="BB26" s="2788">
        <f>74.02+42.1</f>
        <v>116.12</v>
      </c>
      <c r="BC26" s="2788">
        <f>59.9+33.8</f>
        <v>93.699999999999989</v>
      </c>
      <c r="BD26" s="3592">
        <v>244.73</v>
      </c>
      <c r="BE26" s="723">
        <f>SUM(BD26*AV56)</f>
        <v>144.39069999999998</v>
      </c>
      <c r="BF26" s="723">
        <f>SUM(BD26*AV57)</f>
        <v>100.33929999999999</v>
      </c>
      <c r="BG26" s="698">
        <f>SUM(AR26*1.1)</f>
        <v>339.29200800000007</v>
      </c>
      <c r="BH26" s="685">
        <f>SUM(BG26*AQ56)</f>
        <v>200.18228472000004</v>
      </c>
      <c r="BI26" s="685">
        <f>SUM(BG26*AQ57)</f>
        <v>139.10972328000003</v>
      </c>
      <c r="BJ26" s="2765">
        <f t="shared" si="21"/>
        <v>1.1926749186894443</v>
      </c>
      <c r="BK26" s="2766">
        <f t="shared" si="22"/>
        <v>1.0012073993652655</v>
      </c>
      <c r="BL26" s="763">
        <f t="shared" si="40"/>
        <v>327.04356651120003</v>
      </c>
      <c r="BM26" s="2119">
        <f t="shared" si="41"/>
        <v>177.9623863466488</v>
      </c>
      <c r="BN26" s="2119">
        <f t="shared" si="42"/>
        <v>147.31877590003782</v>
      </c>
      <c r="BO26" s="2767">
        <f t="shared" si="63"/>
        <v>1.06029</v>
      </c>
      <c r="BP26" s="4069">
        <f t="shared" si="63"/>
        <v>1.06029</v>
      </c>
      <c r="BQ26" s="4383">
        <f t="shared" si="43"/>
        <v>28.66</v>
      </c>
      <c r="BR26" s="4493">
        <v>16.96</v>
      </c>
      <c r="BS26" s="4493">
        <v>11.7</v>
      </c>
      <c r="BT26" s="4492">
        <f t="shared" si="44"/>
        <v>349.93</v>
      </c>
      <c r="BU26" s="4385">
        <f>153.49+48.6</f>
        <v>202.09</v>
      </c>
      <c r="BV26" s="4385">
        <f>111.49+36.35</f>
        <v>147.84</v>
      </c>
      <c r="BW26" s="4367">
        <f t="shared" si="49"/>
        <v>209.82</v>
      </c>
      <c r="BX26" s="4369">
        <v>116.12</v>
      </c>
      <c r="BY26" s="4370">
        <v>93.7</v>
      </c>
      <c r="BZ26" s="4353"/>
      <c r="CA26" s="763">
        <f t="shared" si="52"/>
        <v>342.55197243516113</v>
      </c>
      <c r="CB26" s="2119">
        <f>CA26*AV56</f>
        <v>202.10566373674507</v>
      </c>
      <c r="CC26" s="2119">
        <f>CA26*AV57</f>
        <v>140.44630869841606</v>
      </c>
      <c r="CD26" s="2767" t="e">
        <f t="shared" si="64"/>
        <v>#DIV/0!</v>
      </c>
      <c r="CE26" s="4069" t="e">
        <f t="shared" si="64"/>
        <v>#DIV/0!</v>
      </c>
      <c r="CF26" s="4353"/>
      <c r="CG26" s="763">
        <f t="shared" si="51"/>
        <v>336.72405607993153</v>
      </c>
      <c r="CH26" s="723">
        <f>SUM(CG26*BE56)</f>
        <v>198.6671930871596</v>
      </c>
      <c r="CI26" s="723">
        <f>CG26*AV57</f>
        <v>138.05686299277193</v>
      </c>
      <c r="CJ26" s="2767">
        <f t="shared" si="65"/>
        <v>1.3759002005472627</v>
      </c>
      <c r="CK26" s="2767">
        <f t="shared" si="65"/>
        <v>1.3759002005472625</v>
      </c>
      <c r="CL26" s="2770"/>
    </row>
    <row r="27" spans="1:92" ht="25.5">
      <c r="A27" s="721" t="s">
        <v>38</v>
      </c>
      <c r="B27" s="704">
        <v>111.5</v>
      </c>
      <c r="C27" s="2714">
        <v>122</v>
      </c>
      <c r="D27" s="605">
        <f t="shared" si="66"/>
        <v>109.4170403587444</v>
      </c>
      <c r="E27" s="2714">
        <v>101</v>
      </c>
      <c r="F27" s="605">
        <f t="shared" si="67"/>
        <v>82.786885245901644</v>
      </c>
      <c r="G27" s="182">
        <v>0</v>
      </c>
      <c r="H27" s="605">
        <f t="shared" si="68"/>
        <v>0</v>
      </c>
      <c r="I27" s="186">
        <v>56.2</v>
      </c>
      <c r="J27" s="186">
        <v>7</v>
      </c>
      <c r="K27" s="186">
        <f>J27/9*12</f>
        <v>9.3333333333333339</v>
      </c>
      <c r="L27" s="186">
        <v>7</v>
      </c>
      <c r="M27" s="607"/>
      <c r="N27" s="186">
        <v>9.7906666666666666</v>
      </c>
      <c r="O27" s="186">
        <v>27.7</v>
      </c>
      <c r="P27" s="186"/>
      <c r="Q27" s="691">
        <v>27.7</v>
      </c>
      <c r="R27" s="699">
        <v>10.3</v>
      </c>
      <c r="S27" s="688">
        <f>R27</f>
        <v>10.3</v>
      </c>
      <c r="T27" s="684">
        <f t="shared" si="69"/>
        <v>1.0520223341958328</v>
      </c>
      <c r="U27" s="722" t="e">
        <f>R27*#REF!</f>
        <v>#REF!</v>
      </c>
      <c r="V27" s="722" t="e">
        <f>R27*#REF!</f>
        <v>#REF!</v>
      </c>
      <c r="W27" s="722">
        <f t="shared" si="34"/>
        <v>5.8810843932167458</v>
      </c>
      <c r="X27" s="722">
        <f t="shared" si="35"/>
        <v>4.1772108505564383</v>
      </c>
      <c r="Y27" s="722">
        <v>12.2</v>
      </c>
      <c r="Z27" s="722">
        <v>12.2</v>
      </c>
      <c r="AA27" s="725">
        <v>12.11</v>
      </c>
      <c r="AB27" s="695">
        <v>41.2</v>
      </c>
      <c r="AC27" s="688">
        <f>Q27*1.063*1.049</f>
        <v>30.887909899999993</v>
      </c>
      <c r="AD27" s="722">
        <f t="shared" si="36"/>
        <v>18.285617346986783</v>
      </c>
      <c r="AE27" s="722">
        <f t="shared" si="37"/>
        <v>12.355183892136385</v>
      </c>
      <c r="AF27" s="2765">
        <f t="shared" si="59"/>
        <v>3.1092254632627698</v>
      </c>
      <c r="AG27" s="2765">
        <f t="shared" si="60"/>
        <v>2.9577592164136446</v>
      </c>
      <c r="AH27" s="722">
        <v>2</v>
      </c>
      <c r="AI27" s="2625">
        <v>5.5</v>
      </c>
      <c r="AJ27" s="2625">
        <f t="shared" si="46"/>
        <v>74.12</v>
      </c>
      <c r="AK27" s="2625">
        <v>43.03</v>
      </c>
      <c r="AL27" s="2626">
        <v>31.09</v>
      </c>
      <c r="AM27" s="698">
        <f t="shared" si="57"/>
        <v>13.321</v>
      </c>
      <c r="AN27" s="722">
        <f>AM27*AI56</f>
        <v>7.9393159999999998</v>
      </c>
      <c r="AO27" s="722">
        <f>AM27*AI57</f>
        <v>5.3816839999999999</v>
      </c>
      <c r="AP27" s="2765">
        <f t="shared" si="61"/>
        <v>0.43418364550367722</v>
      </c>
      <c r="AQ27" s="2766">
        <f t="shared" si="61"/>
        <v>0.43558105221122945</v>
      </c>
      <c r="AR27" s="2121">
        <f>AI27/3*4*1.062</f>
        <v>7.7880000000000003</v>
      </c>
      <c r="AS27" s="2119">
        <f t="shared" si="38"/>
        <v>4.2378790069250192</v>
      </c>
      <c r="AT27" s="2119">
        <f t="shared" si="39"/>
        <v>3.5081522591890004</v>
      </c>
      <c r="AU27" s="2767">
        <f t="shared" si="62"/>
        <v>0.2317602368302519</v>
      </c>
      <c r="AV27" s="2767">
        <f t="shared" si="62"/>
        <v>0.28394172760324587</v>
      </c>
      <c r="AW27" s="2770" t="s">
        <v>1508</v>
      </c>
      <c r="AX27" s="2787">
        <f t="shared" si="47"/>
        <v>10.5</v>
      </c>
      <c r="AY27" s="2788">
        <v>6.16</v>
      </c>
      <c r="AZ27" s="2788">
        <v>4.34</v>
      </c>
      <c r="BA27" s="2788">
        <f t="shared" si="48"/>
        <v>10.5</v>
      </c>
      <c r="BB27" s="2788">
        <v>6.16</v>
      </c>
      <c r="BC27" s="2788">
        <v>4.34</v>
      </c>
      <c r="BD27" s="3592">
        <v>112.45</v>
      </c>
      <c r="BE27" s="723">
        <f>SUM(BD27*AV56)</f>
        <v>66.345500000000001</v>
      </c>
      <c r="BF27" s="723">
        <f>SUM(BD27*AV57)</f>
        <v>46.104500000000002</v>
      </c>
      <c r="BG27" s="698">
        <f>SUM(AJ27*1.074*1.1)</f>
        <v>87.565368000000021</v>
      </c>
      <c r="BH27" s="685">
        <f>SUM(BG27*AQ56)</f>
        <v>51.66356712000001</v>
      </c>
      <c r="BI27" s="685">
        <f>SUM(BG27*AQ57)</f>
        <v>35.901800880000003</v>
      </c>
      <c r="BJ27" s="2765">
        <f t="shared" si="21"/>
        <v>12.190901872275679</v>
      </c>
      <c r="BK27" s="2766">
        <f t="shared" si="22"/>
        <v>10.233820606264002</v>
      </c>
      <c r="BL27" s="763">
        <f t="shared" si="40"/>
        <v>8.2575385199999989</v>
      </c>
      <c r="BM27" s="2119">
        <f t="shared" si="41"/>
        <v>4.4933807322525281</v>
      </c>
      <c r="BN27" s="2119">
        <f t="shared" si="42"/>
        <v>3.7196587588955046</v>
      </c>
      <c r="BO27" s="2767">
        <f t="shared" si="63"/>
        <v>1.06029</v>
      </c>
      <c r="BP27" s="4069">
        <f t="shared" si="63"/>
        <v>1.0602899999999997</v>
      </c>
      <c r="BQ27" s="4383">
        <f t="shared" si="43"/>
        <v>22</v>
      </c>
      <c r="BR27" s="4493">
        <v>13.02</v>
      </c>
      <c r="BS27" s="4493">
        <v>8.98</v>
      </c>
      <c r="BT27" s="4492">
        <f t="shared" si="44"/>
        <v>28.95</v>
      </c>
      <c r="BU27" s="4385">
        <v>16.93</v>
      </c>
      <c r="BV27" s="4385">
        <v>12.02</v>
      </c>
      <c r="BW27" s="4367">
        <f t="shared" si="49"/>
        <v>35.9</v>
      </c>
      <c r="BX27" s="4369">
        <f t="shared" ref="BX27:BY42" si="70">SUM(BR27+((BU27-BR27)/3*6))</f>
        <v>20.84</v>
      </c>
      <c r="BY27" s="4370">
        <f t="shared" si="70"/>
        <v>15.059999999999999</v>
      </c>
      <c r="BZ27" s="4353"/>
      <c r="CA27" s="763">
        <f t="shared" si="52"/>
        <v>8.6491109966183988</v>
      </c>
      <c r="CB27" s="2119">
        <f>CA27*AV56</f>
        <v>5.102975488004855</v>
      </c>
      <c r="CC27" s="2119">
        <f>CA27*AV57</f>
        <v>3.5461355086135433</v>
      </c>
      <c r="CD27" s="2767">
        <f t="shared" si="64"/>
        <v>0.8284051116890998</v>
      </c>
      <c r="CE27" s="4069">
        <f t="shared" si="64"/>
        <v>0.81708191442708378</v>
      </c>
      <c r="CF27" s="4353"/>
      <c r="CG27" s="763">
        <f t="shared" si="51"/>
        <v>8.5019616601919985</v>
      </c>
      <c r="CH27" s="723">
        <f>SUM(CG27*BE56)</f>
        <v>5.0161573795132792</v>
      </c>
      <c r="CI27" s="723">
        <f>CG27*AV57</f>
        <v>3.4858042806787193</v>
      </c>
      <c r="CJ27" s="2767">
        <f t="shared" si="65"/>
        <v>7.5606595466358367E-2</v>
      </c>
      <c r="CK27" s="2767">
        <f t="shared" si="65"/>
        <v>7.5606595466358367E-2</v>
      </c>
      <c r="CL27" s="2770"/>
    </row>
    <row r="28" spans="1:92" ht="38.25">
      <c r="A28" s="721" t="s">
        <v>78</v>
      </c>
      <c r="B28" s="704">
        <v>137.4</v>
      </c>
      <c r="C28" s="2714">
        <v>94</v>
      </c>
      <c r="D28" s="605">
        <f t="shared" si="66"/>
        <v>68.413391557496368</v>
      </c>
      <c r="E28" s="2714">
        <v>244.8</v>
      </c>
      <c r="F28" s="605">
        <f t="shared" si="67"/>
        <v>260.42553191489361</v>
      </c>
      <c r="G28" s="182">
        <v>193</v>
      </c>
      <c r="H28" s="605">
        <f t="shared" si="68"/>
        <v>78.83986928104575</v>
      </c>
      <c r="I28" s="186">
        <v>173</v>
      </c>
      <c r="J28" s="186">
        <v>160.1</v>
      </c>
      <c r="K28" s="186">
        <v>173</v>
      </c>
      <c r="L28" s="186">
        <v>260.3</v>
      </c>
      <c r="M28" s="607">
        <f t="shared" ref="M28:M41" si="71">K28/G28*100</f>
        <v>89.637305699481857</v>
      </c>
      <c r="N28" s="186">
        <v>181.47699999999998</v>
      </c>
      <c r="O28" s="186">
        <v>149</v>
      </c>
      <c r="P28" s="186">
        <v>248.34370000000001</v>
      </c>
      <c r="Q28" s="691">
        <v>301.60000000000002</v>
      </c>
      <c r="R28" s="699">
        <v>267.8</v>
      </c>
      <c r="S28" s="688">
        <f>R28</f>
        <v>267.8</v>
      </c>
      <c r="T28" s="684">
        <f t="shared" si="69"/>
        <v>1.4756690930531144</v>
      </c>
      <c r="U28" s="722" t="e">
        <f>R28*#REF!</f>
        <v>#REF!</v>
      </c>
      <c r="V28" s="722" t="e">
        <f>R28*#REF!</f>
        <v>#REF!</v>
      </c>
      <c r="W28" s="722">
        <f t="shared" si="34"/>
        <v>152.90819422363538</v>
      </c>
      <c r="X28" s="722">
        <f t="shared" si="35"/>
        <v>108.60748211446739</v>
      </c>
      <c r="Y28" s="722">
        <v>116.11</v>
      </c>
      <c r="Z28" s="722">
        <v>154.02000000000001</v>
      </c>
      <c r="AA28" s="725">
        <v>224.47</v>
      </c>
      <c r="AB28" s="695">
        <v>279.7</v>
      </c>
      <c r="AC28" s="688">
        <f>AB28</f>
        <v>279.7</v>
      </c>
      <c r="AD28" s="722">
        <f t="shared" si="36"/>
        <v>165.58217077524574</v>
      </c>
      <c r="AE28" s="722">
        <f t="shared" si="37"/>
        <v>111.88018049193246</v>
      </c>
      <c r="AF28" s="2765">
        <f t="shared" si="59"/>
        <v>1.0828861828887606</v>
      </c>
      <c r="AG28" s="2765">
        <f t="shared" si="60"/>
        <v>1.030133268111453</v>
      </c>
      <c r="AH28" s="722">
        <v>23.43</v>
      </c>
      <c r="AI28" s="2625">
        <v>23.43</v>
      </c>
      <c r="AJ28" s="2625">
        <f t="shared" si="46"/>
        <v>128.5</v>
      </c>
      <c r="AK28" s="2625">
        <v>74.540000000000006</v>
      </c>
      <c r="AL28" s="2626">
        <v>53.96</v>
      </c>
      <c r="AM28" s="698">
        <f t="shared" si="57"/>
        <v>246.91700000000003</v>
      </c>
      <c r="AN28" s="722">
        <f>AM28*AI56</f>
        <v>147.162532</v>
      </c>
      <c r="AO28" s="722">
        <f>AM28*AI57</f>
        <v>99.754468000000017</v>
      </c>
      <c r="AP28" s="2765">
        <f t="shared" si="61"/>
        <v>0.88875832048217451</v>
      </c>
      <c r="AQ28" s="2766">
        <f t="shared" si="61"/>
        <v>0.89161876179841504</v>
      </c>
      <c r="AR28" s="2121">
        <f>AH28*2*1.062</f>
        <v>49.765320000000003</v>
      </c>
      <c r="AS28" s="2119">
        <f t="shared" si="38"/>
        <v>27.080046854250874</v>
      </c>
      <c r="AT28" s="2119">
        <f t="shared" si="39"/>
        <v>22.417092936217713</v>
      </c>
      <c r="AU28" s="2767">
        <f t="shared" si="62"/>
        <v>0.1635444609009758</v>
      </c>
      <c r="AV28" s="2767">
        <f t="shared" si="62"/>
        <v>0.20036697150157154</v>
      </c>
      <c r="AW28" s="2770" t="s">
        <v>1506</v>
      </c>
      <c r="AX28" s="2787">
        <f t="shared" si="47"/>
        <v>138.57</v>
      </c>
      <c r="AY28" s="2788">
        <v>80.59</v>
      </c>
      <c r="AZ28" s="2788">
        <v>57.98</v>
      </c>
      <c r="BA28" s="2788">
        <f t="shared" si="48"/>
        <v>138.57</v>
      </c>
      <c r="BB28" s="2788">
        <v>80.59</v>
      </c>
      <c r="BC28" s="2788">
        <v>57.98</v>
      </c>
      <c r="BD28" s="3592">
        <v>217.63</v>
      </c>
      <c r="BE28" s="723">
        <f>SUM(BD28*AV56)</f>
        <v>128.40169999999998</v>
      </c>
      <c r="BF28" s="723">
        <f>SUM(BD28*AV57)</f>
        <v>89.22829999999999</v>
      </c>
      <c r="BG28" s="698">
        <f>SUM(AJ28*1.074*1.1)</f>
        <v>151.80990000000003</v>
      </c>
      <c r="BH28" s="685">
        <f>SUM(BG28*AQ56)</f>
        <v>89.567841000000016</v>
      </c>
      <c r="BI28" s="685">
        <f>SUM(BG28*AQ57)</f>
        <v>62.242059000000005</v>
      </c>
      <c r="BJ28" s="2765">
        <f t="shared" si="21"/>
        <v>3.3075216406407422</v>
      </c>
      <c r="BK28" s="2766">
        <f t="shared" si="22"/>
        <v>2.7765446294528187</v>
      </c>
      <c r="BL28" s="763">
        <f t="shared" si="40"/>
        <v>52.765671142799995</v>
      </c>
      <c r="BM28" s="2119">
        <f t="shared" si="41"/>
        <v>28.712702879093655</v>
      </c>
      <c r="BN28" s="2119">
        <f t="shared" si="42"/>
        <v>23.768619469342276</v>
      </c>
      <c r="BO28" s="2767">
        <f t="shared" si="63"/>
        <v>1.06029</v>
      </c>
      <c r="BP28" s="4069">
        <f t="shared" si="63"/>
        <v>1.06029</v>
      </c>
      <c r="BQ28" s="4383">
        <f t="shared" si="43"/>
        <v>24.6</v>
      </c>
      <c r="BR28" s="4493">
        <v>14.4</v>
      </c>
      <c r="BS28" s="4493">
        <v>10.199999999999999</v>
      </c>
      <c r="BT28" s="4492">
        <f t="shared" si="44"/>
        <v>41.959999999999994</v>
      </c>
      <c r="BU28" s="4385">
        <v>24.38</v>
      </c>
      <c r="BV28" s="4385">
        <v>17.579999999999998</v>
      </c>
      <c r="BW28" s="4367">
        <f t="shared" si="49"/>
        <v>59.319999999999993</v>
      </c>
      <c r="BX28" s="4369">
        <f t="shared" si="70"/>
        <v>34.36</v>
      </c>
      <c r="BY28" s="4370">
        <f t="shared" si="70"/>
        <v>24.959999999999997</v>
      </c>
      <c r="BZ28" s="4353"/>
      <c r="CA28" s="763">
        <f t="shared" si="52"/>
        <v>55.26781926839157</v>
      </c>
      <c r="CB28" s="2119">
        <f>CA28*AV56</f>
        <v>32.608013368351024</v>
      </c>
      <c r="CC28" s="2119">
        <f>CA28*AV57</f>
        <v>22.659805900040542</v>
      </c>
      <c r="CD28" s="2767">
        <f t="shared" si="64"/>
        <v>0.40461612319581863</v>
      </c>
      <c r="CE28" s="4069">
        <f t="shared" si="64"/>
        <v>0.39082107450915043</v>
      </c>
      <c r="CF28" s="4353"/>
      <c r="CG28" s="763">
        <f t="shared" si="51"/>
        <v>54.327535008626874</v>
      </c>
      <c r="CH28" s="723">
        <f>SUM(CG28*BE56)</f>
        <v>32.053245655089853</v>
      </c>
      <c r="CI28" s="723">
        <f>CG28*AV57</f>
        <v>22.274289353537018</v>
      </c>
      <c r="CJ28" s="2767">
        <f t="shared" si="65"/>
        <v>0.24963256448388035</v>
      </c>
      <c r="CK28" s="2767">
        <f t="shared" si="65"/>
        <v>0.24963256448388035</v>
      </c>
      <c r="CL28" s="2770"/>
    </row>
    <row r="29" spans="1:92" ht="25.5">
      <c r="A29" s="721" t="s">
        <v>39</v>
      </c>
      <c r="B29" s="704">
        <v>58.4</v>
      </c>
      <c r="C29" s="2714">
        <v>137.5</v>
      </c>
      <c r="D29" s="605">
        <f t="shared" si="66"/>
        <v>235.44520547945206</v>
      </c>
      <c r="E29" s="2714">
        <v>37.6</v>
      </c>
      <c r="F29" s="605">
        <f t="shared" si="67"/>
        <v>27.345454545454544</v>
      </c>
      <c r="G29" s="182">
        <f>54.2</f>
        <v>54.2</v>
      </c>
      <c r="H29" s="605">
        <f t="shared" si="68"/>
        <v>144.14893617021275</v>
      </c>
      <c r="I29" s="186">
        <v>44</v>
      </c>
      <c r="J29" s="186">
        <v>19.100000000000001</v>
      </c>
      <c r="K29" s="186">
        <v>54.2</v>
      </c>
      <c r="L29" s="186">
        <v>41.7</v>
      </c>
      <c r="M29" s="607">
        <f t="shared" si="71"/>
        <v>100</v>
      </c>
      <c r="N29" s="186">
        <v>46.155999999999999</v>
      </c>
      <c r="O29" s="186">
        <v>49</v>
      </c>
      <c r="P29" s="186">
        <v>48.979590000000002</v>
      </c>
      <c r="Q29" s="691">
        <v>55.7</v>
      </c>
      <c r="R29" s="699">
        <v>48.51</v>
      </c>
      <c r="S29" s="688">
        <f>R29</f>
        <v>48.51</v>
      </c>
      <c r="T29" s="684">
        <f t="shared" si="69"/>
        <v>1.0510009532888465</v>
      </c>
      <c r="U29" s="722" t="e">
        <f>R29*#REF!</f>
        <v>#REF!</v>
      </c>
      <c r="V29" s="722" t="e">
        <f>R29*#REF!</f>
        <v>#REF!</v>
      </c>
      <c r="W29" s="722">
        <f t="shared" si="34"/>
        <v>27.698194554848961</v>
      </c>
      <c r="X29" s="722">
        <f t="shared" si="35"/>
        <v>19.673446442766291</v>
      </c>
      <c r="Y29" s="722">
        <v>30.64</v>
      </c>
      <c r="Z29" s="722">
        <v>42.99</v>
      </c>
      <c r="AA29" s="725">
        <v>35.770000000000003</v>
      </c>
      <c r="AB29" s="695">
        <v>52.5</v>
      </c>
      <c r="AC29" s="688">
        <f>AB29</f>
        <v>52.5</v>
      </c>
      <c r="AD29" s="722">
        <f t="shared" si="36"/>
        <v>31.079956974259574</v>
      </c>
      <c r="AE29" s="722">
        <f t="shared" si="37"/>
        <v>21.000033878535767</v>
      </c>
      <c r="AF29" s="2765">
        <f t="shared" si="59"/>
        <v>1.1220932437568782</v>
      </c>
      <c r="AG29" s="2765">
        <f t="shared" si="60"/>
        <v>1.0674303528682056</v>
      </c>
      <c r="AH29" s="722">
        <v>5.1100000000000003</v>
      </c>
      <c r="AI29" s="2625">
        <v>14.88</v>
      </c>
      <c r="AJ29" s="2625">
        <f t="shared" si="46"/>
        <v>28.18</v>
      </c>
      <c r="AK29" s="2625">
        <v>16.63</v>
      </c>
      <c r="AL29" s="2626">
        <v>11.55</v>
      </c>
      <c r="AM29" s="698">
        <f t="shared" si="57"/>
        <v>39.347000000000008</v>
      </c>
      <c r="AN29" s="722">
        <f>AM29*AI56</f>
        <v>23.450812000000003</v>
      </c>
      <c r="AO29" s="722">
        <f>AM29*AI57</f>
        <v>15.896188000000004</v>
      </c>
      <c r="AP29" s="2765">
        <f t="shared" si="61"/>
        <v>0.75453167517001296</v>
      </c>
      <c r="AQ29" s="2766">
        <f t="shared" si="61"/>
        <v>0.75696011215713188</v>
      </c>
      <c r="AR29" s="2121">
        <f>AI29/3*4*1.062</f>
        <v>21.070080000000001</v>
      </c>
      <c r="AS29" s="2119">
        <f t="shared" si="38"/>
        <v>11.465389022371689</v>
      </c>
      <c r="AT29" s="2119">
        <f t="shared" si="39"/>
        <v>9.491146475769515</v>
      </c>
      <c r="AU29" s="2767">
        <f t="shared" si="62"/>
        <v>0.36889977138215879</v>
      </c>
      <c r="AV29" s="2767">
        <f t="shared" si="62"/>
        <v>0.45195862686061949</v>
      </c>
      <c r="AW29" s="2770" t="s">
        <v>1508</v>
      </c>
      <c r="AX29" s="2787">
        <f t="shared" si="47"/>
        <v>11.3</v>
      </c>
      <c r="AY29" s="2788">
        <v>6.52</v>
      </c>
      <c r="AZ29" s="2788">
        <v>4.78</v>
      </c>
      <c r="BA29" s="2788">
        <f t="shared" si="48"/>
        <v>24.42</v>
      </c>
      <c r="BB29" s="2788">
        <v>13.93</v>
      </c>
      <c r="BC29" s="2788">
        <v>10.49</v>
      </c>
      <c r="BD29" s="3592">
        <v>34.229999999999997</v>
      </c>
      <c r="BE29" s="723">
        <f>SUM(BD29*AV56)</f>
        <v>20.195699999999999</v>
      </c>
      <c r="BF29" s="723">
        <f>SUM(BD29*AV57)</f>
        <v>14.034299999999998</v>
      </c>
      <c r="BG29" s="698">
        <f>SUM(AJ29*1.074*1.1)</f>
        <v>33.291852000000006</v>
      </c>
      <c r="BH29" s="685">
        <f>SUM(BG29*AQ56)</f>
        <v>19.642192680000001</v>
      </c>
      <c r="BI29" s="685">
        <f>SUM(BG29*AQ57)</f>
        <v>13.649659320000001</v>
      </c>
      <c r="BJ29" s="2765">
        <f t="shared" si="21"/>
        <v>1.713172805708854</v>
      </c>
      <c r="BK29" s="2766">
        <f t="shared" si="22"/>
        <v>1.4381465247477729</v>
      </c>
      <c r="BL29" s="763">
        <f t="shared" si="40"/>
        <v>22.340395123199997</v>
      </c>
      <c r="BM29" s="2119">
        <f t="shared" si="41"/>
        <v>12.156637326530475</v>
      </c>
      <c r="BN29" s="2119">
        <f t="shared" si="42"/>
        <v>10.063367696793657</v>
      </c>
      <c r="BO29" s="2767">
        <f t="shared" si="63"/>
        <v>1.0602899999999997</v>
      </c>
      <c r="BP29" s="4069">
        <f t="shared" si="63"/>
        <v>1.0602899999999997</v>
      </c>
      <c r="BQ29" s="4383">
        <f t="shared" si="43"/>
        <v>28.13</v>
      </c>
      <c r="BR29" s="4493">
        <v>16.739999999999998</v>
      </c>
      <c r="BS29" s="4493">
        <v>11.39</v>
      </c>
      <c r="BT29" s="4492">
        <f t="shared" si="44"/>
        <v>46.03</v>
      </c>
      <c r="BU29" s="4385">
        <v>27.22</v>
      </c>
      <c r="BV29" s="4385">
        <v>18.809999999999999</v>
      </c>
      <c r="BW29" s="4367">
        <f t="shared" si="49"/>
        <v>63.93</v>
      </c>
      <c r="BX29" s="4369">
        <f t="shared" si="70"/>
        <v>37.700000000000003</v>
      </c>
      <c r="BY29" s="4370">
        <f t="shared" si="70"/>
        <v>26.229999999999997</v>
      </c>
      <c r="BZ29" s="4353"/>
      <c r="CA29" s="763">
        <f t="shared" si="52"/>
        <v>23.399776659942141</v>
      </c>
      <c r="CB29" s="2119">
        <f>CA29*AV56</f>
        <v>13.805868229365862</v>
      </c>
      <c r="CC29" s="2119">
        <f>CA29*AV57</f>
        <v>9.5939084305762776</v>
      </c>
      <c r="CD29" s="2767">
        <f t="shared" si="64"/>
        <v>2.1174644523567272</v>
      </c>
      <c r="CE29" s="4069">
        <f t="shared" si="64"/>
        <v>2.0070938139280914</v>
      </c>
      <c r="CF29" s="4353"/>
      <c r="CG29" s="763">
        <f t="shared" si="51"/>
        <v>23.001670818846716</v>
      </c>
      <c r="CH29" s="723">
        <f>SUM(CG29*BE56)</f>
        <v>13.570985783119561</v>
      </c>
      <c r="CI29" s="723">
        <f>CG29*AV57</f>
        <v>9.4306850357271532</v>
      </c>
      <c r="CJ29" s="2767">
        <f t="shared" si="65"/>
        <v>0.67197402333761946</v>
      </c>
      <c r="CK29" s="2767">
        <f t="shared" si="65"/>
        <v>0.67197402333761957</v>
      </c>
      <c r="CL29" s="2770"/>
    </row>
    <row r="30" spans="1:92" ht="15">
      <c r="A30" s="721" t="s">
        <v>40</v>
      </c>
      <c r="B30" s="704">
        <v>63</v>
      </c>
      <c r="C30" s="2714">
        <v>70</v>
      </c>
      <c r="D30" s="605">
        <f t="shared" si="66"/>
        <v>111.11111111111111</v>
      </c>
      <c r="E30" s="2714">
        <v>77</v>
      </c>
      <c r="F30" s="605">
        <f t="shared" si="67"/>
        <v>110.00000000000001</v>
      </c>
      <c r="G30" s="182">
        <v>85</v>
      </c>
      <c r="H30" s="605">
        <f t="shared" si="68"/>
        <v>110.3896103896104</v>
      </c>
      <c r="I30" s="186">
        <v>84.9</v>
      </c>
      <c r="J30" s="186">
        <v>91.5</v>
      </c>
      <c r="K30" s="186">
        <v>91.5</v>
      </c>
      <c r="L30" s="186">
        <v>161.5</v>
      </c>
      <c r="M30" s="607">
        <f t="shared" si="71"/>
        <v>107.64705882352941</v>
      </c>
      <c r="N30" s="186">
        <v>93.5</v>
      </c>
      <c r="O30" s="186">
        <v>32</v>
      </c>
      <c r="P30" s="186">
        <v>32</v>
      </c>
      <c r="Q30" s="691">
        <v>32</v>
      </c>
      <c r="R30" s="699">
        <v>98.7</v>
      </c>
      <c r="S30" s="688">
        <f>P30/9*12*1.048</f>
        <v>44.714666666666666</v>
      </c>
      <c r="T30" s="684">
        <f t="shared" si="69"/>
        <v>0.47823172905525846</v>
      </c>
      <c r="U30" s="722" t="e">
        <f>R30*#REF!</f>
        <v>#REF!</v>
      </c>
      <c r="V30" s="722" t="e">
        <f>R30*#REF!</f>
        <v>#REF!</v>
      </c>
      <c r="W30" s="722">
        <f t="shared" si="34"/>
        <v>25.531138668079841</v>
      </c>
      <c r="X30" s="722">
        <f t="shared" si="35"/>
        <v>18.134232114467405</v>
      </c>
      <c r="Y30" s="722">
        <v>100</v>
      </c>
      <c r="Z30" s="722">
        <v>100</v>
      </c>
      <c r="AA30" s="725">
        <v>99.33</v>
      </c>
      <c r="AB30" s="695">
        <v>50</v>
      </c>
      <c r="AC30" s="688">
        <f>AB30</f>
        <v>50</v>
      </c>
      <c r="AD30" s="722">
        <f t="shared" si="36"/>
        <v>29.599959023104354</v>
      </c>
      <c r="AE30" s="722">
        <f t="shared" si="37"/>
        <v>20.000032265272161</v>
      </c>
      <c r="AF30" s="2765">
        <f t="shared" si="59"/>
        <v>1.1593669756731819</v>
      </c>
      <c r="AG30" s="2765">
        <f t="shared" si="60"/>
        <v>1.1028882909972366</v>
      </c>
      <c r="AH30" s="722">
        <v>100</v>
      </c>
      <c r="AI30" s="2625">
        <v>100</v>
      </c>
      <c r="AJ30" s="2625">
        <f t="shared" si="46"/>
        <v>99.61</v>
      </c>
      <c r="AK30" s="2625">
        <v>58.55</v>
      </c>
      <c r="AL30" s="2626">
        <v>41.06</v>
      </c>
      <c r="AM30" s="698">
        <f t="shared" si="57"/>
        <v>109.26300000000001</v>
      </c>
      <c r="AN30" s="722">
        <f>AM30*AI56</f>
        <v>65.120748000000006</v>
      </c>
      <c r="AO30" s="722">
        <f>AM30*AI57</f>
        <v>44.142252000000006</v>
      </c>
      <c r="AP30" s="2765">
        <f t="shared" si="61"/>
        <v>2.2000283158895515</v>
      </c>
      <c r="AQ30" s="2766">
        <f t="shared" si="61"/>
        <v>2.207109039351308</v>
      </c>
      <c r="AR30" s="2121">
        <f>AM30</f>
        <v>109.26300000000001</v>
      </c>
      <c r="AS30" s="2119">
        <f t="shared" si="38"/>
        <v>59.456005898003134</v>
      </c>
      <c r="AT30" s="2119">
        <f t="shared" si="39"/>
        <v>49.21818699226602</v>
      </c>
      <c r="AU30" s="2767">
        <f t="shared" si="62"/>
        <v>2.0086516285915983</v>
      </c>
      <c r="AV30" s="2767">
        <f t="shared" si="62"/>
        <v>2.4609053795242093</v>
      </c>
      <c r="AW30" s="2768"/>
      <c r="AX30" s="2787">
        <f t="shared" si="47"/>
        <v>99.99</v>
      </c>
      <c r="AY30" s="2788">
        <v>57.83</v>
      </c>
      <c r="AZ30" s="2788">
        <v>42.16</v>
      </c>
      <c r="BA30" s="2788">
        <f t="shared" si="48"/>
        <v>99.99</v>
      </c>
      <c r="BB30" s="2788">
        <v>57.83</v>
      </c>
      <c r="BC30" s="2788">
        <v>42.16</v>
      </c>
      <c r="BD30" s="3592">
        <v>174.98</v>
      </c>
      <c r="BE30" s="723">
        <f>SUM(BD30*AV56)</f>
        <v>103.23819999999999</v>
      </c>
      <c r="BF30" s="723">
        <f>SUM(BD30*AV57)</f>
        <v>71.741799999999998</v>
      </c>
      <c r="BG30" s="698">
        <f>SUM(AR30*1.1)</f>
        <v>120.18930000000002</v>
      </c>
      <c r="BH30" s="685">
        <f>SUM(BG30*AQ56)</f>
        <v>70.911687000000001</v>
      </c>
      <c r="BI30" s="685">
        <f>SUM(BG30*AQ57)</f>
        <v>49.277613000000002</v>
      </c>
      <c r="BJ30" s="2765">
        <f t="shared" si="21"/>
        <v>1.1926749186894441</v>
      </c>
      <c r="BK30" s="2766">
        <f t="shared" si="22"/>
        <v>1.0012073993652655</v>
      </c>
      <c r="BL30" s="763">
        <f t="shared" si="40"/>
        <v>115.85046627</v>
      </c>
      <c r="BM30" s="2119">
        <f t="shared" si="41"/>
        <v>63.040608493593737</v>
      </c>
      <c r="BN30" s="2119">
        <f t="shared" si="42"/>
        <v>52.185551486029738</v>
      </c>
      <c r="BO30" s="2767">
        <f t="shared" si="63"/>
        <v>1.06029</v>
      </c>
      <c r="BP30" s="4069">
        <f t="shared" si="63"/>
        <v>1.06029</v>
      </c>
      <c r="BQ30" s="4383">
        <f t="shared" si="43"/>
        <v>25</v>
      </c>
      <c r="BR30" s="4493">
        <v>14.12</v>
      </c>
      <c r="BS30" s="4493">
        <v>10.88</v>
      </c>
      <c r="BT30" s="4492">
        <f t="shared" si="44"/>
        <v>25</v>
      </c>
      <c r="BU30" s="4385">
        <v>14.12</v>
      </c>
      <c r="BV30" s="4385">
        <v>10.88</v>
      </c>
      <c r="BW30" s="4367">
        <f t="shared" si="49"/>
        <v>25</v>
      </c>
      <c r="BX30" s="4369">
        <f t="shared" si="70"/>
        <v>14.12</v>
      </c>
      <c r="BY30" s="4370">
        <f t="shared" si="70"/>
        <v>10.88</v>
      </c>
      <c r="BZ30" s="4352"/>
      <c r="CA30" s="763">
        <f t="shared" si="52"/>
        <v>121.34409538052341</v>
      </c>
      <c r="CB30" s="2119">
        <f>CA30*AV56</f>
        <v>71.593016274508813</v>
      </c>
      <c r="CC30" s="2119">
        <f>CA30*AV57</f>
        <v>49.751079106014593</v>
      </c>
      <c r="CD30" s="2767">
        <f t="shared" si="64"/>
        <v>1.2379909437058416</v>
      </c>
      <c r="CE30" s="4069">
        <f t="shared" si="64"/>
        <v>1.1800540584918073</v>
      </c>
      <c r="CF30" s="4352"/>
      <c r="CG30" s="763">
        <f t="shared" si="51"/>
        <v>119.279640071592</v>
      </c>
      <c r="CH30" s="723">
        <f>SUM(CG30*BE56)</f>
        <v>70.374987642239276</v>
      </c>
      <c r="CI30" s="723">
        <f>CG30*AV57</f>
        <v>48.904652429352716</v>
      </c>
      <c r="CJ30" s="2767">
        <f t="shared" si="65"/>
        <v>0.68167584907756318</v>
      </c>
      <c r="CK30" s="2767">
        <f t="shared" si="65"/>
        <v>0.68167584907756307</v>
      </c>
      <c r="CL30" s="2768"/>
    </row>
    <row r="31" spans="1:92" ht="15">
      <c r="A31" s="721" t="s">
        <v>79</v>
      </c>
      <c r="B31" s="704">
        <v>3.9</v>
      </c>
      <c r="C31" s="2714">
        <v>39.799999999999997</v>
      </c>
      <c r="D31" s="605">
        <f t="shared" si="66"/>
        <v>1020.5128205128204</v>
      </c>
      <c r="E31" s="2714">
        <v>47.7</v>
      </c>
      <c r="F31" s="605">
        <f t="shared" si="67"/>
        <v>119.8492462311558</v>
      </c>
      <c r="G31" s="182">
        <v>102.2</v>
      </c>
      <c r="H31" s="605">
        <f t="shared" si="68"/>
        <v>214.2557651991614</v>
      </c>
      <c r="I31" s="186">
        <v>43.9</v>
      </c>
      <c r="J31" s="186">
        <v>76.5</v>
      </c>
      <c r="K31" s="186">
        <v>76.5</v>
      </c>
      <c r="L31" s="186">
        <v>102</v>
      </c>
      <c r="M31" s="607">
        <f t="shared" si="71"/>
        <v>74.853228962817994</v>
      </c>
      <c r="N31" s="186">
        <v>48.4</v>
      </c>
      <c r="O31" s="186"/>
      <c r="P31" s="186">
        <v>0.3</v>
      </c>
      <c r="Q31" s="691">
        <v>0.9</v>
      </c>
      <c r="R31" s="699">
        <v>117.6</v>
      </c>
      <c r="S31" s="688">
        <f>P31/9*12*1.048</f>
        <v>0.41920000000000002</v>
      </c>
      <c r="T31" s="684">
        <f t="shared" si="69"/>
        <v>8.6611570247933888E-3</v>
      </c>
      <c r="U31" s="722" t="e">
        <f>R31*#REF!</f>
        <v>#REF!</v>
      </c>
      <c r="V31" s="722" t="e">
        <f>R31*#REF!</f>
        <v>#REF!</v>
      </c>
      <c r="W31" s="722">
        <f t="shared" si="34"/>
        <v>0.23935442501324852</v>
      </c>
      <c r="X31" s="722">
        <f t="shared" si="35"/>
        <v>0.17000842607313191</v>
      </c>
      <c r="Y31" s="722"/>
      <c r="Z31" s="722"/>
      <c r="AA31" s="725"/>
      <c r="AB31" s="695">
        <v>0</v>
      </c>
      <c r="AC31" s="688">
        <v>0</v>
      </c>
      <c r="AD31" s="722">
        <f t="shared" si="36"/>
        <v>0</v>
      </c>
      <c r="AE31" s="722">
        <f t="shared" si="37"/>
        <v>0</v>
      </c>
      <c r="AF31" s="2765">
        <f t="shared" si="59"/>
        <v>0</v>
      </c>
      <c r="AG31" s="2765">
        <f t="shared" si="60"/>
        <v>0</v>
      </c>
      <c r="AH31" s="722">
        <v>0.42</v>
      </c>
      <c r="AI31" s="2625">
        <v>0.42</v>
      </c>
      <c r="AJ31" s="2625">
        <f t="shared" si="46"/>
        <v>0.42000000000000004</v>
      </c>
      <c r="AK31" s="2625">
        <v>0.25</v>
      </c>
      <c r="AL31" s="2626">
        <v>0.17</v>
      </c>
      <c r="AM31" s="698">
        <f t="shared" si="57"/>
        <v>0</v>
      </c>
      <c r="AN31" s="722">
        <f>AM31*AI56</f>
        <v>0</v>
      </c>
      <c r="AO31" s="722">
        <f>AM31*AI57</f>
        <v>0</v>
      </c>
      <c r="AP31" s="2765"/>
      <c r="AQ31" s="2766"/>
      <c r="AR31" s="2121">
        <f t="shared" ref="AR31:AR32" si="72">AM31</f>
        <v>0</v>
      </c>
      <c r="AS31" s="2119">
        <f t="shared" si="38"/>
        <v>0</v>
      </c>
      <c r="AT31" s="2119">
        <f t="shared" si="39"/>
        <v>0</v>
      </c>
      <c r="AU31" s="2767"/>
      <c r="AV31" s="2767"/>
      <c r="AW31" s="2768"/>
      <c r="AX31" s="2787">
        <f t="shared" si="47"/>
        <v>0</v>
      </c>
      <c r="AY31" s="2788">
        <v>0</v>
      </c>
      <c r="AZ31" s="2788">
        <v>0</v>
      </c>
      <c r="BA31" s="2788">
        <f t="shared" si="48"/>
        <v>0</v>
      </c>
      <c r="BB31" s="2788"/>
      <c r="BC31" s="2788"/>
      <c r="BD31" s="3592">
        <v>0</v>
      </c>
      <c r="BE31" s="723">
        <f>SUM(BD31*AV56)</f>
        <v>0</v>
      </c>
      <c r="BF31" s="723">
        <f>SUM(BD31*AV57)</f>
        <v>0</v>
      </c>
      <c r="BG31" s="698">
        <f>SUM(AJ31*1.074*1.1)</f>
        <v>0.49618800000000013</v>
      </c>
      <c r="BH31" s="685">
        <f>SUM(BG31*AQ56)</f>
        <v>0.29275092000000008</v>
      </c>
      <c r="BI31" s="685">
        <f>SUM(BG31*AQ57)</f>
        <v>0.20343708000000005</v>
      </c>
      <c r="BJ31" s="2765" t="e">
        <f t="shared" si="21"/>
        <v>#DIV/0!</v>
      </c>
      <c r="BK31" s="2766" t="e">
        <f t="shared" si="22"/>
        <v>#DIV/0!</v>
      </c>
      <c r="BL31" s="763">
        <f t="shared" si="40"/>
        <v>0</v>
      </c>
      <c r="BM31" s="2119">
        <f t="shared" si="41"/>
        <v>0</v>
      </c>
      <c r="BN31" s="2119">
        <f t="shared" si="42"/>
        <v>0</v>
      </c>
      <c r="BO31" s="2767"/>
      <c r="BP31" s="4069"/>
      <c r="BQ31" s="4383">
        <f t="shared" si="43"/>
        <v>0</v>
      </c>
      <c r="BR31" s="4493"/>
      <c r="BS31" s="4493"/>
      <c r="BT31" s="4492">
        <f t="shared" si="44"/>
        <v>0</v>
      </c>
      <c r="BU31" s="4385">
        <v>0</v>
      </c>
      <c r="BV31" s="4385">
        <v>0</v>
      </c>
      <c r="BW31" s="4367">
        <f t="shared" si="49"/>
        <v>0</v>
      </c>
      <c r="BX31" s="4369">
        <f t="shared" si="70"/>
        <v>0</v>
      </c>
      <c r="BY31" s="4370">
        <f t="shared" si="70"/>
        <v>0</v>
      </c>
      <c r="BZ31" s="4352"/>
      <c r="CA31" s="763">
        <f t="shared" si="52"/>
        <v>0</v>
      </c>
      <c r="CB31" s="2119">
        <f>CA31*AV56</f>
        <v>0</v>
      </c>
      <c r="CC31" s="2119">
        <f>CA31*AV57</f>
        <v>0</v>
      </c>
      <c r="CD31" s="2767"/>
      <c r="CE31" s="4069"/>
      <c r="CF31" s="4352"/>
      <c r="CG31" s="763">
        <f t="shared" si="51"/>
        <v>0</v>
      </c>
      <c r="CH31" s="723">
        <f>SUM(CG31*BE56)</f>
        <v>0</v>
      </c>
      <c r="CI31" s="723">
        <f>CG31*AV57</f>
        <v>0</v>
      </c>
      <c r="CJ31" s="2767"/>
      <c r="CK31" s="2767"/>
      <c r="CL31" s="2768"/>
    </row>
    <row r="32" spans="1:92" ht="15">
      <c r="A32" s="721" t="s">
        <v>99</v>
      </c>
      <c r="B32" s="704">
        <v>6.6</v>
      </c>
      <c r="C32" s="2714">
        <v>7.8</v>
      </c>
      <c r="D32" s="605">
        <f t="shared" si="66"/>
        <v>118.18181818181819</v>
      </c>
      <c r="E32" s="2714">
        <v>7</v>
      </c>
      <c r="F32" s="605">
        <f t="shared" si="67"/>
        <v>89.743589743589752</v>
      </c>
      <c r="G32" s="182">
        <v>6.7</v>
      </c>
      <c r="H32" s="605">
        <f t="shared" si="68"/>
        <v>95.714285714285722</v>
      </c>
      <c r="I32" s="186">
        <v>10.6</v>
      </c>
      <c r="J32" s="186">
        <v>5</v>
      </c>
      <c r="K32" s="186">
        <v>7</v>
      </c>
      <c r="L32" s="186">
        <v>6.6</v>
      </c>
      <c r="M32" s="607">
        <f t="shared" si="71"/>
        <v>104.4776119402985</v>
      </c>
      <c r="N32" s="186">
        <v>7.343</v>
      </c>
      <c r="O32" s="186">
        <v>3.3</v>
      </c>
      <c r="P32" s="186">
        <v>5.3182299999999998</v>
      </c>
      <c r="Q32" s="691">
        <v>7</v>
      </c>
      <c r="R32" s="699">
        <v>7.84</v>
      </c>
      <c r="S32" s="688">
        <f>P32/9*12*1.048</f>
        <v>7.4313400533333329</v>
      </c>
      <c r="T32" s="684">
        <f t="shared" si="69"/>
        <v>1.0120305125062417</v>
      </c>
      <c r="U32" s="722" t="e">
        <f>R32*#REF!</f>
        <v>#REF!</v>
      </c>
      <c r="V32" s="722" t="e">
        <f>R32*#REF!</f>
        <v>#REF!</v>
      </c>
      <c r="W32" s="722">
        <f t="shared" si="34"/>
        <v>4.2431396124606948</v>
      </c>
      <c r="X32" s="722">
        <f t="shared" si="35"/>
        <v>3.0138130393163745</v>
      </c>
      <c r="Y32" s="722">
        <v>3.46</v>
      </c>
      <c r="Z32" s="722">
        <v>5.85</v>
      </c>
      <c r="AA32" s="725">
        <v>7.8</v>
      </c>
      <c r="AB32" s="695">
        <v>7.83</v>
      </c>
      <c r="AC32" s="688">
        <f>AB32</f>
        <v>7.83</v>
      </c>
      <c r="AD32" s="722">
        <f t="shared" si="36"/>
        <v>4.6353535830181425</v>
      </c>
      <c r="AE32" s="722">
        <f t="shared" si="37"/>
        <v>3.1320050527416203</v>
      </c>
      <c r="AF32" s="2765">
        <f t="shared" si="59"/>
        <v>1.0924348492813305</v>
      </c>
      <c r="AG32" s="2765">
        <f t="shared" si="60"/>
        <v>1.039216770212148</v>
      </c>
      <c r="AH32" s="722">
        <v>3.4</v>
      </c>
      <c r="AI32" s="2625">
        <v>5.25</v>
      </c>
      <c r="AJ32" s="2625">
        <f t="shared" si="46"/>
        <v>7.3699999999999992</v>
      </c>
      <c r="AK32" s="2625">
        <f>4.17+0.17</f>
        <v>4.34</v>
      </c>
      <c r="AL32" s="2626">
        <f>2.9+0.13</f>
        <v>3.03</v>
      </c>
      <c r="AM32" s="698">
        <f t="shared" si="57"/>
        <v>8.58</v>
      </c>
      <c r="AN32" s="722">
        <f>AM32*AI56</f>
        <v>5.1136799999999996</v>
      </c>
      <c r="AO32" s="722">
        <f>AM32*AI57</f>
        <v>3.4663200000000001</v>
      </c>
      <c r="AP32" s="2765">
        <f>AN32/AD32</f>
        <v>1.1031909235002548</v>
      </c>
      <c r="AQ32" s="2766">
        <f>AO32/AE32</f>
        <v>1.1067415095533562</v>
      </c>
      <c r="AR32" s="2121">
        <f t="shared" si="72"/>
        <v>8.58</v>
      </c>
      <c r="AS32" s="2119">
        <f t="shared" si="38"/>
        <v>4.6688497533919699</v>
      </c>
      <c r="AT32" s="2119">
        <f t="shared" si="39"/>
        <v>3.8649135058861868</v>
      </c>
      <c r="AU32" s="2767">
        <f>AS32/AD32</f>
        <v>1.0072262384678792</v>
      </c>
      <c r="AV32" s="2767">
        <f>AT32/AE32</f>
        <v>1.2340061528646036</v>
      </c>
      <c r="AW32" s="2768"/>
      <c r="AX32" s="2787">
        <f t="shared" si="47"/>
        <v>3.6399999999999997</v>
      </c>
      <c r="AY32" s="2788">
        <v>2.11</v>
      </c>
      <c r="AZ32" s="2788">
        <v>1.53</v>
      </c>
      <c r="BA32" s="2788">
        <f t="shared" si="48"/>
        <v>5.34</v>
      </c>
      <c r="BB32" s="2788">
        <v>3.12</v>
      </c>
      <c r="BC32" s="2788">
        <v>2.2200000000000002</v>
      </c>
      <c r="BD32" s="3592">
        <v>6.83</v>
      </c>
      <c r="BE32" s="723">
        <f>SUM(BD32*AV56)</f>
        <v>4.0297000000000001</v>
      </c>
      <c r="BF32" s="723">
        <f>SUM(BD32*AV57)</f>
        <v>2.8003</v>
      </c>
      <c r="BG32" s="698">
        <f>SUM(AR32*1.1)</f>
        <v>9.4380000000000006</v>
      </c>
      <c r="BH32" s="685">
        <f>SUM(BG32*AQ56)</f>
        <v>5.5684199999999997</v>
      </c>
      <c r="BI32" s="685">
        <f>SUM(BG32*AQ57)</f>
        <v>3.86958</v>
      </c>
      <c r="BJ32" s="2765">
        <f t="shared" si="21"/>
        <v>1.1926749186894443</v>
      </c>
      <c r="BK32" s="2766">
        <f t="shared" si="22"/>
        <v>1.0012073993652655</v>
      </c>
      <c r="BL32" s="763">
        <f t="shared" si="40"/>
        <v>9.0972881999999995</v>
      </c>
      <c r="BM32" s="2119">
        <f t="shared" si="41"/>
        <v>4.9503347050239723</v>
      </c>
      <c r="BN32" s="2119">
        <f t="shared" si="42"/>
        <v>4.0979291411560652</v>
      </c>
      <c r="BO32" s="2767">
        <f>BM32/AS32</f>
        <v>1.0602900000000002</v>
      </c>
      <c r="BP32" s="4069">
        <f>BN32/AT32</f>
        <v>1.06029</v>
      </c>
      <c r="BQ32" s="4383">
        <f t="shared" si="43"/>
        <v>0.55000000000000004</v>
      </c>
      <c r="BR32" s="4493">
        <v>0.31</v>
      </c>
      <c r="BS32" s="4493">
        <v>0.24</v>
      </c>
      <c r="BT32" s="4492">
        <f t="shared" si="44"/>
        <v>0.55000000000000004</v>
      </c>
      <c r="BU32" s="4385">
        <v>0.31</v>
      </c>
      <c r="BV32" s="4385">
        <v>0.24</v>
      </c>
      <c r="BW32" s="4367">
        <f t="shared" si="49"/>
        <v>0.55000000000000004</v>
      </c>
      <c r="BX32" s="4369">
        <f t="shared" si="70"/>
        <v>0.31</v>
      </c>
      <c r="BY32" s="4370">
        <f t="shared" si="70"/>
        <v>0.24</v>
      </c>
      <c r="BZ32" s="4352"/>
      <c r="CA32" s="763">
        <f t="shared" si="52"/>
        <v>9.5286816064439996</v>
      </c>
      <c r="CB32" s="2119">
        <f>CA32*AV56</f>
        <v>5.6219221478019596</v>
      </c>
      <c r="CC32" s="2119">
        <f>CA32*AV57</f>
        <v>3.9067594586420396</v>
      </c>
      <c r="CD32" s="2767">
        <f>CB32/AY32</f>
        <v>2.6644180795269952</v>
      </c>
      <c r="CE32" s="4069">
        <f>CC32/AZ32</f>
        <v>2.5534375546679997</v>
      </c>
      <c r="CF32" s="4352"/>
      <c r="CG32" s="763">
        <f t="shared" si="51"/>
        <v>9.3665679307199987</v>
      </c>
      <c r="CH32" s="723">
        <f>SUM(CG32*BE56)</f>
        <v>5.5262750791247992</v>
      </c>
      <c r="CI32" s="723">
        <f>CG32*AV57</f>
        <v>3.8402928515951991</v>
      </c>
      <c r="CJ32" s="2767">
        <f>CH32/BE32</f>
        <v>1.3713862270453878</v>
      </c>
      <c r="CK32" s="2767">
        <f>CI32/BF32</f>
        <v>1.3713862270453876</v>
      </c>
      <c r="CL32" s="2768"/>
    </row>
    <row r="33" spans="1:90" ht="15">
      <c r="A33" s="721" t="s">
        <v>220</v>
      </c>
      <c r="B33" s="704">
        <v>105.1</v>
      </c>
      <c r="C33" s="2714">
        <v>13</v>
      </c>
      <c r="D33" s="605">
        <f t="shared" si="66"/>
        <v>12.369172216936251</v>
      </c>
      <c r="E33" s="2714">
        <v>28.1</v>
      </c>
      <c r="F33" s="605">
        <f t="shared" si="67"/>
        <v>216.15384615384619</v>
      </c>
      <c r="G33" s="182">
        <v>117.6</v>
      </c>
      <c r="H33" s="605">
        <f t="shared" si="68"/>
        <v>418.5053380782918</v>
      </c>
      <c r="I33" s="186">
        <v>108.2</v>
      </c>
      <c r="J33" s="186">
        <v>58.5</v>
      </c>
      <c r="K33" s="186">
        <v>108.2</v>
      </c>
      <c r="L33" s="186">
        <v>103</v>
      </c>
      <c r="M33" s="607">
        <f t="shared" si="71"/>
        <v>92.006802721088448</v>
      </c>
      <c r="N33" s="186">
        <v>0</v>
      </c>
      <c r="O33" s="186">
        <v>141.4</v>
      </c>
      <c r="P33" s="186">
        <v>256.79226</v>
      </c>
      <c r="Q33" s="691">
        <v>266</v>
      </c>
      <c r="R33" s="699">
        <v>103</v>
      </c>
      <c r="S33" s="688">
        <v>103</v>
      </c>
      <c r="T33" s="684"/>
      <c r="U33" s="722" t="e">
        <f>R33*#REF!</f>
        <v>#REF!</v>
      </c>
      <c r="V33" s="722" t="e">
        <f>R33*#REF!</f>
        <v>#REF!</v>
      </c>
      <c r="W33" s="722">
        <f t="shared" si="34"/>
        <v>58.810843932167451</v>
      </c>
      <c r="X33" s="722">
        <f t="shared" si="35"/>
        <v>41.772108505564375</v>
      </c>
      <c r="Y33" s="722">
        <v>246.24</v>
      </c>
      <c r="Z33" s="722">
        <v>378.14</v>
      </c>
      <c r="AA33" s="725">
        <v>344.26</v>
      </c>
      <c r="AB33" s="695">
        <v>106.3</v>
      </c>
      <c r="AC33" s="688">
        <v>0</v>
      </c>
      <c r="AD33" s="722">
        <f t="shared" si="36"/>
        <v>0</v>
      </c>
      <c r="AE33" s="722">
        <f t="shared" si="37"/>
        <v>0</v>
      </c>
      <c r="AF33" s="2765">
        <f t="shared" si="59"/>
        <v>0</v>
      </c>
      <c r="AG33" s="2765">
        <f t="shared" si="60"/>
        <v>0</v>
      </c>
      <c r="AH33" s="722">
        <v>137.71</v>
      </c>
      <c r="AI33" s="2625">
        <v>296.42</v>
      </c>
      <c r="AJ33" s="2625">
        <f t="shared" si="46"/>
        <v>398.45000000000005</v>
      </c>
      <c r="AK33" s="2625">
        <v>234.68</v>
      </c>
      <c r="AL33" s="2626">
        <v>163.77000000000001</v>
      </c>
      <c r="AM33" s="698">
        <f t="shared" si="57"/>
        <v>378.68600000000004</v>
      </c>
      <c r="AN33" s="722">
        <f>AM33*AI56</f>
        <v>225.69685600000003</v>
      </c>
      <c r="AO33" s="722">
        <f>AM33*AI57</f>
        <v>152.98914400000001</v>
      </c>
      <c r="AP33" s="2765"/>
      <c r="AQ33" s="2766"/>
      <c r="AR33" s="2121"/>
      <c r="AS33" s="2119">
        <f t="shared" si="38"/>
        <v>0</v>
      </c>
      <c r="AT33" s="2119">
        <f t="shared" si="39"/>
        <v>0</v>
      </c>
      <c r="AU33" s="2767"/>
      <c r="AV33" s="2767"/>
      <c r="AW33" s="2768"/>
      <c r="AX33" s="2787">
        <f t="shared" si="47"/>
        <v>120</v>
      </c>
      <c r="AY33" s="2788">
        <v>69.150000000000006</v>
      </c>
      <c r="AZ33" s="2788">
        <v>50.85</v>
      </c>
      <c r="BA33" s="2788">
        <f t="shared" si="48"/>
        <v>148.25</v>
      </c>
      <c r="BB33" s="2788">
        <v>85.53</v>
      </c>
      <c r="BC33" s="2788">
        <v>62.72</v>
      </c>
      <c r="BD33" s="3592">
        <v>172.1</v>
      </c>
      <c r="BE33" s="723">
        <f>SUM(BD33*AV56)</f>
        <v>101.53899999999999</v>
      </c>
      <c r="BF33" s="723">
        <f>SUM(BD33*AV57)</f>
        <v>70.560999999999993</v>
      </c>
      <c r="BG33" s="698">
        <v>398.45</v>
      </c>
      <c r="BH33" s="685">
        <f>SUM(BG33*AQ56)</f>
        <v>235.08549999999997</v>
      </c>
      <c r="BI33" s="685">
        <f>SUM(BG33*AQ57)</f>
        <v>163.36449999999999</v>
      </c>
      <c r="BJ33" s="2765" t="e">
        <f t="shared" si="21"/>
        <v>#DIV/0!</v>
      </c>
      <c r="BK33" s="2766" t="e">
        <f t="shared" si="22"/>
        <v>#DIV/0!</v>
      </c>
      <c r="BL33" s="763">
        <f t="shared" si="40"/>
        <v>0</v>
      </c>
      <c r="BM33" s="2119">
        <f t="shared" si="41"/>
        <v>0</v>
      </c>
      <c r="BN33" s="2119">
        <f t="shared" si="42"/>
        <v>0</v>
      </c>
      <c r="BO33" s="2767"/>
      <c r="BP33" s="4069"/>
      <c r="BQ33" s="4383">
        <f t="shared" si="43"/>
        <v>0</v>
      </c>
      <c r="BR33" s="4493"/>
      <c r="BS33" s="4493"/>
      <c r="BT33" s="4492">
        <f t="shared" si="44"/>
        <v>0</v>
      </c>
      <c r="BU33" s="4385">
        <v>0</v>
      </c>
      <c r="BV33" s="4385">
        <v>0</v>
      </c>
      <c r="BW33" s="4367">
        <f t="shared" si="49"/>
        <v>0</v>
      </c>
      <c r="BX33" s="4369">
        <f t="shared" si="70"/>
        <v>0</v>
      </c>
      <c r="BY33" s="4370">
        <f t="shared" si="70"/>
        <v>0</v>
      </c>
      <c r="BZ33" s="4352"/>
      <c r="CA33" s="763">
        <f t="shared" si="52"/>
        <v>0</v>
      </c>
      <c r="CB33" s="2119">
        <f>CA33*AV56</f>
        <v>0</v>
      </c>
      <c r="CC33" s="2119">
        <f>CA33*AV57</f>
        <v>0</v>
      </c>
      <c r="CD33" s="2767"/>
      <c r="CE33" s="4069"/>
      <c r="CF33" s="4352"/>
      <c r="CG33" s="763">
        <f t="shared" si="51"/>
        <v>0</v>
      </c>
      <c r="CH33" s="723">
        <f>SUM(CG33*BE56)</f>
        <v>0</v>
      </c>
      <c r="CI33" s="723">
        <f>CG33*AV57</f>
        <v>0</v>
      </c>
      <c r="CJ33" s="2767"/>
      <c r="CK33" s="2767"/>
      <c r="CL33" s="2768"/>
    </row>
    <row r="34" spans="1:90" ht="15">
      <c r="A34" s="721" t="s">
        <v>41</v>
      </c>
      <c r="B34" s="704">
        <v>8.1</v>
      </c>
      <c r="C34" s="2714">
        <v>11.6</v>
      </c>
      <c r="D34" s="605">
        <f t="shared" si="66"/>
        <v>143.20987654320987</v>
      </c>
      <c r="E34" s="2714">
        <v>17.600000000000001</v>
      </c>
      <c r="F34" s="605">
        <f t="shared" si="67"/>
        <v>151.72413793103451</v>
      </c>
      <c r="G34" s="182">
        <v>14.6</v>
      </c>
      <c r="H34" s="605">
        <f t="shared" si="68"/>
        <v>82.954545454545453</v>
      </c>
      <c r="I34" s="186">
        <v>19.600000000000001</v>
      </c>
      <c r="J34" s="186">
        <v>12.2</v>
      </c>
      <c r="K34" s="186">
        <f>J34/9*12</f>
        <v>16.266666666666666</v>
      </c>
      <c r="L34" s="186">
        <v>16.600000000000001</v>
      </c>
      <c r="M34" s="607">
        <f t="shared" si="71"/>
        <v>111.41552511415524</v>
      </c>
      <c r="N34" s="186">
        <v>17.063733333333332</v>
      </c>
      <c r="O34" s="186">
        <v>1.1000000000000001</v>
      </c>
      <c r="P34" s="186">
        <v>1.1040000000000001</v>
      </c>
      <c r="Q34" s="691">
        <v>1.1000000000000001</v>
      </c>
      <c r="R34" s="699">
        <v>17.850000000000001</v>
      </c>
      <c r="S34" s="688">
        <f>P34/9*12*1.048</f>
        <v>1.542656</v>
      </c>
      <c r="T34" s="684">
        <f>S34/N34</f>
        <v>9.0405538451921438E-2</v>
      </c>
      <c r="U34" s="722" t="e">
        <f>R34*#REF!</f>
        <v>#REF!</v>
      </c>
      <c r="V34" s="722" t="e">
        <f>R34*#REF!</f>
        <v>#REF!</v>
      </c>
      <c r="W34" s="722">
        <f t="shared" si="34"/>
        <v>0.88082428404875446</v>
      </c>
      <c r="X34" s="722">
        <f t="shared" si="35"/>
        <v>0.62563100794912541</v>
      </c>
      <c r="Y34" s="722"/>
      <c r="Z34" s="722">
        <v>4.8</v>
      </c>
      <c r="AA34" s="725">
        <v>4.76</v>
      </c>
      <c r="AB34" s="695">
        <v>1.9</v>
      </c>
      <c r="AC34" s="688">
        <f>AB34</f>
        <v>1.9</v>
      </c>
      <c r="AD34" s="722">
        <f t="shared" si="36"/>
        <v>1.1247984428779654</v>
      </c>
      <c r="AE34" s="722">
        <f t="shared" si="37"/>
        <v>0.76000122608034204</v>
      </c>
      <c r="AF34" s="2765">
        <f t="shared" si="59"/>
        <v>1.2769839152342293</v>
      </c>
      <c r="AG34" s="2765">
        <f t="shared" si="60"/>
        <v>1.2147755089244925</v>
      </c>
      <c r="AH34" s="722">
        <v>0</v>
      </c>
      <c r="AI34" s="2625">
        <v>0</v>
      </c>
      <c r="AJ34" s="2625">
        <f t="shared" si="46"/>
        <v>0</v>
      </c>
      <c r="AK34" s="2625">
        <v>0</v>
      </c>
      <c r="AL34" s="2626">
        <v>0</v>
      </c>
      <c r="AM34" s="698">
        <f t="shared" si="57"/>
        <v>5.2359999999999998</v>
      </c>
      <c r="AN34" s="722">
        <f>AM34*AI56</f>
        <v>3.1206559999999999</v>
      </c>
      <c r="AO34" s="722">
        <f>AM34*AI57</f>
        <v>2.1153439999999999</v>
      </c>
      <c r="AP34" s="2765">
        <f t="shared" ref="AP34:AQ38" si="73">AN34/AD34</f>
        <v>2.7744135136027874</v>
      </c>
      <c r="AQ34" s="2766">
        <f t="shared" si="73"/>
        <v>2.7833428781552789</v>
      </c>
      <c r="AR34" s="2121">
        <v>0</v>
      </c>
      <c r="AS34" s="2119">
        <f t="shared" si="38"/>
        <v>0</v>
      </c>
      <c r="AT34" s="2119">
        <f t="shared" si="39"/>
        <v>0</v>
      </c>
      <c r="AU34" s="2767">
        <f t="shared" ref="AU34:AV38" si="74">AS34/AD34</f>
        <v>0</v>
      </c>
      <c r="AV34" s="2767">
        <f t="shared" si="74"/>
        <v>0</v>
      </c>
      <c r="AW34" s="2768"/>
      <c r="AX34" s="2787">
        <f t="shared" si="47"/>
        <v>0</v>
      </c>
      <c r="AY34" s="2788">
        <v>0</v>
      </c>
      <c r="AZ34" s="2788">
        <v>0</v>
      </c>
      <c r="BA34" s="2788">
        <f t="shared" si="48"/>
        <v>0</v>
      </c>
      <c r="BB34" s="2788"/>
      <c r="BC34" s="2788"/>
      <c r="BD34" s="3592">
        <v>0</v>
      </c>
      <c r="BE34" s="723">
        <f>SUM(BD34*AV56)</f>
        <v>0</v>
      </c>
      <c r="BF34" s="723">
        <f>SUM(BD34*AV57)</f>
        <v>0</v>
      </c>
      <c r="BG34" s="698">
        <f t="shared" si="58"/>
        <v>0</v>
      </c>
      <c r="BH34" s="685">
        <f>SUM(BG34*AQ56)</f>
        <v>0</v>
      </c>
      <c r="BI34" s="685">
        <f>SUM(BG34*AQ57)</f>
        <v>0</v>
      </c>
      <c r="BJ34" s="2765" t="e">
        <f t="shared" si="21"/>
        <v>#DIV/0!</v>
      </c>
      <c r="BK34" s="2766" t="e">
        <f t="shared" si="22"/>
        <v>#DIV/0!</v>
      </c>
      <c r="BL34" s="763">
        <f t="shared" si="40"/>
        <v>0</v>
      </c>
      <c r="BM34" s="2119">
        <f t="shared" si="41"/>
        <v>0</v>
      </c>
      <c r="BN34" s="2119">
        <f t="shared" si="42"/>
        <v>0</v>
      </c>
      <c r="BO34" s="2767"/>
      <c r="BP34" s="4069"/>
      <c r="BQ34" s="4383">
        <f t="shared" si="43"/>
        <v>0</v>
      </c>
      <c r="BR34" s="4493"/>
      <c r="BS34" s="4493"/>
      <c r="BT34" s="4492">
        <f t="shared" si="44"/>
        <v>0</v>
      </c>
      <c r="BU34" s="4385">
        <v>0</v>
      </c>
      <c r="BV34" s="4385">
        <v>0</v>
      </c>
      <c r="BW34" s="4367">
        <f t="shared" si="49"/>
        <v>0</v>
      </c>
      <c r="BX34" s="4369">
        <f t="shared" si="70"/>
        <v>0</v>
      </c>
      <c r="BY34" s="4370">
        <f t="shared" si="70"/>
        <v>0</v>
      </c>
      <c r="BZ34" s="4352"/>
      <c r="CA34" s="763">
        <f t="shared" si="52"/>
        <v>0</v>
      </c>
      <c r="CB34" s="2119">
        <f>CA34*AV56</f>
        <v>0</v>
      </c>
      <c r="CC34" s="2119">
        <f>CA34*AV57</f>
        <v>0</v>
      </c>
      <c r="CD34" s="2767"/>
      <c r="CE34" s="4069"/>
      <c r="CF34" s="4352"/>
      <c r="CG34" s="763">
        <f t="shared" si="51"/>
        <v>0</v>
      </c>
      <c r="CH34" s="723">
        <f>SUM(CG34*BE56)</f>
        <v>0</v>
      </c>
      <c r="CI34" s="723">
        <f>CG34*AV57</f>
        <v>0</v>
      </c>
      <c r="CJ34" s="2767"/>
      <c r="CK34" s="2767"/>
      <c r="CL34" s="2768"/>
    </row>
    <row r="35" spans="1:90" ht="15">
      <c r="A35" s="721" t="s">
        <v>42</v>
      </c>
      <c r="B35" s="704">
        <v>26.2</v>
      </c>
      <c r="C35" s="2714">
        <v>19.3</v>
      </c>
      <c r="D35" s="605">
        <f t="shared" si="66"/>
        <v>73.66412213740459</v>
      </c>
      <c r="E35" s="2714">
        <v>20.3</v>
      </c>
      <c r="F35" s="605">
        <f t="shared" si="67"/>
        <v>105.18134715025906</v>
      </c>
      <c r="G35" s="182">
        <v>23.4</v>
      </c>
      <c r="H35" s="605">
        <f t="shared" si="68"/>
        <v>115.27093596059113</v>
      </c>
      <c r="I35" s="186">
        <v>25.3</v>
      </c>
      <c r="J35" s="186">
        <v>20.8</v>
      </c>
      <c r="K35" s="186">
        <v>25.3</v>
      </c>
      <c r="L35" s="186">
        <v>23.5</v>
      </c>
      <c r="M35" s="607">
        <f t="shared" si="71"/>
        <v>108.11965811965814</v>
      </c>
      <c r="N35" s="186">
        <v>26.5397</v>
      </c>
      <c r="O35" s="186">
        <v>8.3000000000000007</v>
      </c>
      <c r="P35" s="186">
        <v>8.2553599999999996</v>
      </c>
      <c r="Q35" s="691">
        <v>23.5</v>
      </c>
      <c r="R35" s="699">
        <v>29.03</v>
      </c>
      <c r="S35" s="688">
        <f>23.5197*1.048</f>
        <v>24.648645600000002</v>
      </c>
      <c r="T35" s="684">
        <f>S35/N35</f>
        <v>0.9287462028583594</v>
      </c>
      <c r="U35" s="722" t="e">
        <f>R35*#REF!</f>
        <v>#REF!</v>
      </c>
      <c r="V35" s="722" t="e">
        <f>R35*#REF!</f>
        <v>#REF!</v>
      </c>
      <c r="W35" s="722">
        <f t="shared" si="34"/>
        <v>14.073860674960253</v>
      </c>
      <c r="X35" s="722">
        <f t="shared" si="35"/>
        <v>9.9963679467806017</v>
      </c>
      <c r="Y35" s="722">
        <v>9.32</v>
      </c>
      <c r="Z35" s="722">
        <v>22.54</v>
      </c>
      <c r="AA35" s="725">
        <v>25.47</v>
      </c>
      <c r="AB35" s="695">
        <v>26</v>
      </c>
      <c r="AC35" s="688">
        <f>AB35</f>
        <v>26</v>
      </c>
      <c r="AD35" s="722">
        <f t="shared" si="36"/>
        <v>15.391978692014264</v>
      </c>
      <c r="AE35" s="722">
        <f t="shared" si="37"/>
        <v>10.400016777941524</v>
      </c>
      <c r="AF35" s="2765">
        <f t="shared" si="59"/>
        <v>1.0936571739266372</v>
      </c>
      <c r="AG35" s="2765">
        <f t="shared" si="60"/>
        <v>1.040379549183253</v>
      </c>
      <c r="AH35" s="722">
        <v>8.99</v>
      </c>
      <c r="AI35" s="2625">
        <v>22.81</v>
      </c>
      <c r="AJ35" s="2625">
        <f t="shared" si="46"/>
        <v>25.369999999999997</v>
      </c>
      <c r="AK35" s="2625">
        <v>14.79</v>
      </c>
      <c r="AL35" s="2626">
        <v>10.58</v>
      </c>
      <c r="AM35" s="698">
        <f t="shared" si="57"/>
        <v>28.016999999999999</v>
      </c>
      <c r="AN35" s="722">
        <f>AM35*AI56</f>
        <v>16.698131999999998</v>
      </c>
      <c r="AO35" s="722">
        <f>AM35*AI57</f>
        <v>11.318868</v>
      </c>
      <c r="AP35" s="2765">
        <f t="shared" si="73"/>
        <v>1.0848593500628607</v>
      </c>
      <c r="AQ35" s="2766">
        <f t="shared" si="73"/>
        <v>1.0883509365107338</v>
      </c>
      <c r="AR35" s="2121">
        <f>AM35</f>
        <v>28.016999999999999</v>
      </c>
      <c r="AS35" s="2119">
        <f t="shared" si="38"/>
        <v>15.245590156268396</v>
      </c>
      <c r="AT35" s="2119">
        <f t="shared" si="39"/>
        <v>12.620429101912972</v>
      </c>
      <c r="AU35" s="2767">
        <f t="shared" si="74"/>
        <v>0.99048929714138578</v>
      </c>
      <c r="AV35" s="2767">
        <f t="shared" si="74"/>
        <v>1.2135008405641183</v>
      </c>
      <c r="AW35" s="2768"/>
      <c r="AX35" s="2787">
        <f t="shared" si="47"/>
        <v>9.7100000000000009</v>
      </c>
      <c r="AY35" s="2788">
        <v>5.62</v>
      </c>
      <c r="AZ35" s="2788">
        <v>4.09</v>
      </c>
      <c r="BA35" s="2788">
        <f t="shared" si="48"/>
        <v>24.619999999999997</v>
      </c>
      <c r="BB35" s="2788">
        <v>13.79</v>
      </c>
      <c r="BC35" s="2788">
        <v>10.83</v>
      </c>
      <c r="BD35" s="3592">
        <v>27.5</v>
      </c>
      <c r="BE35" s="723">
        <f>SUM(BD35*AV56)</f>
        <v>16.224999999999998</v>
      </c>
      <c r="BF35" s="723">
        <f>SUM(BD35*AV57)</f>
        <v>11.274999999999999</v>
      </c>
      <c r="BG35" s="698">
        <f>SUM(AR35*1.1)</f>
        <v>30.818700000000003</v>
      </c>
      <c r="BH35" s="685">
        <f>SUM(BG35*AQ56)</f>
        <v>18.183033000000002</v>
      </c>
      <c r="BI35" s="685">
        <f>SUM(BG35*AQ57)</f>
        <v>12.635667</v>
      </c>
      <c r="BJ35" s="2765">
        <f t="shared" si="21"/>
        <v>1.1926749186894443</v>
      </c>
      <c r="BK35" s="2766">
        <f t="shared" si="22"/>
        <v>1.0012073993652655</v>
      </c>
      <c r="BL35" s="763">
        <f t="shared" si="40"/>
        <v>29.706144929999997</v>
      </c>
      <c r="BM35" s="2119">
        <f t="shared" si="41"/>
        <v>16.164746786789816</v>
      </c>
      <c r="BN35" s="2119">
        <f t="shared" si="42"/>
        <v>13.381314772467304</v>
      </c>
      <c r="BO35" s="2767">
        <f t="shared" ref="BO35:BP38" si="75">BM35/AS35</f>
        <v>1.06029</v>
      </c>
      <c r="BP35" s="4069">
        <f t="shared" si="75"/>
        <v>1.06029</v>
      </c>
      <c r="BQ35" s="4383">
        <f t="shared" si="43"/>
        <v>10.190000000000001</v>
      </c>
      <c r="BR35" s="4493">
        <v>5.87</v>
      </c>
      <c r="BS35" s="4493">
        <v>4.32</v>
      </c>
      <c r="BT35" s="4492">
        <f t="shared" si="44"/>
        <v>25.86</v>
      </c>
      <c r="BU35" s="4385">
        <v>15.17</v>
      </c>
      <c r="BV35" s="4385">
        <v>10.69</v>
      </c>
      <c r="BW35" s="4367">
        <f t="shared" si="49"/>
        <v>41.53</v>
      </c>
      <c r="BX35" s="4369">
        <f t="shared" si="70"/>
        <v>24.470000000000002</v>
      </c>
      <c r="BY35" s="4370">
        <f t="shared" si="70"/>
        <v>17.059999999999999</v>
      </c>
      <c r="BZ35" s="4352"/>
      <c r="CA35" s="763">
        <f t="shared" si="52"/>
        <v>31.114810322580599</v>
      </c>
      <c r="CB35" s="2119">
        <f>CA35*AV56</f>
        <v>18.357738090322552</v>
      </c>
      <c r="CC35" s="2119">
        <f>CA35*AV57</f>
        <v>12.757072232258045</v>
      </c>
      <c r="CD35" s="2767">
        <f t="shared" ref="CD35:CE41" si="76">CB35/AY35</f>
        <v>3.2665014395591729</v>
      </c>
      <c r="CE35" s="4069">
        <f t="shared" si="76"/>
        <v>3.1190885653442653</v>
      </c>
      <c r="CF35" s="4352"/>
      <c r="CG35" s="763">
        <f t="shared" si="51"/>
        <v>30.585446819927999</v>
      </c>
      <c r="CH35" s="723">
        <f>SUM(CG35*BE56)</f>
        <v>18.045413623757518</v>
      </c>
      <c r="CI35" s="723">
        <f>CG35*AV57</f>
        <v>12.540033196170478</v>
      </c>
      <c r="CJ35" s="2767">
        <f t="shared" ref="CJ35:CK41" si="77">CH35/BE35</f>
        <v>1.1121980661792001</v>
      </c>
      <c r="CK35" s="2767">
        <f t="shared" si="77"/>
        <v>1.1121980661791999</v>
      </c>
      <c r="CL35" s="2768"/>
    </row>
    <row r="36" spans="1:90" ht="15">
      <c r="A36" s="721" t="s">
        <v>77</v>
      </c>
      <c r="B36" s="704">
        <f>136.6+89.7</f>
        <v>226.3</v>
      </c>
      <c r="C36" s="2714">
        <v>10.5</v>
      </c>
      <c r="D36" s="605">
        <f t="shared" si="66"/>
        <v>4.6398585947856823</v>
      </c>
      <c r="E36" s="2714">
        <v>12.3</v>
      </c>
      <c r="F36" s="605">
        <f t="shared" si="67"/>
        <v>117.14285714285715</v>
      </c>
      <c r="G36" s="182">
        <v>45.4</v>
      </c>
      <c r="H36" s="605">
        <f t="shared" si="68"/>
        <v>369.10569105691053</v>
      </c>
      <c r="I36" s="186">
        <v>10.5</v>
      </c>
      <c r="J36" s="186">
        <v>34.299999999999997</v>
      </c>
      <c r="K36" s="186">
        <v>45.4</v>
      </c>
      <c r="L36" s="186">
        <v>38.1</v>
      </c>
      <c r="M36" s="607">
        <f t="shared" si="71"/>
        <v>100</v>
      </c>
      <c r="N36" s="186">
        <v>11.6</v>
      </c>
      <c r="O36" s="186">
        <v>19.100000000000001</v>
      </c>
      <c r="P36" s="186">
        <v>29.655380000000001</v>
      </c>
      <c r="Q36" s="691">
        <v>37.9</v>
      </c>
      <c r="R36" s="699">
        <v>47.38</v>
      </c>
      <c r="S36" s="688">
        <f>N36*1.048</f>
        <v>12.1568</v>
      </c>
      <c r="T36" s="684">
        <f>S36/N36</f>
        <v>1.048</v>
      </c>
      <c r="U36" s="722" t="e">
        <f>R36*#REF!</f>
        <v>#REF!</v>
      </c>
      <c r="V36" s="722" t="e">
        <f>R36*#REF!</f>
        <v>#REF!</v>
      </c>
      <c r="W36" s="722">
        <f t="shared" si="34"/>
        <v>6.9412783253842072</v>
      </c>
      <c r="X36" s="722">
        <f t="shared" si="35"/>
        <v>4.9302443561208253</v>
      </c>
      <c r="Y36" s="722">
        <v>22.95</v>
      </c>
      <c r="Z36" s="722">
        <v>58.17</v>
      </c>
      <c r="AA36" s="725">
        <v>93.35</v>
      </c>
      <c r="AB36" s="695">
        <v>13.6</v>
      </c>
      <c r="AC36" s="688">
        <f>AB36</f>
        <v>13.6</v>
      </c>
      <c r="AD36" s="722">
        <f t="shared" si="36"/>
        <v>8.0511888542843852</v>
      </c>
      <c r="AE36" s="722">
        <f t="shared" si="37"/>
        <v>5.4400087761540279</v>
      </c>
      <c r="AF36" s="2765">
        <f t="shared" si="59"/>
        <v>1.1599000179608479</v>
      </c>
      <c r="AG36" s="2765">
        <f t="shared" si="60"/>
        <v>1.1033953660735574</v>
      </c>
      <c r="AH36" s="722">
        <v>66.69</v>
      </c>
      <c r="AI36" s="2625">
        <v>67.36</v>
      </c>
      <c r="AJ36" s="2625">
        <f t="shared" si="46"/>
        <v>67.61</v>
      </c>
      <c r="AK36" s="2625">
        <v>40.18</v>
      </c>
      <c r="AL36" s="2626">
        <v>27.43</v>
      </c>
      <c r="AM36" s="698">
        <f t="shared" si="57"/>
        <v>102.685</v>
      </c>
      <c r="AN36" s="722">
        <f>AM36*AI56</f>
        <v>61.20026</v>
      </c>
      <c r="AO36" s="722">
        <f>AM36*AI57</f>
        <v>41.484740000000002</v>
      </c>
      <c r="AP36" s="2765">
        <f t="shared" si="73"/>
        <v>7.6013941676989356</v>
      </c>
      <c r="AQ36" s="2766">
        <f t="shared" si="73"/>
        <v>7.6258590210085737</v>
      </c>
      <c r="AR36" s="2121">
        <f t="shared" ref="AR36:AR46" si="78">AM36</f>
        <v>102.685</v>
      </c>
      <c r="AS36" s="2119">
        <f t="shared" si="38"/>
        <v>55.87655442040262</v>
      </c>
      <c r="AT36" s="2119">
        <f t="shared" si="39"/>
        <v>46.255086637753273</v>
      </c>
      <c r="AU36" s="2767">
        <f t="shared" si="74"/>
        <v>6.9401619352983248</v>
      </c>
      <c r="AV36" s="2767">
        <f t="shared" si="74"/>
        <v>8.5027595618061937</v>
      </c>
      <c r="AW36" s="2768"/>
      <c r="AX36" s="2787">
        <f t="shared" si="47"/>
        <v>1.53</v>
      </c>
      <c r="AY36" s="2788">
        <v>0.89</v>
      </c>
      <c r="AZ36" s="2788">
        <v>0.64</v>
      </c>
      <c r="BA36" s="2788">
        <f t="shared" si="48"/>
        <v>0</v>
      </c>
      <c r="BB36" s="2788"/>
      <c r="BC36" s="2788"/>
      <c r="BD36" s="3592">
        <v>2.99</v>
      </c>
      <c r="BE36" s="723">
        <f>SUM(BD36*AV56)</f>
        <v>1.7641</v>
      </c>
      <c r="BF36" s="723">
        <f>SUM(BD36*AV57)</f>
        <v>1.2259</v>
      </c>
      <c r="BG36" s="698">
        <f>SUM(AR36*1.1)</f>
        <v>112.95350000000001</v>
      </c>
      <c r="BH36" s="685">
        <f>SUM(BG36*AQ56)</f>
        <v>66.642565000000005</v>
      </c>
      <c r="BI36" s="685">
        <f>SUM(BG36*AQ57)</f>
        <v>46.310935000000001</v>
      </c>
      <c r="BJ36" s="2765">
        <f t="shared" si="21"/>
        <v>1.1926749186894443</v>
      </c>
      <c r="BK36" s="2766">
        <f t="shared" si="22"/>
        <v>1.0012073993652655</v>
      </c>
      <c r="BL36" s="763">
        <f t="shared" si="40"/>
        <v>108.87587865</v>
      </c>
      <c r="BM36" s="2119">
        <f t="shared" si="41"/>
        <v>59.245351886408699</v>
      </c>
      <c r="BN36" s="2119">
        <f t="shared" si="42"/>
        <v>49.043805811143422</v>
      </c>
      <c r="BO36" s="2767">
        <f t="shared" si="75"/>
        <v>1.0602900000000002</v>
      </c>
      <c r="BP36" s="4069">
        <f t="shared" si="75"/>
        <v>1.0602900000000002</v>
      </c>
      <c r="BQ36" s="4383">
        <f t="shared" si="43"/>
        <v>1.37</v>
      </c>
      <c r="BR36" s="4493">
        <v>0.8</v>
      </c>
      <c r="BS36" s="4493">
        <v>0.56999999999999995</v>
      </c>
      <c r="BT36" s="4492">
        <f t="shared" si="44"/>
        <v>2.1</v>
      </c>
      <c r="BU36" s="4385">
        <v>1.22</v>
      </c>
      <c r="BV36" s="4385">
        <v>0.88</v>
      </c>
      <c r="BW36" s="4367">
        <f t="shared" si="49"/>
        <v>2.83</v>
      </c>
      <c r="BX36" s="4369">
        <f t="shared" ref="BX36" si="79">SUM(BR36+((BU36-BR36)/3*6))</f>
        <v>1.64</v>
      </c>
      <c r="BY36" s="4370">
        <f t="shared" ref="BY36" si="80">SUM(BS36+((BV36-BS36)/3*6))</f>
        <v>1.19</v>
      </c>
      <c r="BZ36" s="4352"/>
      <c r="CA36" s="763">
        <f t="shared" si="52"/>
        <v>114.03877281558302</v>
      </c>
      <c r="CB36" s="2119">
        <f>CA36*AV56</f>
        <v>67.28287596119398</v>
      </c>
      <c r="CC36" s="2119">
        <f>CA36*AV57</f>
        <v>46.755896854389036</v>
      </c>
      <c r="CD36" s="2767">
        <f t="shared" si="76"/>
        <v>75.59873703504941</v>
      </c>
      <c r="CE36" s="4069">
        <f t="shared" si="76"/>
        <v>73.056088834982873</v>
      </c>
      <c r="CF36" s="4352"/>
      <c r="CG36" s="763">
        <f t="shared" si="51"/>
        <v>112.09860465804002</v>
      </c>
      <c r="CH36" s="723">
        <f>SUM(CG36*BE56)</f>
        <v>66.138176748243609</v>
      </c>
      <c r="CI36" s="723">
        <f>CG36*AV57</f>
        <v>45.960427909796401</v>
      </c>
      <c r="CJ36" s="2767">
        <f t="shared" si="77"/>
        <v>37.49117212643479</v>
      </c>
      <c r="CK36" s="2767">
        <f t="shared" si="77"/>
        <v>37.491172126434783</v>
      </c>
      <c r="CL36" s="2768"/>
    </row>
    <row r="37" spans="1:90" ht="15">
      <c r="A37" s="721" t="s">
        <v>43</v>
      </c>
      <c r="B37" s="704">
        <v>71.8</v>
      </c>
      <c r="C37" s="2714">
        <v>46</v>
      </c>
      <c r="D37" s="605">
        <f t="shared" si="66"/>
        <v>64.066852367688014</v>
      </c>
      <c r="E37" s="2714">
        <v>85</v>
      </c>
      <c r="F37" s="605">
        <f t="shared" si="67"/>
        <v>184.78260869565219</v>
      </c>
      <c r="G37" s="182">
        <v>95.8</v>
      </c>
      <c r="H37" s="605">
        <f t="shared" si="68"/>
        <v>112.70588235294116</v>
      </c>
      <c r="I37" s="186">
        <v>56.2</v>
      </c>
      <c r="J37" s="186">
        <v>84.5</v>
      </c>
      <c r="K37" s="186">
        <v>84.5</v>
      </c>
      <c r="L37" s="186">
        <v>112.9</v>
      </c>
      <c r="M37" s="607">
        <f t="shared" si="71"/>
        <v>88.204592901878925</v>
      </c>
      <c r="N37" s="186">
        <v>58.953800000000001</v>
      </c>
      <c r="O37" s="186">
        <v>62.2</v>
      </c>
      <c r="P37" s="186">
        <v>91.305689999999998</v>
      </c>
      <c r="Q37" s="691">
        <v>120.4</v>
      </c>
      <c r="R37" s="699">
        <v>116.39</v>
      </c>
      <c r="S37" s="688">
        <f>N37*1.048</f>
        <v>61.7835824</v>
      </c>
      <c r="T37" s="684">
        <f>S37/N37</f>
        <v>1.048</v>
      </c>
      <c r="U37" s="722" t="e">
        <f>R37*#REF!</f>
        <v>#REF!</v>
      </c>
      <c r="V37" s="722" t="e">
        <f>R37*#REF!</f>
        <v>#REF!</v>
      </c>
      <c r="W37" s="722">
        <f t="shared" si="34"/>
        <v>35.277132253365124</v>
      </c>
      <c r="X37" s="722">
        <f t="shared" si="35"/>
        <v>25.056606872575511</v>
      </c>
      <c r="Y37" s="722">
        <v>61.1</v>
      </c>
      <c r="Z37" s="722">
        <v>61.1</v>
      </c>
      <c r="AA37" s="725">
        <v>61.4</v>
      </c>
      <c r="AB37" s="695">
        <v>124</v>
      </c>
      <c r="AC37" s="688">
        <f>S37*1.049</f>
        <v>64.810977937600001</v>
      </c>
      <c r="AD37" s="722">
        <f t="shared" si="36"/>
        <v>38.368045824005605</v>
      </c>
      <c r="AE37" s="722">
        <f t="shared" si="37"/>
        <v>25.924432997916842</v>
      </c>
      <c r="AF37" s="2765">
        <f t="shared" si="59"/>
        <v>1.0876180509356919</v>
      </c>
      <c r="AG37" s="2765">
        <f t="shared" si="60"/>
        <v>1.0346346227066829</v>
      </c>
      <c r="AH37" s="722">
        <v>28.52</v>
      </c>
      <c r="AI37" s="2625">
        <v>28.87</v>
      </c>
      <c r="AJ37" s="2625">
        <f t="shared" si="46"/>
        <v>29.04</v>
      </c>
      <c r="AK37" s="2625">
        <v>17.25</v>
      </c>
      <c r="AL37" s="2626">
        <v>11.79</v>
      </c>
      <c r="AM37" s="698">
        <f t="shared" ref="AM37:AM41" si="81">SUM(AA37*1.1)</f>
        <v>67.540000000000006</v>
      </c>
      <c r="AN37" s="722">
        <f>AM37*AI56</f>
        <v>40.253840000000004</v>
      </c>
      <c r="AO37" s="722">
        <f>AM37*AI57</f>
        <v>27.286160000000006</v>
      </c>
      <c r="AP37" s="2765">
        <f t="shared" si="73"/>
        <v>1.0491501231166305</v>
      </c>
      <c r="AQ37" s="2766">
        <f t="shared" si="73"/>
        <v>1.0525267805159937</v>
      </c>
      <c r="AR37" s="2121">
        <f t="shared" si="78"/>
        <v>67.540000000000006</v>
      </c>
      <c r="AS37" s="2119">
        <f t="shared" si="38"/>
        <v>36.752227545931667</v>
      </c>
      <c r="AT37" s="2119">
        <f t="shared" si="39"/>
        <v>30.423806315565628</v>
      </c>
      <c r="AU37" s="2767">
        <f t="shared" si="74"/>
        <v>0.9578863545595806</v>
      </c>
      <c r="AV37" s="2767">
        <f t="shared" si="74"/>
        <v>1.1735572507221406</v>
      </c>
      <c r="AW37" s="2768"/>
      <c r="AX37" s="2787">
        <f t="shared" si="47"/>
        <v>0</v>
      </c>
      <c r="AY37" s="2788">
        <v>0</v>
      </c>
      <c r="AZ37" s="2788">
        <v>0</v>
      </c>
      <c r="BA37" s="2788">
        <f t="shared" si="48"/>
        <v>0</v>
      </c>
      <c r="BB37" s="2788"/>
      <c r="BC37" s="2788"/>
      <c r="BD37" s="3592">
        <v>0</v>
      </c>
      <c r="BE37" s="723">
        <f>SUM(BD37*AV56)</f>
        <v>0</v>
      </c>
      <c r="BF37" s="723">
        <f>SUM(BD37*AV57)</f>
        <v>0</v>
      </c>
      <c r="BG37" s="698">
        <f>SUM(AR37*1.1)</f>
        <v>74.294000000000011</v>
      </c>
      <c r="BH37" s="685">
        <f>SUM(BG37*AQ56)</f>
        <v>43.833460000000002</v>
      </c>
      <c r="BI37" s="685">
        <f>SUM(BG37*AQ57)</f>
        <v>30.460540000000002</v>
      </c>
      <c r="BJ37" s="2765">
        <f t="shared" si="21"/>
        <v>1.1926749186894441</v>
      </c>
      <c r="BK37" s="2766">
        <f t="shared" si="22"/>
        <v>1.0012073993652655</v>
      </c>
      <c r="BL37" s="763">
        <f t="shared" si="40"/>
        <v>71.611986600000009</v>
      </c>
      <c r="BM37" s="2119">
        <f t="shared" si="41"/>
        <v>38.968019344675888</v>
      </c>
      <c r="BN37" s="2119">
        <f t="shared" si="42"/>
        <v>32.258057598331078</v>
      </c>
      <c r="BO37" s="2767">
        <f t="shared" si="75"/>
        <v>1.06029</v>
      </c>
      <c r="BP37" s="4069">
        <f t="shared" si="75"/>
        <v>1.06029</v>
      </c>
      <c r="BQ37" s="4383">
        <f t="shared" si="43"/>
        <v>0</v>
      </c>
      <c r="BR37" s="4493"/>
      <c r="BS37" s="4493"/>
      <c r="BT37" s="4492">
        <f t="shared" si="44"/>
        <v>0</v>
      </c>
      <c r="BU37" s="4385">
        <v>0</v>
      </c>
      <c r="BV37" s="4385">
        <v>0</v>
      </c>
      <c r="BW37" s="4367">
        <f t="shared" si="49"/>
        <v>0</v>
      </c>
      <c r="BX37" s="4369">
        <f t="shared" si="70"/>
        <v>0</v>
      </c>
      <c r="BY37" s="4370">
        <f t="shared" si="70"/>
        <v>0</v>
      </c>
      <c r="BZ37" s="4352"/>
      <c r="CA37" s="763">
        <f t="shared" si="52"/>
        <v>75.007827004572007</v>
      </c>
      <c r="CB37" s="2119">
        <f>CA37*AV56</f>
        <v>44.254617932697485</v>
      </c>
      <c r="CC37" s="2119">
        <f>CA37*AV57</f>
        <v>30.753209071874522</v>
      </c>
      <c r="CD37" s="2767" t="e">
        <f t="shared" si="76"/>
        <v>#DIV/0!</v>
      </c>
      <c r="CE37" s="4069" t="e">
        <f t="shared" si="76"/>
        <v>#DIV/0!</v>
      </c>
      <c r="CF37" s="4352"/>
      <c r="CG37" s="763">
        <f t="shared" si="51"/>
        <v>73.731701403360006</v>
      </c>
      <c r="CH37" s="723">
        <f>SUM(CG37*BE56)</f>
        <v>43.501703827982404</v>
      </c>
      <c r="CI37" s="723">
        <f>CG37*AV57</f>
        <v>30.229997575377599</v>
      </c>
      <c r="CJ37" s="2767" t="e">
        <f t="shared" si="77"/>
        <v>#DIV/0!</v>
      </c>
      <c r="CK37" s="2767" t="e">
        <f t="shared" si="77"/>
        <v>#DIV/0!</v>
      </c>
      <c r="CL37" s="2768"/>
    </row>
    <row r="38" spans="1:90" ht="15">
      <c r="A38" s="721" t="s">
        <v>71</v>
      </c>
      <c r="B38" s="704">
        <v>10.7</v>
      </c>
      <c r="C38" s="2714">
        <v>5.6</v>
      </c>
      <c r="D38" s="605">
        <f t="shared" si="66"/>
        <v>52.336448598130836</v>
      </c>
      <c r="E38" s="2714">
        <v>17.7</v>
      </c>
      <c r="F38" s="605">
        <f t="shared" si="67"/>
        <v>316.07142857142856</v>
      </c>
      <c r="G38" s="182">
        <v>14.1</v>
      </c>
      <c r="H38" s="605">
        <f t="shared" si="68"/>
        <v>79.66101694915254</v>
      </c>
      <c r="I38" s="186">
        <v>10.3</v>
      </c>
      <c r="J38" s="186">
        <v>24.1</v>
      </c>
      <c r="K38" s="186">
        <v>24.1</v>
      </c>
      <c r="L38" s="186">
        <v>40.5</v>
      </c>
      <c r="M38" s="607">
        <f t="shared" si="71"/>
        <v>170.92198581560285</v>
      </c>
      <c r="N38" s="186">
        <v>11.3</v>
      </c>
      <c r="O38" s="186">
        <f>3.7+5.6+16.1</f>
        <v>25.400000000000002</v>
      </c>
      <c r="P38" s="186">
        <f>16.81452+5.48046+16.14343</f>
        <v>38.438410000000005</v>
      </c>
      <c r="Q38" s="691">
        <v>51.5</v>
      </c>
      <c r="R38" s="699">
        <v>45.94</v>
      </c>
      <c r="S38" s="688">
        <f>P38/9*12*1.048</f>
        <v>53.711271573333342</v>
      </c>
      <c r="T38" s="684">
        <f>S38/N38</f>
        <v>4.7532098737463135</v>
      </c>
      <c r="U38" s="722" t="e">
        <f>R38*#REF!</f>
        <v>#REF!</v>
      </c>
      <c r="V38" s="722" t="e">
        <f>R38*#REF!</f>
        <v>#REF!</v>
      </c>
      <c r="W38" s="722">
        <f t="shared" si="34"/>
        <v>30.668011746578344</v>
      </c>
      <c r="X38" s="722">
        <f t="shared" si="35"/>
        <v>21.782845282845784</v>
      </c>
      <c r="Y38" s="722">
        <v>21.73</v>
      </c>
      <c r="Z38" s="722">
        <v>30.27</v>
      </c>
      <c r="AA38" s="725">
        <v>46.23</v>
      </c>
      <c r="AB38" s="695">
        <v>52.2</v>
      </c>
      <c r="AC38" s="688">
        <f>AB38</f>
        <v>52.2</v>
      </c>
      <c r="AD38" s="722">
        <f t="shared" si="36"/>
        <v>30.902357220120948</v>
      </c>
      <c r="AE38" s="722">
        <f t="shared" si="37"/>
        <v>20.880033684944138</v>
      </c>
      <c r="AF38" s="2765">
        <f t="shared" si="59"/>
        <v>1.0076413650639986</v>
      </c>
      <c r="AG38" s="2765">
        <f t="shared" si="60"/>
        <v>0.95855400953462133</v>
      </c>
      <c r="AH38" s="722">
        <v>16.350000000000001</v>
      </c>
      <c r="AI38" s="2625">
        <v>16.350000000000001</v>
      </c>
      <c r="AJ38" s="2625">
        <f t="shared" si="46"/>
        <v>16.239999999999998</v>
      </c>
      <c r="AK38" s="2625">
        <f>8.34+1.33</f>
        <v>9.67</v>
      </c>
      <c r="AL38" s="2626">
        <f>5.68+0.89</f>
        <v>6.5699999999999994</v>
      </c>
      <c r="AM38" s="698">
        <f t="shared" si="81"/>
        <v>50.853000000000002</v>
      </c>
      <c r="AN38" s="722">
        <f>AM38*AI56</f>
        <v>30.308388000000001</v>
      </c>
      <c r="AO38" s="722">
        <f>AM38*AI57</f>
        <v>20.544612000000001</v>
      </c>
      <c r="AP38" s="2765">
        <f t="shared" si="73"/>
        <v>0.98077916141186128</v>
      </c>
      <c r="AQ38" s="2766">
        <f t="shared" si="73"/>
        <v>0.98393576897407031</v>
      </c>
      <c r="AR38" s="2121">
        <f t="shared" si="78"/>
        <v>50.853000000000002</v>
      </c>
      <c r="AS38" s="2119">
        <f t="shared" si="38"/>
        <v>27.671913346065487</v>
      </c>
      <c r="AT38" s="2119">
        <f t="shared" si="39"/>
        <v>22.907045048348515</v>
      </c>
      <c r="AU38" s="2767">
        <f t="shared" si="74"/>
        <v>0.89546286546865517</v>
      </c>
      <c r="AV38" s="2767">
        <f t="shared" si="74"/>
        <v>1.0970789316717426</v>
      </c>
      <c r="AW38" s="2768"/>
      <c r="AX38" s="2787">
        <f t="shared" si="47"/>
        <v>14.96</v>
      </c>
      <c r="AY38" s="2788">
        <v>8.89</v>
      </c>
      <c r="AZ38" s="2788">
        <v>6.07</v>
      </c>
      <c r="BA38" s="2788">
        <f t="shared" si="48"/>
        <v>17.5</v>
      </c>
      <c r="BB38" s="2788">
        <v>10.33</v>
      </c>
      <c r="BC38" s="2788">
        <v>7.17</v>
      </c>
      <c r="BD38" s="3592">
        <v>20.04</v>
      </c>
      <c r="BE38" s="723">
        <f>SUM(BD38*AV56)</f>
        <v>11.823599999999999</v>
      </c>
      <c r="BF38" s="723">
        <f>SUM(BD38*AV57)</f>
        <v>8.2163999999999984</v>
      </c>
      <c r="BG38" s="698">
        <f>SUM(AR38*1.1)</f>
        <v>55.938300000000005</v>
      </c>
      <c r="BH38" s="685">
        <f>SUM(BG38*AQ56)</f>
        <v>33.003596999999999</v>
      </c>
      <c r="BI38" s="685">
        <f>SUM(BG38*AQ57)</f>
        <v>22.934703000000003</v>
      </c>
      <c r="BJ38" s="2765">
        <f t="shared" si="21"/>
        <v>1.1926749186894441</v>
      </c>
      <c r="BK38" s="2766">
        <f t="shared" si="22"/>
        <v>1.0012073993652657</v>
      </c>
      <c r="BL38" s="763">
        <f t="shared" si="40"/>
        <v>53.918927369999999</v>
      </c>
      <c r="BM38" s="2119">
        <f t="shared" si="41"/>
        <v>29.340253001699772</v>
      </c>
      <c r="BN38" s="2119">
        <f t="shared" si="42"/>
        <v>24.288110794313447</v>
      </c>
      <c r="BO38" s="2767">
        <f t="shared" si="75"/>
        <v>1.06029</v>
      </c>
      <c r="BP38" s="4069">
        <f t="shared" si="75"/>
        <v>1.06029</v>
      </c>
      <c r="BQ38" s="4383">
        <f t="shared" si="43"/>
        <v>5.0600000000000005</v>
      </c>
      <c r="BR38" s="4493">
        <v>2.95</v>
      </c>
      <c r="BS38" s="4493">
        <v>2.11</v>
      </c>
      <c r="BT38" s="4492">
        <f t="shared" si="44"/>
        <v>7.5399999999999991</v>
      </c>
      <c r="BU38" s="4385">
        <v>4.3899999999999997</v>
      </c>
      <c r="BV38" s="4385">
        <v>3.15</v>
      </c>
      <c r="BW38" s="4367">
        <f t="shared" si="49"/>
        <v>10.02</v>
      </c>
      <c r="BX38" s="4369">
        <f t="shared" si="70"/>
        <v>5.8299999999999992</v>
      </c>
      <c r="BY38" s="4370">
        <f t="shared" si="70"/>
        <v>4.1899999999999995</v>
      </c>
      <c r="BZ38" s="4352"/>
      <c r="CA38" s="763">
        <f t="shared" si="52"/>
        <v>56.475762905885396</v>
      </c>
      <c r="CB38" s="2119">
        <f>CA38*AV56</f>
        <v>33.32070011447238</v>
      </c>
      <c r="CC38" s="2119">
        <f>CA38*AV57</f>
        <v>23.155062791413012</v>
      </c>
      <c r="CD38" s="2767">
        <f t="shared" si="76"/>
        <v>3.7481102490970053</v>
      </c>
      <c r="CE38" s="4069">
        <f t="shared" si="76"/>
        <v>3.8146726180252077</v>
      </c>
      <c r="CF38" s="4352"/>
      <c r="CG38" s="763">
        <f t="shared" si="51"/>
        <v>55.514927620151994</v>
      </c>
      <c r="CH38" s="723">
        <f>SUM(CG38*BE56)</f>
        <v>32.753807295889672</v>
      </c>
      <c r="CI38" s="723">
        <f>CG38*AV57</f>
        <v>22.761120324262315</v>
      </c>
      <c r="CJ38" s="2767">
        <f t="shared" si="77"/>
        <v>2.7702059690694605</v>
      </c>
      <c r="CK38" s="2767">
        <f t="shared" si="77"/>
        <v>2.7702059690694609</v>
      </c>
      <c r="CL38" s="2768"/>
    </row>
    <row r="39" spans="1:90" ht="15">
      <c r="A39" s="721" t="s">
        <v>171</v>
      </c>
      <c r="B39" s="704">
        <v>514.20000000000005</v>
      </c>
      <c r="C39" s="2714"/>
      <c r="D39" s="605">
        <f t="shared" si="66"/>
        <v>0</v>
      </c>
      <c r="E39" s="2714"/>
      <c r="F39" s="605"/>
      <c r="G39" s="182">
        <v>0.5</v>
      </c>
      <c r="H39" s="605"/>
      <c r="I39" s="186"/>
      <c r="J39" s="186"/>
      <c r="K39" s="186"/>
      <c r="L39" s="186"/>
      <c r="M39" s="607">
        <f t="shared" si="71"/>
        <v>0</v>
      </c>
      <c r="N39" s="186">
        <v>0</v>
      </c>
      <c r="O39" s="186">
        <v>0.6</v>
      </c>
      <c r="P39" s="186">
        <v>0.6</v>
      </c>
      <c r="Q39" s="691"/>
      <c r="R39" s="699"/>
      <c r="S39" s="688"/>
      <c r="T39" s="684"/>
      <c r="U39" s="722" t="e">
        <f>R39*#REF!</f>
        <v>#REF!</v>
      </c>
      <c r="V39" s="722" t="e">
        <f>R39*#REF!</f>
        <v>#REF!</v>
      </c>
      <c r="W39" s="722">
        <f t="shared" si="34"/>
        <v>0</v>
      </c>
      <c r="X39" s="722">
        <f t="shared" si="35"/>
        <v>0</v>
      </c>
      <c r="Y39" s="722">
        <v>0.6</v>
      </c>
      <c r="Z39" s="722">
        <v>0.6</v>
      </c>
      <c r="AA39" s="725">
        <v>0.6</v>
      </c>
      <c r="AB39" s="695">
        <v>0</v>
      </c>
      <c r="AC39" s="688">
        <v>0</v>
      </c>
      <c r="AD39" s="722">
        <f t="shared" si="36"/>
        <v>0</v>
      </c>
      <c r="AE39" s="722">
        <f t="shared" si="37"/>
        <v>0</v>
      </c>
      <c r="AF39" s="2765"/>
      <c r="AG39" s="2765"/>
      <c r="AH39" s="722">
        <v>0</v>
      </c>
      <c r="AI39" s="2625">
        <v>0</v>
      </c>
      <c r="AJ39" s="2625">
        <f t="shared" si="46"/>
        <v>0</v>
      </c>
      <c r="AK39" s="2625">
        <v>0</v>
      </c>
      <c r="AL39" s="2626">
        <v>0</v>
      </c>
      <c r="AM39" s="698">
        <f t="shared" si="81"/>
        <v>0.66</v>
      </c>
      <c r="AN39" s="722">
        <f>AM39*AI56</f>
        <v>0.39335999999999999</v>
      </c>
      <c r="AO39" s="722">
        <f>AM39*AI57</f>
        <v>0.26664000000000004</v>
      </c>
      <c r="AP39" s="2765"/>
      <c r="AQ39" s="2766"/>
      <c r="AR39" s="2121">
        <f t="shared" si="78"/>
        <v>0.66</v>
      </c>
      <c r="AS39" s="2119">
        <f t="shared" si="38"/>
        <v>0.35914228872245929</v>
      </c>
      <c r="AT39" s="2119">
        <f t="shared" si="39"/>
        <v>0.29730103891432208</v>
      </c>
      <c r="AU39" s="2767"/>
      <c r="AV39" s="2767"/>
      <c r="AW39" s="2768"/>
      <c r="AX39" s="2787">
        <f t="shared" si="47"/>
        <v>0</v>
      </c>
      <c r="AY39" s="2788">
        <v>0</v>
      </c>
      <c r="AZ39" s="2788">
        <v>0</v>
      </c>
      <c r="BA39" s="2788">
        <f t="shared" si="48"/>
        <v>0</v>
      </c>
      <c r="BB39" s="2788"/>
      <c r="BC39" s="2788"/>
      <c r="BD39" s="3592">
        <v>0</v>
      </c>
      <c r="BE39" s="723">
        <f>SUM(BD39*AV56)</f>
        <v>0</v>
      </c>
      <c r="BF39" s="723">
        <f>SUM(BD39*AV57)</f>
        <v>0</v>
      </c>
      <c r="BG39" s="698">
        <f>SUM(AR39*1.1)</f>
        <v>0.72600000000000009</v>
      </c>
      <c r="BH39" s="685">
        <f>SUM(BG39*AQ56)</f>
        <v>0.42834000000000005</v>
      </c>
      <c r="BI39" s="685">
        <f>SUM(BG39*AQ57)</f>
        <v>0.29766000000000004</v>
      </c>
      <c r="BJ39" s="2765">
        <f t="shared" si="21"/>
        <v>1.1926749186894443</v>
      </c>
      <c r="BK39" s="2766">
        <f t="shared" si="22"/>
        <v>1.0012073993652657</v>
      </c>
      <c r="BL39" s="763">
        <f t="shared" si="40"/>
        <v>0.69979139999999995</v>
      </c>
      <c r="BM39" s="2119">
        <f t="shared" si="41"/>
        <v>0.38079497730953632</v>
      </c>
      <c r="BN39" s="2119">
        <f t="shared" si="42"/>
        <v>0.31522531855046654</v>
      </c>
      <c r="BO39" s="2767">
        <f t="shared" ref="BO39" si="82">BM39/AS39</f>
        <v>1.06029</v>
      </c>
      <c r="BP39" s="4069">
        <f t="shared" ref="BP39" si="83">BN39/AT39</f>
        <v>1.06029</v>
      </c>
      <c r="BQ39" s="4383">
        <f t="shared" si="43"/>
        <v>0</v>
      </c>
      <c r="BR39" s="4493"/>
      <c r="BS39" s="4493"/>
      <c r="BT39" s="4492">
        <f t="shared" si="44"/>
        <v>0</v>
      </c>
      <c r="BU39" s="4385">
        <v>0</v>
      </c>
      <c r="BV39" s="4385">
        <v>0</v>
      </c>
      <c r="BW39" s="4367">
        <f t="shared" si="49"/>
        <v>0</v>
      </c>
      <c r="BX39" s="4369">
        <f t="shared" si="70"/>
        <v>0</v>
      </c>
      <c r="BY39" s="4370">
        <f t="shared" si="70"/>
        <v>0</v>
      </c>
      <c r="BZ39" s="4352"/>
      <c r="CA39" s="763">
        <f t="shared" si="52"/>
        <v>0.73297550818799995</v>
      </c>
      <c r="CB39" s="2119">
        <f>CA39*AV56</f>
        <v>0.43245554983091994</v>
      </c>
      <c r="CC39" s="2119">
        <f>CA39*AV57</f>
        <v>0.30051995835707995</v>
      </c>
      <c r="CD39" s="2767" t="e">
        <f t="shared" si="76"/>
        <v>#DIV/0!</v>
      </c>
      <c r="CE39" s="4069" t="e">
        <f t="shared" si="76"/>
        <v>#DIV/0!</v>
      </c>
      <c r="CF39" s="4352"/>
      <c r="CG39" s="763">
        <f t="shared" si="51"/>
        <v>0.72050522543999995</v>
      </c>
      <c r="CH39" s="723">
        <f>SUM(CG39*BE56)</f>
        <v>0.42509808300959995</v>
      </c>
      <c r="CI39" s="723">
        <f>CG39*AV57</f>
        <v>0.29540714243039995</v>
      </c>
      <c r="CJ39" s="2767" t="e">
        <f t="shared" si="77"/>
        <v>#DIV/0!</v>
      </c>
      <c r="CK39" s="2767" t="e">
        <f t="shared" si="77"/>
        <v>#DIV/0!</v>
      </c>
      <c r="CL39" s="2768"/>
    </row>
    <row r="40" spans="1:90" ht="15">
      <c r="A40" s="721" t="s">
        <v>174</v>
      </c>
      <c r="B40" s="704"/>
      <c r="C40" s="2714"/>
      <c r="D40" s="605"/>
      <c r="E40" s="2714"/>
      <c r="F40" s="605"/>
      <c r="G40" s="182">
        <v>36.5</v>
      </c>
      <c r="H40" s="605"/>
      <c r="I40" s="186"/>
      <c r="J40" s="186">
        <v>9</v>
      </c>
      <c r="K40" s="186">
        <f>J40/9*12</f>
        <v>12</v>
      </c>
      <c r="L40" s="186">
        <v>18</v>
      </c>
      <c r="M40" s="607">
        <f t="shared" si="71"/>
        <v>32.87671232876712</v>
      </c>
      <c r="N40" s="186">
        <v>12.587999999999999</v>
      </c>
      <c r="O40" s="186">
        <v>11</v>
      </c>
      <c r="P40" s="186">
        <v>11</v>
      </c>
      <c r="Q40" s="691">
        <v>21</v>
      </c>
      <c r="R40" s="699">
        <v>21</v>
      </c>
      <c r="S40" s="688">
        <f>P40/9*12*1.048</f>
        <v>15.370666666666668</v>
      </c>
      <c r="T40" s="684">
        <f>S40/N40</f>
        <v>1.2210570914098084</v>
      </c>
      <c r="U40" s="722" t="e">
        <f>R40*#REF!</f>
        <v>#REF!</v>
      </c>
      <c r="V40" s="722" t="e">
        <f>R40*#REF!</f>
        <v>#REF!</v>
      </c>
      <c r="W40" s="722">
        <f t="shared" si="34"/>
        <v>8.7763289171524459</v>
      </c>
      <c r="X40" s="722">
        <f t="shared" si="35"/>
        <v>6.2336422893481709</v>
      </c>
      <c r="Y40" s="722">
        <v>18.5</v>
      </c>
      <c r="Z40" s="722">
        <v>19.37</v>
      </c>
      <c r="AA40" s="725">
        <v>35.74</v>
      </c>
      <c r="AB40" s="695">
        <v>18.100000000000001</v>
      </c>
      <c r="AC40" s="688">
        <f>S40*1.049</f>
        <v>16.123829333333333</v>
      </c>
      <c r="AD40" s="722">
        <f t="shared" si="36"/>
        <v>9.5452937512438929</v>
      </c>
      <c r="AE40" s="722">
        <f t="shared" si="37"/>
        <v>6.4495421381281677</v>
      </c>
      <c r="AF40" s="2765">
        <f>AD40/W40</f>
        <v>1.0876180509356916</v>
      </c>
      <c r="AG40" s="2765">
        <f>AE40/X40</f>
        <v>1.0346346227066829</v>
      </c>
      <c r="AH40" s="722">
        <v>5</v>
      </c>
      <c r="AI40" s="2625">
        <v>13</v>
      </c>
      <c r="AJ40" s="2625">
        <f t="shared" si="46"/>
        <v>18.419999999999998</v>
      </c>
      <c r="AK40" s="2625">
        <v>10.87</v>
      </c>
      <c r="AL40" s="2626">
        <v>7.55</v>
      </c>
      <c r="AM40" s="698">
        <f t="shared" si="81"/>
        <v>39.314000000000007</v>
      </c>
      <c r="AN40" s="722">
        <f>AM40*AI56</f>
        <v>23.431144000000003</v>
      </c>
      <c r="AO40" s="722">
        <f>AM40*AI57</f>
        <v>15.882856000000004</v>
      </c>
      <c r="AP40" s="2765">
        <f>AN40/AD40</f>
        <v>2.4547326264261464</v>
      </c>
      <c r="AQ40" s="2766">
        <f>AO40/AE40</f>
        <v>2.4626331078766532</v>
      </c>
      <c r="AR40" s="2121">
        <f>AI40/3*4</f>
        <v>17.333333333333332</v>
      </c>
      <c r="AS40" s="2119">
        <f t="shared" si="38"/>
        <v>9.4320197038221618</v>
      </c>
      <c r="AT40" s="2119">
        <f t="shared" si="39"/>
        <v>7.8079060724973468</v>
      </c>
      <c r="AU40" s="2767">
        <f>AS40/AD40</f>
        <v>0.98813299513103303</v>
      </c>
      <c r="AV40" s="2767">
        <f>AT40/AE40</f>
        <v>1.2106140103091743</v>
      </c>
      <c r="AW40" s="2768"/>
      <c r="AX40" s="2787">
        <f t="shared" si="47"/>
        <v>17.5</v>
      </c>
      <c r="AY40" s="2788">
        <v>10.09</v>
      </c>
      <c r="AZ40" s="2788">
        <v>7.41</v>
      </c>
      <c r="BA40" s="2788">
        <f t="shared" si="48"/>
        <v>22</v>
      </c>
      <c r="BB40" s="2788">
        <v>12.68</v>
      </c>
      <c r="BC40" s="2788">
        <v>9.32</v>
      </c>
      <c r="BD40" s="3592">
        <v>39.5</v>
      </c>
      <c r="BE40" s="723">
        <f>SUM(BD40*AV56)</f>
        <v>23.305</v>
      </c>
      <c r="BF40" s="723">
        <f>SUM(BD40*AV57)</f>
        <v>16.195</v>
      </c>
      <c r="BG40" s="698">
        <f>SUM(AJ40*1.074*1.1)</f>
        <v>21.761388</v>
      </c>
      <c r="BH40" s="685">
        <f>SUM(BG40*AQ56)</f>
        <v>12.839218919999999</v>
      </c>
      <c r="BI40" s="685">
        <f>SUM(BG40*AQ57)</f>
        <v>8.9221690799999998</v>
      </c>
      <c r="BJ40" s="2765">
        <f t="shared" si="21"/>
        <v>1.3612374998323136</v>
      </c>
      <c r="BK40" s="2766">
        <f t="shared" si="22"/>
        <v>1.1427095814366344</v>
      </c>
      <c r="BL40" s="763">
        <f t="shared" si="40"/>
        <v>18.378360000000001</v>
      </c>
      <c r="BM40" s="2119">
        <f t="shared" si="41"/>
        <v>10.000676171765601</v>
      </c>
      <c r="BN40" s="2119">
        <f t="shared" si="42"/>
        <v>8.278644729608212</v>
      </c>
      <c r="BO40" s="2767">
        <f>BM40/AS40</f>
        <v>1.0602900000000002</v>
      </c>
      <c r="BP40" s="4069">
        <f>BN40/AT40</f>
        <v>1.06029</v>
      </c>
      <c r="BQ40" s="4383">
        <f t="shared" si="43"/>
        <v>20</v>
      </c>
      <c r="BR40" s="4493">
        <v>11.84</v>
      </c>
      <c r="BS40" s="4493">
        <v>8.16</v>
      </c>
      <c r="BT40" s="4492">
        <f t="shared" si="44"/>
        <v>30.5</v>
      </c>
      <c r="BU40" s="4385">
        <v>17.97</v>
      </c>
      <c r="BV40" s="4385">
        <v>12.53</v>
      </c>
      <c r="BW40" s="4367">
        <f t="shared" si="49"/>
        <v>41</v>
      </c>
      <c r="BX40" s="4369">
        <f t="shared" si="70"/>
        <v>24.099999999999998</v>
      </c>
      <c r="BY40" s="4370">
        <f t="shared" si="70"/>
        <v>16.899999999999999</v>
      </c>
      <c r="BZ40" s="4352"/>
      <c r="CA40" s="763">
        <f t="shared" si="52"/>
        <v>19.2498618312</v>
      </c>
      <c r="CB40" s="2119">
        <f>CA40*AV56</f>
        <v>11.357418480408001</v>
      </c>
      <c r="CC40" s="2119">
        <f>CA40*AV57</f>
        <v>7.892443350792</v>
      </c>
      <c r="CD40" s="2767">
        <f t="shared" si="76"/>
        <v>1.125611345927453</v>
      </c>
      <c r="CE40" s="4069">
        <f t="shared" si="76"/>
        <v>1.0651070648842105</v>
      </c>
      <c r="CF40" s="4352"/>
      <c r="CG40" s="763">
        <f t="shared" si="51"/>
        <v>18.922359455999999</v>
      </c>
      <c r="CH40" s="723">
        <f>SUM(CG40*BE56)</f>
        <v>11.164192079039999</v>
      </c>
      <c r="CI40" s="723">
        <f>CG40*AV57</f>
        <v>7.7581673769599995</v>
      </c>
      <c r="CJ40" s="2767">
        <f t="shared" si="77"/>
        <v>0.47904707483544301</v>
      </c>
      <c r="CK40" s="2767">
        <f t="shared" si="77"/>
        <v>0.47904707483544301</v>
      </c>
      <c r="CL40" s="2768"/>
    </row>
    <row r="41" spans="1:90" ht="15">
      <c r="A41" s="721" t="s">
        <v>172</v>
      </c>
      <c r="B41" s="704">
        <v>25.7</v>
      </c>
      <c r="C41" s="2714"/>
      <c r="D41" s="605">
        <f>C41/B41*100</f>
        <v>0</v>
      </c>
      <c r="E41" s="2714"/>
      <c r="F41" s="605"/>
      <c r="G41" s="182">
        <v>58.8</v>
      </c>
      <c r="H41" s="605"/>
      <c r="I41" s="186"/>
      <c r="J41" s="186">
        <v>7.8</v>
      </c>
      <c r="K41" s="186">
        <f>J41/9*12</f>
        <v>10.4</v>
      </c>
      <c r="L41" s="186">
        <v>30.5</v>
      </c>
      <c r="M41" s="607">
        <f t="shared" si="71"/>
        <v>17.687074829931973</v>
      </c>
      <c r="N41" s="186">
        <v>10.909599999999999</v>
      </c>
      <c r="O41" s="186">
        <v>3.8</v>
      </c>
      <c r="P41" s="186">
        <v>3.77</v>
      </c>
      <c r="Q41" s="691">
        <v>26.1</v>
      </c>
      <c r="R41" s="699">
        <v>31.5</v>
      </c>
      <c r="S41" s="688">
        <f>P41/9*12*1.048</f>
        <v>5.267946666666667</v>
      </c>
      <c r="T41" s="684">
        <f>S41/N41</f>
        <v>0.48287257705751513</v>
      </c>
      <c r="U41" s="722" t="e">
        <f>R41*#REF!</f>
        <v>#REF!</v>
      </c>
      <c r="V41" s="722" t="e">
        <f>R41*#REF!</f>
        <v>#REF!</v>
      </c>
      <c r="W41" s="722">
        <f t="shared" si="34"/>
        <v>3.0078872743331564</v>
      </c>
      <c r="X41" s="722">
        <f t="shared" si="35"/>
        <v>2.1364392209856913</v>
      </c>
      <c r="Y41" s="722">
        <v>18.16</v>
      </c>
      <c r="Z41" s="722"/>
      <c r="AA41" s="725">
        <v>53.94</v>
      </c>
      <c r="AB41" s="695">
        <v>27.2</v>
      </c>
      <c r="AC41" s="688">
        <f>S41*1.049</f>
        <v>5.5260760533333331</v>
      </c>
      <c r="AD41" s="722">
        <f t="shared" si="36"/>
        <v>3.2714324947444977</v>
      </c>
      <c r="AE41" s="722">
        <f t="shared" si="37"/>
        <v>2.2104339873402901</v>
      </c>
      <c r="AF41" s="2765">
        <f>AD41/W41</f>
        <v>1.0876180509356916</v>
      </c>
      <c r="AG41" s="2765">
        <f>AE41/X41</f>
        <v>1.0346346227066827</v>
      </c>
      <c r="AH41" s="722">
        <v>7.11</v>
      </c>
      <c r="AI41" s="2625">
        <v>35.159999999999997</v>
      </c>
      <c r="AJ41" s="2625">
        <f t="shared" si="46"/>
        <v>73.84</v>
      </c>
      <c r="AK41" s="2625">
        <v>43.14</v>
      </c>
      <c r="AL41" s="2626">
        <v>30.7</v>
      </c>
      <c r="AM41" s="698">
        <f t="shared" si="81"/>
        <v>59.334000000000003</v>
      </c>
      <c r="AN41" s="722">
        <f>AM41*AI56</f>
        <v>35.363064000000001</v>
      </c>
      <c r="AO41" s="722">
        <f>AM41*AI57</f>
        <v>23.970936000000002</v>
      </c>
      <c r="AP41" s="2765">
        <f>AN41/AD41</f>
        <v>10.809657254676715</v>
      </c>
      <c r="AQ41" s="2766">
        <f>AO41/AE41</f>
        <v>10.844447804045524</v>
      </c>
      <c r="AR41" s="2121">
        <f t="shared" si="78"/>
        <v>59.334000000000003</v>
      </c>
      <c r="AS41" s="2119">
        <f t="shared" si="38"/>
        <v>32.286891756149089</v>
      </c>
      <c r="AT41" s="2119">
        <f t="shared" si="39"/>
        <v>26.727363398397554</v>
      </c>
      <c r="AU41" s="2767">
        <f>AS41/AD41</f>
        <v>9.869343722671168</v>
      </c>
      <c r="AV41" s="2767">
        <f>AT41/AE41</f>
        <v>12.091455140244797</v>
      </c>
      <c r="AW41" s="2768"/>
      <c r="AX41" s="2787">
        <f t="shared" si="47"/>
        <v>71.14</v>
      </c>
      <c r="AY41" s="2788">
        <v>41.09</v>
      </c>
      <c r="AZ41" s="2788">
        <v>30.05</v>
      </c>
      <c r="BA41" s="2788">
        <f t="shared" si="48"/>
        <v>78.42</v>
      </c>
      <c r="BB41" s="2788">
        <v>45.4</v>
      </c>
      <c r="BC41" s="2788">
        <v>33.020000000000003</v>
      </c>
      <c r="BD41" s="3592">
        <v>161.08000000000001</v>
      </c>
      <c r="BE41" s="723">
        <f>SUM(BD41*AV56)</f>
        <v>95.037199999999999</v>
      </c>
      <c r="BF41" s="723">
        <f>SUM(BD41*AV57)</f>
        <v>66.0428</v>
      </c>
      <c r="BG41" s="698">
        <f>SUM(AJ41*1.074*1.1)</f>
        <v>87.234576000000018</v>
      </c>
      <c r="BH41" s="685">
        <f>SUM(BG41*AQ56)</f>
        <v>51.468399840000011</v>
      </c>
      <c r="BI41" s="685">
        <f>SUM(BG41*AQ57)</f>
        <v>35.766176160000008</v>
      </c>
      <c r="BJ41" s="2765">
        <f t="shared" si="21"/>
        <v>1.5940958401546279</v>
      </c>
      <c r="BK41" s="2766">
        <f t="shared" si="22"/>
        <v>1.3381857247521982</v>
      </c>
      <c r="BL41" s="763">
        <f t="shared" si="40"/>
        <v>62.911246860000006</v>
      </c>
      <c r="BM41" s="2119">
        <f t="shared" si="41"/>
        <v>34.23346846012732</v>
      </c>
      <c r="BN41" s="2119">
        <f t="shared" si="42"/>
        <v>28.338756137686946</v>
      </c>
      <c r="BO41" s="2767">
        <f>BM41/AS41</f>
        <v>1.06029</v>
      </c>
      <c r="BP41" s="4069">
        <f>BN41/AT41</f>
        <v>1.0602900000000002</v>
      </c>
      <c r="BQ41" s="4383">
        <f t="shared" si="43"/>
        <v>46.58</v>
      </c>
      <c r="BR41" s="4493">
        <v>27.52</v>
      </c>
      <c r="BS41" s="4493">
        <v>19.059999999999999</v>
      </c>
      <c r="BT41" s="4492">
        <f t="shared" si="44"/>
        <v>81.12</v>
      </c>
      <c r="BU41" s="4385">
        <v>47.61</v>
      </c>
      <c r="BV41" s="4385">
        <v>33.51</v>
      </c>
      <c r="BW41" s="4367">
        <f t="shared" si="49"/>
        <v>115.66</v>
      </c>
      <c r="BX41" s="4369">
        <f t="shared" si="70"/>
        <v>67.7</v>
      </c>
      <c r="BY41" s="4370">
        <f t="shared" si="70"/>
        <v>47.959999999999994</v>
      </c>
      <c r="BZ41" s="4352"/>
      <c r="CA41" s="763">
        <f t="shared" si="52"/>
        <v>65.894498186101217</v>
      </c>
      <c r="CB41" s="2119">
        <f>CA41*AV56</f>
        <v>38.877753929799717</v>
      </c>
      <c r="CC41" s="2119">
        <f>CA41*AV57</f>
        <v>27.016744256301497</v>
      </c>
      <c r="CD41" s="2767">
        <f t="shared" si="76"/>
        <v>0.94616096202968392</v>
      </c>
      <c r="CE41" s="4069">
        <f t="shared" si="76"/>
        <v>0.89905970902833598</v>
      </c>
      <c r="CF41" s="4352"/>
      <c r="CG41" s="763">
        <f t="shared" si="51"/>
        <v>64.773419767056012</v>
      </c>
      <c r="CH41" s="723">
        <f>SUM(CG41*BE56)</f>
        <v>38.216317662563043</v>
      </c>
      <c r="CI41" s="723">
        <f>CG41*AV57</f>
        <v>26.557102104492962</v>
      </c>
      <c r="CJ41" s="2767">
        <f t="shared" si="77"/>
        <v>0.40211956647042468</v>
      </c>
      <c r="CK41" s="2767">
        <f t="shared" si="77"/>
        <v>0.40211956647042468</v>
      </c>
      <c r="CL41" s="2768"/>
    </row>
    <row r="42" spans="1:90" ht="15">
      <c r="A42" s="721" t="s">
        <v>315</v>
      </c>
      <c r="B42" s="704"/>
      <c r="C42" s="2714"/>
      <c r="D42" s="605"/>
      <c r="E42" s="2714"/>
      <c r="F42" s="605"/>
      <c r="G42" s="182"/>
      <c r="H42" s="605"/>
      <c r="I42" s="186"/>
      <c r="J42" s="186"/>
      <c r="K42" s="186"/>
      <c r="L42" s="186"/>
      <c r="M42" s="607"/>
      <c r="N42" s="186"/>
      <c r="O42" s="186">
        <v>3.6</v>
      </c>
      <c r="P42" s="186">
        <v>3.57308</v>
      </c>
      <c r="Q42" s="691">
        <v>3.6</v>
      </c>
      <c r="R42" s="699"/>
      <c r="S42" s="688"/>
      <c r="T42" s="684"/>
      <c r="U42" s="722" t="e">
        <f>R42*#REF!</f>
        <v>#REF!</v>
      </c>
      <c r="V42" s="722" t="e">
        <f>R42*#REF!</f>
        <v>#REF!</v>
      </c>
      <c r="W42" s="722">
        <f t="shared" si="34"/>
        <v>0</v>
      </c>
      <c r="X42" s="722">
        <f t="shared" si="35"/>
        <v>0</v>
      </c>
      <c r="Y42" s="722"/>
      <c r="Z42" s="722"/>
      <c r="AA42" s="725"/>
      <c r="AB42" s="695">
        <v>3.3</v>
      </c>
      <c r="AC42" s="688">
        <v>0</v>
      </c>
      <c r="AD42" s="722"/>
      <c r="AE42" s="722"/>
      <c r="AF42" s="2765"/>
      <c r="AG42" s="2765"/>
      <c r="AH42" s="722"/>
      <c r="AI42" s="2625"/>
      <c r="AJ42" s="2625">
        <f t="shared" si="46"/>
        <v>0</v>
      </c>
      <c r="AK42" s="2625">
        <v>0</v>
      </c>
      <c r="AL42" s="2626">
        <v>0</v>
      </c>
      <c r="AM42" s="698"/>
      <c r="AN42" s="722">
        <f>AM42*AI56</f>
        <v>0</v>
      </c>
      <c r="AO42" s="722">
        <f>AM42*AI57</f>
        <v>0</v>
      </c>
      <c r="AP42" s="2765"/>
      <c r="AQ42" s="2766"/>
      <c r="AR42" s="2121">
        <f t="shared" si="78"/>
        <v>0</v>
      </c>
      <c r="AS42" s="2119">
        <f t="shared" si="38"/>
        <v>0</v>
      </c>
      <c r="AT42" s="2119">
        <f t="shared" si="39"/>
        <v>0</v>
      </c>
      <c r="AU42" s="2767"/>
      <c r="AV42" s="2767"/>
      <c r="AW42" s="2768"/>
      <c r="AX42" s="2787">
        <f t="shared" si="47"/>
        <v>0</v>
      </c>
      <c r="AY42" s="2788">
        <v>0</v>
      </c>
      <c r="AZ42" s="2788">
        <v>0</v>
      </c>
      <c r="BA42" s="2788">
        <f t="shared" si="48"/>
        <v>0</v>
      </c>
      <c r="BB42" s="2788"/>
      <c r="BC42" s="2788"/>
      <c r="BD42" s="3592">
        <v>0</v>
      </c>
      <c r="BE42" s="723">
        <f>SUM(BD42*AV56)</f>
        <v>0</v>
      </c>
      <c r="BF42" s="723">
        <f>SUM(BD42*AV57)</f>
        <v>0</v>
      </c>
      <c r="BG42" s="698"/>
      <c r="BH42" s="685">
        <f>SUM(BG42*AQ56)</f>
        <v>0</v>
      </c>
      <c r="BI42" s="685">
        <f>SUM(BG42*AQ57)</f>
        <v>0</v>
      </c>
      <c r="BJ42" s="2765" t="e">
        <f t="shared" si="21"/>
        <v>#DIV/0!</v>
      </c>
      <c r="BK42" s="2766" t="e">
        <f t="shared" si="22"/>
        <v>#DIV/0!</v>
      </c>
      <c r="BL42" s="763">
        <f t="shared" si="40"/>
        <v>0</v>
      </c>
      <c r="BM42" s="2119">
        <f t="shared" si="41"/>
        <v>0</v>
      </c>
      <c r="BN42" s="2119">
        <f t="shared" si="42"/>
        <v>0</v>
      </c>
      <c r="BO42" s="2767"/>
      <c r="BP42" s="4069"/>
      <c r="BQ42" s="4383">
        <f t="shared" si="43"/>
        <v>0</v>
      </c>
      <c r="BR42" s="4493"/>
      <c r="BS42" s="4493"/>
      <c r="BT42" s="4492">
        <f t="shared" si="44"/>
        <v>0</v>
      </c>
      <c r="BU42" s="4385">
        <v>0</v>
      </c>
      <c r="BV42" s="4385">
        <v>0</v>
      </c>
      <c r="BW42" s="4367">
        <f t="shared" si="49"/>
        <v>0</v>
      </c>
      <c r="BX42" s="4369">
        <f t="shared" si="70"/>
        <v>0</v>
      </c>
      <c r="BY42" s="4370">
        <f t="shared" si="70"/>
        <v>0</v>
      </c>
      <c r="BZ42" s="4352"/>
      <c r="CA42" s="763">
        <f t="shared" si="52"/>
        <v>0</v>
      </c>
      <c r="CB42" s="2119">
        <f>CA42*AV56</f>
        <v>0</v>
      </c>
      <c r="CC42" s="2119">
        <f>CA42*AV57</f>
        <v>0</v>
      </c>
      <c r="CD42" s="2767"/>
      <c r="CE42" s="4069"/>
      <c r="CF42" s="4352"/>
      <c r="CG42" s="763">
        <f t="shared" si="51"/>
        <v>0</v>
      </c>
      <c r="CH42" s="723">
        <f>SUM(CG42*BE56)</f>
        <v>0</v>
      </c>
      <c r="CI42" s="723">
        <f>CG42*AV57</f>
        <v>0</v>
      </c>
      <c r="CJ42" s="2767"/>
      <c r="CK42" s="2767"/>
      <c r="CL42" s="2768"/>
    </row>
    <row r="43" spans="1:90" ht="15">
      <c r="A43" s="721" t="s">
        <v>316</v>
      </c>
      <c r="B43" s="704"/>
      <c r="C43" s="2714"/>
      <c r="D43" s="605"/>
      <c r="E43" s="2714"/>
      <c r="F43" s="605"/>
      <c r="G43" s="182"/>
      <c r="H43" s="605"/>
      <c r="I43" s="186"/>
      <c r="J43" s="186"/>
      <c r="K43" s="186"/>
      <c r="L43" s="186"/>
      <c r="M43" s="607"/>
      <c r="N43" s="186"/>
      <c r="O43" s="186">
        <v>2</v>
      </c>
      <c r="P43" s="186">
        <v>3.0381499999999999</v>
      </c>
      <c r="Q43" s="691">
        <v>3.1</v>
      </c>
      <c r="R43" s="699"/>
      <c r="S43" s="688"/>
      <c r="T43" s="684"/>
      <c r="U43" s="722" t="e">
        <f>R43*#REF!</f>
        <v>#REF!</v>
      </c>
      <c r="V43" s="722" t="e">
        <f>R43*#REF!</f>
        <v>#REF!</v>
      </c>
      <c r="W43" s="722">
        <f t="shared" si="34"/>
        <v>0</v>
      </c>
      <c r="X43" s="722">
        <f t="shared" si="35"/>
        <v>0</v>
      </c>
      <c r="Y43" s="722"/>
      <c r="Z43" s="722"/>
      <c r="AA43" s="725"/>
      <c r="AB43" s="695"/>
      <c r="AC43" s="688"/>
      <c r="AD43" s="722"/>
      <c r="AE43" s="722"/>
      <c r="AF43" s="2765"/>
      <c r="AG43" s="2765"/>
      <c r="AH43" s="722"/>
      <c r="AI43" s="2625"/>
      <c r="AJ43" s="2625">
        <f t="shared" si="46"/>
        <v>0</v>
      </c>
      <c r="AK43" s="2625"/>
      <c r="AL43" s="2626"/>
      <c r="AM43" s="698"/>
      <c r="AN43" s="722">
        <f>AM43*AI56</f>
        <v>0</v>
      </c>
      <c r="AO43" s="722">
        <f>AM43*AI57</f>
        <v>0</v>
      </c>
      <c r="AP43" s="2765"/>
      <c r="AQ43" s="2766"/>
      <c r="AR43" s="2121">
        <f t="shared" si="78"/>
        <v>0</v>
      </c>
      <c r="AS43" s="2119">
        <f t="shared" si="38"/>
        <v>0</v>
      </c>
      <c r="AT43" s="2119">
        <f t="shared" si="39"/>
        <v>0</v>
      </c>
      <c r="AU43" s="2767"/>
      <c r="AV43" s="2767"/>
      <c r="AW43" s="2768"/>
      <c r="AX43" s="2787">
        <f t="shared" si="47"/>
        <v>0</v>
      </c>
      <c r="AY43" s="2788">
        <v>0</v>
      </c>
      <c r="AZ43" s="2788">
        <v>0</v>
      </c>
      <c r="BA43" s="2788">
        <f t="shared" si="48"/>
        <v>0</v>
      </c>
      <c r="BB43" s="2788"/>
      <c r="BC43" s="2788"/>
      <c r="BD43" s="3592">
        <v>0</v>
      </c>
      <c r="BE43" s="723">
        <f>SUM(BD43*AV56)</f>
        <v>0</v>
      </c>
      <c r="BF43" s="723">
        <f>SUM(BD43*AV57)</f>
        <v>0</v>
      </c>
      <c r="BG43" s="698"/>
      <c r="BH43" s="685">
        <f>SUM(BG43*AQ56)</f>
        <v>0</v>
      </c>
      <c r="BI43" s="685">
        <f>SUM(BG43*AQ57)</f>
        <v>0</v>
      </c>
      <c r="BJ43" s="2765" t="e">
        <f t="shared" si="21"/>
        <v>#DIV/0!</v>
      </c>
      <c r="BK43" s="2766" t="e">
        <f t="shared" si="22"/>
        <v>#DIV/0!</v>
      </c>
      <c r="BL43" s="763">
        <f t="shared" si="40"/>
        <v>0</v>
      </c>
      <c r="BM43" s="2119">
        <f t="shared" si="41"/>
        <v>0</v>
      </c>
      <c r="BN43" s="2119">
        <f t="shared" si="42"/>
        <v>0</v>
      </c>
      <c r="BO43" s="2767"/>
      <c r="BP43" s="4069"/>
      <c r="BQ43" s="4383">
        <f t="shared" si="43"/>
        <v>0</v>
      </c>
      <c r="BR43" s="4493"/>
      <c r="BS43" s="4493"/>
      <c r="BT43" s="4492">
        <f t="shared" si="44"/>
        <v>0</v>
      </c>
      <c r="BU43" s="4385">
        <v>0</v>
      </c>
      <c r="BV43" s="4385">
        <v>0</v>
      </c>
      <c r="BW43" s="4367">
        <f t="shared" si="49"/>
        <v>0</v>
      </c>
      <c r="BX43" s="4369">
        <f t="shared" ref="BX43:BY48" si="84">SUM(BR43+((BU43-BR43)/3*6))</f>
        <v>0</v>
      </c>
      <c r="BY43" s="4370">
        <f t="shared" si="84"/>
        <v>0</v>
      </c>
      <c r="BZ43" s="4352"/>
      <c r="CA43" s="763">
        <f t="shared" si="52"/>
        <v>0</v>
      </c>
      <c r="CB43" s="2119">
        <f>CA43*AV56</f>
        <v>0</v>
      </c>
      <c r="CC43" s="2119">
        <f>CA43*AV57</f>
        <v>0</v>
      </c>
      <c r="CD43" s="2767"/>
      <c r="CE43" s="4069"/>
      <c r="CF43" s="4352"/>
      <c r="CG43" s="763">
        <f t="shared" si="51"/>
        <v>0</v>
      </c>
      <c r="CH43" s="723">
        <f>SUM(CG43*BE56)</f>
        <v>0</v>
      </c>
      <c r="CI43" s="723">
        <f>CG43*AV57</f>
        <v>0</v>
      </c>
      <c r="CJ43" s="2767"/>
      <c r="CK43" s="2767"/>
      <c r="CL43" s="2768"/>
    </row>
    <row r="44" spans="1:90" ht="15">
      <c r="A44" s="721" t="s">
        <v>173</v>
      </c>
      <c r="B44" s="704">
        <v>64.7</v>
      </c>
      <c r="C44" s="2714"/>
      <c r="D44" s="605">
        <f>C44/B44*100</f>
        <v>0</v>
      </c>
      <c r="E44" s="2714"/>
      <c r="F44" s="605"/>
      <c r="G44" s="182">
        <v>1.5</v>
      </c>
      <c r="H44" s="605"/>
      <c r="I44" s="186"/>
      <c r="J44" s="186"/>
      <c r="K44" s="186"/>
      <c r="L44" s="186"/>
      <c r="M44" s="607">
        <f>K44/G44*100</f>
        <v>0</v>
      </c>
      <c r="N44" s="186">
        <v>0</v>
      </c>
      <c r="O44" s="186"/>
      <c r="P44" s="186"/>
      <c r="Q44" s="691">
        <v>0</v>
      </c>
      <c r="R44" s="699"/>
      <c r="S44" s="688"/>
      <c r="T44" s="684"/>
      <c r="U44" s="722" t="e">
        <f>R44*#REF!</f>
        <v>#REF!</v>
      </c>
      <c r="V44" s="722" t="e">
        <f>R44*#REF!</f>
        <v>#REF!</v>
      </c>
      <c r="W44" s="722">
        <f t="shared" si="34"/>
        <v>0</v>
      </c>
      <c r="X44" s="722">
        <f t="shared" si="35"/>
        <v>0</v>
      </c>
      <c r="Y44" s="722"/>
      <c r="Z44" s="722"/>
      <c r="AA44" s="725"/>
      <c r="AB44" s="695"/>
      <c r="AC44" s="688"/>
      <c r="AD44" s="722"/>
      <c r="AE44" s="722"/>
      <c r="AF44" s="2765"/>
      <c r="AG44" s="2765"/>
      <c r="AH44" s="722"/>
      <c r="AI44" s="2625"/>
      <c r="AJ44" s="2625">
        <f t="shared" si="46"/>
        <v>0</v>
      </c>
      <c r="AK44" s="2625"/>
      <c r="AL44" s="2626"/>
      <c r="AM44" s="698"/>
      <c r="AN44" s="722">
        <f>AM44*AI56</f>
        <v>0</v>
      </c>
      <c r="AO44" s="722">
        <f>AM44*AI57</f>
        <v>0</v>
      </c>
      <c r="AP44" s="2765"/>
      <c r="AQ44" s="2766"/>
      <c r="AR44" s="2121">
        <f t="shared" si="78"/>
        <v>0</v>
      </c>
      <c r="AS44" s="2119">
        <f t="shared" si="38"/>
        <v>0</v>
      </c>
      <c r="AT44" s="2119">
        <f t="shared" si="39"/>
        <v>0</v>
      </c>
      <c r="AU44" s="2767"/>
      <c r="AV44" s="2767"/>
      <c r="AW44" s="2768"/>
      <c r="AX44" s="2787">
        <f t="shared" si="47"/>
        <v>0</v>
      </c>
      <c r="AY44" s="2788">
        <v>0</v>
      </c>
      <c r="AZ44" s="2788">
        <v>0</v>
      </c>
      <c r="BA44" s="2788">
        <f t="shared" si="48"/>
        <v>0</v>
      </c>
      <c r="BB44" s="2788"/>
      <c r="BC44" s="2788"/>
      <c r="BD44" s="3592">
        <v>0</v>
      </c>
      <c r="BE44" s="723">
        <f>SUM(BD44*AV56)</f>
        <v>0</v>
      </c>
      <c r="BF44" s="723">
        <f>SUM(BD44*AV57)</f>
        <v>0</v>
      </c>
      <c r="BG44" s="698"/>
      <c r="BH44" s="685">
        <f>SUM(BG44*AQ56)</f>
        <v>0</v>
      </c>
      <c r="BI44" s="685">
        <f>SUM(BG44*AQ57)</f>
        <v>0</v>
      </c>
      <c r="BJ44" s="2765" t="e">
        <f t="shared" si="21"/>
        <v>#DIV/0!</v>
      </c>
      <c r="BK44" s="2766" t="e">
        <f t="shared" si="22"/>
        <v>#DIV/0!</v>
      </c>
      <c r="BL44" s="763">
        <f t="shared" si="40"/>
        <v>0</v>
      </c>
      <c r="BM44" s="2119">
        <f t="shared" si="41"/>
        <v>0</v>
      </c>
      <c r="BN44" s="2119">
        <f t="shared" si="42"/>
        <v>0</v>
      </c>
      <c r="BO44" s="2767"/>
      <c r="BP44" s="4069"/>
      <c r="BQ44" s="4383">
        <f t="shared" si="43"/>
        <v>0</v>
      </c>
      <c r="BR44" s="4493"/>
      <c r="BS44" s="4493"/>
      <c r="BT44" s="4492">
        <f t="shared" si="44"/>
        <v>0</v>
      </c>
      <c r="BU44" s="4385">
        <v>0</v>
      </c>
      <c r="BV44" s="4385">
        <v>0</v>
      </c>
      <c r="BW44" s="4367">
        <f t="shared" si="49"/>
        <v>0</v>
      </c>
      <c r="BX44" s="4369">
        <f t="shared" si="84"/>
        <v>0</v>
      </c>
      <c r="BY44" s="4370">
        <f t="shared" si="84"/>
        <v>0</v>
      </c>
      <c r="BZ44" s="4352"/>
      <c r="CA44" s="763">
        <f t="shared" si="52"/>
        <v>0</v>
      </c>
      <c r="CB44" s="2119">
        <f>CA44*AV56</f>
        <v>0</v>
      </c>
      <c r="CC44" s="2119">
        <f>CA44*AV57</f>
        <v>0</v>
      </c>
      <c r="CD44" s="2767"/>
      <c r="CE44" s="4069"/>
      <c r="CF44" s="4352"/>
      <c r="CG44" s="763">
        <f t="shared" si="51"/>
        <v>0</v>
      </c>
      <c r="CH44" s="723">
        <f>SUM(CG44*BE56)</f>
        <v>0</v>
      </c>
      <c r="CI44" s="723">
        <f>CG44*AV57</f>
        <v>0</v>
      </c>
      <c r="CJ44" s="2767"/>
      <c r="CK44" s="2767"/>
      <c r="CL44" s="2768"/>
    </row>
    <row r="45" spans="1:90" ht="15">
      <c r="A45" s="721" t="s">
        <v>317</v>
      </c>
      <c r="B45" s="704"/>
      <c r="C45" s="2714"/>
      <c r="D45" s="605"/>
      <c r="E45" s="2714"/>
      <c r="F45" s="605"/>
      <c r="G45" s="182"/>
      <c r="H45" s="605"/>
      <c r="I45" s="186"/>
      <c r="J45" s="186"/>
      <c r="K45" s="186"/>
      <c r="L45" s="186"/>
      <c r="M45" s="607"/>
      <c r="N45" s="186"/>
      <c r="O45" s="186"/>
      <c r="P45" s="186">
        <v>2.84</v>
      </c>
      <c r="Q45" s="691"/>
      <c r="R45" s="699"/>
      <c r="S45" s="688"/>
      <c r="T45" s="684"/>
      <c r="U45" s="722" t="e">
        <f>R45*#REF!</f>
        <v>#REF!</v>
      </c>
      <c r="V45" s="722" t="e">
        <f>R45*#REF!</f>
        <v>#REF!</v>
      </c>
      <c r="W45" s="722">
        <f t="shared" si="34"/>
        <v>0</v>
      </c>
      <c r="X45" s="722">
        <f t="shared" si="35"/>
        <v>0</v>
      </c>
      <c r="Y45" s="722"/>
      <c r="Z45" s="722"/>
      <c r="AA45" s="725"/>
      <c r="AB45" s="695"/>
      <c r="AC45" s="688"/>
      <c r="AD45" s="722"/>
      <c r="AE45" s="722"/>
      <c r="AF45" s="2765"/>
      <c r="AG45" s="2765"/>
      <c r="AH45" s="722"/>
      <c r="AI45" s="2625"/>
      <c r="AJ45" s="2625">
        <f t="shared" si="46"/>
        <v>0</v>
      </c>
      <c r="AK45" s="2625"/>
      <c r="AL45" s="2626"/>
      <c r="AM45" s="698"/>
      <c r="AN45" s="722">
        <f>AM45*AI56</f>
        <v>0</v>
      </c>
      <c r="AO45" s="722">
        <f>AM45*AI57</f>
        <v>0</v>
      </c>
      <c r="AP45" s="2765"/>
      <c r="AQ45" s="2766"/>
      <c r="AR45" s="2121">
        <f t="shared" si="78"/>
        <v>0</v>
      </c>
      <c r="AS45" s="2119">
        <f t="shared" si="38"/>
        <v>0</v>
      </c>
      <c r="AT45" s="2119">
        <f t="shared" si="39"/>
        <v>0</v>
      </c>
      <c r="AU45" s="2767"/>
      <c r="AV45" s="2767"/>
      <c r="AW45" s="2768"/>
      <c r="AX45" s="2787">
        <f t="shared" si="47"/>
        <v>0</v>
      </c>
      <c r="AY45" s="2788">
        <v>0</v>
      </c>
      <c r="AZ45" s="2788">
        <v>0</v>
      </c>
      <c r="BA45" s="2788">
        <f t="shared" si="48"/>
        <v>0</v>
      </c>
      <c r="BB45" s="2788"/>
      <c r="BC45" s="2788"/>
      <c r="BD45" s="3592">
        <v>0</v>
      </c>
      <c r="BE45" s="723">
        <f>SUM(BD45*AV56)</f>
        <v>0</v>
      </c>
      <c r="BF45" s="723">
        <f>SUM(BD45*AV57)</f>
        <v>0</v>
      </c>
      <c r="BG45" s="698"/>
      <c r="BH45" s="685">
        <f>SUM(BG45*AQ56)</f>
        <v>0</v>
      </c>
      <c r="BI45" s="685">
        <f>SUM(BG45*AQ57)</f>
        <v>0</v>
      </c>
      <c r="BJ45" s="2765" t="e">
        <f t="shared" si="21"/>
        <v>#DIV/0!</v>
      </c>
      <c r="BK45" s="2766" t="e">
        <f t="shared" si="22"/>
        <v>#DIV/0!</v>
      </c>
      <c r="BL45" s="763">
        <f t="shared" si="40"/>
        <v>0</v>
      </c>
      <c r="BM45" s="2119">
        <f t="shared" si="41"/>
        <v>0</v>
      </c>
      <c r="BN45" s="2119">
        <f t="shared" si="42"/>
        <v>0</v>
      </c>
      <c r="BO45" s="2767"/>
      <c r="BP45" s="4069"/>
      <c r="BQ45" s="4383">
        <f t="shared" si="43"/>
        <v>0</v>
      </c>
      <c r="BR45" s="4493"/>
      <c r="BS45" s="4493"/>
      <c r="BT45" s="4492">
        <f t="shared" si="44"/>
        <v>0</v>
      </c>
      <c r="BU45" s="4385">
        <v>0</v>
      </c>
      <c r="BV45" s="4385">
        <v>0</v>
      </c>
      <c r="BW45" s="4367">
        <f t="shared" si="49"/>
        <v>0</v>
      </c>
      <c r="BX45" s="4369">
        <f t="shared" si="84"/>
        <v>0</v>
      </c>
      <c r="BY45" s="4370">
        <f t="shared" si="84"/>
        <v>0</v>
      </c>
      <c r="BZ45" s="4352"/>
      <c r="CA45" s="763">
        <f t="shared" si="52"/>
        <v>0</v>
      </c>
      <c r="CB45" s="2119">
        <f>CA45*AV56</f>
        <v>0</v>
      </c>
      <c r="CC45" s="2119">
        <f>CA45*AV57</f>
        <v>0</v>
      </c>
      <c r="CD45" s="2767"/>
      <c r="CE45" s="4069"/>
      <c r="CF45" s="4352"/>
      <c r="CG45" s="763">
        <f t="shared" si="51"/>
        <v>0</v>
      </c>
      <c r="CH45" s="723">
        <f>SUM(CG45*BE56)</f>
        <v>0</v>
      </c>
      <c r="CI45" s="723">
        <f>CG45*AV57</f>
        <v>0</v>
      </c>
      <c r="CJ45" s="2767"/>
      <c r="CK45" s="2767"/>
      <c r="CL45" s="2768"/>
    </row>
    <row r="46" spans="1:90" ht="15">
      <c r="A46" s="721" t="s">
        <v>1854</v>
      </c>
      <c r="B46" s="704"/>
      <c r="C46" s="2714"/>
      <c r="D46" s="605"/>
      <c r="E46" s="2714"/>
      <c r="F46" s="605"/>
      <c r="G46" s="182"/>
      <c r="H46" s="605"/>
      <c r="I46" s="186"/>
      <c r="J46" s="186"/>
      <c r="K46" s="186"/>
      <c r="L46" s="186"/>
      <c r="M46" s="607"/>
      <c r="N46" s="186"/>
      <c r="O46" s="186"/>
      <c r="P46" s="186">
        <v>27.65</v>
      </c>
      <c r="Q46" s="691"/>
      <c r="R46" s="699"/>
      <c r="S46" s="688"/>
      <c r="T46" s="684"/>
      <c r="U46" s="722" t="e">
        <f>R46*#REF!</f>
        <v>#REF!</v>
      </c>
      <c r="V46" s="722" t="e">
        <f>R46*#REF!</f>
        <v>#REF!</v>
      </c>
      <c r="W46" s="722">
        <f t="shared" si="34"/>
        <v>0</v>
      </c>
      <c r="X46" s="722">
        <f t="shared" si="35"/>
        <v>0</v>
      </c>
      <c r="Y46" s="722"/>
      <c r="Z46" s="722">
        <v>439.22</v>
      </c>
      <c r="AA46" s="725"/>
      <c r="AB46" s="695"/>
      <c r="AC46" s="688"/>
      <c r="AD46" s="722"/>
      <c r="AE46" s="722"/>
      <c r="AF46" s="2765"/>
      <c r="AG46" s="2765"/>
      <c r="AH46" s="722"/>
      <c r="AI46" s="2625"/>
      <c r="AJ46" s="2625">
        <f t="shared" si="46"/>
        <v>0</v>
      </c>
      <c r="AK46" s="2625"/>
      <c r="AL46" s="2626"/>
      <c r="AM46" s="698"/>
      <c r="AN46" s="722">
        <f>AM46*AI56</f>
        <v>0</v>
      </c>
      <c r="AO46" s="722">
        <f>AM46*AI57</f>
        <v>0</v>
      </c>
      <c r="AP46" s="2765"/>
      <c r="AQ46" s="2766"/>
      <c r="AR46" s="2121">
        <f t="shared" si="78"/>
        <v>0</v>
      </c>
      <c r="AS46" s="3162">
        <f t="shared" si="38"/>
        <v>0</v>
      </c>
      <c r="AT46" s="3162">
        <f t="shared" si="39"/>
        <v>0</v>
      </c>
      <c r="AU46" s="2767"/>
      <c r="AV46" s="2767"/>
      <c r="AW46" s="2768"/>
      <c r="AX46" s="2787">
        <f t="shared" si="47"/>
        <v>47.49</v>
      </c>
      <c r="AY46" s="2788">
        <v>27.44</v>
      </c>
      <c r="AZ46" s="2788">
        <v>20.05</v>
      </c>
      <c r="BA46" s="2788">
        <f t="shared" si="48"/>
        <v>0</v>
      </c>
      <c r="BB46" s="2788"/>
      <c r="BC46" s="2788"/>
      <c r="BD46" s="3592">
        <v>0</v>
      </c>
      <c r="BE46" s="723">
        <f>SUM(BD46*AV56)</f>
        <v>0</v>
      </c>
      <c r="BF46" s="723">
        <f>SUM(BD46*AV57)</f>
        <v>0</v>
      </c>
      <c r="BG46" s="698"/>
      <c r="BH46" s="685">
        <f>SUM(BG46*AQ56)</f>
        <v>0</v>
      </c>
      <c r="BI46" s="685">
        <f>SUM(BG46*AQ57)</f>
        <v>0</v>
      </c>
      <c r="BJ46" s="2765" t="e">
        <f t="shared" si="21"/>
        <v>#DIV/0!</v>
      </c>
      <c r="BK46" s="2766" t="e">
        <f t="shared" si="22"/>
        <v>#DIV/0!</v>
      </c>
      <c r="BL46" s="763">
        <f t="shared" si="40"/>
        <v>0</v>
      </c>
      <c r="BM46" s="2119">
        <f t="shared" si="41"/>
        <v>0</v>
      </c>
      <c r="BN46" s="2119">
        <f t="shared" si="42"/>
        <v>0</v>
      </c>
      <c r="BO46" s="2767"/>
      <c r="BP46" s="4069"/>
      <c r="BQ46" s="4383">
        <f t="shared" si="43"/>
        <v>101.35</v>
      </c>
      <c r="BR46" s="4493">
        <v>56.81</v>
      </c>
      <c r="BS46" s="4493">
        <v>44.54</v>
      </c>
      <c r="BT46" s="4492">
        <f t="shared" si="44"/>
        <v>101.35</v>
      </c>
      <c r="BU46" s="4385">
        <v>56.81</v>
      </c>
      <c r="BV46" s="4385">
        <v>44.54</v>
      </c>
      <c r="BW46" s="4367">
        <f t="shared" si="49"/>
        <v>101.35</v>
      </c>
      <c r="BX46" s="4369">
        <v>56.81</v>
      </c>
      <c r="BY46" s="4370">
        <v>44.54</v>
      </c>
      <c r="BZ46" s="4352"/>
      <c r="CA46" s="763">
        <f t="shared" si="52"/>
        <v>0</v>
      </c>
      <c r="CB46" s="2119">
        <f>CA46*AV56</f>
        <v>0</v>
      </c>
      <c r="CC46" s="2119">
        <f>CA46*AV57</f>
        <v>0</v>
      </c>
      <c r="CD46" s="2767"/>
      <c r="CE46" s="4069"/>
      <c r="CF46" s="4352"/>
      <c r="CG46" s="763">
        <f t="shared" si="51"/>
        <v>0</v>
      </c>
      <c r="CH46" s="723">
        <f>SUM(CG46*BE56)</f>
        <v>0</v>
      </c>
      <c r="CI46" s="723">
        <f>CG46*AV57</f>
        <v>0</v>
      </c>
      <c r="CJ46" s="2767"/>
      <c r="CK46" s="2767"/>
      <c r="CL46" s="2768"/>
    </row>
    <row r="47" spans="1:90" ht="15">
      <c r="A47" s="721" t="s">
        <v>98</v>
      </c>
      <c r="B47" s="704">
        <v>2</v>
      </c>
      <c r="C47" s="2714"/>
      <c r="D47" s="605">
        <f>C47/B47*100</f>
        <v>0</v>
      </c>
      <c r="E47" s="2714"/>
      <c r="F47" s="605"/>
      <c r="G47" s="182">
        <v>1.5</v>
      </c>
      <c r="H47" s="605"/>
      <c r="I47" s="186"/>
      <c r="J47" s="186"/>
      <c r="K47" s="186"/>
      <c r="L47" s="186">
        <v>109.5</v>
      </c>
      <c r="M47" s="607">
        <f>K47/G47*100</f>
        <v>0</v>
      </c>
      <c r="N47" s="186">
        <v>0</v>
      </c>
      <c r="O47" s="186"/>
      <c r="P47" s="186"/>
      <c r="Q47" s="691">
        <v>0</v>
      </c>
      <c r="R47" s="699">
        <v>115.5</v>
      </c>
      <c r="S47" s="688">
        <v>12.215999999999999</v>
      </c>
      <c r="T47" s="684"/>
      <c r="U47" s="722" t="e">
        <f>R47*#REF!</f>
        <v>#REF!</v>
      </c>
      <c r="V47" s="722" t="e">
        <f>R47*#REF!</f>
        <v>#REF!</v>
      </c>
      <c r="W47" s="722">
        <f t="shared" si="34"/>
        <v>6.9750802861685202</v>
      </c>
      <c r="X47" s="722">
        <f t="shared" si="35"/>
        <v>4.9542531796502365</v>
      </c>
      <c r="Y47" s="722">
        <v>2.94</v>
      </c>
      <c r="Z47" s="722">
        <v>8.73</v>
      </c>
      <c r="AA47" s="725">
        <v>11.6</v>
      </c>
      <c r="AB47" s="695">
        <v>12.2</v>
      </c>
      <c r="AC47" s="688">
        <v>12.215999999999999</v>
      </c>
      <c r="AD47" s="722">
        <f>W47</f>
        <v>6.9750802861685202</v>
      </c>
      <c r="AE47" s="722">
        <f>X47</f>
        <v>4.9542531796502365</v>
      </c>
      <c r="AF47" s="2765">
        <f>AD47/W47</f>
        <v>1</v>
      </c>
      <c r="AG47" s="2765">
        <f>AE47/X47</f>
        <v>1</v>
      </c>
      <c r="AH47" s="722">
        <v>6.17</v>
      </c>
      <c r="AI47" s="2625">
        <v>9.26</v>
      </c>
      <c r="AJ47" s="2625">
        <f t="shared" si="46"/>
        <v>12.29</v>
      </c>
      <c r="AK47" s="2625">
        <v>7.18</v>
      </c>
      <c r="AL47" s="2626">
        <v>5.1100000000000003</v>
      </c>
      <c r="AM47" s="698">
        <f t="shared" ref="AM47" si="85">SUM(AA47*1.1)</f>
        <v>12.76</v>
      </c>
      <c r="AN47" s="722">
        <f>AM47*AI56</f>
        <v>7.6049599999999993</v>
      </c>
      <c r="AO47" s="722">
        <f>AM47*AI57</f>
        <v>5.1550400000000005</v>
      </c>
      <c r="AP47" s="2765">
        <f>AN47/AD47</f>
        <v>1.0903042958631632</v>
      </c>
      <c r="AQ47" s="2766">
        <f>AO47/AE47</f>
        <v>1.0405281710620893</v>
      </c>
      <c r="AR47" s="2121">
        <f>AM47</f>
        <v>12.76</v>
      </c>
      <c r="AS47" s="2119">
        <f t="shared" si="38"/>
        <v>6.9434175819675454</v>
      </c>
      <c r="AT47" s="2119">
        <f t="shared" si="39"/>
        <v>5.7478200856768931</v>
      </c>
      <c r="AU47" s="2767">
        <f>AS47/AD47</f>
        <v>0.99546059645166218</v>
      </c>
      <c r="AV47" s="2767">
        <f>AT47/AE47</f>
        <v>1.1601789164280623</v>
      </c>
      <c r="AW47" s="2768"/>
      <c r="AX47" s="2787">
        <f t="shared" si="47"/>
        <v>6.59</v>
      </c>
      <c r="AY47" s="2788">
        <v>3.83</v>
      </c>
      <c r="AZ47" s="2788">
        <v>2.76</v>
      </c>
      <c r="BA47" s="2788">
        <f t="shared" si="48"/>
        <v>9.94</v>
      </c>
      <c r="BB47" s="2788">
        <v>5.64</v>
      </c>
      <c r="BC47" s="2788">
        <v>4.3</v>
      </c>
      <c r="BD47" s="3592">
        <v>13.19</v>
      </c>
      <c r="BE47" s="723">
        <f>SUM(BD47*AV56)</f>
        <v>7.7820999999999989</v>
      </c>
      <c r="BF47" s="723">
        <f>SUM(BD47*AV57)</f>
        <v>5.4078999999999997</v>
      </c>
      <c r="BG47" s="698">
        <f>SUM(AR47*1.1)</f>
        <v>14.036000000000001</v>
      </c>
      <c r="BH47" s="685">
        <f>SUM(BG47*AQ56)</f>
        <v>8.2812400000000004</v>
      </c>
      <c r="BI47" s="685">
        <f>SUM(BG47*AQ57)</f>
        <v>5.7547600000000001</v>
      </c>
      <c r="BJ47" s="2765">
        <f t="shared" si="21"/>
        <v>1.1926749186894443</v>
      </c>
      <c r="BK47" s="2766">
        <f t="shared" si="22"/>
        <v>1.0012073993652655</v>
      </c>
      <c r="BL47" s="763">
        <f t="shared" si="40"/>
        <v>13.5293004</v>
      </c>
      <c r="BM47" s="2119">
        <f t="shared" si="41"/>
        <v>7.362036227984369</v>
      </c>
      <c r="BN47" s="2119">
        <f t="shared" si="42"/>
        <v>6.0943561586423529</v>
      </c>
      <c r="BO47" s="2767">
        <f t="shared" ref="BO47:BP49" si="86">BM47/AS47</f>
        <v>1.06029</v>
      </c>
      <c r="BP47" s="4069">
        <f t="shared" si="86"/>
        <v>1.06029</v>
      </c>
      <c r="BQ47" s="4383">
        <f t="shared" si="43"/>
        <v>6.9700000000000006</v>
      </c>
      <c r="BR47" s="4493">
        <v>4.03</v>
      </c>
      <c r="BS47" s="4493">
        <v>2.94</v>
      </c>
      <c r="BT47" s="4492">
        <f t="shared" si="44"/>
        <v>10.46</v>
      </c>
      <c r="BU47" s="4385">
        <v>6.1</v>
      </c>
      <c r="BV47" s="4385">
        <v>4.3600000000000003</v>
      </c>
      <c r="BW47" s="4367">
        <f t="shared" si="49"/>
        <v>13.95</v>
      </c>
      <c r="BX47" s="4369">
        <f t="shared" si="84"/>
        <v>8.1699999999999982</v>
      </c>
      <c r="BY47" s="4370">
        <f t="shared" si="84"/>
        <v>5.7800000000000011</v>
      </c>
      <c r="BZ47" s="4352"/>
      <c r="CA47" s="763">
        <f t="shared" si="52"/>
        <v>14.170859824968002</v>
      </c>
      <c r="CB47" s="2119">
        <f>CA47*AV56</f>
        <v>8.3608072967311209</v>
      </c>
      <c r="CC47" s="2119">
        <f>CA47*AV57</f>
        <v>5.8100525282368807</v>
      </c>
      <c r="CD47" s="2767">
        <f t="shared" ref="CD47:CE49" si="87">CB47/AY47</f>
        <v>2.1829784064572118</v>
      </c>
      <c r="CE47" s="4069">
        <f t="shared" si="87"/>
        <v>2.1050914957380003</v>
      </c>
      <c r="CF47" s="4352"/>
      <c r="CG47" s="763">
        <f t="shared" si="51"/>
        <v>13.929767691840002</v>
      </c>
      <c r="CH47" s="723">
        <f>SUM(CG47*BE56)</f>
        <v>8.2185629381856007</v>
      </c>
      <c r="CI47" s="723">
        <f>CG47*AV57</f>
        <v>5.7112047536544006</v>
      </c>
      <c r="CJ47" s="2767">
        <f t="shared" ref="CJ47:CK49" si="88">CH47/BE47</f>
        <v>1.0560854959696742</v>
      </c>
      <c r="CK47" s="2767">
        <f t="shared" si="88"/>
        <v>1.0560854959696742</v>
      </c>
      <c r="CL47" s="2768"/>
    </row>
    <row r="48" spans="1:90" ht="48.75" customHeight="1">
      <c r="A48" s="731" t="s">
        <v>1697</v>
      </c>
      <c r="B48" s="704"/>
      <c r="C48" s="686"/>
      <c r="D48" s="732"/>
      <c r="E48" s="686"/>
      <c r="F48" s="732"/>
      <c r="G48" s="688"/>
      <c r="H48" s="732"/>
      <c r="I48" s="685"/>
      <c r="J48" s="685"/>
      <c r="K48" s="685"/>
      <c r="L48" s="685"/>
      <c r="M48" s="687"/>
      <c r="N48" s="685"/>
      <c r="O48" s="685"/>
      <c r="P48" s="685"/>
      <c r="Q48" s="691"/>
      <c r="R48" s="699"/>
      <c r="S48" s="688"/>
      <c r="T48" s="684"/>
      <c r="U48" s="722"/>
      <c r="V48" s="722"/>
      <c r="W48" s="722"/>
      <c r="X48" s="722"/>
      <c r="Y48" s="722"/>
      <c r="Z48" s="722"/>
      <c r="AA48" s="725">
        <v>1148.98</v>
      </c>
      <c r="AB48" s="695"/>
      <c r="AC48" s="688"/>
      <c r="AD48" s="722"/>
      <c r="AE48" s="722"/>
      <c r="AF48" s="2765"/>
      <c r="AG48" s="2765"/>
      <c r="AH48" s="722">
        <v>270</v>
      </c>
      <c r="AI48" s="2625">
        <v>405</v>
      </c>
      <c r="AJ48" s="2625">
        <f t="shared" si="46"/>
        <v>537.05999999999995</v>
      </c>
      <c r="AK48" s="2625">
        <v>316.92</v>
      </c>
      <c r="AL48" s="2626">
        <v>220.14</v>
      </c>
      <c r="AM48" s="698">
        <v>249</v>
      </c>
      <c r="AN48" s="722">
        <f>AM48*AI56</f>
        <v>148.404</v>
      </c>
      <c r="AO48" s="722">
        <f>AM48*AI57</f>
        <v>100.596</v>
      </c>
      <c r="AP48" s="2765"/>
      <c r="AQ48" s="2766"/>
      <c r="AR48" s="2121">
        <f>'налог на имущ'!E15</f>
        <v>65.63542333333335</v>
      </c>
      <c r="AS48" s="2119">
        <f t="shared" si="38"/>
        <v>35.715842662425523</v>
      </c>
      <c r="AT48" s="2119">
        <f t="shared" si="39"/>
        <v>29.56587810088082</v>
      </c>
      <c r="AU48" s="2767"/>
      <c r="AV48" s="2767"/>
      <c r="AW48" s="2771" t="s">
        <v>544</v>
      </c>
      <c r="AX48" s="2787">
        <f t="shared" si="47"/>
        <v>742.26</v>
      </c>
      <c r="AY48" s="2788">
        <v>428.8</v>
      </c>
      <c r="AZ48" s="2788">
        <v>313.45999999999998</v>
      </c>
      <c r="BA48" s="2788">
        <f t="shared" si="48"/>
        <v>1039.76</v>
      </c>
      <c r="BB48" s="2788">
        <v>594.91999999999996</v>
      </c>
      <c r="BC48" s="2788">
        <v>444.84</v>
      </c>
      <c r="BD48" s="3592">
        <v>1239.76</v>
      </c>
      <c r="BE48" s="723">
        <f>SUM(BD48*AV56)</f>
        <v>731.45839999999998</v>
      </c>
      <c r="BF48" s="723">
        <f>SUM(BD48*AV57)</f>
        <v>508.30159999999995</v>
      </c>
      <c r="BG48" s="698">
        <f>SUM(AR48*1.1)</f>
        <v>72.198965666666695</v>
      </c>
      <c r="BH48" s="685">
        <f>SUM(BG48*AQ56)</f>
        <v>42.597389743333345</v>
      </c>
      <c r="BI48" s="685">
        <f>SUM(BG48*AQ57)</f>
        <v>29.601575923333343</v>
      </c>
      <c r="BJ48" s="2765">
        <f t="shared" si="21"/>
        <v>1.1926749186894443</v>
      </c>
      <c r="BK48" s="2766">
        <f t="shared" si="22"/>
        <v>1.0012073993652655</v>
      </c>
      <c r="BL48" s="763">
        <f t="shared" si="40"/>
        <v>69.592583006100014</v>
      </c>
      <c r="BM48" s="2119">
        <f t="shared" si="41"/>
        <v>37.869150816543154</v>
      </c>
      <c r="BN48" s="2119">
        <f t="shared" si="42"/>
        <v>31.348404891582923</v>
      </c>
      <c r="BO48" s="2767">
        <f t="shared" si="86"/>
        <v>1.06029</v>
      </c>
      <c r="BP48" s="4069">
        <f t="shared" si="86"/>
        <v>1.06029</v>
      </c>
      <c r="BQ48" s="4383">
        <f t="shared" si="43"/>
        <v>0</v>
      </c>
      <c r="BR48" s="4493"/>
      <c r="BS48" s="4493"/>
      <c r="BT48" s="4492">
        <f t="shared" si="44"/>
        <v>0</v>
      </c>
      <c r="BU48" s="4385">
        <v>0</v>
      </c>
      <c r="BV48" s="4385">
        <v>0</v>
      </c>
      <c r="BW48" s="4367">
        <f t="shared" si="49"/>
        <v>0</v>
      </c>
      <c r="BX48" s="4369">
        <f t="shared" si="84"/>
        <v>0</v>
      </c>
      <c r="BY48" s="4370">
        <f t="shared" si="84"/>
        <v>0</v>
      </c>
      <c r="BZ48" s="4354" t="s">
        <v>544</v>
      </c>
      <c r="CA48" s="763">
        <f t="shared" si="52"/>
        <v>72.892663292249281</v>
      </c>
      <c r="CB48" s="2119">
        <f>CA48*AV56</f>
        <v>43.006671342427076</v>
      </c>
      <c r="CC48" s="2119">
        <f>CA48*AV57</f>
        <v>29.885991949822202</v>
      </c>
      <c r="CD48" s="2767">
        <f t="shared" si="87"/>
        <v>0.10029540891424224</v>
      </c>
      <c r="CE48" s="4069">
        <f t="shared" si="87"/>
        <v>9.5342282746832777E-2</v>
      </c>
      <c r="CF48" s="4354" t="s">
        <v>544</v>
      </c>
      <c r="CG48" s="763">
        <f t="shared" si="51"/>
        <v>71.65252346308057</v>
      </c>
      <c r="CH48" s="723">
        <f>SUM(CG48*BE56)</f>
        <v>42.274988843217535</v>
      </c>
      <c r="CI48" s="723">
        <f>CG48*AV57</f>
        <v>29.377534619863031</v>
      </c>
      <c r="CJ48" s="2767">
        <f t="shared" si="88"/>
        <v>5.7795479337194755E-2</v>
      </c>
      <c r="CK48" s="2767">
        <f t="shared" si="88"/>
        <v>5.7795479337194755E-2</v>
      </c>
      <c r="CL48" s="3798" t="s">
        <v>544</v>
      </c>
    </row>
    <row r="49" spans="1:92" ht="15.75" thickBot="1">
      <c r="A49" s="733" t="s">
        <v>12</v>
      </c>
      <c r="B49" s="734">
        <f>SUM(B8:B47)</f>
        <v>15838.700000000003</v>
      </c>
      <c r="C49" s="735">
        <f>SUM(C8:C38)</f>
        <v>17072.899999999991</v>
      </c>
      <c r="D49" s="736">
        <f>C49/B49*100</f>
        <v>107.79230618674505</v>
      </c>
      <c r="E49" s="735">
        <f>SUM(E8:E47)</f>
        <v>17239.899999999998</v>
      </c>
      <c r="F49" s="735">
        <f>SUM(F8:F47)</f>
        <v>3153.2029134533927</v>
      </c>
      <c r="G49" s="735">
        <f>SUM(G8:G47)</f>
        <v>19008.899999999998</v>
      </c>
      <c r="H49" s="736">
        <f>G49/E49*100</f>
        <v>110.26108040069838</v>
      </c>
      <c r="I49" s="714">
        <f>SUM(I8:I47)</f>
        <v>19197.563600000001</v>
      </c>
      <c r="J49" s="714">
        <f>SUM(J8:J47)</f>
        <v>14908.387233621954</v>
      </c>
      <c r="K49" s="714">
        <f>SUM(K8:K47)</f>
        <v>21840.935330518507</v>
      </c>
      <c r="L49" s="714">
        <f>SUM(L15:L47)+L8+L9+L10+L11</f>
        <v>20861.2</v>
      </c>
      <c r="M49" s="715">
        <f>K49/G49*100</f>
        <v>114.89847035082781</v>
      </c>
      <c r="N49" s="714">
        <f t="shared" ref="N49:S49" si="89">SUM(N15:N47)+N8+N9+N10+N11</f>
        <v>20289.383040266664</v>
      </c>
      <c r="O49" s="714">
        <f t="shared" si="89"/>
        <v>12076.8</v>
      </c>
      <c r="P49" s="714">
        <f t="shared" si="89"/>
        <v>18482.569625</v>
      </c>
      <c r="Q49" s="716">
        <f t="shared" si="89"/>
        <v>24513</v>
      </c>
      <c r="R49" s="717">
        <f t="shared" si="89"/>
        <v>26753.66</v>
      </c>
      <c r="S49" s="714">
        <f t="shared" si="89"/>
        <v>21065.913023511166</v>
      </c>
      <c r="T49" s="718">
        <f>S49/N49</f>
        <v>1.0382727252821531</v>
      </c>
      <c r="U49" s="737" t="e">
        <f t="shared" ref="U49:Z49" si="90">SUM(U8:U47)-U12-U14-U13</f>
        <v>#REF!</v>
      </c>
      <c r="V49" s="737" t="e">
        <f t="shared" si="90"/>
        <v>#REF!</v>
      </c>
      <c r="W49" s="737">
        <f t="shared" si="90"/>
        <v>12028.195370042011</v>
      </c>
      <c r="X49" s="737">
        <f t="shared" si="90"/>
        <v>8543.374801814467</v>
      </c>
      <c r="Y49" s="737">
        <f t="shared" si="90"/>
        <v>11845.489999999998</v>
      </c>
      <c r="Z49" s="737">
        <f t="shared" si="90"/>
        <v>17750.399999999994</v>
      </c>
      <c r="AA49" s="738">
        <f>SUM(AA8:AA48)-AA12-AA14-AA13</f>
        <v>23798.809999999998</v>
      </c>
      <c r="AB49" s="719">
        <f>SUM(AB15:AB47)+AB8+AB9+AB10+AB11</f>
        <v>24794.63</v>
      </c>
      <c r="AC49" s="714">
        <f>SUM(AC15:AC47)+AC8+AC9+AC10+AC11</f>
        <v>22083.255095023407</v>
      </c>
      <c r="AD49" s="714">
        <f>SUM(AD15:AD47)+AD8+AD9+AD10+AD11</f>
        <v>13073.01213648671</v>
      </c>
      <c r="AE49" s="714">
        <f>SUM(AE15:AE47)+AE8+AE9+AE10+AE11</f>
        <v>8833.3841337506801</v>
      </c>
      <c r="AF49" s="2772">
        <f>AD49/W49</f>
        <v>1.0868639670625047</v>
      </c>
      <c r="AG49" s="2772">
        <f>AE49/X49</f>
        <v>1.0339455237144248</v>
      </c>
      <c r="AH49" s="714">
        <f>SUM(AH8:AH48)-AH12-AH14-AH13</f>
        <v>11015.409999999982</v>
      </c>
      <c r="AI49" s="2629">
        <f>SUM(AI8:AI48)-AI12-AI14-AI13</f>
        <v>16483.249999999993</v>
      </c>
      <c r="AJ49" s="2629">
        <f t="shared" ref="AJ49:AL49" si="91">SUM(AJ8:AJ48)-AJ12-AJ14-AJ13</f>
        <v>21783.079999999987</v>
      </c>
      <c r="AK49" s="2629">
        <f t="shared" si="91"/>
        <v>12858.340000000004</v>
      </c>
      <c r="AL49" s="2629">
        <f t="shared" si="91"/>
        <v>8924.7399999999834</v>
      </c>
      <c r="AM49" s="717">
        <f>SUM(AM15:AM48)+AM8+AM9+AM10+AM11</f>
        <v>27535.565710230981</v>
      </c>
      <c r="AN49" s="714">
        <f>SUM(AN15:AN48)+AN8+AN9+AN10+AN11</f>
        <v>16411.197163297664</v>
      </c>
      <c r="AO49" s="714">
        <f>SUM(AO15:AO48)+AO8+AO9+AO10+AO11</f>
        <v>11124.368546933318</v>
      </c>
      <c r="AP49" s="2772">
        <f>AN49/AD49</f>
        <v>1.255349340454913</v>
      </c>
      <c r="AQ49" s="2773">
        <f>AO49/AE49</f>
        <v>1.2593552344711494</v>
      </c>
      <c r="AR49" s="3002">
        <f>SUM(AR15:AR47)+AR8+AR9+AR10+AR11</f>
        <v>23744.037959511399</v>
      </c>
      <c r="AS49" s="3003">
        <f>SUM(AS15:AS48)+AS8+AS9+AS10+AS11</f>
        <v>12956.15241280163</v>
      </c>
      <c r="AT49" s="3003">
        <f>SUM(AT15:AT48)+AT8+AT9+AT10+AT11</f>
        <v>10725.213080197605</v>
      </c>
      <c r="AU49" s="3004">
        <f>AS49/AC49</f>
        <v>0.58669577274961493</v>
      </c>
      <c r="AV49" s="3005">
        <f>AT49/AD49</f>
        <v>0.82040871439747165</v>
      </c>
      <c r="AW49" s="3000"/>
      <c r="AX49" s="2629">
        <f t="shared" ref="AX49:BC49" si="92">SUM(AX8:AX48)-AX12-AX14-AX13</f>
        <v>10828.859999999997</v>
      </c>
      <c r="AY49" s="2629">
        <f t="shared" si="92"/>
        <v>6282.929999999993</v>
      </c>
      <c r="AZ49" s="2629">
        <f t="shared" si="92"/>
        <v>4545.9300000000076</v>
      </c>
      <c r="BA49" s="2629">
        <f t="shared" si="92"/>
        <v>16322.179999999993</v>
      </c>
      <c r="BB49" s="2629">
        <f t="shared" si="92"/>
        <v>9402.3000000000102</v>
      </c>
      <c r="BC49" s="2629">
        <f t="shared" si="92"/>
        <v>6919.8799999999828</v>
      </c>
      <c r="BD49" s="2629">
        <f t="shared" ref="BD49:BF49" si="93">SUM(BD8:BD48)-BD12-BD14-BD13</f>
        <v>21807.430000000008</v>
      </c>
      <c r="BE49" s="2999">
        <f t="shared" si="93"/>
        <v>12866.383699999991</v>
      </c>
      <c r="BF49" s="3779">
        <f t="shared" si="93"/>
        <v>8941.0462999999982</v>
      </c>
      <c r="BG49" s="717">
        <f>SUM(BG15:BG48)+BG8+BG9+BG10+BG11</f>
        <v>27132.751434095018</v>
      </c>
      <c r="BH49" s="714">
        <f>SUM(BH15:BH48)+BH8+BH9+BH10+BH11</f>
        <v>16008.32334611606</v>
      </c>
      <c r="BI49" s="714">
        <f>SUM(BI15:BI48)+BI8+BI9+BI10+BI11</f>
        <v>11124.428087978959</v>
      </c>
      <c r="BJ49" s="2765">
        <f t="shared" si="21"/>
        <v>1.2355769549529736</v>
      </c>
      <c r="BK49" s="2766">
        <f t="shared" si="22"/>
        <v>1.0372221050338328</v>
      </c>
      <c r="BL49" s="3799">
        <f>SUM(BL15:BL47)+BL8+BL9+BL10+BL11</f>
        <v>25172.692710495336</v>
      </c>
      <c r="BM49" s="3791">
        <f>SUM(BM15:BM48)+BM8+BM9+BM10+BM11</f>
        <v>14901.729747911368</v>
      </c>
      <c r="BN49" s="3791">
        <f>SUM(BN15:BN48)+BN8+BN9+BN10+BN11</f>
        <v>10328.008730165626</v>
      </c>
      <c r="BO49" s="2767">
        <f t="shared" si="86"/>
        <v>1.1501662895835776</v>
      </c>
      <c r="BP49" s="4069">
        <f t="shared" si="86"/>
        <v>0.96296536515760656</v>
      </c>
      <c r="BQ49" s="4388">
        <f>SUM(BQ15:BQ47)+BQ8+BQ9+BQ10+BQ11</f>
        <v>11560.56</v>
      </c>
      <c r="BR49" s="4494">
        <f>SUM(BR15:BR48)+BR8+BR9+BR10+BR11</f>
        <v>6741.71</v>
      </c>
      <c r="BS49" s="4494">
        <f>SUM(BS15:BS48)+BS8+BS9+BS10+BS11</f>
        <v>4818.8500000000004</v>
      </c>
      <c r="BT49" s="4494">
        <f>SUM(BT15:BT47)+BT8+BT9+BT10+BT11</f>
        <v>17654.510000000002</v>
      </c>
      <c r="BU49" s="4389">
        <f>SUM(BU15:BU48)+BU8+BU9+BU10+BU11</f>
        <v>10271.630000000001</v>
      </c>
      <c r="BV49" s="4389">
        <f>SUM(BV15:BV48)+BV8+BV9+BV10+BV11</f>
        <v>7382.88</v>
      </c>
      <c r="BW49" s="4375">
        <f t="shared" ref="BW49:BY49" si="94">SUM(BW8:BW48)-BW12-BW14-BW13</f>
        <v>23278.689999999988</v>
      </c>
      <c r="BX49" s="4375">
        <f t="shared" si="94"/>
        <v>13525.529999999999</v>
      </c>
      <c r="BY49" s="4376">
        <f t="shared" si="94"/>
        <v>9753.1600000000035</v>
      </c>
      <c r="BZ49" s="4355"/>
      <c r="CA49" s="4363">
        <f t="shared" ref="CA49:CC49" si="95">SUM(CA8:CA48)-CA12-CA14-CA13</f>
        <v>26445.32534631926</v>
      </c>
      <c r="CB49" s="4364">
        <f t="shared" si="95"/>
        <v>15602.741954328365</v>
      </c>
      <c r="CC49" s="3779">
        <f t="shared" si="95"/>
        <v>10842.583391990902</v>
      </c>
      <c r="CD49" s="2767">
        <f t="shared" si="87"/>
        <v>2.4833544149510471</v>
      </c>
      <c r="CE49" s="4069">
        <f t="shared" si="87"/>
        <v>2.3851188628049451</v>
      </c>
      <c r="CF49" s="4355"/>
      <c r="CG49" s="4363">
        <f t="shared" ref="CG49:CI49" si="96">SUM(CG8:CG48)-CG12-CG14-CG13</f>
        <v>25958.646034189063</v>
      </c>
      <c r="CH49" s="4364">
        <f t="shared" si="96"/>
        <v>15353.40972017153</v>
      </c>
      <c r="CI49" s="3779">
        <f t="shared" si="96"/>
        <v>10605.236314017533</v>
      </c>
      <c r="CJ49" s="2767">
        <f t="shared" si="88"/>
        <v>1.1932964287526682</v>
      </c>
      <c r="CK49" s="2767">
        <f t="shared" si="88"/>
        <v>1.1861292244977566</v>
      </c>
      <c r="CL49" s="3800"/>
    </row>
    <row r="50" spans="1:92" ht="13.5" thickBot="1">
      <c r="A50" s="2774" t="s">
        <v>44</v>
      </c>
      <c r="B50" s="2775"/>
      <c r="C50" s="2775"/>
      <c r="D50" s="2775"/>
      <c r="E50" s="2775"/>
      <c r="F50" s="2775"/>
      <c r="G50" s="2775"/>
      <c r="H50" s="2775"/>
      <c r="I50" s="2775"/>
      <c r="J50" s="2775"/>
      <c r="K50" s="2775"/>
      <c r="L50" s="2775"/>
      <c r="M50" s="2775"/>
      <c r="N50" s="2775"/>
      <c r="O50" s="2775"/>
      <c r="P50" s="2775"/>
      <c r="Q50" s="2776"/>
      <c r="R50" s="2774"/>
      <c r="S50" s="2775"/>
      <c r="T50" s="2775"/>
      <c r="U50" s="2775"/>
      <c r="V50" s="2775"/>
      <c r="W50" s="2775"/>
      <c r="X50" s="2775"/>
      <c r="Y50" s="2775"/>
      <c r="Z50" s="2775"/>
      <c r="AA50" s="2777"/>
      <c r="AB50" s="2774"/>
      <c r="AC50" s="2778">
        <f>AC49/S49</f>
        <v>1.0482932816810175</v>
      </c>
      <c r="AD50" s="2778">
        <f>AD49/W49</f>
        <v>1.0868639670625047</v>
      </c>
      <c r="AE50" s="2778">
        <f>AE49/X49</f>
        <v>1.0339455237144248</v>
      </c>
      <c r="AF50" s="2775"/>
      <c r="AG50" s="2777"/>
      <c r="AH50" s="2774"/>
      <c r="AI50" s="2776"/>
      <c r="AJ50" s="2779"/>
      <c r="AK50" s="2780">
        <f>SUM(AK49/AJ49)*100</f>
        <v>59.029026198315435</v>
      </c>
      <c r="AL50" s="2780">
        <f>SUM(AL49/AJ49)*100</f>
        <v>40.970973801684558</v>
      </c>
      <c r="AM50" s="2781">
        <f>SUM(AM49/AC49)</f>
        <v>1.2468979591888283</v>
      </c>
      <c r="AN50" s="2778">
        <f>SUM(AN49/AD49)</f>
        <v>1.255349340454913</v>
      </c>
      <c r="AO50" s="2778">
        <f>SUM(AO49/AE49)</f>
        <v>1.2593552344711494</v>
      </c>
      <c r="AP50" s="2775"/>
      <c r="AQ50" s="2776"/>
      <c r="AR50" s="2781">
        <f>AR49/AC49</f>
        <v>1.0752055282313095</v>
      </c>
      <c r="AS50" s="2778">
        <f>AS49/AD49</f>
        <v>0.99106099478337317</v>
      </c>
      <c r="AT50" s="2778">
        <f>AT49/AE49</f>
        <v>1.2141680830134634</v>
      </c>
      <c r="AU50" s="2775"/>
      <c r="AV50" s="2777"/>
      <c r="AW50" s="3001"/>
      <c r="AX50" s="2774"/>
      <c r="AY50" s="3006">
        <f>SUM(AY49/AX49)*100</f>
        <v>58.020234816961292</v>
      </c>
      <c r="AZ50" s="3006">
        <f>SUM(AZ49/AX49)*100</f>
        <v>41.979765183038744</v>
      </c>
      <c r="BA50" s="2775"/>
      <c r="BB50" s="3006">
        <f>SUM(BB49/BA49)*100</f>
        <v>57.604437642520878</v>
      </c>
      <c r="BC50" s="3006">
        <f>SUM(BC49/BA49)*100</f>
        <v>42.395562357479122</v>
      </c>
      <c r="BD50" s="2775"/>
      <c r="BE50" s="3006">
        <f>SUM(BE49/BD49)*100</f>
        <v>58.999999999999943</v>
      </c>
      <c r="BF50" s="3007">
        <f>SUM(BF49/BD49)*100</f>
        <v>40.999999999999979</v>
      </c>
      <c r="BG50" s="2781">
        <f>SUM(BG49/AR49)</f>
        <v>1.1427184997076778</v>
      </c>
      <c r="BH50" s="2778">
        <f>SUM(BH49/AS49)</f>
        <v>1.2355769549529736</v>
      </c>
      <c r="BI50" s="2778">
        <f>SUM(BI49/AT49)</f>
        <v>1.0372221050338328</v>
      </c>
      <c r="BJ50" s="2775"/>
      <c r="BK50" s="2776"/>
      <c r="BL50" s="2781">
        <f>BL49/AR49</f>
        <v>1.0601689886707599</v>
      </c>
      <c r="BM50" s="2778">
        <f>BM49/AS49</f>
        <v>1.1501662895835776</v>
      </c>
      <c r="BN50" s="2778">
        <f>BN49/AT49</f>
        <v>0.96296536515760656</v>
      </c>
      <c r="BO50" s="2775"/>
      <c r="BP50" s="2776"/>
      <c r="BQ50" s="4377"/>
      <c r="BR50" s="4357"/>
      <c r="BS50" s="4357"/>
      <c r="BT50" s="4357"/>
      <c r="BU50" s="4357"/>
      <c r="BV50" s="4357"/>
      <c r="BW50" s="4357"/>
      <c r="BX50" s="4378">
        <f>SUM(BX49/BW49)*100</f>
        <v>58.102625190678715</v>
      </c>
      <c r="BY50" s="4379">
        <f>SUM(BY49/BW49)*100</f>
        <v>41.897374809321356</v>
      </c>
      <c r="BZ50" s="4356"/>
      <c r="CA50" s="2781">
        <f>CA49/BL49</f>
        <v>1.0505560787818826</v>
      </c>
      <c r="CB50" s="2778">
        <f>CB49/BM49</f>
        <v>1.0470423379215592</v>
      </c>
      <c r="CC50" s="2778">
        <f>CC49/BN49</f>
        <v>1.0498232210360481</v>
      </c>
      <c r="CD50" s="2775"/>
      <c r="CE50" s="2776"/>
      <c r="CF50" s="4356"/>
      <c r="CG50" s="2781">
        <f>CG49/BL49</f>
        <v>1.031222457316457</v>
      </c>
      <c r="CH50" s="2778">
        <f>CH49/BM49</f>
        <v>1.0303105733294802</v>
      </c>
      <c r="CI50" s="2778">
        <f>CI49/BN49</f>
        <v>1.0268423072728621</v>
      </c>
      <c r="CJ50" s="2775"/>
      <c r="CK50" s="2775"/>
      <c r="CL50" s="2777"/>
    </row>
    <row r="51" spans="1:92" ht="27" customHeight="1" thickBot="1">
      <c r="A51" s="6278"/>
      <c r="B51" s="6279"/>
      <c r="C51" s="6279"/>
      <c r="D51" s="6279"/>
      <c r="E51" s="6279"/>
      <c r="F51" s="6279"/>
      <c r="G51" s="6279"/>
      <c r="H51" s="6279"/>
      <c r="I51" s="6279"/>
      <c r="J51" s="6279"/>
      <c r="K51" s="6279"/>
      <c r="L51" s="6279"/>
      <c r="M51" s="6279"/>
      <c r="N51" s="6279"/>
      <c r="O51" s="6279"/>
      <c r="P51" s="6279"/>
      <c r="Q51" s="6279"/>
      <c r="R51" s="6279"/>
      <c r="S51" s="6279"/>
      <c r="T51" s="6279"/>
      <c r="U51" s="6279"/>
      <c r="V51" s="6279"/>
      <c r="W51" s="6279"/>
      <c r="X51" s="6279"/>
      <c r="Y51" s="6279"/>
      <c r="Z51" s="6279"/>
      <c r="AA51" s="6279"/>
      <c r="AB51" s="6279"/>
      <c r="AC51" s="6279"/>
      <c r="AD51" s="6279"/>
      <c r="AE51" s="6279"/>
      <c r="AF51" s="6279"/>
      <c r="AG51" s="6279"/>
      <c r="AH51" s="6279"/>
      <c r="AI51" s="6279"/>
      <c r="AJ51" s="6279"/>
      <c r="AK51" s="6279"/>
      <c r="AL51" s="6279"/>
      <c r="AM51" s="6279"/>
      <c r="AN51" s="2712"/>
      <c r="AO51" s="2712"/>
      <c r="AP51" s="2712"/>
      <c r="AQ51" s="2712"/>
      <c r="AR51" s="2782">
        <f>AR49/AC49</f>
        <v>1.0752055282313095</v>
      </c>
      <c r="AS51" s="2783"/>
      <c r="AT51" s="2783"/>
      <c r="AU51" s="2783"/>
      <c r="AV51" s="2783"/>
      <c r="AW51" s="2783"/>
      <c r="AX51" s="2761"/>
      <c r="AY51" s="2761"/>
      <c r="AZ51" s="2761"/>
      <c r="BA51" s="2761"/>
      <c r="BB51" s="2761"/>
      <c r="BC51" s="2761"/>
      <c r="BD51" s="2783">
        <f>SUM(BE51:BF51)</f>
        <v>21807.425999999999</v>
      </c>
      <c r="BE51" s="2783">
        <v>12499.652</v>
      </c>
      <c r="BF51" s="3909">
        <v>9307.7739999999994</v>
      </c>
      <c r="BG51" s="2769"/>
      <c r="BH51" s="2769"/>
      <c r="BI51" s="2769"/>
      <c r="BJ51" s="2769"/>
      <c r="BK51" s="2769"/>
      <c r="BL51" s="3801">
        <f>SUM(BM51:BN51)</f>
        <v>25087.559747911368</v>
      </c>
      <c r="BM51" s="3801">
        <f>SUM(вода!BY121)</f>
        <v>10405.569747911368</v>
      </c>
      <c r="BN51" s="3802">
        <f>SUM(стоки!BU46)</f>
        <v>14681.99</v>
      </c>
      <c r="BO51" s="2769"/>
      <c r="BP51" s="2769"/>
      <c r="BQ51" s="2769"/>
      <c r="BR51" s="2769"/>
      <c r="BS51" s="2769"/>
      <c r="BT51" s="2769"/>
      <c r="BU51" s="2769"/>
      <c r="BV51" s="2769"/>
      <c r="BW51" s="2769"/>
      <c r="BX51" s="2769"/>
      <c r="BY51" s="2769"/>
      <c r="BZ51" s="2769"/>
      <c r="CA51" s="3913">
        <f>SUM(CB51:CC51)</f>
        <v>26445.325346319267</v>
      </c>
      <c r="CB51" s="3913">
        <f>SUM(CB49-4496.16)</f>
        <v>11106.581954328365</v>
      </c>
      <c r="CC51" s="3913">
        <f>SUM(CC49+4496.16)</f>
        <v>15338.743391990902</v>
      </c>
      <c r="CD51" s="2761"/>
      <c r="CE51" s="2761"/>
      <c r="CF51" s="2761"/>
      <c r="CG51" s="4489">
        <f>SUM(CH51:CI51)</f>
        <v>25958.646034189063</v>
      </c>
      <c r="CH51" s="4489">
        <f>SUM(CH49-4608.94)</f>
        <v>10744.469720171532</v>
      </c>
      <c r="CI51" s="4489">
        <f>SUM(CI49+4608.94)</f>
        <v>15214.176314017532</v>
      </c>
      <c r="CN51" s="4488">
        <f>SUM(CN23)</f>
        <v>101552.11014623656</v>
      </c>
    </row>
    <row r="52" spans="1:92" ht="38.25" customHeight="1">
      <c r="A52" s="6263" t="s">
        <v>318</v>
      </c>
      <c r="B52" s="6266">
        <v>2008</v>
      </c>
      <c r="C52" s="6267"/>
      <c r="D52" s="6270" t="s">
        <v>67</v>
      </c>
      <c r="E52" s="6267"/>
      <c r="F52" s="609" t="s">
        <v>67</v>
      </c>
      <c r="G52" s="6285" t="s">
        <v>95</v>
      </c>
      <c r="H52" s="6285"/>
      <c r="I52" s="6289" t="s">
        <v>303</v>
      </c>
      <c r="J52" s="6290"/>
      <c r="K52" s="6290"/>
      <c r="L52" s="6290"/>
      <c r="M52" s="6290"/>
      <c r="N52" s="6290"/>
      <c r="O52" s="6296" t="str">
        <f>N4</f>
        <v>2013 год</v>
      </c>
      <c r="P52" s="6297"/>
      <c r="Q52" s="6297"/>
      <c r="R52" s="6297"/>
      <c r="S52" s="6297"/>
      <c r="T52" s="6297"/>
      <c r="U52" s="6297"/>
      <c r="V52" s="6297"/>
      <c r="W52" s="6297"/>
      <c r="X52" s="6298"/>
      <c r="Y52" s="6254" t="s">
        <v>238</v>
      </c>
      <c r="Z52" s="6250"/>
      <c r="AA52" s="6250"/>
      <c r="AB52" s="6250"/>
      <c r="AC52" s="6250"/>
      <c r="AD52" s="5155"/>
      <c r="AE52" s="6255" t="s">
        <v>379</v>
      </c>
      <c r="AF52" s="6256"/>
      <c r="AG52" s="6256"/>
      <c r="AH52" s="6257"/>
      <c r="AI52" s="6299" t="s">
        <v>659</v>
      </c>
      <c r="AJ52" s="6300"/>
      <c r="AK52" s="6300"/>
      <c r="AL52" s="6300"/>
      <c r="AM52" s="6300"/>
      <c r="AN52" s="6300"/>
      <c r="AO52" s="6300"/>
      <c r="AP52" s="6301"/>
      <c r="AQ52" s="6258" t="s">
        <v>911</v>
      </c>
      <c r="AR52" s="6259"/>
      <c r="AS52" s="6259"/>
      <c r="AT52" s="6259"/>
      <c r="AU52" s="5700"/>
      <c r="AV52" s="6180" t="s">
        <v>912</v>
      </c>
      <c r="AW52" s="6181"/>
      <c r="AX52" s="6181"/>
      <c r="AY52" s="6181"/>
      <c r="AZ52" s="6181"/>
      <c r="BA52" s="6181"/>
      <c r="BB52" s="6181"/>
      <c r="BC52" s="6181"/>
      <c r="BD52" s="6181"/>
      <c r="BE52" s="6181"/>
      <c r="BF52" s="6182"/>
      <c r="BG52" s="2761"/>
      <c r="BH52" s="2761"/>
      <c r="BI52" s="2761"/>
      <c r="BJ52" s="2761"/>
      <c r="BK52" s="2761"/>
      <c r="BL52" s="2761"/>
      <c r="BM52" s="2761"/>
      <c r="BN52" s="2761"/>
      <c r="BO52" s="2761"/>
      <c r="BP52" s="2761"/>
      <c r="BQ52" s="2761"/>
      <c r="BR52" s="2761"/>
      <c r="BS52" s="2761"/>
      <c r="BT52" s="2761"/>
      <c r="BU52" s="2761"/>
      <c r="BV52" s="2761"/>
      <c r="BW52" s="2761"/>
      <c r="BX52" s="2761"/>
      <c r="BY52" s="2761"/>
      <c r="BZ52" s="2761"/>
      <c r="CA52" s="2761"/>
      <c r="CB52" s="2761"/>
      <c r="CC52" s="2761"/>
      <c r="CD52" s="2761"/>
      <c r="CE52" s="2761"/>
      <c r="CF52" s="2761"/>
    </row>
    <row r="53" spans="1:92" ht="12.75" customHeight="1">
      <c r="A53" s="6264"/>
      <c r="B53" s="6268"/>
      <c r="C53" s="6269"/>
      <c r="D53" s="6271"/>
      <c r="E53" s="6272"/>
      <c r="F53" s="610"/>
      <c r="G53" s="6285"/>
      <c r="H53" s="6285"/>
      <c r="I53" s="6242" t="s">
        <v>304</v>
      </c>
      <c r="J53" s="6286" t="s">
        <v>134</v>
      </c>
      <c r="K53" s="6286" t="s">
        <v>319</v>
      </c>
      <c r="L53" s="6270" t="s">
        <v>305</v>
      </c>
      <c r="M53" s="6266"/>
      <c r="N53" s="6266"/>
      <c r="O53" s="6280" t="s">
        <v>304</v>
      </c>
      <c r="P53" s="6281"/>
      <c r="Q53" s="6284" t="s">
        <v>306</v>
      </c>
      <c r="R53" s="6284"/>
      <c r="S53" s="6284" t="s">
        <v>320</v>
      </c>
      <c r="T53" s="6284"/>
      <c r="U53" s="6266" t="s">
        <v>308</v>
      </c>
      <c r="V53" s="6266"/>
      <c r="W53" s="6292" t="s">
        <v>163</v>
      </c>
      <c r="X53" s="6293"/>
      <c r="Y53" s="6291" t="s">
        <v>304</v>
      </c>
      <c r="Z53" s="6284"/>
      <c r="AA53" s="6244" t="s">
        <v>432</v>
      </c>
      <c r="AB53" s="6306"/>
      <c r="AC53" s="6244" t="s">
        <v>657</v>
      </c>
      <c r="AD53" s="6252"/>
      <c r="AE53" s="6280" t="s">
        <v>283</v>
      </c>
      <c r="AF53" s="6306"/>
      <c r="AG53" s="6244" t="s">
        <v>392</v>
      </c>
      <c r="AH53" s="6252"/>
      <c r="AI53" s="6314" t="s">
        <v>283</v>
      </c>
      <c r="AJ53" s="6315"/>
      <c r="AK53" s="6315"/>
      <c r="AL53" s="6315"/>
      <c r="AM53" s="6316"/>
      <c r="AN53" s="6233" t="s">
        <v>392</v>
      </c>
      <c r="AO53" s="6233"/>
      <c r="AP53" s="6302"/>
      <c r="AQ53" s="6260" t="s">
        <v>283</v>
      </c>
      <c r="AR53" s="6261"/>
      <c r="AS53" s="6166" t="s">
        <v>392</v>
      </c>
      <c r="AT53" s="6167"/>
      <c r="AU53" s="6168"/>
      <c r="AV53" s="6176" t="s">
        <v>1851</v>
      </c>
      <c r="AW53" s="6177"/>
      <c r="AX53" s="6178"/>
      <c r="AY53" s="6178"/>
      <c r="AZ53" s="6178"/>
      <c r="BA53" s="6178"/>
      <c r="BB53" s="6178"/>
      <c r="BC53" s="6178"/>
      <c r="BD53" s="6178"/>
      <c r="BE53" s="6174" t="s">
        <v>392</v>
      </c>
      <c r="BF53" s="6175"/>
      <c r="BG53" s="2761"/>
      <c r="BH53" s="2761"/>
      <c r="BI53" s="2761"/>
      <c r="BJ53" s="2761"/>
      <c r="BK53" s="2761"/>
      <c r="BL53" s="2761"/>
      <c r="BM53" s="2761"/>
      <c r="BN53" s="2761"/>
      <c r="BO53" s="2761"/>
      <c r="BP53" s="2761"/>
      <c r="BQ53" s="2761"/>
      <c r="BR53" s="2761"/>
      <c r="BS53" s="2761"/>
      <c r="BT53" s="2761"/>
      <c r="BU53" s="2761"/>
      <c r="BV53" s="2761"/>
      <c r="BW53" s="2761"/>
      <c r="BX53" s="2761"/>
      <c r="BY53" s="2761"/>
      <c r="BZ53" s="2761"/>
      <c r="CA53" s="2761"/>
      <c r="CB53" s="2761"/>
      <c r="CC53" s="2761"/>
      <c r="CD53" s="2761"/>
      <c r="CE53" s="2761"/>
      <c r="CF53" s="2761"/>
    </row>
    <row r="54" spans="1:92" ht="15.75" customHeight="1">
      <c r="A54" s="6264"/>
      <c r="B54" s="704" t="s">
        <v>44</v>
      </c>
      <c r="C54" s="2714" t="s">
        <v>45</v>
      </c>
      <c r="D54" s="6273"/>
      <c r="E54" s="6269"/>
      <c r="F54" s="2708" t="s">
        <v>44</v>
      </c>
      <c r="G54" s="6285"/>
      <c r="H54" s="6285"/>
      <c r="I54" s="6236"/>
      <c r="J54" s="6287"/>
      <c r="K54" s="6287"/>
      <c r="L54" s="6271"/>
      <c r="M54" s="6305"/>
      <c r="N54" s="6305"/>
      <c r="O54" s="6282"/>
      <c r="P54" s="6283"/>
      <c r="Q54" s="6284"/>
      <c r="R54" s="6284"/>
      <c r="S54" s="6284"/>
      <c r="T54" s="6284"/>
      <c r="U54" s="6268"/>
      <c r="V54" s="6268"/>
      <c r="W54" s="6294"/>
      <c r="X54" s="6295"/>
      <c r="Y54" s="6291"/>
      <c r="Z54" s="6284"/>
      <c r="AA54" s="6253"/>
      <c r="AB54" s="6307"/>
      <c r="AC54" s="6253"/>
      <c r="AD54" s="5137"/>
      <c r="AE54" s="5135"/>
      <c r="AF54" s="6307"/>
      <c r="AG54" s="6253"/>
      <c r="AH54" s="5137"/>
      <c r="AI54" s="6262"/>
      <c r="AJ54" s="6170"/>
      <c r="AK54" s="6170"/>
      <c r="AL54" s="6170"/>
      <c r="AM54" s="6192"/>
      <c r="AN54" s="6233"/>
      <c r="AO54" s="6233"/>
      <c r="AP54" s="6302"/>
      <c r="AQ54" s="6262"/>
      <c r="AR54" s="6192"/>
      <c r="AS54" s="6169"/>
      <c r="AT54" s="6170"/>
      <c r="AU54" s="5665"/>
      <c r="AV54" s="6179"/>
      <c r="AW54" s="6177"/>
      <c r="AX54" s="6178"/>
      <c r="AY54" s="6178"/>
      <c r="AZ54" s="6178"/>
      <c r="BA54" s="6178"/>
      <c r="BB54" s="6178"/>
      <c r="BC54" s="6178"/>
      <c r="BD54" s="6178"/>
      <c r="BE54" s="6174"/>
      <c r="BF54" s="6175"/>
      <c r="BG54" s="2761"/>
      <c r="BH54" s="2761"/>
      <c r="BI54" s="2761"/>
      <c r="BJ54" s="2761"/>
      <c r="BK54" s="2761"/>
      <c r="BL54" s="2761"/>
      <c r="BM54" s="2761"/>
      <c r="BN54" s="2761"/>
      <c r="BO54" s="2761"/>
      <c r="BP54" s="2761"/>
      <c r="BQ54" s="2761"/>
      <c r="BR54" s="2761"/>
      <c r="BS54" s="2761"/>
      <c r="BT54" s="2761"/>
      <c r="BU54" s="2761"/>
      <c r="BV54" s="2761"/>
      <c r="BW54" s="2761"/>
      <c r="BX54" s="2761"/>
      <c r="BY54" s="2761"/>
      <c r="BZ54" s="2761"/>
      <c r="CA54" s="2761"/>
      <c r="CB54" s="2761"/>
      <c r="CC54" s="2761"/>
      <c r="CD54" s="2761"/>
      <c r="CE54" s="2761"/>
      <c r="CF54" s="2761"/>
    </row>
    <row r="55" spans="1:92" ht="12.75" customHeight="1">
      <c r="A55" s="6265"/>
      <c r="B55" s="704"/>
      <c r="C55" s="2714"/>
      <c r="D55" s="2711"/>
      <c r="E55" s="2710"/>
      <c r="F55" s="2708"/>
      <c r="G55" s="2714"/>
      <c r="H55" s="2714"/>
      <c r="I55" s="6237"/>
      <c r="J55" s="6288"/>
      <c r="K55" s="6288"/>
      <c r="L55" s="2714" t="s">
        <v>44</v>
      </c>
      <c r="M55" s="611"/>
      <c r="N55" s="708" t="s">
        <v>45</v>
      </c>
      <c r="O55" s="2715" t="s">
        <v>44</v>
      </c>
      <c r="P55" s="2713" t="s">
        <v>45</v>
      </c>
      <c r="Q55" s="2713" t="s">
        <v>44</v>
      </c>
      <c r="R55" s="2713" t="s">
        <v>45</v>
      </c>
      <c r="S55" s="2713"/>
      <c r="T55" s="2713"/>
      <c r="U55" s="2713" t="s">
        <v>44</v>
      </c>
      <c r="V55" s="2709" t="s">
        <v>45</v>
      </c>
      <c r="W55" s="2713" t="s">
        <v>44</v>
      </c>
      <c r="X55" s="709" t="s">
        <v>45</v>
      </c>
      <c r="Y55" s="705" t="s">
        <v>44</v>
      </c>
      <c r="Z55" s="686" t="s">
        <v>45</v>
      </c>
      <c r="AA55" s="686" t="s">
        <v>44</v>
      </c>
      <c r="AB55" s="686" t="s">
        <v>45</v>
      </c>
      <c r="AC55" s="686" t="s">
        <v>44</v>
      </c>
      <c r="AD55" s="706" t="s">
        <v>45</v>
      </c>
      <c r="AE55" s="705" t="s">
        <v>44</v>
      </c>
      <c r="AF55" s="686" t="s">
        <v>45</v>
      </c>
      <c r="AG55" s="686" t="s">
        <v>44</v>
      </c>
      <c r="AH55" s="706" t="s">
        <v>45</v>
      </c>
      <c r="AI55" s="2074" t="s">
        <v>44</v>
      </c>
      <c r="AJ55" s="2622"/>
      <c r="AK55" s="2622"/>
      <c r="AL55" s="2622"/>
      <c r="AM55" s="2071" t="s">
        <v>45</v>
      </c>
      <c r="AN55" s="2071" t="s">
        <v>1471</v>
      </c>
      <c r="AO55" s="2071" t="s">
        <v>44</v>
      </c>
      <c r="AP55" s="2075" t="s">
        <v>45</v>
      </c>
      <c r="AQ55" s="3783" t="s">
        <v>44</v>
      </c>
      <c r="AR55" s="3784" t="s">
        <v>45</v>
      </c>
      <c r="AS55" s="3784" t="s">
        <v>1471</v>
      </c>
      <c r="AT55" s="3784" t="s">
        <v>44</v>
      </c>
      <c r="AU55" s="3785" t="s">
        <v>45</v>
      </c>
      <c r="AV55" s="3768" t="s">
        <v>44</v>
      </c>
      <c r="AW55" s="3769"/>
      <c r="AX55" s="3769"/>
      <c r="AY55" s="3769"/>
      <c r="AZ55" s="3769"/>
      <c r="BA55" s="3769"/>
      <c r="BB55" s="3769"/>
      <c r="BC55" s="3769"/>
      <c r="BD55" s="3780" t="s">
        <v>577</v>
      </c>
      <c r="BE55" s="3770" t="s">
        <v>44</v>
      </c>
      <c r="BF55" s="3771" t="s">
        <v>577</v>
      </c>
      <c r="BG55" s="2761"/>
      <c r="BH55" s="2761"/>
      <c r="BI55" s="2761"/>
      <c r="BJ55" s="2761"/>
      <c r="BK55" s="2761"/>
      <c r="BL55" s="2761"/>
      <c r="BM55" s="2761"/>
      <c r="BN55" s="2761"/>
      <c r="BO55" s="2761"/>
      <c r="BP55" s="2761"/>
      <c r="BQ55" s="2761"/>
      <c r="BR55" s="2761"/>
      <c r="BS55" s="2761"/>
      <c r="BT55" s="2761"/>
      <c r="BU55" s="2761"/>
      <c r="BV55" s="2761"/>
      <c r="BW55" s="2761"/>
      <c r="BX55" s="2761"/>
      <c r="BY55" s="2761"/>
      <c r="BZ55" s="2761"/>
      <c r="CA55" s="2761"/>
      <c r="CB55" s="2761"/>
      <c r="CC55" s="2761"/>
      <c r="CD55" s="2761"/>
      <c r="CE55" s="2761"/>
      <c r="CF55" s="2761"/>
    </row>
    <row r="56" spans="1:92" ht="15">
      <c r="A56" s="721" t="s">
        <v>46</v>
      </c>
      <c r="B56" s="694">
        <f>C56/C60*100</f>
        <v>54.85172394199018</v>
      </c>
      <c r="C56" s="182">
        <v>8687.7999999999993</v>
      </c>
      <c r="D56" s="182">
        <v>55.3</v>
      </c>
      <c r="E56" s="186">
        <v>9716.4</v>
      </c>
      <c r="F56" s="186">
        <v>56.36</v>
      </c>
      <c r="G56" s="186">
        <v>10985.6</v>
      </c>
      <c r="H56" s="182">
        <f>G56/G60*100</f>
        <v>57.791572413067485</v>
      </c>
      <c r="I56" s="186">
        <v>10819.5</v>
      </c>
      <c r="J56" s="186">
        <v>8579.1</v>
      </c>
      <c r="K56" s="182"/>
      <c r="L56" s="614">
        <f>N56/N60</f>
        <v>0.57561885222326603</v>
      </c>
      <c r="M56" s="186"/>
      <c r="N56" s="691">
        <v>12008.1</v>
      </c>
      <c r="O56" s="740">
        <v>58</v>
      </c>
      <c r="P56" s="685">
        <f>P60*O56/100</f>
        <v>11767.842163354666</v>
      </c>
      <c r="Q56" s="741">
        <f>R56/R60</f>
        <v>0.57097906730259662</v>
      </c>
      <c r="R56" s="685">
        <v>6895.6</v>
      </c>
      <c r="S56" s="685"/>
      <c r="T56" s="685"/>
      <c r="U56" s="710">
        <f>V56/V60</f>
        <v>0.57999859604497617</v>
      </c>
      <c r="V56" s="691">
        <v>14046</v>
      </c>
      <c r="W56" s="742">
        <f>X56/X60</f>
        <v>0.56516134296087783</v>
      </c>
      <c r="X56" s="703">
        <v>13853.8</v>
      </c>
      <c r="Y56" s="743">
        <f>Q56</f>
        <v>0.57097906730259662</v>
      </c>
      <c r="Z56" s="685">
        <f>Y56*Z60</f>
        <v>12028.195370042029</v>
      </c>
      <c r="AA56" s="744">
        <f>SUM(AB56/Y49)</f>
        <v>0.58919301776456701</v>
      </c>
      <c r="AB56" s="685">
        <v>6979.28</v>
      </c>
      <c r="AC56" s="720">
        <f>SUM(AD56/AD60)</f>
        <v>0.59696430199661255</v>
      </c>
      <c r="AD56" s="707">
        <v>14207.04</v>
      </c>
      <c r="AE56" s="761">
        <f>AF56/AF60</f>
        <v>0.5919991804620871</v>
      </c>
      <c r="AF56" s="685">
        <v>14678.3</v>
      </c>
      <c r="AG56" s="742">
        <f>AE56</f>
        <v>0.5919991804620871</v>
      </c>
      <c r="AH56" s="703">
        <f>SUM(AD49)</f>
        <v>13073.01213648671</v>
      </c>
      <c r="AI56" s="2076">
        <v>0.59599999999999997</v>
      </c>
      <c r="AJ56" s="2623"/>
      <c r="AK56" s="2623"/>
      <c r="AL56" s="2623"/>
      <c r="AM56" s="2072">
        <f>SUM(AN49)</f>
        <v>16411.197163297664</v>
      </c>
      <c r="AN56" s="2072">
        <f>ЗП!BS24</f>
        <v>47999.930000000008</v>
      </c>
      <c r="AO56" s="2077">
        <f>AN56/AN60</f>
        <v>0.54415498291281705</v>
      </c>
      <c r="AP56" s="2078">
        <f>AO56*AR49</f>
        <v>12920.436570139205</v>
      </c>
      <c r="AQ56" s="3786">
        <v>0.59</v>
      </c>
      <c r="AR56" s="3787">
        <f>SUM(BH49)</f>
        <v>16008.32334611606</v>
      </c>
      <c r="AS56" s="3787">
        <f>SUM(ЗП!CR24)</f>
        <v>50325.742371529755</v>
      </c>
      <c r="AT56" s="3788">
        <f>AS56/AS60</f>
        <v>0.5952925063149539</v>
      </c>
      <c r="AU56" s="3789">
        <f>SUM(AT56*BL51)</f>
        <v>14934.436319660312</v>
      </c>
      <c r="AV56" s="3772">
        <v>0.59</v>
      </c>
      <c r="AW56" s="3769"/>
      <c r="AX56" s="3769"/>
      <c r="AY56" s="3769"/>
      <c r="AZ56" s="3769"/>
      <c r="BA56" s="3769"/>
      <c r="BB56" s="3769"/>
      <c r="BC56" s="3769"/>
      <c r="BD56" s="3781">
        <f>SUM(CB49)</f>
        <v>15602.741954328365</v>
      </c>
      <c r="BE56" s="3773">
        <v>0.59</v>
      </c>
      <c r="BF56" s="3774">
        <f t="shared" ref="BF56" si="97">BE56/BE60</f>
        <v>0.59</v>
      </c>
      <c r="BG56" s="2761"/>
      <c r="BH56" s="2761"/>
      <c r="BI56" s="2761"/>
      <c r="BJ56" s="2761"/>
      <c r="BK56" s="2761"/>
      <c r="BL56" s="2761"/>
      <c r="BM56" s="2761"/>
      <c r="BN56" s="2761"/>
      <c r="BO56" s="2761"/>
      <c r="BP56" s="2761"/>
      <c r="BQ56" s="2761"/>
      <c r="BR56" s="2761"/>
      <c r="BS56" s="2761"/>
      <c r="BT56" s="2761"/>
      <c r="BU56" s="2761"/>
      <c r="BV56" s="2761"/>
      <c r="BW56" s="2761"/>
      <c r="BX56" s="2761"/>
      <c r="BY56" s="2761"/>
      <c r="BZ56" s="2761"/>
      <c r="CA56" s="2761"/>
      <c r="CB56" s="2761"/>
      <c r="CC56" s="2761"/>
      <c r="CD56" s="2761"/>
      <c r="CE56" s="2761"/>
      <c r="CF56" s="2761"/>
    </row>
    <row r="57" spans="1:92" ht="15">
      <c r="A57" s="721" t="s">
        <v>47</v>
      </c>
      <c r="B57" s="694">
        <f>C57/C60*100</f>
        <v>41.456685207750631</v>
      </c>
      <c r="C57" s="182">
        <v>6566.2</v>
      </c>
      <c r="D57" s="182">
        <v>41.2</v>
      </c>
      <c r="E57" s="186">
        <v>7171.8</v>
      </c>
      <c r="F57" s="186">
        <v>41.6</v>
      </c>
      <c r="G57" s="186">
        <v>7614.1</v>
      </c>
      <c r="H57" s="182">
        <f>G57/G60*100</f>
        <v>40.055236993003305</v>
      </c>
      <c r="I57" s="186">
        <v>7986</v>
      </c>
      <c r="J57" s="186">
        <v>6062.9</v>
      </c>
      <c r="K57" s="182"/>
      <c r="L57" s="745">
        <f>N57/N60</f>
        <v>0.40499587751423688</v>
      </c>
      <c r="M57" s="186"/>
      <c r="N57" s="691">
        <v>8448.7000000000007</v>
      </c>
      <c r="O57" s="740">
        <v>40</v>
      </c>
      <c r="P57" s="685">
        <f>P60*O57/100</f>
        <v>8115.7532161066656</v>
      </c>
      <c r="Q57" s="741">
        <f>R57/R60</f>
        <v>0.40555445151033376</v>
      </c>
      <c r="R57" s="685">
        <v>4897.8</v>
      </c>
      <c r="S57" s="685"/>
      <c r="T57" s="685"/>
      <c r="U57" s="710">
        <f>V57/V60</f>
        <v>0.39999917414410358</v>
      </c>
      <c r="V57" s="691">
        <v>9686.9</v>
      </c>
      <c r="W57" s="742">
        <f>X57/X60</f>
        <v>0.40896667074613469</v>
      </c>
      <c r="X57" s="703">
        <v>10025</v>
      </c>
      <c r="Y57" s="743">
        <f>Q57</f>
        <v>0.40555445151033376</v>
      </c>
      <c r="Z57" s="685">
        <f>Y57*Z60</f>
        <v>8543.374801814467</v>
      </c>
      <c r="AA57" s="744">
        <f>SUM(AB57/Y49)</f>
        <v>0.40432941144688828</v>
      </c>
      <c r="AB57" s="685">
        <v>4789.4799999999996</v>
      </c>
      <c r="AC57" s="720">
        <f>SUM(AD57/AD60)</f>
        <v>0.40303569800338762</v>
      </c>
      <c r="AD57" s="707">
        <v>9591.77</v>
      </c>
      <c r="AE57" s="761">
        <f>AF57/AF60</f>
        <v>0.40000064530544321</v>
      </c>
      <c r="AF57" s="685">
        <v>9917.7999999999993</v>
      </c>
      <c r="AG57" s="742">
        <f>AE57</f>
        <v>0.40000064530544321</v>
      </c>
      <c r="AH57" s="703">
        <f>SUM(AE49)</f>
        <v>8833.3841337506801</v>
      </c>
      <c r="AI57" s="2076">
        <v>0.40400000000000003</v>
      </c>
      <c r="AJ57" s="2623"/>
      <c r="AK57" s="2623"/>
      <c r="AL57" s="2623"/>
      <c r="AM57" s="2072">
        <f>SUM(AO49)</f>
        <v>11124.368546933318</v>
      </c>
      <c r="AN57" s="2072">
        <f>ЗП!BS29</f>
        <v>39734.75</v>
      </c>
      <c r="AO57" s="2077">
        <f>AN57/AN60</f>
        <v>0.45045611956715464</v>
      </c>
      <c r="AP57" s="2078">
        <f>AO57*AR49</f>
        <v>10695.647202096725</v>
      </c>
      <c r="AQ57" s="3786">
        <v>0.41</v>
      </c>
      <c r="AR57" s="3787">
        <f>SUM(BI49)</f>
        <v>11124.428087978959</v>
      </c>
      <c r="AS57" s="3787">
        <f>SUM(ЗП!CR29)</f>
        <v>34213.777003679221</v>
      </c>
      <c r="AT57" s="3788">
        <f>AS57/AS60</f>
        <v>0.40470749368504616</v>
      </c>
      <c r="AU57" s="3789">
        <f>SUM(AT57*BL51)</f>
        <v>10153.123428251058</v>
      </c>
      <c r="AV57" s="3772">
        <v>0.41</v>
      </c>
      <c r="AW57" s="3769"/>
      <c r="AX57" s="3769"/>
      <c r="AY57" s="3769"/>
      <c r="AZ57" s="3769"/>
      <c r="BA57" s="3769"/>
      <c r="BB57" s="3769"/>
      <c r="BC57" s="3769"/>
      <c r="BD57" s="3781">
        <f>SUM(CC49)</f>
        <v>10842.583391990902</v>
      </c>
      <c r="BE57" s="3773">
        <v>0.41</v>
      </c>
      <c r="BF57" s="3774">
        <f t="shared" ref="BF57" si="98">BE57/BE60</f>
        <v>0.41</v>
      </c>
      <c r="BG57" s="2761"/>
      <c r="BH57" s="2761"/>
      <c r="BI57" s="2761"/>
      <c r="BJ57" s="2761"/>
      <c r="BK57" s="2761"/>
      <c r="BL57" s="2761"/>
      <c r="BM57" s="2761"/>
      <c r="BN57" s="2761"/>
      <c r="BO57" s="2761"/>
      <c r="BP57" s="2761"/>
      <c r="BQ57" s="2761"/>
      <c r="BR57" s="2761"/>
      <c r="BS57" s="2761"/>
      <c r="BT57" s="2761"/>
      <c r="BU57" s="2761"/>
      <c r="BV57" s="2761"/>
      <c r="BW57" s="2761"/>
      <c r="BX57" s="2761"/>
      <c r="BY57" s="2761"/>
      <c r="BZ57" s="2761"/>
      <c r="CA57" s="2761"/>
      <c r="CB57" s="2761"/>
      <c r="CC57" s="2761"/>
      <c r="CD57" s="2761"/>
      <c r="CE57" s="2761"/>
      <c r="CF57" s="2761"/>
    </row>
    <row r="58" spans="1:92" s="187" customFormat="1" ht="15">
      <c r="A58" s="746" t="s">
        <v>48</v>
      </c>
      <c r="B58" s="711">
        <f>C58/C60*100</f>
        <v>1.9540745136911488</v>
      </c>
      <c r="C58" s="612">
        <v>309.5</v>
      </c>
      <c r="D58" s="613">
        <v>0.9</v>
      </c>
      <c r="E58" s="608">
        <v>351.7</v>
      </c>
      <c r="F58" s="608">
        <v>2.04</v>
      </c>
      <c r="G58" s="608">
        <v>405.9</v>
      </c>
      <c r="H58" s="613">
        <f>G58/G60*100</f>
        <v>2.1353043295281178</v>
      </c>
      <c r="I58" s="186">
        <v>299.53499999999997</v>
      </c>
      <c r="J58" s="608">
        <v>266.10000000000002</v>
      </c>
      <c r="K58" s="613"/>
      <c r="L58" s="747">
        <f>N58/N60</f>
        <v>1.9385270262496878E-2</v>
      </c>
      <c r="M58" s="608"/>
      <c r="N58" s="691">
        <v>404.4</v>
      </c>
      <c r="O58" s="699">
        <v>2</v>
      </c>
      <c r="P58" s="685">
        <f>O58*P60/100</f>
        <v>405.7876608053333</v>
      </c>
      <c r="Q58" s="744">
        <f>R58/R60</f>
        <v>1.9599562798092204E-2</v>
      </c>
      <c r="R58" s="685">
        <v>236.7</v>
      </c>
      <c r="S58" s="710">
        <v>0.02</v>
      </c>
      <c r="T58" s="685">
        <v>357.5</v>
      </c>
      <c r="U58" s="685">
        <f>V58/V60</f>
        <v>1.999810053143827E-2</v>
      </c>
      <c r="V58" s="685">
        <v>484.3</v>
      </c>
      <c r="W58" s="742">
        <f>X58/X60</f>
        <v>2.0062823807775465E-2</v>
      </c>
      <c r="X58" s="703">
        <v>491.8</v>
      </c>
      <c r="Y58" s="743">
        <f>S58</f>
        <v>0.02</v>
      </c>
      <c r="Z58" s="685">
        <f>Y58*Z60</f>
        <v>421.31826047022332</v>
      </c>
      <c r="AA58" s="744"/>
      <c r="AB58" s="685"/>
      <c r="AC58" s="720"/>
      <c r="AD58" s="707"/>
      <c r="AE58" s="761">
        <v>0</v>
      </c>
      <c r="AF58" s="685">
        <v>0</v>
      </c>
      <c r="AG58" s="742">
        <f>AC58</f>
        <v>0</v>
      </c>
      <c r="AH58" s="703">
        <v>0</v>
      </c>
      <c r="AI58" s="2076">
        <v>0</v>
      </c>
      <c r="AJ58" s="2623"/>
      <c r="AK58" s="2623"/>
      <c r="AL58" s="2623"/>
      <c r="AM58" s="2072">
        <v>0</v>
      </c>
      <c r="AN58" s="2072">
        <v>0</v>
      </c>
      <c r="AO58" s="2077">
        <f>AG58</f>
        <v>0</v>
      </c>
      <c r="AP58" s="2078"/>
      <c r="AQ58" s="3786"/>
      <c r="AR58" s="3787"/>
      <c r="AS58" s="3787">
        <v>0</v>
      </c>
      <c r="AT58" s="3788">
        <f>AL58</f>
        <v>0</v>
      </c>
      <c r="AU58" s="3789"/>
      <c r="AV58" s="3772"/>
      <c r="AW58" s="3769"/>
      <c r="AX58" s="3769"/>
      <c r="AY58" s="3769"/>
      <c r="AZ58" s="3769"/>
      <c r="BA58" s="3769"/>
      <c r="BB58" s="3769"/>
      <c r="BC58" s="3769"/>
      <c r="BD58" s="3780"/>
      <c r="BE58" s="3773"/>
      <c r="BF58" s="3774">
        <f t="shared" ref="BF58" si="99">AX58</f>
        <v>0</v>
      </c>
      <c r="BG58" s="2784"/>
      <c r="BH58" s="2784"/>
      <c r="BI58" s="2784"/>
      <c r="BJ58" s="2784"/>
      <c r="BK58" s="2784"/>
      <c r="BL58" s="2784"/>
      <c r="BM58" s="2784"/>
      <c r="BN58" s="2784"/>
      <c r="BO58" s="2784"/>
      <c r="BP58" s="2784"/>
      <c r="BQ58" s="2784"/>
      <c r="BR58" s="2784"/>
      <c r="BS58" s="2784"/>
      <c r="BT58" s="2784"/>
      <c r="BU58" s="2784"/>
      <c r="BV58" s="2784"/>
      <c r="BW58" s="2784"/>
      <c r="BX58" s="2784"/>
      <c r="BY58" s="2784"/>
      <c r="BZ58" s="2784"/>
      <c r="CA58" s="2784"/>
      <c r="CB58" s="2784"/>
      <c r="CC58" s="2784"/>
      <c r="CD58" s="2784"/>
      <c r="CE58" s="2784"/>
      <c r="CF58" s="2784"/>
    </row>
    <row r="59" spans="1:92" ht="15">
      <c r="A59" s="721" t="s">
        <v>80</v>
      </c>
      <c r="B59" s="712">
        <f>C59/C60*100</f>
        <v>1.7375163365680262</v>
      </c>
      <c r="C59" s="615">
        <v>275.2</v>
      </c>
      <c r="D59" s="182">
        <v>2.6</v>
      </c>
      <c r="E59" s="186"/>
      <c r="F59" s="186"/>
      <c r="G59" s="186">
        <v>3.4</v>
      </c>
      <c r="H59" s="615">
        <f>G59/G60*100</f>
        <v>1.788626440107317E-2</v>
      </c>
      <c r="I59" s="186"/>
      <c r="J59" s="748"/>
      <c r="K59" s="2714"/>
      <c r="L59" s="2714"/>
      <c r="M59" s="2714"/>
      <c r="N59" s="749"/>
      <c r="O59" s="750"/>
      <c r="P59" s="751"/>
      <c r="Q59" s="744">
        <f>R59/R60</f>
        <v>3.866918388977212E-3</v>
      </c>
      <c r="R59" s="685">
        <v>46.7</v>
      </c>
      <c r="S59" s="685"/>
      <c r="T59" s="685"/>
      <c r="U59" s="751"/>
      <c r="V59" s="691"/>
      <c r="W59" s="742">
        <f>X59/X60</f>
        <v>5.8091624852119285E-3</v>
      </c>
      <c r="X59" s="703">
        <v>142.4</v>
      </c>
      <c r="Y59" s="743">
        <f>Q59</f>
        <v>3.866918388977212E-3</v>
      </c>
      <c r="Z59" s="685">
        <f>Y59*Z60</f>
        <v>81.460166451209872</v>
      </c>
      <c r="AA59" s="744">
        <f>SUM(AB59/Y49)</f>
        <v>6.4801033980021105E-3</v>
      </c>
      <c r="AB59" s="685">
        <v>76.760000000000005</v>
      </c>
      <c r="AC59" s="720"/>
      <c r="AD59" s="707"/>
      <c r="AE59" s="761">
        <f>AF59/AF60</f>
        <v>8.0001742324696742E-3</v>
      </c>
      <c r="AF59" s="685">
        <v>198.36</v>
      </c>
      <c r="AG59" s="742">
        <f>AE59</f>
        <v>8.0001742324696742E-3</v>
      </c>
      <c r="AH59" s="703">
        <f>AC49*AG59</f>
        <v>176.66988838026091</v>
      </c>
      <c r="AI59" s="2076">
        <v>0</v>
      </c>
      <c r="AJ59" s="2623"/>
      <c r="AK59" s="2623"/>
      <c r="AL59" s="2623"/>
      <c r="AM59" s="2072">
        <v>0</v>
      </c>
      <c r="AN59" s="2072">
        <f>414.81*1.067*1.074</f>
        <v>475.35483798000001</v>
      </c>
      <c r="AO59" s="2077">
        <f>AN59/AN60</f>
        <v>5.3888975200282949E-3</v>
      </c>
      <c r="AP59" s="2078">
        <f>AO59*AR49</f>
        <v>127.95418727546867</v>
      </c>
      <c r="AQ59" s="3786"/>
      <c r="AR59" s="3787"/>
      <c r="AS59" s="3787">
        <v>0</v>
      </c>
      <c r="AT59" s="3788">
        <f>AS59/AS60</f>
        <v>0</v>
      </c>
      <c r="AU59" s="3789">
        <f>AT59*AW49</f>
        <v>0</v>
      </c>
      <c r="AV59" s="3772"/>
      <c r="AW59" s="3769"/>
      <c r="AX59" s="3769"/>
      <c r="AY59" s="3769"/>
      <c r="AZ59" s="3769"/>
      <c r="BA59" s="3769"/>
      <c r="BB59" s="3769"/>
      <c r="BC59" s="3769"/>
      <c r="BD59" s="3780"/>
      <c r="BE59" s="3773"/>
      <c r="BF59" s="3774">
        <f t="shared" ref="BF59" si="100">BE59/BE60</f>
        <v>0</v>
      </c>
      <c r="BG59" s="2761"/>
      <c r="BH59" s="2761"/>
      <c r="BI59" s="2761"/>
      <c r="BJ59" s="2761"/>
      <c r="BK59" s="2761"/>
      <c r="BL59" s="2761"/>
      <c r="BM59" s="2761"/>
      <c r="BN59" s="2761"/>
      <c r="BO59" s="2761"/>
      <c r="BP59" s="2761"/>
      <c r="BQ59" s="2761"/>
      <c r="BR59" s="2761"/>
      <c r="BS59" s="2761"/>
      <c r="BT59" s="2761"/>
      <c r="BU59" s="2761"/>
      <c r="BV59" s="2761"/>
      <c r="BW59" s="2761"/>
      <c r="BX59" s="2761"/>
      <c r="BY59" s="2761"/>
      <c r="BZ59" s="2761"/>
      <c r="CA59" s="2761"/>
      <c r="CB59" s="2761"/>
      <c r="CC59" s="2761"/>
      <c r="CD59" s="2761"/>
      <c r="CE59" s="2761"/>
      <c r="CF59" s="2761"/>
    </row>
    <row r="60" spans="1:92" ht="15" thickBot="1">
      <c r="A60" s="752" t="s">
        <v>49</v>
      </c>
      <c r="B60" s="713">
        <f t="shared" ref="B60:G60" si="101">SUM(B56:B59)</f>
        <v>99.999999999999986</v>
      </c>
      <c r="C60" s="613">
        <f t="shared" si="101"/>
        <v>15838.7</v>
      </c>
      <c r="D60" s="613">
        <f t="shared" si="101"/>
        <v>100</v>
      </c>
      <c r="E60" s="608">
        <f t="shared" si="101"/>
        <v>17239.900000000001</v>
      </c>
      <c r="F60" s="608">
        <f t="shared" si="101"/>
        <v>100.00000000000001</v>
      </c>
      <c r="G60" s="608">
        <f t="shared" si="101"/>
        <v>19009.000000000004</v>
      </c>
      <c r="H60" s="616"/>
      <c r="I60" s="608">
        <f>SUM(I56:I59)</f>
        <v>19105.035</v>
      </c>
      <c r="J60" s="608">
        <f>SUM(J56:J59)</f>
        <v>14908.1</v>
      </c>
      <c r="K60" s="608">
        <f>SUM(K56:K59)</f>
        <v>0</v>
      </c>
      <c r="L60" s="608"/>
      <c r="M60" s="608">
        <f>SUM(M56:M59)</f>
        <v>0</v>
      </c>
      <c r="N60" s="693">
        <f>SUM(N56:N59)</f>
        <v>20861.200000000004</v>
      </c>
      <c r="O60" s="753"/>
      <c r="P60" s="701">
        <f>N49</f>
        <v>20289.383040266664</v>
      </c>
      <c r="Q60" s="701"/>
      <c r="R60" s="701">
        <f>SUM(R56:R59)</f>
        <v>12076.800000000003</v>
      </c>
      <c r="S60" s="701"/>
      <c r="T60" s="701">
        <f>P49</f>
        <v>18482.569625</v>
      </c>
      <c r="U60" s="701"/>
      <c r="V60" s="754">
        <f>SUM(V56:V59)+0.1</f>
        <v>24217.3</v>
      </c>
      <c r="W60" s="2785">
        <f>SUM(W56:W59)</f>
        <v>0.99999999999999989</v>
      </c>
      <c r="X60" s="755">
        <f>SUM(X56:X59)</f>
        <v>24513</v>
      </c>
      <c r="Y60" s="756"/>
      <c r="Z60" s="701">
        <f>S49</f>
        <v>21065.913023511166</v>
      </c>
      <c r="AA60" s="701"/>
      <c r="AB60" s="701">
        <f>SUM(AB56:AB59)</f>
        <v>11845.519999999999</v>
      </c>
      <c r="AC60" s="757">
        <f>SUM(AC56:AC59)</f>
        <v>1.0000000000000002</v>
      </c>
      <c r="AD60" s="758">
        <f>SUM(AA49)</f>
        <v>23798.809999999998</v>
      </c>
      <c r="AE60" s="762">
        <f>SUM(AE56:AE59)</f>
        <v>1</v>
      </c>
      <c r="AF60" s="701">
        <f>SUM(AF56:AF59)</f>
        <v>24794.46</v>
      </c>
      <c r="AG60" s="701"/>
      <c r="AH60" s="755">
        <f t="shared" ref="AH60:AP60" si="102">SUM(AH56:AH59)</f>
        <v>22083.06615861765</v>
      </c>
      <c r="AI60" s="762">
        <f t="shared" si="102"/>
        <v>1</v>
      </c>
      <c r="AJ60" s="2624"/>
      <c r="AK60" s="2624"/>
      <c r="AL60" s="2624"/>
      <c r="AM60" s="2073">
        <f t="shared" si="102"/>
        <v>27535.565710230981</v>
      </c>
      <c r="AN60" s="2073">
        <f t="shared" si="102"/>
        <v>88210.034837980013</v>
      </c>
      <c r="AO60" s="2079">
        <f t="shared" si="102"/>
        <v>1</v>
      </c>
      <c r="AP60" s="755">
        <f t="shared" si="102"/>
        <v>23744.037959511395</v>
      </c>
      <c r="AQ60" s="3790">
        <f>SUM(AQ56:AQ59)</f>
        <v>1</v>
      </c>
      <c r="AR60" s="3791">
        <f>SUM(AR56:AR59)</f>
        <v>27132.751434095018</v>
      </c>
      <c r="AS60" s="3792">
        <f t="shared" ref="AS60:AU60" si="103">SUM(AS56:AS59)</f>
        <v>84539.519375208969</v>
      </c>
      <c r="AT60" s="3793">
        <f t="shared" si="103"/>
        <v>1</v>
      </c>
      <c r="AU60" s="3794">
        <f t="shared" si="103"/>
        <v>25087.559747911371</v>
      </c>
      <c r="AV60" s="3775">
        <f>SUM(AV56:AV59)</f>
        <v>1</v>
      </c>
      <c r="AW60" s="3776"/>
      <c r="AX60" s="3776"/>
      <c r="AY60" s="3776"/>
      <c r="AZ60" s="3776"/>
      <c r="BA60" s="3776"/>
      <c r="BB60" s="3776"/>
      <c r="BC60" s="3776"/>
      <c r="BD60" s="3782"/>
      <c r="BE60" s="3777">
        <f t="shared" ref="BE60:BF60" si="104">SUM(BE56:BE59)</f>
        <v>1</v>
      </c>
      <c r="BF60" s="3778">
        <f t="shared" si="104"/>
        <v>1</v>
      </c>
      <c r="BG60" s="2761"/>
      <c r="BH60" s="2761"/>
      <c r="BI60" s="2761"/>
      <c r="BJ60" s="2761"/>
      <c r="BK60" s="2761"/>
      <c r="BL60" s="2761"/>
      <c r="BM60" s="2761"/>
      <c r="BN60" s="2761"/>
      <c r="BO60" s="2761"/>
      <c r="BP60" s="2761"/>
      <c r="BQ60" s="2761"/>
      <c r="BR60" s="2761"/>
      <c r="BS60" s="2761"/>
      <c r="BT60" s="2761"/>
      <c r="BU60" s="2761"/>
      <c r="BV60" s="2761"/>
      <c r="BW60" s="2761"/>
      <c r="BX60" s="2761"/>
      <c r="BY60" s="2761"/>
      <c r="BZ60" s="2761"/>
      <c r="CA60" s="2761"/>
      <c r="CB60" s="2761"/>
      <c r="CC60" s="2761"/>
      <c r="CD60" s="2761"/>
      <c r="CE60" s="2761"/>
      <c r="CF60" s="2761"/>
    </row>
    <row r="61" spans="1:92" s="282" customFormat="1">
      <c r="A61" s="739"/>
      <c r="B61" s="739"/>
      <c r="C61" s="739"/>
      <c r="D61" s="759"/>
      <c r="E61" s="739"/>
      <c r="F61" s="739"/>
      <c r="G61" s="739"/>
      <c r="H61" s="739"/>
      <c r="I61" s="739"/>
      <c r="J61" s="739"/>
      <c r="K61" s="739"/>
      <c r="L61" s="739"/>
      <c r="M61" s="739"/>
      <c r="N61" s="739"/>
      <c r="O61" s="739"/>
      <c r="P61" s="739"/>
      <c r="Q61" s="739"/>
      <c r="R61" s="739"/>
      <c r="S61" s="739"/>
      <c r="T61" s="739"/>
      <c r="U61" s="739"/>
      <c r="V61" s="739"/>
      <c r="W61" s="739"/>
      <c r="X61" s="739"/>
      <c r="Y61" s="739"/>
      <c r="Z61" s="739"/>
      <c r="AA61" s="739"/>
      <c r="AB61" s="739"/>
      <c r="AC61" s="739"/>
      <c r="AD61" s="739"/>
      <c r="AE61" s="739"/>
      <c r="AF61" s="739"/>
      <c r="AG61" s="739"/>
      <c r="AH61" s="739"/>
      <c r="AI61" s="739"/>
      <c r="AJ61" s="739"/>
      <c r="AK61" s="739"/>
      <c r="AL61" s="739"/>
      <c r="AM61" s="739"/>
      <c r="AN61" s="739"/>
      <c r="AO61" s="739"/>
      <c r="AP61" s="739"/>
      <c r="AQ61" s="739"/>
      <c r="AR61" s="739"/>
      <c r="AS61" s="760"/>
      <c r="AT61" s="760"/>
      <c r="AU61" s="760"/>
      <c r="AV61" s="760"/>
      <c r="AW61" s="760"/>
    </row>
    <row r="62" spans="1:92" s="282" customFormat="1">
      <c r="D62" s="283"/>
      <c r="I62" s="617"/>
      <c r="J62" s="617"/>
      <c r="K62" s="617"/>
      <c r="L62" s="617"/>
      <c r="M62" s="617"/>
      <c r="N62" s="617"/>
      <c r="O62" s="617"/>
      <c r="P62" s="617"/>
      <c r="Q62" s="617"/>
      <c r="R62" s="617"/>
      <c r="S62" s="617"/>
      <c r="T62" s="617"/>
      <c r="U62" s="617"/>
      <c r="V62" s="617"/>
      <c r="W62" s="617"/>
      <c r="X62" s="617"/>
      <c r="Y62" s="617"/>
      <c r="Z62" s="617"/>
      <c r="AA62" s="617"/>
      <c r="AB62" s="617"/>
      <c r="AC62" s="617"/>
      <c r="AD62" s="617"/>
      <c r="AE62" s="617"/>
    </row>
    <row r="63" spans="1:92" s="282" customFormat="1">
      <c r="D63" s="283"/>
      <c r="I63" s="617"/>
      <c r="J63" s="617"/>
      <c r="K63" s="617"/>
      <c r="L63" s="617"/>
      <c r="M63" s="617"/>
      <c r="N63" s="617"/>
      <c r="O63" s="617"/>
      <c r="P63" s="617"/>
      <c r="Q63" s="617"/>
      <c r="R63" s="617"/>
      <c r="S63" s="617"/>
      <c r="T63" s="617"/>
      <c r="U63" s="617"/>
      <c r="V63" s="617"/>
      <c r="W63" s="617"/>
      <c r="X63" s="617"/>
      <c r="Y63" s="617"/>
      <c r="Z63" s="617"/>
      <c r="AA63" s="617"/>
      <c r="AB63" s="617"/>
      <c r="AC63" s="617"/>
      <c r="AD63" s="617"/>
      <c r="AE63" s="617"/>
      <c r="AF63" s="184"/>
      <c r="AG63" s="184"/>
      <c r="AH63" s="184"/>
      <c r="AI63" s="184"/>
      <c r="AJ63" s="184"/>
      <c r="AK63" s="184"/>
      <c r="AL63" s="184"/>
    </row>
    <row r="64" spans="1:92" s="282" customFormat="1">
      <c r="D64" s="283"/>
      <c r="I64" s="617"/>
      <c r="J64" s="617"/>
      <c r="K64" s="617"/>
      <c r="L64" s="617"/>
      <c r="M64" s="617"/>
      <c r="N64" s="617"/>
      <c r="O64" s="617"/>
      <c r="P64" s="617"/>
      <c r="Q64" s="617"/>
      <c r="R64" s="617"/>
      <c r="S64" s="617"/>
      <c r="T64" s="617"/>
      <c r="U64" s="617"/>
      <c r="V64" s="617"/>
      <c r="W64" s="617"/>
      <c r="X64" s="617"/>
      <c r="Y64" s="617"/>
      <c r="Z64" s="617"/>
      <c r="AA64" s="617"/>
      <c r="AB64" s="617"/>
      <c r="AC64" s="617"/>
      <c r="AD64" s="617"/>
      <c r="AE64" s="617"/>
      <c r="AF64" s="284"/>
      <c r="AG64" s="284"/>
      <c r="AH64" s="284"/>
      <c r="AI64" s="284"/>
      <c r="AJ64" s="284"/>
      <c r="AK64" s="284"/>
      <c r="AL64" s="284"/>
      <c r="AM64" s="284"/>
      <c r="AN64" s="284"/>
      <c r="AO64" s="284"/>
      <c r="AP64" s="284"/>
      <c r="AQ64" s="284"/>
    </row>
    <row r="65" spans="9:43" s="282" customFormat="1">
      <c r="I65" s="617"/>
      <c r="J65" s="617"/>
      <c r="K65" s="617"/>
      <c r="L65" s="617"/>
      <c r="M65" s="617"/>
      <c r="N65" s="617"/>
      <c r="O65" s="617"/>
      <c r="P65" s="617"/>
      <c r="Q65" s="617"/>
      <c r="R65" s="617"/>
      <c r="S65" s="617"/>
      <c r="T65" s="617"/>
      <c r="U65" s="617"/>
      <c r="V65" s="617"/>
      <c r="W65" s="617"/>
      <c r="X65" s="617"/>
      <c r="Y65" s="617"/>
      <c r="Z65" s="617"/>
      <c r="AA65" s="617"/>
      <c r="AB65" s="617"/>
      <c r="AC65" s="617"/>
      <c r="AD65" s="617"/>
      <c r="AE65" s="617"/>
      <c r="AF65" s="284"/>
      <c r="AG65" s="284"/>
      <c r="AH65" s="284"/>
      <c r="AI65" s="284"/>
      <c r="AJ65" s="284"/>
      <c r="AK65" s="284"/>
      <c r="AL65" s="284"/>
      <c r="AM65" s="284"/>
      <c r="AN65" s="284"/>
      <c r="AO65" s="284"/>
      <c r="AP65" s="284"/>
      <c r="AQ65" s="284"/>
    </row>
    <row r="66" spans="9:43" s="282" customFormat="1">
      <c r="I66" s="617"/>
      <c r="J66" s="617"/>
      <c r="K66" s="617"/>
      <c r="L66" s="617"/>
      <c r="M66" s="617"/>
      <c r="N66" s="617"/>
      <c r="O66" s="617"/>
      <c r="P66" s="617"/>
      <c r="Q66" s="617"/>
      <c r="R66" s="617"/>
      <c r="S66" s="617"/>
      <c r="T66" s="617"/>
      <c r="U66" s="617"/>
      <c r="V66" s="617"/>
      <c r="W66" s="617"/>
      <c r="X66" s="617"/>
      <c r="Y66" s="617"/>
      <c r="Z66" s="617"/>
      <c r="AA66" s="617"/>
      <c r="AB66" s="617"/>
      <c r="AC66" s="617"/>
      <c r="AD66" s="617"/>
      <c r="AE66" s="617"/>
      <c r="AF66" s="284"/>
      <c r="AG66" s="284"/>
      <c r="AH66" s="284"/>
      <c r="AI66" s="284"/>
      <c r="AJ66" s="284"/>
      <c r="AK66" s="284"/>
      <c r="AL66" s="284"/>
      <c r="AM66" s="284"/>
      <c r="AN66" s="284"/>
      <c r="AO66" s="284"/>
      <c r="AP66" s="284"/>
      <c r="AQ66" s="284"/>
    </row>
  </sheetData>
  <mergeCells count="165">
    <mergeCell ref="BR13:BS13"/>
    <mergeCell ref="A1:CL1"/>
    <mergeCell ref="A2:CL2"/>
    <mergeCell ref="CG4:CK4"/>
    <mergeCell ref="CL4:CL7"/>
    <mergeCell ref="CG5:CG7"/>
    <mergeCell ref="CH5:CI5"/>
    <mergeCell ref="CJ5:CK5"/>
    <mergeCell ref="CH6:CH7"/>
    <mergeCell ref="CI6:CI7"/>
    <mergeCell ref="CJ6:CJ7"/>
    <mergeCell ref="CK6:CK7"/>
    <mergeCell ref="CA4:CE4"/>
    <mergeCell ref="CF4:CF7"/>
    <mergeCell ref="CA5:CA7"/>
    <mergeCell ref="CB5:CC5"/>
    <mergeCell ref="CD5:CE5"/>
    <mergeCell ref="CB6:CB7"/>
    <mergeCell ref="CC6:CC7"/>
    <mergeCell ref="CD6:CD7"/>
    <mergeCell ref="CE6:CE7"/>
    <mergeCell ref="AM4:AQ4"/>
    <mergeCell ref="AR4:AV4"/>
    <mergeCell ref="AC5:AC7"/>
    <mergeCell ref="J53:J55"/>
    <mergeCell ref="AG6:AG7"/>
    <mergeCell ref="I53:I55"/>
    <mergeCell ref="I52:N52"/>
    <mergeCell ref="Y53:Z54"/>
    <mergeCell ref="W53:X54"/>
    <mergeCell ref="O52:X52"/>
    <mergeCell ref="AC53:AD54"/>
    <mergeCell ref="AI52:AP52"/>
    <mergeCell ref="AN53:AP54"/>
    <mergeCell ref="AK13:AL13"/>
    <mergeCell ref="L53:N54"/>
    <mergeCell ref="K53:K55"/>
    <mergeCell ref="AA53:AB54"/>
    <mergeCell ref="L5:L7"/>
    <mergeCell ref="M5:M7"/>
    <mergeCell ref="R5:R7"/>
    <mergeCell ref="U5:V5"/>
    <mergeCell ref="V6:V7"/>
    <mergeCell ref="AI5:AI7"/>
    <mergeCell ref="AJ5:AL5"/>
    <mergeCell ref="AI53:AM54"/>
    <mergeCell ref="AM5:AM7"/>
    <mergeCell ref="AE53:AF54"/>
    <mergeCell ref="AG53:AH54"/>
    <mergeCell ref="Y52:AD52"/>
    <mergeCell ref="AE52:AH52"/>
    <mergeCell ref="AQ52:AU52"/>
    <mergeCell ref="AK6:AK7"/>
    <mergeCell ref="AQ53:AR54"/>
    <mergeCell ref="A52:A55"/>
    <mergeCell ref="B52:C53"/>
    <mergeCell ref="D52:E54"/>
    <mergeCell ref="E5:E7"/>
    <mergeCell ref="A4:A7"/>
    <mergeCell ref="B4:B7"/>
    <mergeCell ref="C4:C7"/>
    <mergeCell ref="D4:D7"/>
    <mergeCell ref="A51:AM51"/>
    <mergeCell ref="G5:G7"/>
    <mergeCell ref="O53:P54"/>
    <mergeCell ref="Q53:R54"/>
    <mergeCell ref="S53:T54"/>
    <mergeCell ref="U53:V54"/>
    <mergeCell ref="W5:X5"/>
    <mergeCell ref="U6:U7"/>
    <mergeCell ref="G52:G54"/>
    <mergeCell ref="H52:H54"/>
    <mergeCell ref="W6:W7"/>
    <mergeCell ref="R4:AA4"/>
    <mergeCell ref="AA5:AA7"/>
    <mergeCell ref="AE6:AE7"/>
    <mergeCell ref="Y5:Y7"/>
    <mergeCell ref="S5:S7"/>
    <mergeCell ref="AD6:AD7"/>
    <mergeCell ref="F5:F7"/>
    <mergeCell ref="G4:H4"/>
    <mergeCell ref="N4:Q4"/>
    <mergeCell ref="N5:N7"/>
    <mergeCell ref="I4:M4"/>
    <mergeCell ref="K5:K7"/>
    <mergeCell ref="H5:H7"/>
    <mergeCell ref="O5:O7"/>
    <mergeCell ref="P5:P7"/>
    <mergeCell ref="Q5:Q7"/>
    <mergeCell ref="I5:I7"/>
    <mergeCell ref="J5:J7"/>
    <mergeCell ref="E4:F4"/>
    <mergeCell ref="AB4:AL4"/>
    <mergeCell ref="AL6:AL7"/>
    <mergeCell ref="AF5:AG5"/>
    <mergeCell ref="AF6:AF7"/>
    <mergeCell ref="AH5:AH7"/>
    <mergeCell ref="AB5:AB7"/>
    <mergeCell ref="Z5:Z7"/>
    <mergeCell ref="X6:X7"/>
    <mergeCell ref="AY6:AY7"/>
    <mergeCell ref="AJ6:AJ7"/>
    <mergeCell ref="AX6:AX7"/>
    <mergeCell ref="AW4:AW7"/>
    <mergeCell ref="AR5:AR7"/>
    <mergeCell ref="AS5:AT5"/>
    <mergeCell ref="AU5:AV5"/>
    <mergeCell ref="AS6:AS7"/>
    <mergeCell ref="AT6:AT7"/>
    <mergeCell ref="AU6:AU7"/>
    <mergeCell ref="AV6:AV7"/>
    <mergeCell ref="AN6:AN7"/>
    <mergeCell ref="AO6:AO7"/>
    <mergeCell ref="AP6:AP7"/>
    <mergeCell ref="AQ6:AQ7"/>
    <mergeCell ref="AN5:AO5"/>
    <mergeCell ref="AP5:AQ5"/>
    <mergeCell ref="AD5:AE5"/>
    <mergeCell ref="BQ4:BY4"/>
    <mergeCell ref="BQ6:BQ7"/>
    <mergeCell ref="BR6:BR7"/>
    <mergeCell ref="BS6:BS7"/>
    <mergeCell ref="BT6:BT7"/>
    <mergeCell ref="BU6:BU7"/>
    <mergeCell ref="BV6:BV7"/>
    <mergeCell ref="BW6:BW7"/>
    <mergeCell ref="BX6:BX7"/>
    <mergeCell ref="BY6:BY7"/>
    <mergeCell ref="BQ5:BS5"/>
    <mergeCell ref="BT5:BV5"/>
    <mergeCell ref="BW5:BY5"/>
    <mergeCell ref="BE6:BE7"/>
    <mergeCell ref="BF6:BF7"/>
    <mergeCell ref="BL4:BP4"/>
    <mergeCell ref="BL5:BL7"/>
    <mergeCell ref="BM5:BN5"/>
    <mergeCell ref="BO5:BP5"/>
    <mergeCell ref="BM6:BM7"/>
    <mergeCell ref="BN6:BN7"/>
    <mergeCell ref="BO6:BO7"/>
    <mergeCell ref="BP6:BP7"/>
    <mergeCell ref="BU13:BV13"/>
    <mergeCell ref="BX13:BY13"/>
    <mergeCell ref="BZ4:BZ7"/>
    <mergeCell ref="BE13:BF13"/>
    <mergeCell ref="BA6:BA7"/>
    <mergeCell ref="BB6:BB7"/>
    <mergeCell ref="AS53:AU54"/>
    <mergeCell ref="BC6:BC7"/>
    <mergeCell ref="AX4:BF5"/>
    <mergeCell ref="BE53:BF54"/>
    <mergeCell ref="AV53:BD54"/>
    <mergeCell ref="AV52:BF52"/>
    <mergeCell ref="AY13:AZ13"/>
    <mergeCell ref="BB13:BC13"/>
    <mergeCell ref="AZ6:AZ7"/>
    <mergeCell ref="BG4:BK4"/>
    <mergeCell ref="BG5:BG7"/>
    <mergeCell ref="BH5:BI5"/>
    <mergeCell ref="BJ5:BK5"/>
    <mergeCell ref="BH6:BH7"/>
    <mergeCell ref="BI6:BI7"/>
    <mergeCell ref="BJ6:BJ7"/>
    <mergeCell ref="BK6:BK7"/>
    <mergeCell ref="BD6:BD7"/>
  </mergeCells>
  <phoneticPr fontId="0" type="noConversion"/>
  <printOptions horizontalCentered="1" verticalCentered="1"/>
  <pageMargins left="0" right="0" top="0.15748031496062992" bottom="0.11811023622047245" header="0.51181102362204722" footer="0.51181102362204722"/>
  <pageSetup paperSize="9" scale="34" orientation="landscape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T77"/>
  <sheetViews>
    <sheetView topLeftCell="A11" workbookViewId="0">
      <selection activeCell="A41" sqref="A41:E77"/>
    </sheetView>
  </sheetViews>
  <sheetFormatPr defaultRowHeight="15.75"/>
  <cols>
    <col min="1" max="1" width="32" style="3237" customWidth="1"/>
    <col min="2" max="2" width="18" style="3833" customWidth="1"/>
    <col min="3" max="3" width="19.85546875" style="3833" customWidth="1"/>
    <col min="4" max="4" width="17.85546875" style="3237" customWidth="1"/>
    <col min="5" max="5" width="20.85546875" style="3237" customWidth="1"/>
    <col min="6" max="6" width="13.7109375" style="3237" customWidth="1"/>
    <col min="7" max="20" width="9.140625" style="3237"/>
    <col min="21" max="16384" width="9.140625" style="3834"/>
  </cols>
  <sheetData>
    <row r="1" spans="1:20">
      <c r="A1" s="3832"/>
      <c r="D1" s="6334" t="s">
        <v>1857</v>
      </c>
      <c r="E1" s="6334"/>
    </row>
    <row r="2" spans="1:20">
      <c r="A2" s="3832"/>
      <c r="D2" s="3835"/>
      <c r="E2" s="3835"/>
    </row>
    <row r="3" spans="1:20">
      <c r="A3" s="6333" t="s">
        <v>1858</v>
      </c>
      <c r="B3" s="6333"/>
      <c r="C3" s="6333"/>
      <c r="D3" s="6333"/>
      <c r="E3" s="6333"/>
    </row>
    <row r="4" spans="1:20">
      <c r="A4" s="3237" t="s">
        <v>1859</v>
      </c>
    </row>
    <row r="5" spans="1:20">
      <c r="A5" s="6326" t="s">
        <v>1860</v>
      </c>
      <c r="B5" s="6327" t="s">
        <v>1861</v>
      </c>
      <c r="C5" s="6328" t="s">
        <v>383</v>
      </c>
      <c r="D5" s="6329"/>
      <c r="E5" s="6330"/>
    </row>
    <row r="6" spans="1:20" s="3839" customFormat="1" ht="31.5">
      <c r="A6" s="6326"/>
      <c r="B6" s="6327"/>
      <c r="C6" s="3836" t="s">
        <v>1862</v>
      </c>
      <c r="D6" s="3837" t="s">
        <v>126</v>
      </c>
      <c r="E6" s="3837" t="s">
        <v>1863</v>
      </c>
      <c r="F6" s="3838"/>
      <c r="G6" s="3838"/>
      <c r="H6" s="3838"/>
      <c r="I6" s="3838"/>
      <c r="J6" s="3838"/>
      <c r="K6" s="3838"/>
      <c r="L6" s="3838"/>
      <c r="M6" s="3838"/>
      <c r="N6" s="3838"/>
      <c r="O6" s="3838"/>
      <c r="P6" s="3838"/>
      <c r="Q6" s="3838"/>
      <c r="R6" s="3838"/>
      <c r="S6" s="3838"/>
      <c r="T6" s="3838"/>
    </row>
    <row r="7" spans="1:20">
      <c r="A7" s="3840" t="s">
        <v>544</v>
      </c>
      <c r="B7" s="3841" t="s">
        <v>918</v>
      </c>
      <c r="C7" s="3842">
        <v>1832.95</v>
      </c>
      <c r="D7" s="3842">
        <v>2164.89</v>
      </c>
      <c r="E7" s="3843">
        <v>2164.89</v>
      </c>
    </row>
    <row r="8" spans="1:20">
      <c r="A8" s="3840" t="s">
        <v>1864</v>
      </c>
      <c r="B8" s="3841" t="s">
        <v>918</v>
      </c>
      <c r="C8" s="3842">
        <v>0</v>
      </c>
      <c r="D8" s="3842">
        <v>0</v>
      </c>
      <c r="E8" s="3843">
        <v>0</v>
      </c>
    </row>
    <row r="9" spans="1:20">
      <c r="A9" s="3840" t="s">
        <v>1699</v>
      </c>
      <c r="B9" s="3841" t="s">
        <v>918</v>
      </c>
      <c r="C9" s="3842">
        <f>[26]вода!BF44</f>
        <v>1186.1707105587886</v>
      </c>
      <c r="D9" s="3842">
        <v>1367.37</v>
      </c>
      <c r="E9" s="3843">
        <f>[26]вод.налог!G39</f>
        <v>1349.5274148209801</v>
      </c>
    </row>
    <row r="10" spans="1:20">
      <c r="A10" s="3840" t="s">
        <v>1865</v>
      </c>
      <c r="B10" s="3841" t="s">
        <v>918</v>
      </c>
      <c r="C10" s="3842">
        <v>0</v>
      </c>
      <c r="D10" s="3842">
        <v>0</v>
      </c>
      <c r="E10" s="3843">
        <v>0</v>
      </c>
    </row>
    <row r="11" spans="1:20">
      <c r="A11" s="3840" t="s">
        <v>542</v>
      </c>
      <c r="B11" s="3841" t="s">
        <v>918</v>
      </c>
      <c r="C11" s="3842">
        <f>[26]вода!BF45</f>
        <v>117.63502835085798</v>
      </c>
      <c r="D11" s="3842">
        <v>88.75</v>
      </c>
      <c r="E11" s="3843">
        <v>88.75</v>
      </c>
    </row>
    <row r="12" spans="1:20">
      <c r="A12" s="3840" t="s">
        <v>631</v>
      </c>
      <c r="B12" s="3841"/>
      <c r="C12" s="3844">
        <f>SUM(C7:C11)</f>
        <v>3136.7557389096469</v>
      </c>
      <c r="D12" s="3844">
        <f>SUM(D7:D11)</f>
        <v>3621.0099999999998</v>
      </c>
      <c r="E12" s="3844">
        <f>SUM(E7:E11)</f>
        <v>3603.16741482098</v>
      </c>
    </row>
    <row r="14" spans="1:20">
      <c r="A14" s="6326" t="s">
        <v>1860</v>
      </c>
      <c r="B14" s="6327" t="s">
        <v>1861</v>
      </c>
      <c r="C14" s="6328" t="s">
        <v>25</v>
      </c>
      <c r="D14" s="6329"/>
      <c r="E14" s="6330"/>
    </row>
    <row r="15" spans="1:20" ht="31.5">
      <c r="A15" s="6326"/>
      <c r="B15" s="6327"/>
      <c r="C15" s="3836" t="s">
        <v>1862</v>
      </c>
      <c r="D15" s="3837" t="s">
        <v>126</v>
      </c>
      <c r="E15" s="3837" t="s">
        <v>1863</v>
      </c>
    </row>
    <row r="16" spans="1:20">
      <c r="A16" s="3840" t="s">
        <v>544</v>
      </c>
      <c r="B16" s="3841" t="s">
        <v>918</v>
      </c>
      <c r="C16" s="3842">
        <v>9.84</v>
      </c>
      <c r="D16" s="3842">
        <v>10.33</v>
      </c>
      <c r="E16" s="3843">
        <v>10.33</v>
      </c>
    </row>
    <row r="17" spans="1:5">
      <c r="A17" s="3840" t="s">
        <v>1864</v>
      </c>
      <c r="B17" s="3841" t="s">
        <v>918</v>
      </c>
      <c r="C17" s="3842">
        <v>0</v>
      </c>
      <c r="D17" s="3842">
        <v>0</v>
      </c>
      <c r="E17" s="3843">
        <v>0</v>
      </c>
    </row>
    <row r="18" spans="1:5">
      <c r="A18" s="3840" t="s">
        <v>1699</v>
      </c>
      <c r="B18" s="3841" t="s">
        <v>918</v>
      </c>
      <c r="C18" s="3842">
        <v>7.3</v>
      </c>
      <c r="D18" s="3842">
        <v>6.4829999999999997</v>
      </c>
      <c r="E18" s="3843">
        <f>[26]вод.налог!G38</f>
        <v>7.9768080000000001</v>
      </c>
    </row>
    <row r="19" spans="1:5">
      <c r="A19" s="3840" t="s">
        <v>1865</v>
      </c>
      <c r="B19" s="3841" t="s">
        <v>918</v>
      </c>
      <c r="C19" s="3842">
        <v>0</v>
      </c>
      <c r="D19" s="3842">
        <v>0</v>
      </c>
      <c r="E19" s="3843">
        <v>0</v>
      </c>
    </row>
    <row r="20" spans="1:5">
      <c r="A20" s="3840" t="s">
        <v>542</v>
      </c>
      <c r="B20" s="3841" t="s">
        <v>918</v>
      </c>
      <c r="C20" s="3842">
        <v>0.48</v>
      </c>
      <c r="D20" s="3842">
        <v>0.42399999999999999</v>
      </c>
      <c r="E20" s="3843">
        <v>0.42</v>
      </c>
    </row>
    <row r="21" spans="1:5">
      <c r="A21" s="3840" t="s">
        <v>631</v>
      </c>
      <c r="B21" s="3841"/>
      <c r="C21" s="3844">
        <f>SUM(C16:C20)</f>
        <v>17.62</v>
      </c>
      <c r="D21" s="3844">
        <f>SUM(D16:D20)</f>
        <v>17.236999999999998</v>
      </c>
      <c r="E21" s="3844">
        <f>SUM(E16:E20)</f>
        <v>18.726808000000002</v>
      </c>
    </row>
    <row r="23" spans="1:5">
      <c r="A23" s="6326" t="s">
        <v>1860</v>
      </c>
      <c r="B23" s="6327" t="s">
        <v>1861</v>
      </c>
      <c r="C23" s="6328" t="s">
        <v>47</v>
      </c>
      <c r="D23" s="6329"/>
      <c r="E23" s="6330"/>
    </row>
    <row r="24" spans="1:5" ht="31.5">
      <c r="A24" s="6326"/>
      <c r="B24" s="6327"/>
      <c r="C24" s="3836" t="s">
        <v>1862</v>
      </c>
      <c r="D24" s="3837" t="s">
        <v>126</v>
      </c>
      <c r="E24" s="3837" t="s">
        <v>1863</v>
      </c>
    </row>
    <row r="25" spans="1:5">
      <c r="A25" s="3840" t="s">
        <v>544</v>
      </c>
      <c r="B25" s="3841" t="s">
        <v>918</v>
      </c>
      <c r="C25" s="3842">
        <v>1433.46</v>
      </c>
      <c r="D25" s="3842">
        <v>1409.39</v>
      </c>
      <c r="E25" s="3843">
        <v>1409.39</v>
      </c>
    </row>
    <row r="26" spans="1:5">
      <c r="A26" s="3840" t="s">
        <v>1864</v>
      </c>
      <c r="B26" s="3841" t="s">
        <v>918</v>
      </c>
      <c r="C26" s="3842">
        <v>220.1</v>
      </c>
      <c r="D26" s="3842">
        <v>348.31</v>
      </c>
      <c r="E26" s="3843">
        <v>348.31</v>
      </c>
    </row>
    <row r="27" spans="1:5">
      <c r="A27" s="3840" t="s">
        <v>1699</v>
      </c>
      <c r="B27" s="3841" t="s">
        <v>918</v>
      </c>
      <c r="C27" s="3842">
        <v>0</v>
      </c>
      <c r="D27" s="3842">
        <v>0</v>
      </c>
      <c r="E27" s="3843">
        <v>0</v>
      </c>
    </row>
    <row r="28" spans="1:5">
      <c r="A28" s="3840" t="s">
        <v>1865</v>
      </c>
      <c r="B28" s="3841" t="s">
        <v>918</v>
      </c>
      <c r="C28" s="3842">
        <v>0</v>
      </c>
      <c r="D28" s="3842">
        <v>0</v>
      </c>
      <c r="E28" s="3843">
        <v>0</v>
      </c>
    </row>
    <row r="29" spans="1:5">
      <c r="A29" s="3840" t="s">
        <v>542</v>
      </c>
      <c r="B29" s="3841" t="s">
        <v>918</v>
      </c>
      <c r="C29" s="3842">
        <v>23.21</v>
      </c>
      <c r="D29" s="3842">
        <v>25.87</v>
      </c>
      <c r="E29" s="3843">
        <v>25.87</v>
      </c>
    </row>
    <row r="30" spans="1:5">
      <c r="A30" s="3840" t="s">
        <v>631</v>
      </c>
      <c r="B30" s="3841"/>
      <c r="C30" s="3844">
        <f>SUM(C25:C29)</f>
        <v>1676.77</v>
      </c>
      <c r="D30" s="3844">
        <f>SUM(D25:D29)</f>
        <v>1783.57</v>
      </c>
      <c r="E30" s="3844">
        <f>SUM(E25:E29)</f>
        <v>1783.57</v>
      </c>
    </row>
    <row r="32" spans="1:5">
      <c r="A32" s="6326" t="s">
        <v>1860</v>
      </c>
      <c r="B32" s="6327" t="s">
        <v>1861</v>
      </c>
      <c r="C32" s="6328" t="s">
        <v>1866</v>
      </c>
      <c r="D32" s="6329"/>
      <c r="E32" s="6330"/>
    </row>
    <row r="33" spans="1:5" ht="31.5">
      <c r="A33" s="6326"/>
      <c r="B33" s="6327"/>
      <c r="C33" s="3836" t="s">
        <v>1862</v>
      </c>
      <c r="D33" s="3837" t="s">
        <v>126</v>
      </c>
      <c r="E33" s="3837" t="s">
        <v>1863</v>
      </c>
    </row>
    <row r="34" spans="1:5">
      <c r="A34" s="3840" t="s">
        <v>544</v>
      </c>
      <c r="B34" s="3841" t="s">
        <v>918</v>
      </c>
      <c r="C34" s="3842"/>
      <c r="D34" s="3842"/>
      <c r="E34" s="3843"/>
    </row>
    <row r="35" spans="1:5">
      <c r="A35" s="3840" t="s">
        <v>1864</v>
      </c>
      <c r="B35" s="3841" t="s">
        <v>918</v>
      </c>
      <c r="C35" s="3842"/>
      <c r="D35" s="3842"/>
      <c r="E35" s="3843"/>
    </row>
    <row r="36" spans="1:5">
      <c r="A36" s="3840" t="s">
        <v>1699</v>
      </c>
      <c r="B36" s="3841" t="s">
        <v>918</v>
      </c>
      <c r="C36" s="3842"/>
      <c r="D36" s="3842"/>
      <c r="E36" s="3843"/>
    </row>
    <row r="37" spans="1:5">
      <c r="A37" s="3840" t="s">
        <v>1865</v>
      </c>
      <c r="B37" s="3841" t="s">
        <v>918</v>
      </c>
      <c r="C37" s="3842"/>
      <c r="D37" s="3842"/>
      <c r="E37" s="3843"/>
    </row>
    <row r="38" spans="1:5">
      <c r="A38" s="3840" t="s">
        <v>542</v>
      </c>
      <c r="B38" s="3841" t="s">
        <v>918</v>
      </c>
      <c r="C38" s="3842"/>
      <c r="D38" s="3842"/>
      <c r="E38" s="3843"/>
    </row>
    <row r="39" spans="1:5">
      <c r="A39" s="3840" t="s">
        <v>631</v>
      </c>
      <c r="B39" s="3841"/>
      <c r="C39" s="3844">
        <v>8.01</v>
      </c>
      <c r="D39" s="3844">
        <v>10.47</v>
      </c>
      <c r="E39" s="3844">
        <v>10.47</v>
      </c>
    </row>
    <row r="41" spans="1:5">
      <c r="A41" s="6333" t="s">
        <v>1858</v>
      </c>
      <c r="B41" s="6333"/>
      <c r="C41" s="6333"/>
      <c r="D41" s="6333"/>
      <c r="E41" s="6333"/>
    </row>
    <row r="42" spans="1:5">
      <c r="A42" s="6331" t="s">
        <v>1876</v>
      </c>
      <c r="B42" s="6332"/>
      <c r="C42" s="6332"/>
      <c r="D42" s="6332"/>
      <c r="E42" s="6332"/>
    </row>
    <row r="43" spans="1:5">
      <c r="A43" s="6326" t="s">
        <v>1860</v>
      </c>
      <c r="B43" s="6327" t="s">
        <v>1861</v>
      </c>
      <c r="C43" s="6328" t="s">
        <v>383</v>
      </c>
      <c r="D43" s="6329"/>
      <c r="E43" s="6330"/>
    </row>
    <row r="44" spans="1:5" ht="31.5">
      <c r="A44" s="6326"/>
      <c r="B44" s="6327"/>
      <c r="C44" s="3836" t="s">
        <v>1877</v>
      </c>
      <c r="D44" s="3837" t="s">
        <v>126</v>
      </c>
      <c r="E44" s="3837" t="s">
        <v>1863</v>
      </c>
    </row>
    <row r="45" spans="1:5">
      <c r="A45" s="3840" t="s">
        <v>544</v>
      </c>
      <c r="B45" s="3841" t="s">
        <v>918</v>
      </c>
      <c r="C45" s="3843">
        <v>2164.89</v>
      </c>
      <c r="D45" s="3842">
        <f>SUM(объемы!AI50+объемы!AI52+объемы!AI53)/объемы!AI49*'имушество 2018'!C37/1000</f>
        <v>1985.5083748213399</v>
      </c>
      <c r="E45" s="3842">
        <f>SUM(объемы!AJ50+объемы!AJ52+объемы!AJ53)/объемы!AJ49*'имушество 2018'!C37/1000</f>
        <v>1984.433473356605</v>
      </c>
    </row>
    <row r="46" spans="1:5">
      <c r="A46" s="3840" t="s">
        <v>1864</v>
      </c>
      <c r="B46" s="3841" t="s">
        <v>918</v>
      </c>
      <c r="C46" s="3843">
        <v>0</v>
      </c>
      <c r="D46" s="3842">
        <v>0</v>
      </c>
      <c r="E46" s="3843">
        <v>0</v>
      </c>
    </row>
    <row r="47" spans="1:5">
      <c r="A47" s="3840" t="s">
        <v>1699</v>
      </c>
      <c r="B47" s="3841" t="s">
        <v>918</v>
      </c>
      <c r="C47" s="3843">
        <v>1349.53</v>
      </c>
      <c r="D47" s="3842">
        <f>SUM(объемы!AI50+объемы!AI52+объемы!AI53)/объемы!AI49*'вод.налог 2018'!D50</f>
        <v>1535.8381720430109</v>
      </c>
      <c r="E47" s="3842">
        <f>SUM(объемы!AJ50+объемы!AJ52+объемы!AJ53)/объемы!AJ49*'вод.налог 2018'!G50</f>
        <v>1429.1127802050919</v>
      </c>
    </row>
    <row r="48" spans="1:5">
      <c r="A48" s="3840" t="s">
        <v>1865</v>
      </c>
      <c r="B48" s="3841" t="s">
        <v>918</v>
      </c>
      <c r="C48" s="3843">
        <v>0</v>
      </c>
      <c r="D48" s="3842">
        <v>0</v>
      </c>
      <c r="E48" s="3843">
        <v>0</v>
      </c>
    </row>
    <row r="49" spans="1:5">
      <c r="A49" s="3840" t="s">
        <v>542</v>
      </c>
      <c r="B49" s="3841" t="s">
        <v>918</v>
      </c>
      <c r="C49" s="3843">
        <v>88.75</v>
      </c>
      <c r="D49" s="3842">
        <f>SUM(объемы!AI50+объемы!AI52+объемы!AI53)/объемы!AI49*91.16</f>
        <v>90.669892473118281</v>
      </c>
      <c r="E49" s="3843">
        <f>SUM(объемы!AJ50+объемы!AJ52+объемы!AJ53)/объемы!AJ49*91.16</f>
        <v>90.62080620309159</v>
      </c>
    </row>
    <row r="50" spans="1:5">
      <c r="A50" s="3840" t="s">
        <v>631</v>
      </c>
      <c r="B50" s="3841"/>
      <c r="C50" s="3908">
        <f>SUM(C45:C49)</f>
        <v>3603.17</v>
      </c>
      <c r="D50" s="3908">
        <f>SUM(D45:D49)</f>
        <v>3612.0164393374689</v>
      </c>
      <c r="E50" s="3908">
        <f>SUM(E45:E49)</f>
        <v>3504.1670597647885</v>
      </c>
    </row>
    <row r="52" spans="1:5">
      <c r="A52" s="6326" t="s">
        <v>1860</v>
      </c>
      <c r="B52" s="6327" t="s">
        <v>1861</v>
      </c>
      <c r="C52" s="6328" t="s">
        <v>25</v>
      </c>
      <c r="D52" s="6329"/>
      <c r="E52" s="6330"/>
    </row>
    <row r="53" spans="1:5" ht="31.5">
      <c r="A53" s="6326"/>
      <c r="B53" s="6327"/>
      <c r="C53" s="3836" t="s">
        <v>1877</v>
      </c>
      <c r="D53" s="3837" t="s">
        <v>126</v>
      </c>
      <c r="E53" s="3837" t="s">
        <v>1863</v>
      </c>
    </row>
    <row r="54" spans="1:5">
      <c r="A54" s="3840" t="s">
        <v>544</v>
      </c>
      <c r="B54" s="3841" t="s">
        <v>918</v>
      </c>
      <c r="C54" s="3843">
        <v>10.33</v>
      </c>
      <c r="D54" s="3842">
        <f>SUM('имушество 2018'!C37/1000)-'налоги 2018'!D45</f>
        <v>10.732477701737253</v>
      </c>
      <c r="E54" s="3842">
        <f>SUM('имушество 2018'!C37/1000)-'налоги 2018'!E45</f>
        <v>11.807379166472174</v>
      </c>
    </row>
    <row r="55" spans="1:5">
      <c r="A55" s="3840" t="s">
        <v>1864</v>
      </c>
      <c r="B55" s="3841" t="s">
        <v>918</v>
      </c>
      <c r="C55" s="3843">
        <v>0</v>
      </c>
      <c r="D55" s="3842">
        <v>0</v>
      </c>
      <c r="E55" s="3843">
        <v>0</v>
      </c>
    </row>
    <row r="56" spans="1:5">
      <c r="A56" s="3840" t="s">
        <v>1699</v>
      </c>
      <c r="B56" s="3841" t="s">
        <v>918</v>
      </c>
      <c r="C56" s="3843">
        <v>7.98</v>
      </c>
      <c r="D56" s="3842">
        <f>SUM('вод.налог 2018'!D50-'налоги 2018'!D47)</f>
        <v>8.3018279569892002</v>
      </c>
      <c r="E56" s="3843">
        <f>SUM('вод.налог 2018'!G50-E47)</f>
        <v>8.5032210422202752</v>
      </c>
    </row>
    <row r="57" spans="1:5">
      <c r="A57" s="3840" t="s">
        <v>1865</v>
      </c>
      <c r="B57" s="3841" t="s">
        <v>918</v>
      </c>
      <c r="C57" s="3843">
        <v>0</v>
      </c>
      <c r="D57" s="3842">
        <v>0</v>
      </c>
      <c r="E57" s="3843">
        <v>0</v>
      </c>
    </row>
    <row r="58" spans="1:5">
      <c r="A58" s="3840" t="s">
        <v>542</v>
      </c>
      <c r="B58" s="3841" t="s">
        <v>918</v>
      </c>
      <c r="C58" s="3843">
        <v>0.42</v>
      </c>
      <c r="D58" s="3842">
        <f>SUM(91.16-D49)</f>
        <v>0.49010752688171522</v>
      </c>
      <c r="E58" s="3843">
        <f>SUM(91.16-E49)</f>
        <v>0.53919379690840685</v>
      </c>
    </row>
    <row r="59" spans="1:5">
      <c r="A59" s="3840" t="s">
        <v>631</v>
      </c>
      <c r="B59" s="3841"/>
      <c r="C59" s="3908">
        <f>SUM(C54:C58)</f>
        <v>18.730000000000004</v>
      </c>
      <c r="D59" s="3908">
        <f>SUM(D54:D58)</f>
        <v>19.524413185608168</v>
      </c>
      <c r="E59" s="3908">
        <f>SUM(E54:E58)</f>
        <v>20.849794005600856</v>
      </c>
    </row>
    <row r="61" spans="1:5">
      <c r="A61" s="6326" t="s">
        <v>1860</v>
      </c>
      <c r="B61" s="6327" t="s">
        <v>1861</v>
      </c>
      <c r="C61" s="6328" t="s">
        <v>47</v>
      </c>
      <c r="D61" s="6329"/>
      <c r="E61" s="6330"/>
    </row>
    <row r="62" spans="1:5" ht="31.5">
      <c r="A62" s="6326"/>
      <c r="B62" s="6327"/>
      <c r="C62" s="3836" t="s">
        <v>1877</v>
      </c>
      <c r="D62" s="3837" t="s">
        <v>126</v>
      </c>
      <c r="E62" s="3837" t="s">
        <v>1863</v>
      </c>
    </row>
    <row r="63" spans="1:5">
      <c r="A63" s="3840" t="s">
        <v>544</v>
      </c>
      <c r="B63" s="3841" t="s">
        <v>918</v>
      </c>
      <c r="C63" s="3843">
        <v>1409.39</v>
      </c>
      <c r="D63" s="3842">
        <f>SUM(объемы!AI59+объемы!AI60)/объемы!AI58*'имушество 2018'!D37/1000</f>
        <v>1321.4177587149379</v>
      </c>
      <c r="E63" s="3843">
        <f>SUM(объемы!AJ59+объемы!AJ60)/объемы!AJ58*'имушество 2018'!D37/1000</f>
        <v>1323.0731253365545</v>
      </c>
    </row>
    <row r="64" spans="1:5">
      <c r="A64" s="3840" t="s">
        <v>1864</v>
      </c>
      <c r="B64" s="3841" t="s">
        <v>918</v>
      </c>
      <c r="C64" s="3843">
        <v>348.31</v>
      </c>
      <c r="D64" s="3842">
        <v>348.31</v>
      </c>
      <c r="E64" s="3843">
        <v>348.31</v>
      </c>
    </row>
    <row r="65" spans="1:5">
      <c r="A65" s="3840" t="s">
        <v>1699</v>
      </c>
      <c r="B65" s="3841" t="s">
        <v>918</v>
      </c>
      <c r="C65" s="3843">
        <v>0</v>
      </c>
      <c r="D65" s="3842">
        <v>0</v>
      </c>
      <c r="E65" s="3843">
        <v>0</v>
      </c>
    </row>
    <row r="66" spans="1:5">
      <c r="A66" s="3840" t="s">
        <v>1865</v>
      </c>
      <c r="B66" s="3841" t="s">
        <v>918</v>
      </c>
      <c r="C66" s="3843">
        <v>0</v>
      </c>
      <c r="D66" s="3842">
        <v>0</v>
      </c>
      <c r="E66" s="3843">
        <v>0</v>
      </c>
    </row>
    <row r="67" spans="1:5">
      <c r="A67" s="3840" t="s">
        <v>542</v>
      </c>
      <c r="B67" s="3841" t="s">
        <v>918</v>
      </c>
      <c r="C67" s="3843">
        <v>25.87</v>
      </c>
      <c r="D67" s="3842">
        <v>29.69</v>
      </c>
      <c r="E67" s="3843">
        <v>29.69</v>
      </c>
    </row>
    <row r="68" spans="1:5">
      <c r="A68" s="3840" t="s">
        <v>631</v>
      </c>
      <c r="B68" s="3841"/>
      <c r="C68" s="3908">
        <f>SUM(C63:C67)</f>
        <v>1783.57</v>
      </c>
      <c r="D68" s="3908">
        <f>SUM(D63:D67)</f>
        <v>1699.4177587149379</v>
      </c>
      <c r="E68" s="3908">
        <f>SUM(E63:E67)</f>
        <v>1701.0731253365545</v>
      </c>
    </row>
    <row r="70" spans="1:5">
      <c r="A70" s="6326" t="s">
        <v>1860</v>
      </c>
      <c r="B70" s="6327" t="s">
        <v>1861</v>
      </c>
      <c r="C70" s="6328" t="s">
        <v>1866</v>
      </c>
      <c r="D70" s="6329"/>
      <c r="E70" s="6330"/>
    </row>
    <row r="71" spans="1:5" ht="31.5">
      <c r="A71" s="6326"/>
      <c r="B71" s="6327"/>
      <c r="C71" s="3836" t="s">
        <v>1877</v>
      </c>
      <c r="D71" s="3837" t="s">
        <v>126</v>
      </c>
      <c r="E71" s="3837" t="s">
        <v>1863</v>
      </c>
    </row>
    <row r="72" spans="1:5">
      <c r="A72" s="3840" t="s">
        <v>544</v>
      </c>
      <c r="B72" s="3841" t="s">
        <v>918</v>
      </c>
      <c r="C72" s="3843"/>
      <c r="D72" s="3842">
        <f>SUM('имушество 2018'!D37/1000)-'налоги 2018'!D63</f>
        <v>9.4094763004466131</v>
      </c>
      <c r="E72" s="3843">
        <f>SUM('имушество 2018'!D37/1000)-'налоги 2018'!E63</f>
        <v>7.754109678829991</v>
      </c>
    </row>
    <row r="73" spans="1:5">
      <c r="A73" s="3840" t="s">
        <v>1864</v>
      </c>
      <c r="B73" s="3841" t="s">
        <v>918</v>
      </c>
      <c r="C73" s="3843"/>
      <c r="D73" s="3842"/>
      <c r="E73" s="3843"/>
    </row>
    <row r="74" spans="1:5">
      <c r="A74" s="3840" t="s">
        <v>1699</v>
      </c>
      <c r="B74" s="3841" t="s">
        <v>918</v>
      </c>
      <c r="C74" s="3843"/>
      <c r="D74" s="3842"/>
      <c r="E74" s="3843"/>
    </row>
    <row r="75" spans="1:5">
      <c r="A75" s="3840" t="s">
        <v>1865</v>
      </c>
      <c r="B75" s="3841" t="s">
        <v>918</v>
      </c>
      <c r="C75" s="3843"/>
      <c r="D75" s="3842"/>
      <c r="E75" s="3843"/>
    </row>
    <row r="76" spans="1:5">
      <c r="A76" s="3840" t="s">
        <v>542</v>
      </c>
      <c r="B76" s="3841" t="s">
        <v>918</v>
      </c>
      <c r="C76" s="3843"/>
      <c r="D76" s="3842"/>
      <c r="E76" s="3843"/>
    </row>
    <row r="77" spans="1:5">
      <c r="A77" s="3840" t="s">
        <v>631</v>
      </c>
      <c r="B77" s="3841"/>
      <c r="C77" s="3908">
        <v>10.47</v>
      </c>
      <c r="D77" s="3908">
        <v>10.47</v>
      </c>
      <c r="E77" s="3908">
        <v>10.47</v>
      </c>
    </row>
  </sheetData>
  <mergeCells count="28">
    <mergeCell ref="D1:E1"/>
    <mergeCell ref="A3:E3"/>
    <mergeCell ref="A5:A6"/>
    <mergeCell ref="B5:B6"/>
    <mergeCell ref="C5:E5"/>
    <mergeCell ref="A14:A15"/>
    <mergeCell ref="B14:B15"/>
    <mergeCell ref="C14:E14"/>
    <mergeCell ref="A41:E41"/>
    <mergeCell ref="A43:A44"/>
    <mergeCell ref="B43:B44"/>
    <mergeCell ref="C43:E43"/>
    <mergeCell ref="A23:A24"/>
    <mergeCell ref="B23:B24"/>
    <mergeCell ref="C23:E23"/>
    <mergeCell ref="A32:A33"/>
    <mergeCell ref="B32:B33"/>
    <mergeCell ref="C32:E32"/>
    <mergeCell ref="A70:A71"/>
    <mergeCell ref="B70:B71"/>
    <mergeCell ref="C70:E70"/>
    <mergeCell ref="A42:E42"/>
    <mergeCell ref="A52:A53"/>
    <mergeCell ref="B52:B53"/>
    <mergeCell ref="C52:E52"/>
    <mergeCell ref="A61:A62"/>
    <mergeCell ref="B61:B62"/>
    <mergeCell ref="C61:E61"/>
  </mergeCells>
  <pageMargins left="0.70866141732283472" right="0.70866141732283472" top="0.74803149606299213" bottom="0.74803149606299213" header="0.31496062992125984" footer="0.31496062992125984"/>
  <pageSetup paperSize="9" scale="81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V39"/>
  <sheetViews>
    <sheetView topLeftCell="A18" workbookViewId="0">
      <selection activeCell="I22" sqref="I22"/>
    </sheetView>
  </sheetViews>
  <sheetFormatPr defaultRowHeight="15.75"/>
  <cols>
    <col min="1" max="1" width="32" style="3237" customWidth="1"/>
    <col min="2" max="2" width="18" style="3833" customWidth="1"/>
    <col min="3" max="5" width="19.85546875" style="3833" customWidth="1"/>
    <col min="6" max="6" width="17.85546875" style="3237" customWidth="1"/>
    <col min="7" max="7" width="20.85546875" style="3237" customWidth="1"/>
    <col min="8" max="8" width="13.7109375" style="3237" customWidth="1"/>
    <col min="9" max="22" width="9.140625" style="3237"/>
    <col min="23" max="16384" width="9.140625" style="3834"/>
  </cols>
  <sheetData>
    <row r="1" spans="1:22">
      <c r="A1" s="3832"/>
      <c r="F1" s="6334" t="s">
        <v>1902</v>
      </c>
      <c r="G1" s="6334"/>
    </row>
    <row r="2" spans="1:22">
      <c r="A2" s="3832"/>
      <c r="F2" s="4433"/>
      <c r="G2" s="4433"/>
    </row>
    <row r="3" spans="1:22">
      <c r="A3" s="6333" t="s">
        <v>1858</v>
      </c>
      <c r="B3" s="6333"/>
      <c r="C3" s="6333"/>
      <c r="D3" s="6333"/>
      <c r="E3" s="6333"/>
      <c r="F3" s="6333"/>
      <c r="G3" s="6333"/>
    </row>
    <row r="4" spans="1:22">
      <c r="A4" s="3237" t="s">
        <v>1876</v>
      </c>
    </row>
    <row r="5" spans="1:22">
      <c r="A5" s="6326" t="s">
        <v>1860</v>
      </c>
      <c r="B5" s="6327" t="s">
        <v>1861</v>
      </c>
      <c r="C5" s="6328" t="s">
        <v>383</v>
      </c>
      <c r="D5" s="6329"/>
      <c r="E5" s="6329"/>
      <c r="F5" s="6329"/>
      <c r="G5" s="6330"/>
    </row>
    <row r="6" spans="1:22" s="3839" customFormat="1" ht="31.5">
      <c r="A6" s="6326"/>
      <c r="B6" s="6327"/>
      <c r="C6" s="3836" t="s">
        <v>1862</v>
      </c>
      <c r="D6" s="3836" t="s">
        <v>1903</v>
      </c>
      <c r="E6" s="3836" t="s">
        <v>1904</v>
      </c>
      <c r="F6" s="3837" t="s">
        <v>126</v>
      </c>
      <c r="G6" s="3837" t="s">
        <v>1863</v>
      </c>
      <c r="H6" s="3838"/>
      <c r="I6" s="3838"/>
      <c r="J6" s="3838"/>
      <c r="K6" s="3838"/>
      <c r="L6" s="3838"/>
      <c r="M6" s="3838"/>
      <c r="N6" s="3838"/>
      <c r="O6" s="3838"/>
      <c r="P6" s="3838"/>
      <c r="Q6" s="3838"/>
      <c r="R6" s="3838"/>
      <c r="S6" s="3838"/>
      <c r="T6" s="3838"/>
      <c r="U6" s="3838"/>
      <c r="V6" s="3838"/>
    </row>
    <row r="7" spans="1:22">
      <c r="A7" s="3840" t="s">
        <v>544</v>
      </c>
      <c r="B7" s="3841" t="s">
        <v>918</v>
      </c>
      <c r="C7" s="3842">
        <v>1832.95</v>
      </c>
      <c r="D7" s="3842">
        <v>1994.9</v>
      </c>
      <c r="E7" s="3842">
        <f>D7</f>
        <v>1994.9</v>
      </c>
      <c r="F7" s="3842">
        <v>1985.51</v>
      </c>
      <c r="G7" s="3843">
        <f>F7</f>
        <v>1985.51</v>
      </c>
      <c r="H7" s="3833">
        <f>D7-E7</f>
        <v>0</v>
      </c>
    </row>
    <row r="8" spans="1:22">
      <c r="A8" s="3840" t="s">
        <v>1864</v>
      </c>
      <c r="B8" s="3841" t="s">
        <v>918</v>
      </c>
      <c r="C8" s="3842">
        <v>0</v>
      </c>
      <c r="D8" s="3842">
        <v>0</v>
      </c>
      <c r="E8" s="3842">
        <f t="shared" ref="E8:E11" si="0">D8</f>
        <v>0</v>
      </c>
      <c r="F8" s="3842">
        <v>0</v>
      </c>
      <c r="G8" s="3843">
        <v>0</v>
      </c>
      <c r="H8" s="3833">
        <f t="shared" ref="H8:H12" si="1">D8-E8</f>
        <v>0</v>
      </c>
    </row>
    <row r="9" spans="1:22">
      <c r="A9" s="3840" t="s">
        <v>1699</v>
      </c>
      <c r="B9" s="3841" t="s">
        <v>918</v>
      </c>
      <c r="C9" s="3842">
        <f>[23]вода!BF44</f>
        <v>1186.1707105587886</v>
      </c>
      <c r="D9" s="3842">
        <v>2003.2</v>
      </c>
      <c r="E9" s="3842">
        <f>[23]вод.налог!D53</f>
        <v>1205.1155031133251</v>
      </c>
      <c r="F9" s="3842">
        <v>1535.84</v>
      </c>
      <c r="G9" s="3843">
        <f>[23]вод.налог!P39</f>
        <v>1426.7512821041175</v>
      </c>
      <c r="H9" s="3833">
        <f t="shared" si="1"/>
        <v>798.08449688667497</v>
      </c>
    </row>
    <row r="10" spans="1:22">
      <c r="A10" s="3840" t="s">
        <v>1865</v>
      </c>
      <c r="B10" s="3841" t="s">
        <v>918</v>
      </c>
      <c r="C10" s="3842">
        <v>0</v>
      </c>
      <c r="D10" s="3842">
        <v>0</v>
      </c>
      <c r="E10" s="3842">
        <f t="shared" si="0"/>
        <v>0</v>
      </c>
      <c r="F10" s="3842">
        <v>0</v>
      </c>
      <c r="G10" s="3843">
        <v>0</v>
      </c>
      <c r="H10" s="3833">
        <f t="shared" si="1"/>
        <v>0</v>
      </c>
    </row>
    <row r="11" spans="1:22">
      <c r="A11" s="3840" t="s">
        <v>542</v>
      </c>
      <c r="B11" s="3841" t="s">
        <v>918</v>
      </c>
      <c r="C11" s="3842">
        <f>[23]вода!BF45</f>
        <v>117.63502835085798</v>
      </c>
      <c r="D11" s="3842">
        <v>91.1</v>
      </c>
      <c r="E11" s="3842">
        <f t="shared" si="0"/>
        <v>91.1</v>
      </c>
      <c r="F11" s="3842">
        <v>90.67</v>
      </c>
      <c r="G11" s="3843">
        <v>90.67</v>
      </c>
      <c r="H11" s="3833">
        <f t="shared" si="1"/>
        <v>0</v>
      </c>
    </row>
    <row r="12" spans="1:22">
      <c r="A12" s="3840" t="s">
        <v>631</v>
      </c>
      <c r="B12" s="3841"/>
      <c r="C12" s="4432">
        <f>SUM(C7:C11)</f>
        <v>3136.7557389096469</v>
      </c>
      <c r="D12" s="4432">
        <f t="shared" ref="D12:E12" si="2">SUM(D7:D11)</f>
        <v>4089.2000000000003</v>
      </c>
      <c r="E12" s="4432">
        <f t="shared" si="2"/>
        <v>3291.1155031133253</v>
      </c>
      <c r="F12" s="4432">
        <f>SUM(F7:F11)</f>
        <v>3612.02</v>
      </c>
      <c r="G12" s="4432">
        <f>SUM(G7:G11)</f>
        <v>3502.9312821041176</v>
      </c>
      <c r="H12" s="3833">
        <f t="shared" si="1"/>
        <v>798.08449688667497</v>
      </c>
    </row>
    <row r="14" spans="1:22">
      <c r="A14" s="6326" t="s">
        <v>1860</v>
      </c>
      <c r="B14" s="6327" t="s">
        <v>1861</v>
      </c>
      <c r="C14" s="6328" t="s">
        <v>25</v>
      </c>
      <c r="D14" s="6329"/>
      <c r="E14" s="6329"/>
      <c r="F14" s="6329"/>
      <c r="G14" s="6330"/>
    </row>
    <row r="15" spans="1:22" ht="31.5">
      <c r="A15" s="6326"/>
      <c r="B15" s="6327"/>
      <c r="C15" s="3836" t="s">
        <v>1862</v>
      </c>
      <c r="D15" s="3836" t="s">
        <v>1903</v>
      </c>
      <c r="E15" s="3836" t="s">
        <v>1904</v>
      </c>
      <c r="F15" s="3837" t="s">
        <v>126</v>
      </c>
      <c r="G15" s="3837" t="s">
        <v>1863</v>
      </c>
    </row>
    <row r="16" spans="1:22">
      <c r="A16" s="3840" t="s">
        <v>544</v>
      </c>
      <c r="B16" s="3841" t="s">
        <v>918</v>
      </c>
      <c r="C16" s="3842">
        <v>9.84</v>
      </c>
      <c r="D16" s="3842">
        <v>1.34</v>
      </c>
      <c r="E16" s="3842">
        <v>1.34</v>
      </c>
      <c r="F16" s="3842">
        <v>10.73</v>
      </c>
      <c r="G16" s="3843">
        <v>10.73</v>
      </c>
    </row>
    <row r="17" spans="1:7">
      <c r="A17" s="3840" t="s">
        <v>1864</v>
      </c>
      <c r="B17" s="3841" t="s">
        <v>918</v>
      </c>
      <c r="C17" s="3842">
        <v>0</v>
      </c>
      <c r="D17" s="3842">
        <v>0</v>
      </c>
      <c r="E17" s="3842">
        <v>0</v>
      </c>
      <c r="F17" s="3842">
        <v>0</v>
      </c>
      <c r="G17" s="3843">
        <v>0</v>
      </c>
    </row>
    <row r="18" spans="1:7">
      <c r="A18" s="3840" t="s">
        <v>1699</v>
      </c>
      <c r="B18" s="3841" t="s">
        <v>918</v>
      </c>
      <c r="C18" s="3842">
        <v>7.3</v>
      </c>
      <c r="D18" s="3842">
        <v>1.35</v>
      </c>
      <c r="E18" s="3842">
        <f>[23]вод.налог!D52</f>
        <v>0.81840000000000002</v>
      </c>
      <c r="F18" s="3842">
        <v>8.3000000000000007</v>
      </c>
      <c r="G18" s="3843">
        <f>[23]вод.налог!P38</f>
        <v>9.6711300000000016</v>
      </c>
    </row>
    <row r="19" spans="1:7">
      <c r="A19" s="3840" t="s">
        <v>1865</v>
      </c>
      <c r="B19" s="3841" t="s">
        <v>918</v>
      </c>
      <c r="C19" s="3842">
        <v>0</v>
      </c>
      <c r="D19" s="3842">
        <v>0</v>
      </c>
      <c r="E19" s="3842">
        <v>0</v>
      </c>
      <c r="F19" s="3842">
        <v>0</v>
      </c>
      <c r="G19" s="3843">
        <v>0</v>
      </c>
    </row>
    <row r="20" spans="1:7">
      <c r="A20" s="3840" t="s">
        <v>542</v>
      </c>
      <c r="B20" s="3841" t="s">
        <v>918</v>
      </c>
      <c r="C20" s="3842">
        <v>0.48</v>
      </c>
      <c r="D20" s="3842">
        <v>0.06</v>
      </c>
      <c r="E20" s="3842">
        <v>0.06</v>
      </c>
      <c r="F20" s="3842">
        <v>0.49</v>
      </c>
      <c r="G20" s="3843">
        <v>0.49</v>
      </c>
    </row>
    <row r="21" spans="1:7">
      <c r="A21" s="3840" t="s">
        <v>631</v>
      </c>
      <c r="B21" s="3841"/>
      <c r="C21" s="4432">
        <f>SUM(C16:C20)</f>
        <v>17.62</v>
      </c>
      <c r="D21" s="4432">
        <f t="shared" ref="D21:E21" si="3">SUM(D16:D20)</f>
        <v>2.7500000000000004</v>
      </c>
      <c r="E21" s="4432">
        <f t="shared" si="3"/>
        <v>2.2184000000000004</v>
      </c>
      <c r="F21" s="4432">
        <f>SUM(F16:F20)</f>
        <v>19.52</v>
      </c>
      <c r="G21" s="4432">
        <f>SUM(G16:G20)</f>
        <v>20.89113</v>
      </c>
    </row>
    <row r="23" spans="1:7">
      <c r="A23" s="6326" t="s">
        <v>1860</v>
      </c>
      <c r="B23" s="6327" t="s">
        <v>1861</v>
      </c>
      <c r="C23" s="6328" t="s">
        <v>47</v>
      </c>
      <c r="D23" s="6329"/>
      <c r="E23" s="6329"/>
      <c r="F23" s="6329"/>
      <c r="G23" s="6330"/>
    </row>
    <row r="24" spans="1:7" ht="31.5">
      <c r="A24" s="6326"/>
      <c r="B24" s="6327"/>
      <c r="C24" s="3836" t="s">
        <v>1862</v>
      </c>
      <c r="D24" s="3836" t="s">
        <v>1903</v>
      </c>
      <c r="E24" s="3836" t="s">
        <v>1904</v>
      </c>
      <c r="F24" s="3837" t="s">
        <v>126</v>
      </c>
      <c r="G24" s="3837" t="s">
        <v>1863</v>
      </c>
    </row>
    <row r="25" spans="1:7">
      <c r="A25" s="3840" t="s">
        <v>544</v>
      </c>
      <c r="B25" s="3841" t="s">
        <v>918</v>
      </c>
      <c r="C25" s="3842">
        <v>1433.46</v>
      </c>
      <c r="D25" s="3842">
        <v>1321.85</v>
      </c>
      <c r="E25" s="3842">
        <f>D25</f>
        <v>1321.85</v>
      </c>
      <c r="F25" s="3842">
        <v>1321.42</v>
      </c>
      <c r="G25" s="3843">
        <v>1321.42</v>
      </c>
    </row>
    <row r="26" spans="1:7">
      <c r="A26" s="3840" t="s">
        <v>1864</v>
      </c>
      <c r="B26" s="3841" t="s">
        <v>918</v>
      </c>
      <c r="C26" s="3842">
        <v>220.1</v>
      </c>
      <c r="D26" s="3842">
        <v>2252.29</v>
      </c>
      <c r="E26" s="3842">
        <f>[23]НВОС!C14</f>
        <v>98.513376816778745</v>
      </c>
      <c r="F26" s="3842">
        <v>348.31</v>
      </c>
      <c r="G26" s="3843">
        <f>[23]НВОС!N39/1000</f>
        <v>151.65444009198529</v>
      </c>
    </row>
    <row r="27" spans="1:7">
      <c r="A27" s="3840" t="s">
        <v>1699</v>
      </c>
      <c r="B27" s="3841" t="s">
        <v>918</v>
      </c>
      <c r="C27" s="3842">
        <v>0</v>
      </c>
      <c r="D27" s="3842">
        <v>0</v>
      </c>
      <c r="E27" s="3842">
        <v>0</v>
      </c>
      <c r="F27" s="3842">
        <v>0</v>
      </c>
      <c r="G27" s="3843"/>
    </row>
    <row r="28" spans="1:7">
      <c r="A28" s="3840" t="s">
        <v>1865</v>
      </c>
      <c r="B28" s="3841" t="s">
        <v>918</v>
      </c>
      <c r="C28" s="3842">
        <v>0</v>
      </c>
      <c r="D28" s="3842">
        <v>0</v>
      </c>
      <c r="E28" s="3842">
        <v>0</v>
      </c>
      <c r="F28" s="3842">
        <v>0</v>
      </c>
      <c r="G28" s="3843"/>
    </row>
    <row r="29" spans="1:7">
      <c r="A29" s="3840" t="s">
        <v>542</v>
      </c>
      <c r="B29" s="3841" t="s">
        <v>918</v>
      </c>
      <c r="C29" s="3842">
        <v>23.21</v>
      </c>
      <c r="D29" s="3842">
        <v>29.49</v>
      </c>
      <c r="E29" s="3842">
        <f>D29</f>
        <v>29.49</v>
      </c>
      <c r="F29" s="3842">
        <v>29.69</v>
      </c>
      <c r="G29" s="3843">
        <v>29.69</v>
      </c>
    </row>
    <row r="30" spans="1:7">
      <c r="A30" s="3840" t="s">
        <v>631</v>
      </c>
      <c r="B30" s="3841"/>
      <c r="C30" s="4432">
        <f>SUM(C25:C29)</f>
        <v>1676.77</v>
      </c>
      <c r="D30" s="4432">
        <f t="shared" ref="D30:E30" si="4">SUM(D25:D29)</f>
        <v>3603.6299999999997</v>
      </c>
      <c r="E30" s="4432">
        <f t="shared" si="4"/>
        <v>1449.8533768167786</v>
      </c>
      <c r="F30" s="4432">
        <f>SUM(F25:F29)</f>
        <v>1699.42</v>
      </c>
      <c r="G30" s="4432">
        <f>SUM(G25:G29)</f>
        <v>1502.7644400919853</v>
      </c>
    </row>
    <row r="32" spans="1:7">
      <c r="A32" s="6326" t="s">
        <v>1860</v>
      </c>
      <c r="B32" s="6327" t="s">
        <v>1861</v>
      </c>
      <c r="C32" s="6328" t="s">
        <v>1866</v>
      </c>
      <c r="D32" s="6329"/>
      <c r="E32" s="6329"/>
      <c r="F32" s="6329"/>
      <c r="G32" s="6330"/>
    </row>
    <row r="33" spans="1:7" ht="31.5">
      <c r="A33" s="6326"/>
      <c r="B33" s="6327"/>
      <c r="C33" s="3836" t="s">
        <v>1862</v>
      </c>
      <c r="D33" s="3836" t="s">
        <v>1903</v>
      </c>
      <c r="E33" s="3836" t="s">
        <v>1904</v>
      </c>
      <c r="F33" s="3837" t="s">
        <v>126</v>
      </c>
      <c r="G33" s="3837" t="s">
        <v>1863</v>
      </c>
    </row>
    <row r="34" spans="1:7">
      <c r="A34" s="3840" t="s">
        <v>544</v>
      </c>
      <c r="B34" s="3841" t="s">
        <v>918</v>
      </c>
      <c r="C34" s="3842"/>
      <c r="D34" s="3842">
        <v>8.98</v>
      </c>
      <c r="E34" s="3842">
        <f>8.98</f>
        <v>8.98</v>
      </c>
      <c r="F34" s="3842">
        <v>9.41</v>
      </c>
      <c r="G34" s="3843">
        <v>9.41</v>
      </c>
    </row>
    <row r="35" spans="1:7">
      <c r="A35" s="3840" t="s">
        <v>1864</v>
      </c>
      <c r="B35" s="3841" t="s">
        <v>918</v>
      </c>
      <c r="C35" s="3842"/>
      <c r="D35" s="3842">
        <v>0</v>
      </c>
      <c r="E35" s="3842">
        <f>[23]НВОС!C15</f>
        <v>0.66899318322124657</v>
      </c>
      <c r="F35" s="3842">
        <v>0</v>
      </c>
      <c r="G35" s="3843">
        <f>[23]НВОС!N40/1000</f>
        <v>1.079892297868617</v>
      </c>
    </row>
    <row r="36" spans="1:7">
      <c r="A36" s="3840" t="s">
        <v>1699</v>
      </c>
      <c r="B36" s="3841" t="s">
        <v>918</v>
      </c>
      <c r="C36" s="3842"/>
      <c r="D36" s="3842">
        <v>0</v>
      </c>
      <c r="E36" s="3842">
        <v>0</v>
      </c>
      <c r="F36" s="3842">
        <v>0</v>
      </c>
      <c r="G36" s="3843">
        <v>0</v>
      </c>
    </row>
    <row r="37" spans="1:7">
      <c r="A37" s="3840" t="s">
        <v>1865</v>
      </c>
      <c r="B37" s="3841" t="s">
        <v>918</v>
      </c>
      <c r="C37" s="3842"/>
      <c r="D37" s="3842">
        <v>0</v>
      </c>
      <c r="E37" s="3842">
        <v>0</v>
      </c>
      <c r="F37" s="3842">
        <v>0</v>
      </c>
      <c r="G37" s="3843">
        <v>0</v>
      </c>
    </row>
    <row r="38" spans="1:7">
      <c r="A38" s="3840" t="s">
        <v>542</v>
      </c>
      <c r="B38" s="3841" t="s">
        <v>918</v>
      </c>
      <c r="C38" s="3842"/>
      <c r="D38" s="3842">
        <v>0.2</v>
      </c>
      <c r="E38" s="3842">
        <v>0.2</v>
      </c>
      <c r="F38" s="3842">
        <v>0.21</v>
      </c>
      <c r="G38" s="3843">
        <v>0.21</v>
      </c>
    </row>
    <row r="39" spans="1:7">
      <c r="A39" s="3840" t="s">
        <v>631</v>
      </c>
      <c r="B39" s="3841"/>
      <c r="C39" s="4432">
        <v>8.01</v>
      </c>
      <c r="D39" s="4432">
        <f>D34+D35+D36+D37+D38</f>
        <v>9.18</v>
      </c>
      <c r="E39" s="4432">
        <f t="shared" ref="E39:G39" si="5">E34+E35+E36+E37+E38</f>
        <v>9.8489931832212463</v>
      </c>
      <c r="F39" s="4432">
        <f t="shared" si="5"/>
        <v>9.620000000000001</v>
      </c>
      <c r="G39" s="4432">
        <f t="shared" si="5"/>
        <v>10.699892297868619</v>
      </c>
    </row>
  </sheetData>
  <mergeCells count="14">
    <mergeCell ref="A14:A15"/>
    <mergeCell ref="B14:B15"/>
    <mergeCell ref="C14:G14"/>
    <mergeCell ref="F1:G1"/>
    <mergeCell ref="A3:G3"/>
    <mergeCell ref="A5:A6"/>
    <mergeCell ref="B5:B6"/>
    <mergeCell ref="C5:G5"/>
    <mergeCell ref="A23:A24"/>
    <mergeCell ref="B23:B24"/>
    <mergeCell ref="C23:G23"/>
    <mergeCell ref="A32:A33"/>
    <mergeCell ref="B32:B33"/>
    <mergeCell ref="C32:G32"/>
  </mergeCells>
  <pageMargins left="0.70866141732283472" right="0.70866141732283472" top="0.74803149606299213" bottom="0.74803149606299213" header="0.31496062992125984" footer="0.31496062992125984"/>
  <pageSetup paperSize="9" scale="74"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G49"/>
  <sheetViews>
    <sheetView topLeftCell="A26" workbookViewId="0">
      <selection activeCell="F42" sqref="F42:F45"/>
    </sheetView>
  </sheetViews>
  <sheetFormatPr defaultRowHeight="12.75"/>
  <cols>
    <col min="1" max="1" width="37.7109375" style="5" customWidth="1"/>
    <col min="2" max="2" width="15" style="5" customWidth="1"/>
    <col min="3" max="3" width="18.42578125" style="5" customWidth="1"/>
    <col min="4" max="4" width="15.85546875" style="5" customWidth="1"/>
    <col min="5" max="5" width="23" style="5" customWidth="1"/>
    <col min="6" max="6" width="25" style="5" customWidth="1"/>
    <col min="7" max="7" width="20.5703125" style="5" customWidth="1"/>
    <col min="8" max="16384" width="9.140625" style="5"/>
  </cols>
  <sheetData>
    <row r="1" spans="1:7">
      <c r="F1" s="5" t="s">
        <v>1916</v>
      </c>
    </row>
    <row r="2" spans="1:7" ht="18.75">
      <c r="A2" s="5154" t="s">
        <v>1509</v>
      </c>
      <c r="B2" s="5154"/>
      <c r="C2" s="5154"/>
      <c r="D2" s="5154"/>
      <c r="E2" s="5154"/>
      <c r="F2" s="5154"/>
    </row>
    <row r="3" spans="1:7" ht="18.75">
      <c r="A3" s="4430"/>
      <c r="B3" s="4430"/>
      <c r="C3" s="4430"/>
      <c r="D3" s="4430"/>
      <c r="E3" s="4430"/>
    </row>
    <row r="4" spans="1:7" ht="27.75" customHeight="1">
      <c r="A4" s="6349"/>
      <c r="B4" s="6351" t="s">
        <v>1510</v>
      </c>
      <c r="C4" s="6352"/>
      <c r="D4" s="6353"/>
      <c r="E4" s="6354" t="s">
        <v>1512</v>
      </c>
      <c r="F4" s="6355" t="s">
        <v>1514</v>
      </c>
      <c r="G4" s="6348"/>
    </row>
    <row r="5" spans="1:7" ht="33.75" customHeight="1">
      <c r="A5" s="6350"/>
      <c r="B5" s="3915" t="s">
        <v>992</v>
      </c>
      <c r="C5" s="3915" t="s">
        <v>993</v>
      </c>
      <c r="D5" s="3915" t="s">
        <v>54</v>
      </c>
      <c r="E5" s="6354"/>
      <c r="F5" s="6356"/>
      <c r="G5" s="6348"/>
    </row>
    <row r="6" spans="1:7" ht="18.75">
      <c r="A6" s="6345" t="s">
        <v>984</v>
      </c>
      <c r="B6" s="6346"/>
      <c r="C6" s="6346"/>
      <c r="D6" s="6346"/>
      <c r="E6" s="6346"/>
      <c r="F6" s="6346"/>
      <c r="G6" s="6347"/>
    </row>
    <row r="7" spans="1:7">
      <c r="A7" s="3916" t="s">
        <v>989</v>
      </c>
      <c r="B7" s="3917">
        <v>19.14</v>
      </c>
      <c r="C7" s="3917">
        <v>22.66</v>
      </c>
      <c r="D7" s="3917"/>
      <c r="E7" s="3916"/>
      <c r="F7" s="6342">
        <f>$E$48*D10/$D$48</f>
        <v>408.76453757043004</v>
      </c>
      <c r="G7" s="3916"/>
    </row>
    <row r="8" spans="1:7">
      <c r="A8" s="3916" t="s">
        <v>990</v>
      </c>
      <c r="B8" s="3917">
        <f>2780.7/2</f>
        <v>1390.35</v>
      </c>
      <c r="C8" s="3917">
        <f>B8</f>
        <v>1390.35</v>
      </c>
      <c r="D8" s="3917">
        <f>C8+B8</f>
        <v>2780.7</v>
      </c>
      <c r="E8" s="3916"/>
      <c r="F8" s="6343"/>
      <c r="G8" s="3916"/>
    </row>
    <row r="9" spans="1:7">
      <c r="A9" s="3916" t="s">
        <v>991</v>
      </c>
      <c r="B9" s="3917">
        <f>B7*B8</f>
        <v>26611.298999999999</v>
      </c>
      <c r="C9" s="3917">
        <f>C7*C8</f>
        <v>31505.330999999998</v>
      </c>
      <c r="D9" s="3917">
        <f>C9+B9</f>
        <v>58116.63</v>
      </c>
      <c r="E9" s="3916"/>
      <c r="F9" s="6343"/>
      <c r="G9" s="3916"/>
    </row>
    <row r="10" spans="1:7">
      <c r="A10" s="3916" t="s">
        <v>988</v>
      </c>
      <c r="B10" s="3917">
        <f>B9*0.02</f>
        <v>532.22597999999994</v>
      </c>
      <c r="C10" s="3917">
        <f>C9*0.02</f>
        <v>630.10662000000002</v>
      </c>
      <c r="D10" s="3917">
        <f>C10+B10</f>
        <v>1162.3326</v>
      </c>
      <c r="E10" s="3916"/>
      <c r="F10" s="6344"/>
      <c r="G10" s="3916"/>
    </row>
    <row r="11" spans="1:7" ht="18.75">
      <c r="A11" s="6345" t="s">
        <v>985</v>
      </c>
      <c r="B11" s="6346"/>
      <c r="C11" s="6346"/>
      <c r="D11" s="6346"/>
      <c r="E11" s="6346"/>
      <c r="F11" s="6347"/>
      <c r="G11" s="3916"/>
    </row>
    <row r="12" spans="1:7">
      <c r="A12" s="3916" t="s">
        <v>344</v>
      </c>
      <c r="B12" s="3917">
        <v>15.5</v>
      </c>
      <c r="C12" s="3917">
        <v>18.350000000000001</v>
      </c>
      <c r="D12" s="3917"/>
      <c r="E12" s="3916"/>
      <c r="F12" s="6342">
        <f>$E$49*D15/$D$49</f>
        <v>310.74886990256181</v>
      </c>
      <c r="G12" s="3916"/>
    </row>
    <row r="13" spans="1:7">
      <c r="A13" s="3916" t="s">
        <v>982</v>
      </c>
      <c r="B13" s="3917">
        <f>2448.7/2</f>
        <v>1224.3499999999999</v>
      </c>
      <c r="C13" s="3917">
        <f>B13</f>
        <v>1224.3499999999999</v>
      </c>
      <c r="D13" s="3917">
        <f>C13+B13</f>
        <v>2448.6999999999998</v>
      </c>
      <c r="E13" s="3916"/>
      <c r="F13" s="6343"/>
      <c r="G13" s="3916"/>
    </row>
    <row r="14" spans="1:7">
      <c r="A14" s="3916" t="s">
        <v>983</v>
      </c>
      <c r="B14" s="3917">
        <f>B12*B13</f>
        <v>18977.424999999999</v>
      </c>
      <c r="C14" s="3917">
        <f>C12*C13</f>
        <v>22466.822499999998</v>
      </c>
      <c r="D14" s="3917">
        <f>C14+B14</f>
        <v>41444.247499999998</v>
      </c>
      <c r="E14" s="3916"/>
      <c r="F14" s="6343"/>
      <c r="G14" s="3916"/>
    </row>
    <row r="15" spans="1:7">
      <c r="A15" s="3916" t="s">
        <v>988</v>
      </c>
      <c r="B15" s="3917">
        <f>B14*0.02</f>
        <v>379.54849999999999</v>
      </c>
      <c r="C15" s="3917">
        <f>C14*0.02</f>
        <v>449.33644999999996</v>
      </c>
      <c r="D15" s="3917">
        <f>C15+B15</f>
        <v>828.88494999999989</v>
      </c>
      <c r="E15" s="3916"/>
      <c r="F15" s="6344"/>
      <c r="G15" s="3916"/>
    </row>
    <row r="16" spans="1:7" ht="18.75">
      <c r="A16" s="6335" t="s">
        <v>1917</v>
      </c>
      <c r="B16" s="6336"/>
      <c r="C16" s="6336"/>
      <c r="D16" s="6336"/>
      <c r="E16" s="6336"/>
      <c r="F16" s="6336"/>
      <c r="G16" s="6337"/>
    </row>
    <row r="17" spans="1:7">
      <c r="A17" s="3918" t="s">
        <v>994</v>
      </c>
      <c r="B17" s="3919">
        <v>22.66</v>
      </c>
      <c r="C17" s="3919">
        <v>25.95</v>
      </c>
      <c r="D17" s="3919"/>
      <c r="E17" s="3918"/>
      <c r="F17" s="6338">
        <f>$E$48*D20/$D$48</f>
        <v>406.49452001229344</v>
      </c>
      <c r="G17" s="3916"/>
    </row>
    <row r="18" spans="1:7">
      <c r="A18" s="3918" t="s">
        <v>995</v>
      </c>
      <c r="B18" s="3919">
        <f>D18/2</f>
        <v>1188.93</v>
      </c>
      <c r="C18" s="3919">
        <f>B18</f>
        <v>1188.93</v>
      </c>
      <c r="D18" s="3919">
        <f>[23]объемы!R48</f>
        <v>2377.86</v>
      </c>
      <c r="E18" s="3918"/>
      <c r="F18" s="6339"/>
      <c r="G18" s="3916"/>
    </row>
    <row r="19" spans="1:7">
      <c r="A19" s="3918" t="s">
        <v>996</v>
      </c>
      <c r="B19" s="3919">
        <f>B17*B18</f>
        <v>26941.1538</v>
      </c>
      <c r="C19" s="3919">
        <f>C17*C18</f>
        <v>30852.733500000002</v>
      </c>
      <c r="D19" s="3919">
        <f>C19+B19</f>
        <v>57793.887300000002</v>
      </c>
      <c r="E19" s="3918"/>
      <c r="F19" s="6339"/>
      <c r="G19" s="3916"/>
    </row>
    <row r="20" spans="1:7">
      <c r="A20" s="3918" t="s">
        <v>988</v>
      </c>
      <c r="B20" s="3919">
        <f>B19*0.02</f>
        <v>538.82307600000001</v>
      </c>
      <c r="C20" s="3919">
        <f>C19*0.02</f>
        <v>617.0546700000001</v>
      </c>
      <c r="D20" s="3919">
        <f>C20+B20</f>
        <v>1155.8777460000001</v>
      </c>
      <c r="E20" s="3918"/>
      <c r="F20" s="6340"/>
      <c r="G20" s="3916"/>
    </row>
    <row r="21" spans="1:7" ht="18.75">
      <c r="A21" s="6335" t="s">
        <v>987</v>
      </c>
      <c r="B21" s="6336"/>
      <c r="C21" s="6336"/>
      <c r="D21" s="6336"/>
      <c r="E21" s="6336"/>
      <c r="F21" s="6337"/>
      <c r="G21" s="3916"/>
    </row>
    <row r="22" spans="1:7">
      <c r="A22" s="3918" t="s">
        <v>994</v>
      </c>
      <c r="B22" s="3919">
        <v>18.350000000000001</v>
      </c>
      <c r="C22" s="3919">
        <v>21.01</v>
      </c>
      <c r="D22" s="3919"/>
      <c r="E22" s="3918"/>
      <c r="F22" s="6338">
        <f>$E$49*D25/$D$49</f>
        <v>337.84293010864991</v>
      </c>
      <c r="G22" s="3916"/>
    </row>
    <row r="23" spans="1:7">
      <c r="A23" s="3918" t="s">
        <v>995</v>
      </c>
      <c r="B23" s="3919">
        <f>D23/2</f>
        <v>1144.76</v>
      </c>
      <c r="C23" s="3919">
        <f>B23</f>
        <v>1144.76</v>
      </c>
      <c r="D23" s="3919">
        <f>[23]объемы!R58</f>
        <v>2289.52</v>
      </c>
      <c r="E23" s="3918"/>
      <c r="F23" s="6339"/>
      <c r="G23" s="3916"/>
    </row>
    <row r="24" spans="1:7">
      <c r="A24" s="3918" t="s">
        <v>996</v>
      </c>
      <c r="B24" s="3919">
        <f>B22*B23</f>
        <v>21006.346000000001</v>
      </c>
      <c r="C24" s="3919">
        <f>C22*C23</f>
        <v>24051.407600000002</v>
      </c>
      <c r="D24" s="3919">
        <f>C24+B24</f>
        <v>45057.753600000004</v>
      </c>
      <c r="E24" s="3918"/>
      <c r="F24" s="6339"/>
      <c r="G24" s="3916"/>
    </row>
    <row r="25" spans="1:7">
      <c r="A25" s="3918" t="s">
        <v>988</v>
      </c>
      <c r="B25" s="3919">
        <f>B24*0.02</f>
        <v>420.12692000000004</v>
      </c>
      <c r="C25" s="3919">
        <f>C24*0.02</f>
        <v>481.02815200000003</v>
      </c>
      <c r="D25" s="3919">
        <f>C25+B25</f>
        <v>901.15507200000002</v>
      </c>
      <c r="E25" s="3918"/>
      <c r="F25" s="6340"/>
      <c r="G25" s="3916"/>
    </row>
    <row r="26" spans="1:7" ht="18.75">
      <c r="A26" s="6345" t="s">
        <v>997</v>
      </c>
      <c r="B26" s="6346"/>
      <c r="C26" s="6346"/>
      <c r="D26" s="6346"/>
      <c r="E26" s="6346"/>
      <c r="F26" s="6346"/>
      <c r="G26" s="6347"/>
    </row>
    <row r="27" spans="1:7">
      <c r="A27" s="3916" t="s">
        <v>999</v>
      </c>
      <c r="B27" s="3917">
        <f>C17</f>
        <v>25.95</v>
      </c>
      <c r="C27" s="3917">
        <v>28.6</v>
      </c>
      <c r="D27" s="3917"/>
      <c r="E27" s="3916"/>
      <c r="F27" s="6342">
        <f>$E$48*D30/$D$48</f>
        <v>465.89321466591826</v>
      </c>
      <c r="G27" s="3916"/>
    </row>
    <row r="28" spans="1:7">
      <c r="A28" s="3916" t="s">
        <v>995</v>
      </c>
      <c r="B28" s="3917">
        <f>[23]объемы!AA48/2</f>
        <v>1214.28</v>
      </c>
      <c r="C28" s="3917">
        <f>B28</f>
        <v>1214.28</v>
      </c>
      <c r="D28" s="3917">
        <f>C28+B28</f>
        <v>2428.56</v>
      </c>
      <c r="E28" s="3916"/>
      <c r="F28" s="6343"/>
      <c r="G28" s="3916"/>
    </row>
    <row r="29" spans="1:7">
      <c r="A29" s="3916" t="s">
        <v>996</v>
      </c>
      <c r="B29" s="3917">
        <f>B27*B28</f>
        <v>31510.565999999999</v>
      </c>
      <c r="C29" s="3917">
        <f>C27*C28</f>
        <v>34728.408000000003</v>
      </c>
      <c r="D29" s="3917">
        <f>C29+B29</f>
        <v>66238.974000000002</v>
      </c>
      <c r="E29" s="3916"/>
      <c r="F29" s="6343"/>
      <c r="G29" s="3916"/>
    </row>
    <row r="30" spans="1:7">
      <c r="A30" s="3916" t="s">
        <v>988</v>
      </c>
      <c r="B30" s="3917">
        <f>B29*0.02</f>
        <v>630.21132</v>
      </c>
      <c r="C30" s="3917">
        <f>C29*0.02</f>
        <v>694.56816000000003</v>
      </c>
      <c r="D30" s="3917">
        <f>C30+B30</f>
        <v>1324.7794800000001</v>
      </c>
      <c r="E30" s="3916"/>
      <c r="F30" s="6344"/>
      <c r="G30" s="3916"/>
    </row>
    <row r="31" spans="1:7" ht="18.75">
      <c r="A31" s="6345" t="s">
        <v>998</v>
      </c>
      <c r="B31" s="6346"/>
      <c r="C31" s="6346"/>
      <c r="D31" s="6346"/>
      <c r="E31" s="6346"/>
      <c r="F31" s="6347"/>
      <c r="G31" s="3916"/>
    </row>
    <row r="32" spans="1:7">
      <c r="A32" s="3916" t="s">
        <v>999</v>
      </c>
      <c r="B32" s="3917">
        <f>C22</f>
        <v>21.01</v>
      </c>
      <c r="C32" s="3917">
        <v>23.2</v>
      </c>
      <c r="D32" s="3917"/>
      <c r="E32" s="3916"/>
      <c r="F32" s="6342">
        <f>$E$49*D35/$D$49</f>
        <v>405.73944615575715</v>
      </c>
      <c r="G32" s="3916"/>
    </row>
    <row r="33" spans="1:7">
      <c r="A33" s="3916" t="s">
        <v>995</v>
      </c>
      <c r="B33" s="3917">
        <f>[23]объемы!AA58/2</f>
        <v>1224</v>
      </c>
      <c r="C33" s="3917">
        <f>B33</f>
        <v>1224</v>
      </c>
      <c r="D33" s="3917">
        <f>C33+B33</f>
        <v>2448</v>
      </c>
      <c r="E33" s="3916"/>
      <c r="F33" s="6343"/>
      <c r="G33" s="3916"/>
    </row>
    <row r="34" spans="1:7">
      <c r="A34" s="3916" t="s">
        <v>996</v>
      </c>
      <c r="B34" s="3917">
        <f>B32*B33</f>
        <v>25716.240000000002</v>
      </c>
      <c r="C34" s="3917">
        <f>C32*C33</f>
        <v>28396.799999999999</v>
      </c>
      <c r="D34" s="3917">
        <f>C34+B34</f>
        <v>54113.04</v>
      </c>
      <c r="E34" s="3916"/>
      <c r="F34" s="6343"/>
      <c r="G34" s="3916"/>
    </row>
    <row r="35" spans="1:7">
      <c r="A35" s="3916" t="s">
        <v>988</v>
      </c>
      <c r="B35" s="3917">
        <f>B34*0.02</f>
        <v>514.3248000000001</v>
      </c>
      <c r="C35" s="3917">
        <f>C34*0.02</f>
        <v>567.93600000000004</v>
      </c>
      <c r="D35" s="3917">
        <f>C35+B35</f>
        <v>1082.2608</v>
      </c>
      <c r="E35" s="3916"/>
      <c r="F35" s="6344"/>
      <c r="G35" s="3916"/>
    </row>
    <row r="36" spans="1:7" ht="18.75">
      <c r="A36" s="6335" t="s">
        <v>1918</v>
      </c>
      <c r="B36" s="6336"/>
      <c r="C36" s="6336"/>
      <c r="D36" s="6336"/>
      <c r="E36" s="6336"/>
      <c r="F36" s="6337"/>
      <c r="G36" s="3916"/>
    </row>
    <row r="37" spans="1:7">
      <c r="A37" s="3918" t="s">
        <v>999</v>
      </c>
      <c r="B37" s="3919">
        <f>'[23]вода 2018 коррект'!F45</f>
        <v>25.95</v>
      </c>
      <c r="C37" s="3919">
        <f>'[23]вода 2018 коррект'!F46</f>
        <v>27.796610169491526</v>
      </c>
      <c r="D37" s="3919"/>
      <c r="E37" s="3918"/>
      <c r="F37" s="6338">
        <f>$E$48*D40/$D$48</f>
        <v>436.83960362466541</v>
      </c>
      <c r="G37" s="3916"/>
    </row>
    <row r="38" spans="1:7">
      <c r="A38" s="3918" t="s">
        <v>1919</v>
      </c>
      <c r="B38" s="3919">
        <f>D38/2</f>
        <v>1155.575</v>
      </c>
      <c r="C38" s="3919">
        <f>B38</f>
        <v>1155.575</v>
      </c>
      <c r="D38" s="3919">
        <f>[23]объемы!Y48</f>
        <v>2311.15</v>
      </c>
      <c r="E38" s="3918"/>
      <c r="F38" s="6339"/>
      <c r="G38" s="3917">
        <f>F37</f>
        <v>436.83960362466541</v>
      </c>
    </row>
    <row r="39" spans="1:7">
      <c r="A39" s="3918" t="s">
        <v>1920</v>
      </c>
      <c r="B39" s="3919">
        <f>B37*B38</f>
        <v>29987.171249999999</v>
      </c>
      <c r="C39" s="3919">
        <f>C37*C38</f>
        <v>32121.067796610172</v>
      </c>
      <c r="D39" s="3919">
        <f>C39+B39</f>
        <v>62108.239046610171</v>
      </c>
      <c r="E39" s="3918"/>
      <c r="F39" s="6339"/>
      <c r="G39" s="3916"/>
    </row>
    <row r="40" spans="1:7">
      <c r="A40" s="3918" t="s">
        <v>988</v>
      </c>
      <c r="B40" s="3919">
        <f>B39*0.02</f>
        <v>599.743425</v>
      </c>
      <c r="C40" s="3919">
        <f>C39*0.02</f>
        <v>642.42135593220348</v>
      </c>
      <c r="D40" s="3919">
        <f>C40+B40</f>
        <v>1242.1647809322035</v>
      </c>
      <c r="E40" s="3918"/>
      <c r="F40" s="6340"/>
      <c r="G40" s="3916"/>
    </row>
    <row r="41" spans="1:7" ht="18.75">
      <c r="A41" s="6335" t="s">
        <v>998</v>
      </c>
      <c r="B41" s="6336"/>
      <c r="C41" s="6336"/>
      <c r="D41" s="6336"/>
      <c r="E41" s="6336"/>
      <c r="F41" s="6337"/>
      <c r="G41" s="3916"/>
    </row>
    <row r="42" spans="1:7">
      <c r="A42" s="3918" t="s">
        <v>994</v>
      </c>
      <c r="B42" s="3919">
        <v>21.01</v>
      </c>
      <c r="C42" s="3919">
        <v>22.5</v>
      </c>
      <c r="D42" s="3919"/>
      <c r="E42" s="3918"/>
      <c r="F42" s="6338">
        <f>$E$49*D45/$D$49</f>
        <v>365.36847945936529</v>
      </c>
      <c r="G42" s="3916"/>
    </row>
    <row r="43" spans="1:7">
      <c r="A43" s="3918" t="s">
        <v>1919</v>
      </c>
      <c r="B43" s="3919">
        <f>D43/2</f>
        <v>1119.9449999999999</v>
      </c>
      <c r="C43" s="3919">
        <f>B43</f>
        <v>1119.9449999999999</v>
      </c>
      <c r="D43" s="3919">
        <f>[23]объемы!Y58</f>
        <v>2239.89</v>
      </c>
      <c r="E43" s="3918"/>
      <c r="F43" s="6339"/>
      <c r="G43" s="3917">
        <f>F42</f>
        <v>365.36847945936529</v>
      </c>
    </row>
    <row r="44" spans="1:7">
      <c r="A44" s="3918" t="s">
        <v>996</v>
      </c>
      <c r="B44" s="3919">
        <f>B42*B43</f>
        <v>23530.044450000001</v>
      </c>
      <c r="C44" s="3919">
        <f>C42*C43</f>
        <v>25198.762499999997</v>
      </c>
      <c r="D44" s="3919">
        <f>C44+B44</f>
        <v>48728.806949999998</v>
      </c>
      <c r="E44" s="3918"/>
      <c r="F44" s="6339"/>
      <c r="G44" s="3916"/>
    </row>
    <row r="45" spans="1:7">
      <c r="A45" s="3918" t="s">
        <v>988</v>
      </c>
      <c r="B45" s="3919">
        <f>B44*0.02</f>
        <v>470.60088900000005</v>
      </c>
      <c r="C45" s="3919">
        <f>C44*0.02</f>
        <v>503.97524999999996</v>
      </c>
      <c r="D45" s="3919">
        <f>C45+B45</f>
        <v>974.57613900000001</v>
      </c>
      <c r="E45" s="3918"/>
      <c r="F45" s="6340"/>
      <c r="G45" s="3916"/>
    </row>
    <row r="46" spans="1:7">
      <c r="A46" s="3920" t="s">
        <v>631</v>
      </c>
      <c r="B46" s="3921"/>
      <c r="C46" s="3921"/>
      <c r="D46" s="3922">
        <f>D10+D15+D20+D25+D40+D45</f>
        <v>6264.9912879322028</v>
      </c>
      <c r="E46" s="3922">
        <f>(1993.71255+680.237)/1.18</f>
        <v>2266.0589406779659</v>
      </c>
      <c r="F46" s="3922">
        <f>F7+F12+F17+F22+F27+F32</f>
        <v>2335.4835184156109</v>
      </c>
      <c r="G46" s="3916"/>
    </row>
    <row r="47" spans="1:7">
      <c r="A47" s="3923" t="s">
        <v>239</v>
      </c>
      <c r="B47" s="3916"/>
      <c r="C47" s="3916"/>
      <c r="D47" s="3924"/>
      <c r="E47" s="3924"/>
      <c r="F47" s="3916"/>
      <c r="G47" s="3916"/>
    </row>
    <row r="48" spans="1:7">
      <c r="A48" s="3923" t="s">
        <v>46</v>
      </c>
      <c r="B48" s="3916"/>
      <c r="C48" s="3916"/>
      <c r="D48" s="3925">
        <f>D10+D20+D40</f>
        <v>3560.3751269322033</v>
      </c>
      <c r="E48" s="3925">
        <f>'[23]Резерв ДЗ'!E38</f>
        <v>1252.0986612073889</v>
      </c>
      <c r="F48" s="6341" t="s">
        <v>1513</v>
      </c>
      <c r="G48" s="3916"/>
    </row>
    <row r="49" spans="1:7">
      <c r="A49" s="3923" t="s">
        <v>47</v>
      </c>
      <c r="B49" s="3916"/>
      <c r="C49" s="3916"/>
      <c r="D49" s="3925">
        <f>D15+D25+D45</f>
        <v>2704.6161609999999</v>
      </c>
      <c r="E49" s="3925">
        <f>E46-E48</f>
        <v>1013.960279470577</v>
      </c>
      <c r="F49" s="5728"/>
      <c r="G49" s="3916"/>
    </row>
  </sheetData>
  <mergeCells count="23">
    <mergeCell ref="G4:G5"/>
    <mergeCell ref="A2:F2"/>
    <mergeCell ref="A4:A5"/>
    <mergeCell ref="B4:D4"/>
    <mergeCell ref="E4:E5"/>
    <mergeCell ref="F4:F5"/>
    <mergeCell ref="F32:F35"/>
    <mergeCell ref="A6:G6"/>
    <mergeCell ref="F7:F10"/>
    <mergeCell ref="A11:F11"/>
    <mergeCell ref="F12:F15"/>
    <mergeCell ref="A16:G16"/>
    <mergeCell ref="F17:F20"/>
    <mergeCell ref="A21:F21"/>
    <mergeCell ref="F22:F25"/>
    <mergeCell ref="A26:G26"/>
    <mergeCell ref="F27:F30"/>
    <mergeCell ref="A31:F31"/>
    <mergeCell ref="A36:F36"/>
    <mergeCell ref="F37:F40"/>
    <mergeCell ref="A41:F41"/>
    <mergeCell ref="F42:F45"/>
    <mergeCell ref="F48:F4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9"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J50"/>
  <sheetViews>
    <sheetView topLeftCell="A27" workbookViewId="0">
      <selection activeCell="K14" sqref="K14"/>
    </sheetView>
  </sheetViews>
  <sheetFormatPr defaultRowHeight="12.75"/>
  <cols>
    <col min="1" max="1" width="29.140625" style="5" customWidth="1"/>
    <col min="2" max="3" width="12.28515625" style="5" customWidth="1"/>
    <col min="4" max="4" width="12" style="5" customWidth="1"/>
    <col min="5" max="5" width="11.140625" style="5" customWidth="1"/>
    <col min="6" max="6" width="9.7109375" style="5" customWidth="1"/>
    <col min="7" max="7" width="17.28515625" style="5" customWidth="1"/>
    <col min="8" max="8" width="11" style="5" hidden="1" customWidth="1"/>
    <col min="9" max="9" width="0" style="5" hidden="1" customWidth="1"/>
    <col min="10" max="10" width="15.85546875" style="5" hidden="1" customWidth="1"/>
    <col min="11" max="16384" width="9.140625" style="5"/>
  </cols>
  <sheetData>
    <row r="1" spans="1:10">
      <c r="F1" s="5" t="s">
        <v>1540</v>
      </c>
    </row>
    <row r="2" spans="1:10" ht="18.75">
      <c r="A2" s="6363" t="s">
        <v>843</v>
      </c>
      <c r="B2" s="6363"/>
      <c r="C2" s="6363"/>
      <c r="D2" s="6363"/>
      <c r="E2" s="6363"/>
      <c r="F2" s="6363"/>
      <c r="G2" s="6363"/>
      <c r="H2" s="6363"/>
      <c r="I2" s="6363"/>
      <c r="J2" s="6363"/>
    </row>
    <row r="3" spans="1:10">
      <c r="A3" s="6357" t="s">
        <v>297</v>
      </c>
      <c r="B3" s="6357"/>
      <c r="C3" s="6357"/>
      <c r="D3" s="6357"/>
      <c r="E3" s="6357"/>
      <c r="F3" s="6357"/>
      <c r="G3" s="6357"/>
      <c r="H3" s="6357"/>
      <c r="I3" s="6357"/>
      <c r="J3" s="6357"/>
    </row>
    <row r="4" spans="1:10" ht="15.75">
      <c r="A4" s="6364" t="s">
        <v>373</v>
      </c>
      <c r="B4" s="6365" t="s">
        <v>656</v>
      </c>
      <c r="C4" s="6365"/>
      <c r="D4" s="6365"/>
      <c r="E4" s="6365" t="s">
        <v>663</v>
      </c>
      <c r="F4" s="6365"/>
      <c r="G4" s="6365"/>
      <c r="H4" s="6365" t="s">
        <v>1868</v>
      </c>
      <c r="I4" s="6365"/>
      <c r="J4" s="6365"/>
    </row>
    <row r="5" spans="1:10" ht="30" customHeight="1">
      <c r="A5" s="6364"/>
      <c r="B5" s="3871" t="s">
        <v>413</v>
      </c>
      <c r="C5" s="3871" t="s">
        <v>664</v>
      </c>
      <c r="D5" s="3871" t="s">
        <v>415</v>
      </c>
      <c r="E5" s="3871" t="s">
        <v>413</v>
      </c>
      <c r="F5" s="3871" t="s">
        <v>664</v>
      </c>
      <c r="G5" s="3871" t="s">
        <v>415</v>
      </c>
      <c r="H5" s="3871" t="s">
        <v>413</v>
      </c>
      <c r="I5" s="3871" t="s">
        <v>664</v>
      </c>
      <c r="J5" s="3871" t="s">
        <v>415</v>
      </c>
    </row>
    <row r="6" spans="1:10" ht="15" customHeight="1">
      <c r="A6" s="3872" t="s">
        <v>665</v>
      </c>
      <c r="B6" s="3873">
        <f>[26]объемы!L37</f>
        <v>5800.03</v>
      </c>
      <c r="C6" s="3874"/>
      <c r="D6" s="3874"/>
      <c r="E6" s="3875">
        <f>SUM([26]объемы!T37)</f>
        <v>5779.357</v>
      </c>
      <c r="F6" s="3874"/>
      <c r="G6" s="3874"/>
      <c r="H6" s="3876"/>
      <c r="I6" s="3877"/>
      <c r="J6" s="3877"/>
    </row>
    <row r="7" spans="1:10" ht="15" customHeight="1">
      <c r="A7" s="3872" t="s">
        <v>24</v>
      </c>
      <c r="B7" s="3873">
        <f>[26]объемы!L48</f>
        <v>2800</v>
      </c>
      <c r="C7" s="3874">
        <v>70</v>
      </c>
      <c r="D7" s="3875">
        <f>B7*C7/1000</f>
        <v>196</v>
      </c>
      <c r="E7" s="3875">
        <f>SUM([26]объемы!T48)</f>
        <v>2428.56</v>
      </c>
      <c r="F7" s="3874">
        <v>93</v>
      </c>
      <c r="G7" s="3875">
        <f>E7*F7/1000</f>
        <v>225.85607999999999</v>
      </c>
      <c r="H7" s="3876"/>
      <c r="I7" s="3877"/>
      <c r="J7" s="3876"/>
    </row>
    <row r="8" spans="1:10" ht="15" customHeight="1">
      <c r="A8" s="3872" t="s">
        <v>265</v>
      </c>
      <c r="B8" s="3873">
        <f>[26]объемы!L50</f>
        <v>1192</v>
      </c>
      <c r="C8" s="3874">
        <v>306</v>
      </c>
      <c r="D8" s="3875">
        <f>B8*C8/1000</f>
        <v>364.75200000000001</v>
      </c>
      <c r="E8" s="3875">
        <f>SUM([26]объемы!T50+[26]объемы!T49+[26]объемы!T51)</f>
        <v>1582.077</v>
      </c>
      <c r="F8" s="3874">
        <v>341</v>
      </c>
      <c r="G8" s="3875">
        <f>E8*F8/1000</f>
        <v>539.48825699999998</v>
      </c>
      <c r="H8" s="3876"/>
      <c r="I8" s="3877"/>
      <c r="J8" s="3876"/>
    </row>
    <row r="9" spans="1:10" ht="15" customHeight="1">
      <c r="A9" s="3872" t="s">
        <v>409</v>
      </c>
      <c r="B9" s="3873">
        <f>[26]объемы!L40</f>
        <v>754</v>
      </c>
      <c r="C9" s="3874">
        <v>306</v>
      </c>
      <c r="D9" s="3875">
        <f>B9*C9/1000</f>
        <v>230.72399999999999</v>
      </c>
      <c r="E9" s="3875">
        <f>SUM([26]объемы!T40)</f>
        <v>750</v>
      </c>
      <c r="F9" s="3874">
        <v>341</v>
      </c>
      <c r="G9" s="3875">
        <f>E9*F9/1000</f>
        <v>255.75</v>
      </c>
      <c r="H9" s="3876"/>
      <c r="I9" s="3877"/>
      <c r="J9" s="3876"/>
    </row>
    <row r="10" spans="1:10" ht="15" customHeight="1">
      <c r="A10" s="3872" t="s">
        <v>410</v>
      </c>
      <c r="B10" s="3873">
        <f>[26]объемы!L45</f>
        <v>1007.9</v>
      </c>
      <c r="C10" s="3874"/>
      <c r="D10" s="3875"/>
      <c r="E10" s="3875">
        <f>SUM([26]объемы!T45)</f>
        <v>997.3</v>
      </c>
      <c r="F10" s="3874"/>
      <c r="G10" s="3875"/>
      <c r="H10" s="3876"/>
      <c r="I10" s="3877"/>
      <c r="J10" s="3876"/>
    </row>
    <row r="11" spans="1:10" ht="15" customHeight="1">
      <c r="A11" s="3872" t="s">
        <v>411</v>
      </c>
      <c r="B11" s="3878">
        <f>B10*B7/(B7+B8)</f>
        <v>706.94388777555105</v>
      </c>
      <c r="C11" s="3874">
        <f>C7</f>
        <v>70</v>
      </c>
      <c r="D11" s="3875">
        <f>B11*C11/1000</f>
        <v>49.48607214428857</v>
      </c>
      <c r="E11" s="3874">
        <f>E10*E7/(E7+E8)</f>
        <v>603.89481471397187</v>
      </c>
      <c r="F11" s="3874">
        <v>93</v>
      </c>
      <c r="G11" s="3875">
        <f>E11*F11/1000</f>
        <v>56.162217768399387</v>
      </c>
      <c r="H11" s="3877"/>
      <c r="I11" s="3877"/>
      <c r="J11" s="3876"/>
    </row>
    <row r="12" spans="1:10" ht="15" customHeight="1">
      <c r="A12" s="3872" t="s">
        <v>412</v>
      </c>
      <c r="B12" s="3873">
        <f>B10-B11</f>
        <v>300.95611222444893</v>
      </c>
      <c r="C12" s="3874">
        <v>306</v>
      </c>
      <c r="D12" s="3875">
        <f>B12*C12/1000</f>
        <v>92.092570340681377</v>
      </c>
      <c r="E12" s="3875">
        <f>E10-E11</f>
        <v>393.40518528602809</v>
      </c>
      <c r="F12" s="3874">
        <v>341</v>
      </c>
      <c r="G12" s="3875">
        <f>E12*F12/1000</f>
        <v>134.1511681825356</v>
      </c>
      <c r="H12" s="3876"/>
      <c r="I12" s="3877"/>
      <c r="J12" s="3876"/>
    </row>
    <row r="13" spans="1:10" ht="15" customHeight="1">
      <c r="A13" s="3879" t="s">
        <v>866</v>
      </c>
      <c r="B13" s="3880"/>
      <c r="C13" s="3879"/>
      <c r="D13" s="3881">
        <f>SUM(D7:D12)</f>
        <v>933.0546424849698</v>
      </c>
      <c r="E13" s="3879"/>
      <c r="F13" s="3879"/>
      <c r="G13" s="3881">
        <f>SUM(G7:G12)</f>
        <v>1211.4077229509351</v>
      </c>
      <c r="H13" s="3882"/>
      <c r="I13" s="3882"/>
      <c r="J13" s="3883"/>
    </row>
    <row r="14" spans="1:10" ht="58.5" customHeight="1">
      <c r="A14" s="3884" t="s">
        <v>867</v>
      </c>
      <c r="B14" s="3885"/>
      <c r="C14" s="3886"/>
      <c r="D14" s="3887"/>
      <c r="E14" s="3886"/>
      <c r="F14" s="3886"/>
      <c r="G14" s="3887">
        <v>1455.14</v>
      </c>
      <c r="H14" s="3882"/>
      <c r="I14" s="3882"/>
      <c r="J14" s="3883">
        <v>1455.14</v>
      </c>
    </row>
    <row r="15" spans="1:10" ht="58.5" customHeight="1">
      <c r="A15" s="3884" t="s">
        <v>867</v>
      </c>
      <c r="B15" s="3885"/>
      <c r="C15" s="3886"/>
      <c r="D15" s="3887"/>
      <c r="E15" s="3886"/>
      <c r="F15" s="3886"/>
      <c r="G15" s="3887">
        <v>60.06</v>
      </c>
      <c r="H15" s="3882"/>
      <c r="I15" s="3882"/>
      <c r="J15" s="3883">
        <v>60.06</v>
      </c>
    </row>
    <row r="16" spans="1:10" ht="58.5" customHeight="1">
      <c r="A16" s="3880" t="s">
        <v>868</v>
      </c>
      <c r="B16" s="3885"/>
      <c r="C16" s="3886"/>
      <c r="D16" s="3887"/>
      <c r="E16" s="3886"/>
      <c r="F16" s="3886"/>
      <c r="G16" s="3887">
        <f>SUM(G14:G15)</f>
        <v>1515.2</v>
      </c>
      <c r="H16" s="3882"/>
      <c r="I16" s="3882"/>
      <c r="J16" s="3883">
        <f>SUM(J14:J15)</f>
        <v>1515.2</v>
      </c>
    </row>
    <row r="17" spans="1:10" ht="15" customHeight="1">
      <c r="A17" s="6357" t="s">
        <v>416</v>
      </c>
      <c r="B17" s="6357"/>
      <c r="C17" s="6357"/>
      <c r="D17" s="6357"/>
      <c r="E17" s="6357"/>
      <c r="F17" s="6357"/>
      <c r="G17" s="6357"/>
      <c r="H17" s="6357"/>
      <c r="I17" s="6357"/>
      <c r="J17" s="6357"/>
    </row>
    <row r="18" spans="1:10" ht="38.25" hidden="1" customHeight="1">
      <c r="A18" s="3888" t="s">
        <v>373</v>
      </c>
      <c r="B18" s="3888" t="s">
        <v>413</v>
      </c>
      <c r="C18" s="3888" t="s">
        <v>664</v>
      </c>
      <c r="D18" s="3888" t="s">
        <v>415</v>
      </c>
      <c r="E18" s="3888" t="s">
        <v>413</v>
      </c>
      <c r="F18" s="3888" t="s">
        <v>664</v>
      </c>
      <c r="G18" s="3888" t="s">
        <v>415</v>
      </c>
      <c r="H18" s="3889"/>
      <c r="I18" s="3889"/>
      <c r="J18" s="3889"/>
    </row>
    <row r="19" spans="1:10" ht="15" hidden="1" customHeight="1">
      <c r="A19" s="3877" t="s">
        <v>665</v>
      </c>
      <c r="B19" s="3890">
        <f>[26]объемы!M37</f>
        <v>5561.39</v>
      </c>
      <c r="C19" s="3891"/>
      <c r="D19" s="3891"/>
      <c r="E19" s="3890">
        <f>SUM([26]объемы!W37)</f>
        <v>5654.317</v>
      </c>
      <c r="F19" s="3891"/>
      <c r="G19" s="3891"/>
      <c r="H19" s="3889"/>
      <c r="I19" s="3889"/>
      <c r="J19" s="3889"/>
    </row>
    <row r="20" spans="1:10" ht="15" hidden="1" customHeight="1">
      <c r="A20" s="3877" t="s">
        <v>24</v>
      </c>
      <c r="B20" s="3890">
        <v>2800</v>
      </c>
      <c r="C20" s="3891">
        <v>70</v>
      </c>
      <c r="D20" s="3890">
        <f>B20*C20/1000</f>
        <v>196</v>
      </c>
      <c r="E20" s="3890">
        <f>SUM([26]объемы!W48)</f>
        <v>2428.56</v>
      </c>
      <c r="F20" s="3891">
        <v>93</v>
      </c>
      <c r="G20" s="3890">
        <f>E20*F20/1000</f>
        <v>225.85607999999999</v>
      </c>
      <c r="H20" s="3889"/>
      <c r="I20" s="3889"/>
      <c r="J20" s="3889"/>
    </row>
    <row r="21" spans="1:10" ht="15" hidden="1" customHeight="1">
      <c r="A21" s="3877" t="s">
        <v>265</v>
      </c>
      <c r="B21" s="3890">
        <v>1206.27</v>
      </c>
      <c r="C21" s="3891">
        <v>258</v>
      </c>
      <c r="D21" s="3890">
        <f>B21*C21/1000</f>
        <v>311.21765999999997</v>
      </c>
      <c r="E21" s="3890">
        <f>SUM([26]объемы!W50+[26]объемы!W49+[26]объемы!W51)</f>
        <v>1560.6570000000002</v>
      </c>
      <c r="F21" s="3891">
        <v>341</v>
      </c>
      <c r="G21" s="3890">
        <f>E21*F21/1000</f>
        <v>532.18403699999999</v>
      </c>
      <c r="H21" s="3889"/>
      <c r="I21" s="3889"/>
      <c r="J21" s="3889"/>
    </row>
    <row r="22" spans="1:10" ht="15" hidden="1" customHeight="1">
      <c r="A22" s="3877" t="s">
        <v>409</v>
      </c>
      <c r="B22" s="3890">
        <f>[26]объемы!M40</f>
        <v>557.12</v>
      </c>
      <c r="C22" s="3891">
        <v>258</v>
      </c>
      <c r="D22" s="3890">
        <f>B22*C22/1000</f>
        <v>143.73695999999998</v>
      </c>
      <c r="E22" s="3890">
        <f>SUM([26]объемы!W40)</f>
        <v>686.4</v>
      </c>
      <c r="F22" s="3891">
        <v>341</v>
      </c>
      <c r="G22" s="3890">
        <f>E22*F22/1000</f>
        <v>234.0624</v>
      </c>
      <c r="H22" s="3889"/>
      <c r="I22" s="3889"/>
      <c r="J22" s="3889"/>
    </row>
    <row r="23" spans="1:10" ht="15" hidden="1" customHeight="1">
      <c r="A23" s="3877" t="s">
        <v>410</v>
      </c>
      <c r="B23" s="3890">
        <f>[26]объемы!M45</f>
        <v>998</v>
      </c>
      <c r="C23" s="3891"/>
      <c r="D23" s="3890"/>
      <c r="E23" s="3890">
        <f>SUM([26]объемы!W45)</f>
        <v>978.7</v>
      </c>
      <c r="F23" s="3891"/>
      <c r="G23" s="3890"/>
      <c r="H23" s="3889"/>
      <c r="I23" s="3889"/>
      <c r="J23" s="3889"/>
    </row>
    <row r="24" spans="1:10" ht="15" hidden="1" customHeight="1">
      <c r="A24" s="3877" t="s">
        <v>411</v>
      </c>
      <c r="B24" s="3891">
        <f>B23*B20/(B20+B21)</f>
        <v>697.50665831309425</v>
      </c>
      <c r="C24" s="3891">
        <f>C20</f>
        <v>70</v>
      </c>
      <c r="D24" s="3890">
        <f>B24*C24/1000</f>
        <v>48.825466081916595</v>
      </c>
      <c r="E24" s="3891">
        <f>E23*E20/(E20+E21)</f>
        <v>595.81408381644826</v>
      </c>
      <c r="F24" s="3891">
        <f>F20</f>
        <v>93</v>
      </c>
      <c r="G24" s="3890">
        <f>E24*F24/1000</f>
        <v>55.410709794929687</v>
      </c>
      <c r="H24" s="3889"/>
      <c r="I24" s="3889"/>
      <c r="J24" s="3889"/>
    </row>
    <row r="25" spans="1:10" ht="15" hidden="1" customHeight="1">
      <c r="A25" s="3877" t="s">
        <v>412</v>
      </c>
      <c r="B25" s="3890">
        <f>B23-B24</f>
        <v>300.49334168690575</v>
      </c>
      <c r="C25" s="3891">
        <v>258</v>
      </c>
      <c r="D25" s="3890">
        <f>B25*C25/1000</f>
        <v>77.527282155221684</v>
      </c>
      <c r="E25" s="3890">
        <f>E23-E24</f>
        <v>382.88591618355179</v>
      </c>
      <c r="F25" s="3891">
        <v>341</v>
      </c>
      <c r="G25" s="3890">
        <f>E25*F25/1000</f>
        <v>130.56409741859116</v>
      </c>
      <c r="H25" s="3889"/>
      <c r="I25" s="3889"/>
      <c r="J25" s="3889"/>
    </row>
    <row r="26" spans="1:10" ht="15" hidden="1" customHeight="1" thickBot="1">
      <c r="A26" s="3882" t="s">
        <v>414</v>
      </c>
      <c r="B26" s="3892"/>
      <c r="C26" s="3892"/>
      <c r="D26" s="3893">
        <f>SUM(D20:D25)</f>
        <v>777.30736823713823</v>
      </c>
      <c r="E26" s="3892"/>
      <c r="F26" s="3892"/>
      <c r="G26" s="3893">
        <f>SUM(G20:G25)</f>
        <v>1178.077324213521</v>
      </c>
      <c r="H26" s="3889"/>
      <c r="I26" s="3889"/>
      <c r="J26" s="3889"/>
    </row>
    <row r="27" spans="1:10" ht="15.75">
      <c r="A27" s="6364" t="s">
        <v>373</v>
      </c>
      <c r="B27" s="6328" t="s">
        <v>663</v>
      </c>
      <c r="C27" s="6329"/>
      <c r="D27" s="6330"/>
      <c r="E27" s="6365" t="s">
        <v>886</v>
      </c>
      <c r="F27" s="6365"/>
      <c r="G27" s="6365"/>
      <c r="H27" s="6366" t="s">
        <v>887</v>
      </c>
      <c r="I27" s="6366"/>
      <c r="J27" s="6366"/>
    </row>
    <row r="28" spans="1:10" ht="38.25">
      <c r="A28" s="6364"/>
      <c r="B28" s="3871" t="s">
        <v>413</v>
      </c>
      <c r="C28" s="3871" t="s">
        <v>664</v>
      </c>
      <c r="D28" s="3871" t="s">
        <v>415</v>
      </c>
      <c r="E28" s="3871" t="s">
        <v>413</v>
      </c>
      <c r="F28" s="3871" t="s">
        <v>664</v>
      </c>
      <c r="G28" s="3871" t="s">
        <v>415</v>
      </c>
      <c r="H28" s="3888" t="s">
        <v>413</v>
      </c>
      <c r="I28" s="3888" t="s">
        <v>664</v>
      </c>
      <c r="J28" s="3888" t="s">
        <v>415</v>
      </c>
    </row>
    <row r="29" spans="1:10">
      <c r="A29" s="3872" t="s">
        <v>665</v>
      </c>
      <c r="B29" s="3894">
        <f>[26]объемы!L62</f>
        <v>0</v>
      </c>
      <c r="C29" s="3874"/>
      <c r="D29" s="3874"/>
      <c r="E29" s="3875">
        <f>E30+E31+E32+E33</f>
        <v>5570.6852214411947</v>
      </c>
      <c r="F29" s="3874"/>
      <c r="G29" s="3874"/>
      <c r="H29" s="3876">
        <f>SUM([26]объемы!Y62)</f>
        <v>0</v>
      </c>
      <c r="I29" s="3877"/>
      <c r="J29" s="3877"/>
    </row>
    <row r="30" spans="1:10">
      <c r="A30" s="3872" t="s">
        <v>24</v>
      </c>
      <c r="B30" s="3894">
        <f>[26]объемы!W48</f>
        <v>2428.56</v>
      </c>
      <c r="C30" s="3874">
        <v>93</v>
      </c>
      <c r="D30" s="3875">
        <f>B30*C30/1000</f>
        <v>225.85607999999999</v>
      </c>
      <c r="E30" s="3875">
        <f>[26]объемы!AF48</f>
        <v>2380</v>
      </c>
      <c r="F30" s="3874">
        <f>107</f>
        <v>107</v>
      </c>
      <c r="G30" s="3875">
        <f>E30*F30/1000</f>
        <v>254.66</v>
      </c>
      <c r="H30" s="3876">
        <f>E30</f>
        <v>2380</v>
      </c>
      <c r="I30" s="3877">
        <v>122</v>
      </c>
      <c r="J30" s="3876">
        <f>H30*I30/1000</f>
        <v>290.36</v>
      </c>
    </row>
    <row r="31" spans="1:10">
      <c r="A31" s="3872" t="s">
        <v>265</v>
      </c>
      <c r="B31" s="3894">
        <f>[26]объемы!W50+[26]объемы!X49+[26]объемы!W51</f>
        <v>1582.077</v>
      </c>
      <c r="C31" s="3874">
        <v>341</v>
      </c>
      <c r="D31" s="3875">
        <f>B31*C31/1000</f>
        <v>539.48825699999998</v>
      </c>
      <c r="E31" s="3875">
        <f>[26]объемы!AF50+[26]объемы!AG37+[26]объемы!AF51</f>
        <v>1411.3490000000002</v>
      </c>
      <c r="F31" s="3874">
        <v>392</v>
      </c>
      <c r="G31" s="3875">
        <f>E31*F31/1000</f>
        <v>553.24880800000005</v>
      </c>
      <c r="H31" s="3876">
        <f t="shared" ref="H31:H35" si="0">E31</f>
        <v>1411.3490000000002</v>
      </c>
      <c r="I31" s="3877">
        <v>452</v>
      </c>
      <c r="J31" s="3876">
        <f>H31*I31/1000</f>
        <v>637.92974800000002</v>
      </c>
    </row>
    <row r="32" spans="1:10">
      <c r="A32" s="3872" t="s">
        <v>409</v>
      </c>
      <c r="B32" s="3894">
        <f>[26]объемы!W40</f>
        <v>686.4</v>
      </c>
      <c r="C32" s="3874">
        <v>341</v>
      </c>
      <c r="D32" s="3875">
        <f>B32*C32/1000</f>
        <v>234.0624</v>
      </c>
      <c r="E32" s="3875">
        <f>[26]объемы!AF40</f>
        <v>854.19674447979992</v>
      </c>
      <c r="F32" s="3874">
        <f>F31</f>
        <v>392</v>
      </c>
      <c r="G32" s="3875">
        <f>E32*F32/1000</f>
        <v>334.8451238360816</v>
      </c>
      <c r="H32" s="3876">
        <f t="shared" si="0"/>
        <v>854.19674447979992</v>
      </c>
      <c r="I32" s="3877">
        <f>I31</f>
        <v>452</v>
      </c>
      <c r="J32" s="3876">
        <f>H32*I32/1000</f>
        <v>386.0969285048696</v>
      </c>
    </row>
    <row r="33" spans="1:10">
      <c r="A33" s="3872" t="s">
        <v>410</v>
      </c>
      <c r="B33" s="3894">
        <f>[26]объемы!W45</f>
        <v>978.7</v>
      </c>
      <c r="C33" s="3874"/>
      <c r="D33" s="3875"/>
      <c r="E33" s="3875">
        <f>[26]объемы!AF45+[26]объемы!AG45</f>
        <v>925.13947696139473</v>
      </c>
      <c r="F33" s="3874"/>
      <c r="G33" s="3875"/>
      <c r="H33" s="3876">
        <f t="shared" si="0"/>
        <v>925.13947696139473</v>
      </c>
      <c r="I33" s="3877"/>
      <c r="J33" s="3876"/>
    </row>
    <row r="34" spans="1:10">
      <c r="A34" s="3872" t="s">
        <v>411</v>
      </c>
      <c r="B34" s="3894">
        <f>B33*B30/(B30+B31)</f>
        <v>592.63196145649692</v>
      </c>
      <c r="C34" s="3874">
        <f>C30</f>
        <v>93</v>
      </c>
      <c r="D34" s="3875">
        <f>B34*C34/1000</f>
        <v>55.114772415454219</v>
      </c>
      <c r="E34" s="3875">
        <f t="shared" ref="E34:E35" si="1">B34</f>
        <v>592.63196145649692</v>
      </c>
      <c r="F34" s="3874">
        <f>F30</f>
        <v>107</v>
      </c>
      <c r="G34" s="3875">
        <f>E34*F34/1000</f>
        <v>63.411619875845169</v>
      </c>
      <c r="H34" s="3876">
        <f t="shared" si="0"/>
        <v>592.63196145649692</v>
      </c>
      <c r="I34" s="3877">
        <f>I30</f>
        <v>122</v>
      </c>
      <c r="J34" s="3876">
        <f>H34*I34/1000</f>
        <v>72.301099297692616</v>
      </c>
    </row>
    <row r="35" spans="1:10">
      <c r="A35" s="3872" t="s">
        <v>412</v>
      </c>
      <c r="B35" s="3894">
        <f>B33-B34</f>
        <v>386.06803854350312</v>
      </c>
      <c r="C35" s="3874">
        <v>341</v>
      </c>
      <c r="D35" s="3875">
        <f>B35*C35/1000</f>
        <v>131.64920114333455</v>
      </c>
      <c r="E35" s="3875">
        <f t="shared" si="1"/>
        <v>386.06803854350312</v>
      </c>
      <c r="F35" s="3874">
        <f>F32</f>
        <v>392</v>
      </c>
      <c r="G35" s="3875">
        <f>E35*F35/1000</f>
        <v>151.33867110905322</v>
      </c>
      <c r="H35" s="3876">
        <f t="shared" si="0"/>
        <v>386.06803854350312</v>
      </c>
      <c r="I35" s="3877">
        <f>I32</f>
        <v>452</v>
      </c>
      <c r="J35" s="3876">
        <f>H35*I35/1000</f>
        <v>174.50275342166341</v>
      </c>
    </row>
    <row r="36" spans="1:10">
      <c r="A36" s="3879" t="s">
        <v>866</v>
      </c>
      <c r="B36" s="3895"/>
      <c r="C36" s="3879"/>
      <c r="D36" s="3881">
        <f>SUM(D30:D35)</f>
        <v>1186.1707105587886</v>
      </c>
      <c r="E36" s="3879"/>
      <c r="F36" s="3879"/>
      <c r="G36" s="3881">
        <f>SUM(G30:G35)</f>
        <v>1357.50422282098</v>
      </c>
      <c r="H36" s="3882"/>
      <c r="I36" s="3882"/>
      <c r="J36" s="3883">
        <f>SUM(J30:J35)</f>
        <v>1561.1905292242257</v>
      </c>
    </row>
    <row r="37" spans="1:10">
      <c r="A37" s="3896" t="s">
        <v>1869</v>
      </c>
      <c r="B37" s="3897"/>
      <c r="C37" s="3897"/>
      <c r="D37" s="3897"/>
      <c r="E37" s="3897"/>
      <c r="F37" s="3897"/>
      <c r="G37" s="3898"/>
      <c r="J37" s="3899">
        <f>J36/G36</f>
        <v>1.1500446945056073</v>
      </c>
    </row>
    <row r="38" spans="1:10">
      <c r="A38" s="3896" t="s">
        <v>1870</v>
      </c>
      <c r="B38" s="3897"/>
      <c r="C38" s="3897"/>
      <c r="D38" s="3897"/>
      <c r="E38" s="3897">
        <f>[26]объемы!AG37</f>
        <v>20.349</v>
      </c>
      <c r="F38" s="3897">
        <f>F35</f>
        <v>392</v>
      </c>
      <c r="G38" s="3900">
        <f>E38*F38/1000</f>
        <v>7.9768080000000001</v>
      </c>
    </row>
    <row r="39" spans="1:10">
      <c r="A39" s="3896" t="s">
        <v>1871</v>
      </c>
      <c r="B39" s="3897"/>
      <c r="C39" s="3897"/>
      <c r="D39" s="3897"/>
      <c r="E39" s="3901"/>
      <c r="F39" s="3897"/>
      <c r="G39" s="3900">
        <f>G36-G38</f>
        <v>1349.5274148209801</v>
      </c>
    </row>
    <row r="40" spans="1:10">
      <c r="A40" s="6357" t="s">
        <v>912</v>
      </c>
      <c r="B40" s="6357"/>
      <c r="C40" s="6357"/>
      <c r="D40" s="6357"/>
      <c r="E40" s="6357"/>
      <c r="F40" s="6357"/>
      <c r="G40" s="6357"/>
      <c r="H40" s="6357"/>
      <c r="I40" s="6357"/>
      <c r="J40" s="6357"/>
    </row>
    <row r="41" spans="1:10">
      <c r="A41" s="6361" t="s">
        <v>373</v>
      </c>
      <c r="B41" s="6358" t="s">
        <v>283</v>
      </c>
      <c r="C41" s="6359"/>
      <c r="D41" s="6360"/>
      <c r="E41" s="6358" t="s">
        <v>392</v>
      </c>
      <c r="F41" s="6359"/>
      <c r="G41" s="6360"/>
      <c r="H41" s="3902"/>
      <c r="I41" s="3902"/>
      <c r="J41" s="3902"/>
    </row>
    <row r="42" spans="1:10" ht="38.25">
      <c r="A42" s="6362"/>
      <c r="B42" s="3888" t="s">
        <v>413</v>
      </c>
      <c r="C42" s="3888" t="s">
        <v>664</v>
      </c>
      <c r="D42" s="3888" t="s">
        <v>415</v>
      </c>
      <c r="E42" s="3888" t="s">
        <v>413</v>
      </c>
      <c r="F42" s="3888" t="s">
        <v>664</v>
      </c>
      <c r="G42" s="3888" t="s">
        <v>415</v>
      </c>
      <c r="H42" s="3889"/>
      <c r="I42" s="3889"/>
      <c r="J42" s="3889"/>
    </row>
    <row r="43" spans="1:10">
      <c r="A43" s="3877" t="s">
        <v>665</v>
      </c>
      <c r="B43" s="3890">
        <f>SUM(B44+B45+B46+B47)</f>
        <v>5570</v>
      </c>
      <c r="C43" s="3891"/>
      <c r="D43" s="3891"/>
      <c r="E43" s="3890">
        <f>SUM([26]объемы!W60)</f>
        <v>0</v>
      </c>
      <c r="F43" s="3891"/>
      <c r="G43" s="3891"/>
      <c r="H43" s="3889"/>
      <c r="I43" s="3889"/>
      <c r="J43" s="3889"/>
    </row>
    <row r="44" spans="1:10">
      <c r="A44" s="3877" t="s">
        <v>24</v>
      </c>
      <c r="B44" s="3890">
        <f>SUM(объемы!AI50)</f>
        <v>2360</v>
      </c>
      <c r="C44" s="3891">
        <v>122</v>
      </c>
      <c r="D44" s="3890">
        <f>B44*C44/1000</f>
        <v>287.92</v>
      </c>
      <c r="E44" s="3890">
        <f>SUM(объемы!AI50)</f>
        <v>2360</v>
      </c>
      <c r="F44" s="3891">
        <v>122</v>
      </c>
      <c r="G44" s="3890">
        <f>E44*F44/1000</f>
        <v>287.92</v>
      </c>
      <c r="H44" s="3889"/>
      <c r="I44" s="3889"/>
      <c r="J44" s="3889"/>
    </row>
    <row r="45" spans="1:10">
      <c r="A45" s="3877" t="s">
        <v>265</v>
      </c>
      <c r="B45" s="3890">
        <f>SUM(объемы!AI51:AI53)</f>
        <v>1360</v>
      </c>
      <c r="C45" s="3891">
        <v>452</v>
      </c>
      <c r="D45" s="3890">
        <f>B45*C45/1000</f>
        <v>614.72</v>
      </c>
      <c r="E45" s="3890">
        <f>SUM(объемы!AJ51:AJ53)</f>
        <v>1261.42</v>
      </c>
      <c r="F45" s="3891">
        <v>452</v>
      </c>
      <c r="G45" s="3890">
        <f>E45*F45/1000</f>
        <v>570.1618400000001</v>
      </c>
      <c r="H45" s="3889"/>
      <c r="I45" s="3889"/>
      <c r="J45" s="3889"/>
    </row>
    <row r="46" spans="1:10">
      <c r="A46" s="3877" t="s">
        <v>409</v>
      </c>
      <c r="B46" s="3890">
        <f>SUM(объемы!AI42)</f>
        <v>920</v>
      </c>
      <c r="C46" s="3891">
        <v>452</v>
      </c>
      <c r="D46" s="3890">
        <f>B46*C46/1000</f>
        <v>415.84</v>
      </c>
      <c r="E46" s="3890">
        <f>SUM(объемы!AJ42)</f>
        <v>816.41800000000001</v>
      </c>
      <c r="F46" s="3891">
        <v>452</v>
      </c>
      <c r="G46" s="3890">
        <f>E46*F46/1000</f>
        <v>369.02093600000001</v>
      </c>
      <c r="H46" s="3889"/>
      <c r="I46" s="3889"/>
      <c r="J46" s="3889"/>
    </row>
    <row r="47" spans="1:10">
      <c r="A47" s="3877" t="s">
        <v>410</v>
      </c>
      <c r="B47" s="3890">
        <f>SUM(объемы!AI47)</f>
        <v>930</v>
      </c>
      <c r="C47" s="3891"/>
      <c r="D47" s="3890"/>
      <c r="E47" s="3890">
        <f>SUM(объемы!AJ47)</f>
        <v>888.44300000000021</v>
      </c>
      <c r="F47" s="3891"/>
      <c r="G47" s="3890"/>
      <c r="H47" s="3889"/>
      <c r="I47" s="3889"/>
      <c r="J47" s="3889"/>
    </row>
    <row r="48" spans="1:10">
      <c r="A48" s="3877" t="s">
        <v>411</v>
      </c>
      <c r="B48" s="3907">
        <f>B47*B44/(B44+B45)</f>
        <v>590</v>
      </c>
      <c r="C48" s="3891">
        <f>C44</f>
        <v>122</v>
      </c>
      <c r="D48" s="3890">
        <f>B48*C48/1000</f>
        <v>71.98</v>
      </c>
      <c r="E48" s="3891">
        <f>E47*E44/(E44+E45)</f>
        <v>578.97882046269149</v>
      </c>
      <c r="F48" s="3891">
        <f>F44</f>
        <v>122</v>
      </c>
      <c r="G48" s="3890">
        <f>E48*F48/1000</f>
        <v>70.635416096448367</v>
      </c>
      <c r="H48" s="3889"/>
      <c r="I48" s="3889"/>
      <c r="J48" s="3889"/>
    </row>
    <row r="49" spans="1:10">
      <c r="A49" s="3877" t="s">
        <v>412</v>
      </c>
      <c r="B49" s="3890">
        <f>B47-B48</f>
        <v>340</v>
      </c>
      <c r="C49" s="3891">
        <v>452</v>
      </c>
      <c r="D49" s="3890">
        <f>B49*C49/1000</f>
        <v>153.68</v>
      </c>
      <c r="E49" s="3890">
        <f>E47-E48</f>
        <v>309.46417953730872</v>
      </c>
      <c r="F49" s="3891">
        <v>452</v>
      </c>
      <c r="G49" s="3890">
        <f>E49*F49/1000</f>
        <v>139.87780915086356</v>
      </c>
      <c r="H49" s="3889"/>
      <c r="I49" s="3889"/>
      <c r="J49" s="3889"/>
    </row>
    <row r="50" spans="1:10">
      <c r="A50" s="3882" t="s">
        <v>414</v>
      </c>
      <c r="B50" s="3892"/>
      <c r="C50" s="3892"/>
      <c r="D50" s="3893">
        <f>SUM(D44:D49)</f>
        <v>1544.14</v>
      </c>
      <c r="E50" s="3892"/>
      <c r="F50" s="3892"/>
      <c r="G50" s="3893">
        <f>SUM(G44:G49)</f>
        <v>1437.6160012473122</v>
      </c>
      <c r="H50" s="3889"/>
      <c r="I50" s="3889"/>
      <c r="J50" s="3889"/>
    </row>
  </sheetData>
  <mergeCells count="15">
    <mergeCell ref="A40:J40"/>
    <mergeCell ref="B41:D41"/>
    <mergeCell ref="E41:G41"/>
    <mergeCell ref="A41:A42"/>
    <mergeCell ref="A2:J2"/>
    <mergeCell ref="A3:J3"/>
    <mergeCell ref="A4:A5"/>
    <mergeCell ref="B4:D4"/>
    <mergeCell ref="E4:G4"/>
    <mergeCell ref="H4:J4"/>
    <mergeCell ref="A17:J17"/>
    <mergeCell ref="A27:A28"/>
    <mergeCell ref="B27:D27"/>
    <mergeCell ref="E27:G27"/>
    <mergeCell ref="H27:J27"/>
  </mergeCells>
  <printOptions horizontalCentered="1"/>
  <pageMargins left="0.35433070866141736" right="0.35433070866141736" top="0.98425196850393704" bottom="0.59055118110236227" header="0.51181102362204722" footer="0.51181102362204722"/>
  <pageSetup paperSize="9" scale="93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F37"/>
  <sheetViews>
    <sheetView topLeftCell="A11" workbookViewId="0">
      <selection activeCell="A2" sqref="A2:F37"/>
    </sheetView>
  </sheetViews>
  <sheetFormatPr defaultRowHeight="15"/>
  <cols>
    <col min="1" max="1" width="23.42578125" style="3845" customWidth="1"/>
    <col min="2" max="2" width="10.140625" style="3845" customWidth="1"/>
    <col min="3" max="3" width="17.42578125" style="3845" customWidth="1"/>
    <col min="4" max="4" width="18.28515625" style="3845" customWidth="1"/>
    <col min="5" max="5" width="16" style="3845" customWidth="1"/>
    <col min="6" max="6" width="16.5703125" style="3845" customWidth="1"/>
    <col min="7" max="16384" width="9.140625" style="3845"/>
  </cols>
  <sheetData>
    <row r="1" spans="1:6">
      <c r="E1" s="3845" t="s">
        <v>1541</v>
      </c>
    </row>
    <row r="2" spans="1:6" ht="33.75" customHeight="1">
      <c r="A2" s="6370" t="s">
        <v>1878</v>
      </c>
      <c r="B2" s="6370"/>
      <c r="C2" s="6370"/>
      <c r="D2" s="6370"/>
      <c r="E2" s="6370"/>
      <c r="F2" s="6370"/>
    </row>
    <row r="3" spans="1:6">
      <c r="A3" s="6371" t="s">
        <v>1005</v>
      </c>
      <c r="B3" s="6371" t="s">
        <v>1006</v>
      </c>
      <c r="C3" s="3846" t="s">
        <v>361</v>
      </c>
      <c r="D3" s="3846" t="s">
        <v>351</v>
      </c>
      <c r="E3" s="3846" t="s">
        <v>1477</v>
      </c>
      <c r="F3" s="6373" t="s">
        <v>246</v>
      </c>
    </row>
    <row r="4" spans="1:6">
      <c r="A4" s="6372"/>
      <c r="B4" s="6372"/>
      <c r="C4" s="3846" t="s">
        <v>1007</v>
      </c>
      <c r="D4" s="3846" t="s">
        <v>1007</v>
      </c>
      <c r="E4" s="3846" t="s">
        <v>1007</v>
      </c>
      <c r="F4" s="6374"/>
    </row>
    <row r="5" spans="1:6">
      <c r="A5" s="6375" t="s">
        <v>911</v>
      </c>
      <c r="B5" s="6376"/>
      <c r="C5" s="6376"/>
      <c r="D5" s="6376"/>
      <c r="E5" s="6376"/>
      <c r="F5" s="6377"/>
    </row>
    <row r="6" spans="1:6" ht="30">
      <c r="A6" s="3847" t="s">
        <v>1468</v>
      </c>
      <c r="B6" s="3848" t="s">
        <v>1008</v>
      </c>
      <c r="C6" s="3849">
        <v>94861.048999999999</v>
      </c>
      <c r="D6" s="3849">
        <v>71225.517999999996</v>
      </c>
      <c r="E6" s="3849">
        <v>3130.4870000000001</v>
      </c>
      <c r="F6" s="3848" t="s">
        <v>1475</v>
      </c>
    </row>
    <row r="7" spans="1:6">
      <c r="A7" s="3847" t="s">
        <v>1474</v>
      </c>
      <c r="B7" s="3848" t="s">
        <v>1008</v>
      </c>
      <c r="C7" s="3849">
        <v>1106.2370000000001</v>
      </c>
      <c r="D7" s="3849">
        <v>1538.848</v>
      </c>
      <c r="E7" s="3849">
        <v>99.817999999999998</v>
      </c>
      <c r="F7" s="3848" t="s">
        <v>1475</v>
      </c>
    </row>
    <row r="8" spans="1:6" ht="45">
      <c r="A8" s="3847" t="s">
        <v>1476</v>
      </c>
      <c r="B8" s="3848" t="s">
        <v>1008</v>
      </c>
      <c r="C8" s="3849">
        <f>6102.07/3*4</f>
        <v>8136.0933333333332</v>
      </c>
      <c r="D8" s="3849">
        <f>3628.35/3*4</f>
        <v>4837.8</v>
      </c>
      <c r="E8" s="3849">
        <f>'[26]ОХР '!AI23/3*4</f>
        <v>150.02666666666667</v>
      </c>
      <c r="F8" s="3848" t="s">
        <v>1478</v>
      </c>
    </row>
    <row r="9" spans="1:6" ht="30">
      <c r="A9" s="3847" t="s">
        <v>1009</v>
      </c>
      <c r="B9" s="3848" t="s">
        <v>1008</v>
      </c>
      <c r="C9" s="3849">
        <f>C6+C7-C8</f>
        <v>87831.192666666655</v>
      </c>
      <c r="D9" s="3849">
        <f>D6+D7-D8</f>
        <v>67926.565999999992</v>
      </c>
      <c r="E9" s="3849">
        <f>E6+E7-E8</f>
        <v>3080.2783333333336</v>
      </c>
      <c r="F9" s="3850"/>
    </row>
    <row r="10" spans="1:6" ht="30">
      <c r="A10" s="3851" t="s">
        <v>1010</v>
      </c>
      <c r="B10" s="3852" t="s">
        <v>1008</v>
      </c>
      <c r="C10" s="3853">
        <f>C9</f>
        <v>87831.192666666655</v>
      </c>
      <c r="D10" s="3853">
        <f>D9</f>
        <v>67926.565999999992</v>
      </c>
      <c r="E10" s="3853">
        <f>E9</f>
        <v>3080.2783333333336</v>
      </c>
      <c r="F10" s="3854"/>
    </row>
    <row r="11" spans="1:6">
      <c r="A11" s="3851" t="s">
        <v>1474</v>
      </c>
      <c r="B11" s="3852"/>
      <c r="C11" s="3853">
        <v>0</v>
      </c>
      <c r="D11" s="3853">
        <v>0</v>
      </c>
      <c r="E11" s="3853">
        <v>0</v>
      </c>
      <c r="F11" s="3854"/>
    </row>
    <row r="12" spans="1:6" ht="45">
      <c r="A12" s="3851" t="s">
        <v>1476</v>
      </c>
      <c r="B12" s="3852" t="s">
        <v>1008</v>
      </c>
      <c r="C12" s="3853">
        <f>[26]Аморт!U25</f>
        <v>8136.1</v>
      </c>
      <c r="D12" s="3853">
        <f>[26]Аморт!U30</f>
        <v>4822.1000000000004</v>
      </c>
      <c r="E12" s="3853">
        <f>'[26]ОХР '!AO23</f>
        <v>193.7</v>
      </c>
      <c r="F12" s="3852" t="s">
        <v>392</v>
      </c>
    </row>
    <row r="13" spans="1:6" ht="30">
      <c r="A13" s="3851" t="s">
        <v>1011</v>
      </c>
      <c r="B13" s="3852" t="s">
        <v>1008</v>
      </c>
      <c r="C13" s="3853">
        <f>C10-C12</f>
        <v>79695.092666666649</v>
      </c>
      <c r="D13" s="3853">
        <f>D10-D12</f>
        <v>63104.465999999993</v>
      </c>
      <c r="E13" s="3853">
        <f>E10-E12</f>
        <v>2886.5783333333338</v>
      </c>
      <c r="F13" s="3854"/>
    </row>
    <row r="14" spans="1:6" ht="45">
      <c r="A14" s="3851" t="s">
        <v>1469</v>
      </c>
      <c r="B14" s="3852" t="s">
        <v>1008</v>
      </c>
      <c r="C14" s="3853">
        <f>(C10+C13)/2</f>
        <v>83763.142666666652</v>
      </c>
      <c r="D14" s="3853">
        <f>(D10+D13)/2</f>
        <v>65515.515999999989</v>
      </c>
      <c r="E14" s="3853">
        <f>(E10+E13)/2</f>
        <v>2983.4283333333337</v>
      </c>
      <c r="F14" s="3854"/>
    </row>
    <row r="15" spans="1:6">
      <c r="A15" s="3851" t="s">
        <v>1012</v>
      </c>
      <c r="B15" s="3852" t="s">
        <v>44</v>
      </c>
      <c r="C15" s="3855">
        <v>2.2000000000000002</v>
      </c>
      <c r="D15" s="3855">
        <v>2.2000000000000002</v>
      </c>
      <c r="E15" s="3855">
        <v>2.2000000000000002</v>
      </c>
      <c r="F15" s="3854"/>
    </row>
    <row r="16" spans="1:6" s="3860" customFormat="1" ht="45">
      <c r="A16" s="3856" t="s">
        <v>1470</v>
      </c>
      <c r="B16" s="3857" t="s">
        <v>1008</v>
      </c>
      <c r="C16" s="3858">
        <f>C14*C15/100</f>
        <v>1842.7891386666663</v>
      </c>
      <c r="D16" s="3858">
        <f>D14*D15/100</f>
        <v>1441.3413519999999</v>
      </c>
      <c r="E16" s="3858">
        <f>E14*E15/100</f>
        <v>65.63542333333335</v>
      </c>
      <c r="F16" s="3859"/>
    </row>
    <row r="17" spans="1:6" s="3860" customFormat="1">
      <c r="A17" s="6367" t="s">
        <v>911</v>
      </c>
      <c r="B17" s="6368"/>
      <c r="C17" s="6368"/>
      <c r="D17" s="6368"/>
      <c r="E17" s="6368"/>
      <c r="F17" s="6369"/>
    </row>
    <row r="18" spans="1:6" ht="30">
      <c r="A18" s="3861" t="s">
        <v>1689</v>
      </c>
      <c r="B18" s="3862" t="s">
        <v>1008</v>
      </c>
      <c r="C18" s="3863">
        <f>SUM(C16)</f>
        <v>1842.7891386666663</v>
      </c>
      <c r="D18" s="3863">
        <f>SUM(D16)</f>
        <v>1441.3413519999999</v>
      </c>
      <c r="E18" s="3863">
        <f>SUM(E16)</f>
        <v>65.63542333333335</v>
      </c>
      <c r="F18" s="3864"/>
    </row>
    <row r="19" spans="1:6">
      <c r="A19" s="3861" t="s">
        <v>1474</v>
      </c>
      <c r="B19" s="3862"/>
      <c r="C19" s="3863">
        <v>0</v>
      </c>
      <c r="D19" s="3863">
        <v>0</v>
      </c>
      <c r="E19" s="3863"/>
      <c r="F19" s="3864"/>
    </row>
    <row r="20" spans="1:6" ht="45">
      <c r="A20" s="3861" t="s">
        <v>1476</v>
      </c>
      <c r="B20" s="3862" t="s">
        <v>1008</v>
      </c>
      <c r="C20" s="3863">
        <f>[26]Аморт!U32</f>
        <v>0</v>
      </c>
      <c r="D20" s="3863">
        <f>[26]Аморт!U37</f>
        <v>0</v>
      </c>
      <c r="E20" s="3863">
        <v>109.26</v>
      </c>
      <c r="F20" s="3862"/>
    </row>
    <row r="21" spans="1:6" ht="30">
      <c r="A21" s="3861" t="s">
        <v>1690</v>
      </c>
      <c r="B21" s="3862" t="s">
        <v>1008</v>
      </c>
      <c r="C21" s="3863">
        <f>C18-C20</f>
        <v>1842.7891386666663</v>
      </c>
      <c r="D21" s="3863">
        <f>D18-D20</f>
        <v>1441.3413519999999</v>
      </c>
      <c r="E21" s="3863">
        <v>-43.63</v>
      </c>
      <c r="F21" s="3864"/>
    </row>
    <row r="22" spans="1:6" ht="45">
      <c r="A22" s="3861" t="s">
        <v>1867</v>
      </c>
      <c r="B22" s="3862" t="s">
        <v>1008</v>
      </c>
      <c r="C22" s="3863">
        <f>(C18+C21)/2</f>
        <v>1842.7891386666663</v>
      </c>
      <c r="D22" s="3863">
        <f>(D18+D21)/2</f>
        <v>1441.3413519999999</v>
      </c>
      <c r="E22" s="3863">
        <v>11</v>
      </c>
      <c r="F22" s="3864"/>
    </row>
    <row r="23" spans="1:6">
      <c r="A23" s="3861" t="s">
        <v>1012</v>
      </c>
      <c r="B23" s="3862" t="s">
        <v>44</v>
      </c>
      <c r="C23" s="3865">
        <v>2.2000000000000002</v>
      </c>
      <c r="D23" s="3865">
        <v>2.2000000000000002</v>
      </c>
      <c r="E23" s="3865">
        <v>2.2000000000000002</v>
      </c>
      <c r="F23" s="3864"/>
    </row>
    <row r="24" spans="1:6" ht="45">
      <c r="A24" s="3866" t="s">
        <v>1691</v>
      </c>
      <c r="B24" s="3867" t="s">
        <v>1008</v>
      </c>
      <c r="C24" s="3868">
        <f>C22*C23/100</f>
        <v>40.541361050666659</v>
      </c>
      <c r="D24" s="3868">
        <f>D22*D23/100</f>
        <v>31.709509744000002</v>
      </c>
      <c r="E24" s="3868">
        <v>0.24</v>
      </c>
      <c r="F24" s="3869"/>
    </row>
    <row r="25" spans="1:6" hidden="1"/>
    <row r="26" spans="1:6" hidden="1"/>
    <row r="27" spans="1:6" hidden="1"/>
    <row r="28" spans="1:6" hidden="1"/>
    <row r="29" spans="1:6" hidden="1">
      <c r="C29" s="3870">
        <f>C12+'[26]ОХР '!AP23</f>
        <v>8241.5028201902132</v>
      </c>
      <c r="D29" s="3845">
        <f>[26]Лист4!C8</f>
        <v>8296.6500000000015</v>
      </c>
    </row>
    <row r="30" spans="1:6">
      <c r="A30" s="6367" t="s">
        <v>912</v>
      </c>
      <c r="B30" s="6368"/>
      <c r="C30" s="6368"/>
      <c r="D30" s="6368"/>
      <c r="E30" s="6368"/>
      <c r="F30" s="6369"/>
    </row>
    <row r="31" spans="1:6" ht="30">
      <c r="A31" s="3861" t="s">
        <v>1872</v>
      </c>
      <c r="B31" s="3862" t="s">
        <v>1008</v>
      </c>
      <c r="C31" s="3863">
        <f>SUM((157691859+156548836+155408996+154269283+153132697+151996111+150863300+149827670+148705931+147708615+146629051+147203743+146008687)/13)*60%</f>
        <v>90738220.569230765</v>
      </c>
      <c r="D31" s="3863">
        <f>SUM((157691859+156548836+155408996+154269283+153132697+151996111+150863300+149827670+148705931+147708615+146629051+147203743+146008687)/13)*40%</f>
        <v>60492147.046153843</v>
      </c>
      <c r="E31" s="3863"/>
      <c r="F31" s="3864"/>
    </row>
    <row r="32" spans="1:6">
      <c r="A32" s="3861" t="s">
        <v>1474</v>
      </c>
      <c r="B32" s="3862"/>
      <c r="C32" s="3863">
        <v>0</v>
      </c>
      <c r="D32" s="3863">
        <v>0</v>
      </c>
      <c r="E32" s="3863"/>
      <c r="F32" s="3864"/>
    </row>
    <row r="33" spans="1:6" ht="45">
      <c r="A33" s="3861" t="s">
        <v>1476</v>
      </c>
      <c r="B33" s="3862" t="s">
        <v>1008</v>
      </c>
      <c r="C33" s="3863">
        <f>[26]Аморт!U45</f>
        <v>0</v>
      </c>
      <c r="D33" s="3863">
        <f>[26]Аморт!U50</f>
        <v>0</v>
      </c>
      <c r="E33" s="3863"/>
      <c r="F33" s="3862"/>
    </row>
    <row r="34" spans="1:6" ht="30">
      <c r="A34" s="3861" t="s">
        <v>1873</v>
      </c>
      <c r="B34" s="3862" t="s">
        <v>1008</v>
      </c>
      <c r="C34" s="3863">
        <f>C31-C33</f>
        <v>90738220.569230765</v>
      </c>
      <c r="D34" s="3863">
        <f>D31-D33</f>
        <v>60492147.046153843</v>
      </c>
      <c r="E34" s="3863"/>
      <c r="F34" s="3864"/>
    </row>
    <row r="35" spans="1:6" ht="45">
      <c r="A35" s="3861" t="s">
        <v>1874</v>
      </c>
      <c r="B35" s="3862" t="s">
        <v>1008</v>
      </c>
      <c r="C35" s="3863">
        <f>(C31+C34)/2</f>
        <v>90738220.569230765</v>
      </c>
      <c r="D35" s="3863">
        <f>(D31+D34)/2</f>
        <v>60492147.046153843</v>
      </c>
      <c r="E35" s="3863"/>
      <c r="F35" s="3864"/>
    </row>
    <row r="36" spans="1:6">
      <c r="A36" s="3861" t="s">
        <v>1012</v>
      </c>
      <c r="B36" s="3862" t="s">
        <v>44</v>
      </c>
      <c r="C36" s="3865">
        <v>2.2000000000000002</v>
      </c>
      <c r="D36" s="3865">
        <v>2.2000000000000002</v>
      </c>
      <c r="E36" s="3865"/>
      <c r="F36" s="3864"/>
    </row>
    <row r="37" spans="1:6" ht="45">
      <c r="A37" s="3866" t="s">
        <v>1875</v>
      </c>
      <c r="B37" s="3867" t="s">
        <v>1008</v>
      </c>
      <c r="C37" s="3868">
        <f>C35*C36/100</f>
        <v>1996240.852523077</v>
      </c>
      <c r="D37" s="3868">
        <f>D35*D36/100</f>
        <v>1330827.2350153846</v>
      </c>
      <c r="E37" s="3868"/>
      <c r="F37" s="3869"/>
    </row>
  </sheetData>
  <mergeCells count="7">
    <mergeCell ref="A17:F17"/>
    <mergeCell ref="A30:F30"/>
    <mergeCell ref="A2:F2"/>
    <mergeCell ref="A3:A4"/>
    <mergeCell ref="B3:B4"/>
    <mergeCell ref="F3:F4"/>
    <mergeCell ref="A5:F5"/>
  </mergeCells>
  <printOptions horizontalCentered="1"/>
  <pageMargins left="0.31496062992125984" right="0.31496062992125984" top="0.35433070866141736" bottom="0.35433070866141736" header="0.31496062992125984" footer="0.31496062992125984"/>
  <pageSetup paperSize="9" scale="8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F44"/>
  <sheetViews>
    <sheetView view="pageBreakPreview" topLeftCell="A16" zoomScaleSheetLayoutView="100" workbookViewId="0">
      <selection activeCell="F32" sqref="F32:F35"/>
    </sheetView>
  </sheetViews>
  <sheetFormatPr defaultRowHeight="12.75"/>
  <cols>
    <col min="1" max="1" width="37.7109375" customWidth="1"/>
    <col min="2" max="2" width="15" customWidth="1"/>
    <col min="3" max="3" width="14.140625" customWidth="1"/>
    <col min="4" max="4" width="15.85546875" customWidth="1"/>
    <col min="5" max="5" width="23" customWidth="1"/>
    <col min="6" max="6" width="25" customWidth="1"/>
  </cols>
  <sheetData>
    <row r="1" spans="1:6">
      <c r="F1" t="s">
        <v>1543</v>
      </c>
    </row>
    <row r="2" spans="1:6" ht="18">
      <c r="A2" s="5639" t="s">
        <v>1509</v>
      </c>
      <c r="B2" s="5639"/>
      <c r="C2" s="5639"/>
      <c r="D2" s="5639"/>
      <c r="E2" s="5639"/>
      <c r="F2" s="5639"/>
    </row>
    <row r="3" spans="1:6" ht="18">
      <c r="A3" s="1965"/>
      <c r="B3" s="1965"/>
      <c r="C3" s="1965"/>
      <c r="D3" s="1965"/>
      <c r="E3" s="1965"/>
    </row>
    <row r="4" spans="1:6" ht="27.75" customHeight="1">
      <c r="A4" s="6380"/>
      <c r="B4" s="6382" t="s">
        <v>1510</v>
      </c>
      <c r="C4" s="6383"/>
      <c r="D4" s="6384"/>
      <c r="E4" s="6385" t="s">
        <v>1512</v>
      </c>
      <c r="F4" s="6392" t="s">
        <v>1514</v>
      </c>
    </row>
    <row r="5" spans="1:6" ht="33.75" customHeight="1">
      <c r="A5" s="6381"/>
      <c r="B5" s="2118" t="s">
        <v>992</v>
      </c>
      <c r="C5" s="2118" t="s">
        <v>993</v>
      </c>
      <c r="D5" s="2118" t="s">
        <v>54</v>
      </c>
      <c r="E5" s="6385"/>
      <c r="F5" s="6393"/>
    </row>
    <row r="6" spans="1:6" ht="18">
      <c r="A6" s="6386" t="s">
        <v>984</v>
      </c>
      <c r="B6" s="6387"/>
      <c r="C6" s="6387"/>
      <c r="D6" s="6387"/>
      <c r="E6" s="6387"/>
      <c r="F6" s="6388"/>
    </row>
    <row r="7" spans="1:6">
      <c r="A7" s="2129" t="s">
        <v>989</v>
      </c>
      <c r="B7" s="2130">
        <v>19.14</v>
      </c>
      <c r="C7" s="2130">
        <v>22.66</v>
      </c>
      <c r="D7" s="2130"/>
      <c r="E7" s="2129"/>
      <c r="F7" s="6389">
        <f>$E$38*D10/$D$38</f>
        <v>395.92538655008684</v>
      </c>
    </row>
    <row r="8" spans="1:6">
      <c r="A8" s="2129" t="s">
        <v>990</v>
      </c>
      <c r="B8" s="2130">
        <f>2780.7/2</f>
        <v>1390.35</v>
      </c>
      <c r="C8" s="2130">
        <f>B8</f>
        <v>1390.35</v>
      </c>
      <c r="D8" s="2130">
        <f>C8+B8</f>
        <v>2780.7</v>
      </c>
      <c r="E8" s="2129"/>
      <c r="F8" s="6390"/>
    </row>
    <row r="9" spans="1:6">
      <c r="A9" s="2129" t="s">
        <v>991</v>
      </c>
      <c r="B9" s="2130">
        <f>B7*B8</f>
        <v>26611.298999999999</v>
      </c>
      <c r="C9" s="2130">
        <f>C7*C8</f>
        <v>31505.330999999998</v>
      </c>
      <c r="D9" s="2130">
        <f>C9+B9</f>
        <v>58116.63</v>
      </c>
      <c r="E9" s="2129"/>
      <c r="F9" s="6390"/>
    </row>
    <row r="10" spans="1:6">
      <c r="A10" s="2129" t="s">
        <v>988</v>
      </c>
      <c r="B10" s="2130">
        <f>B9*0.02</f>
        <v>532.22597999999994</v>
      </c>
      <c r="C10" s="2130">
        <f>C9*0.02</f>
        <v>630.10662000000002</v>
      </c>
      <c r="D10" s="2130">
        <f>C10+B10</f>
        <v>1162.3326</v>
      </c>
      <c r="E10" s="2129"/>
      <c r="F10" s="6391"/>
    </row>
    <row r="11" spans="1:6" ht="18">
      <c r="A11" s="6386" t="s">
        <v>985</v>
      </c>
      <c r="B11" s="6387"/>
      <c r="C11" s="6387"/>
      <c r="D11" s="6387"/>
      <c r="E11" s="6387"/>
      <c r="F11" s="6388"/>
    </row>
    <row r="12" spans="1:6">
      <c r="A12" s="2129" t="s">
        <v>344</v>
      </c>
      <c r="B12" s="2130">
        <v>15.5</v>
      </c>
      <c r="C12" s="2130">
        <v>18.350000000000001</v>
      </c>
      <c r="D12" s="2130"/>
      <c r="E12" s="2129"/>
      <c r="F12" s="6389">
        <f>$E$39*D15/$D$39</f>
        <v>286.40476017160813</v>
      </c>
    </row>
    <row r="13" spans="1:6">
      <c r="A13" s="2129" t="s">
        <v>982</v>
      </c>
      <c r="B13" s="2130">
        <f>2448.7/2</f>
        <v>1224.3499999999999</v>
      </c>
      <c r="C13" s="2130">
        <f>B13</f>
        <v>1224.3499999999999</v>
      </c>
      <c r="D13" s="2130">
        <f>C13+B13</f>
        <v>2448.6999999999998</v>
      </c>
      <c r="E13" s="2129"/>
      <c r="F13" s="6390"/>
    </row>
    <row r="14" spans="1:6">
      <c r="A14" s="2129" t="s">
        <v>983</v>
      </c>
      <c r="B14" s="2130">
        <f>B12*B13</f>
        <v>18977.424999999999</v>
      </c>
      <c r="C14" s="2130">
        <f>C12*C13</f>
        <v>22466.822499999998</v>
      </c>
      <c r="D14" s="2130">
        <f>C14+B14</f>
        <v>41444.247499999998</v>
      </c>
      <c r="E14" s="2129"/>
      <c r="F14" s="6390"/>
    </row>
    <row r="15" spans="1:6">
      <c r="A15" s="2129" t="s">
        <v>988</v>
      </c>
      <c r="B15" s="2130">
        <f>B14*0.02</f>
        <v>379.54849999999999</v>
      </c>
      <c r="C15" s="2130">
        <f>C14*0.02</f>
        <v>449.33644999999996</v>
      </c>
      <c r="D15" s="2130">
        <f>C15+B15</f>
        <v>828.88494999999989</v>
      </c>
      <c r="E15" s="2129"/>
      <c r="F15" s="6391"/>
    </row>
    <row r="16" spans="1:6" ht="18">
      <c r="A16" s="6386" t="s">
        <v>986</v>
      </c>
      <c r="B16" s="6387"/>
      <c r="C16" s="6387"/>
      <c r="D16" s="6387"/>
      <c r="E16" s="6387"/>
      <c r="F16" s="6388"/>
    </row>
    <row r="17" spans="1:6">
      <c r="A17" s="2129" t="s">
        <v>994</v>
      </c>
      <c r="B17" s="2130">
        <v>22.66</v>
      </c>
      <c r="C17" s="2130">
        <v>25.95</v>
      </c>
      <c r="D17" s="2130"/>
      <c r="E17" s="2129"/>
      <c r="F17" s="6389">
        <f>$E$38*D20/$D$38</f>
        <v>404.91360275906646</v>
      </c>
    </row>
    <row r="18" spans="1:6">
      <c r="A18" s="2129" t="s">
        <v>995</v>
      </c>
      <c r="B18" s="2130">
        <f>объемы!K50/2</f>
        <v>1222.711</v>
      </c>
      <c r="C18" s="2130">
        <f>B18</f>
        <v>1222.711</v>
      </c>
      <c r="D18" s="2130">
        <f>C18+B18</f>
        <v>2445.422</v>
      </c>
      <c r="E18" s="2129"/>
      <c r="F18" s="6390"/>
    </row>
    <row r="19" spans="1:6">
      <c r="A19" s="2129" t="s">
        <v>996</v>
      </c>
      <c r="B19" s="2130">
        <f>B17*B18</f>
        <v>27706.631260000002</v>
      </c>
      <c r="C19" s="2130">
        <f>C17*C18</f>
        <v>31729.350449999998</v>
      </c>
      <c r="D19" s="2130">
        <f>C19+B19</f>
        <v>59435.98171</v>
      </c>
      <c r="E19" s="2129"/>
      <c r="F19" s="6390"/>
    </row>
    <row r="20" spans="1:6">
      <c r="A20" s="2129" t="s">
        <v>988</v>
      </c>
      <c r="B20" s="2130">
        <f>B19*0.02</f>
        <v>554.13262520000001</v>
      </c>
      <c r="C20" s="2130">
        <f>C19*0.02</f>
        <v>634.58700899999997</v>
      </c>
      <c r="D20" s="2130">
        <f>C20+B20</f>
        <v>1188.7196342</v>
      </c>
      <c r="E20" s="2129"/>
      <c r="F20" s="6391"/>
    </row>
    <row r="21" spans="1:6" ht="18">
      <c r="A21" s="6386" t="s">
        <v>987</v>
      </c>
      <c r="B21" s="6387"/>
      <c r="C21" s="6387"/>
      <c r="D21" s="6387"/>
      <c r="E21" s="6387"/>
      <c r="F21" s="6388"/>
    </row>
    <row r="22" spans="1:6">
      <c r="A22" s="2129" t="s">
        <v>994</v>
      </c>
      <c r="B22" s="2130">
        <v>18.350000000000001</v>
      </c>
      <c r="C22" s="2130">
        <v>21.01</v>
      </c>
      <c r="D22" s="2130"/>
      <c r="E22" s="2129"/>
      <c r="F22" s="6389">
        <f>$E$39*D25/$D$39</f>
        <v>353.60175784252925</v>
      </c>
    </row>
    <row r="23" spans="1:6">
      <c r="A23" s="2129" t="s">
        <v>995</v>
      </c>
      <c r="B23" s="2130">
        <f>объемы!K59/2</f>
        <v>1300</v>
      </c>
      <c r="C23" s="2130">
        <f>B23</f>
        <v>1300</v>
      </c>
      <c r="D23" s="2130">
        <f>C23+B23</f>
        <v>2600</v>
      </c>
      <c r="E23" s="2129"/>
      <c r="F23" s="6390"/>
    </row>
    <row r="24" spans="1:6">
      <c r="A24" s="2129" t="s">
        <v>996</v>
      </c>
      <c r="B24" s="2130">
        <f>B22*B23</f>
        <v>23855.000000000004</v>
      </c>
      <c r="C24" s="2130">
        <f>C22*C23</f>
        <v>27313.000000000004</v>
      </c>
      <c r="D24" s="2130">
        <f>C24+B24</f>
        <v>51168.000000000007</v>
      </c>
      <c r="E24" s="2129"/>
      <c r="F24" s="6390"/>
    </row>
    <row r="25" spans="1:6">
      <c r="A25" s="2129" t="s">
        <v>988</v>
      </c>
      <c r="B25" s="2130">
        <f>B24*0.02</f>
        <v>477.10000000000008</v>
      </c>
      <c r="C25" s="2130">
        <f>C24*0.02</f>
        <v>546.2600000000001</v>
      </c>
      <c r="D25" s="2130">
        <f>C25+B25</f>
        <v>1023.3600000000001</v>
      </c>
      <c r="E25" s="2129"/>
      <c r="F25" s="6391"/>
    </row>
    <row r="26" spans="1:6" ht="18">
      <c r="A26" s="6386" t="s">
        <v>997</v>
      </c>
      <c r="B26" s="6387"/>
      <c r="C26" s="6387"/>
      <c r="D26" s="6387"/>
      <c r="E26" s="6387"/>
      <c r="F26" s="6388"/>
    </row>
    <row r="27" spans="1:6">
      <c r="A27" s="2129" t="s">
        <v>999</v>
      </c>
      <c r="B27" s="2130">
        <f>C17</f>
        <v>25.95</v>
      </c>
      <c r="C27" s="2130">
        <v>28.6</v>
      </c>
      <c r="D27" s="2130"/>
      <c r="E27" s="2129"/>
      <c r="F27" s="6389">
        <f>$E$38*D30/$D$38</f>
        <v>451.25967189823564</v>
      </c>
    </row>
    <row r="28" spans="1:6">
      <c r="A28" s="2129" t="s">
        <v>995</v>
      </c>
      <c r="B28" s="2130">
        <f>объемы!U50/2</f>
        <v>1214.28</v>
      </c>
      <c r="C28" s="2130">
        <f>B28</f>
        <v>1214.28</v>
      </c>
      <c r="D28" s="2130">
        <f>C28+B28</f>
        <v>2428.56</v>
      </c>
      <c r="E28" s="2129"/>
      <c r="F28" s="6390"/>
    </row>
    <row r="29" spans="1:6">
      <c r="A29" s="2129" t="s">
        <v>996</v>
      </c>
      <c r="B29" s="2130">
        <f>B27*B28</f>
        <v>31510.565999999999</v>
      </c>
      <c r="C29" s="2130">
        <f>C27*C28</f>
        <v>34728.408000000003</v>
      </c>
      <c r="D29" s="2130">
        <f>C29+B29</f>
        <v>66238.974000000002</v>
      </c>
      <c r="E29" s="2129"/>
      <c r="F29" s="6390"/>
    </row>
    <row r="30" spans="1:6">
      <c r="A30" s="2129" t="s">
        <v>988</v>
      </c>
      <c r="B30" s="2130">
        <f>B29*0.02</f>
        <v>630.21132</v>
      </c>
      <c r="C30" s="2130">
        <f>C29*0.02</f>
        <v>694.56816000000003</v>
      </c>
      <c r="D30" s="2130">
        <f>C30+B30</f>
        <v>1324.7794800000001</v>
      </c>
      <c r="E30" s="2129"/>
      <c r="F30" s="6391"/>
    </row>
    <row r="31" spans="1:6" ht="18">
      <c r="A31" s="6386" t="s">
        <v>998</v>
      </c>
      <c r="B31" s="6387"/>
      <c r="C31" s="6387"/>
      <c r="D31" s="6387"/>
      <c r="E31" s="6387"/>
      <c r="F31" s="6388"/>
    </row>
    <row r="32" spans="1:6">
      <c r="A32" s="2129" t="s">
        <v>999</v>
      </c>
      <c r="B32" s="2130">
        <f>C22</f>
        <v>21.01</v>
      </c>
      <c r="C32" s="2130">
        <v>23.2</v>
      </c>
      <c r="D32" s="2130"/>
      <c r="E32" s="2129"/>
      <c r="F32" s="6389">
        <f>$E$39*D35/$D$39</f>
        <v>373.95376145643951</v>
      </c>
    </row>
    <row r="33" spans="1:6">
      <c r="A33" s="2129" t="s">
        <v>995</v>
      </c>
      <c r="B33" s="2130">
        <f>объемы!U59/2</f>
        <v>1224</v>
      </c>
      <c r="C33" s="2130">
        <f>B33</f>
        <v>1224</v>
      </c>
      <c r="D33" s="2130">
        <f>C33+B33</f>
        <v>2448</v>
      </c>
      <c r="E33" s="2129"/>
      <c r="F33" s="6390"/>
    </row>
    <row r="34" spans="1:6">
      <c r="A34" s="2129" t="s">
        <v>996</v>
      </c>
      <c r="B34" s="2130">
        <f>B32*B33</f>
        <v>25716.240000000002</v>
      </c>
      <c r="C34" s="2130">
        <f>C32*C33</f>
        <v>28396.799999999999</v>
      </c>
      <c r="D34" s="2130">
        <f>C34+B34</f>
        <v>54113.04</v>
      </c>
      <c r="E34" s="2129"/>
      <c r="F34" s="6390"/>
    </row>
    <row r="35" spans="1:6">
      <c r="A35" s="2129" t="s">
        <v>988</v>
      </c>
      <c r="B35" s="2130">
        <f>B34*0.02</f>
        <v>514.3248000000001</v>
      </c>
      <c r="C35" s="2130">
        <f>C34*0.02</f>
        <v>567.93600000000004</v>
      </c>
      <c r="D35" s="2130">
        <f>C35+B35</f>
        <v>1082.2608</v>
      </c>
      <c r="E35" s="2129"/>
      <c r="F35" s="6391"/>
    </row>
    <row r="36" spans="1:6" ht="18.75" customHeight="1">
      <c r="A36" s="2127" t="s">
        <v>631</v>
      </c>
      <c r="B36" s="2131"/>
      <c r="C36" s="2131"/>
      <c r="D36" s="2132">
        <f>D10+D15+D20+D25+D30+D35</f>
        <v>6610.3374642000008</v>
      </c>
      <c r="E36" s="2132">
        <f>(1993.71255+680.237)/1.18</f>
        <v>2266.0589406779659</v>
      </c>
      <c r="F36" s="2132">
        <f>F7+F12+F17+F22+F27+F32</f>
        <v>2266.0589406779659</v>
      </c>
    </row>
    <row r="37" spans="1:6">
      <c r="A37" s="2128" t="s">
        <v>239</v>
      </c>
      <c r="B37" s="2126"/>
      <c r="C37" s="2126"/>
      <c r="D37" s="2133"/>
      <c r="E37" s="2133"/>
      <c r="F37" s="2126"/>
    </row>
    <row r="38" spans="1:6" ht="19.5" customHeight="1">
      <c r="A38" s="2128" t="s">
        <v>46</v>
      </c>
      <c r="B38" s="2126"/>
      <c r="C38" s="2126"/>
      <c r="D38" s="2134">
        <f>D10+D20+D30</f>
        <v>3675.8317142000001</v>
      </c>
      <c r="E38" s="2134">
        <f>E36*D43/(D43+D44)</f>
        <v>1252.0986612073889</v>
      </c>
      <c r="F38" s="6378" t="s">
        <v>1513</v>
      </c>
    </row>
    <row r="39" spans="1:6" ht="19.5" customHeight="1">
      <c r="A39" s="2128" t="s">
        <v>47</v>
      </c>
      <c r="B39" s="2126"/>
      <c r="C39" s="2126"/>
      <c r="D39" s="2134">
        <f>D15+D25+D35</f>
        <v>2934.5057500000003</v>
      </c>
      <c r="E39" s="2134">
        <f>E36-E38</f>
        <v>1013.960279470577</v>
      </c>
      <c r="F39" s="6379"/>
    </row>
    <row r="42" spans="1:6">
      <c r="C42" t="s">
        <v>1511</v>
      </c>
    </row>
    <row r="43" spans="1:6">
      <c r="C43" t="s">
        <v>299</v>
      </c>
      <c r="D43" s="127">
        <f>(19.14+22.66)/2</f>
        <v>20.9</v>
      </c>
    </row>
    <row r="44" spans="1:6">
      <c r="C44" t="s">
        <v>330</v>
      </c>
      <c r="D44">
        <f>(15.5+18.35)/2</f>
        <v>16.925000000000001</v>
      </c>
    </row>
  </sheetData>
  <mergeCells count="18">
    <mergeCell ref="A2:F2"/>
    <mergeCell ref="F4:F5"/>
    <mergeCell ref="A6:F6"/>
    <mergeCell ref="A11:F11"/>
    <mergeCell ref="A16:F16"/>
    <mergeCell ref="F7:F10"/>
    <mergeCell ref="F12:F15"/>
    <mergeCell ref="F38:F39"/>
    <mergeCell ref="A4:A5"/>
    <mergeCell ref="B4:D4"/>
    <mergeCell ref="E4:E5"/>
    <mergeCell ref="A26:F26"/>
    <mergeCell ref="A21:F21"/>
    <mergeCell ref="F32:F35"/>
    <mergeCell ref="A31:F31"/>
    <mergeCell ref="F17:F20"/>
    <mergeCell ref="F22:F25"/>
    <mergeCell ref="F27:F30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84" orientation="landscape" r:id="rId1"/>
</worksheet>
</file>

<file path=xl/worksheets/sheet47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F44"/>
  <sheetViews>
    <sheetView topLeftCell="A11" workbookViewId="0">
      <selection activeCell="A2" sqref="A2:F39"/>
    </sheetView>
  </sheetViews>
  <sheetFormatPr defaultRowHeight="12.75"/>
  <cols>
    <col min="1" max="1" width="37.7109375" style="5" customWidth="1"/>
    <col min="2" max="2" width="15" style="5" customWidth="1"/>
    <col min="3" max="3" width="14.140625" style="5" customWidth="1"/>
    <col min="4" max="4" width="15.85546875" style="5" customWidth="1"/>
    <col min="5" max="5" width="23" style="5" customWidth="1"/>
    <col min="6" max="6" width="25" style="5" customWidth="1"/>
    <col min="7" max="16384" width="9.140625" style="5"/>
  </cols>
  <sheetData>
    <row r="1" spans="1:6">
      <c r="F1" s="5" t="s">
        <v>1543</v>
      </c>
    </row>
    <row r="2" spans="1:6" ht="18.75">
      <c r="A2" s="5154" t="s">
        <v>1509</v>
      </c>
      <c r="B2" s="5154"/>
      <c r="C2" s="5154"/>
      <c r="D2" s="5154"/>
      <c r="E2" s="5154"/>
      <c r="F2" s="5154"/>
    </row>
    <row r="3" spans="1:6" ht="18.75">
      <c r="A3" s="3914"/>
      <c r="B3" s="3914"/>
      <c r="C3" s="3914"/>
      <c r="D3" s="3914"/>
      <c r="E3" s="3914"/>
    </row>
    <row r="4" spans="1:6" ht="27.75" customHeight="1">
      <c r="A4" s="6349"/>
      <c r="B4" s="6351" t="s">
        <v>1510</v>
      </c>
      <c r="C4" s="6352"/>
      <c r="D4" s="6353"/>
      <c r="E4" s="6354" t="s">
        <v>1512</v>
      </c>
      <c r="F4" s="6355" t="s">
        <v>1514</v>
      </c>
    </row>
    <row r="5" spans="1:6" ht="33.75" customHeight="1">
      <c r="A5" s="6350"/>
      <c r="B5" s="3915" t="s">
        <v>992</v>
      </c>
      <c r="C5" s="3915" t="s">
        <v>993</v>
      </c>
      <c r="D5" s="3915" t="s">
        <v>54</v>
      </c>
      <c r="E5" s="6354"/>
      <c r="F5" s="6356"/>
    </row>
    <row r="6" spans="1:6" ht="18.75">
      <c r="A6" s="6345" t="s">
        <v>984</v>
      </c>
      <c r="B6" s="6346"/>
      <c r="C6" s="6346"/>
      <c r="D6" s="6346"/>
      <c r="E6" s="6346"/>
      <c r="F6" s="6347"/>
    </row>
    <row r="7" spans="1:6">
      <c r="A7" s="3916" t="s">
        <v>989</v>
      </c>
      <c r="B7" s="3917">
        <v>19.14</v>
      </c>
      <c r="C7" s="3917">
        <v>22.66</v>
      </c>
      <c r="D7" s="3917"/>
      <c r="E7" s="3916"/>
      <c r="F7" s="6342">
        <f>$E$38*D10/$D$38</f>
        <v>404.68008972764159</v>
      </c>
    </row>
    <row r="8" spans="1:6">
      <c r="A8" s="3916" t="s">
        <v>990</v>
      </c>
      <c r="B8" s="3917">
        <f>2780.7/2</f>
        <v>1390.35</v>
      </c>
      <c r="C8" s="3917">
        <f>B8</f>
        <v>1390.35</v>
      </c>
      <c r="D8" s="3917">
        <f>C8+B8</f>
        <v>2780.7</v>
      </c>
      <c r="E8" s="3916"/>
      <c r="F8" s="6343"/>
    </row>
    <row r="9" spans="1:6">
      <c r="A9" s="3916" t="s">
        <v>991</v>
      </c>
      <c r="B9" s="3917">
        <f>B7*B8</f>
        <v>26611.298999999999</v>
      </c>
      <c r="C9" s="3917">
        <f>C7*C8</f>
        <v>31505.330999999998</v>
      </c>
      <c r="D9" s="3917">
        <f>C9+B9</f>
        <v>58116.63</v>
      </c>
      <c r="E9" s="3916"/>
      <c r="F9" s="6343"/>
    </row>
    <row r="10" spans="1:6">
      <c r="A10" s="3916" t="s">
        <v>988</v>
      </c>
      <c r="B10" s="3917">
        <f>B9*0.02</f>
        <v>532.22597999999994</v>
      </c>
      <c r="C10" s="3917">
        <f>C9*0.02</f>
        <v>630.10662000000002</v>
      </c>
      <c r="D10" s="3917">
        <f>C10+B10</f>
        <v>1162.3326</v>
      </c>
      <c r="E10" s="3916"/>
      <c r="F10" s="6344"/>
    </row>
    <row r="11" spans="1:6" ht="18.75">
      <c r="A11" s="6345" t="s">
        <v>985</v>
      </c>
      <c r="B11" s="6346"/>
      <c r="C11" s="6346"/>
      <c r="D11" s="6346"/>
      <c r="E11" s="6346"/>
      <c r="F11" s="6347"/>
    </row>
    <row r="12" spans="1:6">
      <c r="A12" s="3916" t="s">
        <v>344</v>
      </c>
      <c r="B12" s="3917">
        <v>15.5</v>
      </c>
      <c r="C12" s="3917">
        <v>18.350000000000001</v>
      </c>
      <c r="D12" s="3917"/>
      <c r="E12" s="3916"/>
      <c r="F12" s="6342">
        <f>$E$39*D15/$D$39</f>
        <v>308.28746204765474</v>
      </c>
    </row>
    <row r="13" spans="1:6">
      <c r="A13" s="3916" t="s">
        <v>982</v>
      </c>
      <c r="B13" s="3917">
        <f>2448.7/2</f>
        <v>1224.3499999999999</v>
      </c>
      <c r="C13" s="3917">
        <f>B13</f>
        <v>1224.3499999999999</v>
      </c>
      <c r="D13" s="3917">
        <f>C13+B13</f>
        <v>2448.6999999999998</v>
      </c>
      <c r="E13" s="3916"/>
      <c r="F13" s="6343"/>
    </row>
    <row r="14" spans="1:6">
      <c r="A14" s="3916" t="s">
        <v>983</v>
      </c>
      <c r="B14" s="3917">
        <f>B12*B13</f>
        <v>18977.424999999999</v>
      </c>
      <c r="C14" s="3917">
        <f>C12*C13</f>
        <v>22466.822499999998</v>
      </c>
      <c r="D14" s="3917">
        <f>C14+B14</f>
        <v>41444.247499999998</v>
      </c>
      <c r="E14" s="3916"/>
      <c r="F14" s="6343"/>
    </row>
    <row r="15" spans="1:6">
      <c r="A15" s="3916" t="s">
        <v>988</v>
      </c>
      <c r="B15" s="3917">
        <f>B14*0.02</f>
        <v>379.54849999999999</v>
      </c>
      <c r="C15" s="3917">
        <f>C14*0.02</f>
        <v>449.33644999999996</v>
      </c>
      <c r="D15" s="3917">
        <f>C15+B15</f>
        <v>828.88494999999989</v>
      </c>
      <c r="E15" s="3916"/>
      <c r="F15" s="6344"/>
    </row>
    <row r="16" spans="1:6" ht="18.75">
      <c r="A16" s="6335" t="s">
        <v>986</v>
      </c>
      <c r="B16" s="6336"/>
      <c r="C16" s="6336"/>
      <c r="D16" s="6336"/>
      <c r="E16" s="6336"/>
      <c r="F16" s="6337"/>
    </row>
    <row r="17" spans="1:6">
      <c r="A17" s="3918" t="s">
        <v>994</v>
      </c>
      <c r="B17" s="3919">
        <v>22.66</v>
      </c>
      <c r="C17" s="3919">
        <v>25.95</v>
      </c>
      <c r="D17" s="3919"/>
      <c r="E17" s="3918"/>
      <c r="F17" s="6338">
        <f>$E$38*D20/$D$38</f>
        <v>402.43275458802771</v>
      </c>
    </row>
    <row r="18" spans="1:6">
      <c r="A18" s="3918" t="s">
        <v>995</v>
      </c>
      <c r="B18" s="3919">
        <f>D18/2</f>
        <v>1188.93</v>
      </c>
      <c r="C18" s="3919">
        <f>B18</f>
        <v>1188.93</v>
      </c>
      <c r="D18" s="3919">
        <f>[26]объемы!R48</f>
        <v>2377.86</v>
      </c>
      <c r="E18" s="3918"/>
      <c r="F18" s="6339"/>
    </row>
    <row r="19" spans="1:6">
      <c r="A19" s="3918" t="s">
        <v>996</v>
      </c>
      <c r="B19" s="3919">
        <f>B17*B18</f>
        <v>26941.1538</v>
      </c>
      <c r="C19" s="3919">
        <f>C17*C18</f>
        <v>30852.733500000002</v>
      </c>
      <c r="D19" s="3919">
        <f>C19+B19</f>
        <v>57793.887300000002</v>
      </c>
      <c r="E19" s="3918"/>
      <c r="F19" s="6339"/>
    </row>
    <row r="20" spans="1:6">
      <c r="A20" s="3918" t="s">
        <v>988</v>
      </c>
      <c r="B20" s="3919">
        <f>B19*0.02</f>
        <v>538.82307600000001</v>
      </c>
      <c r="C20" s="3919">
        <f>C19*0.02</f>
        <v>617.0546700000001</v>
      </c>
      <c r="D20" s="3919">
        <f>C20+B20</f>
        <v>1155.8777460000001</v>
      </c>
      <c r="E20" s="3918"/>
      <c r="F20" s="6340"/>
    </row>
    <row r="21" spans="1:6" ht="18.75">
      <c r="A21" s="6335" t="s">
        <v>987</v>
      </c>
      <c r="B21" s="6336"/>
      <c r="C21" s="6336"/>
      <c r="D21" s="6336"/>
      <c r="E21" s="6336"/>
      <c r="F21" s="6337"/>
    </row>
    <row r="22" spans="1:6">
      <c r="A22" s="3918" t="s">
        <v>994</v>
      </c>
      <c r="B22" s="3919">
        <v>18.350000000000001</v>
      </c>
      <c r="C22" s="3919">
        <v>21.01</v>
      </c>
      <c r="D22" s="3919"/>
      <c r="E22" s="3918"/>
      <c r="F22" s="6338">
        <f>$E$39*D25/$D$39</f>
        <v>335.16691316237751</v>
      </c>
    </row>
    <row r="23" spans="1:6">
      <c r="A23" s="3918" t="s">
        <v>995</v>
      </c>
      <c r="B23" s="3919">
        <f>D23/2</f>
        <v>1144.76</v>
      </c>
      <c r="C23" s="3919">
        <f>B23</f>
        <v>1144.76</v>
      </c>
      <c r="D23" s="3919">
        <f>[26]объемы!R58</f>
        <v>2289.52</v>
      </c>
      <c r="E23" s="3918"/>
      <c r="F23" s="6339"/>
    </row>
    <row r="24" spans="1:6">
      <c r="A24" s="3918" t="s">
        <v>996</v>
      </c>
      <c r="B24" s="3919">
        <f>B22*B23</f>
        <v>21006.346000000001</v>
      </c>
      <c r="C24" s="3919">
        <f>C22*C23</f>
        <v>24051.407600000002</v>
      </c>
      <c r="D24" s="3919">
        <f>C24+B24</f>
        <v>45057.753600000004</v>
      </c>
      <c r="E24" s="3918"/>
      <c r="F24" s="6339"/>
    </row>
    <row r="25" spans="1:6">
      <c r="A25" s="3918" t="s">
        <v>988</v>
      </c>
      <c r="B25" s="3919">
        <f>B24*0.02</f>
        <v>420.12692000000004</v>
      </c>
      <c r="C25" s="3919">
        <f>C24*0.02</f>
        <v>481.02815200000003</v>
      </c>
      <c r="D25" s="3919">
        <f>C25+B25</f>
        <v>901.15507200000002</v>
      </c>
      <c r="E25" s="3918"/>
      <c r="F25" s="6340"/>
    </row>
    <row r="26" spans="1:6" ht="18.75">
      <c r="A26" s="6394" t="s">
        <v>997</v>
      </c>
      <c r="B26" s="6395"/>
      <c r="C26" s="6395"/>
      <c r="D26" s="6395"/>
      <c r="E26" s="6395"/>
      <c r="F26" s="6396"/>
    </row>
    <row r="27" spans="1:6">
      <c r="A27" s="3916" t="s">
        <v>999</v>
      </c>
      <c r="B27" s="3917">
        <f>C17</f>
        <v>25.95</v>
      </c>
      <c r="C27" s="3917">
        <v>27.8</v>
      </c>
      <c r="D27" s="3917"/>
      <c r="E27" s="3916"/>
      <c r="F27" s="6342">
        <f>$E$38*D30/$D$38</f>
        <v>444.98581689171959</v>
      </c>
    </row>
    <row r="28" spans="1:6">
      <c r="A28" s="3916" t="s">
        <v>995</v>
      </c>
      <c r="B28" s="3917">
        <f>SUM(B18)</f>
        <v>1188.93</v>
      </c>
      <c r="C28" s="3917">
        <f>B28</f>
        <v>1188.93</v>
      </c>
      <c r="D28" s="3917">
        <f>C28+B28</f>
        <v>2377.86</v>
      </c>
      <c r="E28" s="3916"/>
      <c r="F28" s="6343"/>
    </row>
    <row r="29" spans="1:6">
      <c r="A29" s="3916" t="s">
        <v>996</v>
      </c>
      <c r="B29" s="3917">
        <f>B27*B28</f>
        <v>30852.733500000002</v>
      </c>
      <c r="C29" s="3917">
        <f>C27*C28</f>
        <v>33052.254000000001</v>
      </c>
      <c r="D29" s="3917">
        <f>C29+B29</f>
        <v>63904.987500000003</v>
      </c>
      <c r="E29" s="3916"/>
      <c r="F29" s="6343"/>
    </row>
    <row r="30" spans="1:6">
      <c r="A30" s="3916" t="s">
        <v>988</v>
      </c>
      <c r="B30" s="3917">
        <f>B29*0.02</f>
        <v>617.0546700000001</v>
      </c>
      <c r="C30" s="3917">
        <f>C29*0.02</f>
        <v>661.04507999999998</v>
      </c>
      <c r="D30" s="3917">
        <f>C30+B30</f>
        <v>1278.0997500000001</v>
      </c>
      <c r="E30" s="3916"/>
      <c r="F30" s="6344"/>
    </row>
    <row r="31" spans="1:6" ht="18.75">
      <c r="A31" s="6394" t="s">
        <v>998</v>
      </c>
      <c r="B31" s="6395"/>
      <c r="C31" s="6395"/>
      <c r="D31" s="6395"/>
      <c r="E31" s="6395"/>
      <c r="F31" s="6396"/>
    </row>
    <row r="32" spans="1:6">
      <c r="A32" s="3916" t="s">
        <v>999</v>
      </c>
      <c r="B32" s="3917">
        <f>C22</f>
        <v>21.01</v>
      </c>
      <c r="C32" s="3917">
        <v>22.5</v>
      </c>
      <c r="D32" s="3917"/>
      <c r="E32" s="3916"/>
      <c r="F32" s="6342">
        <f>$E$39*D35/$D$39</f>
        <v>370.50590426054475</v>
      </c>
    </row>
    <row r="33" spans="1:6">
      <c r="A33" s="3916" t="s">
        <v>995</v>
      </c>
      <c r="B33" s="3917">
        <f>SUM(B23)</f>
        <v>1144.76</v>
      </c>
      <c r="C33" s="3917">
        <f>B33</f>
        <v>1144.76</v>
      </c>
      <c r="D33" s="3917">
        <f>C33+B33</f>
        <v>2289.52</v>
      </c>
      <c r="E33" s="3916"/>
      <c r="F33" s="6343"/>
    </row>
    <row r="34" spans="1:6">
      <c r="A34" s="3916" t="s">
        <v>996</v>
      </c>
      <c r="B34" s="3917">
        <f>B32*B33</f>
        <v>24051.407600000002</v>
      </c>
      <c r="C34" s="3917">
        <f>C32*C33</f>
        <v>25757.1</v>
      </c>
      <c r="D34" s="3917">
        <f>C34+B34</f>
        <v>49808.507599999997</v>
      </c>
      <c r="E34" s="3916"/>
      <c r="F34" s="6343"/>
    </row>
    <row r="35" spans="1:6">
      <c r="A35" s="3916" t="s">
        <v>988</v>
      </c>
      <c r="B35" s="3917">
        <f>B34*0.02</f>
        <v>481.02815200000003</v>
      </c>
      <c r="C35" s="3917">
        <f>C34*0.02</f>
        <v>515.14199999999994</v>
      </c>
      <c r="D35" s="3917">
        <f>C35+B35</f>
        <v>996.17015199999992</v>
      </c>
      <c r="E35" s="3916"/>
      <c r="F35" s="6344"/>
    </row>
    <row r="36" spans="1:6" ht="18.75" customHeight="1">
      <c r="A36" s="3920" t="s">
        <v>631</v>
      </c>
      <c r="B36" s="3921"/>
      <c r="C36" s="3921"/>
      <c r="D36" s="3922">
        <f>D10+D15+D20+D25+D30+D35</f>
        <v>6322.52027</v>
      </c>
      <c r="E36" s="3922">
        <f>(1993.71255+680.237)/1.18</f>
        <v>2266.0589406779659</v>
      </c>
      <c r="F36" s="3922">
        <f>F7+F12+F17+F22+F27+F32</f>
        <v>2266.0589406779659</v>
      </c>
    </row>
    <row r="37" spans="1:6">
      <c r="A37" s="3923" t="s">
        <v>239</v>
      </c>
      <c r="B37" s="3916"/>
      <c r="C37" s="3916"/>
      <c r="D37" s="3924"/>
      <c r="E37" s="3924"/>
      <c r="F37" s="3916"/>
    </row>
    <row r="38" spans="1:6" ht="19.5" customHeight="1">
      <c r="A38" s="3923" t="s">
        <v>46</v>
      </c>
      <c r="B38" s="3916"/>
      <c r="C38" s="3916"/>
      <c r="D38" s="3925">
        <f>D10+D20+D30</f>
        <v>3596.3100960000002</v>
      </c>
      <c r="E38" s="3925">
        <f>E36*D43/(D43+D44)</f>
        <v>1252.0986612073889</v>
      </c>
      <c r="F38" s="6341" t="s">
        <v>1513</v>
      </c>
    </row>
    <row r="39" spans="1:6" ht="19.5" customHeight="1">
      <c r="A39" s="3923" t="s">
        <v>47</v>
      </c>
      <c r="B39" s="3916"/>
      <c r="C39" s="3916"/>
      <c r="D39" s="3925">
        <f>D15+D25+D35</f>
        <v>2726.2101739999998</v>
      </c>
      <c r="E39" s="3925">
        <f>E36-E38</f>
        <v>1013.960279470577</v>
      </c>
      <c r="F39" s="5728"/>
    </row>
    <row r="42" spans="1:6">
      <c r="C42" s="5" t="s">
        <v>1511</v>
      </c>
    </row>
    <row r="43" spans="1:6">
      <c r="C43" s="5" t="s">
        <v>299</v>
      </c>
      <c r="D43" s="3926">
        <f>(19.14+22.66)/2</f>
        <v>20.9</v>
      </c>
    </row>
    <row r="44" spans="1:6">
      <c r="C44" s="5" t="s">
        <v>330</v>
      </c>
      <c r="D44" s="5">
        <f>(15.5+18.35)/2</f>
        <v>16.925000000000001</v>
      </c>
    </row>
  </sheetData>
  <mergeCells count="18">
    <mergeCell ref="F38:F39"/>
    <mergeCell ref="F7:F10"/>
    <mergeCell ref="A11:F11"/>
    <mergeCell ref="F12:F15"/>
    <mergeCell ref="A16:F16"/>
    <mergeCell ref="F17:F20"/>
    <mergeCell ref="A21:F21"/>
    <mergeCell ref="F22:F25"/>
    <mergeCell ref="A26:F26"/>
    <mergeCell ref="F27:F30"/>
    <mergeCell ref="A31:F31"/>
    <mergeCell ref="F32:F35"/>
    <mergeCell ref="A6:F6"/>
    <mergeCell ref="A2:F2"/>
    <mergeCell ref="A4:A5"/>
    <mergeCell ref="B4:D4"/>
    <mergeCell ref="E4:E5"/>
    <mergeCell ref="F4:F5"/>
  </mergeCells>
  <pageMargins left="0.70866141732283472" right="0.70866141732283472" top="0.74803149606299213" bottom="0.74803149606299213" header="0.31496062992125984" footer="0.31496062992125984"/>
  <pageSetup paperSize="9" scale="67" orientation="portrait" horizontalDpi="0" verticalDpi="0" r:id="rId1"/>
</worksheet>
</file>

<file path=xl/worksheets/sheet48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M25"/>
  <sheetViews>
    <sheetView topLeftCell="A21" workbookViewId="0">
      <selection activeCell="C32" sqref="C32"/>
    </sheetView>
  </sheetViews>
  <sheetFormatPr defaultRowHeight="12.75"/>
  <cols>
    <col min="1" max="1" width="22.7109375" customWidth="1"/>
    <col min="2" max="2" width="22.28515625" customWidth="1"/>
    <col min="3" max="3" width="17.5703125" customWidth="1"/>
    <col min="6" max="6" width="22.7109375" customWidth="1"/>
    <col min="7" max="7" width="17.5703125" customWidth="1"/>
    <col min="10" max="10" width="22.7109375" customWidth="1"/>
    <col min="11" max="11" width="17.5703125" customWidth="1"/>
  </cols>
  <sheetData>
    <row r="1" spans="1:13">
      <c r="A1" s="5021" t="s">
        <v>1544</v>
      </c>
      <c r="B1" s="5021"/>
      <c r="C1" s="5021"/>
      <c r="D1" s="5021"/>
      <c r="E1" s="5021"/>
      <c r="F1" s="5021"/>
      <c r="G1" s="5021"/>
      <c r="H1" s="5021"/>
      <c r="I1" s="5021"/>
      <c r="J1" s="5021"/>
      <c r="K1" s="5021"/>
      <c r="L1" s="5021"/>
      <c r="M1" s="5021"/>
    </row>
    <row r="2" spans="1:13" ht="18">
      <c r="A2" s="6411" t="s">
        <v>525</v>
      </c>
      <c r="B2" s="6411"/>
      <c r="C2" s="6411"/>
      <c r="D2" s="6411"/>
      <c r="E2" s="6411"/>
      <c r="F2" s="6412"/>
      <c r="G2" s="6412"/>
      <c r="H2" s="6412"/>
      <c r="I2" s="6412"/>
      <c r="J2" s="4942"/>
      <c r="K2" s="4942"/>
      <c r="L2" s="4942"/>
      <c r="M2" s="4942"/>
    </row>
    <row r="3" spans="1:13" ht="13.5" thickBot="1">
      <c r="A3" s="6416"/>
      <c r="B3" s="6417"/>
      <c r="C3" s="6417"/>
      <c r="D3" s="6417"/>
      <c r="E3" s="6417"/>
      <c r="F3" s="6417"/>
      <c r="G3" s="6417"/>
      <c r="H3" s="6417"/>
      <c r="I3" s="6417"/>
    </row>
    <row r="4" spans="1:13" ht="13.5" thickBot="1">
      <c r="A4" s="6401" t="s">
        <v>401</v>
      </c>
      <c r="B4" s="6402"/>
      <c r="C4" s="6402"/>
      <c r="D4" s="6402"/>
      <c r="E4" s="6402"/>
      <c r="F4" s="6402"/>
      <c r="G4" s="6402"/>
      <c r="H4" s="6402"/>
      <c r="I4" s="6402"/>
      <c r="J4" s="5389"/>
      <c r="K4" s="5389"/>
      <c r="L4" s="5389"/>
      <c r="M4" s="5390"/>
    </row>
    <row r="5" spans="1:13" ht="51">
      <c r="A5" s="1238" t="s">
        <v>401</v>
      </c>
      <c r="B5" s="1241" t="s">
        <v>526</v>
      </c>
      <c r="C5" s="981" t="s">
        <v>527</v>
      </c>
      <c r="D5" s="6405" t="s">
        <v>246</v>
      </c>
      <c r="E5" s="6406"/>
      <c r="F5" s="1241" t="s">
        <v>869</v>
      </c>
      <c r="G5" s="981" t="s">
        <v>856</v>
      </c>
      <c r="H5" s="6405" t="s">
        <v>246</v>
      </c>
      <c r="I5" s="6406"/>
      <c r="J5" s="2863" t="s">
        <v>903</v>
      </c>
      <c r="K5" s="1305" t="s">
        <v>1674</v>
      </c>
      <c r="L5" s="6405" t="s">
        <v>246</v>
      </c>
      <c r="M5" s="6406"/>
    </row>
    <row r="6" spans="1:13">
      <c r="A6" s="1239" t="s">
        <v>285</v>
      </c>
      <c r="B6" s="1242">
        <v>2243</v>
      </c>
      <c r="C6" s="1163"/>
      <c r="D6" s="6397"/>
      <c r="E6" s="6398"/>
      <c r="F6" s="1318">
        <v>0</v>
      </c>
      <c r="G6" s="1163"/>
      <c r="H6" s="6397"/>
      <c r="I6" s="6398"/>
      <c r="J6" s="2864">
        <v>0</v>
      </c>
      <c r="K6" s="1163"/>
      <c r="L6" s="6397"/>
      <c r="M6" s="6398"/>
    </row>
    <row r="7" spans="1:13">
      <c r="A7" s="1239" t="s">
        <v>286</v>
      </c>
      <c r="B7" s="1242">
        <v>3073.1</v>
      </c>
      <c r="C7" s="1236">
        <v>1287.3</v>
      </c>
      <c r="D7" s="6403" t="s">
        <v>250</v>
      </c>
      <c r="E7" s="6404"/>
      <c r="F7" s="1318">
        <v>0</v>
      </c>
      <c r="G7" s="1236">
        <f>B7-C7</f>
        <v>1785.8</v>
      </c>
      <c r="H7" s="6403" t="s">
        <v>250</v>
      </c>
      <c r="I7" s="6404"/>
      <c r="J7" s="2864">
        <f>8296.65-7550.3</f>
        <v>746.34999999999945</v>
      </c>
      <c r="K7" s="1236">
        <v>746.35</v>
      </c>
      <c r="L7" s="6403" t="s">
        <v>250</v>
      </c>
      <c r="M7" s="6404"/>
    </row>
    <row r="8" spans="1:13">
      <c r="A8" s="1239" t="s">
        <v>287</v>
      </c>
      <c r="B8" s="1242">
        <v>212.2</v>
      </c>
      <c r="C8" s="1163"/>
      <c r="D8" s="6397"/>
      <c r="E8" s="6398"/>
      <c r="F8" s="1318">
        <v>0</v>
      </c>
      <c r="G8" s="1163"/>
      <c r="H8" s="6397"/>
      <c r="I8" s="6398"/>
      <c r="J8" s="2864">
        <v>0</v>
      </c>
      <c r="K8" s="1163"/>
      <c r="L8" s="6397"/>
      <c r="M8" s="6398"/>
    </row>
    <row r="9" spans="1:13">
      <c r="A9" s="1239" t="s">
        <v>288</v>
      </c>
      <c r="B9" s="1242">
        <v>475.4</v>
      </c>
      <c r="C9" s="1163"/>
      <c r="D9" s="6397"/>
      <c r="E9" s="6398"/>
      <c r="F9" s="1318">
        <v>0</v>
      </c>
      <c r="G9" s="1163"/>
      <c r="H9" s="6397"/>
      <c r="I9" s="6398"/>
      <c r="J9" s="2864">
        <v>0</v>
      </c>
      <c r="K9" s="1163"/>
      <c r="L9" s="6397"/>
      <c r="M9" s="6398"/>
    </row>
    <row r="10" spans="1:13" ht="52.5" customHeight="1">
      <c r="A10" s="2859" t="s">
        <v>289</v>
      </c>
      <c r="B10" s="2860">
        <v>2249.5</v>
      </c>
      <c r="C10" s="2861"/>
      <c r="D10" s="6414"/>
      <c r="E10" s="6415"/>
      <c r="F10" s="2862">
        <v>2840.9</v>
      </c>
      <c r="G10" s="2861"/>
      <c r="H10" s="6407" t="s">
        <v>1000</v>
      </c>
      <c r="I10" s="6408"/>
      <c r="J10" s="2865">
        <f>5707.19-3968.31</f>
        <v>1738.8799999999997</v>
      </c>
      <c r="K10" s="2861">
        <v>1206.25</v>
      </c>
      <c r="L10" s="6407"/>
      <c r="M10" s="6408"/>
    </row>
    <row r="11" spans="1:13">
      <c r="A11" s="1239" t="s">
        <v>290</v>
      </c>
      <c r="B11" s="1242">
        <v>3333.9</v>
      </c>
      <c r="C11" s="1163"/>
      <c r="D11" s="6397"/>
      <c r="E11" s="6398"/>
      <c r="F11" s="1318">
        <v>0</v>
      </c>
      <c r="G11" s="1163"/>
      <c r="H11" s="6397"/>
      <c r="I11" s="6398"/>
      <c r="J11" s="2864">
        <v>0</v>
      </c>
      <c r="K11" s="1163"/>
      <c r="L11" s="6397"/>
      <c r="M11" s="6398"/>
    </row>
    <row r="12" spans="1:13" ht="26.25" customHeight="1">
      <c r="A12" s="1239" t="s">
        <v>291</v>
      </c>
      <c r="B12" s="1242">
        <v>2188.5</v>
      </c>
      <c r="C12" s="1163"/>
      <c r="D12" s="6397"/>
      <c r="E12" s="6398"/>
      <c r="F12" s="1318">
        <v>0</v>
      </c>
      <c r="G12" s="1163"/>
      <c r="H12" s="6397"/>
      <c r="I12" s="6398"/>
      <c r="J12" s="2864">
        <v>500</v>
      </c>
      <c r="K12" s="1163"/>
      <c r="L12" s="6409" t="s">
        <v>1675</v>
      </c>
      <c r="M12" s="6410"/>
    </row>
    <row r="13" spans="1:13">
      <c r="A13" s="1239" t="s">
        <v>292</v>
      </c>
      <c r="B13" s="1242">
        <v>557.1</v>
      </c>
      <c r="C13" s="1163"/>
      <c r="D13" s="6397"/>
      <c r="E13" s="6398"/>
      <c r="F13" s="1318">
        <v>0</v>
      </c>
      <c r="G13" s="1236"/>
      <c r="H13" s="6397"/>
      <c r="I13" s="6398"/>
      <c r="J13" s="2864">
        <f>4009.77-3223.17</f>
        <v>786.59999999999991</v>
      </c>
      <c r="K13" s="1236">
        <v>301.77999999999997</v>
      </c>
      <c r="L13" s="6397" t="s">
        <v>1699</v>
      </c>
      <c r="M13" s="6398"/>
    </row>
    <row r="14" spans="1:13" ht="13.5" thickBot="1">
      <c r="A14" s="1240" t="s">
        <v>293</v>
      </c>
      <c r="B14" s="1243">
        <f>SUM(B6:B13)</f>
        <v>14332.7</v>
      </c>
      <c r="C14" s="1237">
        <f>SUM(C6:C13)</f>
        <v>1287.3</v>
      </c>
      <c r="D14" s="6399"/>
      <c r="E14" s="6400"/>
      <c r="F14" s="1243">
        <f>SUM(F6:F13)</f>
        <v>2840.9</v>
      </c>
      <c r="G14" s="1237">
        <f>SUM(G6:G13)</f>
        <v>1785.8</v>
      </c>
      <c r="H14" s="6399"/>
      <c r="I14" s="6400"/>
      <c r="J14" s="2866">
        <f>SUM(J6:J13)</f>
        <v>3771.829999999999</v>
      </c>
      <c r="K14" s="1237">
        <f>SUM(K6:K13)</f>
        <v>2254.38</v>
      </c>
      <c r="L14" s="6399"/>
      <c r="M14" s="6400"/>
    </row>
    <row r="15" spans="1:13" ht="13.5" thickBot="1">
      <c r="A15" s="6401" t="s">
        <v>405</v>
      </c>
      <c r="B15" s="6413"/>
      <c r="C15" s="6413"/>
      <c r="D15" s="6413"/>
      <c r="E15" s="6413"/>
      <c r="F15" s="6413"/>
      <c r="G15" s="6413"/>
      <c r="H15" s="6413"/>
      <c r="I15" s="6413"/>
      <c r="J15" s="5389"/>
      <c r="K15" s="5389"/>
      <c r="L15" s="5389"/>
      <c r="M15" s="5390"/>
    </row>
    <row r="16" spans="1:13" ht="51">
      <c r="A16" s="1238" t="s">
        <v>405</v>
      </c>
      <c r="B16" s="1241" t="s">
        <v>869</v>
      </c>
      <c r="C16" s="981" t="s">
        <v>527</v>
      </c>
      <c r="D16" s="6405" t="s">
        <v>246</v>
      </c>
      <c r="E16" s="6406"/>
      <c r="F16" s="1241" t="s">
        <v>526</v>
      </c>
      <c r="G16" s="1305" t="s">
        <v>856</v>
      </c>
      <c r="H16" s="6405" t="s">
        <v>246</v>
      </c>
      <c r="I16" s="6406"/>
      <c r="J16" s="2863" t="s">
        <v>903</v>
      </c>
      <c r="K16" s="1305" t="s">
        <v>1674</v>
      </c>
      <c r="L16" s="6405" t="s">
        <v>246</v>
      </c>
      <c r="M16" s="6406"/>
    </row>
    <row r="17" spans="1:13">
      <c r="A17" s="1239" t="s">
        <v>285</v>
      </c>
      <c r="B17" s="1242">
        <v>0</v>
      </c>
      <c r="C17" s="1163"/>
      <c r="D17" s="6397"/>
      <c r="E17" s="6398"/>
      <c r="F17" s="1318">
        <v>0</v>
      </c>
      <c r="G17" s="1163"/>
      <c r="H17" s="6397"/>
      <c r="I17" s="6398"/>
      <c r="J17" s="2864">
        <v>0</v>
      </c>
      <c r="K17" s="1163"/>
      <c r="L17" s="6397"/>
      <c r="M17" s="6398"/>
    </row>
    <row r="18" spans="1:13">
      <c r="A18" s="1239" t="s">
        <v>286</v>
      </c>
      <c r="B18" s="1242">
        <v>1355.2</v>
      </c>
      <c r="C18" s="1236">
        <f>B18</f>
        <v>1355.2</v>
      </c>
      <c r="D18" s="6403" t="s">
        <v>250</v>
      </c>
      <c r="E18" s="6404"/>
      <c r="F18" s="1318">
        <v>0</v>
      </c>
      <c r="G18" s="1163"/>
      <c r="H18" s="6403" t="s">
        <v>250</v>
      </c>
      <c r="I18" s="6404"/>
      <c r="J18" s="3164">
        <f>5183.68-4822.1</f>
        <v>361.57999999999993</v>
      </c>
      <c r="K18" s="3165">
        <f>5183.68-4822.1</f>
        <v>361.57999999999993</v>
      </c>
      <c r="L18" s="6403" t="s">
        <v>250</v>
      </c>
      <c r="M18" s="6404"/>
    </row>
    <row r="19" spans="1:13">
      <c r="A19" s="1239" t="s">
        <v>287</v>
      </c>
      <c r="B19" s="1242">
        <v>93.8</v>
      </c>
      <c r="C19" s="1163"/>
      <c r="D19" s="6397"/>
      <c r="E19" s="6398"/>
      <c r="F19" s="1318">
        <v>0</v>
      </c>
      <c r="G19" s="1163"/>
      <c r="H19" s="6397"/>
      <c r="I19" s="6398"/>
      <c r="J19" s="3164">
        <v>0</v>
      </c>
      <c r="K19" s="3166"/>
      <c r="L19" s="6397"/>
      <c r="M19" s="6398"/>
    </row>
    <row r="20" spans="1:13">
      <c r="A20" s="1239" t="s">
        <v>288</v>
      </c>
      <c r="B20" s="1242">
        <v>0</v>
      </c>
      <c r="C20" s="1163"/>
      <c r="D20" s="6397"/>
      <c r="E20" s="6398"/>
      <c r="F20" s="1318">
        <v>0</v>
      </c>
      <c r="G20" s="1163"/>
      <c r="H20" s="6397"/>
      <c r="I20" s="6398"/>
      <c r="J20" s="3164">
        <v>0</v>
      </c>
      <c r="K20" s="3166"/>
      <c r="L20" s="6397"/>
      <c r="M20" s="6398"/>
    </row>
    <row r="21" spans="1:13">
      <c r="A21" s="1239" t="s">
        <v>289</v>
      </c>
      <c r="B21" s="1242">
        <v>0</v>
      </c>
      <c r="C21" s="1163"/>
      <c r="D21" s="6397"/>
      <c r="E21" s="6398"/>
      <c r="F21" s="1318">
        <v>0</v>
      </c>
      <c r="G21" s="1163"/>
      <c r="H21" s="6397"/>
      <c r="I21" s="6398"/>
      <c r="J21" s="3164">
        <v>0</v>
      </c>
      <c r="K21" s="3166"/>
      <c r="L21" s="6397"/>
      <c r="M21" s="6398"/>
    </row>
    <row r="22" spans="1:13">
      <c r="A22" s="1239" t="s">
        <v>290</v>
      </c>
      <c r="B22" s="1242">
        <v>1153.4000000000001</v>
      </c>
      <c r="C22" s="1163"/>
      <c r="D22" s="6397"/>
      <c r="E22" s="6398"/>
      <c r="F22" s="1318">
        <v>0</v>
      </c>
      <c r="G22" s="1163"/>
      <c r="H22" s="6397"/>
      <c r="I22" s="6398"/>
      <c r="J22" s="3164">
        <v>0</v>
      </c>
      <c r="K22" s="3166"/>
      <c r="L22" s="6397"/>
      <c r="M22" s="6398"/>
    </row>
    <row r="23" spans="1:13">
      <c r="A23" s="1239" t="s">
        <v>291</v>
      </c>
      <c r="B23" s="1242">
        <v>0</v>
      </c>
      <c r="C23" s="1163"/>
      <c r="D23" s="6397"/>
      <c r="E23" s="6398"/>
      <c r="F23" s="1318">
        <f>SUM('ОХР '!AD57-'ОХР '!Z57)</f>
        <v>1048.3951981855334</v>
      </c>
      <c r="G23" s="1163"/>
      <c r="H23" s="6397"/>
      <c r="I23" s="6398"/>
      <c r="J23" s="3164">
        <v>0</v>
      </c>
      <c r="K23" s="3166"/>
      <c r="L23" s="6397"/>
      <c r="M23" s="6398"/>
    </row>
    <row r="24" spans="1:13">
      <c r="A24" s="1239" t="s">
        <v>292</v>
      </c>
      <c r="B24" s="1242">
        <v>121.2</v>
      </c>
      <c r="C24" s="1163">
        <f>95.1</f>
        <v>95.1</v>
      </c>
      <c r="D24" s="6397"/>
      <c r="E24" s="6398"/>
      <c r="F24" s="1242">
        <v>0</v>
      </c>
      <c r="G24" s="1236">
        <f>B24-C24</f>
        <v>26.100000000000009</v>
      </c>
      <c r="H24" s="6397"/>
      <c r="I24" s="6398"/>
      <c r="J24" s="3164">
        <v>0</v>
      </c>
      <c r="K24" s="3165"/>
      <c r="L24" s="6397"/>
      <c r="M24" s="6398"/>
    </row>
    <row r="25" spans="1:13" ht="13.5" thickBot="1">
      <c r="A25" s="1240" t="s">
        <v>293</v>
      </c>
      <c r="B25" s="1243">
        <f>SUM(B17:B24)</f>
        <v>2723.6</v>
      </c>
      <c r="C25" s="1237">
        <f>SUM(C17:C24)</f>
        <v>1450.3</v>
      </c>
      <c r="D25" s="6399"/>
      <c r="E25" s="6400"/>
      <c r="F25" s="1243">
        <f>SUM(F17:F24)</f>
        <v>1048.3951981855334</v>
      </c>
      <c r="G25" s="1237">
        <f>SUM(G17:G24)</f>
        <v>26.100000000000009</v>
      </c>
      <c r="H25" s="6399"/>
      <c r="I25" s="6400"/>
      <c r="J25" s="3167">
        <f>SUM(J17:J24)</f>
        <v>361.57999999999993</v>
      </c>
      <c r="K25" s="3168">
        <f>SUM(K17:K24)</f>
        <v>361.57999999999993</v>
      </c>
      <c r="L25" s="6399"/>
      <c r="M25" s="6400"/>
    </row>
  </sheetData>
  <mergeCells count="65">
    <mergeCell ref="D13:E13"/>
    <mergeCell ref="D25:E25"/>
    <mergeCell ref="D16:E16"/>
    <mergeCell ref="D17:E17"/>
    <mergeCell ref="H24:I24"/>
    <mergeCell ref="H25:I25"/>
    <mergeCell ref="H16:I16"/>
    <mergeCell ref="H17:I17"/>
    <mergeCell ref="H18:I18"/>
    <mergeCell ref="H19:I19"/>
    <mergeCell ref="H20:I20"/>
    <mergeCell ref="H21:I21"/>
    <mergeCell ref="H22:I22"/>
    <mergeCell ref="H23:I23"/>
    <mergeCell ref="D21:E21"/>
    <mergeCell ref="D24:E24"/>
    <mergeCell ref="D18:E18"/>
    <mergeCell ref="D19:E19"/>
    <mergeCell ref="D23:E23"/>
    <mergeCell ref="D20:E20"/>
    <mergeCell ref="D22:E22"/>
    <mergeCell ref="H10:I10"/>
    <mergeCell ref="H11:I11"/>
    <mergeCell ref="A1:M1"/>
    <mergeCell ref="A2:M2"/>
    <mergeCell ref="A15:M15"/>
    <mergeCell ref="D10:E10"/>
    <mergeCell ref="D14:E14"/>
    <mergeCell ref="D6:E6"/>
    <mergeCell ref="H6:I6"/>
    <mergeCell ref="H7:I7"/>
    <mergeCell ref="H8:I8"/>
    <mergeCell ref="H9:I9"/>
    <mergeCell ref="A3:I3"/>
    <mergeCell ref="H13:I13"/>
    <mergeCell ref="H14:I14"/>
    <mergeCell ref="D9:E9"/>
    <mergeCell ref="L16:M16"/>
    <mergeCell ref="L17:M17"/>
    <mergeCell ref="L5:M5"/>
    <mergeCell ref="L6:M6"/>
    <mergeCell ref="L7:M7"/>
    <mergeCell ref="L8:M8"/>
    <mergeCell ref="L9:M9"/>
    <mergeCell ref="L10:M10"/>
    <mergeCell ref="L11:M11"/>
    <mergeCell ref="L12:M12"/>
    <mergeCell ref="L13:M13"/>
    <mergeCell ref="L14:M14"/>
    <mergeCell ref="L22:M22"/>
    <mergeCell ref="L23:M23"/>
    <mergeCell ref="L24:M24"/>
    <mergeCell ref="L25:M25"/>
    <mergeCell ref="A4:M4"/>
    <mergeCell ref="L18:M18"/>
    <mergeCell ref="L19:M19"/>
    <mergeCell ref="L20:M20"/>
    <mergeCell ref="L21:M21"/>
    <mergeCell ref="D11:E11"/>
    <mergeCell ref="D12:E12"/>
    <mergeCell ref="D5:E5"/>
    <mergeCell ref="D7:E7"/>
    <mergeCell ref="D8:E8"/>
    <mergeCell ref="H5:I5"/>
    <mergeCell ref="H12:I12"/>
  </mergeCells>
  <phoneticPr fontId="9" type="noConversion"/>
  <printOptions horizontalCentered="1"/>
  <pageMargins left="0.35433070866141736" right="0.35433070866141736" top="0.98425196850393704" bottom="0.98425196850393704" header="0.51181102362204722" footer="0.51181102362204722"/>
  <pageSetup paperSize="9" scale="72" orientation="landscape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>
  <sheetPr>
    <tabColor rgb="FFFF0000"/>
  </sheetPr>
  <dimension ref="A1:V201"/>
  <sheetViews>
    <sheetView workbookViewId="0">
      <selection activeCell="A44" sqref="A44:A45"/>
    </sheetView>
  </sheetViews>
  <sheetFormatPr defaultRowHeight="12.75"/>
  <cols>
    <col min="1" max="1" width="8.42578125" customWidth="1"/>
    <col min="2" max="2" width="16.7109375" customWidth="1"/>
    <col min="3" max="3" width="42" customWidth="1"/>
    <col min="9" max="9" width="22" bestFit="1" customWidth="1"/>
    <col min="10" max="10" width="9.28515625" bestFit="1" customWidth="1"/>
    <col min="11" max="11" width="10.140625" customWidth="1"/>
    <col min="12" max="21" width="9.28515625" bestFit="1" customWidth="1"/>
    <col min="22" max="22" width="10.28515625" bestFit="1" customWidth="1"/>
  </cols>
  <sheetData>
    <row r="1" spans="1:11" ht="13.5" thickBot="1">
      <c r="J1" t="s">
        <v>1536</v>
      </c>
    </row>
    <row r="2" spans="1:11" ht="18.75">
      <c r="A2" s="6425" t="s">
        <v>666</v>
      </c>
      <c r="B2" s="6426"/>
      <c r="C2" s="6426"/>
      <c r="D2" s="6426"/>
      <c r="E2" s="6426"/>
      <c r="F2" s="6426"/>
      <c r="G2" s="6426"/>
      <c r="H2" s="6426"/>
      <c r="I2" s="6426"/>
      <c r="J2" s="6426"/>
      <c r="K2" s="6427"/>
    </row>
    <row r="3" spans="1:11" ht="13.5">
      <c r="A3" s="6428" t="s">
        <v>667</v>
      </c>
      <c r="B3" s="6419"/>
      <c r="C3" s="6419"/>
      <c r="D3" s="6419"/>
      <c r="E3" s="6419"/>
      <c r="F3" s="6419"/>
      <c r="G3" s="6419"/>
      <c r="H3" s="6419"/>
      <c r="I3" s="6419"/>
      <c r="J3" s="6419"/>
      <c r="K3" s="6429"/>
    </row>
    <row r="4" spans="1:11" ht="18.75">
      <c r="A4" s="823"/>
      <c r="B4" s="292"/>
      <c r="C4" s="292"/>
      <c r="D4" s="292"/>
      <c r="E4" s="292"/>
      <c r="F4" s="292"/>
      <c r="G4" s="292"/>
      <c r="H4" s="292"/>
      <c r="I4" s="292"/>
      <c r="J4" s="292"/>
      <c r="K4" s="824"/>
    </row>
    <row r="5" spans="1:11" ht="18.75">
      <c r="A5" s="6430" t="s">
        <v>668</v>
      </c>
      <c r="B5" s="6419"/>
      <c r="C5" s="6419"/>
      <c r="D5" s="6419"/>
      <c r="E5" s="6419"/>
      <c r="F5" s="6419"/>
      <c r="G5" s="6419"/>
      <c r="H5" s="6419"/>
      <c r="I5" s="6419"/>
      <c r="J5" s="6419"/>
      <c r="K5" s="6429"/>
    </row>
    <row r="6" spans="1:11" ht="18">
      <c r="A6" s="825" t="s">
        <v>669</v>
      </c>
      <c r="B6" s="292"/>
      <c r="C6" s="292"/>
      <c r="D6" s="292"/>
      <c r="E6" s="292"/>
      <c r="F6" s="292"/>
      <c r="G6" s="292"/>
      <c r="H6" s="292"/>
      <c r="I6" s="292"/>
      <c r="J6" s="292"/>
      <c r="K6" s="824"/>
    </row>
    <row r="7" spans="1:11" ht="15">
      <c r="A7" s="6431" t="s">
        <v>495</v>
      </c>
      <c r="B7" s="6419"/>
      <c r="C7" s="6419"/>
      <c r="D7" s="6419"/>
      <c r="E7" s="6419"/>
      <c r="F7" s="6419"/>
      <c r="G7" s="6419"/>
      <c r="H7" s="6419"/>
      <c r="I7" s="6419"/>
      <c r="J7" s="6419"/>
      <c r="K7" s="6429"/>
    </row>
    <row r="8" spans="1:11" ht="18.75">
      <c r="A8" s="1552"/>
      <c r="B8" s="292"/>
      <c r="C8" s="292"/>
      <c r="D8" s="292"/>
      <c r="E8" s="292"/>
      <c r="F8" s="292"/>
      <c r="G8" s="292"/>
      <c r="H8" s="292"/>
      <c r="I8" s="292"/>
      <c r="J8" s="292"/>
      <c r="K8" s="824"/>
    </row>
    <row r="9" spans="1:11">
      <c r="A9" s="6432" t="s">
        <v>670</v>
      </c>
      <c r="B9" s="6419"/>
      <c r="C9" s="6419"/>
      <c r="D9" s="6419"/>
      <c r="E9" s="6419"/>
      <c r="F9" s="6419"/>
      <c r="G9" s="6419"/>
      <c r="H9" s="6419"/>
      <c r="I9" s="6419"/>
      <c r="J9" s="6419"/>
      <c r="K9" s="6429"/>
    </row>
    <row r="10" spans="1:11" ht="15" customHeight="1">
      <c r="A10" s="6422" t="s">
        <v>671</v>
      </c>
      <c r="B10" s="6419"/>
      <c r="C10" s="6419"/>
      <c r="D10" s="827" t="s">
        <v>672</v>
      </c>
      <c r="E10" s="1550"/>
      <c r="F10" s="1550"/>
      <c r="G10" s="1550"/>
      <c r="H10" s="1550"/>
      <c r="I10" s="1550"/>
      <c r="J10" s="1550"/>
      <c r="K10" s="1551"/>
    </row>
    <row r="11" spans="1:11" ht="15" customHeight="1">
      <c r="A11" s="6418" t="s">
        <v>673</v>
      </c>
      <c r="B11" s="6419"/>
      <c r="C11" s="6419"/>
      <c r="D11" s="6419"/>
      <c r="E11" s="6419"/>
      <c r="F11" s="6419"/>
      <c r="G11" s="6420" t="s">
        <v>674</v>
      </c>
      <c r="H11" s="6421" t="s">
        <v>675</v>
      </c>
      <c r="I11" s="292"/>
      <c r="J11" s="292"/>
      <c r="K11" s="824"/>
    </row>
    <row r="12" spans="1:11" ht="5.25" customHeight="1">
      <c r="A12" s="6418"/>
      <c r="B12" s="6419"/>
      <c r="C12" s="6419"/>
      <c r="D12" s="6419"/>
      <c r="E12" s="6419"/>
      <c r="F12" s="6419"/>
      <c r="G12" s="6420"/>
      <c r="H12" s="6421"/>
      <c r="I12" s="292"/>
      <c r="J12" s="292"/>
      <c r="K12" s="824"/>
    </row>
    <row r="13" spans="1:11" ht="11.25" customHeight="1">
      <c r="A13" s="6422" t="s">
        <v>676</v>
      </c>
      <c r="B13" s="6419"/>
      <c r="C13" s="6419"/>
      <c r="D13" s="6419"/>
      <c r="E13" s="6419"/>
      <c r="F13" s="6419"/>
      <c r="G13" s="6423">
        <v>584</v>
      </c>
      <c r="H13" s="6424" t="s">
        <v>677</v>
      </c>
      <c r="I13" s="292"/>
      <c r="J13" s="292"/>
      <c r="K13" s="824"/>
    </row>
    <row r="14" spans="1:11" ht="6.75" customHeight="1">
      <c r="A14" s="6422"/>
      <c r="B14" s="6419"/>
      <c r="C14" s="6419"/>
      <c r="D14" s="6419"/>
      <c r="E14" s="6419"/>
      <c r="F14" s="6419"/>
      <c r="G14" s="6423"/>
      <c r="H14" s="6424"/>
      <c r="I14" s="292"/>
      <c r="J14" s="292"/>
      <c r="K14" s="824"/>
    </row>
    <row r="15" spans="1:11" ht="15.75" customHeight="1">
      <c r="A15" s="6422" t="s">
        <v>678</v>
      </c>
      <c r="B15" s="6419"/>
      <c r="C15" s="6419"/>
      <c r="D15" s="6419"/>
      <c r="E15" s="6419"/>
      <c r="F15" s="6419"/>
      <c r="G15" s="6423" t="s">
        <v>679</v>
      </c>
      <c r="H15" s="6424" t="s">
        <v>675</v>
      </c>
      <c r="I15" s="292"/>
      <c r="J15" s="292"/>
      <c r="K15" s="824"/>
    </row>
    <row r="16" spans="1:11" ht="13.5" thickBot="1">
      <c r="A16" s="6422"/>
      <c r="B16" s="6419"/>
      <c r="C16" s="6419"/>
      <c r="D16" s="6419"/>
      <c r="E16" s="6419"/>
      <c r="F16" s="6419"/>
      <c r="G16" s="6423"/>
      <c r="H16" s="6424"/>
      <c r="I16" s="292"/>
      <c r="J16" s="292"/>
      <c r="K16" s="824"/>
    </row>
    <row r="17" spans="1:11" ht="23.25" customHeight="1" thickBot="1">
      <c r="A17" s="1546" t="s">
        <v>175</v>
      </c>
      <c r="B17" s="1546" t="s">
        <v>457</v>
      </c>
      <c r="C17" s="1546" t="s">
        <v>373</v>
      </c>
      <c r="D17" s="351"/>
      <c r="E17" s="6445" t="s">
        <v>458</v>
      </c>
      <c r="F17" s="6446"/>
      <c r="G17" s="6445" t="s">
        <v>459</v>
      </c>
      <c r="H17" s="6447"/>
      <c r="I17" s="6446"/>
      <c r="J17" s="6448" t="s">
        <v>460</v>
      </c>
      <c r="K17" s="6449"/>
    </row>
    <row r="18" spans="1:11" ht="23.25" customHeight="1" thickBot="1">
      <c r="A18" s="354" t="s">
        <v>461</v>
      </c>
      <c r="B18" s="354" t="s">
        <v>462</v>
      </c>
      <c r="C18" s="354" t="s">
        <v>463</v>
      </c>
      <c r="D18" s="355" t="s">
        <v>464</v>
      </c>
      <c r="E18" s="1545" t="s">
        <v>465</v>
      </c>
      <c r="F18" s="1548" t="s">
        <v>466</v>
      </c>
      <c r="G18" s="354" t="s">
        <v>465</v>
      </c>
      <c r="H18" s="355" t="s">
        <v>467</v>
      </c>
      <c r="I18" s="357" t="s">
        <v>466</v>
      </c>
      <c r="J18" s="6433" t="s">
        <v>468</v>
      </c>
      <c r="K18" s="6434"/>
    </row>
    <row r="19" spans="1:11" ht="13.5" thickBot="1">
      <c r="A19" s="1544"/>
      <c r="B19" s="1544" t="s">
        <v>469</v>
      </c>
      <c r="C19" s="1544"/>
      <c r="D19" s="359"/>
      <c r="E19" s="1545" t="s">
        <v>467</v>
      </c>
      <c r="F19" s="357" t="s">
        <v>470</v>
      </c>
      <c r="G19" s="1547"/>
      <c r="H19" s="360"/>
      <c r="I19" s="357" t="s">
        <v>470</v>
      </c>
      <c r="J19" s="1544" t="s">
        <v>471</v>
      </c>
      <c r="K19" s="359" t="s">
        <v>465</v>
      </c>
    </row>
    <row r="20" spans="1:11" ht="13.5" thickBot="1">
      <c r="A20" s="830"/>
      <c r="B20" s="292"/>
      <c r="C20" s="292"/>
      <c r="D20" s="292"/>
      <c r="E20" s="292"/>
      <c r="F20" s="292"/>
      <c r="G20" s="292"/>
      <c r="H20" s="292"/>
      <c r="I20" s="292"/>
      <c r="J20" s="292"/>
      <c r="K20" s="824"/>
    </row>
    <row r="21" spans="1:11" ht="13.5" thickBot="1">
      <c r="A21" s="362">
        <v>1</v>
      </c>
      <c r="B21" s="363">
        <v>2</v>
      </c>
      <c r="C21" s="363">
        <v>3</v>
      </c>
      <c r="D21" s="363">
        <v>4</v>
      </c>
      <c r="E21" s="363">
        <v>5</v>
      </c>
      <c r="F21" s="363">
        <v>6</v>
      </c>
      <c r="G21" s="363">
        <v>7</v>
      </c>
      <c r="H21" s="363">
        <v>8</v>
      </c>
      <c r="I21" s="363">
        <v>9</v>
      </c>
      <c r="J21" s="363">
        <v>10</v>
      </c>
      <c r="K21" s="363">
        <v>11</v>
      </c>
    </row>
    <row r="22" spans="1:11" ht="13.5" thickBot="1">
      <c r="A22" s="816"/>
      <c r="B22" s="817"/>
      <c r="C22" s="817"/>
      <c r="D22" s="817"/>
      <c r="E22" s="817"/>
      <c r="F22" s="817"/>
      <c r="G22" s="817"/>
      <c r="H22" s="817"/>
      <c r="I22" s="817"/>
      <c r="J22" s="817"/>
      <c r="K22" s="817"/>
    </row>
    <row r="23" spans="1:11" ht="13.5" thickBot="1">
      <c r="A23" s="6435"/>
      <c r="B23" s="6436"/>
      <c r="C23" s="6436"/>
      <c r="D23" s="6436"/>
      <c r="E23" s="6436"/>
      <c r="F23" s="6436"/>
      <c r="G23" s="6436"/>
      <c r="H23" s="6436"/>
      <c r="I23" s="6436"/>
      <c r="J23" s="6436"/>
      <c r="K23" s="6437"/>
    </row>
    <row r="24" spans="1:11" ht="13.5" thickBot="1">
      <c r="A24" s="6438" t="s">
        <v>680</v>
      </c>
      <c r="B24" s="6439"/>
      <c r="C24" s="6439"/>
      <c r="D24" s="6439"/>
      <c r="E24" s="6439"/>
      <c r="F24" s="6439"/>
      <c r="G24" s="6439"/>
      <c r="H24" s="6439"/>
      <c r="I24" s="6439"/>
      <c r="J24" s="6439"/>
      <c r="K24" s="6440"/>
    </row>
    <row r="25" spans="1:11" ht="13.5" thickBot="1">
      <c r="A25" s="6435"/>
      <c r="B25" s="6436"/>
      <c r="C25" s="6436"/>
      <c r="D25" s="6436"/>
      <c r="E25" s="6436"/>
      <c r="F25" s="6436"/>
      <c r="G25" s="6436"/>
      <c r="H25" s="6436"/>
      <c r="I25" s="6436"/>
      <c r="J25" s="6436"/>
      <c r="K25" s="6437"/>
    </row>
    <row r="26" spans="1:11" ht="34.5" customHeight="1">
      <c r="A26" s="6441">
        <v>1</v>
      </c>
      <c r="B26" s="6443" t="s">
        <v>681</v>
      </c>
      <c r="C26" s="369" t="s">
        <v>682</v>
      </c>
      <c r="D26" s="370">
        <v>0.26</v>
      </c>
      <c r="E26" s="371">
        <v>40328.97</v>
      </c>
      <c r="F26" s="371">
        <v>37757.160000000003</v>
      </c>
      <c r="G26" s="6441">
        <v>10486</v>
      </c>
      <c r="H26" s="6441">
        <v>669</v>
      </c>
      <c r="I26" s="371">
        <v>9817</v>
      </c>
      <c r="J26" s="371">
        <v>13.22</v>
      </c>
      <c r="K26" s="371">
        <v>3.44</v>
      </c>
    </row>
    <row r="27" spans="1:11" ht="35.25" customHeight="1" thickBot="1">
      <c r="A27" s="6442"/>
      <c r="B27" s="6444"/>
      <c r="C27" s="367" t="s">
        <v>683</v>
      </c>
      <c r="D27" s="368" t="s">
        <v>684</v>
      </c>
      <c r="E27" s="368">
        <v>2571.81</v>
      </c>
      <c r="F27" s="368">
        <v>9733.83</v>
      </c>
      <c r="G27" s="6442"/>
      <c r="H27" s="6442"/>
      <c r="I27" s="368">
        <v>2531</v>
      </c>
      <c r="J27" s="368">
        <v>28.91</v>
      </c>
      <c r="K27" s="368">
        <v>7.52</v>
      </c>
    </row>
    <row r="28" spans="1:11" ht="24" customHeight="1">
      <c r="A28" s="6441">
        <v>2</v>
      </c>
      <c r="B28" s="6443" t="s">
        <v>685</v>
      </c>
      <c r="C28" s="369" t="s">
        <v>686</v>
      </c>
      <c r="D28" s="370">
        <v>0.16</v>
      </c>
      <c r="E28" s="371">
        <v>79627.929999999993</v>
      </c>
      <c r="F28" s="371">
        <v>0</v>
      </c>
      <c r="G28" s="6441">
        <v>12740</v>
      </c>
      <c r="H28" s="6441">
        <v>12740</v>
      </c>
      <c r="I28" s="371">
        <v>0</v>
      </c>
      <c r="J28" s="371">
        <v>381</v>
      </c>
      <c r="K28" s="371">
        <v>60.96</v>
      </c>
    </row>
    <row r="29" spans="1:11" ht="34.5" customHeight="1" thickBot="1">
      <c r="A29" s="6442"/>
      <c r="B29" s="6444"/>
      <c r="C29" s="367" t="s">
        <v>683</v>
      </c>
      <c r="D29" s="368" t="s">
        <v>687</v>
      </c>
      <c r="E29" s="368">
        <v>79627.929999999993</v>
      </c>
      <c r="F29" s="368">
        <v>0</v>
      </c>
      <c r="G29" s="6442"/>
      <c r="H29" s="6442"/>
      <c r="I29" s="368">
        <v>0</v>
      </c>
      <c r="J29" s="368">
        <v>0</v>
      </c>
      <c r="K29" s="368">
        <v>0</v>
      </c>
    </row>
    <row r="30" spans="1:11" ht="12" customHeight="1">
      <c r="A30" s="6441">
        <v>3</v>
      </c>
      <c r="B30" s="6443" t="s">
        <v>688</v>
      </c>
      <c r="C30" s="369" t="s">
        <v>689</v>
      </c>
      <c r="D30" s="370">
        <v>0.5</v>
      </c>
      <c r="E30" s="371">
        <v>19221.080000000002</v>
      </c>
      <c r="F30" s="371">
        <v>19221.080000000002</v>
      </c>
      <c r="G30" s="6441">
        <v>9611</v>
      </c>
      <c r="H30" s="6441">
        <v>0</v>
      </c>
      <c r="I30" s="371">
        <v>9611</v>
      </c>
      <c r="J30" s="371">
        <v>0</v>
      </c>
      <c r="K30" s="371">
        <v>0</v>
      </c>
    </row>
    <row r="31" spans="1:11" ht="34.5" customHeight="1" thickBot="1">
      <c r="A31" s="6442"/>
      <c r="B31" s="6444"/>
      <c r="C31" s="367" t="s">
        <v>683</v>
      </c>
      <c r="D31" s="368" t="s">
        <v>690</v>
      </c>
      <c r="E31" s="368">
        <v>0</v>
      </c>
      <c r="F31" s="368">
        <v>24389.57</v>
      </c>
      <c r="G31" s="6442"/>
      <c r="H31" s="6442"/>
      <c r="I31" s="368">
        <v>12195</v>
      </c>
      <c r="J31" s="368">
        <v>97.21</v>
      </c>
      <c r="K31" s="368">
        <v>48.61</v>
      </c>
    </row>
    <row r="32" spans="1:11" ht="21" customHeight="1">
      <c r="A32" s="6441">
        <v>4</v>
      </c>
      <c r="B32" s="6443" t="s">
        <v>691</v>
      </c>
      <c r="C32" s="369" t="s">
        <v>692</v>
      </c>
      <c r="D32" s="370">
        <v>1</v>
      </c>
      <c r="E32" s="371">
        <v>12431.39</v>
      </c>
      <c r="F32" s="371">
        <v>726.88</v>
      </c>
      <c r="G32" s="6441">
        <v>12431</v>
      </c>
      <c r="H32" s="6441">
        <v>5531</v>
      </c>
      <c r="I32" s="371">
        <v>727</v>
      </c>
      <c r="J32" s="371">
        <v>26</v>
      </c>
      <c r="K32" s="371">
        <v>26</v>
      </c>
    </row>
    <row r="33" spans="1:11" ht="33" customHeight="1" thickBot="1">
      <c r="A33" s="6442"/>
      <c r="B33" s="6444"/>
      <c r="C33" s="367" t="s">
        <v>683</v>
      </c>
      <c r="D33" s="368" t="s">
        <v>693</v>
      </c>
      <c r="E33" s="368">
        <v>5531.19</v>
      </c>
      <c r="F33" s="368">
        <v>97.76</v>
      </c>
      <c r="G33" s="6442"/>
      <c r="H33" s="6442"/>
      <c r="I33" s="368">
        <v>98</v>
      </c>
      <c r="J33" s="368">
        <v>0.72</v>
      </c>
      <c r="K33" s="368">
        <v>0.72</v>
      </c>
    </row>
    <row r="34" spans="1:11" ht="11.25" customHeight="1">
      <c r="A34" s="6441">
        <v>5</v>
      </c>
      <c r="B34" s="6443" t="s">
        <v>694</v>
      </c>
      <c r="C34" s="369" t="s">
        <v>695</v>
      </c>
      <c r="D34" s="370">
        <v>2</v>
      </c>
      <c r="E34" s="371">
        <v>5195.62</v>
      </c>
      <c r="F34" s="371">
        <v>327.29000000000002</v>
      </c>
      <c r="G34" s="6441">
        <v>10391</v>
      </c>
      <c r="H34" s="6441">
        <v>4156</v>
      </c>
      <c r="I34" s="371">
        <v>655</v>
      </c>
      <c r="J34" s="371">
        <v>10.199999999999999</v>
      </c>
      <c r="K34" s="371">
        <v>20.399999999999999</v>
      </c>
    </row>
    <row r="35" spans="1:11" ht="32.25" customHeight="1" thickBot="1">
      <c r="A35" s="6442"/>
      <c r="B35" s="6444"/>
      <c r="C35" s="367" t="s">
        <v>683</v>
      </c>
      <c r="D35" s="368" t="s">
        <v>696</v>
      </c>
      <c r="E35" s="368">
        <v>2078.25</v>
      </c>
      <c r="F35" s="368">
        <v>87.79</v>
      </c>
      <c r="G35" s="6442"/>
      <c r="H35" s="6442"/>
      <c r="I35" s="368">
        <v>176</v>
      </c>
      <c r="J35" s="368">
        <v>0.35</v>
      </c>
      <c r="K35" s="368">
        <v>0.7</v>
      </c>
    </row>
    <row r="36" spans="1:11" ht="32.25" customHeight="1">
      <c r="A36" s="6441">
        <v>6</v>
      </c>
      <c r="B36" s="6443" t="s">
        <v>697</v>
      </c>
      <c r="C36" s="369" t="s">
        <v>698</v>
      </c>
      <c r="D36" s="370">
        <v>6</v>
      </c>
      <c r="E36" s="371">
        <v>904.33</v>
      </c>
      <c r="F36" s="371">
        <v>310.14</v>
      </c>
      <c r="G36" s="6441">
        <v>5426</v>
      </c>
      <c r="H36" s="6441">
        <v>1634</v>
      </c>
      <c r="I36" s="371">
        <v>1861</v>
      </c>
      <c r="J36" s="371">
        <v>1.28</v>
      </c>
      <c r="K36" s="371">
        <v>7.68</v>
      </c>
    </row>
    <row r="37" spans="1:11" ht="34.5" customHeight="1" thickBot="1">
      <c r="A37" s="6442"/>
      <c r="B37" s="6444"/>
      <c r="C37" s="367" t="s">
        <v>683</v>
      </c>
      <c r="D37" s="368" t="s">
        <v>699</v>
      </c>
      <c r="E37" s="368">
        <v>272.33999999999997</v>
      </c>
      <c r="F37" s="368">
        <v>39.409999999999997</v>
      </c>
      <c r="G37" s="6442"/>
      <c r="H37" s="6442"/>
      <c r="I37" s="368">
        <v>236</v>
      </c>
      <c r="J37" s="368">
        <v>0.26</v>
      </c>
      <c r="K37" s="368">
        <v>1.56</v>
      </c>
    </row>
    <row r="38" spans="1:11" ht="33" customHeight="1">
      <c r="A38" s="6441">
        <v>7</v>
      </c>
      <c r="B38" s="6443" t="s">
        <v>700</v>
      </c>
      <c r="C38" s="369" t="s">
        <v>701</v>
      </c>
      <c r="D38" s="370">
        <v>0.27</v>
      </c>
      <c r="E38" s="371">
        <v>7223.86</v>
      </c>
      <c r="F38" s="371">
        <v>7223.86</v>
      </c>
      <c r="G38" s="6441">
        <v>1950</v>
      </c>
      <c r="H38" s="6441">
        <v>0</v>
      </c>
      <c r="I38" s="371">
        <v>1950</v>
      </c>
      <c r="J38" s="371">
        <v>0</v>
      </c>
      <c r="K38" s="371">
        <v>0</v>
      </c>
    </row>
    <row r="39" spans="1:11" ht="33.75" customHeight="1" thickBot="1">
      <c r="A39" s="6442"/>
      <c r="B39" s="6444"/>
      <c r="C39" s="367" t="s">
        <v>683</v>
      </c>
      <c r="D39" s="368" t="s">
        <v>684</v>
      </c>
      <c r="E39" s="368">
        <v>0</v>
      </c>
      <c r="F39" s="368">
        <v>2650.37</v>
      </c>
      <c r="G39" s="6442"/>
      <c r="H39" s="6442"/>
      <c r="I39" s="368">
        <v>716</v>
      </c>
      <c r="J39" s="368">
        <v>7.38</v>
      </c>
      <c r="K39" s="368">
        <v>1.99</v>
      </c>
    </row>
    <row r="40" spans="1:11" ht="24" customHeight="1">
      <c r="A40" s="6441">
        <v>8</v>
      </c>
      <c r="B40" s="6443" t="s">
        <v>702</v>
      </c>
      <c r="C40" s="369" t="s">
        <v>703</v>
      </c>
      <c r="D40" s="370">
        <v>0.16500000000000001</v>
      </c>
      <c r="E40" s="371">
        <v>22633.05</v>
      </c>
      <c r="F40" s="371">
        <v>0</v>
      </c>
      <c r="G40" s="6441">
        <v>3734</v>
      </c>
      <c r="H40" s="6441">
        <v>3734</v>
      </c>
      <c r="I40" s="371">
        <v>0</v>
      </c>
      <c r="J40" s="371">
        <v>121</v>
      </c>
      <c r="K40" s="371">
        <v>19.97</v>
      </c>
    </row>
    <row r="41" spans="1:11" ht="34.5" customHeight="1" thickBot="1">
      <c r="A41" s="6442"/>
      <c r="B41" s="6444"/>
      <c r="C41" s="367" t="s">
        <v>683</v>
      </c>
      <c r="D41" s="368" t="s">
        <v>687</v>
      </c>
      <c r="E41" s="368">
        <v>22633.05</v>
      </c>
      <c r="F41" s="368">
        <v>0</v>
      </c>
      <c r="G41" s="6442"/>
      <c r="H41" s="6442"/>
      <c r="I41" s="368">
        <v>0</v>
      </c>
      <c r="J41" s="368">
        <v>0</v>
      </c>
      <c r="K41" s="368">
        <v>0</v>
      </c>
    </row>
    <row r="42" spans="1:11" ht="12" customHeight="1">
      <c r="A42" s="6441">
        <v>9</v>
      </c>
      <c r="B42" s="6443" t="s">
        <v>496</v>
      </c>
      <c r="C42" s="369" t="s">
        <v>497</v>
      </c>
      <c r="D42" s="370">
        <v>15</v>
      </c>
      <c r="E42" s="371">
        <v>4006.63</v>
      </c>
      <c r="F42" s="371">
        <v>751.4</v>
      </c>
      <c r="G42" s="6441">
        <v>60099</v>
      </c>
      <c r="H42" s="6441">
        <v>20123</v>
      </c>
      <c r="I42" s="371">
        <v>11271</v>
      </c>
      <c r="J42" s="371">
        <v>5.86</v>
      </c>
      <c r="K42" s="371">
        <v>87.9</v>
      </c>
    </row>
    <row r="43" spans="1:11" ht="33.75" customHeight="1" thickBot="1">
      <c r="A43" s="6442"/>
      <c r="B43" s="6444"/>
      <c r="C43" s="367" t="s">
        <v>683</v>
      </c>
      <c r="D43" s="368" t="s">
        <v>498</v>
      </c>
      <c r="E43" s="368">
        <v>1341.52</v>
      </c>
      <c r="F43" s="368">
        <v>138.16999999999999</v>
      </c>
      <c r="G43" s="6442"/>
      <c r="H43" s="6442"/>
      <c r="I43" s="368">
        <v>2073</v>
      </c>
      <c r="J43" s="368">
        <v>0.55000000000000004</v>
      </c>
      <c r="K43" s="368">
        <v>8.25</v>
      </c>
    </row>
    <row r="44" spans="1:11" ht="10.5" customHeight="1">
      <c r="A44" s="6441">
        <v>10</v>
      </c>
      <c r="B44" s="6443" t="s">
        <v>499</v>
      </c>
      <c r="C44" s="369" t="s">
        <v>500</v>
      </c>
      <c r="D44" s="370">
        <v>12</v>
      </c>
      <c r="E44" s="371">
        <v>8765.59</v>
      </c>
      <c r="F44" s="371">
        <v>936.14</v>
      </c>
      <c r="G44" s="6441">
        <v>105187</v>
      </c>
      <c r="H44" s="6441">
        <v>26923</v>
      </c>
      <c r="I44" s="371">
        <v>11234</v>
      </c>
      <c r="J44" s="371">
        <v>9.8000000000000007</v>
      </c>
      <c r="K44" s="371">
        <v>117.6</v>
      </c>
    </row>
    <row r="45" spans="1:11" ht="35.25" customHeight="1" thickBot="1">
      <c r="A45" s="6442"/>
      <c r="B45" s="6444"/>
      <c r="C45" s="367" t="s">
        <v>683</v>
      </c>
      <c r="D45" s="368" t="s">
        <v>498</v>
      </c>
      <c r="E45" s="368">
        <v>2243.6</v>
      </c>
      <c r="F45" s="368">
        <v>138.16999999999999</v>
      </c>
      <c r="G45" s="6442"/>
      <c r="H45" s="6442"/>
      <c r="I45" s="368">
        <v>1658</v>
      </c>
      <c r="J45" s="368">
        <v>0.55000000000000004</v>
      </c>
      <c r="K45" s="368">
        <v>6.6</v>
      </c>
    </row>
    <row r="46" spans="1:11" ht="12" customHeight="1">
      <c r="A46" s="6441">
        <v>11</v>
      </c>
      <c r="B46" s="6443" t="s">
        <v>501</v>
      </c>
      <c r="C46" s="369" t="s">
        <v>502</v>
      </c>
      <c r="D46" s="370">
        <v>3</v>
      </c>
      <c r="E46" s="371">
        <v>14254.95</v>
      </c>
      <c r="F46" s="371">
        <v>1157.76</v>
      </c>
      <c r="G46" s="6441">
        <v>42765</v>
      </c>
      <c r="H46" s="6441">
        <v>9272</v>
      </c>
      <c r="I46" s="371">
        <v>3473</v>
      </c>
      <c r="J46" s="371">
        <v>13.5</v>
      </c>
      <c r="K46" s="371">
        <v>40.5</v>
      </c>
    </row>
    <row r="47" spans="1:11" ht="34.5" customHeight="1" thickBot="1">
      <c r="A47" s="6442"/>
      <c r="B47" s="6444"/>
      <c r="C47" s="367" t="s">
        <v>683</v>
      </c>
      <c r="D47" s="368" t="s">
        <v>498</v>
      </c>
      <c r="E47" s="368">
        <v>3090.81</v>
      </c>
      <c r="F47" s="368">
        <v>138.16999999999999</v>
      </c>
      <c r="G47" s="6442"/>
      <c r="H47" s="6442"/>
      <c r="I47" s="368">
        <v>415</v>
      </c>
      <c r="J47" s="368">
        <v>0.55000000000000004</v>
      </c>
      <c r="K47" s="368">
        <v>1.65</v>
      </c>
    </row>
    <row r="48" spans="1:11" ht="10.5" customHeight="1">
      <c r="A48" s="6441">
        <v>12</v>
      </c>
      <c r="B48" s="6443" t="s">
        <v>704</v>
      </c>
      <c r="C48" s="369" t="s">
        <v>705</v>
      </c>
      <c r="D48" s="370">
        <v>0.6</v>
      </c>
      <c r="E48" s="371">
        <v>145994.18</v>
      </c>
      <c r="F48" s="371">
        <v>103149.95</v>
      </c>
      <c r="G48" s="6441">
        <v>87597</v>
      </c>
      <c r="H48" s="6441">
        <v>24932</v>
      </c>
      <c r="I48" s="371">
        <v>61890</v>
      </c>
      <c r="J48" s="371">
        <v>128.96</v>
      </c>
      <c r="K48" s="371">
        <v>77.38</v>
      </c>
    </row>
    <row r="49" spans="1:11" ht="36" customHeight="1" thickBot="1">
      <c r="A49" s="6442"/>
      <c r="B49" s="6444"/>
      <c r="C49" s="367" t="s">
        <v>683</v>
      </c>
      <c r="D49" s="368" t="s">
        <v>522</v>
      </c>
      <c r="E49" s="368">
        <v>41554.03</v>
      </c>
      <c r="F49" s="368">
        <v>12446.06</v>
      </c>
      <c r="G49" s="6442"/>
      <c r="H49" s="6442"/>
      <c r="I49" s="368">
        <v>7468</v>
      </c>
      <c r="J49" s="368">
        <v>55.8</v>
      </c>
      <c r="K49" s="368">
        <v>33.479999999999997</v>
      </c>
    </row>
    <row r="50" spans="1:11" ht="12.75" customHeight="1">
      <c r="A50" s="6441">
        <v>13</v>
      </c>
      <c r="B50" s="6443" t="s">
        <v>706</v>
      </c>
      <c r="C50" s="369" t="s">
        <v>707</v>
      </c>
      <c r="D50" s="370">
        <v>0.72</v>
      </c>
      <c r="E50" s="371">
        <v>190490.87</v>
      </c>
      <c r="F50" s="371">
        <v>134224.35999999999</v>
      </c>
      <c r="G50" s="6441">
        <v>137153</v>
      </c>
      <c r="H50" s="6441">
        <v>39273</v>
      </c>
      <c r="I50" s="371">
        <v>96642</v>
      </c>
      <c r="J50" s="371">
        <v>169.28</v>
      </c>
      <c r="K50" s="371">
        <v>121.88</v>
      </c>
    </row>
    <row r="51" spans="1:11" ht="33.75" customHeight="1" thickBot="1">
      <c r="A51" s="6442"/>
      <c r="B51" s="6444"/>
      <c r="C51" s="367" t="s">
        <v>683</v>
      </c>
      <c r="D51" s="368" t="s">
        <v>522</v>
      </c>
      <c r="E51" s="368">
        <v>54546.27</v>
      </c>
      <c r="F51" s="368">
        <v>16418</v>
      </c>
      <c r="G51" s="6442"/>
      <c r="H51" s="6442"/>
      <c r="I51" s="368">
        <v>11821</v>
      </c>
      <c r="J51" s="368">
        <v>73.400000000000006</v>
      </c>
      <c r="K51" s="368">
        <v>52.85</v>
      </c>
    </row>
    <row r="52" spans="1:11" ht="13.5" thickBot="1">
      <c r="A52" s="6435"/>
      <c r="B52" s="6436"/>
      <c r="C52" s="6436"/>
      <c r="D52" s="6436"/>
      <c r="E52" s="6436"/>
      <c r="F52" s="6436"/>
      <c r="G52" s="6436"/>
      <c r="H52" s="6436"/>
      <c r="I52" s="6436"/>
      <c r="J52" s="6436"/>
      <c r="K52" s="6437"/>
    </row>
    <row r="53" spans="1:11">
      <c r="A53" s="6450" t="s">
        <v>708</v>
      </c>
      <c r="B53" s="6451"/>
      <c r="C53" s="6451"/>
      <c r="D53" s="6451"/>
      <c r="E53" s="6451"/>
      <c r="F53" s="6454"/>
      <c r="G53" s="6454">
        <v>499570</v>
      </c>
      <c r="H53" s="6454">
        <v>148987</v>
      </c>
      <c r="I53" s="831">
        <v>209131</v>
      </c>
      <c r="J53" s="6454"/>
      <c r="K53" s="371">
        <v>583.70000000000005</v>
      </c>
    </row>
    <row r="54" spans="1:11" ht="13.5" thickBot="1">
      <c r="A54" s="6452"/>
      <c r="B54" s="6453"/>
      <c r="C54" s="6453"/>
      <c r="D54" s="6453"/>
      <c r="E54" s="6453"/>
      <c r="F54" s="6455"/>
      <c r="G54" s="6455"/>
      <c r="H54" s="6455"/>
      <c r="I54" s="1549">
        <v>39387</v>
      </c>
      <c r="J54" s="6455"/>
      <c r="K54" s="368">
        <v>163.92</v>
      </c>
    </row>
    <row r="55" spans="1:11" ht="15.75" thickBot="1">
      <c r="A55" s="6456" t="s">
        <v>888</v>
      </c>
      <c r="B55" s="6457"/>
      <c r="C55" s="6457"/>
      <c r="D55" s="6457"/>
      <c r="E55" s="6457"/>
      <c r="F55" s="6457"/>
      <c r="G55" s="2211"/>
      <c r="H55" s="2211"/>
      <c r="I55" s="2212">
        <f>G53-H53-I53-I54</f>
        <v>102065</v>
      </c>
      <c r="J55" s="1549"/>
      <c r="K55" s="368"/>
    </row>
    <row r="56" spans="1:11" ht="13.5" thickBot="1">
      <c r="A56" s="6435"/>
      <c r="B56" s="6436"/>
      <c r="C56" s="6436"/>
      <c r="D56" s="6436"/>
      <c r="E56" s="6436"/>
      <c r="F56" s="6436"/>
      <c r="G56" s="6436"/>
      <c r="H56" s="6436"/>
      <c r="I56" s="6436"/>
      <c r="J56" s="6436"/>
      <c r="K56" s="6437"/>
    </row>
    <row r="57" spans="1:11" hidden="1">
      <c r="A57" s="6450" t="s">
        <v>709</v>
      </c>
      <c r="B57" s="6451"/>
      <c r="C57" s="6451"/>
      <c r="D57" s="6451"/>
      <c r="E57" s="6451"/>
      <c r="F57" s="6454"/>
      <c r="G57" s="6454">
        <v>499570</v>
      </c>
      <c r="H57" s="6454">
        <v>148987</v>
      </c>
      <c r="I57" s="831">
        <v>209131</v>
      </c>
      <c r="J57" s="6454"/>
      <c r="K57" s="371">
        <v>583.70000000000005</v>
      </c>
    </row>
    <row r="58" spans="1:11" ht="13.5" hidden="1" thickBot="1">
      <c r="A58" s="6452"/>
      <c r="B58" s="6453"/>
      <c r="C58" s="6453"/>
      <c r="D58" s="6453"/>
      <c r="E58" s="6453"/>
      <c r="F58" s="6455"/>
      <c r="G58" s="6455"/>
      <c r="H58" s="6455"/>
      <c r="I58" s="1549">
        <v>39387</v>
      </c>
      <c r="J58" s="6455"/>
      <c r="K58" s="368">
        <v>163.92</v>
      </c>
    </row>
    <row r="59" spans="1:11" ht="13.5" hidden="1" thickBot="1">
      <c r="A59" s="816"/>
      <c r="B59" s="817"/>
      <c r="C59" s="817"/>
      <c r="D59" s="817"/>
      <c r="E59" s="817"/>
      <c r="F59" s="817"/>
      <c r="G59" s="817"/>
      <c r="H59" s="817"/>
      <c r="I59" s="817"/>
      <c r="J59" s="817"/>
      <c r="K59" s="817"/>
    </row>
    <row r="60" spans="1:11" hidden="1">
      <c r="A60" s="832"/>
      <c r="B60" s="292"/>
      <c r="C60" s="292"/>
      <c r="D60" s="292"/>
      <c r="E60" s="292"/>
      <c r="F60" s="292"/>
      <c r="G60" s="292"/>
      <c r="H60" s="292"/>
      <c r="I60" s="292"/>
      <c r="J60" s="292"/>
      <c r="K60" s="824"/>
    </row>
    <row r="61" spans="1:11" hidden="1">
      <c r="A61" s="833"/>
      <c r="B61" s="292"/>
      <c r="C61" s="292"/>
      <c r="D61" s="292"/>
      <c r="E61" s="292"/>
      <c r="F61" s="292"/>
      <c r="G61" s="292"/>
      <c r="H61" s="292"/>
      <c r="I61" s="292"/>
      <c r="J61" s="292"/>
      <c r="K61" s="824"/>
    </row>
    <row r="62" spans="1:11" hidden="1">
      <c r="A62" s="833"/>
      <c r="B62" s="292"/>
      <c r="C62" s="6458" t="s">
        <v>710</v>
      </c>
      <c r="D62" s="6419"/>
      <c r="E62" s="6419"/>
      <c r="F62" s="6419"/>
      <c r="G62" s="6419"/>
      <c r="H62" s="6419"/>
      <c r="I62" s="6458" t="s">
        <v>711</v>
      </c>
      <c r="J62" s="6458" t="s">
        <v>712</v>
      </c>
      <c r="K62" s="369" t="s">
        <v>577</v>
      </c>
    </row>
    <row r="63" spans="1:11" hidden="1">
      <c r="A63" s="833"/>
      <c r="B63" s="292"/>
      <c r="C63" s="6458"/>
      <c r="D63" s="6419"/>
      <c r="E63" s="6419"/>
      <c r="F63" s="6419"/>
      <c r="G63" s="6419"/>
      <c r="H63" s="6419"/>
      <c r="I63" s="6458"/>
      <c r="J63" s="6458"/>
      <c r="K63" s="369" t="s">
        <v>713</v>
      </c>
    </row>
    <row r="64" spans="1:11" ht="13.5" hidden="1" thickBot="1">
      <c r="A64" s="833"/>
      <c r="B64" s="292"/>
      <c r="C64" s="6458" t="s">
        <v>54</v>
      </c>
      <c r="D64" s="6419"/>
      <c r="E64" s="6419"/>
      <c r="F64" s="6419"/>
      <c r="G64" s="6419"/>
      <c r="H64" s="6419"/>
      <c r="I64" s="1549"/>
      <c r="J64" s="1549"/>
      <c r="K64" s="368" t="s">
        <v>714</v>
      </c>
    </row>
    <row r="65" spans="1:11" ht="13.5" hidden="1" thickBot="1">
      <c r="A65" s="833"/>
      <c r="B65" s="292"/>
      <c r="C65" s="6458" t="s">
        <v>715</v>
      </c>
      <c r="D65" s="6419"/>
      <c r="E65" s="6419"/>
      <c r="F65" s="6419"/>
      <c r="G65" s="6419"/>
      <c r="H65" s="6419"/>
      <c r="I65" s="1549">
        <v>0.6</v>
      </c>
      <c r="J65" s="1549">
        <v>85</v>
      </c>
      <c r="K65" s="368" t="s">
        <v>716</v>
      </c>
    </row>
    <row r="66" spans="1:11" ht="13.5" hidden="1" thickBot="1">
      <c r="A66" s="833"/>
      <c r="B66" s="292"/>
      <c r="C66" s="6458" t="s">
        <v>717</v>
      </c>
      <c r="D66" s="6419"/>
      <c r="E66" s="6419"/>
      <c r="F66" s="6419"/>
      <c r="G66" s="6419"/>
      <c r="H66" s="6419"/>
      <c r="I66" s="1549">
        <v>0.6</v>
      </c>
      <c r="J66" s="1549">
        <v>71</v>
      </c>
      <c r="K66" s="368" t="s">
        <v>718</v>
      </c>
    </row>
    <row r="67" spans="1:11" ht="13.5" hidden="1" thickBot="1">
      <c r="A67" s="833"/>
      <c r="B67" s="292"/>
      <c r="C67" s="6458" t="s">
        <v>719</v>
      </c>
      <c r="D67" s="6419"/>
      <c r="E67" s="6419"/>
      <c r="F67" s="6419"/>
      <c r="G67" s="6419"/>
      <c r="H67" s="6419"/>
      <c r="I67" s="1549">
        <v>0.6</v>
      </c>
      <c r="J67" s="1549">
        <v>71</v>
      </c>
      <c r="K67" s="368" t="s">
        <v>720</v>
      </c>
    </row>
    <row r="68" spans="1:11" ht="13.5" hidden="1" thickBot="1">
      <c r="A68" s="833"/>
      <c r="B68" s="292"/>
      <c r="C68" s="6458" t="s">
        <v>721</v>
      </c>
      <c r="D68" s="6419"/>
      <c r="E68" s="6419"/>
      <c r="F68" s="6419"/>
      <c r="G68" s="6419"/>
      <c r="H68" s="6419"/>
      <c r="I68" s="1549">
        <v>0.6</v>
      </c>
      <c r="J68" s="1549">
        <v>116</v>
      </c>
      <c r="K68" s="368" t="s">
        <v>722</v>
      </c>
    </row>
    <row r="69" spans="1:11" ht="13.5" hidden="1" thickBot="1">
      <c r="A69" s="833"/>
      <c r="B69" s="292"/>
      <c r="C69" s="6458" t="s">
        <v>723</v>
      </c>
      <c r="D69" s="6419"/>
      <c r="E69" s="6419"/>
      <c r="F69" s="6419"/>
      <c r="G69" s="6419"/>
      <c r="H69" s="6419"/>
      <c r="I69" s="1549">
        <v>0.6</v>
      </c>
      <c r="J69" s="1549">
        <v>92</v>
      </c>
      <c r="K69" s="368" t="s">
        <v>724</v>
      </c>
    </row>
    <row r="70" spans="1:11" ht="13.5" hidden="1" thickBot="1">
      <c r="A70" s="833"/>
      <c r="B70" s="292"/>
      <c r="C70" s="6458" t="s">
        <v>725</v>
      </c>
      <c r="D70" s="6419"/>
      <c r="E70" s="6419"/>
      <c r="F70" s="6419"/>
      <c r="G70" s="6419"/>
      <c r="H70" s="6419"/>
      <c r="I70" s="1549"/>
      <c r="J70" s="1549"/>
      <c r="K70" s="368" t="s">
        <v>726</v>
      </c>
    </row>
    <row r="71" spans="1:11" ht="13.5" hidden="1" thickBot="1">
      <c r="A71" s="833"/>
      <c r="B71" s="292"/>
      <c r="C71" s="6458" t="s">
        <v>54</v>
      </c>
      <c r="D71" s="6419"/>
      <c r="E71" s="6419"/>
      <c r="F71" s="6419"/>
      <c r="G71" s="6419"/>
      <c r="H71" s="6419"/>
      <c r="I71" s="1549"/>
      <c r="J71" s="1549"/>
      <c r="K71" s="368" t="s">
        <v>727</v>
      </c>
    </row>
    <row r="72" spans="1:11" ht="13.5" hidden="1" thickBot="1">
      <c r="A72" s="833"/>
      <c r="B72" s="292"/>
      <c r="C72" s="6458" t="s">
        <v>728</v>
      </c>
      <c r="D72" s="6419"/>
      <c r="E72" s="6419"/>
      <c r="F72" s="6419"/>
      <c r="G72" s="6419"/>
      <c r="H72" s="6419"/>
      <c r="I72" s="1549"/>
      <c r="J72" s="1549">
        <v>40</v>
      </c>
      <c r="K72" s="368" t="s">
        <v>729</v>
      </c>
    </row>
    <row r="73" spans="1:11" ht="13.5" hidden="1" thickBot="1">
      <c r="A73" s="833"/>
      <c r="B73" s="292"/>
      <c r="C73" s="6458" t="s">
        <v>730</v>
      </c>
      <c r="D73" s="6419"/>
      <c r="E73" s="6419"/>
      <c r="F73" s="6419"/>
      <c r="G73" s="6419"/>
      <c r="H73" s="6419"/>
      <c r="I73" s="1549"/>
      <c r="J73" s="1549">
        <v>36</v>
      </c>
      <c r="K73" s="368" t="s">
        <v>731</v>
      </c>
    </row>
    <row r="74" spans="1:11" ht="13.5" hidden="1" thickBot="1">
      <c r="A74" s="833"/>
      <c r="B74" s="292"/>
      <c r="C74" s="6458" t="s">
        <v>732</v>
      </c>
      <c r="D74" s="6419"/>
      <c r="E74" s="6419"/>
      <c r="F74" s="6419"/>
      <c r="G74" s="6419"/>
      <c r="H74" s="6419"/>
      <c r="I74" s="1549"/>
      <c r="J74" s="1549">
        <v>36</v>
      </c>
      <c r="K74" s="368" t="s">
        <v>733</v>
      </c>
    </row>
    <row r="75" spans="1:11" ht="13.5" hidden="1" thickBot="1">
      <c r="A75" s="833"/>
      <c r="B75" s="292"/>
      <c r="C75" s="6458" t="s">
        <v>734</v>
      </c>
      <c r="D75" s="6419"/>
      <c r="E75" s="6419"/>
      <c r="F75" s="6419"/>
      <c r="G75" s="6419"/>
      <c r="H75" s="6419"/>
      <c r="I75" s="1549"/>
      <c r="J75" s="1549">
        <v>71</v>
      </c>
      <c r="K75" s="368" t="s">
        <v>735</v>
      </c>
    </row>
    <row r="76" spans="1:11" ht="13.5" hidden="1" thickBot="1">
      <c r="A76" s="833"/>
      <c r="B76" s="292"/>
      <c r="C76" s="6458" t="s">
        <v>736</v>
      </c>
      <c r="D76" s="6419"/>
      <c r="E76" s="6419"/>
      <c r="F76" s="6419"/>
      <c r="G76" s="6419"/>
      <c r="H76" s="6419"/>
      <c r="I76" s="1549"/>
      <c r="J76" s="1549">
        <v>54</v>
      </c>
      <c r="K76" s="368" t="s">
        <v>737</v>
      </c>
    </row>
    <row r="77" spans="1:11" ht="13.5" hidden="1" thickBot="1">
      <c r="A77" s="833"/>
      <c r="B77" s="292"/>
      <c r="C77" s="6458" t="s">
        <v>738</v>
      </c>
      <c r="D77" s="6419"/>
      <c r="E77" s="6419"/>
      <c r="F77" s="6419"/>
      <c r="G77" s="6419"/>
      <c r="H77" s="6419"/>
      <c r="I77" s="1549"/>
      <c r="J77" s="1549"/>
      <c r="K77" s="368" t="s">
        <v>739</v>
      </c>
    </row>
    <row r="78" spans="1:11" ht="13.5" hidden="1" thickBot="1">
      <c r="A78" s="833"/>
      <c r="B78" s="292"/>
      <c r="C78" s="6458" t="s">
        <v>54</v>
      </c>
      <c r="D78" s="6419"/>
      <c r="E78" s="6419"/>
      <c r="F78" s="6419"/>
      <c r="G78" s="6419"/>
      <c r="H78" s="6419"/>
      <c r="I78" s="1549"/>
      <c r="J78" s="1549"/>
      <c r="K78" s="368" t="s">
        <v>740</v>
      </c>
    </row>
    <row r="79" spans="1:11" ht="13.5" hidden="1" thickBot="1">
      <c r="A79" s="833"/>
      <c r="B79" s="292"/>
      <c r="C79" s="6458" t="s">
        <v>741</v>
      </c>
      <c r="D79" s="6419"/>
      <c r="E79" s="6419"/>
      <c r="F79" s="6419"/>
      <c r="G79" s="6419"/>
      <c r="H79" s="6419"/>
      <c r="I79" s="1549"/>
      <c r="J79" s="1549">
        <v>18</v>
      </c>
      <c r="K79" s="368" t="s">
        <v>742</v>
      </c>
    </row>
    <row r="80" spans="1:11" ht="13.5" hidden="1" thickBot="1">
      <c r="A80" s="833"/>
      <c r="B80" s="292"/>
      <c r="C80" s="6458" t="s">
        <v>293</v>
      </c>
      <c r="D80" s="6419"/>
      <c r="E80" s="6419"/>
      <c r="F80" s="6419"/>
      <c r="G80" s="6419"/>
      <c r="H80" s="6419"/>
      <c r="I80" s="1549"/>
      <c r="J80" s="1549"/>
      <c r="K80" s="368" t="s">
        <v>674</v>
      </c>
    </row>
    <row r="81" spans="1:12" ht="13.5" hidden="1" thickBot="1">
      <c r="A81" s="820"/>
      <c r="B81" s="819"/>
      <c r="C81" s="6453" t="s">
        <v>743</v>
      </c>
      <c r="D81" s="6459"/>
      <c r="E81" s="6459"/>
      <c r="F81" s="6459"/>
      <c r="G81" s="6459"/>
      <c r="H81" s="6459"/>
      <c r="I81" s="1549"/>
      <c r="J81" s="1549"/>
      <c r="K81" s="368" t="s">
        <v>674</v>
      </c>
    </row>
    <row r="82" spans="1:12" ht="15.75" hidden="1">
      <c r="K82" s="843">
        <v>821297</v>
      </c>
    </row>
    <row r="83" spans="1:12" ht="13.5" thickBot="1"/>
    <row r="84" spans="1:12" ht="18.75">
      <c r="A84" s="6425" t="s">
        <v>744</v>
      </c>
      <c r="B84" s="6426"/>
      <c r="C84" s="6426"/>
      <c r="D84" s="6426"/>
      <c r="E84" s="6426"/>
      <c r="F84" s="6426"/>
      <c r="G84" s="6426"/>
      <c r="H84" s="6426"/>
      <c r="I84" s="6426"/>
      <c r="J84" s="6426"/>
      <c r="K84" s="6426"/>
      <c r="L84" s="834"/>
    </row>
    <row r="85" spans="1:12" ht="13.5">
      <c r="A85" s="6428" t="s">
        <v>667</v>
      </c>
      <c r="B85" s="6460"/>
      <c r="C85" s="6460"/>
      <c r="D85" s="6460"/>
      <c r="E85" s="6460"/>
      <c r="F85" s="6460"/>
      <c r="G85" s="6460"/>
      <c r="H85" s="6460"/>
      <c r="I85" s="6460"/>
      <c r="J85" s="6460"/>
      <c r="K85" s="6460"/>
      <c r="L85" s="1557"/>
    </row>
    <row r="86" spans="1:12" ht="18.75">
      <c r="A86" s="836"/>
      <c r="B86" s="1556"/>
      <c r="C86" s="1556"/>
      <c r="D86" s="1556"/>
      <c r="E86" s="1556"/>
      <c r="F86" s="1556"/>
      <c r="G86" s="1556"/>
      <c r="H86" s="1556"/>
      <c r="I86" s="1556"/>
      <c r="J86" s="1556"/>
      <c r="K86" s="1556"/>
      <c r="L86" s="1557"/>
    </row>
    <row r="87" spans="1:12" ht="18.75">
      <c r="A87" s="6430" t="s">
        <v>745</v>
      </c>
      <c r="B87" s="6460"/>
      <c r="C87" s="6460"/>
      <c r="D87" s="6460"/>
      <c r="E87" s="6460"/>
      <c r="F87" s="6460"/>
      <c r="G87" s="6460"/>
      <c r="H87" s="6460"/>
      <c r="I87" s="6460"/>
      <c r="J87" s="6460"/>
      <c r="K87" s="6460"/>
      <c r="L87" s="6461"/>
    </row>
    <row r="88" spans="1:12" ht="18">
      <c r="A88" s="825" t="s">
        <v>669</v>
      </c>
      <c r="B88" s="1556"/>
      <c r="C88" s="1556"/>
      <c r="D88" s="1556"/>
      <c r="E88" s="1556"/>
      <c r="F88" s="1556"/>
      <c r="G88" s="1556"/>
      <c r="H88" s="1556"/>
      <c r="I88" s="1556"/>
      <c r="J88" s="1556"/>
      <c r="K88" s="1556"/>
      <c r="L88" s="1557"/>
    </row>
    <row r="89" spans="1:12">
      <c r="A89" s="6431" t="s">
        <v>746</v>
      </c>
      <c r="B89" s="6460"/>
      <c r="C89" s="6460"/>
      <c r="D89" s="6460"/>
      <c r="E89" s="6460"/>
      <c r="F89" s="6460"/>
      <c r="G89" s="6460"/>
      <c r="H89" s="6460"/>
      <c r="I89" s="6460"/>
      <c r="J89" s="6460"/>
      <c r="K89" s="6460"/>
      <c r="L89" s="6461"/>
    </row>
    <row r="90" spans="1:12">
      <c r="A90" s="6462"/>
      <c r="B90" s="6460"/>
      <c r="C90" s="6460"/>
      <c r="D90" s="6460"/>
      <c r="E90" s="6460"/>
      <c r="F90" s="6460"/>
      <c r="G90" s="6460"/>
      <c r="H90" s="6460"/>
      <c r="I90" s="6460"/>
      <c r="J90" s="6460"/>
      <c r="K90" s="6460"/>
      <c r="L90" s="6461"/>
    </row>
    <row r="91" spans="1:12">
      <c r="A91" s="6463" t="s">
        <v>670</v>
      </c>
      <c r="B91" s="6464"/>
      <c r="C91" s="1556"/>
      <c r="D91" s="1556"/>
      <c r="E91" s="1556"/>
      <c r="F91" s="1556"/>
      <c r="G91" s="1556"/>
      <c r="H91" s="1556"/>
      <c r="I91" s="1556"/>
      <c r="J91" s="1556"/>
      <c r="K91" s="1556"/>
      <c r="L91" s="1557"/>
    </row>
    <row r="92" spans="1:12" ht="13.5">
      <c r="A92" s="838"/>
      <c r="B92" s="839"/>
      <c r="C92" s="1556"/>
      <c r="D92" s="1556"/>
      <c r="E92" s="1556"/>
      <c r="F92" s="1556"/>
      <c r="G92" s="1556"/>
      <c r="H92" s="1556"/>
      <c r="I92" s="1556"/>
      <c r="J92" s="1556"/>
      <c r="K92" s="1556"/>
      <c r="L92" s="1557"/>
    </row>
    <row r="93" spans="1:12">
      <c r="A93" s="6463" t="s">
        <v>671</v>
      </c>
      <c r="B93" s="6460"/>
      <c r="C93" s="6460"/>
      <c r="D93" s="6465" t="s">
        <v>747</v>
      </c>
      <c r="E93" s="6460"/>
      <c r="F93" s="6460"/>
      <c r="G93" s="6460"/>
      <c r="H93" s="6460"/>
      <c r="I93" s="6460"/>
      <c r="J93" s="6460"/>
      <c r="K93" s="6460"/>
      <c r="L93" s="6461"/>
    </row>
    <row r="94" spans="1:12" ht="18.75">
      <c r="A94" s="1552"/>
      <c r="B94" s="292"/>
      <c r="C94" s="292"/>
      <c r="D94" s="292"/>
      <c r="E94" s="292"/>
      <c r="F94" s="292"/>
      <c r="G94" s="292"/>
      <c r="H94" s="292"/>
      <c r="I94" s="292"/>
      <c r="J94" s="292"/>
      <c r="K94" s="292"/>
      <c r="L94" s="824"/>
    </row>
    <row r="95" spans="1:12" ht="12.75" customHeight="1">
      <c r="A95" s="6418" t="s">
        <v>673</v>
      </c>
      <c r="B95" s="6419"/>
      <c r="C95" s="6419"/>
      <c r="D95" s="6419"/>
      <c r="E95" s="6419"/>
      <c r="F95" s="6420" t="s">
        <v>748</v>
      </c>
      <c r="G95" s="6421" t="s">
        <v>675</v>
      </c>
      <c r="H95" s="292"/>
      <c r="I95" s="292"/>
      <c r="J95" s="292"/>
      <c r="K95" s="292"/>
      <c r="L95" s="824"/>
    </row>
    <row r="96" spans="1:12">
      <c r="A96" s="6418"/>
      <c r="B96" s="6419"/>
      <c r="C96" s="6419"/>
      <c r="D96" s="6419"/>
      <c r="E96" s="6419"/>
      <c r="F96" s="6420"/>
      <c r="G96" s="6421"/>
      <c r="H96" s="292"/>
      <c r="I96" s="292"/>
      <c r="J96" s="292"/>
      <c r="K96" s="292"/>
      <c r="L96" s="824"/>
    </row>
    <row r="97" spans="1:12" ht="13.5" customHeight="1">
      <c r="A97" s="6422" t="s">
        <v>676</v>
      </c>
      <c r="B97" s="6419"/>
      <c r="C97" s="6419"/>
      <c r="D97" s="6419"/>
      <c r="E97" s="6419"/>
      <c r="F97" s="6423">
        <v>951</v>
      </c>
      <c r="G97" s="6424" t="s">
        <v>677</v>
      </c>
      <c r="H97" s="292"/>
      <c r="I97" s="292"/>
      <c r="J97" s="292"/>
      <c r="K97" s="292"/>
      <c r="L97" s="824"/>
    </row>
    <row r="98" spans="1:12">
      <c r="A98" s="6422"/>
      <c r="B98" s="6419"/>
      <c r="C98" s="6419"/>
      <c r="D98" s="6419"/>
      <c r="E98" s="6419"/>
      <c r="F98" s="6423"/>
      <c r="G98" s="6424"/>
      <c r="H98" s="292"/>
      <c r="I98" s="292"/>
      <c r="J98" s="292"/>
      <c r="K98" s="292"/>
      <c r="L98" s="824"/>
    </row>
    <row r="99" spans="1:12" ht="13.5" customHeight="1">
      <c r="A99" s="6422" t="s">
        <v>678</v>
      </c>
      <c r="B99" s="6419"/>
      <c r="C99" s="6419"/>
      <c r="D99" s="6419"/>
      <c r="E99" s="6419"/>
      <c r="F99" s="6423" t="s">
        <v>749</v>
      </c>
      <c r="G99" s="6424" t="s">
        <v>675</v>
      </c>
      <c r="H99" s="292"/>
      <c r="I99" s="292"/>
      <c r="J99" s="292"/>
      <c r="K99" s="292"/>
      <c r="L99" s="824"/>
    </row>
    <row r="100" spans="1:12" ht="13.5" thickBot="1">
      <c r="A100" s="6422"/>
      <c r="B100" s="6419"/>
      <c r="C100" s="6419"/>
      <c r="D100" s="6419"/>
      <c r="E100" s="6419"/>
      <c r="F100" s="6423"/>
      <c r="G100" s="6424"/>
      <c r="H100" s="292"/>
      <c r="I100" s="292"/>
      <c r="J100" s="292"/>
      <c r="K100" s="292"/>
      <c r="L100" s="824"/>
    </row>
    <row r="101" spans="1:12" ht="13.5" thickBot="1">
      <c r="A101" s="1546" t="s">
        <v>175</v>
      </c>
      <c r="B101" s="1546" t="s">
        <v>457</v>
      </c>
      <c r="C101" s="1546" t="s">
        <v>373</v>
      </c>
      <c r="D101" s="351"/>
      <c r="E101" s="6445" t="s">
        <v>458</v>
      </c>
      <c r="F101" s="6446"/>
      <c r="G101" s="6445" t="s">
        <v>459</v>
      </c>
      <c r="H101" s="6447"/>
      <c r="I101" s="6446"/>
      <c r="J101" s="6448" t="s">
        <v>460</v>
      </c>
      <c r="K101" s="6449"/>
      <c r="L101" s="824"/>
    </row>
    <row r="102" spans="1:12" ht="13.5" thickBot="1">
      <c r="A102" s="354" t="s">
        <v>461</v>
      </c>
      <c r="B102" s="354" t="s">
        <v>462</v>
      </c>
      <c r="C102" s="354" t="s">
        <v>463</v>
      </c>
      <c r="D102" s="355" t="s">
        <v>464</v>
      </c>
      <c r="E102" s="1545" t="s">
        <v>465</v>
      </c>
      <c r="F102" s="1548" t="s">
        <v>466</v>
      </c>
      <c r="G102" s="354" t="s">
        <v>465</v>
      </c>
      <c r="H102" s="355" t="s">
        <v>467</v>
      </c>
      <c r="I102" s="357" t="s">
        <v>466</v>
      </c>
      <c r="J102" s="6433" t="s">
        <v>468</v>
      </c>
      <c r="K102" s="6434"/>
      <c r="L102" s="824"/>
    </row>
    <row r="103" spans="1:12" ht="13.5" thickBot="1">
      <c r="A103" s="1544"/>
      <c r="B103" s="1544" t="s">
        <v>469</v>
      </c>
      <c r="C103" s="1544"/>
      <c r="D103" s="359"/>
      <c r="E103" s="1545" t="s">
        <v>467</v>
      </c>
      <c r="F103" s="357" t="s">
        <v>470</v>
      </c>
      <c r="G103" s="1547"/>
      <c r="H103" s="360"/>
      <c r="I103" s="357" t="s">
        <v>470</v>
      </c>
      <c r="J103" s="1544" t="s">
        <v>471</v>
      </c>
      <c r="K103" s="359" t="s">
        <v>465</v>
      </c>
      <c r="L103" s="824"/>
    </row>
    <row r="104" spans="1:12" ht="13.5" thickBot="1">
      <c r="A104" s="830"/>
      <c r="B104" s="292"/>
      <c r="C104" s="292"/>
      <c r="D104" s="292"/>
      <c r="E104" s="292"/>
      <c r="F104" s="292"/>
      <c r="G104" s="292"/>
      <c r="H104" s="292"/>
      <c r="I104" s="292"/>
      <c r="J104" s="292"/>
      <c r="K104" s="292"/>
      <c r="L104" s="824"/>
    </row>
    <row r="105" spans="1:12" ht="13.5" thickBot="1">
      <c r="A105" s="362">
        <v>1</v>
      </c>
      <c r="B105" s="363">
        <v>2</v>
      </c>
      <c r="C105" s="363">
        <v>3</v>
      </c>
      <c r="D105" s="363">
        <v>4</v>
      </c>
      <c r="E105" s="363">
        <v>5</v>
      </c>
      <c r="F105" s="363">
        <v>6</v>
      </c>
      <c r="G105" s="363">
        <v>7</v>
      </c>
      <c r="H105" s="363">
        <v>8</v>
      </c>
      <c r="I105" s="363">
        <v>9</v>
      </c>
      <c r="J105" s="363">
        <v>10</v>
      </c>
      <c r="K105" s="363">
        <v>11</v>
      </c>
      <c r="L105" s="840"/>
    </row>
    <row r="106" spans="1:12" ht="13.5" thickBot="1">
      <c r="A106" s="816"/>
      <c r="B106" s="817"/>
      <c r="C106" s="817"/>
      <c r="D106" s="817"/>
      <c r="E106" s="817"/>
      <c r="F106" s="817"/>
      <c r="G106" s="817"/>
      <c r="H106" s="817"/>
      <c r="I106" s="817"/>
      <c r="J106" s="817"/>
      <c r="K106" s="817"/>
      <c r="L106" s="840"/>
    </row>
    <row r="107" spans="1:12" ht="13.5" thickBot="1">
      <c r="A107" s="6435"/>
      <c r="B107" s="6436"/>
      <c r="C107" s="6436"/>
      <c r="D107" s="6436"/>
      <c r="E107" s="6436"/>
      <c r="F107" s="6436"/>
      <c r="G107" s="6436"/>
      <c r="H107" s="6436"/>
      <c r="I107" s="6436"/>
      <c r="J107" s="6436"/>
      <c r="K107" s="6437"/>
      <c r="L107" s="840"/>
    </row>
    <row r="108" spans="1:12" ht="13.5" thickBot="1">
      <c r="A108" s="6438" t="s">
        <v>750</v>
      </c>
      <c r="B108" s="6439"/>
      <c r="C108" s="6439"/>
      <c r="D108" s="6439"/>
      <c r="E108" s="6439"/>
      <c r="F108" s="6439"/>
      <c r="G108" s="6439"/>
      <c r="H108" s="6439"/>
      <c r="I108" s="6439"/>
      <c r="J108" s="6439"/>
      <c r="K108" s="6440"/>
      <c r="L108" s="840"/>
    </row>
    <row r="109" spans="1:12" ht="13.5" thickBot="1">
      <c r="A109" s="6435"/>
      <c r="B109" s="6436"/>
      <c r="C109" s="6436"/>
      <c r="D109" s="6436"/>
      <c r="E109" s="6436"/>
      <c r="F109" s="6436"/>
      <c r="G109" s="6436"/>
      <c r="H109" s="6436"/>
      <c r="I109" s="6436"/>
      <c r="J109" s="6436"/>
      <c r="K109" s="6437"/>
      <c r="L109" s="841"/>
    </row>
    <row r="110" spans="1:12" ht="33.75">
      <c r="A110" s="6441">
        <v>1</v>
      </c>
      <c r="B110" s="6443" t="s">
        <v>751</v>
      </c>
      <c r="C110" s="6443" t="s">
        <v>688</v>
      </c>
      <c r="D110" s="369" t="s">
        <v>752</v>
      </c>
      <c r="E110" s="370">
        <v>0.8</v>
      </c>
      <c r="F110" s="371">
        <v>19221.080000000002</v>
      </c>
      <c r="G110" s="371">
        <v>19221.080000000002</v>
      </c>
      <c r="H110" s="6441">
        <v>15377</v>
      </c>
      <c r="I110" s="6441">
        <v>0</v>
      </c>
      <c r="J110" s="371">
        <v>15377</v>
      </c>
      <c r="K110" s="371">
        <v>0</v>
      </c>
      <c r="L110" s="371">
        <v>0</v>
      </c>
    </row>
    <row r="111" spans="1:12" ht="169.5" thickBot="1">
      <c r="A111" s="6442"/>
      <c r="B111" s="6444"/>
      <c r="C111" s="6444"/>
      <c r="D111" s="367" t="s">
        <v>683</v>
      </c>
      <c r="E111" s="368" t="s">
        <v>690</v>
      </c>
      <c r="F111" s="368">
        <v>0</v>
      </c>
      <c r="G111" s="368">
        <v>24389.57</v>
      </c>
      <c r="H111" s="6442"/>
      <c r="I111" s="6442"/>
      <c r="J111" s="368">
        <v>19512</v>
      </c>
      <c r="K111" s="368">
        <v>97.21</v>
      </c>
      <c r="L111" s="368">
        <v>77.77</v>
      </c>
    </row>
    <row r="112" spans="1:12" ht="22.5">
      <c r="A112" s="6441">
        <v>2</v>
      </c>
      <c r="B112" s="6443" t="s">
        <v>753</v>
      </c>
      <c r="C112" s="369" t="s">
        <v>754</v>
      </c>
      <c r="D112" s="370">
        <v>0.2</v>
      </c>
      <c r="E112" s="371">
        <v>110221.54</v>
      </c>
      <c r="F112" s="371">
        <v>49699.94</v>
      </c>
      <c r="G112" s="6441">
        <v>22044</v>
      </c>
      <c r="H112" s="6441">
        <v>12104</v>
      </c>
      <c r="I112" s="371">
        <v>9940</v>
      </c>
      <c r="J112" s="371">
        <v>292.02</v>
      </c>
      <c r="K112" s="371">
        <v>58.4</v>
      </c>
      <c r="L112" s="6468"/>
    </row>
    <row r="113" spans="1:12" ht="33.75">
      <c r="A113" s="6466"/>
      <c r="B113" s="6467"/>
      <c r="C113" s="369" t="s">
        <v>511</v>
      </c>
      <c r="D113" s="371" t="s">
        <v>756</v>
      </c>
      <c r="E113" s="371">
        <v>60521.599999999999</v>
      </c>
      <c r="F113" s="371">
        <v>12684.38</v>
      </c>
      <c r="G113" s="6466"/>
      <c r="H113" s="6466"/>
      <c r="I113" s="371">
        <v>2537</v>
      </c>
      <c r="J113" s="371">
        <v>49.67</v>
      </c>
      <c r="K113" s="371">
        <v>9.93</v>
      </c>
      <c r="L113" s="6469"/>
    </row>
    <row r="114" spans="1:12" ht="34.5" thickBot="1">
      <c r="A114" s="6442"/>
      <c r="B114" s="6444"/>
      <c r="C114" s="367" t="s">
        <v>755</v>
      </c>
      <c r="D114" s="372"/>
      <c r="E114" s="372"/>
      <c r="F114" s="372"/>
      <c r="G114" s="6442"/>
      <c r="H114" s="6442"/>
      <c r="I114" s="372"/>
      <c r="J114" s="372"/>
      <c r="K114" s="372"/>
      <c r="L114" s="6469"/>
    </row>
    <row r="115" spans="1:12">
      <c r="A115" s="6441">
        <v>3</v>
      </c>
      <c r="B115" s="6443" t="s">
        <v>757</v>
      </c>
      <c r="C115" s="369" t="s">
        <v>758</v>
      </c>
      <c r="D115" s="370">
        <v>20</v>
      </c>
      <c r="E115" s="371">
        <v>534.51</v>
      </c>
      <c r="F115" s="371">
        <v>0</v>
      </c>
      <c r="G115" s="6441">
        <v>10690</v>
      </c>
      <c r="H115" s="6441">
        <v>10690</v>
      </c>
      <c r="I115" s="371">
        <v>0</v>
      </c>
      <c r="J115" s="371">
        <v>2.72</v>
      </c>
      <c r="K115" s="371">
        <v>54.48</v>
      </c>
      <c r="L115" s="6469"/>
    </row>
    <row r="116" spans="1:12">
      <c r="A116" s="6466"/>
      <c r="B116" s="6467"/>
      <c r="C116" s="369" t="s">
        <v>511</v>
      </c>
      <c r="D116" s="371" t="s">
        <v>475</v>
      </c>
      <c r="E116" s="371">
        <v>534.51</v>
      </c>
      <c r="F116" s="371">
        <v>0</v>
      </c>
      <c r="G116" s="6466"/>
      <c r="H116" s="6466"/>
      <c r="I116" s="371">
        <v>0</v>
      </c>
      <c r="J116" s="371">
        <v>0</v>
      </c>
      <c r="K116" s="371">
        <v>0</v>
      </c>
      <c r="L116" s="6469"/>
    </row>
    <row r="117" spans="1:12" ht="34.5" thickBot="1">
      <c r="A117" s="6442"/>
      <c r="B117" s="6444"/>
      <c r="C117" s="367" t="s">
        <v>755</v>
      </c>
      <c r="D117" s="372"/>
      <c r="E117" s="372"/>
      <c r="F117" s="372"/>
      <c r="G117" s="6442"/>
      <c r="H117" s="6442"/>
      <c r="I117" s="372"/>
      <c r="J117" s="372"/>
      <c r="K117" s="372"/>
      <c r="L117" s="6469"/>
    </row>
    <row r="118" spans="1:12">
      <c r="A118" s="6441">
        <v>4</v>
      </c>
      <c r="B118" s="6443" t="s">
        <v>759</v>
      </c>
      <c r="C118" s="369" t="s">
        <v>760</v>
      </c>
      <c r="D118" s="370">
        <v>10</v>
      </c>
      <c r="E118" s="371">
        <v>345.7</v>
      </c>
      <c r="F118" s="371">
        <v>63.38</v>
      </c>
      <c r="G118" s="6441">
        <v>3457</v>
      </c>
      <c r="H118" s="6441">
        <v>2823</v>
      </c>
      <c r="I118" s="371">
        <v>634</v>
      </c>
      <c r="J118" s="371">
        <v>1.31</v>
      </c>
      <c r="K118" s="371">
        <v>13.1</v>
      </c>
      <c r="L118" s="6469"/>
    </row>
    <row r="119" spans="1:12" ht="34.5" thickBot="1">
      <c r="A119" s="6442"/>
      <c r="B119" s="6444"/>
      <c r="C119" s="367" t="s">
        <v>683</v>
      </c>
      <c r="D119" s="368" t="s">
        <v>761</v>
      </c>
      <c r="E119" s="368">
        <v>282.32</v>
      </c>
      <c r="F119" s="368">
        <v>0</v>
      </c>
      <c r="G119" s="6442"/>
      <c r="H119" s="6442"/>
      <c r="I119" s="368">
        <v>0</v>
      </c>
      <c r="J119" s="368">
        <v>7.0000000000000007E-2</v>
      </c>
      <c r="K119" s="368">
        <v>0.7</v>
      </c>
      <c r="L119" s="6469"/>
    </row>
    <row r="120" spans="1:12" ht="33.75">
      <c r="A120" s="6441">
        <v>5</v>
      </c>
      <c r="B120" s="6443" t="s">
        <v>509</v>
      </c>
      <c r="C120" s="369" t="s">
        <v>510</v>
      </c>
      <c r="D120" s="370">
        <v>0.8</v>
      </c>
      <c r="E120" s="371">
        <v>64165.23</v>
      </c>
      <c r="F120" s="371">
        <v>8630.9699999999993</v>
      </c>
      <c r="G120" s="6441">
        <v>51332</v>
      </c>
      <c r="H120" s="6441">
        <v>15897</v>
      </c>
      <c r="I120" s="371">
        <v>6905</v>
      </c>
      <c r="J120" s="371">
        <v>95.88</v>
      </c>
      <c r="K120" s="371">
        <v>76.7</v>
      </c>
      <c r="L120" s="6469"/>
    </row>
    <row r="121" spans="1:12">
      <c r="A121" s="6466"/>
      <c r="B121" s="6467"/>
      <c r="C121" s="369" t="s">
        <v>511</v>
      </c>
      <c r="D121" s="371" t="s">
        <v>512</v>
      </c>
      <c r="E121" s="371">
        <v>19871.29</v>
      </c>
      <c r="F121" s="371">
        <v>2421.77</v>
      </c>
      <c r="G121" s="6466"/>
      <c r="H121" s="6466"/>
      <c r="I121" s="371">
        <v>1937</v>
      </c>
      <c r="J121" s="371">
        <v>7.81</v>
      </c>
      <c r="K121" s="371">
        <v>6.25</v>
      </c>
      <c r="L121" s="6469"/>
    </row>
    <row r="122" spans="1:12" ht="34.5" thickBot="1">
      <c r="A122" s="6442"/>
      <c r="B122" s="6444"/>
      <c r="C122" s="367" t="s">
        <v>755</v>
      </c>
      <c r="D122" s="372"/>
      <c r="E122" s="372"/>
      <c r="F122" s="372"/>
      <c r="G122" s="6442"/>
      <c r="H122" s="6442"/>
      <c r="I122" s="372"/>
      <c r="J122" s="372"/>
      <c r="K122" s="372"/>
      <c r="L122" s="6469"/>
    </row>
    <row r="123" spans="1:12">
      <c r="A123" s="6441">
        <v>6</v>
      </c>
      <c r="B123" s="6443" t="s">
        <v>514</v>
      </c>
      <c r="C123" s="369" t="s">
        <v>515</v>
      </c>
      <c r="D123" s="370">
        <v>4.5</v>
      </c>
      <c r="E123" s="371">
        <v>11932</v>
      </c>
      <c r="F123" s="371">
        <v>307.44</v>
      </c>
      <c r="G123" s="6441">
        <v>53694</v>
      </c>
      <c r="H123" s="6441">
        <v>35040</v>
      </c>
      <c r="I123" s="371">
        <v>1383</v>
      </c>
      <c r="J123" s="371">
        <v>38.93</v>
      </c>
      <c r="K123" s="371">
        <v>175.18</v>
      </c>
      <c r="L123" s="6469"/>
    </row>
    <row r="124" spans="1:12">
      <c r="A124" s="6466"/>
      <c r="B124" s="6467"/>
      <c r="C124" s="369" t="s">
        <v>516</v>
      </c>
      <c r="D124" s="371" t="s">
        <v>517</v>
      </c>
      <c r="E124" s="371">
        <v>7786.59</v>
      </c>
      <c r="F124" s="371">
        <v>133.93</v>
      </c>
      <c r="G124" s="6466"/>
      <c r="H124" s="6466"/>
      <c r="I124" s="371">
        <v>603</v>
      </c>
      <c r="J124" s="371">
        <v>0.43</v>
      </c>
      <c r="K124" s="371">
        <v>1.94</v>
      </c>
      <c r="L124" s="6469"/>
    </row>
    <row r="125" spans="1:12" ht="34.5" thickBot="1">
      <c r="A125" s="6442"/>
      <c r="B125" s="6444"/>
      <c r="C125" s="367" t="s">
        <v>755</v>
      </c>
      <c r="D125" s="372"/>
      <c r="E125" s="372"/>
      <c r="F125" s="372"/>
      <c r="G125" s="6442"/>
      <c r="H125" s="6442"/>
      <c r="I125" s="372"/>
      <c r="J125" s="372"/>
      <c r="K125" s="372"/>
      <c r="L125" s="6469"/>
    </row>
    <row r="126" spans="1:12">
      <c r="A126" s="6441">
        <v>7</v>
      </c>
      <c r="B126" s="6443" t="s">
        <v>518</v>
      </c>
      <c r="C126" s="369" t="s">
        <v>519</v>
      </c>
      <c r="D126" s="370">
        <v>3.4</v>
      </c>
      <c r="E126" s="371">
        <v>13649.9</v>
      </c>
      <c r="F126" s="371">
        <v>54.34</v>
      </c>
      <c r="G126" s="6441">
        <v>46410</v>
      </c>
      <c r="H126" s="6441">
        <v>25063</v>
      </c>
      <c r="I126" s="371">
        <v>185</v>
      </c>
      <c r="J126" s="371">
        <v>34.65</v>
      </c>
      <c r="K126" s="371">
        <v>117.81</v>
      </c>
      <c r="L126" s="6469"/>
    </row>
    <row r="127" spans="1:12">
      <c r="A127" s="6466"/>
      <c r="B127" s="6467"/>
      <c r="C127" s="369" t="s">
        <v>516</v>
      </c>
      <c r="D127" s="371" t="s">
        <v>512</v>
      </c>
      <c r="E127" s="371">
        <v>7371.52</v>
      </c>
      <c r="F127" s="371">
        <v>0</v>
      </c>
      <c r="G127" s="6466"/>
      <c r="H127" s="6466"/>
      <c r="I127" s="371">
        <v>0</v>
      </c>
      <c r="J127" s="371">
        <v>0.06</v>
      </c>
      <c r="K127" s="371">
        <v>0.2</v>
      </c>
      <c r="L127" s="6469"/>
    </row>
    <row r="128" spans="1:12" ht="34.5" thickBot="1">
      <c r="A128" s="6442"/>
      <c r="B128" s="6444"/>
      <c r="C128" s="367" t="s">
        <v>755</v>
      </c>
      <c r="D128" s="372"/>
      <c r="E128" s="372"/>
      <c r="F128" s="372"/>
      <c r="G128" s="6442"/>
      <c r="H128" s="6442"/>
      <c r="I128" s="372"/>
      <c r="J128" s="372"/>
      <c r="K128" s="372"/>
      <c r="L128" s="6469"/>
    </row>
    <row r="129" spans="1:12" ht="22.5">
      <c r="A129" s="6441">
        <v>8</v>
      </c>
      <c r="B129" s="6443" t="s">
        <v>762</v>
      </c>
      <c r="C129" s="369" t="s">
        <v>763</v>
      </c>
      <c r="D129" s="370">
        <v>20</v>
      </c>
      <c r="E129" s="371">
        <v>1297.83</v>
      </c>
      <c r="F129" s="371">
        <v>27.64</v>
      </c>
      <c r="G129" s="6441">
        <v>25957</v>
      </c>
      <c r="H129" s="6441">
        <v>25404</v>
      </c>
      <c r="I129" s="371">
        <v>553</v>
      </c>
      <c r="J129" s="371">
        <v>6.58</v>
      </c>
      <c r="K129" s="371">
        <v>131.6</v>
      </c>
      <c r="L129" s="6469"/>
    </row>
    <row r="130" spans="1:12" ht="34.5" thickBot="1">
      <c r="A130" s="6442"/>
      <c r="B130" s="6444"/>
      <c r="C130" s="367" t="s">
        <v>683</v>
      </c>
      <c r="D130" s="368" t="s">
        <v>764</v>
      </c>
      <c r="E130" s="368">
        <v>1270.19</v>
      </c>
      <c r="F130" s="368">
        <v>0</v>
      </c>
      <c r="G130" s="6442"/>
      <c r="H130" s="6442"/>
      <c r="I130" s="368">
        <v>0</v>
      </c>
      <c r="J130" s="368">
        <v>0</v>
      </c>
      <c r="K130" s="368">
        <v>0</v>
      </c>
      <c r="L130" s="6469"/>
    </row>
    <row r="131" spans="1:12">
      <c r="A131" s="6441">
        <v>9</v>
      </c>
      <c r="B131" s="6443" t="s">
        <v>765</v>
      </c>
      <c r="C131" s="369" t="s">
        <v>766</v>
      </c>
      <c r="D131" s="370">
        <v>25</v>
      </c>
      <c r="E131" s="371">
        <v>336.26</v>
      </c>
      <c r="F131" s="371">
        <v>90.6</v>
      </c>
      <c r="G131" s="6441">
        <v>8406</v>
      </c>
      <c r="H131" s="6441">
        <v>6142</v>
      </c>
      <c r="I131" s="371">
        <v>2265</v>
      </c>
      <c r="J131" s="371">
        <v>1.1399999999999999</v>
      </c>
      <c r="K131" s="371">
        <v>28.5</v>
      </c>
      <c r="L131" s="6469"/>
    </row>
    <row r="132" spans="1:12" ht="34.5" thickBot="1">
      <c r="A132" s="6442"/>
      <c r="B132" s="6444"/>
      <c r="C132" s="367" t="s">
        <v>683</v>
      </c>
      <c r="D132" s="368" t="s">
        <v>767</v>
      </c>
      <c r="E132" s="368">
        <v>245.66</v>
      </c>
      <c r="F132" s="368">
        <v>0</v>
      </c>
      <c r="G132" s="6442"/>
      <c r="H132" s="6442"/>
      <c r="I132" s="368">
        <v>0</v>
      </c>
      <c r="J132" s="368">
        <v>0.1</v>
      </c>
      <c r="K132" s="368">
        <v>2.5</v>
      </c>
      <c r="L132" s="6469"/>
    </row>
    <row r="133" spans="1:12">
      <c r="A133" s="6441">
        <v>10</v>
      </c>
      <c r="B133" s="6443" t="s">
        <v>768</v>
      </c>
      <c r="C133" s="369" t="s">
        <v>769</v>
      </c>
      <c r="D133" s="370">
        <v>10</v>
      </c>
      <c r="E133" s="371">
        <v>491.39</v>
      </c>
      <c r="F133" s="371">
        <v>90.6</v>
      </c>
      <c r="G133" s="6441">
        <v>4914</v>
      </c>
      <c r="H133" s="6441">
        <v>4008</v>
      </c>
      <c r="I133" s="371">
        <v>906</v>
      </c>
      <c r="J133" s="371">
        <v>1.86</v>
      </c>
      <c r="K133" s="371">
        <v>18.600000000000001</v>
      </c>
      <c r="L133" s="6469"/>
    </row>
    <row r="134" spans="1:12" ht="34.5" thickBot="1">
      <c r="A134" s="6442"/>
      <c r="B134" s="6444"/>
      <c r="C134" s="367" t="s">
        <v>683</v>
      </c>
      <c r="D134" s="368" t="s">
        <v>767</v>
      </c>
      <c r="E134" s="368">
        <v>400.79</v>
      </c>
      <c r="F134" s="368">
        <v>0</v>
      </c>
      <c r="G134" s="6442"/>
      <c r="H134" s="6442"/>
      <c r="I134" s="368">
        <v>0</v>
      </c>
      <c r="J134" s="368">
        <v>0.1</v>
      </c>
      <c r="K134" s="368">
        <v>1</v>
      </c>
      <c r="L134" s="6469"/>
    </row>
    <row r="135" spans="1:12">
      <c r="A135" s="6441">
        <v>11</v>
      </c>
      <c r="B135" s="6443" t="s">
        <v>770</v>
      </c>
      <c r="C135" s="369" t="s">
        <v>771</v>
      </c>
      <c r="D135" s="370">
        <v>10</v>
      </c>
      <c r="E135" s="371">
        <v>1049.04</v>
      </c>
      <c r="F135" s="371">
        <v>521.05999999999995</v>
      </c>
      <c r="G135" s="6441">
        <v>10490</v>
      </c>
      <c r="H135" s="6441">
        <v>5280</v>
      </c>
      <c r="I135" s="371">
        <v>5211</v>
      </c>
      <c r="J135" s="371">
        <v>2.4500000000000002</v>
      </c>
      <c r="K135" s="371">
        <v>24.5</v>
      </c>
      <c r="L135" s="6469"/>
    </row>
    <row r="136" spans="1:12" ht="34.5" thickBot="1">
      <c r="A136" s="6442"/>
      <c r="B136" s="6444"/>
      <c r="C136" s="367" t="s">
        <v>683</v>
      </c>
      <c r="D136" s="368" t="s">
        <v>767</v>
      </c>
      <c r="E136" s="368">
        <v>527.98</v>
      </c>
      <c r="F136" s="368">
        <v>124.7</v>
      </c>
      <c r="G136" s="6442"/>
      <c r="H136" s="6442"/>
      <c r="I136" s="368">
        <v>1247</v>
      </c>
      <c r="J136" s="368">
        <v>0.47</v>
      </c>
      <c r="K136" s="368">
        <v>4.7</v>
      </c>
      <c r="L136" s="6469"/>
    </row>
    <row r="137" spans="1:12" ht="22.5">
      <c r="A137" s="6441">
        <v>12</v>
      </c>
      <c r="B137" s="6443" t="s">
        <v>472</v>
      </c>
      <c r="C137" s="369" t="s">
        <v>473</v>
      </c>
      <c r="D137" s="370">
        <v>10</v>
      </c>
      <c r="E137" s="371">
        <v>4803.8100000000004</v>
      </c>
      <c r="F137" s="371">
        <v>90.6</v>
      </c>
      <c r="G137" s="6441">
        <v>48038</v>
      </c>
      <c r="H137" s="6441">
        <v>9637</v>
      </c>
      <c r="I137" s="371">
        <v>906</v>
      </c>
      <c r="J137" s="371">
        <v>4.53</v>
      </c>
      <c r="K137" s="371">
        <v>45.3</v>
      </c>
      <c r="L137" s="6469"/>
    </row>
    <row r="138" spans="1:12" ht="34.5" thickBot="1">
      <c r="A138" s="6442"/>
      <c r="B138" s="6444"/>
      <c r="C138" s="367" t="s">
        <v>683</v>
      </c>
      <c r="D138" s="368" t="s">
        <v>475</v>
      </c>
      <c r="E138" s="368">
        <v>963.68</v>
      </c>
      <c r="F138" s="368">
        <v>0</v>
      </c>
      <c r="G138" s="6442"/>
      <c r="H138" s="6442"/>
      <c r="I138" s="368">
        <v>0</v>
      </c>
      <c r="J138" s="368">
        <v>0.1</v>
      </c>
      <c r="K138" s="368">
        <v>1</v>
      </c>
      <c r="L138" s="6469"/>
    </row>
    <row r="139" spans="1:12" ht="22.5">
      <c r="A139" s="6441">
        <v>13</v>
      </c>
      <c r="B139" s="6443" t="s">
        <v>476</v>
      </c>
      <c r="C139" s="369" t="s">
        <v>477</v>
      </c>
      <c r="D139" s="370">
        <v>6</v>
      </c>
      <c r="E139" s="371">
        <v>1472.01</v>
      </c>
      <c r="F139" s="371">
        <v>9.0399999999999991</v>
      </c>
      <c r="G139" s="6441">
        <v>8832</v>
      </c>
      <c r="H139" s="6441">
        <v>1339</v>
      </c>
      <c r="I139" s="371">
        <v>54</v>
      </c>
      <c r="J139" s="371">
        <v>1.01</v>
      </c>
      <c r="K139" s="371">
        <v>6.06</v>
      </c>
      <c r="L139" s="6469"/>
    </row>
    <row r="140" spans="1:12" ht="57" thickBot="1">
      <c r="A140" s="6442"/>
      <c r="B140" s="6444"/>
      <c r="C140" s="367" t="s">
        <v>683</v>
      </c>
      <c r="D140" s="368" t="s">
        <v>478</v>
      </c>
      <c r="E140" s="368">
        <v>223.21</v>
      </c>
      <c r="F140" s="368">
        <v>0</v>
      </c>
      <c r="G140" s="6442"/>
      <c r="H140" s="6442"/>
      <c r="I140" s="368">
        <v>0</v>
      </c>
      <c r="J140" s="368">
        <v>0.01</v>
      </c>
      <c r="K140" s="368">
        <v>0.06</v>
      </c>
      <c r="L140" s="6469"/>
    </row>
    <row r="141" spans="1:12" ht="22.5">
      <c r="A141" s="6441">
        <v>14</v>
      </c>
      <c r="B141" s="6443" t="s">
        <v>479</v>
      </c>
      <c r="C141" s="369" t="s">
        <v>480</v>
      </c>
      <c r="D141" s="370">
        <v>6</v>
      </c>
      <c r="E141" s="371">
        <v>2364.29</v>
      </c>
      <c r="F141" s="371">
        <v>27.22</v>
      </c>
      <c r="G141" s="6441">
        <v>14186</v>
      </c>
      <c r="H141" s="6441">
        <v>2215</v>
      </c>
      <c r="I141" s="371">
        <v>163</v>
      </c>
      <c r="J141" s="371">
        <v>1.67</v>
      </c>
      <c r="K141" s="371">
        <v>10.02</v>
      </c>
      <c r="L141" s="6469"/>
    </row>
    <row r="142" spans="1:12" ht="57" thickBot="1">
      <c r="A142" s="6442"/>
      <c r="B142" s="6444"/>
      <c r="C142" s="367" t="s">
        <v>683</v>
      </c>
      <c r="D142" s="368" t="s">
        <v>478</v>
      </c>
      <c r="E142" s="368">
        <v>369.11</v>
      </c>
      <c r="F142" s="368">
        <v>0</v>
      </c>
      <c r="G142" s="6442"/>
      <c r="H142" s="6442"/>
      <c r="I142" s="368">
        <v>0</v>
      </c>
      <c r="J142" s="368">
        <v>0.03</v>
      </c>
      <c r="K142" s="368">
        <v>0.18</v>
      </c>
      <c r="L142" s="6469"/>
    </row>
    <row r="143" spans="1:12" ht="22.5">
      <c r="A143" s="6441">
        <v>15</v>
      </c>
      <c r="B143" s="6443" t="s">
        <v>481</v>
      </c>
      <c r="C143" s="369" t="s">
        <v>482</v>
      </c>
      <c r="D143" s="370">
        <v>5</v>
      </c>
      <c r="E143" s="371">
        <v>2703.56</v>
      </c>
      <c r="F143" s="371">
        <v>27.22</v>
      </c>
      <c r="G143" s="6441">
        <v>13518</v>
      </c>
      <c r="H143" s="6441">
        <v>1878</v>
      </c>
      <c r="I143" s="371">
        <v>136</v>
      </c>
      <c r="J143" s="371">
        <v>1.7</v>
      </c>
      <c r="K143" s="371">
        <v>8.5</v>
      </c>
      <c r="L143" s="6469"/>
    </row>
    <row r="144" spans="1:12" ht="57" thickBot="1">
      <c r="A144" s="6442"/>
      <c r="B144" s="6444"/>
      <c r="C144" s="367" t="s">
        <v>683</v>
      </c>
      <c r="D144" s="368" t="s">
        <v>478</v>
      </c>
      <c r="E144" s="368">
        <v>375.6</v>
      </c>
      <c r="F144" s="368">
        <v>0</v>
      </c>
      <c r="G144" s="6442"/>
      <c r="H144" s="6442"/>
      <c r="I144" s="368">
        <v>0</v>
      </c>
      <c r="J144" s="368">
        <v>0.03</v>
      </c>
      <c r="K144" s="368">
        <v>0.15</v>
      </c>
      <c r="L144" s="6469"/>
    </row>
    <row r="145" spans="1:12" ht="22.5">
      <c r="A145" s="6441">
        <v>16</v>
      </c>
      <c r="B145" s="6443" t="s">
        <v>483</v>
      </c>
      <c r="C145" s="369" t="s">
        <v>484</v>
      </c>
      <c r="D145" s="370">
        <v>4</v>
      </c>
      <c r="E145" s="371">
        <v>4736.55</v>
      </c>
      <c r="F145" s="371">
        <v>63.38</v>
      </c>
      <c r="G145" s="6441">
        <v>18946</v>
      </c>
      <c r="H145" s="6441">
        <v>2515</v>
      </c>
      <c r="I145" s="371">
        <v>254</v>
      </c>
      <c r="J145" s="371">
        <v>2.78</v>
      </c>
      <c r="K145" s="371">
        <v>11.12</v>
      </c>
      <c r="L145" s="6469"/>
    </row>
    <row r="146" spans="1:12" ht="57" thickBot="1">
      <c r="A146" s="6442"/>
      <c r="B146" s="6444"/>
      <c r="C146" s="367" t="s">
        <v>683</v>
      </c>
      <c r="D146" s="368" t="s">
        <v>478</v>
      </c>
      <c r="E146" s="368">
        <v>628.74</v>
      </c>
      <c r="F146" s="368">
        <v>0</v>
      </c>
      <c r="G146" s="6442"/>
      <c r="H146" s="6442"/>
      <c r="I146" s="368">
        <v>0</v>
      </c>
      <c r="J146" s="368">
        <v>7.0000000000000007E-2</v>
      </c>
      <c r="K146" s="368">
        <v>0.28000000000000003</v>
      </c>
      <c r="L146" s="6469"/>
    </row>
    <row r="147" spans="1:12" ht="22.5">
      <c r="A147" s="6441">
        <v>17</v>
      </c>
      <c r="B147" s="6443" t="s">
        <v>485</v>
      </c>
      <c r="C147" s="369" t="s">
        <v>486</v>
      </c>
      <c r="D147" s="370">
        <v>4</v>
      </c>
      <c r="E147" s="371">
        <v>7296.17</v>
      </c>
      <c r="F147" s="371">
        <v>500.38</v>
      </c>
      <c r="G147" s="6441">
        <v>29185</v>
      </c>
      <c r="H147" s="6441">
        <v>3599</v>
      </c>
      <c r="I147" s="371">
        <v>2002</v>
      </c>
      <c r="J147" s="371">
        <v>3.93</v>
      </c>
      <c r="K147" s="371">
        <v>15.72</v>
      </c>
      <c r="L147" s="6469"/>
    </row>
    <row r="148" spans="1:12" ht="57" thickBot="1">
      <c r="A148" s="6442"/>
      <c r="B148" s="6444"/>
      <c r="C148" s="367" t="s">
        <v>683</v>
      </c>
      <c r="D148" s="368" t="s">
        <v>478</v>
      </c>
      <c r="E148" s="368">
        <v>899.84</v>
      </c>
      <c r="F148" s="368">
        <v>89.04</v>
      </c>
      <c r="G148" s="6442"/>
      <c r="H148" s="6442"/>
      <c r="I148" s="368">
        <v>356</v>
      </c>
      <c r="J148" s="368">
        <v>0.36</v>
      </c>
      <c r="K148" s="368">
        <v>1.44</v>
      </c>
      <c r="L148" s="6469"/>
    </row>
    <row r="149" spans="1:12" ht="22.5">
      <c r="A149" s="6441">
        <v>18</v>
      </c>
      <c r="B149" s="6443" t="s">
        <v>487</v>
      </c>
      <c r="C149" s="369" t="s">
        <v>488</v>
      </c>
      <c r="D149" s="370">
        <v>0.1</v>
      </c>
      <c r="E149" s="371">
        <v>127224.66</v>
      </c>
      <c r="F149" s="371">
        <v>36.26</v>
      </c>
      <c r="G149" s="6441">
        <v>12722</v>
      </c>
      <c r="H149" s="6441">
        <v>11222</v>
      </c>
      <c r="I149" s="371">
        <v>4</v>
      </c>
      <c r="J149" s="371">
        <v>520.79999999999995</v>
      </c>
      <c r="K149" s="371">
        <v>52.08</v>
      </c>
      <c r="L149" s="6469"/>
    </row>
    <row r="150" spans="1:12" ht="34.5" thickBot="1">
      <c r="A150" s="6442"/>
      <c r="B150" s="6444"/>
      <c r="C150" s="367" t="s">
        <v>683</v>
      </c>
      <c r="D150" s="368" t="s">
        <v>489</v>
      </c>
      <c r="E150" s="368">
        <v>112222.52</v>
      </c>
      <c r="F150" s="368">
        <v>0</v>
      </c>
      <c r="G150" s="6442"/>
      <c r="H150" s="6442"/>
      <c r="I150" s="368">
        <v>0</v>
      </c>
      <c r="J150" s="368">
        <v>0.04</v>
      </c>
      <c r="K150" s="368">
        <v>0</v>
      </c>
      <c r="L150" s="6469"/>
    </row>
    <row r="151" spans="1:12" ht="22.5">
      <c r="A151" s="6441">
        <v>19</v>
      </c>
      <c r="B151" s="6443" t="s">
        <v>490</v>
      </c>
      <c r="C151" s="369" t="s">
        <v>491</v>
      </c>
      <c r="D151" s="370">
        <v>0.06</v>
      </c>
      <c r="E151" s="371">
        <v>184530.95</v>
      </c>
      <c r="F151" s="371">
        <v>63.38</v>
      </c>
      <c r="G151" s="6441">
        <v>11072</v>
      </c>
      <c r="H151" s="6441">
        <v>9479</v>
      </c>
      <c r="I151" s="371">
        <v>4</v>
      </c>
      <c r="J151" s="371">
        <v>733.2</v>
      </c>
      <c r="K151" s="371">
        <v>43.99</v>
      </c>
      <c r="L151" s="6469"/>
    </row>
    <row r="152" spans="1:12" ht="34.5" thickBot="1">
      <c r="A152" s="6442"/>
      <c r="B152" s="6444"/>
      <c r="C152" s="367" t="s">
        <v>683</v>
      </c>
      <c r="D152" s="368" t="s">
        <v>489</v>
      </c>
      <c r="E152" s="368">
        <v>157991.16</v>
      </c>
      <c r="F152" s="368">
        <v>0</v>
      </c>
      <c r="G152" s="6442"/>
      <c r="H152" s="6442"/>
      <c r="I152" s="368">
        <v>0</v>
      </c>
      <c r="J152" s="368">
        <v>7.0000000000000007E-2</v>
      </c>
      <c r="K152" s="368">
        <v>0</v>
      </c>
      <c r="L152" s="6469"/>
    </row>
    <row r="153" spans="1:12" ht="22.5">
      <c r="A153" s="6441">
        <v>20</v>
      </c>
      <c r="B153" s="6443" t="s">
        <v>492</v>
      </c>
      <c r="C153" s="369" t="s">
        <v>493</v>
      </c>
      <c r="D153" s="370">
        <v>0.06</v>
      </c>
      <c r="E153" s="371">
        <v>249630.38</v>
      </c>
      <c r="F153" s="371">
        <v>81.56</v>
      </c>
      <c r="G153" s="6441">
        <v>14978</v>
      </c>
      <c r="H153" s="6441">
        <v>12766</v>
      </c>
      <c r="I153" s="371">
        <v>5</v>
      </c>
      <c r="J153" s="371">
        <v>987.4</v>
      </c>
      <c r="K153" s="371">
        <v>59.24</v>
      </c>
      <c r="L153" s="6469"/>
    </row>
    <row r="154" spans="1:12" ht="34.5" thickBot="1">
      <c r="A154" s="6442"/>
      <c r="B154" s="6444"/>
      <c r="C154" s="367" t="s">
        <v>683</v>
      </c>
      <c r="D154" s="368" t="s">
        <v>489</v>
      </c>
      <c r="E154" s="368">
        <v>212766.63</v>
      </c>
      <c r="F154" s="368">
        <v>0</v>
      </c>
      <c r="G154" s="6442"/>
      <c r="H154" s="6442"/>
      <c r="I154" s="368">
        <v>0</v>
      </c>
      <c r="J154" s="368">
        <v>0.09</v>
      </c>
      <c r="K154" s="368">
        <v>0.01</v>
      </c>
      <c r="L154" s="6469"/>
    </row>
    <row r="155" spans="1:12" ht="13.5" thickBot="1">
      <c r="A155" s="6435"/>
      <c r="B155" s="6436"/>
      <c r="C155" s="6436"/>
      <c r="D155" s="6436"/>
      <c r="E155" s="6436"/>
      <c r="F155" s="6436"/>
      <c r="G155" s="6436"/>
      <c r="H155" s="6436"/>
      <c r="I155" s="6436"/>
      <c r="J155" s="6436"/>
      <c r="K155" s="6437"/>
      <c r="L155" s="840"/>
    </row>
    <row r="156" spans="1:12">
      <c r="A156" s="6450" t="s">
        <v>708</v>
      </c>
      <c r="B156" s="6451"/>
      <c r="C156" s="6451"/>
      <c r="D156" s="6451"/>
      <c r="E156" s="6451"/>
      <c r="F156" s="6454"/>
      <c r="G156" s="6454">
        <v>424248</v>
      </c>
      <c r="H156" s="6454">
        <v>197101</v>
      </c>
      <c r="I156" s="831">
        <v>46887</v>
      </c>
      <c r="J156" s="6454"/>
      <c r="K156" s="371">
        <v>950.91</v>
      </c>
      <c r="L156" s="6469"/>
    </row>
    <row r="157" spans="1:12" ht="13.5" thickBot="1">
      <c r="A157" s="6452"/>
      <c r="B157" s="6453"/>
      <c r="C157" s="6453"/>
      <c r="D157" s="6453"/>
      <c r="E157" s="6453"/>
      <c r="F157" s="6455"/>
      <c r="G157" s="6455"/>
      <c r="H157" s="6455"/>
      <c r="I157" s="1549">
        <v>26192</v>
      </c>
      <c r="J157" s="6455"/>
      <c r="K157" s="368">
        <v>108.11</v>
      </c>
      <c r="L157" s="6469"/>
    </row>
    <row r="158" spans="1:12" ht="21" thickBot="1">
      <c r="A158" s="6470" t="s">
        <v>888</v>
      </c>
      <c r="B158" s="6471"/>
      <c r="C158" s="6471"/>
      <c r="D158" s="6471"/>
      <c r="E158" s="6471"/>
      <c r="F158" s="6471"/>
      <c r="G158" s="2213"/>
      <c r="H158" s="2213"/>
      <c r="I158" s="2214">
        <f>G156-H156-I156-I157</f>
        <v>154068</v>
      </c>
      <c r="J158" s="1549"/>
      <c r="K158" s="368"/>
      <c r="L158" s="840"/>
    </row>
    <row r="159" spans="1:12" ht="13.5" thickBot="1">
      <c r="A159" s="6435"/>
      <c r="B159" s="6436"/>
      <c r="C159" s="6436"/>
      <c r="D159" s="6436"/>
      <c r="E159" s="6436"/>
      <c r="F159" s="6436"/>
      <c r="G159" s="6436"/>
      <c r="H159" s="6436"/>
      <c r="I159" s="6436"/>
      <c r="J159" s="6436"/>
      <c r="K159" s="6437"/>
      <c r="L159" s="840"/>
    </row>
    <row r="160" spans="1:12" hidden="1">
      <c r="A160" s="6450" t="s">
        <v>709</v>
      </c>
      <c r="B160" s="6451"/>
      <c r="C160" s="6451"/>
      <c r="D160" s="6451"/>
      <c r="E160" s="6451"/>
      <c r="F160" s="6454"/>
      <c r="G160" s="6454">
        <v>424248</v>
      </c>
      <c r="H160" s="6454">
        <v>197101</v>
      </c>
      <c r="I160" s="831">
        <v>46887</v>
      </c>
      <c r="J160" s="6454"/>
      <c r="K160" s="371">
        <v>950.91</v>
      </c>
      <c r="L160" s="6469"/>
    </row>
    <row r="161" spans="1:12" ht="13.5" hidden="1" thickBot="1">
      <c r="A161" s="6452"/>
      <c r="B161" s="6453"/>
      <c r="C161" s="6453"/>
      <c r="D161" s="6453"/>
      <c r="E161" s="6453"/>
      <c r="F161" s="6455"/>
      <c r="G161" s="6455"/>
      <c r="H161" s="6455"/>
      <c r="I161" s="1549">
        <v>26192</v>
      </c>
      <c r="J161" s="6455"/>
      <c r="K161" s="368">
        <v>108.11</v>
      </c>
      <c r="L161" s="6469"/>
    </row>
    <row r="162" spans="1:12" ht="13.5" hidden="1" thickBot="1">
      <c r="A162" s="816"/>
      <c r="B162" s="817"/>
      <c r="C162" s="817"/>
      <c r="D162" s="817"/>
      <c r="E162" s="817"/>
      <c r="F162" s="817"/>
      <c r="G162" s="817"/>
      <c r="H162" s="817"/>
      <c r="I162" s="817"/>
      <c r="J162" s="817"/>
      <c r="K162" s="817"/>
      <c r="L162" s="840"/>
    </row>
    <row r="163" spans="1:12" hidden="1">
      <c r="A163" s="833"/>
      <c r="B163" s="292"/>
      <c r="C163" s="292"/>
      <c r="D163" s="292"/>
      <c r="E163" s="292"/>
      <c r="F163" s="292"/>
      <c r="G163" s="292"/>
      <c r="H163" s="292"/>
      <c r="I163" s="292"/>
      <c r="J163" s="292"/>
      <c r="K163" s="292"/>
      <c r="L163" s="824"/>
    </row>
    <row r="164" spans="1:12" hidden="1">
      <c r="A164" s="833"/>
      <c r="B164" s="292"/>
      <c r="C164" s="6458" t="s">
        <v>710</v>
      </c>
      <c r="D164" s="6419"/>
      <c r="E164" s="6419"/>
      <c r="F164" s="6419"/>
      <c r="G164" s="6419"/>
      <c r="H164" s="6419"/>
      <c r="I164" s="6458" t="s">
        <v>711</v>
      </c>
      <c r="J164" s="6458" t="s">
        <v>712</v>
      </c>
      <c r="K164" s="1553" t="s">
        <v>577</v>
      </c>
      <c r="L164" s="824"/>
    </row>
    <row r="165" spans="1:12" hidden="1">
      <c r="A165" s="833"/>
      <c r="B165" s="292"/>
      <c r="C165" s="6458"/>
      <c r="D165" s="6419"/>
      <c r="E165" s="6419"/>
      <c r="F165" s="6419"/>
      <c r="G165" s="6419"/>
      <c r="H165" s="6419"/>
      <c r="I165" s="6458"/>
      <c r="J165" s="6458"/>
      <c r="K165" s="1553" t="s">
        <v>713</v>
      </c>
      <c r="L165" s="824"/>
    </row>
    <row r="166" spans="1:12" ht="13.5" hidden="1" thickBot="1">
      <c r="A166" s="833"/>
      <c r="B166" s="292"/>
      <c r="C166" s="1555"/>
      <c r="D166" s="1555"/>
      <c r="E166" s="1555"/>
      <c r="F166" s="1555"/>
      <c r="G166" s="292"/>
      <c r="H166" s="292"/>
      <c r="I166" s="1555"/>
      <c r="J166" s="1555"/>
      <c r="K166" s="1555"/>
      <c r="L166" s="824"/>
    </row>
    <row r="167" spans="1:12" ht="13.5" hidden="1" thickBot="1">
      <c r="A167" s="833"/>
      <c r="B167" s="292"/>
      <c r="C167" s="6458" t="s">
        <v>54</v>
      </c>
      <c r="D167" s="6419"/>
      <c r="E167" s="6419"/>
      <c r="F167" s="6419"/>
      <c r="G167" s="6419"/>
      <c r="H167" s="6419"/>
      <c r="I167" s="1549"/>
      <c r="J167" s="1549"/>
      <c r="K167" s="1549" t="s">
        <v>772</v>
      </c>
      <c r="L167" s="824"/>
    </row>
    <row r="168" spans="1:12" ht="13.5" hidden="1" thickBot="1">
      <c r="A168" s="833"/>
      <c r="B168" s="292"/>
      <c r="C168" s="6458" t="s">
        <v>719</v>
      </c>
      <c r="D168" s="6419"/>
      <c r="E168" s="6419"/>
      <c r="F168" s="6419"/>
      <c r="G168" s="6419"/>
      <c r="H168" s="6419"/>
      <c r="I168" s="1549">
        <v>0.6</v>
      </c>
      <c r="J168" s="1549">
        <v>71</v>
      </c>
      <c r="K168" s="1549" t="s">
        <v>773</v>
      </c>
      <c r="L168" s="824"/>
    </row>
    <row r="169" spans="1:12" ht="13.5" hidden="1" thickBot="1">
      <c r="A169" s="833"/>
      <c r="B169" s="292"/>
      <c r="C169" s="6458" t="s">
        <v>774</v>
      </c>
      <c r="D169" s="6419"/>
      <c r="E169" s="6419"/>
      <c r="F169" s="6419"/>
      <c r="G169" s="6419"/>
      <c r="H169" s="6419"/>
      <c r="I169" s="1549">
        <v>0.6</v>
      </c>
      <c r="J169" s="1549">
        <v>93</v>
      </c>
      <c r="K169" s="1549" t="s">
        <v>775</v>
      </c>
      <c r="L169" s="824"/>
    </row>
    <row r="170" spans="1:12" ht="13.5" hidden="1" thickBot="1">
      <c r="A170" s="833"/>
      <c r="B170" s="292"/>
      <c r="C170" s="6458" t="s">
        <v>723</v>
      </c>
      <c r="D170" s="6419"/>
      <c r="E170" s="6419"/>
      <c r="F170" s="6419"/>
      <c r="G170" s="6419"/>
      <c r="H170" s="6419"/>
      <c r="I170" s="1549">
        <v>0.6</v>
      </c>
      <c r="J170" s="1549">
        <v>92</v>
      </c>
      <c r="K170" s="1549" t="s">
        <v>776</v>
      </c>
      <c r="L170" s="824"/>
    </row>
    <row r="171" spans="1:12" ht="13.5" hidden="1" thickBot="1">
      <c r="A171" s="833"/>
      <c r="B171" s="292"/>
      <c r="C171" s="6458" t="s">
        <v>721</v>
      </c>
      <c r="D171" s="6419"/>
      <c r="E171" s="6419"/>
      <c r="F171" s="6419"/>
      <c r="G171" s="6419"/>
      <c r="H171" s="6419"/>
      <c r="I171" s="1549">
        <v>0.6</v>
      </c>
      <c r="J171" s="1549">
        <v>116</v>
      </c>
      <c r="K171" s="1549" t="s">
        <v>777</v>
      </c>
      <c r="L171" s="824"/>
    </row>
    <row r="172" spans="1:12" ht="13.5" hidden="1" thickBot="1">
      <c r="A172" s="833"/>
      <c r="B172" s="292"/>
      <c r="C172" s="6458" t="s">
        <v>778</v>
      </c>
      <c r="D172" s="6419"/>
      <c r="E172" s="6419"/>
      <c r="F172" s="6419"/>
      <c r="G172" s="6419"/>
      <c r="H172" s="6419"/>
      <c r="I172" s="1549">
        <v>0.6</v>
      </c>
      <c r="J172" s="1549">
        <v>77</v>
      </c>
      <c r="K172" s="1549" t="s">
        <v>779</v>
      </c>
      <c r="L172" s="824"/>
    </row>
    <row r="173" spans="1:12" ht="13.5" hidden="1" thickBot="1">
      <c r="A173" s="833"/>
      <c r="B173" s="292"/>
      <c r="C173" s="6458" t="s">
        <v>780</v>
      </c>
      <c r="D173" s="6419"/>
      <c r="E173" s="6419"/>
      <c r="F173" s="6419"/>
      <c r="G173" s="6419"/>
      <c r="H173" s="6419"/>
      <c r="I173" s="1549">
        <v>0.6</v>
      </c>
      <c r="J173" s="1549">
        <v>83</v>
      </c>
      <c r="K173" s="1549" t="s">
        <v>781</v>
      </c>
      <c r="L173" s="824"/>
    </row>
    <row r="174" spans="1:12" ht="13.5" hidden="1" thickBot="1">
      <c r="A174" s="833"/>
      <c r="B174" s="292"/>
      <c r="C174" s="6458" t="s">
        <v>782</v>
      </c>
      <c r="D174" s="6419"/>
      <c r="E174" s="6419"/>
      <c r="F174" s="6419"/>
      <c r="G174" s="6419"/>
      <c r="H174" s="6419"/>
      <c r="I174" s="1549">
        <v>0.7</v>
      </c>
      <c r="J174" s="1549">
        <v>66</v>
      </c>
      <c r="K174" s="1549" t="s">
        <v>783</v>
      </c>
      <c r="L174" s="824"/>
    </row>
    <row r="175" spans="1:12" ht="13.5" hidden="1" thickBot="1">
      <c r="A175" s="833"/>
      <c r="B175" s="292"/>
      <c r="C175" s="6458" t="s">
        <v>784</v>
      </c>
      <c r="D175" s="6419"/>
      <c r="E175" s="6419"/>
      <c r="F175" s="6419"/>
      <c r="G175" s="6419"/>
      <c r="H175" s="6419"/>
      <c r="I175" s="1549">
        <v>0.6</v>
      </c>
      <c r="J175" s="1549">
        <v>92</v>
      </c>
      <c r="K175" s="1549" t="s">
        <v>785</v>
      </c>
      <c r="L175" s="824"/>
    </row>
    <row r="176" spans="1:12" ht="13.5" hidden="1" thickBot="1">
      <c r="A176" s="833"/>
      <c r="B176" s="292"/>
      <c r="C176" s="6458" t="s">
        <v>725</v>
      </c>
      <c r="D176" s="6419"/>
      <c r="E176" s="6419"/>
      <c r="F176" s="6419"/>
      <c r="G176" s="6419"/>
      <c r="H176" s="6419"/>
      <c r="I176" s="1549"/>
      <c r="J176" s="1549"/>
      <c r="K176" s="1549" t="s">
        <v>786</v>
      </c>
      <c r="L176" s="824"/>
    </row>
    <row r="177" spans="1:12" ht="13.5" hidden="1" thickBot="1">
      <c r="A177" s="833"/>
      <c r="B177" s="292"/>
      <c r="C177" s="6458" t="s">
        <v>54</v>
      </c>
      <c r="D177" s="6419"/>
      <c r="E177" s="6419"/>
      <c r="F177" s="6419"/>
      <c r="G177" s="6419"/>
      <c r="H177" s="6419"/>
      <c r="I177" s="1549"/>
      <c r="J177" s="1549"/>
      <c r="K177" s="1549" t="s">
        <v>787</v>
      </c>
      <c r="L177" s="824"/>
    </row>
    <row r="178" spans="1:12" ht="13.5" hidden="1" thickBot="1">
      <c r="A178" s="833"/>
      <c r="B178" s="292"/>
      <c r="C178" s="6458" t="s">
        <v>732</v>
      </c>
      <c r="D178" s="6419"/>
      <c r="E178" s="6419"/>
      <c r="F178" s="6419"/>
      <c r="G178" s="6419"/>
      <c r="H178" s="6419"/>
      <c r="I178" s="1549"/>
      <c r="J178" s="1549">
        <v>36</v>
      </c>
      <c r="K178" s="1549" t="s">
        <v>788</v>
      </c>
      <c r="L178" s="824"/>
    </row>
    <row r="179" spans="1:12" ht="13.5" hidden="1" thickBot="1">
      <c r="A179" s="833"/>
      <c r="B179" s="292"/>
      <c r="C179" s="6458" t="s">
        <v>789</v>
      </c>
      <c r="D179" s="6419"/>
      <c r="E179" s="6419"/>
      <c r="F179" s="6419"/>
      <c r="G179" s="6419"/>
      <c r="H179" s="6419"/>
      <c r="I179" s="1549"/>
      <c r="J179" s="1549">
        <v>48</v>
      </c>
      <c r="K179" s="1549" t="s">
        <v>790</v>
      </c>
      <c r="L179" s="824"/>
    </row>
    <row r="180" spans="1:12" ht="13.5" hidden="1" thickBot="1">
      <c r="A180" s="833"/>
      <c r="B180" s="292"/>
      <c r="C180" s="6458" t="s">
        <v>736</v>
      </c>
      <c r="D180" s="6419"/>
      <c r="E180" s="6419"/>
      <c r="F180" s="6419"/>
      <c r="G180" s="6419"/>
      <c r="H180" s="6419"/>
      <c r="I180" s="1549"/>
      <c r="J180" s="1549">
        <v>54</v>
      </c>
      <c r="K180" s="1549" t="s">
        <v>791</v>
      </c>
      <c r="L180" s="824"/>
    </row>
    <row r="181" spans="1:12" ht="13.5" hidden="1" thickBot="1">
      <c r="A181" s="833"/>
      <c r="B181" s="292"/>
      <c r="C181" s="6458" t="s">
        <v>734</v>
      </c>
      <c r="D181" s="6419"/>
      <c r="E181" s="6419"/>
      <c r="F181" s="6419"/>
      <c r="G181" s="6419"/>
      <c r="H181" s="6419"/>
      <c r="I181" s="1549"/>
      <c r="J181" s="1549">
        <v>61</v>
      </c>
      <c r="K181" s="1549" t="s">
        <v>792</v>
      </c>
      <c r="L181" s="824"/>
    </row>
    <row r="182" spans="1:12" ht="13.5" hidden="1" thickBot="1">
      <c r="A182" s="833"/>
      <c r="B182" s="292"/>
      <c r="C182" s="6458" t="s">
        <v>793</v>
      </c>
      <c r="D182" s="6419"/>
      <c r="E182" s="6419"/>
      <c r="F182" s="6419"/>
      <c r="G182" s="6419"/>
      <c r="H182" s="6419"/>
      <c r="I182" s="1549"/>
      <c r="J182" s="1549">
        <v>56</v>
      </c>
      <c r="K182" s="1549" t="s">
        <v>794</v>
      </c>
      <c r="L182" s="824"/>
    </row>
    <row r="183" spans="1:12" ht="13.5" hidden="1" thickBot="1">
      <c r="A183" s="833"/>
      <c r="B183" s="292"/>
      <c r="C183" s="6458" t="s">
        <v>795</v>
      </c>
      <c r="D183" s="6419"/>
      <c r="E183" s="6419"/>
      <c r="F183" s="6419"/>
      <c r="G183" s="6419"/>
      <c r="H183" s="6419"/>
      <c r="I183" s="1549"/>
      <c r="J183" s="1549">
        <v>60</v>
      </c>
      <c r="K183" s="1549" t="s">
        <v>796</v>
      </c>
      <c r="L183" s="824"/>
    </row>
    <row r="184" spans="1:12" ht="13.5" hidden="1" thickBot="1">
      <c r="A184" s="833"/>
      <c r="B184" s="292"/>
      <c r="C184" s="6458" t="s">
        <v>797</v>
      </c>
      <c r="D184" s="6419"/>
      <c r="E184" s="6419"/>
      <c r="F184" s="6419"/>
      <c r="G184" s="6419"/>
      <c r="H184" s="6419"/>
      <c r="I184" s="1549"/>
      <c r="J184" s="1549">
        <v>40</v>
      </c>
      <c r="K184" s="1549" t="s">
        <v>798</v>
      </c>
      <c r="L184" s="824"/>
    </row>
    <row r="185" spans="1:12" ht="13.5" hidden="1" thickBot="1">
      <c r="A185" s="833"/>
      <c r="B185" s="292"/>
      <c r="C185" s="6458" t="s">
        <v>734</v>
      </c>
      <c r="D185" s="6419"/>
      <c r="E185" s="6419"/>
      <c r="F185" s="6419"/>
      <c r="G185" s="6419"/>
      <c r="H185" s="6419"/>
      <c r="I185" s="1549"/>
      <c r="J185" s="1549">
        <v>71</v>
      </c>
      <c r="K185" s="1549" t="s">
        <v>799</v>
      </c>
      <c r="L185" s="824"/>
    </row>
    <row r="186" spans="1:12" ht="13.5" hidden="1" thickBot="1">
      <c r="A186" s="833"/>
      <c r="B186" s="292"/>
      <c r="C186" s="6458" t="s">
        <v>800</v>
      </c>
      <c r="D186" s="6419"/>
      <c r="E186" s="6419"/>
      <c r="F186" s="6419"/>
      <c r="G186" s="6419"/>
      <c r="H186" s="6419"/>
      <c r="I186" s="1549"/>
      <c r="J186" s="1549">
        <v>48</v>
      </c>
      <c r="K186" s="1549" t="s">
        <v>801</v>
      </c>
      <c r="L186" s="824"/>
    </row>
    <row r="187" spans="1:12" ht="13.5" hidden="1" thickBot="1">
      <c r="A187" s="833"/>
      <c r="B187" s="292"/>
      <c r="C187" s="6458" t="s">
        <v>738</v>
      </c>
      <c r="D187" s="6419"/>
      <c r="E187" s="6419"/>
      <c r="F187" s="6419"/>
      <c r="G187" s="6419"/>
      <c r="H187" s="6419"/>
      <c r="I187" s="1549"/>
      <c r="J187" s="1549"/>
      <c r="K187" s="1549" t="s">
        <v>802</v>
      </c>
      <c r="L187" s="824"/>
    </row>
    <row r="188" spans="1:12" ht="13.5" hidden="1" thickBot="1">
      <c r="A188" s="833"/>
      <c r="B188" s="292"/>
      <c r="C188" s="6458" t="s">
        <v>54</v>
      </c>
      <c r="D188" s="6419"/>
      <c r="E188" s="6419"/>
      <c r="F188" s="6419"/>
      <c r="G188" s="6419"/>
      <c r="H188" s="6419"/>
      <c r="I188" s="1549"/>
      <c r="J188" s="1549"/>
      <c r="K188" s="1549" t="s">
        <v>803</v>
      </c>
      <c r="L188" s="824"/>
    </row>
    <row r="189" spans="1:12" ht="13.5" hidden="1" thickBot="1">
      <c r="A189" s="833"/>
      <c r="B189" s="292"/>
      <c r="C189" s="6458" t="s">
        <v>293</v>
      </c>
      <c r="D189" s="6419"/>
      <c r="E189" s="6419"/>
      <c r="F189" s="6419"/>
      <c r="G189" s="6419"/>
      <c r="H189" s="6419"/>
      <c r="I189" s="1549"/>
      <c r="J189" s="1549"/>
      <c r="K189" s="1549" t="s">
        <v>803</v>
      </c>
      <c r="L189" s="824"/>
    </row>
    <row r="190" spans="1:12" ht="13.5" hidden="1" thickBot="1">
      <c r="A190" s="833"/>
      <c r="B190" s="292"/>
      <c r="C190" s="6458" t="s">
        <v>741</v>
      </c>
      <c r="D190" s="6419"/>
      <c r="E190" s="6419"/>
      <c r="F190" s="6419"/>
      <c r="G190" s="6419"/>
      <c r="H190" s="6419"/>
      <c r="I190" s="1549"/>
      <c r="J190" s="1549">
        <v>18</v>
      </c>
      <c r="K190" s="1549" t="s">
        <v>804</v>
      </c>
      <c r="L190" s="824"/>
    </row>
    <row r="191" spans="1:12" ht="13.5" hidden="1" thickBot="1">
      <c r="A191" s="833"/>
      <c r="B191" s="292"/>
      <c r="C191" s="6458" t="s">
        <v>293</v>
      </c>
      <c r="D191" s="6419"/>
      <c r="E191" s="6419"/>
      <c r="F191" s="6419"/>
      <c r="G191" s="6419"/>
      <c r="H191" s="6419"/>
      <c r="I191" s="1549"/>
      <c r="J191" s="1549"/>
      <c r="K191" s="1549" t="s">
        <v>748</v>
      </c>
      <c r="L191" s="824"/>
    </row>
    <row r="192" spans="1:12" ht="13.5" hidden="1" thickBot="1">
      <c r="A192" s="820"/>
      <c r="B192" s="819"/>
      <c r="C192" s="6453" t="s">
        <v>743</v>
      </c>
      <c r="D192" s="6459"/>
      <c r="E192" s="6459"/>
      <c r="F192" s="6459"/>
      <c r="G192" s="6459"/>
      <c r="H192" s="6459"/>
      <c r="I192" s="1549"/>
      <c r="J192" s="1549"/>
      <c r="K192" s="1549" t="s">
        <v>748</v>
      </c>
      <c r="L192" s="815"/>
    </row>
    <row r="193" spans="1:22" ht="15.75" hidden="1">
      <c r="C193" s="818"/>
      <c r="D193" s="818"/>
      <c r="E193" s="818"/>
      <c r="F193" s="818"/>
      <c r="K193" s="843">
        <v>772319</v>
      </c>
    </row>
    <row r="194" spans="1:22" ht="15.75">
      <c r="A194" s="844" t="s">
        <v>889</v>
      </c>
      <c r="B194" s="844"/>
      <c r="C194" s="844"/>
      <c r="D194" s="844"/>
      <c r="E194" s="844"/>
      <c r="F194" s="844"/>
      <c r="G194" s="844"/>
      <c r="H194" s="844"/>
      <c r="I194" s="844"/>
      <c r="J194" s="844"/>
      <c r="K194" s="844">
        <f>SUM(K82+K193)</f>
        <v>1593616</v>
      </c>
      <c r="L194" s="844"/>
    </row>
    <row r="196" spans="1:22" ht="13.5" thickBot="1"/>
    <row r="197" spans="1:22" ht="21" thickBot="1">
      <c r="A197" s="6470" t="s">
        <v>890</v>
      </c>
      <c r="B197" s="6471"/>
      <c r="C197" s="6471"/>
      <c r="D197" s="6471"/>
      <c r="E197" s="6471"/>
      <c r="F197" s="6471"/>
      <c r="G197" s="2209"/>
      <c r="H197" s="2209"/>
      <c r="I197" s="2210">
        <f>I158+I55</f>
        <v>256133</v>
      </c>
      <c r="J197" s="2209"/>
      <c r="K197" s="2209"/>
      <c r="L197" s="2209"/>
    </row>
    <row r="199" spans="1:22">
      <c r="I199" s="423"/>
      <c r="J199" s="423" t="s">
        <v>267</v>
      </c>
      <c r="K199" s="423" t="s">
        <v>268</v>
      </c>
      <c r="L199" s="423" t="s">
        <v>269</v>
      </c>
      <c r="M199" s="423" t="s">
        <v>270</v>
      </c>
      <c r="N199" s="423" t="s">
        <v>271</v>
      </c>
      <c r="O199" s="423" t="s">
        <v>272</v>
      </c>
      <c r="P199" s="423" t="s">
        <v>1226</v>
      </c>
      <c r="Q199" s="423" t="s">
        <v>273</v>
      </c>
      <c r="R199" s="423" t="s">
        <v>1244</v>
      </c>
      <c r="S199" s="423" t="s">
        <v>274</v>
      </c>
      <c r="T199" s="423" t="s">
        <v>275</v>
      </c>
      <c r="U199" s="423" t="s">
        <v>1335</v>
      </c>
      <c r="V199" s="423" t="s">
        <v>1588</v>
      </c>
    </row>
    <row r="200" spans="1:22">
      <c r="I200" s="2470">
        <f>SUM(I197/1000)</f>
        <v>256.13299999999998</v>
      </c>
      <c r="J200" s="2471">
        <v>0</v>
      </c>
      <c r="K200" s="2471">
        <v>0</v>
      </c>
      <c r="L200" s="2471">
        <v>0</v>
      </c>
      <c r="M200" s="2471">
        <v>0</v>
      </c>
      <c r="N200" s="2471">
        <v>0.1</v>
      </c>
      <c r="O200" s="2471">
        <v>0.15</v>
      </c>
      <c r="P200" s="2471">
        <v>0.2</v>
      </c>
      <c r="Q200" s="2471">
        <v>0.2</v>
      </c>
      <c r="R200" s="2471">
        <v>0.2</v>
      </c>
      <c r="S200" s="2471">
        <v>0.15</v>
      </c>
      <c r="T200" s="2471">
        <v>0</v>
      </c>
      <c r="U200" s="2471">
        <v>0</v>
      </c>
      <c r="V200" s="2471">
        <f>SUM(J200:U200)</f>
        <v>1</v>
      </c>
    </row>
    <row r="201" spans="1:22">
      <c r="I201" s="423"/>
      <c r="J201" s="2472">
        <f>SUM(I200*J200)</f>
        <v>0</v>
      </c>
      <c r="K201" s="2472">
        <f>SUM(I200*K200)</f>
        <v>0</v>
      </c>
      <c r="L201" s="2472">
        <f>SUM(I200*L200)</f>
        <v>0</v>
      </c>
      <c r="M201" s="2472">
        <f>SUM(I200*M200)</f>
        <v>0</v>
      </c>
      <c r="N201" s="2472">
        <f>SUM(I200*N200)</f>
        <v>25.613299999999999</v>
      </c>
      <c r="O201" s="2472">
        <f>SUM(I200*O200)</f>
        <v>38.419949999999993</v>
      </c>
      <c r="P201" s="2472">
        <f>SUM(I200*P200)</f>
        <v>51.226599999999998</v>
      </c>
      <c r="Q201" s="2472">
        <f>SUM(I200*Q200)</f>
        <v>51.226599999999998</v>
      </c>
      <c r="R201" s="2472">
        <f>SUM(I200*R200)</f>
        <v>51.226599999999998</v>
      </c>
      <c r="S201" s="2472">
        <f>SUM(I200*S200)</f>
        <v>38.419949999999993</v>
      </c>
      <c r="T201" s="2472">
        <f>SUM(I200*T200)</f>
        <v>0</v>
      </c>
      <c r="U201" s="2472">
        <f>SUM(I200*U200)</f>
        <v>0</v>
      </c>
      <c r="V201" s="2472">
        <f>SUM(I200*V200)</f>
        <v>256.13299999999998</v>
      </c>
    </row>
  </sheetData>
  <mergeCells count="276">
    <mergeCell ref="C175:H175"/>
    <mergeCell ref="C176:H176"/>
    <mergeCell ref="C177:H177"/>
    <mergeCell ref="C178:H178"/>
    <mergeCell ref="C179:H179"/>
    <mergeCell ref="C180:H180"/>
    <mergeCell ref="C169:H169"/>
    <mergeCell ref="C170:H170"/>
    <mergeCell ref="C171:H171"/>
    <mergeCell ref="C172:H172"/>
    <mergeCell ref="C173:H173"/>
    <mergeCell ref="C174:H174"/>
    <mergeCell ref="A197:F197"/>
    <mergeCell ref="C187:H187"/>
    <mergeCell ref="C188:H188"/>
    <mergeCell ref="C189:H189"/>
    <mergeCell ref="C190:H190"/>
    <mergeCell ref="C191:H191"/>
    <mergeCell ref="C192:H192"/>
    <mergeCell ref="C181:H181"/>
    <mergeCell ref="C182:H182"/>
    <mergeCell ref="C183:H183"/>
    <mergeCell ref="C184:H184"/>
    <mergeCell ref="C185:H185"/>
    <mergeCell ref="C186:H186"/>
    <mergeCell ref="L160:L161"/>
    <mergeCell ref="C164:H165"/>
    <mergeCell ref="I164:I165"/>
    <mergeCell ref="J164:J165"/>
    <mergeCell ref="C167:H167"/>
    <mergeCell ref="C168:H168"/>
    <mergeCell ref="A159:K159"/>
    <mergeCell ref="A160:E161"/>
    <mergeCell ref="F160:F161"/>
    <mergeCell ref="G160:G161"/>
    <mergeCell ref="H160:H161"/>
    <mergeCell ref="J160:J161"/>
    <mergeCell ref="A156:E157"/>
    <mergeCell ref="F156:F157"/>
    <mergeCell ref="G156:G157"/>
    <mergeCell ref="H156:H157"/>
    <mergeCell ref="J156:J157"/>
    <mergeCell ref="A158:F158"/>
    <mergeCell ref="L156:L157"/>
    <mergeCell ref="A153:A154"/>
    <mergeCell ref="B153:B154"/>
    <mergeCell ref="G153:G154"/>
    <mergeCell ref="H153:H154"/>
    <mergeCell ref="L153:L154"/>
    <mergeCell ref="A155:K155"/>
    <mergeCell ref="A149:A150"/>
    <mergeCell ref="B149:B150"/>
    <mergeCell ref="G149:G150"/>
    <mergeCell ref="H149:H150"/>
    <mergeCell ref="L149:L150"/>
    <mergeCell ref="A151:A152"/>
    <mergeCell ref="B151:B152"/>
    <mergeCell ref="G151:G152"/>
    <mergeCell ref="H151:H152"/>
    <mergeCell ref="L151:L152"/>
    <mergeCell ref="A145:A146"/>
    <mergeCell ref="B145:B146"/>
    <mergeCell ref="G145:G146"/>
    <mergeCell ref="H145:H146"/>
    <mergeCell ref="L145:L146"/>
    <mergeCell ref="A147:A148"/>
    <mergeCell ref="B147:B148"/>
    <mergeCell ref="G147:G148"/>
    <mergeCell ref="H147:H148"/>
    <mergeCell ref="L147:L148"/>
    <mergeCell ref="A141:A142"/>
    <mergeCell ref="B141:B142"/>
    <mergeCell ref="G141:G142"/>
    <mergeCell ref="H141:H142"/>
    <mergeCell ref="L141:L142"/>
    <mergeCell ref="A143:A144"/>
    <mergeCell ref="B143:B144"/>
    <mergeCell ref="G143:G144"/>
    <mergeCell ref="H143:H144"/>
    <mergeCell ref="L143:L144"/>
    <mergeCell ref="A137:A138"/>
    <mergeCell ref="B137:B138"/>
    <mergeCell ref="G137:G138"/>
    <mergeCell ref="H137:H138"/>
    <mergeCell ref="L137:L138"/>
    <mergeCell ref="A139:A140"/>
    <mergeCell ref="B139:B140"/>
    <mergeCell ref="G139:G140"/>
    <mergeCell ref="H139:H140"/>
    <mergeCell ref="L139:L140"/>
    <mergeCell ref="A133:A134"/>
    <mergeCell ref="B133:B134"/>
    <mergeCell ref="G133:G134"/>
    <mergeCell ref="H133:H134"/>
    <mergeCell ref="L133:L134"/>
    <mergeCell ref="A135:A136"/>
    <mergeCell ref="B135:B136"/>
    <mergeCell ref="G135:G136"/>
    <mergeCell ref="H135:H136"/>
    <mergeCell ref="L135:L136"/>
    <mergeCell ref="A129:A130"/>
    <mergeCell ref="B129:B130"/>
    <mergeCell ref="G129:G130"/>
    <mergeCell ref="H129:H130"/>
    <mergeCell ref="L129:L130"/>
    <mergeCell ref="A131:A132"/>
    <mergeCell ref="B131:B132"/>
    <mergeCell ref="G131:G132"/>
    <mergeCell ref="H131:H132"/>
    <mergeCell ref="L131:L132"/>
    <mergeCell ref="A123:A125"/>
    <mergeCell ref="B123:B125"/>
    <mergeCell ref="G123:G125"/>
    <mergeCell ref="H123:H125"/>
    <mergeCell ref="L123:L125"/>
    <mergeCell ref="A126:A128"/>
    <mergeCell ref="B126:B128"/>
    <mergeCell ref="G126:G128"/>
    <mergeCell ref="H126:H128"/>
    <mergeCell ref="L126:L128"/>
    <mergeCell ref="A118:A119"/>
    <mergeCell ref="B118:B119"/>
    <mergeCell ref="G118:G119"/>
    <mergeCell ref="H118:H119"/>
    <mergeCell ref="L118:L119"/>
    <mergeCell ref="A120:A122"/>
    <mergeCell ref="B120:B122"/>
    <mergeCell ref="G120:G122"/>
    <mergeCell ref="H120:H122"/>
    <mergeCell ref="L120:L122"/>
    <mergeCell ref="A112:A114"/>
    <mergeCell ref="B112:B114"/>
    <mergeCell ref="G112:G114"/>
    <mergeCell ref="H112:H114"/>
    <mergeCell ref="L112:L114"/>
    <mergeCell ref="A115:A117"/>
    <mergeCell ref="B115:B117"/>
    <mergeCell ref="G115:G117"/>
    <mergeCell ref="H115:H117"/>
    <mergeCell ref="L115:L117"/>
    <mergeCell ref="A109:K109"/>
    <mergeCell ref="A110:A111"/>
    <mergeCell ref="B110:B111"/>
    <mergeCell ref="C110:C111"/>
    <mergeCell ref="H110:H111"/>
    <mergeCell ref="I110:I111"/>
    <mergeCell ref="E101:F101"/>
    <mergeCell ref="G101:I101"/>
    <mergeCell ref="J101:K101"/>
    <mergeCell ref="J102:K102"/>
    <mergeCell ref="A107:K107"/>
    <mergeCell ref="A108:K108"/>
    <mergeCell ref="A97:E98"/>
    <mergeCell ref="F97:F98"/>
    <mergeCell ref="G97:G98"/>
    <mergeCell ref="A99:E100"/>
    <mergeCell ref="F99:F100"/>
    <mergeCell ref="G99:G100"/>
    <mergeCell ref="A89:L90"/>
    <mergeCell ref="A91:B91"/>
    <mergeCell ref="A93:C93"/>
    <mergeCell ref="D93:L93"/>
    <mergeCell ref="A95:E96"/>
    <mergeCell ref="F95:F96"/>
    <mergeCell ref="G95:G96"/>
    <mergeCell ref="C79:H79"/>
    <mergeCell ref="C80:H80"/>
    <mergeCell ref="C81:H81"/>
    <mergeCell ref="A84:K84"/>
    <mergeCell ref="A85:K85"/>
    <mergeCell ref="A87:L87"/>
    <mergeCell ref="C73:H73"/>
    <mergeCell ref="C74:H74"/>
    <mergeCell ref="C75:H75"/>
    <mergeCell ref="C76:H76"/>
    <mergeCell ref="C77:H77"/>
    <mergeCell ref="C78:H78"/>
    <mergeCell ref="C67:H67"/>
    <mergeCell ref="C68:H68"/>
    <mergeCell ref="C69:H69"/>
    <mergeCell ref="C70:H70"/>
    <mergeCell ref="C71:H71"/>
    <mergeCell ref="C72:H72"/>
    <mergeCell ref="C62:H63"/>
    <mergeCell ref="I62:I63"/>
    <mergeCell ref="J62:J63"/>
    <mergeCell ref="C64:H64"/>
    <mergeCell ref="C65:H65"/>
    <mergeCell ref="C66:H66"/>
    <mergeCell ref="A56:K56"/>
    <mergeCell ref="A57:E58"/>
    <mergeCell ref="F57:F58"/>
    <mergeCell ref="G57:G58"/>
    <mergeCell ref="H57:H58"/>
    <mergeCell ref="J57:J58"/>
    <mergeCell ref="A52:K52"/>
    <mergeCell ref="A53:E54"/>
    <mergeCell ref="F53:F54"/>
    <mergeCell ref="G53:G54"/>
    <mergeCell ref="H53:H54"/>
    <mergeCell ref="J53:J54"/>
    <mergeCell ref="A55:F55"/>
    <mergeCell ref="A48:A49"/>
    <mergeCell ref="B48:B49"/>
    <mergeCell ref="G48:G49"/>
    <mergeCell ref="H48:H49"/>
    <mergeCell ref="A50:A51"/>
    <mergeCell ref="B50:B51"/>
    <mergeCell ref="G50:G51"/>
    <mergeCell ref="H50:H51"/>
    <mergeCell ref="A44:A45"/>
    <mergeCell ref="B44:B45"/>
    <mergeCell ref="G44:G45"/>
    <mergeCell ref="H44:H45"/>
    <mergeCell ref="A46:A47"/>
    <mergeCell ref="B46:B47"/>
    <mergeCell ref="G46:G47"/>
    <mergeCell ref="H46:H47"/>
    <mergeCell ref="A40:A41"/>
    <mergeCell ref="B40:B41"/>
    <mergeCell ref="G40:G41"/>
    <mergeCell ref="H40:H41"/>
    <mergeCell ref="A42:A43"/>
    <mergeCell ref="B42:B43"/>
    <mergeCell ref="G42:G43"/>
    <mergeCell ref="H42:H43"/>
    <mergeCell ref="A36:A37"/>
    <mergeCell ref="B36:B37"/>
    <mergeCell ref="G36:G37"/>
    <mergeCell ref="H36:H37"/>
    <mergeCell ref="A38:A39"/>
    <mergeCell ref="B38:B39"/>
    <mergeCell ref="G38:G39"/>
    <mergeCell ref="H38:H39"/>
    <mergeCell ref="A32:A33"/>
    <mergeCell ref="B32:B33"/>
    <mergeCell ref="G32:G33"/>
    <mergeCell ref="H32:H33"/>
    <mergeCell ref="A34:A35"/>
    <mergeCell ref="B34:B35"/>
    <mergeCell ref="G34:G35"/>
    <mergeCell ref="H34:H35"/>
    <mergeCell ref="A28:A29"/>
    <mergeCell ref="B28:B29"/>
    <mergeCell ref="G28:G29"/>
    <mergeCell ref="H28:H29"/>
    <mergeCell ref="A30:A31"/>
    <mergeCell ref="B30:B31"/>
    <mergeCell ref="G30:G31"/>
    <mergeCell ref="H30:H31"/>
    <mergeCell ref="J18:K18"/>
    <mergeCell ref="A23:K23"/>
    <mergeCell ref="A24:K24"/>
    <mergeCell ref="A25:K25"/>
    <mergeCell ref="A26:A27"/>
    <mergeCell ref="B26:B27"/>
    <mergeCell ref="G26:G27"/>
    <mergeCell ref="H26:H27"/>
    <mergeCell ref="A15:F16"/>
    <mergeCell ref="G15:G16"/>
    <mergeCell ref="H15:H16"/>
    <mergeCell ref="E17:F17"/>
    <mergeCell ref="G17:I17"/>
    <mergeCell ref="J17:K17"/>
    <mergeCell ref="A11:F12"/>
    <mergeCell ref="G11:G12"/>
    <mergeCell ref="H11:H12"/>
    <mergeCell ref="A13:F14"/>
    <mergeCell ref="G13:G14"/>
    <mergeCell ref="H13:H14"/>
    <mergeCell ref="A2:K2"/>
    <mergeCell ref="A3:K3"/>
    <mergeCell ref="A5:K5"/>
    <mergeCell ref="A7:K7"/>
    <mergeCell ref="A9:K9"/>
    <mergeCell ref="A10:C10"/>
  </mergeCells>
  <pageMargins left="0.70866141732283472" right="0.70866141732283472" top="0.74803149606299213" bottom="0.74803149606299213" header="0.31496062992125984" footer="0.31496062992125984"/>
  <pageSetup paperSize="9" scale="39" fitToHeight="3" orientation="portrait" r:id="rId1"/>
  <rowBreaks count="1" manualBreakCount="1">
    <brk id="83" max="11" man="1"/>
  </rowBreaks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B050"/>
  </sheetPr>
  <dimension ref="A1:AK411"/>
  <sheetViews>
    <sheetView zoomScale="80" zoomScaleNormal="80" workbookViewId="0">
      <pane xSplit="1" ySplit="7" topLeftCell="B43" activePane="bottomRight" state="frozen"/>
      <selection pane="topRight" activeCell="B1" sqref="B1"/>
      <selection pane="bottomLeft" activeCell="A8" sqref="A8"/>
      <selection pane="bottomRight" activeCell="J55" sqref="J55"/>
    </sheetView>
  </sheetViews>
  <sheetFormatPr defaultRowHeight="12.75"/>
  <cols>
    <col min="1" max="1" width="52" customWidth="1"/>
    <col min="2" max="12" width="12.7109375" customWidth="1"/>
    <col min="13" max="13" width="12.28515625" customWidth="1"/>
    <col min="14" max="14" width="12" customWidth="1"/>
    <col min="15" max="19" width="12.7109375" customWidth="1"/>
    <col min="20" max="20" width="14.85546875" customWidth="1"/>
    <col min="21" max="21" width="13.5703125" customWidth="1"/>
    <col min="22" max="22" width="12.42578125" customWidth="1"/>
    <col min="23" max="27" width="12.7109375" customWidth="1"/>
    <col min="28" max="29" width="14.28515625" customWidth="1"/>
    <col min="30" max="30" width="14.140625" customWidth="1"/>
  </cols>
  <sheetData>
    <row r="1" spans="1:37" ht="20.25">
      <c r="A1" s="4660" t="s">
        <v>2038</v>
      </c>
      <c r="B1" s="4661"/>
      <c r="C1" s="4661"/>
      <c r="D1" s="4661"/>
      <c r="E1" s="4661"/>
      <c r="F1" s="4661"/>
      <c r="G1" s="4662"/>
      <c r="H1" s="4663"/>
      <c r="I1" s="4663"/>
      <c r="J1" s="4662"/>
      <c r="K1" s="4663"/>
      <c r="L1" s="4663"/>
      <c r="M1" s="4663"/>
      <c r="N1" s="4663"/>
      <c r="O1" s="4662"/>
      <c r="P1" s="4662"/>
      <c r="Q1" s="4662"/>
      <c r="R1" s="4662"/>
      <c r="S1" s="4662"/>
      <c r="T1" s="4662"/>
      <c r="U1" s="4662"/>
      <c r="V1" s="4662"/>
      <c r="W1" s="4662"/>
      <c r="X1" s="4662"/>
      <c r="Y1" s="4662"/>
      <c r="Z1" s="4662"/>
      <c r="AA1" s="4662"/>
      <c r="AB1" s="4662"/>
      <c r="AC1" s="4662"/>
      <c r="AD1" s="4662"/>
      <c r="AE1" s="4664"/>
      <c r="AF1" s="4664"/>
      <c r="AG1" s="4664"/>
      <c r="AH1" s="4664"/>
      <c r="AI1" s="4664"/>
      <c r="AJ1" s="4665"/>
      <c r="AK1" s="4665"/>
    </row>
    <row r="2" spans="1:37" ht="20.25">
      <c r="A2" s="4666" t="s">
        <v>1981</v>
      </c>
      <c r="B2" s="4664"/>
      <c r="C2" s="4664"/>
      <c r="D2" s="4664"/>
      <c r="E2" s="4664"/>
      <c r="F2" s="4664"/>
      <c r="G2" s="4664"/>
      <c r="H2" s="4667"/>
      <c r="I2" s="4667"/>
      <c r="J2" s="4664"/>
      <c r="K2" s="4667"/>
      <c r="L2" s="4667"/>
      <c r="M2" s="4667"/>
      <c r="N2" s="4667"/>
      <c r="O2" s="4664"/>
      <c r="P2" s="4664"/>
      <c r="Q2" s="4664"/>
      <c r="R2" s="4664"/>
      <c r="S2" s="4664"/>
      <c r="T2" s="4664"/>
      <c r="U2" s="4664"/>
      <c r="V2" s="4664"/>
      <c r="W2" s="4664"/>
      <c r="X2" s="4664"/>
      <c r="Y2" s="4664"/>
      <c r="Z2" s="4664"/>
      <c r="AA2" s="4664"/>
      <c r="AB2" s="4664"/>
      <c r="AC2" s="4664"/>
      <c r="AD2" s="4664"/>
      <c r="AE2" s="4664"/>
      <c r="AF2" s="4664"/>
      <c r="AG2" s="4664"/>
      <c r="AH2" s="4664"/>
      <c r="AI2" s="4664"/>
      <c r="AJ2" s="4665"/>
      <c r="AK2" s="4665"/>
    </row>
    <row r="3" spans="1:37" ht="20.25">
      <c r="A3" s="4666"/>
      <c r="B3" s="4664"/>
      <c r="C3" s="4664"/>
      <c r="D3" s="4664"/>
      <c r="E3" s="4664"/>
      <c r="F3" s="4664"/>
      <c r="G3" s="4664"/>
      <c r="H3" s="4664"/>
      <c r="I3" s="4664"/>
      <c r="J3" s="4664"/>
      <c r="K3" s="4664"/>
      <c r="L3" s="4664"/>
      <c r="M3" s="4664"/>
      <c r="N3" s="4664"/>
      <c r="O3" s="4664"/>
      <c r="P3" s="4664"/>
      <c r="Q3" s="4664"/>
      <c r="R3" s="4664"/>
      <c r="S3" s="4664"/>
      <c r="T3" s="4664"/>
      <c r="U3" s="4664"/>
      <c r="V3" s="4664"/>
      <c r="W3" s="4664"/>
      <c r="X3" s="4664"/>
      <c r="Y3" s="4664"/>
      <c r="Z3" s="4664"/>
      <c r="AA3" s="4664"/>
      <c r="AB3" s="4664"/>
      <c r="AC3" s="4664"/>
      <c r="AD3" s="4664"/>
      <c r="AE3" s="4664"/>
      <c r="AF3" s="4664"/>
      <c r="AG3" s="4664"/>
      <c r="AH3" s="4664"/>
      <c r="AI3" s="4664"/>
      <c r="AJ3" s="4665"/>
      <c r="AK3" s="4665"/>
    </row>
    <row r="4" spans="1:37" ht="18.75">
      <c r="A4" s="4668" t="s">
        <v>1982</v>
      </c>
      <c r="B4" s="4669"/>
      <c r="C4" s="4669"/>
      <c r="D4" s="4669"/>
      <c r="E4" s="4669"/>
      <c r="F4" s="4669"/>
      <c r="G4" s="4669"/>
      <c r="H4" s="4669"/>
      <c r="I4" s="4669"/>
      <c r="J4" s="4669"/>
      <c r="K4" s="4669"/>
      <c r="L4" s="4669"/>
      <c r="M4" s="4669"/>
      <c r="N4" s="4669"/>
      <c r="O4" s="4669"/>
      <c r="P4" s="4669"/>
      <c r="Q4" s="4669"/>
      <c r="R4" s="4669"/>
      <c r="S4" s="4669"/>
      <c r="T4" s="4669"/>
      <c r="U4" s="4669"/>
      <c r="V4" s="4669"/>
      <c r="W4" s="4669"/>
      <c r="X4" s="4669"/>
      <c r="Y4" s="4669"/>
      <c r="Z4" s="4669"/>
      <c r="AA4" s="4669"/>
      <c r="AB4" s="4669"/>
      <c r="AC4" s="4669"/>
      <c r="AD4" s="4670"/>
      <c r="AE4" s="4664"/>
      <c r="AF4" s="4664"/>
      <c r="AG4" s="4664"/>
      <c r="AH4" s="4664"/>
      <c r="AI4" s="4664"/>
      <c r="AJ4" s="4665"/>
      <c r="AK4" s="4665"/>
    </row>
    <row r="5" spans="1:37" ht="18.75" customHeight="1">
      <c r="A5" s="4930" t="s">
        <v>545</v>
      </c>
      <c r="B5" s="4928" t="s">
        <v>1983</v>
      </c>
      <c r="C5" s="4928"/>
      <c r="D5" s="4928"/>
      <c r="E5" s="4928"/>
      <c r="F5" s="4928"/>
      <c r="G5" s="4928" t="s">
        <v>1984</v>
      </c>
      <c r="H5" s="4928"/>
      <c r="I5" s="4928"/>
      <c r="J5" s="4928"/>
      <c r="K5" s="4928"/>
      <c r="L5" s="4926" t="s">
        <v>1985</v>
      </c>
      <c r="M5" s="4926"/>
      <c r="N5" s="4926"/>
      <c r="O5" s="4928" t="s">
        <v>1986</v>
      </c>
      <c r="P5" s="4928"/>
      <c r="Q5" s="4928"/>
      <c r="R5" s="4928"/>
      <c r="S5" s="4928"/>
      <c r="T5" s="4926" t="s">
        <v>1987</v>
      </c>
      <c r="U5" s="4926"/>
      <c r="V5" s="4926"/>
      <c r="W5" s="4928" t="s">
        <v>1988</v>
      </c>
      <c r="X5" s="4928"/>
      <c r="Y5" s="4928"/>
      <c r="Z5" s="4928"/>
      <c r="AA5" s="4928"/>
      <c r="AB5" s="4926" t="s">
        <v>887</v>
      </c>
      <c r="AC5" s="4926"/>
      <c r="AD5" s="4926"/>
      <c r="AE5" s="4671"/>
      <c r="AF5" s="4671"/>
      <c r="AG5" s="4671"/>
      <c r="AH5" s="4671"/>
      <c r="AI5" s="4671"/>
      <c r="AJ5" s="4672"/>
      <c r="AK5" s="4672"/>
    </row>
    <row r="6" spans="1:37" ht="18.75" customHeight="1">
      <c r="A6" s="4931"/>
      <c r="B6" s="4927" t="s">
        <v>1989</v>
      </c>
      <c r="C6" s="4928" t="s">
        <v>586</v>
      </c>
      <c r="D6" s="4928" t="s">
        <v>587</v>
      </c>
      <c r="E6" s="4928" t="s">
        <v>588</v>
      </c>
      <c r="F6" s="4927" t="s">
        <v>1990</v>
      </c>
      <c r="G6" s="4927" t="s">
        <v>1989</v>
      </c>
      <c r="H6" s="4928" t="s">
        <v>1562</v>
      </c>
      <c r="I6" s="4928" t="s">
        <v>590</v>
      </c>
      <c r="J6" s="4928" t="s">
        <v>591</v>
      </c>
      <c r="K6" s="4927" t="s">
        <v>1990</v>
      </c>
      <c r="L6" s="4929" t="s">
        <v>1989</v>
      </c>
      <c r="M6" s="4929" t="s">
        <v>1990</v>
      </c>
      <c r="N6" s="4926" t="s">
        <v>1991</v>
      </c>
      <c r="O6" s="4927" t="s">
        <v>1989</v>
      </c>
      <c r="P6" s="4928" t="s">
        <v>592</v>
      </c>
      <c r="Q6" s="4928" t="s">
        <v>593</v>
      </c>
      <c r="R6" s="4928" t="s">
        <v>594</v>
      </c>
      <c r="S6" s="4927" t="s">
        <v>1990</v>
      </c>
      <c r="T6" s="4929" t="s">
        <v>1989</v>
      </c>
      <c r="U6" s="4929" t="s">
        <v>1990</v>
      </c>
      <c r="V6" s="4926" t="s">
        <v>1991</v>
      </c>
      <c r="W6" s="4927" t="s">
        <v>1989</v>
      </c>
      <c r="X6" s="4928" t="s">
        <v>595</v>
      </c>
      <c r="Y6" s="4928" t="s">
        <v>596</v>
      </c>
      <c r="Z6" s="4928" t="s">
        <v>597</v>
      </c>
      <c r="AA6" s="4927" t="s">
        <v>1990</v>
      </c>
      <c r="AB6" s="4929" t="s">
        <v>1989</v>
      </c>
      <c r="AC6" s="4929" t="s">
        <v>1990</v>
      </c>
      <c r="AD6" s="4926" t="s">
        <v>1991</v>
      </c>
      <c r="AE6" s="4671"/>
      <c r="AF6" s="4671"/>
      <c r="AG6" s="4671"/>
      <c r="AH6" s="4671"/>
      <c r="AI6" s="4671"/>
      <c r="AJ6" s="4672"/>
      <c r="AK6" s="4672"/>
    </row>
    <row r="7" spans="1:37" ht="18.75" customHeight="1">
      <c r="A7" s="4931"/>
      <c r="B7" s="4927"/>
      <c r="C7" s="4928"/>
      <c r="D7" s="4928"/>
      <c r="E7" s="4928"/>
      <c r="F7" s="4927"/>
      <c r="G7" s="4927"/>
      <c r="H7" s="4928"/>
      <c r="I7" s="4928"/>
      <c r="J7" s="4928"/>
      <c r="K7" s="4927"/>
      <c r="L7" s="4929"/>
      <c r="M7" s="4929"/>
      <c r="N7" s="4926"/>
      <c r="O7" s="4927"/>
      <c r="P7" s="4928"/>
      <c r="Q7" s="4928"/>
      <c r="R7" s="4928"/>
      <c r="S7" s="4927"/>
      <c r="T7" s="4929"/>
      <c r="U7" s="4929"/>
      <c r="V7" s="4926"/>
      <c r="W7" s="4927"/>
      <c r="X7" s="4928"/>
      <c r="Y7" s="4928"/>
      <c r="Z7" s="4928"/>
      <c r="AA7" s="4927"/>
      <c r="AB7" s="4929"/>
      <c r="AC7" s="4929"/>
      <c r="AD7" s="4926"/>
      <c r="AE7" s="4671"/>
      <c r="AF7" s="4671"/>
      <c r="AG7" s="4671"/>
      <c r="AH7" s="4671"/>
      <c r="AI7" s="4671"/>
      <c r="AJ7" s="4672"/>
      <c r="AK7" s="4672"/>
    </row>
    <row r="8" spans="1:37" ht="18.75" customHeight="1">
      <c r="A8" s="4673" t="s">
        <v>1707</v>
      </c>
      <c r="B8" s="4674">
        <f>SUM('Произв. прогр. Вода'!H11)</f>
        <v>1360.8647955000001</v>
      </c>
      <c r="C8" s="4675">
        <v>653.08500000000004</v>
      </c>
      <c r="D8" s="4675">
        <v>497.262</v>
      </c>
      <c r="E8" s="4675">
        <v>514.80899999999997</v>
      </c>
      <c r="F8" s="4674">
        <f>SUM(C8:E8)</f>
        <v>1665.1559999999999</v>
      </c>
      <c r="G8" s="4674">
        <f>SUM('Произв. прогр. Вода'!L11)</f>
        <v>1302.2757045000001</v>
      </c>
      <c r="H8" s="4675">
        <v>597.01900000000001</v>
      </c>
      <c r="I8" s="4675">
        <v>658.07100000000003</v>
      </c>
      <c r="J8" s="4675">
        <v>642.82100000000003</v>
      </c>
      <c r="K8" s="4674">
        <f>SUM(H8:J8)</f>
        <v>1897.9110000000001</v>
      </c>
      <c r="L8" s="4676">
        <f>SUM('Произв. прогр. Вода'!M11)</f>
        <v>2663.1405000000004</v>
      </c>
      <c r="M8" s="4676">
        <f>SUM(F8+K8)</f>
        <v>3563.067</v>
      </c>
      <c r="N8" s="4676">
        <f>SUM(M8-L8)</f>
        <v>899.92649999999958</v>
      </c>
      <c r="O8" s="4674">
        <f>SUM('Произв. прогр. Вода'!Q11)</f>
        <v>1302.2757045000003</v>
      </c>
      <c r="P8" s="4675"/>
      <c r="Q8" s="4675"/>
      <c r="R8" s="4675"/>
      <c r="S8" s="4674">
        <f>SUM(P8:R8)</f>
        <v>0</v>
      </c>
      <c r="T8" s="4676">
        <f>SUM('Произв. прогр. Вода'!R11)</f>
        <v>3965.4162045000007</v>
      </c>
      <c r="U8" s="4676">
        <f>SUM(M8+S8)</f>
        <v>3563.067</v>
      </c>
      <c r="V8" s="4676">
        <f>SUM(U8-T8)</f>
        <v>-402.34920450000072</v>
      </c>
      <c r="W8" s="4674">
        <f>SUM('Произв. прогр. Вода'!V11)</f>
        <v>1360.8647955000001</v>
      </c>
      <c r="X8" s="4675"/>
      <c r="Y8" s="4675"/>
      <c r="Z8" s="4675"/>
      <c r="AA8" s="4674">
        <f>SUM(X8:Z8)</f>
        <v>0</v>
      </c>
      <c r="AB8" s="4676">
        <f>SUM('Произв. прогр. Вода'!B11)</f>
        <v>5326.2809999999999</v>
      </c>
      <c r="AC8" s="4676">
        <f>SUM(U8+AA8)</f>
        <v>3563.067</v>
      </c>
      <c r="AD8" s="4676">
        <f>SUM(AC8-AB8)</f>
        <v>-1763.2139999999999</v>
      </c>
      <c r="AE8" s="4671"/>
      <c r="AF8" s="4671"/>
      <c r="AG8" s="4671"/>
      <c r="AH8" s="4671"/>
      <c r="AI8" s="4671"/>
      <c r="AJ8" s="4672"/>
      <c r="AK8" s="4672"/>
    </row>
    <row r="9" spans="1:37" ht="18.75" customHeight="1">
      <c r="A9" s="4677" t="s">
        <v>20</v>
      </c>
      <c r="B9" s="4678">
        <f>SUM('Произв. прогр. Вода'!H12)</f>
        <v>204.10450000000003</v>
      </c>
      <c r="C9" s="4679">
        <v>153.15100000000001</v>
      </c>
      <c r="D9" s="4679">
        <v>75.460999999999999</v>
      </c>
      <c r="E9" s="4679">
        <v>37.656999999999996</v>
      </c>
      <c r="F9" s="4678">
        <f>SUM(C9:E9)</f>
        <v>266.26900000000001</v>
      </c>
      <c r="G9" s="4678">
        <f>SUM('Произв. прогр. Вода'!L12)</f>
        <v>204.10450000000003</v>
      </c>
      <c r="H9" s="4679">
        <v>91.515000000000001</v>
      </c>
      <c r="I9" s="4679">
        <v>162.489</v>
      </c>
      <c r="J9" s="4679">
        <v>152.56200000000001</v>
      </c>
      <c r="K9" s="4678">
        <f>SUM(H9:J9)</f>
        <v>406.56600000000003</v>
      </c>
      <c r="L9" s="4680">
        <f>SUM('Произв. прогр. Вода'!M12)</f>
        <v>408.20900000000006</v>
      </c>
      <c r="M9" s="4680">
        <f>SUM(F9+K9)</f>
        <v>672.83500000000004</v>
      </c>
      <c r="N9" s="4680">
        <f>SUM(M9-L9)</f>
        <v>264.62599999999998</v>
      </c>
      <c r="O9" s="4678">
        <f>SUM('Произв. прогр. Вода'!Q12)</f>
        <v>204.10450000000003</v>
      </c>
      <c r="P9" s="4679"/>
      <c r="Q9" s="4679"/>
      <c r="R9" s="4679"/>
      <c r="S9" s="4678">
        <f>SUM(P9:R9)</f>
        <v>0</v>
      </c>
      <c r="T9" s="4680">
        <f>SUM('Произв. прогр. Вода'!R12)</f>
        <v>612.31350000000009</v>
      </c>
      <c r="U9" s="4680">
        <f>SUM(M9+S9)</f>
        <v>672.83500000000004</v>
      </c>
      <c r="V9" s="4680">
        <f t="shared" ref="V9:V20" si="0">SUM(U9-T9)</f>
        <v>60.521499999999946</v>
      </c>
      <c r="W9" s="4678">
        <f>SUM('Произв. прогр. Вода'!V12)</f>
        <v>204.10450000000003</v>
      </c>
      <c r="X9" s="4679"/>
      <c r="Y9" s="4679"/>
      <c r="Z9" s="4679"/>
      <c r="AA9" s="4678">
        <f>SUM(X9:Z9)</f>
        <v>0</v>
      </c>
      <c r="AB9" s="4680">
        <f>SUM('Произв. прогр. Вода'!B12)</f>
        <v>816.41800000000001</v>
      </c>
      <c r="AC9" s="4680">
        <f>SUM(U9+AA9)</f>
        <v>672.83500000000004</v>
      </c>
      <c r="AD9" s="4680">
        <f t="shared" ref="AD9:AD20" si="1">SUM(AC9-AB9)</f>
        <v>-143.58299999999997</v>
      </c>
      <c r="AE9" s="4671"/>
      <c r="AF9" s="4671"/>
      <c r="AG9" s="4671"/>
      <c r="AH9" s="4671"/>
      <c r="AI9" s="4671"/>
      <c r="AJ9" s="4672"/>
      <c r="AK9" s="4672"/>
    </row>
    <row r="10" spans="1:37" ht="18.75" customHeight="1">
      <c r="A10" s="4681" t="s">
        <v>388</v>
      </c>
      <c r="B10" s="4682">
        <f>SUM('Произв. прогр. Вода'!H13)</f>
        <v>0.14998146816268348</v>
      </c>
      <c r="C10" s="4682">
        <f t="shared" ref="C10:F10" si="2">SUM(C9/C8)</f>
        <v>0.23450393134124961</v>
      </c>
      <c r="D10" s="4682">
        <f t="shared" si="2"/>
        <v>0.15175299942485049</v>
      </c>
      <c r="E10" s="4682">
        <f t="shared" si="2"/>
        <v>7.3147516846053584E-2</v>
      </c>
      <c r="F10" s="4682">
        <f t="shared" si="2"/>
        <v>0.15990633910576546</v>
      </c>
      <c r="G10" s="4682">
        <f>SUM('Произв. прогр. Вода'!L13)</f>
        <v>0.15672910067716003</v>
      </c>
      <c r="H10" s="4682">
        <f t="shared" ref="H10:K10" si="3">SUM(H9/H8)</f>
        <v>0.15328657881909957</v>
      </c>
      <c r="I10" s="4682">
        <f t="shared" si="3"/>
        <v>0.24691712596361182</v>
      </c>
      <c r="J10" s="4682">
        <f t="shared" si="3"/>
        <v>0.23733200999967333</v>
      </c>
      <c r="K10" s="4682">
        <f t="shared" si="3"/>
        <v>0.21421763191213919</v>
      </c>
      <c r="L10" s="4683">
        <f>SUM('Произв. прогр. Вода'!M13)</f>
        <v>0.1532810604622625</v>
      </c>
      <c r="M10" s="4683">
        <f t="shared" ref="M10" si="4">SUM(M9/M8)</f>
        <v>0.18883591018636472</v>
      </c>
      <c r="N10" s="4683">
        <f t="shared" ref="N10:N20" si="5">SUM(M10-L10)</f>
        <v>3.5554849724102222E-2</v>
      </c>
      <c r="O10" s="4682">
        <f>SUM('Произв. прогр. Вода'!Q13)</f>
        <v>0.15672910067716</v>
      </c>
      <c r="P10" s="4682" t="e">
        <f t="shared" ref="P10:S10" si="6">SUM(P9/P8)</f>
        <v>#DIV/0!</v>
      </c>
      <c r="Q10" s="4682" t="e">
        <f t="shared" si="6"/>
        <v>#DIV/0!</v>
      </c>
      <c r="R10" s="4682" t="e">
        <f t="shared" si="6"/>
        <v>#DIV/0!</v>
      </c>
      <c r="S10" s="4682" t="e">
        <f t="shared" si="6"/>
        <v>#DIV/0!</v>
      </c>
      <c r="T10" s="4683">
        <f>SUM('Произв. прогр. Вода'!R13)</f>
        <v>0.154413425583206</v>
      </c>
      <c r="U10" s="4683">
        <f t="shared" ref="U10" si="7">SUM(U9/U8)</f>
        <v>0.18883591018636472</v>
      </c>
      <c r="V10" s="4683">
        <f t="shared" si="0"/>
        <v>3.4422484603158721E-2</v>
      </c>
      <c r="W10" s="4682">
        <f>SUM('Произв. прогр. Вода'!V13)</f>
        <v>0.14998146816268348</v>
      </c>
      <c r="X10" s="4682" t="e">
        <f t="shared" ref="X10:AA10" si="8">SUM(X9/X8)</f>
        <v>#DIV/0!</v>
      </c>
      <c r="Y10" s="4682" t="e">
        <f t="shared" si="8"/>
        <v>#DIV/0!</v>
      </c>
      <c r="Z10" s="4682" t="e">
        <f t="shared" si="8"/>
        <v>#DIV/0!</v>
      </c>
      <c r="AA10" s="4682" t="e">
        <f t="shared" si="8"/>
        <v>#DIV/0!</v>
      </c>
      <c r="AB10" s="4683">
        <f>SUM('Произв. прогр. Вода'!B13)</f>
        <v>0.1532810604622625</v>
      </c>
      <c r="AC10" s="4683">
        <f t="shared" ref="AC10" si="9">SUM(AC9/AC8)</f>
        <v>0.18883591018636472</v>
      </c>
      <c r="AD10" s="4683">
        <f t="shared" si="1"/>
        <v>3.5554849724102222E-2</v>
      </c>
      <c r="AE10" s="4672"/>
      <c r="AF10" s="4672"/>
      <c r="AG10" s="4672"/>
      <c r="AH10" s="4672"/>
      <c r="AI10" s="4672"/>
      <c r="AJ10" s="4672"/>
      <c r="AK10" s="4672"/>
    </row>
    <row r="11" spans="1:37" ht="18.75" customHeight="1">
      <c r="A11" s="4673" t="s">
        <v>1708</v>
      </c>
      <c r="B11" s="4674">
        <f>SUM('Произв. прогр. Вода'!H14)</f>
        <v>1156.7602955000002</v>
      </c>
      <c r="C11" s="4674">
        <f t="shared" ref="C11:AC11" si="10">SUM(C8-C9)</f>
        <v>499.93400000000003</v>
      </c>
      <c r="D11" s="4674">
        <f t="shared" si="10"/>
        <v>421.80099999999999</v>
      </c>
      <c r="E11" s="4674">
        <f t="shared" si="10"/>
        <v>477.15199999999999</v>
      </c>
      <c r="F11" s="4674">
        <f t="shared" si="10"/>
        <v>1398.8869999999999</v>
      </c>
      <c r="G11" s="4674">
        <f>SUM('Произв. прогр. Вода'!L14)</f>
        <v>1098.1712045000004</v>
      </c>
      <c r="H11" s="4674">
        <f t="shared" si="10"/>
        <v>505.50400000000002</v>
      </c>
      <c r="I11" s="4674">
        <f t="shared" si="10"/>
        <v>495.58199999999999</v>
      </c>
      <c r="J11" s="4674">
        <f t="shared" si="10"/>
        <v>490.25900000000001</v>
      </c>
      <c r="K11" s="4674">
        <f t="shared" si="10"/>
        <v>1491.345</v>
      </c>
      <c r="L11" s="4676">
        <f>SUM('Произв. прогр. Вода'!M14)</f>
        <v>2254.9315000000006</v>
      </c>
      <c r="M11" s="4676">
        <f t="shared" si="10"/>
        <v>2890.232</v>
      </c>
      <c r="N11" s="4676">
        <f t="shared" si="5"/>
        <v>635.30049999999937</v>
      </c>
      <c r="O11" s="4674">
        <f>SUM('Произв. прогр. Вода'!Q14)</f>
        <v>1098.1712045000002</v>
      </c>
      <c r="P11" s="4674">
        <f t="shared" si="10"/>
        <v>0</v>
      </c>
      <c r="Q11" s="4674">
        <f t="shared" si="10"/>
        <v>0</v>
      </c>
      <c r="R11" s="4674">
        <f t="shared" si="10"/>
        <v>0</v>
      </c>
      <c r="S11" s="4674">
        <f t="shared" si="10"/>
        <v>0</v>
      </c>
      <c r="T11" s="4676">
        <f>SUM('Произв. прогр. Вода'!R14)</f>
        <v>3353.102704500001</v>
      </c>
      <c r="U11" s="4676">
        <f t="shared" si="10"/>
        <v>2890.232</v>
      </c>
      <c r="V11" s="4676">
        <f t="shared" si="0"/>
        <v>-462.87070450000101</v>
      </c>
      <c r="W11" s="4674">
        <f>SUM('Произв. прогр. Вода'!V14)</f>
        <v>1156.7602955000002</v>
      </c>
      <c r="X11" s="4674">
        <f t="shared" si="10"/>
        <v>0</v>
      </c>
      <c r="Y11" s="4674">
        <f t="shared" si="10"/>
        <v>0</v>
      </c>
      <c r="Z11" s="4674">
        <f t="shared" si="10"/>
        <v>0</v>
      </c>
      <c r="AA11" s="4674">
        <f t="shared" si="10"/>
        <v>0</v>
      </c>
      <c r="AB11" s="4676">
        <f>SUM('Произв. прогр. Вода'!B14)</f>
        <v>4509.8630000000003</v>
      </c>
      <c r="AC11" s="4676">
        <f t="shared" si="10"/>
        <v>2890.232</v>
      </c>
      <c r="AD11" s="4676">
        <f t="shared" si="1"/>
        <v>-1619.6310000000003</v>
      </c>
      <c r="AE11" s="4672"/>
      <c r="AF11" s="4672"/>
      <c r="AG11" s="4672"/>
      <c r="AH11" s="4672"/>
      <c r="AI11" s="4672"/>
      <c r="AJ11" s="4672"/>
      <c r="AK11" s="4672"/>
    </row>
    <row r="12" spans="1:37" ht="18.75" customHeight="1">
      <c r="A12" s="4677" t="s">
        <v>51</v>
      </c>
      <c r="B12" s="4678">
        <f>SUM('Произв. прогр. Вода'!H15)</f>
        <v>231.48748550000005</v>
      </c>
      <c r="C12" s="4678">
        <f t="shared" ref="C12:F12" si="11">SUM(C11-C14)</f>
        <v>180.60400000000004</v>
      </c>
      <c r="D12" s="4678">
        <f t="shared" si="11"/>
        <v>106.23099999999999</v>
      </c>
      <c r="E12" s="4678">
        <f t="shared" si="11"/>
        <v>179.77199999999993</v>
      </c>
      <c r="F12" s="4678">
        <f t="shared" si="11"/>
        <v>466.60699999999997</v>
      </c>
      <c r="G12" s="4678">
        <f>SUM('Произв. прогр. Вода'!L15)</f>
        <v>212.73401450000011</v>
      </c>
      <c r="H12" s="4678">
        <f t="shared" ref="H12:M12" si="12">SUM(H11-H14)</f>
        <v>184.98400000000004</v>
      </c>
      <c r="I12" s="4678">
        <f t="shared" si="12"/>
        <v>190.49200000000002</v>
      </c>
      <c r="J12" s="4678">
        <f t="shared" si="12"/>
        <v>165.279</v>
      </c>
      <c r="K12" s="4678">
        <f t="shared" si="12"/>
        <v>540.75499999999988</v>
      </c>
      <c r="L12" s="4680">
        <f>SUM('Произв. прогр. Вода'!M15)</f>
        <v>444.22150000000016</v>
      </c>
      <c r="M12" s="4680">
        <f t="shared" si="12"/>
        <v>1007.3620000000001</v>
      </c>
      <c r="N12" s="4680">
        <f t="shared" si="5"/>
        <v>563.14049999999997</v>
      </c>
      <c r="O12" s="4678">
        <f>SUM('Произв. прогр. Вода'!Q15)</f>
        <v>212.73401450000011</v>
      </c>
      <c r="P12" s="4678">
        <f t="shared" ref="P12:U12" si="13">SUM(P11-P14)</f>
        <v>0</v>
      </c>
      <c r="Q12" s="4678">
        <f t="shared" si="13"/>
        <v>0</v>
      </c>
      <c r="R12" s="4678">
        <f t="shared" si="13"/>
        <v>0</v>
      </c>
      <c r="S12" s="4678">
        <f t="shared" si="13"/>
        <v>0</v>
      </c>
      <c r="T12" s="4680">
        <f>SUM('Произв. прогр. Вода'!R15)</f>
        <v>656.95551450000028</v>
      </c>
      <c r="U12" s="4680">
        <f t="shared" si="13"/>
        <v>1007.3620000000001</v>
      </c>
      <c r="V12" s="4680">
        <f t="shared" si="0"/>
        <v>350.4064854999998</v>
      </c>
      <c r="W12" s="4678">
        <f>SUM('Произв. прогр. Вода'!V15)</f>
        <v>231.48748550000005</v>
      </c>
      <c r="X12" s="4678">
        <f t="shared" ref="X12:AC12" si="14">SUM(X11-X14)</f>
        <v>0</v>
      </c>
      <c r="Y12" s="4678">
        <f t="shared" si="14"/>
        <v>0</v>
      </c>
      <c r="Z12" s="4678">
        <f t="shared" si="14"/>
        <v>0</v>
      </c>
      <c r="AA12" s="4678">
        <f t="shared" si="14"/>
        <v>0</v>
      </c>
      <c r="AB12" s="4680">
        <f>SUM('Произв. прогр. Вода'!B15)</f>
        <v>888.44300000000021</v>
      </c>
      <c r="AC12" s="4680">
        <f t="shared" si="14"/>
        <v>1007.3620000000001</v>
      </c>
      <c r="AD12" s="4680">
        <f t="shared" si="1"/>
        <v>118.91899999999987</v>
      </c>
      <c r="AE12" s="4672"/>
      <c r="AF12" s="4672"/>
      <c r="AG12" s="4672"/>
      <c r="AH12" s="4672"/>
      <c r="AI12" s="4672"/>
      <c r="AJ12" s="4672"/>
      <c r="AK12" s="4672"/>
    </row>
    <row r="13" spans="1:37" ht="18.75" customHeight="1">
      <c r="A13" s="4681" t="s">
        <v>117</v>
      </c>
      <c r="B13" s="4682">
        <f>SUM('Произв. прогр. Вода'!H16)</f>
        <v>0.20011707386614741</v>
      </c>
      <c r="C13" s="4682">
        <f t="shared" ref="C13:F13" si="15">SUM(C12/C11)</f>
        <v>0.36125568575051914</v>
      </c>
      <c r="D13" s="4682">
        <f t="shared" si="15"/>
        <v>0.25185099134425948</v>
      </c>
      <c r="E13" s="4682">
        <f t="shared" si="15"/>
        <v>0.37676044530883229</v>
      </c>
      <c r="F13" s="4682">
        <f t="shared" si="15"/>
        <v>0.33355589121923357</v>
      </c>
      <c r="G13" s="4682">
        <f>SUM('Произв. прогр. Вода'!L16)</f>
        <v>0.19371662053082001</v>
      </c>
      <c r="H13" s="4682">
        <f t="shared" ref="H13:K13" si="16">SUM(H12/H11)</f>
        <v>0.36593973539279617</v>
      </c>
      <c r="I13" s="4682">
        <f t="shared" si="16"/>
        <v>0.38438038508258981</v>
      </c>
      <c r="J13" s="4682">
        <f t="shared" si="16"/>
        <v>0.33712588652120612</v>
      </c>
      <c r="K13" s="4682">
        <f t="shared" si="16"/>
        <v>0.36259550942270224</v>
      </c>
      <c r="L13" s="4683">
        <f>SUM('Произв. прогр. Вода'!M16)</f>
        <v>0.19699999756090153</v>
      </c>
      <c r="M13" s="4683">
        <f t="shared" ref="M13" si="17">SUM(M12/M11)</f>
        <v>0.34854018639334144</v>
      </c>
      <c r="N13" s="4683">
        <f t="shared" si="5"/>
        <v>0.15154018883243991</v>
      </c>
      <c r="O13" s="4682">
        <f>SUM('Произв. прогр. Вода'!Q16)</f>
        <v>0.19371662053082006</v>
      </c>
      <c r="P13" s="4682" t="e">
        <f>SUM(P12/P11)</f>
        <v>#DIV/0!</v>
      </c>
      <c r="Q13" s="4682" t="e">
        <f t="shared" ref="Q13:S13" si="18">SUM(Q12/Q11)</f>
        <v>#DIV/0!</v>
      </c>
      <c r="R13" s="4682" t="e">
        <f t="shared" si="18"/>
        <v>#DIV/0!</v>
      </c>
      <c r="S13" s="4682" t="e">
        <f t="shared" si="18"/>
        <v>#DIV/0!</v>
      </c>
      <c r="T13" s="4683">
        <f>SUM('Произв. прогр. Вода'!R16)</f>
        <v>0.19592466214003498</v>
      </c>
      <c r="U13" s="4683">
        <f t="shared" ref="U13" si="19">SUM(U12/U11)</f>
        <v>0.34854018639334144</v>
      </c>
      <c r="V13" s="4683">
        <f t="shared" si="0"/>
        <v>0.15261552425330646</v>
      </c>
      <c r="W13" s="4682">
        <f>SUM('Произв. прогр. Вода'!V16)</f>
        <v>0.20011707386614741</v>
      </c>
      <c r="X13" s="4682" t="e">
        <f t="shared" ref="X13:AA13" si="20">SUM(X12/X11)</f>
        <v>#DIV/0!</v>
      </c>
      <c r="Y13" s="4682" t="e">
        <f t="shared" si="20"/>
        <v>#DIV/0!</v>
      </c>
      <c r="Z13" s="4682" t="e">
        <f t="shared" si="20"/>
        <v>#DIV/0!</v>
      </c>
      <c r="AA13" s="4682" t="e">
        <f t="shared" si="20"/>
        <v>#DIV/0!</v>
      </c>
      <c r="AB13" s="4683">
        <f>SUM('Произв. прогр. Вода'!B16)</f>
        <v>0.19699999756090156</v>
      </c>
      <c r="AC13" s="4683">
        <f t="shared" ref="AC13" si="21">SUM(AC12/AC11)</f>
        <v>0.34854018639334144</v>
      </c>
      <c r="AD13" s="4683">
        <f t="shared" si="1"/>
        <v>0.15154018883243989</v>
      </c>
      <c r="AE13" s="4672"/>
      <c r="AF13" s="4672"/>
      <c r="AG13" s="4672"/>
      <c r="AH13" s="4672"/>
      <c r="AI13" s="4672"/>
      <c r="AJ13" s="4672"/>
      <c r="AK13" s="4672"/>
    </row>
    <row r="14" spans="1:37" ht="18.75" customHeight="1">
      <c r="A14" s="4673" t="s">
        <v>1709</v>
      </c>
      <c r="B14" s="4674">
        <f>SUM('Произв. прогр. Вода'!H17)</f>
        <v>925.27281000000016</v>
      </c>
      <c r="C14" s="4674">
        <f t="shared" ref="C14:F14" si="22">SUM(C15+C16+C18)</f>
        <v>319.33</v>
      </c>
      <c r="D14" s="4674">
        <f t="shared" si="22"/>
        <v>315.57</v>
      </c>
      <c r="E14" s="4674">
        <f t="shared" si="22"/>
        <v>297.38000000000005</v>
      </c>
      <c r="F14" s="4674">
        <f t="shared" si="22"/>
        <v>932.28</v>
      </c>
      <c r="G14" s="4674">
        <f>SUM('Произв. прогр. Вода'!L17)</f>
        <v>885.4371900000001</v>
      </c>
      <c r="H14" s="4674">
        <f t="shared" ref="H14:K14" si="23">SUM(H15+H16+H18)</f>
        <v>320.52</v>
      </c>
      <c r="I14" s="4674">
        <f t="shared" si="23"/>
        <v>305.08999999999997</v>
      </c>
      <c r="J14" s="4674">
        <f>SUM(J15+J16+J18)</f>
        <v>324.98</v>
      </c>
      <c r="K14" s="4674">
        <f t="shared" si="23"/>
        <v>950.59000000000015</v>
      </c>
      <c r="L14" s="4676">
        <f>SUM('Произв. прогр. Вода'!M17)</f>
        <v>1810.7100000000003</v>
      </c>
      <c r="M14" s="4676">
        <f t="shared" ref="M14" si="24">SUM(M15+M16+M18)</f>
        <v>1882.87</v>
      </c>
      <c r="N14" s="4676">
        <f t="shared" si="5"/>
        <v>72.159999999999627</v>
      </c>
      <c r="O14" s="4674">
        <f>SUM('Произв. прогр. Вода'!Q17)</f>
        <v>885.4371900000001</v>
      </c>
      <c r="P14" s="4674">
        <f t="shared" ref="P14:S14" si="25">SUM(P15+P16+P18)</f>
        <v>0</v>
      </c>
      <c r="Q14" s="4674">
        <f t="shared" si="25"/>
        <v>0</v>
      </c>
      <c r="R14" s="4674">
        <f>SUM(R15+R16+R18)</f>
        <v>0</v>
      </c>
      <c r="S14" s="4674">
        <f t="shared" si="25"/>
        <v>0</v>
      </c>
      <c r="T14" s="4676">
        <f>SUM('Произв. прогр. Вода'!R17)</f>
        <v>2696.1471900000006</v>
      </c>
      <c r="U14" s="4676">
        <f t="shared" ref="U14" si="26">SUM(U15+U16+U18)</f>
        <v>1882.87</v>
      </c>
      <c r="V14" s="4676">
        <f t="shared" si="0"/>
        <v>-813.2771900000007</v>
      </c>
      <c r="W14" s="4674">
        <f>SUM('Произв. прогр. Вода'!V17)</f>
        <v>925.27281000000016</v>
      </c>
      <c r="X14" s="4674">
        <f t="shared" ref="X14:AA14" si="27">SUM(X15+X16+X18)</f>
        <v>0</v>
      </c>
      <c r="Y14" s="4674">
        <f>SUM(Y15+Y16+Y18)</f>
        <v>0</v>
      </c>
      <c r="Z14" s="4674">
        <f t="shared" si="27"/>
        <v>0</v>
      </c>
      <c r="AA14" s="4674">
        <f t="shared" si="27"/>
        <v>0</v>
      </c>
      <c r="AB14" s="4676">
        <f>SUM('Произв. прогр. Вода'!B17)</f>
        <v>3621.42</v>
      </c>
      <c r="AC14" s="4676">
        <f t="shared" ref="AC14" si="28">SUM(AC15+AC16+AC18)</f>
        <v>1882.87</v>
      </c>
      <c r="AD14" s="4676">
        <f t="shared" si="1"/>
        <v>-1738.5500000000002</v>
      </c>
      <c r="AE14" s="4672"/>
      <c r="AF14" s="4672"/>
      <c r="AG14" s="4672"/>
      <c r="AH14" s="4672"/>
      <c r="AI14" s="4672"/>
      <c r="AJ14" s="4672"/>
      <c r="AK14" s="4672"/>
    </row>
    <row r="15" spans="1:37" ht="18.75" customHeight="1">
      <c r="A15" s="4677" t="s">
        <v>24</v>
      </c>
      <c r="B15" s="4678">
        <f>SUM('Произв. прогр. Вода'!H18)</f>
        <v>602.98</v>
      </c>
      <c r="C15" s="4679">
        <v>213.77</v>
      </c>
      <c r="D15" s="4679">
        <v>207.75</v>
      </c>
      <c r="E15" s="4679">
        <v>196.9</v>
      </c>
      <c r="F15" s="4678">
        <f>SUM(C15:E15)</f>
        <v>618.41999999999996</v>
      </c>
      <c r="G15" s="4678">
        <f>SUM('Произв. прогр. Вода'!L18)</f>
        <v>577.02</v>
      </c>
      <c r="H15" s="4679">
        <v>209.84</v>
      </c>
      <c r="I15" s="4679">
        <v>200.96</v>
      </c>
      <c r="J15" s="4679">
        <v>217.77</v>
      </c>
      <c r="K15" s="4678">
        <f>SUM(H15:J15)</f>
        <v>628.57000000000005</v>
      </c>
      <c r="L15" s="4680">
        <f>SUM('Произв. прогр. Вода'!M18)</f>
        <v>1180</v>
      </c>
      <c r="M15" s="4680">
        <f>SUM(F15+K15)</f>
        <v>1246.99</v>
      </c>
      <c r="N15" s="4680">
        <f t="shared" si="5"/>
        <v>66.990000000000009</v>
      </c>
      <c r="O15" s="4678">
        <f>SUM('Произв. прогр. Вода'!Q18)</f>
        <v>577.02</v>
      </c>
      <c r="P15" s="4679"/>
      <c r="Q15" s="4679"/>
      <c r="R15" s="4679"/>
      <c r="S15" s="4678">
        <f>SUM(P15:R15)</f>
        <v>0</v>
      </c>
      <c r="T15" s="4680">
        <f>SUM('Произв. прогр. Вода'!R18)</f>
        <v>1757.02</v>
      </c>
      <c r="U15" s="4680">
        <f>SUM(M15+S15)</f>
        <v>1246.99</v>
      </c>
      <c r="V15" s="4680">
        <f t="shared" si="0"/>
        <v>-510.03</v>
      </c>
      <c r="W15" s="4678">
        <f>SUM('Произв. прогр. Вода'!V18)</f>
        <v>602.98</v>
      </c>
      <c r="X15" s="4679"/>
      <c r="Y15" s="4679"/>
      <c r="Z15" s="4679"/>
      <c r="AA15" s="4678">
        <f>SUM(X15:Z15)</f>
        <v>0</v>
      </c>
      <c r="AB15" s="4680">
        <f>SUM('Произв. прогр. Вода'!B18)</f>
        <v>2360</v>
      </c>
      <c r="AC15" s="4680">
        <f>SUM(U15+AA15)</f>
        <v>1246.99</v>
      </c>
      <c r="AD15" s="4680">
        <f t="shared" si="1"/>
        <v>-1113.01</v>
      </c>
      <c r="AE15" s="4672"/>
      <c r="AF15" s="4672"/>
      <c r="AG15" s="4672"/>
      <c r="AH15" s="4672"/>
      <c r="AI15" s="4672"/>
      <c r="AJ15" s="4672"/>
      <c r="AK15" s="4672"/>
    </row>
    <row r="16" spans="1:37" ht="18.75" customHeight="1">
      <c r="A16" s="4677" t="s">
        <v>1710</v>
      </c>
      <c r="B16" s="4678">
        <f>SUM('Произв. прогр. Вода'!H19)</f>
        <v>240.53281000000001</v>
      </c>
      <c r="C16" s="4679">
        <v>77.41</v>
      </c>
      <c r="D16" s="4679">
        <v>79.62</v>
      </c>
      <c r="E16" s="4679">
        <v>75.680000000000007</v>
      </c>
      <c r="F16" s="4678">
        <f>SUM(C16:E16)</f>
        <v>232.71</v>
      </c>
      <c r="G16" s="4678">
        <f>SUM('Произв. прогр. Вода'!L19)</f>
        <v>230.17719</v>
      </c>
      <c r="H16" s="4679">
        <v>84.91</v>
      </c>
      <c r="I16" s="4679">
        <v>78.23</v>
      </c>
      <c r="J16" s="4679">
        <v>80.42</v>
      </c>
      <c r="K16" s="4678">
        <f>SUM(H16:J16)</f>
        <v>243.56</v>
      </c>
      <c r="L16" s="4680">
        <f>SUM('Произв. прогр. Вода'!M19)</f>
        <v>470.71000000000004</v>
      </c>
      <c r="M16" s="4680">
        <f>SUM(F16+K16)</f>
        <v>476.27</v>
      </c>
      <c r="N16" s="4680">
        <f t="shared" si="5"/>
        <v>5.5599999999999454</v>
      </c>
      <c r="O16" s="4678">
        <f>SUM('Произв. прогр. Вода'!Q19)</f>
        <v>230.17719</v>
      </c>
      <c r="P16" s="4679"/>
      <c r="Q16" s="4679"/>
      <c r="R16" s="4679"/>
      <c r="S16" s="4678">
        <f>SUM(P16:R16)</f>
        <v>0</v>
      </c>
      <c r="T16" s="4680">
        <f>SUM('Произв. прогр. Вода'!R19)</f>
        <v>700.88719000000003</v>
      </c>
      <c r="U16" s="4680">
        <f>SUM(M16+S16)</f>
        <v>476.27</v>
      </c>
      <c r="V16" s="4680">
        <f t="shared" si="0"/>
        <v>-224.61719000000005</v>
      </c>
      <c r="W16" s="4678">
        <f>SUM('Произв. прогр. Вода'!V19)</f>
        <v>240.53281000000001</v>
      </c>
      <c r="X16" s="4679"/>
      <c r="Y16" s="4679"/>
      <c r="Z16" s="4679"/>
      <c r="AA16" s="4678">
        <f>SUM(X16:Z16)</f>
        <v>0</v>
      </c>
      <c r="AB16" s="4680">
        <f>SUM('Произв. прогр. Вода'!B19)</f>
        <v>941.42</v>
      </c>
      <c r="AC16" s="4680">
        <f>SUM(U16+AA16)</f>
        <v>476.27</v>
      </c>
      <c r="AD16" s="4680">
        <f t="shared" si="1"/>
        <v>-465.15</v>
      </c>
      <c r="AE16" s="4672"/>
      <c r="AF16" s="4672"/>
      <c r="AG16" s="4672"/>
      <c r="AH16" s="4672"/>
      <c r="AI16" s="4672"/>
      <c r="AJ16" s="4672"/>
      <c r="AK16" s="4672"/>
    </row>
    <row r="17" spans="1:37" ht="18.75" customHeight="1">
      <c r="A17" s="4681" t="s">
        <v>25</v>
      </c>
      <c r="B17" s="4678">
        <f>SUM('Произв. прогр. Вода'!H20)</f>
        <v>5.3550000000000004</v>
      </c>
      <c r="C17" s="4685">
        <v>0.14000000000000001</v>
      </c>
      <c r="D17" s="4685">
        <v>0.18</v>
      </c>
      <c r="E17" s="4685">
        <v>0.12</v>
      </c>
      <c r="F17" s="4684">
        <f>SUM(C17:E17)</f>
        <v>0.44</v>
      </c>
      <c r="G17" s="4678">
        <f>SUM('Произв. прогр. Вода'!L20)</f>
        <v>5.3550000000000004</v>
      </c>
      <c r="H17" s="4685">
        <v>0.32</v>
      </c>
      <c r="I17" s="4685">
        <v>0.1</v>
      </c>
      <c r="J17" s="4685">
        <v>0.09</v>
      </c>
      <c r="K17" s="4684">
        <f>SUM(H17:J17)</f>
        <v>0.51</v>
      </c>
      <c r="L17" s="4680">
        <f>SUM('Произв. прогр. Вода'!M20)</f>
        <v>10.71</v>
      </c>
      <c r="M17" s="4686">
        <f>SUM(F17+K17)</f>
        <v>0.95</v>
      </c>
      <c r="N17" s="4686">
        <f t="shared" ref="N17" si="29">SUM(M17-L17)</f>
        <v>-9.7600000000000016</v>
      </c>
      <c r="O17" s="4678">
        <f>SUM('Произв. прогр. Вода'!Q20)</f>
        <v>5.3550000000000004</v>
      </c>
      <c r="P17" s="4685"/>
      <c r="Q17" s="4685"/>
      <c r="R17" s="4685"/>
      <c r="S17" s="4684">
        <f>SUM(P17:R17)</f>
        <v>0</v>
      </c>
      <c r="T17" s="4680">
        <f>SUM('Произв. прогр. Вода'!R20)</f>
        <v>16.065000000000001</v>
      </c>
      <c r="U17" s="4686">
        <f>SUM(M17+S17)</f>
        <v>0.95</v>
      </c>
      <c r="V17" s="4686">
        <f t="shared" ref="V17" si="30">SUM(U17-T17)</f>
        <v>-15.115000000000002</v>
      </c>
      <c r="W17" s="4678">
        <f>SUM('Произв. прогр. Вода'!V20)</f>
        <v>5.3550000000000004</v>
      </c>
      <c r="X17" s="4685"/>
      <c r="Y17" s="4685"/>
      <c r="Z17" s="4685"/>
      <c r="AA17" s="4684">
        <f>SUM(X17:Z17)</f>
        <v>0</v>
      </c>
      <c r="AB17" s="4680">
        <f>SUM('Произв. прогр. Вода'!B20)</f>
        <v>21.42</v>
      </c>
      <c r="AC17" s="4686">
        <f>SUM(U17+AA17)</f>
        <v>0.95</v>
      </c>
      <c r="AD17" s="4686">
        <f t="shared" ref="AD17" si="31">SUM(AC17-AB17)</f>
        <v>-20.470000000000002</v>
      </c>
      <c r="AE17" s="4672"/>
      <c r="AF17" s="4672"/>
      <c r="AG17" s="4672"/>
      <c r="AH17" s="4672"/>
      <c r="AI17" s="4672"/>
      <c r="AJ17" s="4672"/>
      <c r="AK17" s="4672"/>
    </row>
    <row r="18" spans="1:37" ht="18.75" customHeight="1">
      <c r="A18" s="4673" t="s">
        <v>1711</v>
      </c>
      <c r="B18" s="4674">
        <f>SUM('Произв. прогр. Вода'!H21)</f>
        <v>81.760000000000005</v>
      </c>
      <c r="C18" s="4674">
        <f t="shared" ref="C18" si="32">SUM(C19:C20)</f>
        <v>28.15</v>
      </c>
      <c r="D18" s="4674">
        <f t="shared" ref="D18:F18" si="33">SUM(D19:D20)</f>
        <v>28.2</v>
      </c>
      <c r="E18" s="4674">
        <f t="shared" si="33"/>
        <v>24.8</v>
      </c>
      <c r="F18" s="4674">
        <f t="shared" si="33"/>
        <v>81.149999999999991</v>
      </c>
      <c r="G18" s="4674">
        <f>SUM('Произв. прогр. Вода'!L21)</f>
        <v>78.240000000000009</v>
      </c>
      <c r="H18" s="4674">
        <f t="shared" ref="H18:K18" si="34">SUM(H19:H20)</f>
        <v>25.77</v>
      </c>
      <c r="I18" s="4674">
        <f t="shared" si="34"/>
        <v>25.9</v>
      </c>
      <c r="J18" s="4674">
        <f t="shared" si="34"/>
        <v>26.79</v>
      </c>
      <c r="K18" s="4674">
        <f t="shared" si="34"/>
        <v>78.460000000000008</v>
      </c>
      <c r="L18" s="4676">
        <f>SUM('Произв. прогр. Вода'!M21)</f>
        <v>160</v>
      </c>
      <c r="M18" s="4676">
        <f t="shared" ref="M18" si="35">SUM(M19:M20)</f>
        <v>159.61000000000001</v>
      </c>
      <c r="N18" s="4676">
        <f t="shared" si="5"/>
        <v>-0.38999999999998636</v>
      </c>
      <c r="O18" s="4674">
        <f>SUM('Произв. прогр. Вода'!Q21)</f>
        <v>78.240000000000009</v>
      </c>
      <c r="P18" s="4674">
        <f t="shared" ref="P18:S18" si="36">SUM(P19:P20)</f>
        <v>0</v>
      </c>
      <c r="Q18" s="4674">
        <f t="shared" si="36"/>
        <v>0</v>
      </c>
      <c r="R18" s="4674">
        <f t="shared" si="36"/>
        <v>0</v>
      </c>
      <c r="S18" s="4674">
        <f t="shared" si="36"/>
        <v>0</v>
      </c>
      <c r="T18" s="4676">
        <f>SUM('Произв. прогр. Вода'!R21)</f>
        <v>238.24</v>
      </c>
      <c r="U18" s="4676">
        <f t="shared" ref="U18" si="37">SUM(U19:U20)</f>
        <v>159.61000000000001</v>
      </c>
      <c r="V18" s="4676">
        <f t="shared" si="0"/>
        <v>-78.63</v>
      </c>
      <c r="W18" s="4674">
        <f>SUM('Произв. прогр. Вода'!V21)</f>
        <v>81.760000000000005</v>
      </c>
      <c r="X18" s="4674">
        <f t="shared" ref="X18:AA18" si="38">SUM(X19:X20)</f>
        <v>0</v>
      </c>
      <c r="Y18" s="4674">
        <f t="shared" si="38"/>
        <v>0</v>
      </c>
      <c r="Z18" s="4674">
        <f t="shared" si="38"/>
        <v>0</v>
      </c>
      <c r="AA18" s="4674">
        <f t="shared" si="38"/>
        <v>0</v>
      </c>
      <c r="AB18" s="4676">
        <f>SUM('Произв. прогр. Вода'!B21)</f>
        <v>320</v>
      </c>
      <c r="AC18" s="4676">
        <f t="shared" ref="AC18" si="39">SUM(AC19:AC20)</f>
        <v>159.61000000000001</v>
      </c>
      <c r="AD18" s="4676">
        <f t="shared" si="1"/>
        <v>-160.38999999999999</v>
      </c>
      <c r="AE18" s="4672"/>
      <c r="AF18" s="4672"/>
      <c r="AG18" s="4672"/>
      <c r="AH18" s="4672"/>
      <c r="AI18" s="4672"/>
      <c r="AJ18" s="4672"/>
      <c r="AK18" s="4672"/>
    </row>
    <row r="19" spans="1:37" ht="18.75" customHeight="1">
      <c r="A19" s="4681" t="s">
        <v>654</v>
      </c>
      <c r="B19" s="4684">
        <f>SUM('Произв. прогр. Вода'!H22)</f>
        <v>81.760000000000005</v>
      </c>
      <c r="C19" s="4685">
        <v>28.15</v>
      </c>
      <c r="D19" s="4685">
        <v>28.2</v>
      </c>
      <c r="E19" s="4685">
        <v>24.8</v>
      </c>
      <c r="F19" s="4684">
        <f>SUM(C19:E19)</f>
        <v>81.149999999999991</v>
      </c>
      <c r="G19" s="4684">
        <f>SUM('Произв. прогр. Вода'!L22)</f>
        <v>78.240000000000009</v>
      </c>
      <c r="H19" s="4685">
        <v>25.77</v>
      </c>
      <c r="I19" s="4685">
        <v>25.9</v>
      </c>
      <c r="J19" s="4685">
        <v>26.79</v>
      </c>
      <c r="K19" s="4684">
        <f>SUM(H19:J19)</f>
        <v>78.460000000000008</v>
      </c>
      <c r="L19" s="4686">
        <f>SUM('Произв. прогр. Вода'!M22)</f>
        <v>160</v>
      </c>
      <c r="M19" s="4686">
        <f>SUM(F19+K19)</f>
        <v>159.61000000000001</v>
      </c>
      <c r="N19" s="4686">
        <f t="shared" si="5"/>
        <v>-0.38999999999998636</v>
      </c>
      <c r="O19" s="4684">
        <f>SUM('Произв. прогр. Вода'!Q22)</f>
        <v>78.240000000000009</v>
      </c>
      <c r="P19" s="4685"/>
      <c r="Q19" s="4685"/>
      <c r="R19" s="4685"/>
      <c r="S19" s="4684">
        <f>SUM(P19:R19)</f>
        <v>0</v>
      </c>
      <c r="T19" s="4686">
        <f>SUM('Произв. прогр. Вода'!R22)</f>
        <v>238.24</v>
      </c>
      <c r="U19" s="4686">
        <f>SUM(M19+S19)</f>
        <v>159.61000000000001</v>
      </c>
      <c r="V19" s="4686">
        <f t="shared" si="0"/>
        <v>-78.63</v>
      </c>
      <c r="W19" s="4684">
        <f>SUM('Произв. прогр. Вода'!V22)</f>
        <v>81.760000000000005</v>
      </c>
      <c r="X19" s="4685"/>
      <c r="Y19" s="4685"/>
      <c r="Z19" s="4685"/>
      <c r="AA19" s="4684">
        <f>SUM(X19:Z19)</f>
        <v>0</v>
      </c>
      <c r="AB19" s="4686">
        <f>SUM('Произв. прогр. Вода'!B22)</f>
        <v>320</v>
      </c>
      <c r="AC19" s="4686">
        <f>SUM(U19+AA19)</f>
        <v>159.61000000000001</v>
      </c>
      <c r="AD19" s="4686">
        <f t="shared" si="1"/>
        <v>-160.38999999999999</v>
      </c>
      <c r="AE19" s="4672"/>
      <c r="AF19" s="4672"/>
      <c r="AG19" s="4672"/>
      <c r="AH19" s="4672"/>
      <c r="AI19" s="4672"/>
      <c r="AJ19" s="4672"/>
      <c r="AK19" s="4672"/>
    </row>
    <row r="20" spans="1:37" ht="18.75" customHeight="1">
      <c r="A20" s="4681" t="s">
        <v>655</v>
      </c>
      <c r="B20" s="4684">
        <f>SUM('Произв. прогр. Вода'!H23)</f>
        <v>0</v>
      </c>
      <c r="C20" s="4685">
        <v>0</v>
      </c>
      <c r="D20" s="4685">
        <v>0</v>
      </c>
      <c r="E20" s="4685">
        <v>0</v>
      </c>
      <c r="F20" s="4684">
        <f>SUM(C20:E20)</f>
        <v>0</v>
      </c>
      <c r="G20" s="4684">
        <f>SUM('Произв. прогр. Вода'!L23)</f>
        <v>0</v>
      </c>
      <c r="H20" s="4685">
        <v>0</v>
      </c>
      <c r="I20" s="4685">
        <v>0</v>
      </c>
      <c r="J20" s="4685">
        <v>0</v>
      </c>
      <c r="K20" s="4684">
        <f>SUM(H20:J20)</f>
        <v>0</v>
      </c>
      <c r="L20" s="4686">
        <f>SUM('Произв. прогр. Вода'!M23)</f>
        <v>0</v>
      </c>
      <c r="M20" s="4686">
        <f>SUM(F20+K20)</f>
        <v>0</v>
      </c>
      <c r="N20" s="4686">
        <f t="shared" si="5"/>
        <v>0</v>
      </c>
      <c r="O20" s="4684">
        <f>SUM('Произв. прогр. Вода'!Q23)</f>
        <v>0</v>
      </c>
      <c r="P20" s="4685"/>
      <c r="Q20" s="4685"/>
      <c r="R20" s="4685"/>
      <c r="S20" s="4684">
        <f>SUM(P20:R20)</f>
        <v>0</v>
      </c>
      <c r="T20" s="4686">
        <f>SUM('Произв. прогр. Вода'!R23)</f>
        <v>0</v>
      </c>
      <c r="U20" s="4686">
        <f>SUM(M20+S20)</f>
        <v>0</v>
      </c>
      <c r="V20" s="4686">
        <f t="shared" si="0"/>
        <v>0</v>
      </c>
      <c r="W20" s="4684">
        <f>SUM('Произв. прогр. Вода'!V23)</f>
        <v>0</v>
      </c>
      <c r="X20" s="4685"/>
      <c r="Y20" s="4685"/>
      <c r="Z20" s="4685"/>
      <c r="AA20" s="4684">
        <f>SUM(X20:Z20)</f>
        <v>0</v>
      </c>
      <c r="AB20" s="4686">
        <f>SUM('Произв. прогр. Вода'!B23)</f>
        <v>0</v>
      </c>
      <c r="AC20" s="4686">
        <f>SUM(U20+AA20)</f>
        <v>0</v>
      </c>
      <c r="AD20" s="4686">
        <f t="shared" si="1"/>
        <v>0</v>
      </c>
      <c r="AE20" s="4672"/>
      <c r="AF20" s="4672"/>
      <c r="AG20" s="4672"/>
      <c r="AH20" s="4672"/>
      <c r="AI20" s="4672"/>
      <c r="AJ20" s="4672"/>
      <c r="AK20" s="4672"/>
    </row>
    <row r="21" spans="1:37" ht="18.75" customHeight="1">
      <c r="A21" s="4668" t="s">
        <v>1992</v>
      </c>
      <c r="B21" s="4687"/>
      <c r="C21" s="4687"/>
      <c r="D21" s="4687"/>
      <c r="E21" s="4687"/>
      <c r="F21" s="4687"/>
      <c r="G21" s="4687"/>
      <c r="H21" s="4687"/>
      <c r="I21" s="4687"/>
      <c r="J21" s="4687"/>
      <c r="K21" s="4687"/>
      <c r="L21" s="4687"/>
      <c r="M21" s="4687"/>
      <c r="N21" s="4687"/>
      <c r="O21" s="4687"/>
      <c r="P21" s="4687"/>
      <c r="Q21" s="4687"/>
      <c r="R21" s="4687"/>
      <c r="S21" s="4687"/>
      <c r="T21" s="4687"/>
      <c r="U21" s="4687"/>
      <c r="V21" s="4687"/>
      <c r="W21" s="4687"/>
      <c r="X21" s="4687"/>
      <c r="Y21" s="4687"/>
      <c r="Z21" s="4687"/>
      <c r="AA21" s="4687"/>
      <c r="AB21" s="4687"/>
      <c r="AC21" s="4687"/>
      <c r="AD21" s="4688"/>
      <c r="AE21" s="4672"/>
      <c r="AF21" s="4672"/>
      <c r="AG21" s="4672"/>
      <c r="AH21" s="4672"/>
      <c r="AI21" s="4672"/>
      <c r="AJ21" s="4672"/>
      <c r="AK21" s="4672"/>
    </row>
    <row r="22" spans="1:37" ht="18.75" customHeight="1">
      <c r="A22" s="4930" t="s">
        <v>545</v>
      </c>
      <c r="B22" s="4928" t="s">
        <v>1983</v>
      </c>
      <c r="C22" s="4928"/>
      <c r="D22" s="4928"/>
      <c r="E22" s="4928"/>
      <c r="F22" s="4928"/>
      <c r="G22" s="4928" t="s">
        <v>1984</v>
      </c>
      <c r="H22" s="4928"/>
      <c r="I22" s="4928"/>
      <c r="J22" s="4928"/>
      <c r="K22" s="4928"/>
      <c r="L22" s="4926" t="s">
        <v>1985</v>
      </c>
      <c r="M22" s="4926"/>
      <c r="N22" s="4926"/>
      <c r="O22" s="4928" t="s">
        <v>1986</v>
      </c>
      <c r="P22" s="4928"/>
      <c r="Q22" s="4928"/>
      <c r="R22" s="4928"/>
      <c r="S22" s="4928"/>
      <c r="T22" s="4926" t="s">
        <v>1987</v>
      </c>
      <c r="U22" s="4926"/>
      <c r="V22" s="4926"/>
      <c r="W22" s="4928" t="s">
        <v>1988</v>
      </c>
      <c r="X22" s="4928"/>
      <c r="Y22" s="4928"/>
      <c r="Z22" s="4928"/>
      <c r="AA22" s="4928"/>
      <c r="AB22" s="4926" t="s">
        <v>887</v>
      </c>
      <c r="AC22" s="4926"/>
      <c r="AD22" s="4926"/>
      <c r="AE22" s="4672"/>
      <c r="AF22" s="4672"/>
      <c r="AG22" s="4672"/>
      <c r="AH22" s="4672"/>
      <c r="AI22" s="4672"/>
      <c r="AJ22" s="4672"/>
      <c r="AK22" s="4672"/>
    </row>
    <row r="23" spans="1:37" ht="18.75" customHeight="1">
      <c r="A23" s="4931"/>
      <c r="B23" s="4927" t="s">
        <v>1989</v>
      </c>
      <c r="C23" s="4928" t="s">
        <v>586</v>
      </c>
      <c r="D23" s="4928" t="s">
        <v>587</v>
      </c>
      <c r="E23" s="4928" t="s">
        <v>588</v>
      </c>
      <c r="F23" s="4927" t="s">
        <v>1990</v>
      </c>
      <c r="G23" s="4927" t="s">
        <v>1989</v>
      </c>
      <c r="H23" s="4928" t="s">
        <v>1562</v>
      </c>
      <c r="I23" s="4928" t="s">
        <v>590</v>
      </c>
      <c r="J23" s="4928" t="s">
        <v>591</v>
      </c>
      <c r="K23" s="4927" t="s">
        <v>1990</v>
      </c>
      <c r="L23" s="4929" t="s">
        <v>1989</v>
      </c>
      <c r="M23" s="4929" t="s">
        <v>1990</v>
      </c>
      <c r="N23" s="4926" t="s">
        <v>1991</v>
      </c>
      <c r="O23" s="4927" t="s">
        <v>1989</v>
      </c>
      <c r="P23" s="4928" t="s">
        <v>592</v>
      </c>
      <c r="Q23" s="4928" t="s">
        <v>593</v>
      </c>
      <c r="R23" s="4928" t="s">
        <v>594</v>
      </c>
      <c r="S23" s="4927" t="s">
        <v>1990</v>
      </c>
      <c r="T23" s="4929" t="s">
        <v>1989</v>
      </c>
      <c r="U23" s="4929" t="s">
        <v>1990</v>
      </c>
      <c r="V23" s="4926" t="s">
        <v>1991</v>
      </c>
      <c r="W23" s="4927" t="s">
        <v>1989</v>
      </c>
      <c r="X23" s="4928" t="s">
        <v>595</v>
      </c>
      <c r="Y23" s="4928" t="s">
        <v>596</v>
      </c>
      <c r="Z23" s="4928" t="s">
        <v>597</v>
      </c>
      <c r="AA23" s="4927" t="s">
        <v>1990</v>
      </c>
      <c r="AB23" s="4929" t="s">
        <v>1989</v>
      </c>
      <c r="AC23" s="4929" t="s">
        <v>1990</v>
      </c>
      <c r="AD23" s="4926" t="s">
        <v>1991</v>
      </c>
      <c r="AE23" s="4689"/>
      <c r="AF23" s="4689"/>
      <c r="AG23" s="4672"/>
      <c r="AH23" s="4672"/>
      <c r="AI23" s="4672"/>
      <c r="AJ23" s="4672"/>
      <c r="AK23" s="4672"/>
    </row>
    <row r="24" spans="1:37" ht="18.75" customHeight="1">
      <c r="A24" s="4931"/>
      <c r="B24" s="4927"/>
      <c r="C24" s="4928"/>
      <c r="D24" s="4928"/>
      <c r="E24" s="4928"/>
      <c r="F24" s="4927"/>
      <c r="G24" s="4927"/>
      <c r="H24" s="4928"/>
      <c r="I24" s="4928"/>
      <c r="J24" s="4928"/>
      <c r="K24" s="4927"/>
      <c r="L24" s="4929"/>
      <c r="M24" s="4929"/>
      <c r="N24" s="4926"/>
      <c r="O24" s="4927"/>
      <c r="P24" s="4928"/>
      <c r="Q24" s="4928"/>
      <c r="R24" s="4928"/>
      <c r="S24" s="4927"/>
      <c r="T24" s="4929"/>
      <c r="U24" s="4929"/>
      <c r="V24" s="4926"/>
      <c r="W24" s="4927"/>
      <c r="X24" s="4928"/>
      <c r="Y24" s="4928"/>
      <c r="Z24" s="4928"/>
      <c r="AA24" s="4927"/>
      <c r="AB24" s="4929"/>
      <c r="AC24" s="4929"/>
      <c r="AD24" s="4926"/>
      <c r="AE24" s="4689"/>
      <c r="AF24" s="4689"/>
      <c r="AG24" s="4672"/>
      <c r="AH24" s="4672"/>
      <c r="AI24" s="4672"/>
      <c r="AJ24" s="4672"/>
      <c r="AK24" s="4672"/>
    </row>
    <row r="25" spans="1:37" ht="18.75" customHeight="1">
      <c r="A25" s="4690" t="s">
        <v>15</v>
      </c>
      <c r="B25" s="4674">
        <f>SUM('Произв. прогр. Вода'!H44)</f>
        <v>4668.0612685855576</v>
      </c>
      <c r="C25" s="4674">
        <f t="shared" ref="C25" si="40">SUM(C26:C31)+C33</f>
        <v>1507.65</v>
      </c>
      <c r="D25" s="4674">
        <f t="shared" ref="D25:F25" si="41">SUM(D26:D31)+D33</f>
        <v>1232.2399999999998</v>
      </c>
      <c r="E25" s="4674">
        <f>SUM(E26:E31)+E33</f>
        <v>1292.53</v>
      </c>
      <c r="F25" s="4674">
        <f t="shared" si="41"/>
        <v>4032.42</v>
      </c>
      <c r="G25" s="4674">
        <f>SUM('Произв. прогр. Вода'!L44)</f>
        <v>4627.7711434051635</v>
      </c>
      <c r="H25" s="4674">
        <f>SUM(H26:H31)+H33</f>
        <v>1349.02</v>
      </c>
      <c r="I25" s="4674">
        <f t="shared" ref="I25:M25" si="42">SUM(I26:I31)+I33</f>
        <v>1366.9299999999998</v>
      </c>
      <c r="J25" s="4674">
        <f t="shared" si="42"/>
        <v>1462.81</v>
      </c>
      <c r="K25" s="4674">
        <f t="shared" si="42"/>
        <v>4178.7599999999993</v>
      </c>
      <c r="L25" s="4676">
        <f>SUM('Произв. прогр. Вода'!M44)</f>
        <v>9295.8324119907211</v>
      </c>
      <c r="M25" s="4676">
        <f t="shared" si="42"/>
        <v>8211.18</v>
      </c>
      <c r="N25" s="4676">
        <f t="shared" ref="N25:N89" si="43">SUM(M25-L25)</f>
        <v>-1084.6524119907208</v>
      </c>
      <c r="O25" s="4674">
        <f>SUM('Произв. прогр. Вода'!Q44)</f>
        <v>4792.3333059252709</v>
      </c>
      <c r="P25" s="4674">
        <f t="shared" ref="P25" si="44">SUM(P26:P31)+P33</f>
        <v>0</v>
      </c>
      <c r="Q25" s="4674">
        <f t="shared" ref="Q25" si="45">SUM(Q26:Q31)+Q33</f>
        <v>0</v>
      </c>
      <c r="R25" s="4674">
        <f t="shared" ref="R25:U25" si="46">SUM(R26:R31)+R33</f>
        <v>0</v>
      </c>
      <c r="S25" s="4674">
        <f t="shared" si="46"/>
        <v>0</v>
      </c>
      <c r="T25" s="4676">
        <f>SUM('Произв. прогр. Вода'!R44)</f>
        <v>14088.165717915992</v>
      </c>
      <c r="U25" s="4676">
        <f t="shared" si="46"/>
        <v>8211.18</v>
      </c>
      <c r="V25" s="4676">
        <f t="shared" ref="V25:V89" si="47">SUM(U25-T25)</f>
        <v>-5876.9857179159917</v>
      </c>
      <c r="W25" s="4674">
        <f>SUM('Произв. прогр. Вода'!V44)</f>
        <v>4834.1196456963098</v>
      </c>
      <c r="X25" s="4674">
        <f t="shared" ref="X25" si="48">SUM(X26:X31)+X33</f>
        <v>0</v>
      </c>
      <c r="Y25" s="4674">
        <f t="shared" ref="Y25" si="49">SUM(Y26:Y31)+Y33</f>
        <v>0</v>
      </c>
      <c r="Z25" s="4674">
        <f>SUM(Z26:Z31)+Z33</f>
        <v>0</v>
      </c>
      <c r="AA25" s="4674">
        <f t="shared" ref="AA25:AC25" si="50">SUM(AA26:AA31)+AA33</f>
        <v>0</v>
      </c>
      <c r="AB25" s="4676">
        <f>SUM('Произв. прогр. Вода'!B44)</f>
        <v>18922.285363050913</v>
      </c>
      <c r="AC25" s="4676">
        <f t="shared" si="50"/>
        <v>8211.18</v>
      </c>
      <c r="AD25" s="4676">
        <f t="shared" ref="AD25:AD89" si="51">SUM(AC25-AB25)</f>
        <v>-10711.105363050912</v>
      </c>
      <c r="AE25" s="4689"/>
      <c r="AF25" s="4689"/>
      <c r="AG25" s="4672"/>
      <c r="AH25" s="4672"/>
      <c r="AI25" s="4672"/>
      <c r="AJ25" s="4672"/>
      <c r="AK25" s="4672"/>
    </row>
    <row r="26" spans="1:37" ht="18.75" customHeight="1">
      <c r="A26" s="4691" t="s">
        <v>1</v>
      </c>
      <c r="B26" s="4678">
        <f>SUM('Произв. прогр. Вода'!H45)</f>
        <v>984.73263993229671</v>
      </c>
      <c r="C26" s="4679">
        <v>265.29000000000002</v>
      </c>
      <c r="D26" s="4679">
        <v>170.37</v>
      </c>
      <c r="E26" s="4679">
        <v>163.58000000000001</v>
      </c>
      <c r="F26" s="4678">
        <f t="shared" ref="F26:F31" si="52">SUM(C26:E26)</f>
        <v>599.24</v>
      </c>
      <c r="G26" s="4678">
        <f>SUM('Произв. прогр. Вода'!L45)</f>
        <v>942.3371055320805</v>
      </c>
      <c r="H26" s="4679">
        <v>180.23</v>
      </c>
      <c r="I26" s="4679">
        <f>0.01+268.28</f>
        <v>268.28999999999996</v>
      </c>
      <c r="J26" s="4679">
        <v>196.31</v>
      </c>
      <c r="K26" s="4678">
        <f>SUM(H26:J26)</f>
        <v>644.82999999999993</v>
      </c>
      <c r="L26" s="4680">
        <f>SUM('Произв. прогр. Вода'!M45)</f>
        <v>1927.0697454643773</v>
      </c>
      <c r="M26" s="4680">
        <f>SUM(F26+K26)</f>
        <v>1244.07</v>
      </c>
      <c r="N26" s="4680">
        <f t="shared" si="43"/>
        <v>-682.99974546437738</v>
      </c>
      <c r="O26" s="4678">
        <f>SUM('Произв. прогр. Вода'!Q45)</f>
        <v>1008.3007029193261</v>
      </c>
      <c r="P26" s="4679"/>
      <c r="Q26" s="4679"/>
      <c r="R26" s="4679"/>
      <c r="S26" s="4678">
        <f>SUM(P26:R26)</f>
        <v>0</v>
      </c>
      <c r="T26" s="4680">
        <f>SUM('Произв. прогр. Вода'!R45)</f>
        <v>2935.3704483837037</v>
      </c>
      <c r="U26" s="4680">
        <f>SUM(M26+S26)</f>
        <v>1244.07</v>
      </c>
      <c r="V26" s="4680">
        <f t="shared" si="47"/>
        <v>-1691.3004483837037</v>
      </c>
      <c r="W26" s="4678">
        <f>SUM('Произв. прогр. Вода'!V45)</f>
        <v>1053.6639247275575</v>
      </c>
      <c r="X26" s="4679"/>
      <c r="Y26" s="4679"/>
      <c r="Z26" s="4679"/>
      <c r="AA26" s="4678">
        <f>SUM(X26:Z26)</f>
        <v>0</v>
      </c>
      <c r="AB26" s="4680">
        <f>SUM('Произв. прогр. Вода'!B45)</f>
        <v>3989.0343725498706</v>
      </c>
      <c r="AC26" s="4680">
        <f>SUM(U26+AA26)</f>
        <v>1244.07</v>
      </c>
      <c r="AD26" s="4680">
        <f t="shared" si="51"/>
        <v>-2744.9643725498709</v>
      </c>
      <c r="AE26" s="4689"/>
      <c r="AF26" s="4689"/>
      <c r="AG26" s="4672"/>
      <c r="AH26" s="4672"/>
      <c r="AI26" s="4672"/>
      <c r="AJ26" s="4672"/>
      <c r="AK26" s="4672"/>
    </row>
    <row r="27" spans="1:37" ht="18.75" customHeight="1">
      <c r="A27" s="4691" t="s">
        <v>2</v>
      </c>
      <c r="B27" s="4678">
        <f>SUM('Произв. прогр. Вода'!H46)</f>
        <v>891.64499999999998</v>
      </c>
      <c r="C27" s="4679">
        <v>299.19</v>
      </c>
      <c r="D27" s="4679">
        <v>299.19</v>
      </c>
      <c r="E27" s="4679">
        <v>299.19</v>
      </c>
      <c r="F27" s="4678">
        <f t="shared" si="52"/>
        <v>897.56999999999994</v>
      </c>
      <c r="G27" s="4678">
        <f>SUM('Произв. прогр. Вода'!L46)</f>
        <v>891.64499999999998</v>
      </c>
      <c r="H27" s="4679">
        <v>299.19</v>
      </c>
      <c r="I27" s="4679">
        <f>-0.01+299.19</f>
        <v>299.18</v>
      </c>
      <c r="J27" s="4679">
        <v>299.19</v>
      </c>
      <c r="K27" s="4678">
        <f t="shared" ref="K27:K31" si="53">SUM(H27:J27)</f>
        <v>897.56</v>
      </c>
      <c r="L27" s="4680">
        <f>SUM('Произв. прогр. Вода'!M46)</f>
        <v>1783.29</v>
      </c>
      <c r="M27" s="4680">
        <f t="shared" ref="M27:M31" si="54">SUM(F27+K27)</f>
        <v>1795.1299999999999</v>
      </c>
      <c r="N27" s="4680">
        <f t="shared" si="43"/>
        <v>11.839999999999918</v>
      </c>
      <c r="O27" s="4678">
        <f>SUM('Произв. прогр. Вода'!Q46)</f>
        <v>891.64499999999998</v>
      </c>
      <c r="P27" s="4679"/>
      <c r="Q27" s="4679"/>
      <c r="R27" s="4679"/>
      <c r="S27" s="4678">
        <f t="shared" ref="S27:S31" si="55">SUM(P27:R27)</f>
        <v>0</v>
      </c>
      <c r="T27" s="4680">
        <f>SUM('Произв. прогр. Вода'!R46)</f>
        <v>2674.9349999999999</v>
      </c>
      <c r="U27" s="4680">
        <f t="shared" ref="U27:U31" si="56">SUM(M27+S27)</f>
        <v>1795.1299999999999</v>
      </c>
      <c r="V27" s="4680">
        <f t="shared" si="47"/>
        <v>-879.80500000000006</v>
      </c>
      <c r="W27" s="4678">
        <f>SUM('Произв. прогр. Вода'!V46)</f>
        <v>891.64499999999998</v>
      </c>
      <c r="X27" s="4679"/>
      <c r="Y27" s="4679"/>
      <c r="Z27" s="4679"/>
      <c r="AA27" s="4678">
        <f t="shared" ref="AA27:AA31" si="57">SUM(X27:Z27)</f>
        <v>0</v>
      </c>
      <c r="AB27" s="4680">
        <f>SUM('Произв. прогр. Вода'!B46)</f>
        <v>3566.58</v>
      </c>
      <c r="AC27" s="4680">
        <f t="shared" ref="AC27:AC31" si="58">SUM(U27+AA27)</f>
        <v>1795.1299999999999</v>
      </c>
      <c r="AD27" s="4680">
        <f t="shared" si="51"/>
        <v>-1771.45</v>
      </c>
      <c r="AE27" s="4689"/>
      <c r="AF27" s="4689"/>
      <c r="AG27" s="4672"/>
      <c r="AH27" s="4672"/>
      <c r="AI27" s="4672"/>
      <c r="AJ27" s="4672"/>
      <c r="AK27" s="4672"/>
    </row>
    <row r="28" spans="1:37" ht="18" customHeight="1">
      <c r="A28" s="4753" t="s">
        <v>2046</v>
      </c>
      <c r="B28" s="4678">
        <f>SUM('Произв. прогр. Вода'!H47)</f>
        <v>0</v>
      </c>
      <c r="C28" s="4679"/>
      <c r="D28" s="4679"/>
      <c r="E28" s="4679"/>
      <c r="F28" s="4678">
        <f t="shared" si="52"/>
        <v>0</v>
      </c>
      <c r="G28" s="4678">
        <f>SUM('Произв. прогр. Вода'!L47)</f>
        <v>0</v>
      </c>
      <c r="H28" s="4679"/>
      <c r="I28" s="4679"/>
      <c r="J28" s="4679"/>
      <c r="K28" s="4678">
        <f t="shared" si="53"/>
        <v>0</v>
      </c>
      <c r="L28" s="4680">
        <f>SUM('Произв. прогр. Вода'!M47)</f>
        <v>0</v>
      </c>
      <c r="M28" s="4680">
        <f t="shared" si="54"/>
        <v>0</v>
      </c>
      <c r="N28" s="4680">
        <f t="shared" si="43"/>
        <v>0</v>
      </c>
      <c r="O28" s="4678">
        <f>SUM('Произв. прогр. Вода'!Q47)</f>
        <v>0</v>
      </c>
      <c r="P28" s="4679"/>
      <c r="Q28" s="4679"/>
      <c r="R28" s="4679"/>
      <c r="S28" s="4678">
        <f t="shared" si="55"/>
        <v>0</v>
      </c>
      <c r="T28" s="4680">
        <f>SUM('Произв. прогр. Вода'!R47)</f>
        <v>0</v>
      </c>
      <c r="U28" s="4680">
        <f t="shared" si="56"/>
        <v>0</v>
      </c>
      <c r="V28" s="4680">
        <f t="shared" si="47"/>
        <v>0</v>
      </c>
      <c r="W28" s="4678">
        <f>SUM('Произв. прогр. Вода'!V47)</f>
        <v>0</v>
      </c>
      <c r="X28" s="4679"/>
      <c r="Y28" s="4679"/>
      <c r="Z28" s="4679"/>
      <c r="AA28" s="4678">
        <f t="shared" si="57"/>
        <v>0</v>
      </c>
      <c r="AB28" s="4680">
        <f>SUM('Произв. прогр. Вода'!B47)</f>
        <v>0</v>
      </c>
      <c r="AC28" s="4680">
        <f t="shared" si="58"/>
        <v>0</v>
      </c>
      <c r="AD28" s="4680">
        <f t="shared" si="51"/>
        <v>0</v>
      </c>
      <c r="AE28" s="4689"/>
      <c r="AF28" s="4689"/>
      <c r="AG28" s="4672"/>
      <c r="AH28" s="4672"/>
      <c r="AI28" s="4672"/>
      <c r="AJ28" s="4672"/>
      <c r="AK28" s="4672"/>
    </row>
    <row r="29" spans="1:37" ht="18.75" customHeight="1">
      <c r="A29" s="4691" t="s">
        <v>3</v>
      </c>
      <c r="B29" s="4678">
        <f>SUM('Произв. прогр. Вода'!H48)</f>
        <v>0</v>
      </c>
      <c r="C29" s="4679">
        <v>7.23</v>
      </c>
      <c r="D29" s="4679"/>
      <c r="E29" s="4679">
        <v>1.47</v>
      </c>
      <c r="F29" s="4678">
        <f t="shared" si="52"/>
        <v>8.7000000000000011</v>
      </c>
      <c r="G29" s="4678">
        <f>SUM('Произв. прогр. Вода'!L48)</f>
        <v>0</v>
      </c>
      <c r="H29" s="4679"/>
      <c r="I29" s="4679"/>
      <c r="J29" s="4679">
        <v>18.43</v>
      </c>
      <c r="K29" s="4678">
        <f t="shared" si="53"/>
        <v>18.43</v>
      </c>
      <c r="L29" s="4680">
        <f>SUM('Произв. прогр. Вода'!M48)</f>
        <v>0</v>
      </c>
      <c r="M29" s="4680">
        <f t="shared" si="54"/>
        <v>27.130000000000003</v>
      </c>
      <c r="N29" s="4680">
        <f t="shared" si="43"/>
        <v>27.130000000000003</v>
      </c>
      <c r="O29" s="4678">
        <f>SUM('Произв. прогр. Вода'!Q48)</f>
        <v>0</v>
      </c>
      <c r="P29" s="4679"/>
      <c r="Q29" s="4679"/>
      <c r="R29" s="4679"/>
      <c r="S29" s="4678">
        <f t="shared" si="55"/>
        <v>0</v>
      </c>
      <c r="T29" s="4680">
        <f>SUM('Произв. прогр. Вода'!R48)</f>
        <v>0</v>
      </c>
      <c r="U29" s="4680">
        <f t="shared" si="56"/>
        <v>27.130000000000003</v>
      </c>
      <c r="V29" s="4680">
        <f t="shared" si="47"/>
        <v>27.130000000000003</v>
      </c>
      <c r="W29" s="4678">
        <f>SUM('Произв. прогр. Вода'!V48)</f>
        <v>0</v>
      </c>
      <c r="X29" s="4679"/>
      <c r="Y29" s="4679"/>
      <c r="Z29" s="4679"/>
      <c r="AA29" s="4678">
        <f t="shared" si="57"/>
        <v>0</v>
      </c>
      <c r="AB29" s="4680">
        <f>SUM('Произв. прогр. Вода'!B48)</f>
        <v>0</v>
      </c>
      <c r="AC29" s="4680">
        <f t="shared" si="58"/>
        <v>27.130000000000003</v>
      </c>
      <c r="AD29" s="4680">
        <f t="shared" si="51"/>
        <v>27.130000000000003</v>
      </c>
      <c r="AE29" s="4689"/>
      <c r="AF29" s="4689"/>
      <c r="AG29" s="4672"/>
      <c r="AH29" s="4672"/>
      <c r="AI29" s="4672"/>
      <c r="AJ29" s="4672"/>
      <c r="AK29" s="4672"/>
    </row>
    <row r="30" spans="1:37" ht="18.75" customHeight="1">
      <c r="A30" s="4691" t="s">
        <v>4</v>
      </c>
      <c r="B30" s="4678">
        <f>SUM('Произв. прогр. Вода'!H49)</f>
        <v>1866.3930114429595</v>
      </c>
      <c r="C30" s="4679">
        <v>673.99</v>
      </c>
      <c r="D30" s="4679">
        <f>61.16+482.14</f>
        <v>543.29999999999995</v>
      </c>
      <c r="E30" s="4679">
        <v>584.69000000000005</v>
      </c>
      <c r="F30" s="4678">
        <f t="shared" si="52"/>
        <v>1801.98</v>
      </c>
      <c r="G30" s="4678">
        <f>SUM('Произв. прогр. Вода'!L49)</f>
        <v>1866.3930114429595</v>
      </c>
      <c r="H30" s="4679">
        <v>621.77</v>
      </c>
      <c r="I30" s="4679">
        <f>-59.99+657.79-47.94</f>
        <v>549.8599999999999</v>
      </c>
      <c r="J30" s="4679">
        <v>674.03</v>
      </c>
      <c r="K30" s="4678">
        <f t="shared" si="53"/>
        <v>1845.6599999999999</v>
      </c>
      <c r="L30" s="4680">
        <f>SUM('Произв. прогр. Вода'!M49)</f>
        <v>3732.786022885919</v>
      </c>
      <c r="M30" s="4680">
        <f t="shared" si="54"/>
        <v>3647.64</v>
      </c>
      <c r="N30" s="4680">
        <f t="shared" si="43"/>
        <v>-85.146022885919137</v>
      </c>
      <c r="O30" s="4678">
        <f>SUM('Произв. прогр. Вода'!Q49)</f>
        <v>1941.0487319006775</v>
      </c>
      <c r="P30" s="4679"/>
      <c r="Q30" s="4679"/>
      <c r="R30" s="4679"/>
      <c r="S30" s="4678">
        <f t="shared" si="55"/>
        <v>0</v>
      </c>
      <c r="T30" s="4680">
        <f>SUM('Произв. прогр. Вода'!R49)</f>
        <v>5673.834754786596</v>
      </c>
      <c r="U30" s="4680">
        <f t="shared" si="56"/>
        <v>3647.64</v>
      </c>
      <c r="V30" s="4680">
        <f t="shared" si="47"/>
        <v>-2026.1947547865961</v>
      </c>
      <c r="W30" s="4678">
        <f>SUM('Произв. прогр. Вода'!V49)</f>
        <v>1941.0487319006775</v>
      </c>
      <c r="X30" s="4679"/>
      <c r="Y30" s="4679"/>
      <c r="Z30" s="4679"/>
      <c r="AA30" s="4678">
        <f t="shared" si="57"/>
        <v>0</v>
      </c>
      <c r="AB30" s="4680">
        <f>SUM('Произв. прогр. Вода'!B49)</f>
        <v>7614.8834866872739</v>
      </c>
      <c r="AC30" s="4680">
        <f t="shared" si="58"/>
        <v>3647.64</v>
      </c>
      <c r="AD30" s="4680">
        <f t="shared" si="51"/>
        <v>-3967.2434866872741</v>
      </c>
      <c r="AE30" s="4689"/>
      <c r="AF30" s="4689"/>
      <c r="AG30" s="4672"/>
      <c r="AH30" s="4672"/>
      <c r="AI30" s="4672"/>
      <c r="AJ30" s="4672"/>
      <c r="AK30" s="4672"/>
    </row>
    <row r="31" spans="1:37" ht="18.75" customHeight="1">
      <c r="A31" s="4691" t="s">
        <v>5</v>
      </c>
      <c r="B31" s="4678">
        <f>SUM('Произв. прогр. Вода'!H50)</f>
        <v>561.78429644433072</v>
      </c>
      <c r="C31" s="4693">
        <v>200.39</v>
      </c>
      <c r="D31" s="4693">
        <f>18.47+144.38</f>
        <v>162.85</v>
      </c>
      <c r="E31" s="4693">
        <v>173.58</v>
      </c>
      <c r="F31" s="4692">
        <f t="shared" si="52"/>
        <v>536.82000000000005</v>
      </c>
      <c r="G31" s="4678">
        <f>SUM('Произв. прогр. Вода'!L50)</f>
        <v>561.78429644433072</v>
      </c>
      <c r="H31" s="4693">
        <v>187.31</v>
      </c>
      <c r="I31" s="4693">
        <f>-13.77+198.61</f>
        <v>184.84</v>
      </c>
      <c r="J31" s="4693">
        <v>203.55</v>
      </c>
      <c r="K31" s="4692">
        <f t="shared" si="53"/>
        <v>575.70000000000005</v>
      </c>
      <c r="L31" s="4680">
        <f>SUM('Произв. прогр. Вода'!M50)</f>
        <v>1123.5685928886614</v>
      </c>
      <c r="M31" s="4694">
        <f t="shared" si="54"/>
        <v>1112.52</v>
      </c>
      <c r="N31" s="4694">
        <f t="shared" si="43"/>
        <v>-11.04859288866146</v>
      </c>
      <c r="O31" s="4678">
        <f>SUM('Произв. прогр. Вода'!Q50)</f>
        <v>584.25566830210391</v>
      </c>
      <c r="P31" s="4693"/>
      <c r="Q31" s="4693"/>
      <c r="R31" s="4693"/>
      <c r="S31" s="4692">
        <f t="shared" si="55"/>
        <v>0</v>
      </c>
      <c r="T31" s="4680">
        <f>SUM('Произв. прогр. Вода'!R50)</f>
        <v>1707.8242611907654</v>
      </c>
      <c r="U31" s="4694">
        <f t="shared" si="56"/>
        <v>1112.52</v>
      </c>
      <c r="V31" s="4694">
        <f t="shared" si="47"/>
        <v>-595.30426119076537</v>
      </c>
      <c r="W31" s="4678">
        <f>SUM('Произв. прогр. Вода'!V50)</f>
        <v>584.25566830210391</v>
      </c>
      <c r="X31" s="4693"/>
      <c r="Y31" s="4693"/>
      <c r="Z31" s="4693"/>
      <c r="AA31" s="4692">
        <f t="shared" si="57"/>
        <v>0</v>
      </c>
      <c r="AB31" s="4680">
        <f>SUM('Произв. прогр. Вода'!B50)</f>
        <v>2292.0799294928693</v>
      </c>
      <c r="AC31" s="4694">
        <f t="shared" si="58"/>
        <v>1112.52</v>
      </c>
      <c r="AD31" s="4694">
        <f t="shared" si="51"/>
        <v>-1179.5599294928693</v>
      </c>
      <c r="AE31" s="4689"/>
      <c r="AF31" s="4689"/>
      <c r="AG31" s="4672"/>
      <c r="AH31" s="4672"/>
      <c r="AI31" s="4672"/>
      <c r="AJ31" s="4672"/>
      <c r="AK31" s="4672"/>
    </row>
    <row r="32" spans="1:37" ht="18.75" customHeight="1">
      <c r="A32" s="4695" t="s">
        <v>321</v>
      </c>
      <c r="B32" s="4682">
        <f>SUM('Произв. прогр. Вода'!H51)</f>
        <v>0.30099999999999993</v>
      </c>
      <c r="C32" s="4682">
        <f t="shared" ref="C32:F32" si="59">SUM(C31/C30)</f>
        <v>0.2973189513197525</v>
      </c>
      <c r="D32" s="4682">
        <f t="shared" si="59"/>
        <v>0.29974231547947727</v>
      </c>
      <c r="E32" s="4682">
        <f t="shared" si="59"/>
        <v>0.29687526723562913</v>
      </c>
      <c r="F32" s="4682">
        <f t="shared" si="59"/>
        <v>0.29790563713248763</v>
      </c>
      <c r="G32" s="4682">
        <f>SUM('Произв. прогр. Вода'!L51)</f>
        <v>0.30099999999999993</v>
      </c>
      <c r="H32" s="4682">
        <f t="shared" ref="H32:M32" si="60">SUM(H31/H30)</f>
        <v>0.30125287485726232</v>
      </c>
      <c r="I32" s="4682">
        <f t="shared" si="60"/>
        <v>0.33615829483868626</v>
      </c>
      <c r="J32" s="4682">
        <f t="shared" si="60"/>
        <v>0.30198952568876758</v>
      </c>
      <c r="K32" s="4682">
        <f t="shared" si="60"/>
        <v>0.31192093885114275</v>
      </c>
      <c r="L32" s="4683">
        <f>SUM('Произв. прогр. Вода'!M51)</f>
        <v>0.30099999999999993</v>
      </c>
      <c r="M32" s="4683">
        <f t="shared" si="60"/>
        <v>0.30499720367141497</v>
      </c>
      <c r="N32" s="4683">
        <f t="shared" si="43"/>
        <v>3.9972036714150394E-3</v>
      </c>
      <c r="O32" s="4682">
        <f>SUM('Произв. прогр. Вода'!Q51)</f>
        <v>0.30099999999999999</v>
      </c>
      <c r="P32" s="4682" t="e">
        <f t="shared" ref="P32:U32" si="61">SUM(P31/P30)</f>
        <v>#DIV/0!</v>
      </c>
      <c r="Q32" s="4682" t="e">
        <f t="shared" si="61"/>
        <v>#DIV/0!</v>
      </c>
      <c r="R32" s="4682" t="e">
        <f t="shared" si="61"/>
        <v>#DIV/0!</v>
      </c>
      <c r="S32" s="4682" t="e">
        <f t="shared" si="61"/>
        <v>#DIV/0!</v>
      </c>
      <c r="T32" s="4683">
        <f>SUM('Произв. прогр. Вода'!R51)</f>
        <v>0.30099999999999999</v>
      </c>
      <c r="U32" s="4683">
        <f t="shared" si="61"/>
        <v>0.30499720367141497</v>
      </c>
      <c r="V32" s="4683">
        <f t="shared" si="47"/>
        <v>3.9972036714149839E-3</v>
      </c>
      <c r="W32" s="4682">
        <f>SUM('Произв. прогр. Вода'!V51)</f>
        <v>0.30099999999999999</v>
      </c>
      <c r="X32" s="4682" t="e">
        <f t="shared" ref="X32:AC32" si="62">SUM(X31/X30)</f>
        <v>#DIV/0!</v>
      </c>
      <c r="Y32" s="4682" t="e">
        <f t="shared" si="62"/>
        <v>#DIV/0!</v>
      </c>
      <c r="Z32" s="4682" t="e">
        <f t="shared" si="62"/>
        <v>#DIV/0!</v>
      </c>
      <c r="AA32" s="4682" t="e">
        <f t="shared" si="62"/>
        <v>#DIV/0!</v>
      </c>
      <c r="AB32" s="4683">
        <f>SUM('Произв. прогр. Вода'!B51)</f>
        <v>0.30099999999999999</v>
      </c>
      <c r="AC32" s="4683">
        <f t="shared" si="62"/>
        <v>0.30499720367141497</v>
      </c>
      <c r="AD32" s="4683">
        <f t="shared" si="51"/>
        <v>3.9972036714149839E-3</v>
      </c>
      <c r="AE32" s="4689"/>
      <c r="AF32" s="4689"/>
      <c r="AG32" s="4672"/>
      <c r="AH32" s="4672"/>
      <c r="AI32" s="4672"/>
      <c r="AJ32" s="4672"/>
      <c r="AK32" s="4672"/>
    </row>
    <row r="33" spans="1:37" ht="18.75" customHeight="1">
      <c r="A33" s="4696" t="s">
        <v>1723</v>
      </c>
      <c r="B33" s="4674">
        <f>SUM('Произв. прогр. Вода'!H52)</f>
        <v>363.50632076597128</v>
      </c>
      <c r="C33" s="4674">
        <f t="shared" ref="C33" si="63">SUM(C34:C42)+C46</f>
        <v>61.559999999999995</v>
      </c>
      <c r="D33" s="4674">
        <f t="shared" ref="D33:F33" si="64">SUM(D34:D42)+D46</f>
        <v>56.53</v>
      </c>
      <c r="E33" s="4674">
        <f>SUM(E34:E42)+E46</f>
        <v>70.02</v>
      </c>
      <c r="F33" s="4674">
        <f t="shared" si="64"/>
        <v>188.11</v>
      </c>
      <c r="G33" s="4674">
        <f>SUM('Произв. прогр. Вода'!L52)</f>
        <v>365.61172998579309</v>
      </c>
      <c r="H33" s="4674">
        <f>SUM(H34:H42)+H46</f>
        <v>60.519999999999996</v>
      </c>
      <c r="I33" s="4674">
        <f t="shared" ref="I33:M33" si="65">SUM(I34:I42)+I46</f>
        <v>64.759999999999991</v>
      </c>
      <c r="J33" s="4674">
        <f t="shared" si="65"/>
        <v>71.3</v>
      </c>
      <c r="K33" s="4674">
        <f t="shared" si="65"/>
        <v>196.57999999999998</v>
      </c>
      <c r="L33" s="4676">
        <f>SUM('Произв. прогр. Вода'!M52)</f>
        <v>729.11805075176437</v>
      </c>
      <c r="M33" s="4676">
        <f t="shared" si="65"/>
        <v>384.69</v>
      </c>
      <c r="N33" s="4676">
        <f t="shared" si="43"/>
        <v>-344.42805075176437</v>
      </c>
      <c r="O33" s="4674">
        <f>SUM('Произв. прогр. Вода'!Q52)</f>
        <v>367.08320280316303</v>
      </c>
      <c r="P33" s="4674">
        <f t="shared" ref="P33:U33" si="66">SUM(P34:P42)+P46</f>
        <v>0</v>
      </c>
      <c r="Q33" s="4674">
        <f t="shared" si="66"/>
        <v>0</v>
      </c>
      <c r="R33" s="4674">
        <f t="shared" si="66"/>
        <v>0</v>
      </c>
      <c r="S33" s="4674">
        <f t="shared" si="66"/>
        <v>0</v>
      </c>
      <c r="T33" s="4676">
        <f>SUM('Произв. прогр. Вода'!R52)</f>
        <v>1096.2012535549275</v>
      </c>
      <c r="U33" s="4676">
        <f t="shared" si="66"/>
        <v>384.69</v>
      </c>
      <c r="V33" s="4697">
        <f t="shared" si="47"/>
        <v>-711.51125355492741</v>
      </c>
      <c r="W33" s="4674">
        <f>SUM('Произв. прогр. Вода'!V52)</f>
        <v>363.50632076597128</v>
      </c>
      <c r="X33" s="4674">
        <f t="shared" ref="X33:AC33" si="67">SUM(X34:X42)+X46</f>
        <v>0</v>
      </c>
      <c r="Y33" s="4674">
        <f t="shared" si="67"/>
        <v>0</v>
      </c>
      <c r="Z33" s="4674">
        <f>SUM(Z34:Z42)+Z46</f>
        <v>0</v>
      </c>
      <c r="AA33" s="4674">
        <f t="shared" si="67"/>
        <v>0</v>
      </c>
      <c r="AB33" s="4676">
        <f>SUM('Произв. прогр. Вода'!B52)</f>
        <v>1459.7075743208986</v>
      </c>
      <c r="AC33" s="4676">
        <f t="shared" si="67"/>
        <v>384.69</v>
      </c>
      <c r="AD33" s="4676">
        <f t="shared" si="51"/>
        <v>-1075.0175743208986</v>
      </c>
      <c r="AE33" s="4689"/>
      <c r="AF33" s="4689"/>
      <c r="AG33" s="4672"/>
      <c r="AH33" s="4672"/>
      <c r="AI33" s="4672"/>
      <c r="AJ33" s="4672"/>
      <c r="AK33" s="4672"/>
    </row>
    <row r="34" spans="1:37" ht="18.75" customHeight="1">
      <c r="A34" s="4698" t="s">
        <v>72</v>
      </c>
      <c r="B34" s="4678">
        <f>SUM('Произв. прогр. Вода'!H53)</f>
        <v>0</v>
      </c>
      <c r="C34" s="4679"/>
      <c r="D34" s="4679"/>
      <c r="E34" s="4679"/>
      <c r="F34" s="4678">
        <f t="shared" ref="F34:F56" si="68">SUM(C34:E34)</f>
        <v>0</v>
      </c>
      <c r="G34" s="4678">
        <f>SUM('Произв. прогр. Вода'!L53)</f>
        <v>0</v>
      </c>
      <c r="H34" s="4679"/>
      <c r="I34" s="4679"/>
      <c r="J34" s="4679"/>
      <c r="K34" s="4678">
        <f t="shared" ref="K34:K56" si="69">SUM(H34:J34)</f>
        <v>0</v>
      </c>
      <c r="L34" s="4680">
        <f>SUM('Произв. прогр. Вода'!M53)</f>
        <v>0</v>
      </c>
      <c r="M34" s="4680">
        <f t="shared" ref="M34:M56" si="70">SUM(F34+K34)</f>
        <v>0</v>
      </c>
      <c r="N34" s="4680">
        <f t="shared" si="43"/>
        <v>0</v>
      </c>
      <c r="O34" s="4678">
        <f>SUM('Произв. прогр. Вода'!Q53)</f>
        <v>0</v>
      </c>
      <c r="P34" s="4679"/>
      <c r="Q34" s="4679"/>
      <c r="R34" s="4679"/>
      <c r="S34" s="4678">
        <f t="shared" ref="S34:S56" si="71">SUM(P34:R34)</f>
        <v>0</v>
      </c>
      <c r="T34" s="4680">
        <f>SUM('Произв. прогр. Вода'!R53)</f>
        <v>0</v>
      </c>
      <c r="U34" s="4680">
        <f t="shared" ref="U34:U56" si="72">SUM(M34+S34)</f>
        <v>0</v>
      </c>
      <c r="V34" s="4680">
        <f t="shared" si="47"/>
        <v>0</v>
      </c>
      <c r="W34" s="4678">
        <f>SUM('Произв. прогр. Вода'!V53)</f>
        <v>0</v>
      </c>
      <c r="X34" s="4679"/>
      <c r="Y34" s="4679"/>
      <c r="Z34" s="4679"/>
      <c r="AA34" s="4678">
        <f t="shared" ref="AA34:AA56" si="73">SUM(X34:Z34)</f>
        <v>0</v>
      </c>
      <c r="AB34" s="4680">
        <f>SUM('Произв. прогр. Вода'!B53)</f>
        <v>0</v>
      </c>
      <c r="AC34" s="4680">
        <f t="shared" ref="AC34:AC56" si="74">SUM(U34+AA34)</f>
        <v>0</v>
      </c>
      <c r="AD34" s="4680">
        <f t="shared" si="51"/>
        <v>0</v>
      </c>
      <c r="AE34" s="4689"/>
      <c r="AF34" s="4689"/>
      <c r="AG34" s="4672"/>
      <c r="AH34" s="4672"/>
      <c r="AI34" s="4672"/>
      <c r="AJ34" s="4672"/>
      <c r="AK34" s="4672"/>
    </row>
    <row r="35" spans="1:37" ht="18.75" customHeight="1">
      <c r="A35" s="4698" t="s">
        <v>121</v>
      </c>
      <c r="B35" s="4678">
        <f>SUM('Произв. прогр. Вода'!H54)</f>
        <v>0</v>
      </c>
      <c r="C35" s="4679"/>
      <c r="D35" s="4679"/>
      <c r="E35" s="4679"/>
      <c r="F35" s="4678">
        <f t="shared" si="68"/>
        <v>0</v>
      </c>
      <c r="G35" s="4678">
        <f>SUM('Произв. прогр. Вода'!L54)</f>
        <v>0</v>
      </c>
      <c r="H35" s="4679"/>
      <c r="I35" s="4679"/>
      <c r="J35" s="4679"/>
      <c r="K35" s="4678">
        <f t="shared" si="69"/>
        <v>0</v>
      </c>
      <c r="L35" s="4680">
        <f>SUM('Произв. прогр. Вода'!M54)</f>
        <v>0</v>
      </c>
      <c r="M35" s="4680">
        <f t="shared" si="70"/>
        <v>0</v>
      </c>
      <c r="N35" s="4680">
        <f t="shared" si="43"/>
        <v>0</v>
      </c>
      <c r="O35" s="4678">
        <f>SUM('Произв. прогр. Вода'!Q54)</f>
        <v>0</v>
      </c>
      <c r="P35" s="4679"/>
      <c r="Q35" s="4679"/>
      <c r="R35" s="4679"/>
      <c r="S35" s="4678">
        <f t="shared" si="71"/>
        <v>0</v>
      </c>
      <c r="T35" s="4680">
        <f>SUM('Произв. прогр. Вода'!R54)</f>
        <v>0</v>
      </c>
      <c r="U35" s="4680">
        <f t="shared" si="72"/>
        <v>0</v>
      </c>
      <c r="V35" s="4680">
        <f t="shared" si="47"/>
        <v>0</v>
      </c>
      <c r="W35" s="4678">
        <f>SUM('Произв. прогр. Вода'!V54)</f>
        <v>0</v>
      </c>
      <c r="X35" s="4679"/>
      <c r="Y35" s="4679"/>
      <c r="Z35" s="4679"/>
      <c r="AA35" s="4678">
        <f t="shared" si="73"/>
        <v>0</v>
      </c>
      <c r="AB35" s="4680">
        <f>SUM('Произв. прогр. Вода'!B54)</f>
        <v>0</v>
      </c>
      <c r="AC35" s="4680">
        <f t="shared" si="74"/>
        <v>0</v>
      </c>
      <c r="AD35" s="4680">
        <f t="shared" si="51"/>
        <v>0</v>
      </c>
      <c r="AE35" s="4689"/>
      <c r="AF35" s="4689"/>
      <c r="AG35" s="4672"/>
      <c r="AH35" s="4672"/>
      <c r="AI35" s="4672"/>
      <c r="AJ35" s="4672"/>
      <c r="AK35" s="4672"/>
    </row>
    <row r="36" spans="1:37" ht="18.75" customHeight="1">
      <c r="A36" s="4698" t="s">
        <v>1555</v>
      </c>
      <c r="B36" s="4678">
        <f>SUM('Произв. прогр. Вода'!H55)</f>
        <v>274.24256052553886</v>
      </c>
      <c r="C36" s="4679">
        <v>60.65</v>
      </c>
      <c r="D36" s="4679">
        <v>55.69</v>
      </c>
      <c r="E36" s="4679">
        <v>61.65</v>
      </c>
      <c r="F36" s="4678">
        <f t="shared" si="68"/>
        <v>177.99</v>
      </c>
      <c r="G36" s="4678">
        <f>SUM('Произв. прогр. Вода'!L55)</f>
        <v>274.24256052553886</v>
      </c>
      <c r="H36" s="4679">
        <v>59.66</v>
      </c>
      <c r="I36" s="4679">
        <v>61.66</v>
      </c>
      <c r="J36" s="4679">
        <v>61.78</v>
      </c>
      <c r="K36" s="4678">
        <f t="shared" si="69"/>
        <v>183.1</v>
      </c>
      <c r="L36" s="4680">
        <f>SUM('Произв. прогр. Вода'!M55)</f>
        <v>548.48512105107773</v>
      </c>
      <c r="M36" s="4680">
        <f t="shared" si="70"/>
        <v>361.09000000000003</v>
      </c>
      <c r="N36" s="4680">
        <f t="shared" si="43"/>
        <v>-187.39512105107769</v>
      </c>
      <c r="O36" s="4678">
        <f>SUM('Произв. прогр. Вода'!Q55)</f>
        <v>274.24256052553886</v>
      </c>
      <c r="P36" s="4679"/>
      <c r="Q36" s="4679"/>
      <c r="R36" s="4679"/>
      <c r="S36" s="4678">
        <f t="shared" si="71"/>
        <v>0</v>
      </c>
      <c r="T36" s="4680">
        <f>SUM('Произв. прогр. Вода'!R55)</f>
        <v>822.72768157661653</v>
      </c>
      <c r="U36" s="4680">
        <f t="shared" si="72"/>
        <v>361.09000000000003</v>
      </c>
      <c r="V36" s="4680">
        <f t="shared" si="47"/>
        <v>-461.6376815766165</v>
      </c>
      <c r="W36" s="4678">
        <f>SUM('Произв. прогр. Вода'!V55)</f>
        <v>274.24256052553886</v>
      </c>
      <c r="X36" s="4679"/>
      <c r="Y36" s="4679"/>
      <c r="Z36" s="4679"/>
      <c r="AA36" s="4678">
        <f t="shared" si="73"/>
        <v>0</v>
      </c>
      <c r="AB36" s="4680">
        <f>SUM('Произв. прогр. Вода'!B55)</f>
        <v>1096.9702421021555</v>
      </c>
      <c r="AC36" s="4680">
        <f t="shared" si="74"/>
        <v>361.09000000000003</v>
      </c>
      <c r="AD36" s="4680">
        <f t="shared" si="51"/>
        <v>-735.88024210215542</v>
      </c>
      <c r="AE36" s="4689"/>
      <c r="AF36" s="4689"/>
      <c r="AG36" s="4672"/>
      <c r="AH36" s="4672"/>
      <c r="AI36" s="4672"/>
      <c r="AJ36" s="4672"/>
      <c r="AK36" s="4672"/>
    </row>
    <row r="37" spans="1:37" ht="18.75" customHeight="1">
      <c r="A37" s="4698" t="s">
        <v>52</v>
      </c>
      <c r="B37" s="4678">
        <f>SUM('Произв. прогр. Вода'!H56)</f>
        <v>4.5980788591108306</v>
      </c>
      <c r="C37" s="4679">
        <v>0.91</v>
      </c>
      <c r="D37" s="4679">
        <v>0.84</v>
      </c>
      <c r="E37" s="4679">
        <v>0.93</v>
      </c>
      <c r="F37" s="4678">
        <f t="shared" si="68"/>
        <v>2.68</v>
      </c>
      <c r="G37" s="4678">
        <f>SUM('Произв. прогр. Вода'!L56)</f>
        <v>4.5980788591108306</v>
      </c>
      <c r="H37" s="4679">
        <v>0.86</v>
      </c>
      <c r="I37" s="4679">
        <v>0.9</v>
      </c>
      <c r="J37" s="4679">
        <v>0.84</v>
      </c>
      <c r="K37" s="4678">
        <f t="shared" si="69"/>
        <v>2.6</v>
      </c>
      <c r="L37" s="4680">
        <f>SUM('Произв. прогр. Вода'!M56)</f>
        <v>9.1961577182216612</v>
      </c>
      <c r="M37" s="4680">
        <f t="shared" si="70"/>
        <v>5.28</v>
      </c>
      <c r="N37" s="4680">
        <f t="shared" si="43"/>
        <v>-3.9161577182216609</v>
      </c>
      <c r="O37" s="4678">
        <f>SUM('Произв. прогр. Вода'!Q56)</f>
        <v>4.5980788591108306</v>
      </c>
      <c r="P37" s="4679"/>
      <c r="Q37" s="4679"/>
      <c r="R37" s="4679"/>
      <c r="S37" s="4678">
        <f t="shared" si="71"/>
        <v>0</v>
      </c>
      <c r="T37" s="4680">
        <f>SUM('Произв. прогр. Вода'!R56)</f>
        <v>13.794236577332491</v>
      </c>
      <c r="U37" s="4680">
        <f t="shared" si="72"/>
        <v>5.28</v>
      </c>
      <c r="V37" s="4680">
        <f t="shared" si="47"/>
        <v>-8.5142365773324897</v>
      </c>
      <c r="W37" s="4678">
        <f>SUM('Произв. прогр. Вода'!V56)</f>
        <v>4.5980788591108306</v>
      </c>
      <c r="X37" s="4679"/>
      <c r="Y37" s="4679"/>
      <c r="Z37" s="4679"/>
      <c r="AA37" s="4678">
        <f t="shared" si="73"/>
        <v>0</v>
      </c>
      <c r="AB37" s="4680">
        <f>SUM('Произв. прогр. Вода'!B56)</f>
        <v>18.392315436443322</v>
      </c>
      <c r="AC37" s="4680">
        <f t="shared" si="74"/>
        <v>5.28</v>
      </c>
      <c r="AD37" s="4680">
        <f t="shared" si="51"/>
        <v>-13.112315436443321</v>
      </c>
      <c r="AE37" s="4689"/>
      <c r="AF37" s="4689"/>
      <c r="AG37" s="4672"/>
      <c r="AH37" s="4672"/>
      <c r="AI37" s="4672"/>
      <c r="AJ37" s="4672"/>
      <c r="AK37" s="4672"/>
    </row>
    <row r="38" spans="1:37" ht="18.75" customHeight="1">
      <c r="A38" s="4698" t="s">
        <v>1556</v>
      </c>
      <c r="B38" s="4678">
        <f>SUM('Произв. прогр. Вода'!H57)</f>
        <v>5.5468887824194146</v>
      </c>
      <c r="C38" s="4679"/>
      <c r="D38" s="4679"/>
      <c r="E38" s="4679"/>
      <c r="F38" s="4678">
        <f t="shared" si="68"/>
        <v>0</v>
      </c>
      <c r="G38" s="4678">
        <f>SUM('Произв. прогр. Вода'!L57)</f>
        <v>5.5468887824194146</v>
      </c>
      <c r="H38" s="4679"/>
      <c r="I38" s="4679"/>
      <c r="J38" s="4679"/>
      <c r="K38" s="4678">
        <f t="shared" si="69"/>
        <v>0</v>
      </c>
      <c r="L38" s="4680">
        <f>SUM('Произв. прогр. Вода'!M57)</f>
        <v>11.093777564838829</v>
      </c>
      <c r="M38" s="4680">
        <f t="shared" si="70"/>
        <v>0</v>
      </c>
      <c r="N38" s="4680">
        <f t="shared" si="43"/>
        <v>-11.093777564838829</v>
      </c>
      <c r="O38" s="4678">
        <f>SUM('Произв. прогр. Вода'!Q57)</f>
        <v>5.5468887824194146</v>
      </c>
      <c r="P38" s="4679"/>
      <c r="Q38" s="4679"/>
      <c r="R38" s="4679"/>
      <c r="S38" s="4678">
        <f t="shared" si="71"/>
        <v>0</v>
      </c>
      <c r="T38" s="4680">
        <f>SUM('Произв. прогр. Вода'!R57)</f>
        <v>16.640666347258243</v>
      </c>
      <c r="U38" s="4680">
        <f t="shared" si="72"/>
        <v>0</v>
      </c>
      <c r="V38" s="4680">
        <f t="shared" si="47"/>
        <v>-16.640666347258243</v>
      </c>
      <c r="W38" s="4678">
        <f>SUM('Произв. прогр. Вода'!V57)</f>
        <v>5.5468887824194146</v>
      </c>
      <c r="X38" s="4679"/>
      <c r="Y38" s="4679"/>
      <c r="Z38" s="4679"/>
      <c r="AA38" s="4678">
        <f t="shared" si="73"/>
        <v>0</v>
      </c>
      <c r="AB38" s="4680">
        <f>SUM('Произв. прогр. Вода'!B57)</f>
        <v>22.187555129677659</v>
      </c>
      <c r="AC38" s="4680">
        <f t="shared" si="74"/>
        <v>0</v>
      </c>
      <c r="AD38" s="4680">
        <f t="shared" si="51"/>
        <v>-22.187555129677659</v>
      </c>
      <c r="AE38" s="4689"/>
      <c r="AF38" s="4689"/>
      <c r="AG38" s="4672"/>
      <c r="AH38" s="4672"/>
      <c r="AI38" s="4672"/>
      <c r="AJ38" s="4672"/>
      <c r="AK38" s="4672"/>
    </row>
    <row r="39" spans="1:37" ht="18.75" customHeight="1">
      <c r="A39" s="4698" t="s">
        <v>605</v>
      </c>
      <c r="B39" s="4678">
        <f>SUM('Произв. прогр. Вода'!H58)</f>
        <v>31.96759587762768</v>
      </c>
      <c r="C39" s="4679"/>
      <c r="D39" s="4679"/>
      <c r="E39" s="4679"/>
      <c r="F39" s="4678">
        <f t="shared" si="68"/>
        <v>0</v>
      </c>
      <c r="G39" s="4678">
        <f>SUM('Произв. прогр. Вода'!L58)</f>
        <v>31.96759587762768</v>
      </c>
      <c r="H39" s="4679"/>
      <c r="I39" s="4679">
        <v>2.2000000000000002</v>
      </c>
      <c r="J39" s="4679">
        <v>0.56999999999999995</v>
      </c>
      <c r="K39" s="4678">
        <f t="shared" si="69"/>
        <v>2.77</v>
      </c>
      <c r="L39" s="4680">
        <f>SUM('Произв. прогр. Вода'!M58)</f>
        <v>63.93519175525536</v>
      </c>
      <c r="M39" s="4680">
        <f t="shared" si="70"/>
        <v>2.77</v>
      </c>
      <c r="N39" s="4680">
        <f t="shared" si="43"/>
        <v>-61.165191755255357</v>
      </c>
      <c r="O39" s="4678">
        <f>SUM('Произв. прогр. Вода'!Q58)</f>
        <v>31.96759587762768</v>
      </c>
      <c r="P39" s="4679"/>
      <c r="Q39" s="4679"/>
      <c r="R39" s="4679"/>
      <c r="S39" s="4678">
        <f t="shared" si="71"/>
        <v>0</v>
      </c>
      <c r="T39" s="4680">
        <f>SUM('Произв. прогр. Вода'!R58)</f>
        <v>95.902787632883047</v>
      </c>
      <c r="U39" s="4680">
        <f t="shared" si="72"/>
        <v>2.77</v>
      </c>
      <c r="V39" s="4680">
        <f t="shared" si="47"/>
        <v>-93.132787632883051</v>
      </c>
      <c r="W39" s="4678">
        <f>SUM('Произв. прогр. Вода'!V58)</f>
        <v>31.96759587762768</v>
      </c>
      <c r="X39" s="4679"/>
      <c r="Y39" s="4679"/>
      <c r="Z39" s="4679"/>
      <c r="AA39" s="4678">
        <f t="shared" si="73"/>
        <v>0</v>
      </c>
      <c r="AB39" s="4680">
        <f>SUM('Произв. прогр. Вода'!B58)</f>
        <v>127.87038351051072</v>
      </c>
      <c r="AC39" s="4680">
        <f t="shared" si="74"/>
        <v>2.77</v>
      </c>
      <c r="AD39" s="4680">
        <f t="shared" si="51"/>
        <v>-125.10038351051072</v>
      </c>
      <c r="AE39" s="4689"/>
      <c r="AF39" s="4689"/>
      <c r="AG39" s="4672"/>
      <c r="AH39" s="4672"/>
      <c r="AI39" s="4672"/>
      <c r="AJ39" s="4672"/>
      <c r="AK39" s="4672"/>
    </row>
    <row r="40" spans="1:37" ht="18.75" customHeight="1">
      <c r="A40" s="4698" t="s">
        <v>98</v>
      </c>
      <c r="B40" s="4678">
        <f>SUM('Произв. прогр. Вода'!H59)</f>
        <v>7.0430890460983342</v>
      </c>
      <c r="C40" s="4679"/>
      <c r="D40" s="4679"/>
      <c r="E40" s="4679">
        <v>7.28</v>
      </c>
      <c r="F40" s="4678">
        <f t="shared" si="68"/>
        <v>7.28</v>
      </c>
      <c r="G40" s="4678">
        <f>SUM('Произв. прогр. Вода'!L59)</f>
        <v>7.0430890460983342</v>
      </c>
      <c r="H40" s="4679"/>
      <c r="I40" s="4679"/>
      <c r="J40" s="4679">
        <v>7.28</v>
      </c>
      <c r="K40" s="4678">
        <f t="shared" si="69"/>
        <v>7.28</v>
      </c>
      <c r="L40" s="4680">
        <f>SUM('Произв. прогр. Вода'!M59)</f>
        <v>14.086178092196668</v>
      </c>
      <c r="M40" s="4680">
        <f t="shared" si="70"/>
        <v>14.56</v>
      </c>
      <c r="N40" s="4680">
        <f t="shared" si="43"/>
        <v>0.47382190780333211</v>
      </c>
      <c r="O40" s="4678">
        <f>SUM('Произв. прогр. Вода'!Q59)</f>
        <v>7.0430890460983342</v>
      </c>
      <c r="P40" s="4679"/>
      <c r="Q40" s="4679"/>
      <c r="R40" s="4679"/>
      <c r="S40" s="4678">
        <f t="shared" si="71"/>
        <v>0</v>
      </c>
      <c r="T40" s="4680">
        <f>SUM('Произв. прогр. Вода'!R59)</f>
        <v>21.129267138295003</v>
      </c>
      <c r="U40" s="4680">
        <f t="shared" si="72"/>
        <v>14.56</v>
      </c>
      <c r="V40" s="4680">
        <f t="shared" si="47"/>
        <v>-6.5692671382950021</v>
      </c>
      <c r="W40" s="4678">
        <f>SUM('Произв. прогр. Вода'!V59)</f>
        <v>7.0430890460983342</v>
      </c>
      <c r="X40" s="4679"/>
      <c r="Y40" s="4679"/>
      <c r="Z40" s="4679"/>
      <c r="AA40" s="4678">
        <f t="shared" si="73"/>
        <v>0</v>
      </c>
      <c r="AB40" s="4680">
        <f>SUM('Произв. прогр. Вода'!B59)</f>
        <v>28.17235618439334</v>
      </c>
      <c r="AC40" s="4680">
        <f t="shared" si="74"/>
        <v>14.56</v>
      </c>
      <c r="AD40" s="4680">
        <f t="shared" si="51"/>
        <v>-13.61235618439334</v>
      </c>
      <c r="AE40" s="4689"/>
      <c r="AF40" s="4689"/>
      <c r="AG40" s="4672"/>
      <c r="AH40" s="4672"/>
      <c r="AI40" s="4672"/>
      <c r="AJ40" s="4672"/>
      <c r="AK40" s="4672"/>
    </row>
    <row r="41" spans="1:37" ht="18.75" customHeight="1">
      <c r="A41" s="4698" t="s">
        <v>38</v>
      </c>
      <c r="B41" s="4678">
        <f>SUM('Произв. прогр. Вода'!H60)</f>
        <v>3.3573274209380668</v>
      </c>
      <c r="C41" s="4679"/>
      <c r="D41" s="4679"/>
      <c r="E41" s="4679"/>
      <c r="F41" s="4678">
        <f t="shared" si="68"/>
        <v>0</v>
      </c>
      <c r="G41" s="4678">
        <f>SUM('Произв. прогр. Вода'!L60)</f>
        <v>3.3573274209380668</v>
      </c>
      <c r="H41" s="4679"/>
      <c r="I41" s="4679"/>
      <c r="J41" s="4679"/>
      <c r="K41" s="4678">
        <f t="shared" si="69"/>
        <v>0</v>
      </c>
      <c r="L41" s="4680">
        <f>SUM('Произв. прогр. Вода'!M60)</f>
        <v>6.7146548418761336</v>
      </c>
      <c r="M41" s="4680">
        <f t="shared" si="70"/>
        <v>0</v>
      </c>
      <c r="N41" s="4680">
        <f t="shared" si="43"/>
        <v>-6.7146548418761336</v>
      </c>
      <c r="O41" s="4678">
        <f>SUM('Произв. прогр. Вода'!Q60)</f>
        <v>3.3573274209380668</v>
      </c>
      <c r="P41" s="4679"/>
      <c r="Q41" s="4679"/>
      <c r="R41" s="4679"/>
      <c r="S41" s="4678">
        <f t="shared" si="71"/>
        <v>0</v>
      </c>
      <c r="T41" s="4680">
        <f>SUM('Произв. прогр. Вода'!R60)</f>
        <v>10.071982262814201</v>
      </c>
      <c r="U41" s="4680">
        <f t="shared" si="72"/>
        <v>0</v>
      </c>
      <c r="V41" s="4680">
        <f t="shared" si="47"/>
        <v>-10.071982262814201</v>
      </c>
      <c r="W41" s="4678">
        <f>SUM('Произв. прогр. Вода'!V60)</f>
        <v>3.3573274209380668</v>
      </c>
      <c r="X41" s="4679"/>
      <c r="Y41" s="4679"/>
      <c r="Z41" s="4679"/>
      <c r="AA41" s="4678">
        <f t="shared" si="73"/>
        <v>0</v>
      </c>
      <c r="AB41" s="4680">
        <f>SUM('Произв. прогр. Вода'!B60)</f>
        <v>13.429309683752267</v>
      </c>
      <c r="AC41" s="4680">
        <f t="shared" si="74"/>
        <v>0</v>
      </c>
      <c r="AD41" s="4680">
        <f t="shared" si="51"/>
        <v>-13.429309683752267</v>
      </c>
      <c r="AE41" s="4689"/>
      <c r="AF41" s="4689"/>
      <c r="AG41" s="4672"/>
      <c r="AH41" s="4672"/>
      <c r="AI41" s="4672"/>
      <c r="AJ41" s="4672"/>
      <c r="AK41" s="4672"/>
    </row>
    <row r="42" spans="1:37" ht="18.75" customHeight="1">
      <c r="A42" s="4698" t="s">
        <v>606</v>
      </c>
      <c r="B42" s="4678">
        <f>SUM('Произв. прогр. Вода'!H61)</f>
        <v>9.6705626798759532</v>
      </c>
      <c r="C42" s="4678">
        <f t="shared" ref="C42" si="75">SUM(C43:C45)</f>
        <v>0</v>
      </c>
      <c r="D42" s="4678">
        <f t="shared" ref="D42:F42" si="76">SUM(D43:D45)</f>
        <v>0</v>
      </c>
      <c r="E42" s="4678">
        <f>SUM(E43:E45)</f>
        <v>0.16</v>
      </c>
      <c r="F42" s="4678">
        <f t="shared" si="76"/>
        <v>0.16</v>
      </c>
      <c r="G42" s="4678">
        <f>SUM('Произв. прогр. Вода'!L61)</f>
        <v>9.6705626798759532</v>
      </c>
      <c r="H42" s="4678">
        <f t="shared" ref="H42:M42" si="77">SUM(H43:H45)</f>
        <v>0</v>
      </c>
      <c r="I42" s="4678">
        <f t="shared" si="77"/>
        <v>0</v>
      </c>
      <c r="J42" s="4678">
        <f t="shared" si="77"/>
        <v>0.16</v>
      </c>
      <c r="K42" s="4678">
        <f t="shared" si="77"/>
        <v>0.16</v>
      </c>
      <c r="L42" s="4680">
        <f>SUM('Произв. прогр. Вода'!M61)</f>
        <v>19.341125359751906</v>
      </c>
      <c r="M42" s="4680">
        <f t="shared" si="77"/>
        <v>0.32</v>
      </c>
      <c r="N42" s="4680">
        <f t="shared" si="43"/>
        <v>-19.021125359751906</v>
      </c>
      <c r="O42" s="4678">
        <f>SUM('Произв. прогр. Вода'!Q61)</f>
        <v>9.6705626798759532</v>
      </c>
      <c r="P42" s="4678">
        <f t="shared" ref="P42:U42" si="78">SUM(P43:P45)</f>
        <v>0</v>
      </c>
      <c r="Q42" s="4678">
        <f t="shared" si="78"/>
        <v>0</v>
      </c>
      <c r="R42" s="4678">
        <f t="shared" si="78"/>
        <v>0</v>
      </c>
      <c r="S42" s="4678">
        <f t="shared" si="78"/>
        <v>0</v>
      </c>
      <c r="T42" s="4680">
        <f>SUM('Произв. прогр. Вода'!R61)</f>
        <v>29.01168803962786</v>
      </c>
      <c r="U42" s="4680">
        <f t="shared" si="78"/>
        <v>0.32</v>
      </c>
      <c r="V42" s="4680">
        <f t="shared" si="47"/>
        <v>-28.691688039627859</v>
      </c>
      <c r="W42" s="4678">
        <f>SUM('Произв. прогр. Вода'!V61)</f>
        <v>9.6705626798759532</v>
      </c>
      <c r="X42" s="4678">
        <f t="shared" ref="X42:AC42" si="79">SUM(X43:X45)</f>
        <v>0</v>
      </c>
      <c r="Y42" s="4678">
        <f t="shared" si="79"/>
        <v>0</v>
      </c>
      <c r="Z42" s="4678">
        <f t="shared" si="79"/>
        <v>0</v>
      </c>
      <c r="AA42" s="4678">
        <f t="shared" si="79"/>
        <v>0</v>
      </c>
      <c r="AB42" s="4680">
        <f>SUM('Произв. прогр. Вода'!B61)</f>
        <v>38.682250719503813</v>
      </c>
      <c r="AC42" s="4680">
        <f t="shared" si="79"/>
        <v>0.32</v>
      </c>
      <c r="AD42" s="4680">
        <f t="shared" si="51"/>
        <v>-38.362250719503812</v>
      </c>
      <c r="AE42" s="4689"/>
      <c r="AF42" s="4689"/>
      <c r="AG42" s="4672"/>
      <c r="AH42" s="4672"/>
      <c r="AI42" s="4672"/>
      <c r="AJ42" s="4672"/>
      <c r="AK42" s="4672"/>
    </row>
    <row r="43" spans="1:37" ht="18.75" customHeight="1">
      <c r="A43" s="4699" t="s">
        <v>564</v>
      </c>
      <c r="B43" s="4684">
        <f>SUM('Произв. прогр. Вода'!H62)</f>
        <v>9.3421284756537517</v>
      </c>
      <c r="C43" s="4685"/>
      <c r="D43" s="4685"/>
      <c r="E43" s="4685">
        <v>0.16</v>
      </c>
      <c r="F43" s="4684">
        <f t="shared" si="68"/>
        <v>0.16</v>
      </c>
      <c r="G43" s="4684">
        <f>SUM('Произв. прогр. Вода'!L62)</f>
        <v>9.3421284756537517</v>
      </c>
      <c r="H43" s="4685"/>
      <c r="I43" s="4685"/>
      <c r="J43" s="4685">
        <v>0.16</v>
      </c>
      <c r="K43" s="4684">
        <f t="shared" si="69"/>
        <v>0.16</v>
      </c>
      <c r="L43" s="4686">
        <f>SUM('Произв. прогр. Вода'!M62)</f>
        <v>18.684256951307503</v>
      </c>
      <c r="M43" s="4686">
        <f t="shared" si="70"/>
        <v>0.32</v>
      </c>
      <c r="N43" s="4686">
        <f t="shared" si="43"/>
        <v>-18.364256951307503</v>
      </c>
      <c r="O43" s="4684">
        <f>SUM('Произв. прогр. Вода'!Q62)</f>
        <v>9.3421284756537517</v>
      </c>
      <c r="P43" s="4685"/>
      <c r="Q43" s="4685"/>
      <c r="R43" s="4685"/>
      <c r="S43" s="4684">
        <f t="shared" si="71"/>
        <v>0</v>
      </c>
      <c r="T43" s="4686">
        <f>SUM('Произв. прогр. Вода'!R62)</f>
        <v>28.026385426961255</v>
      </c>
      <c r="U43" s="4686">
        <f t="shared" si="72"/>
        <v>0.32</v>
      </c>
      <c r="V43" s="4686">
        <f t="shared" si="47"/>
        <v>-27.706385426961255</v>
      </c>
      <c r="W43" s="4684">
        <f>SUM('Произв. прогр. Вода'!V62)</f>
        <v>9.3421284756537517</v>
      </c>
      <c r="X43" s="4685"/>
      <c r="Y43" s="4685"/>
      <c r="Z43" s="4685"/>
      <c r="AA43" s="4684">
        <f t="shared" si="73"/>
        <v>0</v>
      </c>
      <c r="AB43" s="4686">
        <f>SUM('Произв. прогр. Вода'!B62)</f>
        <v>37.368513902615007</v>
      </c>
      <c r="AC43" s="4686">
        <f t="shared" si="74"/>
        <v>0.32</v>
      </c>
      <c r="AD43" s="4686">
        <f t="shared" si="51"/>
        <v>-37.048513902615007</v>
      </c>
      <c r="AE43" s="4689"/>
      <c r="AF43" s="4689"/>
      <c r="AG43" s="4672"/>
      <c r="AH43" s="4672"/>
      <c r="AI43" s="4672"/>
      <c r="AJ43" s="4672"/>
      <c r="AK43" s="4672"/>
    </row>
    <row r="44" spans="1:37" ht="18.75" customHeight="1">
      <c r="A44" s="4699" t="s">
        <v>563</v>
      </c>
      <c r="B44" s="4684">
        <f>SUM('Произв. прогр. Вода'!H63)</f>
        <v>0</v>
      </c>
      <c r="C44" s="4685"/>
      <c r="D44" s="4685"/>
      <c r="E44" s="4685"/>
      <c r="F44" s="4684">
        <f t="shared" si="68"/>
        <v>0</v>
      </c>
      <c r="G44" s="4684">
        <f>SUM('Произв. прогр. Вода'!L63)</f>
        <v>0</v>
      </c>
      <c r="H44" s="4685"/>
      <c r="I44" s="4685"/>
      <c r="J44" s="4685"/>
      <c r="K44" s="4684">
        <f t="shared" si="69"/>
        <v>0</v>
      </c>
      <c r="L44" s="4686">
        <f>SUM('Произв. прогр. Вода'!M63)</f>
        <v>0</v>
      </c>
      <c r="M44" s="4686">
        <f t="shared" si="70"/>
        <v>0</v>
      </c>
      <c r="N44" s="4686">
        <f t="shared" si="43"/>
        <v>0</v>
      </c>
      <c r="O44" s="4684">
        <f>SUM('Произв. прогр. Вода'!Q63)</f>
        <v>0</v>
      </c>
      <c r="P44" s="4685"/>
      <c r="Q44" s="4685"/>
      <c r="R44" s="4685"/>
      <c r="S44" s="4684">
        <f t="shared" si="71"/>
        <v>0</v>
      </c>
      <c r="T44" s="4686">
        <f>SUM('Произв. прогр. Вода'!R63)</f>
        <v>0</v>
      </c>
      <c r="U44" s="4686">
        <f t="shared" si="72"/>
        <v>0</v>
      </c>
      <c r="V44" s="4686">
        <f t="shared" si="47"/>
        <v>0</v>
      </c>
      <c r="W44" s="4684">
        <f>SUM('Произв. прогр. Вода'!V63)</f>
        <v>0</v>
      </c>
      <c r="X44" s="4685"/>
      <c r="Y44" s="4685"/>
      <c r="Z44" s="4685"/>
      <c r="AA44" s="4684">
        <f t="shared" si="73"/>
        <v>0</v>
      </c>
      <c r="AB44" s="4686">
        <f>SUM('Произв. прогр. Вода'!B63)</f>
        <v>0</v>
      </c>
      <c r="AC44" s="4686">
        <f t="shared" si="74"/>
        <v>0</v>
      </c>
      <c r="AD44" s="4686">
        <f t="shared" si="51"/>
        <v>0</v>
      </c>
      <c r="AE44" s="4689"/>
      <c r="AF44" s="4689"/>
      <c r="AG44" s="4672"/>
      <c r="AH44" s="4672"/>
      <c r="AI44" s="4672"/>
      <c r="AJ44" s="4672"/>
      <c r="AK44" s="4672"/>
    </row>
    <row r="45" spans="1:37" ht="18.75" customHeight="1">
      <c r="A45" s="4699" t="s">
        <v>565</v>
      </c>
      <c r="B45" s="4684">
        <f>SUM('Произв. прогр. Вода'!H64)</f>
        <v>0.32843420422220221</v>
      </c>
      <c r="C45" s="4685"/>
      <c r="D45" s="4685"/>
      <c r="E45" s="4685"/>
      <c r="F45" s="4684">
        <f t="shared" si="68"/>
        <v>0</v>
      </c>
      <c r="G45" s="4684">
        <f>SUM('Произв. прогр. Вода'!L64)</f>
        <v>0.32843420422220221</v>
      </c>
      <c r="H45" s="4685"/>
      <c r="I45" s="4685"/>
      <c r="J45" s="4685"/>
      <c r="K45" s="4684">
        <f t="shared" si="69"/>
        <v>0</v>
      </c>
      <c r="L45" s="4686">
        <f>SUM('Произв. прогр. Вода'!M64)</f>
        <v>0.65686840844440442</v>
      </c>
      <c r="M45" s="4686">
        <f t="shared" si="70"/>
        <v>0</v>
      </c>
      <c r="N45" s="4686">
        <f t="shared" si="43"/>
        <v>-0.65686840844440442</v>
      </c>
      <c r="O45" s="4684">
        <f>SUM('Произв. прогр. Вода'!Q64)</f>
        <v>0.32843420422220221</v>
      </c>
      <c r="P45" s="4685"/>
      <c r="Q45" s="4685"/>
      <c r="R45" s="4685"/>
      <c r="S45" s="4684">
        <f t="shared" si="71"/>
        <v>0</v>
      </c>
      <c r="T45" s="4686">
        <f>SUM('Произв. прогр. Вода'!R64)</f>
        <v>0.98530261266660668</v>
      </c>
      <c r="U45" s="4686">
        <f t="shared" si="72"/>
        <v>0</v>
      </c>
      <c r="V45" s="4686">
        <f t="shared" si="47"/>
        <v>-0.98530261266660668</v>
      </c>
      <c r="W45" s="4684">
        <f>SUM('Произв. прогр. Вода'!V64)</f>
        <v>0.32843420422220221</v>
      </c>
      <c r="X45" s="4685"/>
      <c r="Y45" s="4685"/>
      <c r="Z45" s="4685"/>
      <c r="AA45" s="4684">
        <f t="shared" si="73"/>
        <v>0</v>
      </c>
      <c r="AB45" s="4686">
        <f>SUM('Произв. прогр. Вода'!B64)</f>
        <v>1.3137368168888088</v>
      </c>
      <c r="AC45" s="4686">
        <f t="shared" si="74"/>
        <v>0</v>
      </c>
      <c r="AD45" s="4686">
        <f t="shared" si="51"/>
        <v>-1.3137368168888088</v>
      </c>
      <c r="AE45" s="4689"/>
      <c r="AF45" s="4689"/>
      <c r="AG45" s="4672"/>
      <c r="AH45" s="4672"/>
      <c r="AI45" s="4672"/>
      <c r="AJ45" s="4672"/>
      <c r="AK45" s="4672"/>
    </row>
    <row r="46" spans="1:37" ht="18.75" customHeight="1">
      <c r="A46" s="4698" t="s">
        <v>609</v>
      </c>
      <c r="B46" s="4678">
        <f>SUM('Произв. прогр. Вода'!H65)</f>
        <v>27.080217574362187</v>
      </c>
      <c r="C46" s="4678">
        <f t="shared" ref="C46:F46" si="80">SUM(C47:C48)</f>
        <v>0</v>
      </c>
      <c r="D46" s="4678">
        <f t="shared" si="80"/>
        <v>0</v>
      </c>
      <c r="E46" s="4678">
        <f t="shared" si="80"/>
        <v>0</v>
      </c>
      <c r="F46" s="4678">
        <f t="shared" si="80"/>
        <v>0</v>
      </c>
      <c r="G46" s="4678">
        <f>SUM('Произв. прогр. Вода'!L65)</f>
        <v>29.185626794183939</v>
      </c>
      <c r="H46" s="4678">
        <f t="shared" ref="H46:M46" si="81">SUM(H47:H48)</f>
        <v>0</v>
      </c>
      <c r="I46" s="4678">
        <f t="shared" si="81"/>
        <v>0</v>
      </c>
      <c r="J46" s="4678">
        <f t="shared" si="81"/>
        <v>0.67</v>
      </c>
      <c r="K46" s="4678">
        <f t="shared" si="81"/>
        <v>0.67</v>
      </c>
      <c r="L46" s="4680">
        <f>SUM('Произв. прогр. Вода'!M65)</f>
        <v>56.265844368546126</v>
      </c>
      <c r="M46" s="4680">
        <f t="shared" si="81"/>
        <v>0.67</v>
      </c>
      <c r="N46" s="4680">
        <f t="shared" si="43"/>
        <v>-55.595844368546125</v>
      </c>
      <c r="O46" s="4678">
        <f>SUM('Произв. прогр. Вода'!Q65)</f>
        <v>30.657099611553864</v>
      </c>
      <c r="P46" s="4678">
        <f t="shared" ref="P46:U46" si="82">SUM(P47:P48)</f>
        <v>0</v>
      </c>
      <c r="Q46" s="4678">
        <f t="shared" si="82"/>
        <v>0</v>
      </c>
      <c r="R46" s="4678">
        <f t="shared" si="82"/>
        <v>0</v>
      </c>
      <c r="S46" s="4678">
        <f t="shared" si="82"/>
        <v>0</v>
      </c>
      <c r="T46" s="4680">
        <f>SUM('Произв. прогр. Вода'!R65)</f>
        <v>86.922943980099987</v>
      </c>
      <c r="U46" s="4680">
        <f t="shared" si="82"/>
        <v>0.67</v>
      </c>
      <c r="V46" s="4680">
        <f t="shared" si="47"/>
        <v>-86.252943980099985</v>
      </c>
      <c r="W46" s="4678">
        <f>SUM('Произв. прогр. Вода'!V65)</f>
        <v>27.080217574362187</v>
      </c>
      <c r="X46" s="4678">
        <f t="shared" ref="X46:AC46" si="83">SUM(X47:X48)</f>
        <v>0</v>
      </c>
      <c r="Y46" s="4678">
        <f t="shared" si="83"/>
        <v>0</v>
      </c>
      <c r="Z46" s="4678">
        <f t="shared" si="83"/>
        <v>0</v>
      </c>
      <c r="AA46" s="4678">
        <f t="shared" si="83"/>
        <v>0</v>
      </c>
      <c r="AB46" s="4680">
        <f>SUM('Произв. прогр. Вода'!B65)</f>
        <v>114.00316155446218</v>
      </c>
      <c r="AC46" s="4680">
        <f t="shared" si="83"/>
        <v>0.67</v>
      </c>
      <c r="AD46" s="4680">
        <f t="shared" si="51"/>
        <v>-113.33316155446218</v>
      </c>
      <c r="AE46" s="4689"/>
      <c r="AF46" s="4689"/>
      <c r="AG46" s="4672"/>
      <c r="AH46" s="4672"/>
      <c r="AI46" s="4672"/>
      <c r="AJ46" s="4672"/>
      <c r="AK46" s="4672"/>
    </row>
    <row r="47" spans="1:37" ht="18.75" customHeight="1">
      <c r="A47" s="4699" t="s">
        <v>551</v>
      </c>
      <c r="B47" s="4684">
        <f>SUM('Произв. прогр. Вода'!H66)</f>
        <v>10.147609712239767</v>
      </c>
      <c r="C47" s="4685"/>
      <c r="D47" s="4685"/>
      <c r="E47" s="4685"/>
      <c r="F47" s="4684">
        <f t="shared" si="68"/>
        <v>0</v>
      </c>
      <c r="G47" s="4684">
        <f>SUM('Произв. прогр. Вода'!L66)</f>
        <v>12.253018932061515</v>
      </c>
      <c r="H47" s="4685"/>
      <c r="I47" s="4685"/>
      <c r="J47" s="4685"/>
      <c r="K47" s="4684">
        <f t="shared" si="69"/>
        <v>0</v>
      </c>
      <c r="L47" s="4686">
        <f>SUM('Произв. прогр. Вода'!M66)</f>
        <v>22.400628644301282</v>
      </c>
      <c r="M47" s="4686">
        <f t="shared" si="70"/>
        <v>0</v>
      </c>
      <c r="N47" s="4686">
        <f t="shared" si="43"/>
        <v>-22.400628644301282</v>
      </c>
      <c r="O47" s="4684">
        <f>SUM('Произв. прогр. Вода'!Q66)</f>
        <v>13.72449174943144</v>
      </c>
      <c r="P47" s="4685"/>
      <c r="Q47" s="4685"/>
      <c r="R47" s="4685"/>
      <c r="S47" s="4684">
        <f t="shared" si="71"/>
        <v>0</v>
      </c>
      <c r="T47" s="4686">
        <f>SUM('Произв. прогр. Вода'!R66)</f>
        <v>36.125120393732722</v>
      </c>
      <c r="U47" s="4686">
        <f t="shared" si="72"/>
        <v>0</v>
      </c>
      <c r="V47" s="4686">
        <f t="shared" si="47"/>
        <v>-36.125120393732722</v>
      </c>
      <c r="W47" s="4684">
        <f>SUM('Произв. прогр. Вода'!V66)</f>
        <v>10.147609712239767</v>
      </c>
      <c r="X47" s="4685"/>
      <c r="Y47" s="4685"/>
      <c r="Z47" s="4685"/>
      <c r="AA47" s="4684">
        <f t="shared" si="73"/>
        <v>0</v>
      </c>
      <c r="AB47" s="4686">
        <f>SUM('Произв. прогр. Вода'!B66)</f>
        <v>46.272730105972485</v>
      </c>
      <c r="AC47" s="4686">
        <f t="shared" si="74"/>
        <v>0</v>
      </c>
      <c r="AD47" s="4686">
        <f t="shared" si="51"/>
        <v>-46.272730105972485</v>
      </c>
      <c r="AE47" s="4689"/>
      <c r="AF47" s="4689"/>
      <c r="AG47" s="4672"/>
      <c r="AH47" s="4672"/>
      <c r="AI47" s="4672"/>
      <c r="AJ47" s="4672"/>
      <c r="AK47" s="4672"/>
    </row>
    <row r="48" spans="1:37" ht="18.75" customHeight="1">
      <c r="A48" s="4699" t="s">
        <v>643</v>
      </c>
      <c r="B48" s="4684">
        <f>SUM('Произв. прогр. Вода'!H67)</f>
        <v>16.932607862122424</v>
      </c>
      <c r="C48" s="4685"/>
      <c r="D48" s="4685"/>
      <c r="E48" s="4685"/>
      <c r="F48" s="4684">
        <f t="shared" si="68"/>
        <v>0</v>
      </c>
      <c r="G48" s="4684">
        <f>SUM('Произв. прогр. Вода'!L67)</f>
        <v>16.932607862122424</v>
      </c>
      <c r="H48" s="4685"/>
      <c r="I48" s="4685"/>
      <c r="J48" s="4685">
        <v>0.67</v>
      </c>
      <c r="K48" s="4684">
        <f t="shared" si="69"/>
        <v>0.67</v>
      </c>
      <c r="L48" s="4686">
        <f>SUM('Произв. прогр. Вода'!M67)</f>
        <v>33.865215724244848</v>
      </c>
      <c r="M48" s="4686">
        <f t="shared" si="70"/>
        <v>0.67</v>
      </c>
      <c r="N48" s="4686">
        <f t="shared" si="43"/>
        <v>-33.195215724244846</v>
      </c>
      <c r="O48" s="4684">
        <f>SUM('Произв. прогр. Вода'!Q67)</f>
        <v>16.932607862122424</v>
      </c>
      <c r="P48" s="4685"/>
      <c r="Q48" s="4685"/>
      <c r="R48" s="4685"/>
      <c r="S48" s="4684">
        <f t="shared" si="71"/>
        <v>0</v>
      </c>
      <c r="T48" s="4686">
        <f>SUM('Произв. прогр. Вода'!R67)</f>
        <v>50.797823586367272</v>
      </c>
      <c r="U48" s="4686">
        <f t="shared" si="72"/>
        <v>0.67</v>
      </c>
      <c r="V48" s="4686">
        <f t="shared" si="47"/>
        <v>-50.127823586367271</v>
      </c>
      <c r="W48" s="4684">
        <f>SUM('Произв. прогр. Вода'!V67)</f>
        <v>16.932607862122424</v>
      </c>
      <c r="X48" s="4685"/>
      <c r="Y48" s="4685"/>
      <c r="Z48" s="4685"/>
      <c r="AA48" s="4684">
        <f t="shared" si="73"/>
        <v>0</v>
      </c>
      <c r="AB48" s="4686">
        <f>SUM('Произв. прогр. Вода'!B67)</f>
        <v>67.730431448489696</v>
      </c>
      <c r="AC48" s="4686">
        <f t="shared" si="74"/>
        <v>0.67</v>
      </c>
      <c r="AD48" s="4686">
        <f t="shared" si="51"/>
        <v>-67.060431448489695</v>
      </c>
      <c r="AE48" s="4689"/>
      <c r="AF48" s="4689"/>
      <c r="AG48" s="4672"/>
      <c r="AH48" s="4672"/>
      <c r="AI48" s="4672"/>
      <c r="AJ48" s="4672"/>
      <c r="AK48" s="4672"/>
    </row>
    <row r="49" spans="1:37" ht="18.75" customHeight="1">
      <c r="A49" s="4696" t="s">
        <v>7</v>
      </c>
      <c r="B49" s="4674">
        <f>SUM('Произв. прогр. Вода'!H68)</f>
        <v>15508.027725425582</v>
      </c>
      <c r="C49" s="4674">
        <f t="shared" ref="C49" si="84">SUM(C50:C56)+C58</f>
        <v>5501.77</v>
      </c>
      <c r="D49" s="4674">
        <f t="shared" ref="D49:F49" si="85">SUM(D50:D56)+D58</f>
        <v>4718.41</v>
      </c>
      <c r="E49" s="4674">
        <f>SUM(E50:E56)+E58</f>
        <v>6155.68</v>
      </c>
      <c r="F49" s="4674">
        <f t="shared" si="85"/>
        <v>16375.859999999999</v>
      </c>
      <c r="G49" s="4674">
        <f>SUM('Произв. прогр. Вода'!L68)</f>
        <v>13869.223082155455</v>
      </c>
      <c r="H49" s="4674">
        <f>SUM(H50:H56)+H58</f>
        <v>5942.6200000000008</v>
      </c>
      <c r="I49" s="4674">
        <f t="shared" ref="I49:M49" si="86">SUM(I50:I56)+I58</f>
        <v>5209.49</v>
      </c>
      <c r="J49" s="4674">
        <f t="shared" si="86"/>
        <v>5294.81</v>
      </c>
      <c r="K49" s="4674">
        <f t="shared" si="86"/>
        <v>16446.919999999998</v>
      </c>
      <c r="L49" s="4676">
        <f>SUM('Произв. прогр. Вода'!M68)</f>
        <v>29377.250807581036</v>
      </c>
      <c r="M49" s="4676">
        <f t="shared" si="86"/>
        <v>32822.78</v>
      </c>
      <c r="N49" s="4676">
        <f t="shared" si="43"/>
        <v>3445.5291924189623</v>
      </c>
      <c r="O49" s="4674">
        <f>SUM('Произв. прогр. Вода'!Q68)</f>
        <v>13950.194479715326</v>
      </c>
      <c r="P49" s="4674">
        <f t="shared" ref="P49:U49" si="87">SUM(P50:P56)+P58</f>
        <v>0</v>
      </c>
      <c r="Q49" s="4674">
        <f t="shared" si="87"/>
        <v>0</v>
      </c>
      <c r="R49" s="4674">
        <f t="shared" si="87"/>
        <v>0</v>
      </c>
      <c r="S49" s="4674">
        <f t="shared" si="87"/>
        <v>0</v>
      </c>
      <c r="T49" s="4676">
        <f>SUM('Произв. прогр. Вода'!R68)</f>
        <v>43327.445287296359</v>
      </c>
      <c r="U49" s="4676">
        <f t="shared" si="87"/>
        <v>32822.78</v>
      </c>
      <c r="V49" s="4676">
        <f t="shared" si="47"/>
        <v>-10504.66528729636</v>
      </c>
      <c r="W49" s="4674">
        <f>SUM('Произв. прогр. Вода'!V68)</f>
        <v>15713.261517597764</v>
      </c>
      <c r="X49" s="4674">
        <f t="shared" ref="X49:AC49" si="88">SUM(X50:X56)+X58</f>
        <v>0</v>
      </c>
      <c r="Y49" s="4674">
        <f t="shared" si="88"/>
        <v>0</v>
      </c>
      <c r="Z49" s="4674">
        <f t="shared" si="88"/>
        <v>0</v>
      </c>
      <c r="AA49" s="4674">
        <f t="shared" si="88"/>
        <v>0</v>
      </c>
      <c r="AB49" s="4676">
        <f>SUM('Произв. прогр. Вода'!B68)</f>
        <v>59040.706804894122</v>
      </c>
      <c r="AC49" s="4676">
        <f t="shared" si="88"/>
        <v>32822.78</v>
      </c>
      <c r="AD49" s="4676">
        <f t="shared" si="51"/>
        <v>-26217.926804894123</v>
      </c>
      <c r="AE49" s="4689"/>
      <c r="AF49" s="4689"/>
      <c r="AG49" s="4672"/>
      <c r="AH49" s="4672"/>
      <c r="AI49" s="4672"/>
      <c r="AJ49" s="4672"/>
      <c r="AK49" s="4672"/>
    </row>
    <row r="50" spans="1:37" ht="18.75" customHeight="1">
      <c r="A50" s="4691" t="s">
        <v>1</v>
      </c>
      <c r="B50" s="4678">
        <f>SUM('Произв. прогр. Вода'!H69)</f>
        <v>1247.8482744792643</v>
      </c>
      <c r="C50" s="4679">
        <v>675.74</v>
      </c>
      <c r="D50" s="4679">
        <v>689.86</v>
      </c>
      <c r="E50" s="4679">
        <v>716.66</v>
      </c>
      <c r="F50" s="4678">
        <f t="shared" si="68"/>
        <v>2082.2599999999998</v>
      </c>
      <c r="G50" s="4678">
        <f>SUM('Произв. прогр. Вода'!L69)</f>
        <v>1184.6456417539966</v>
      </c>
      <c r="H50" s="4679">
        <v>729.39</v>
      </c>
      <c r="I50" s="4679">
        <f>-0.01+878.33</f>
        <v>878.32</v>
      </c>
      <c r="J50" s="4679">
        <v>756.76</v>
      </c>
      <c r="K50" s="4678">
        <f t="shared" si="69"/>
        <v>2364.4700000000003</v>
      </c>
      <c r="L50" s="4680">
        <f>SUM('Произв. прогр. Вода'!M69)</f>
        <v>2432.4939162332612</v>
      </c>
      <c r="M50" s="4680">
        <f t="shared" si="70"/>
        <v>4446.7299999999996</v>
      </c>
      <c r="N50" s="4680">
        <f t="shared" si="43"/>
        <v>2014.2360837667384</v>
      </c>
      <c r="O50" s="4678">
        <f>SUM('Произв. прогр. Вода'!Q69)</f>
        <v>1267.5708366767765</v>
      </c>
      <c r="P50" s="4679"/>
      <c r="Q50" s="4679"/>
      <c r="R50" s="4679"/>
      <c r="S50" s="4678">
        <f t="shared" si="71"/>
        <v>0</v>
      </c>
      <c r="T50" s="4680">
        <f>SUM('Произв. прогр. Вода'!R69)</f>
        <v>3700.0647529100379</v>
      </c>
      <c r="U50" s="4680">
        <f t="shared" si="72"/>
        <v>4446.7299999999996</v>
      </c>
      <c r="V50" s="4680">
        <f t="shared" si="47"/>
        <v>746.66524708996167</v>
      </c>
      <c r="W50" s="4678">
        <f>SUM('Произв. прогр. Вода'!V69)</f>
        <v>1335.197653692813</v>
      </c>
      <c r="X50" s="4679"/>
      <c r="Y50" s="4679"/>
      <c r="Z50" s="4679"/>
      <c r="AA50" s="4678">
        <f t="shared" si="73"/>
        <v>0</v>
      </c>
      <c r="AB50" s="4680">
        <f>SUM('Произв. прогр. Вода'!B69)</f>
        <v>5035.2624066028493</v>
      </c>
      <c r="AC50" s="4680">
        <f t="shared" si="74"/>
        <v>4446.7299999999996</v>
      </c>
      <c r="AD50" s="4680">
        <f t="shared" si="51"/>
        <v>-588.53240660284973</v>
      </c>
      <c r="AE50" s="4689"/>
      <c r="AF50" s="4689"/>
      <c r="AG50" s="4672"/>
      <c r="AH50" s="4672"/>
      <c r="AI50" s="4672"/>
      <c r="AJ50" s="4672"/>
      <c r="AK50" s="4672"/>
    </row>
    <row r="51" spans="1:37" ht="18.75" customHeight="1">
      <c r="A51" s="4691" t="s">
        <v>8</v>
      </c>
      <c r="B51" s="4678">
        <f>SUM('Произв. прогр. Вода'!H70)</f>
        <v>1906.4536600680776</v>
      </c>
      <c r="C51" s="4679">
        <v>687.34</v>
      </c>
      <c r="D51" s="4679">
        <v>274.33</v>
      </c>
      <c r="E51" s="4679">
        <v>1799.45</v>
      </c>
      <c r="F51" s="4678">
        <f t="shared" si="68"/>
        <v>2761.12</v>
      </c>
      <c r="G51" s="4678">
        <f>SUM('Произв. прогр. Вода'!L70)</f>
        <v>1906.4536600680776</v>
      </c>
      <c r="H51" s="4679">
        <v>1406.47</v>
      </c>
      <c r="I51" s="4679">
        <v>812.58</v>
      </c>
      <c r="J51" s="4679">
        <v>758.6</v>
      </c>
      <c r="K51" s="4678">
        <f t="shared" si="69"/>
        <v>2977.65</v>
      </c>
      <c r="L51" s="4680">
        <f>SUM('Произв. прогр. Вода'!M70)</f>
        <v>3812.9073201361552</v>
      </c>
      <c r="M51" s="4680">
        <f t="shared" si="70"/>
        <v>5738.77</v>
      </c>
      <c r="N51" s="4680">
        <f t="shared" si="43"/>
        <v>1925.8626798638452</v>
      </c>
      <c r="O51" s="4678">
        <f>SUM('Произв. прогр. Вода'!Q70)</f>
        <v>1906.4536600680776</v>
      </c>
      <c r="P51" s="4679"/>
      <c r="Q51" s="4679"/>
      <c r="R51" s="4679"/>
      <c r="S51" s="4678">
        <f t="shared" si="71"/>
        <v>0</v>
      </c>
      <c r="T51" s="4680">
        <f>SUM('Произв. прогр. Вода'!R70)</f>
        <v>5719.3609802042329</v>
      </c>
      <c r="U51" s="4680">
        <f t="shared" si="72"/>
        <v>5738.77</v>
      </c>
      <c r="V51" s="4680">
        <f t="shared" si="47"/>
        <v>19.409019795767563</v>
      </c>
      <c r="W51" s="4678">
        <f>SUM('Произв. прогр. Вода'!V70)</f>
        <v>1906.4536600680776</v>
      </c>
      <c r="X51" s="4679"/>
      <c r="Y51" s="4679"/>
      <c r="Z51" s="4679"/>
      <c r="AA51" s="4678">
        <f t="shared" si="73"/>
        <v>0</v>
      </c>
      <c r="AB51" s="4680">
        <f>SUM('Произв. прогр. Вода'!B70)</f>
        <v>7625.8146402723114</v>
      </c>
      <c r="AC51" s="4680">
        <f t="shared" si="74"/>
        <v>5738.77</v>
      </c>
      <c r="AD51" s="4680">
        <f t="shared" si="51"/>
        <v>-1887.044640272311</v>
      </c>
      <c r="AE51" s="4689"/>
      <c r="AF51" s="4689"/>
      <c r="AG51" s="4672"/>
      <c r="AH51" s="4672"/>
      <c r="AI51" s="4672"/>
      <c r="AJ51" s="4672"/>
      <c r="AK51" s="4672"/>
    </row>
    <row r="52" spans="1:37" ht="18.75" customHeight="1">
      <c r="A52" s="4691" t="s">
        <v>2</v>
      </c>
      <c r="B52" s="4678">
        <f>SUM('Произв. прогр. Вода'!H71)</f>
        <v>336.04750000000001</v>
      </c>
      <c r="C52" s="4679">
        <v>146.72999999999999</v>
      </c>
      <c r="D52" s="4679">
        <f>144.78</f>
        <v>144.78</v>
      </c>
      <c r="E52" s="4679">
        <v>144.78</v>
      </c>
      <c r="F52" s="4678">
        <f t="shared" si="68"/>
        <v>436.28999999999996</v>
      </c>
      <c r="G52" s="4678">
        <f>SUM('Произв. прогр. Вода'!L71)</f>
        <v>336.04750000000001</v>
      </c>
      <c r="H52" s="4679">
        <v>199.73</v>
      </c>
      <c r="I52" s="4679">
        <v>199.72</v>
      </c>
      <c r="J52" s="4679">
        <v>202.89</v>
      </c>
      <c r="K52" s="4678">
        <f t="shared" si="69"/>
        <v>602.33999999999992</v>
      </c>
      <c r="L52" s="4680">
        <f>SUM('Произв. прогр. Вода'!M71)</f>
        <v>672.09500000000003</v>
      </c>
      <c r="M52" s="4680">
        <f t="shared" si="70"/>
        <v>1038.6299999999999</v>
      </c>
      <c r="N52" s="4680">
        <f t="shared" si="43"/>
        <v>366.53499999999985</v>
      </c>
      <c r="O52" s="4678">
        <f>SUM('Произв. прогр. Вода'!Q71)</f>
        <v>336.04750000000001</v>
      </c>
      <c r="P52" s="4679"/>
      <c r="Q52" s="4679"/>
      <c r="R52" s="4679"/>
      <c r="S52" s="4678">
        <f t="shared" si="71"/>
        <v>0</v>
      </c>
      <c r="T52" s="4680">
        <f>SUM('Произв. прогр. Вода'!R71)</f>
        <v>1008.1425</v>
      </c>
      <c r="U52" s="4680">
        <f t="shared" si="72"/>
        <v>1038.6299999999999</v>
      </c>
      <c r="V52" s="4680">
        <f t="shared" si="47"/>
        <v>30.487499999999841</v>
      </c>
      <c r="W52" s="4678">
        <f>SUM('Произв. прогр. Вода'!V71)</f>
        <v>336.04750000000001</v>
      </c>
      <c r="X52" s="4679"/>
      <c r="Y52" s="4679"/>
      <c r="Z52" s="4679"/>
      <c r="AA52" s="4678">
        <f t="shared" si="73"/>
        <v>0</v>
      </c>
      <c r="AB52" s="4680">
        <f>SUM('Произв. прогр. Вода'!B71)</f>
        <v>1344.19</v>
      </c>
      <c r="AC52" s="4680">
        <f t="shared" si="74"/>
        <v>1038.6299999999999</v>
      </c>
      <c r="AD52" s="4680">
        <f t="shared" si="51"/>
        <v>-305.56000000000017</v>
      </c>
      <c r="AE52" s="4689"/>
      <c r="AF52" s="4689"/>
      <c r="AG52" s="4672"/>
      <c r="AH52" s="4672"/>
      <c r="AI52" s="4672"/>
      <c r="AJ52" s="4672"/>
      <c r="AK52" s="4672"/>
    </row>
    <row r="53" spans="1:37" ht="18.75" customHeight="1">
      <c r="A53" s="4753" t="s">
        <v>2046</v>
      </c>
      <c r="B53" s="4678">
        <f>SUM('Произв. прогр. Вода'!H72)</f>
        <v>0</v>
      </c>
      <c r="C53" s="4679"/>
      <c r="D53" s="4679"/>
      <c r="E53" s="4679"/>
      <c r="F53" s="4678">
        <f t="shared" si="68"/>
        <v>0</v>
      </c>
      <c r="G53" s="4678">
        <f>SUM('Произв. прогр. Вода'!L72)</f>
        <v>0</v>
      </c>
      <c r="H53" s="4679"/>
      <c r="I53" s="4679"/>
      <c r="J53" s="4679"/>
      <c r="K53" s="4678">
        <f t="shared" si="69"/>
        <v>0</v>
      </c>
      <c r="L53" s="4680">
        <f>SUM('Произв. прогр. Вода'!M72)</f>
        <v>0</v>
      </c>
      <c r="M53" s="4680">
        <f t="shared" si="70"/>
        <v>0</v>
      </c>
      <c r="N53" s="4680">
        <f t="shared" si="43"/>
        <v>0</v>
      </c>
      <c r="O53" s="4678">
        <f>SUM('Произв. прогр. Вода'!Q72)</f>
        <v>0</v>
      </c>
      <c r="P53" s="4679"/>
      <c r="Q53" s="4679"/>
      <c r="R53" s="4679"/>
      <c r="S53" s="4678">
        <f t="shared" si="71"/>
        <v>0</v>
      </c>
      <c r="T53" s="4680">
        <f>SUM('Произв. прогр. Вода'!R72)</f>
        <v>0</v>
      </c>
      <c r="U53" s="4680">
        <f t="shared" si="72"/>
        <v>0</v>
      </c>
      <c r="V53" s="4680">
        <f t="shared" si="47"/>
        <v>0</v>
      </c>
      <c r="W53" s="4678">
        <f>SUM('Произв. прогр. Вода'!V72)</f>
        <v>0</v>
      </c>
      <c r="X53" s="4679"/>
      <c r="Y53" s="4679"/>
      <c r="Z53" s="4679"/>
      <c r="AA53" s="4678">
        <f t="shared" si="73"/>
        <v>0</v>
      </c>
      <c r="AB53" s="4680">
        <f>SUM('Произв. прогр. Вода'!B72)</f>
        <v>0</v>
      </c>
      <c r="AC53" s="4680">
        <f t="shared" si="74"/>
        <v>0</v>
      </c>
      <c r="AD53" s="4680">
        <f t="shared" si="51"/>
        <v>0</v>
      </c>
      <c r="AE53" s="4689"/>
      <c r="AF53" s="4689"/>
      <c r="AG53" s="4672"/>
      <c r="AH53" s="4672"/>
      <c r="AI53" s="4672"/>
      <c r="AJ53" s="4672"/>
      <c r="AK53" s="4672"/>
    </row>
    <row r="54" spans="1:37" ht="18.75" customHeight="1">
      <c r="A54" s="4691" t="s">
        <v>3</v>
      </c>
      <c r="B54" s="4678">
        <f>SUM('Произв. прогр. Вода'!H73)</f>
        <v>0</v>
      </c>
      <c r="C54" s="4679">
        <f>257.03+61.44</f>
        <v>318.46999999999997</v>
      </c>
      <c r="D54" s="4679">
        <v>281.83</v>
      </c>
      <c r="E54" s="4679">
        <v>89.38</v>
      </c>
      <c r="F54" s="4678">
        <f t="shared" si="68"/>
        <v>689.68</v>
      </c>
      <c r="G54" s="4678">
        <f>SUM('Произв. прогр. Вода'!L73)</f>
        <v>0</v>
      </c>
      <c r="H54" s="4679">
        <v>137.03</v>
      </c>
      <c r="I54" s="4679">
        <f>-0.01+6+0.5+19.97+0.65</f>
        <v>27.11</v>
      </c>
      <c r="J54" s="4679">
        <v>98.44</v>
      </c>
      <c r="K54" s="4678">
        <f t="shared" si="69"/>
        <v>262.58</v>
      </c>
      <c r="L54" s="4680">
        <f>SUM('Произв. прогр. Вода'!M73)</f>
        <v>0</v>
      </c>
      <c r="M54" s="4680">
        <f t="shared" si="70"/>
        <v>952.26</v>
      </c>
      <c r="N54" s="4680">
        <f t="shared" si="43"/>
        <v>952.26</v>
      </c>
      <c r="O54" s="4678">
        <f>SUM('Произв. прогр. Вода'!Q73)</f>
        <v>0</v>
      </c>
      <c r="P54" s="4679"/>
      <c r="Q54" s="4679"/>
      <c r="R54" s="4679"/>
      <c r="S54" s="4678">
        <f t="shared" si="71"/>
        <v>0</v>
      </c>
      <c r="T54" s="4680">
        <f>SUM('Произв. прогр. Вода'!R73)</f>
        <v>0</v>
      </c>
      <c r="U54" s="4680">
        <f t="shared" si="72"/>
        <v>952.26</v>
      </c>
      <c r="V54" s="4680">
        <f t="shared" si="47"/>
        <v>952.26</v>
      </c>
      <c r="W54" s="4678">
        <f>SUM('Произв. прогр. Вода'!V73)</f>
        <v>0</v>
      </c>
      <c r="X54" s="4679"/>
      <c r="Y54" s="4679"/>
      <c r="Z54" s="4679"/>
      <c r="AA54" s="4678">
        <f t="shared" si="73"/>
        <v>0</v>
      </c>
      <c r="AB54" s="4680">
        <f>SUM('Произв. прогр. Вода'!B73)</f>
        <v>0</v>
      </c>
      <c r="AC54" s="4680">
        <f t="shared" si="74"/>
        <v>952.26</v>
      </c>
      <c r="AD54" s="4680">
        <f t="shared" si="51"/>
        <v>952.26</v>
      </c>
      <c r="AE54" s="4689"/>
      <c r="AF54" s="4689"/>
      <c r="AG54" s="4672"/>
      <c r="AH54" s="4672"/>
      <c r="AI54" s="4672"/>
      <c r="AJ54" s="4672"/>
      <c r="AK54" s="4672"/>
    </row>
    <row r="55" spans="1:37" ht="18.75" customHeight="1">
      <c r="A55" s="4691" t="s">
        <v>4</v>
      </c>
      <c r="B55" s="4678">
        <f>SUM('Произв. прогр. Вода'!H74)</f>
        <v>6017.5212350754864</v>
      </c>
      <c r="C55" s="4679">
        <v>1648.2</v>
      </c>
      <c r="D55" s="4679">
        <f>74.1+867.36+285.5+193.2</f>
        <v>1420.16</v>
      </c>
      <c r="E55" s="4679">
        <v>1372.64</v>
      </c>
      <c r="F55" s="4678">
        <f t="shared" si="68"/>
        <v>4441</v>
      </c>
      <c r="G55" s="4678">
        <f>SUM('Произв. прогр. Вода'!L74)</f>
        <v>6017.5212350754864</v>
      </c>
      <c r="H55" s="4679">
        <v>1627.97</v>
      </c>
      <c r="I55" s="4679">
        <f>108.26+1728.34+14.01</f>
        <v>1850.61</v>
      </c>
      <c r="J55" s="4679">
        <v>1917.47</v>
      </c>
      <c r="K55" s="4678">
        <f t="shared" si="69"/>
        <v>5396.05</v>
      </c>
      <c r="L55" s="4680">
        <f>SUM('Произв. прогр. Вода'!M74)</f>
        <v>12035.042470150973</v>
      </c>
      <c r="M55" s="4680">
        <f t="shared" si="70"/>
        <v>9837.0499999999993</v>
      </c>
      <c r="N55" s="4680">
        <f t="shared" si="43"/>
        <v>-2197.9924701509735</v>
      </c>
      <c r="O55" s="4678">
        <f>SUM('Произв. прогр. Вода'!Q74)</f>
        <v>6258.2220844785061</v>
      </c>
      <c r="P55" s="4679"/>
      <c r="Q55" s="4679"/>
      <c r="R55" s="4679"/>
      <c r="S55" s="4678">
        <f t="shared" si="71"/>
        <v>0</v>
      </c>
      <c r="T55" s="4680">
        <f>SUM('Произв. прогр. Вода'!R74)</f>
        <v>18293.264554629481</v>
      </c>
      <c r="U55" s="4680">
        <f t="shared" si="72"/>
        <v>9837.0499999999993</v>
      </c>
      <c r="V55" s="4680">
        <f t="shared" si="47"/>
        <v>-8456.2145546294814</v>
      </c>
      <c r="W55" s="4678">
        <f>SUM('Произв. прогр. Вода'!V74)</f>
        <v>6258.2220844785061</v>
      </c>
      <c r="X55" s="4679"/>
      <c r="Y55" s="4679"/>
      <c r="Z55" s="4679"/>
      <c r="AA55" s="4678">
        <f t="shared" si="73"/>
        <v>0</v>
      </c>
      <c r="AB55" s="4680">
        <f>SUM('Произв. прогр. Вода'!B74)</f>
        <v>24551.486639107985</v>
      </c>
      <c r="AC55" s="4680">
        <f t="shared" si="74"/>
        <v>9837.0499999999993</v>
      </c>
      <c r="AD55" s="4680">
        <f t="shared" si="51"/>
        <v>-14714.436639107986</v>
      </c>
      <c r="AE55" s="4689"/>
      <c r="AF55" s="4689"/>
      <c r="AG55" s="4672"/>
      <c r="AH55" s="4672"/>
      <c r="AI55" s="4672"/>
      <c r="AJ55" s="4672"/>
      <c r="AK55" s="4672"/>
    </row>
    <row r="56" spans="1:37" ht="18.75" customHeight="1">
      <c r="A56" s="4691" t="s">
        <v>5</v>
      </c>
      <c r="B56" s="4678">
        <f>SUM('Произв. прогр. Вода'!H75)</f>
        <v>1794.4248322995102</v>
      </c>
      <c r="C56" s="4679">
        <v>510.69</v>
      </c>
      <c r="D56" s="4679">
        <f>22.38+257.12+85.4+58.35</f>
        <v>423.25</v>
      </c>
      <c r="E56" s="4679">
        <v>448.08</v>
      </c>
      <c r="F56" s="4678">
        <f t="shared" si="68"/>
        <v>1382.02</v>
      </c>
      <c r="G56" s="4678">
        <f>SUM('Произв. прогр. Вода'!L75)</f>
        <v>1794.4248322995102</v>
      </c>
      <c r="H56" s="4679">
        <v>489.46</v>
      </c>
      <c r="I56" s="4679">
        <f>-12.4+521.84+4.23</f>
        <v>513.67000000000007</v>
      </c>
      <c r="J56" s="4679">
        <v>579.52</v>
      </c>
      <c r="K56" s="4678">
        <f t="shared" si="69"/>
        <v>1582.65</v>
      </c>
      <c r="L56" s="4680">
        <f>SUM('Произв. прогр. Вода'!M75)</f>
        <v>3588.8496645990203</v>
      </c>
      <c r="M56" s="4680">
        <f t="shared" si="70"/>
        <v>2964.67</v>
      </c>
      <c r="N56" s="4680">
        <f t="shared" si="43"/>
        <v>-624.17966459902027</v>
      </c>
      <c r="O56" s="4678">
        <f>SUM('Произв. прогр. Вода'!Q75)</f>
        <v>1866.2018255914907</v>
      </c>
      <c r="P56" s="4679"/>
      <c r="Q56" s="4679"/>
      <c r="R56" s="4679"/>
      <c r="S56" s="4678">
        <f t="shared" si="71"/>
        <v>0</v>
      </c>
      <c r="T56" s="4680">
        <f>SUM('Произв. прогр. Вода'!R75)</f>
        <v>5455.0514901905108</v>
      </c>
      <c r="U56" s="4680">
        <f t="shared" si="72"/>
        <v>2964.67</v>
      </c>
      <c r="V56" s="4680">
        <f t="shared" si="47"/>
        <v>-2490.3814901905107</v>
      </c>
      <c r="W56" s="4678">
        <f>SUM('Произв. прогр. Вода'!V75)</f>
        <v>1866.2018255914907</v>
      </c>
      <c r="X56" s="4679"/>
      <c r="Y56" s="4679"/>
      <c r="Z56" s="4679"/>
      <c r="AA56" s="4678">
        <f t="shared" si="73"/>
        <v>0</v>
      </c>
      <c r="AB56" s="4680">
        <f>SUM('Произв. прогр. Вода'!B75)</f>
        <v>7321.2533157820017</v>
      </c>
      <c r="AC56" s="4680">
        <f t="shared" si="74"/>
        <v>2964.67</v>
      </c>
      <c r="AD56" s="4680">
        <f t="shared" si="51"/>
        <v>-4356.5833157820016</v>
      </c>
      <c r="AE56" s="4689"/>
      <c r="AF56" s="4689"/>
      <c r="AG56" s="4672"/>
      <c r="AH56" s="4672"/>
      <c r="AI56" s="4672"/>
      <c r="AJ56" s="4672"/>
      <c r="AK56" s="4672"/>
    </row>
    <row r="57" spans="1:37" ht="18.75" customHeight="1">
      <c r="A57" s="4695" t="str">
        <f>A32</f>
        <v>то же в %</v>
      </c>
      <c r="B57" s="4682">
        <f>SUM('Произв. прогр. Вода'!H76)</f>
        <v>0.29820000000000002</v>
      </c>
      <c r="C57" s="4682">
        <f t="shared" ref="C57:F57" si="89">SUM(C56/C55)</f>
        <v>0.30984710593374587</v>
      </c>
      <c r="D57" s="4682">
        <f t="shared" si="89"/>
        <v>0.29802979945921587</v>
      </c>
      <c r="E57" s="4682">
        <f t="shared" si="89"/>
        <v>0.32643664762792862</v>
      </c>
      <c r="F57" s="4682">
        <f t="shared" si="89"/>
        <v>0.31119567664940329</v>
      </c>
      <c r="G57" s="4682">
        <f>SUM('Произв. прогр. Вода'!L76)</f>
        <v>0.29820000000000002</v>
      </c>
      <c r="H57" s="4682">
        <f t="shared" ref="H57:M57" si="90">SUM(H56/H55)</f>
        <v>0.30065664600699027</v>
      </c>
      <c r="I57" s="4682">
        <f t="shared" si="90"/>
        <v>0.27756793705859156</v>
      </c>
      <c r="J57" s="4682">
        <f t="shared" si="90"/>
        <v>0.30223158641334674</v>
      </c>
      <c r="K57" s="4682">
        <f t="shared" si="90"/>
        <v>0.29329787529767143</v>
      </c>
      <c r="L57" s="4683">
        <f>SUM('Произв. прогр. Вода'!M76)</f>
        <v>0.29820000000000002</v>
      </c>
      <c r="M57" s="4683">
        <f t="shared" si="90"/>
        <v>0.30137795375646159</v>
      </c>
      <c r="N57" s="4683">
        <f t="shared" si="43"/>
        <v>3.1779537564615712E-3</v>
      </c>
      <c r="O57" s="4682">
        <f>SUM('Произв. прогр. Вода'!Q76)</f>
        <v>0.29820000000000002</v>
      </c>
      <c r="P57" s="4682" t="e">
        <f t="shared" ref="P57:U57" si="91">SUM(P56/P55)</f>
        <v>#DIV/0!</v>
      </c>
      <c r="Q57" s="4682" t="e">
        <f t="shared" si="91"/>
        <v>#DIV/0!</v>
      </c>
      <c r="R57" s="4682" t="e">
        <f t="shared" si="91"/>
        <v>#DIV/0!</v>
      </c>
      <c r="S57" s="4682" t="e">
        <f t="shared" si="91"/>
        <v>#DIV/0!</v>
      </c>
      <c r="T57" s="4683">
        <f>SUM('Произв. прогр. Вода'!R76)</f>
        <v>0.29819999999999997</v>
      </c>
      <c r="U57" s="4683">
        <f t="shared" si="91"/>
        <v>0.30137795375646159</v>
      </c>
      <c r="V57" s="4683">
        <f t="shared" si="47"/>
        <v>3.1779537564616267E-3</v>
      </c>
      <c r="W57" s="4682">
        <f>SUM('Произв. прогр. Вода'!V76)</f>
        <v>0.29820000000000002</v>
      </c>
      <c r="X57" s="4682" t="e">
        <f t="shared" ref="X57:AC57" si="92">SUM(X56/X55)</f>
        <v>#DIV/0!</v>
      </c>
      <c r="Y57" s="4682" t="e">
        <f t="shared" si="92"/>
        <v>#DIV/0!</v>
      </c>
      <c r="Z57" s="4682" t="e">
        <f t="shared" si="92"/>
        <v>#DIV/0!</v>
      </c>
      <c r="AA57" s="4682" t="e">
        <f t="shared" si="92"/>
        <v>#DIV/0!</v>
      </c>
      <c r="AB57" s="4683">
        <f>SUM('Произв. прогр. Вода'!B76)</f>
        <v>0.29820000000000002</v>
      </c>
      <c r="AC57" s="4683">
        <f t="shared" si="92"/>
        <v>0.30137795375646159</v>
      </c>
      <c r="AD57" s="4683">
        <f t="shared" si="51"/>
        <v>3.1779537564615712E-3</v>
      </c>
      <c r="AE57" s="4689"/>
      <c r="AF57" s="4689"/>
      <c r="AG57" s="4672"/>
      <c r="AH57" s="4672"/>
      <c r="AI57" s="4672"/>
      <c r="AJ57" s="4672"/>
      <c r="AK57" s="4672"/>
    </row>
    <row r="58" spans="1:37" ht="18.75" customHeight="1">
      <c r="A58" s="4696" t="s">
        <v>1723</v>
      </c>
      <c r="B58" s="4674">
        <f>SUM('Произв. прогр. Вода'!H77)</f>
        <v>4205.7322235032425</v>
      </c>
      <c r="C58" s="4674">
        <f t="shared" ref="C58" si="93">SUM(C59:C76)+C81</f>
        <v>1514.6</v>
      </c>
      <c r="D58" s="4674">
        <f t="shared" ref="D58:F58" si="94">SUM(D59:D76)+D81</f>
        <v>1484.1999999999998</v>
      </c>
      <c r="E58" s="4674">
        <f>SUM(E59:E76)+E81</f>
        <v>1584.6899999999998</v>
      </c>
      <c r="F58" s="4674">
        <f t="shared" si="94"/>
        <v>4583.49</v>
      </c>
      <c r="G58" s="4674">
        <f>SUM('Произв. прогр. Вода'!L77)</f>
        <v>2630.1302129583837</v>
      </c>
      <c r="H58" s="4674">
        <f>SUM(H59:H76)+H81</f>
        <v>1352.5700000000002</v>
      </c>
      <c r="I58" s="4674">
        <f t="shared" ref="I58:M58" si="95">SUM(I59:I76)+I81</f>
        <v>927.4799999999999</v>
      </c>
      <c r="J58" s="4674">
        <f t="shared" si="95"/>
        <v>981.12999999999988</v>
      </c>
      <c r="K58" s="4674">
        <f t="shared" si="95"/>
        <v>3261.18</v>
      </c>
      <c r="L58" s="4676">
        <f>SUM('Произв. прогр. Вода'!M77)</f>
        <v>6835.8624364616262</v>
      </c>
      <c r="M58" s="4676">
        <f t="shared" si="95"/>
        <v>7844.67</v>
      </c>
      <c r="N58" s="4676">
        <f t="shared" si="43"/>
        <v>1008.8075635383739</v>
      </c>
      <c r="O58" s="4674">
        <f>SUM('Произв. прогр. Вода'!Q77)</f>
        <v>2315.6985729004732</v>
      </c>
      <c r="P58" s="4674">
        <f t="shared" ref="P58:U58" si="96">SUM(P59:P76)+P81</f>
        <v>0</v>
      </c>
      <c r="Q58" s="4674">
        <f t="shared" si="96"/>
        <v>0</v>
      </c>
      <c r="R58" s="4674">
        <f t="shared" si="96"/>
        <v>0</v>
      </c>
      <c r="S58" s="4674">
        <f t="shared" si="96"/>
        <v>0</v>
      </c>
      <c r="T58" s="4676">
        <f>SUM('Произв. прогр. Вода'!R77)</f>
        <v>9151.5610093620999</v>
      </c>
      <c r="U58" s="4676">
        <f t="shared" si="96"/>
        <v>7844.67</v>
      </c>
      <c r="V58" s="4697">
        <f t="shared" si="47"/>
        <v>-1306.8910093620998</v>
      </c>
      <c r="W58" s="4674">
        <f>SUM('Произв. прогр. Вода'!V77)</f>
        <v>4011.138793766876</v>
      </c>
      <c r="X58" s="4674">
        <f t="shared" ref="X58:AC58" si="97">SUM(X59:X76)+X81</f>
        <v>0</v>
      </c>
      <c r="Y58" s="4674">
        <f t="shared" si="97"/>
        <v>0</v>
      </c>
      <c r="Z58" s="4674">
        <f t="shared" si="97"/>
        <v>0</v>
      </c>
      <c r="AA58" s="4674">
        <f t="shared" si="97"/>
        <v>0</v>
      </c>
      <c r="AB58" s="4676">
        <f>SUM('Произв. прогр. Вода'!B77)</f>
        <v>13162.699803128975</v>
      </c>
      <c r="AC58" s="4676">
        <f t="shared" si="97"/>
        <v>7844.67</v>
      </c>
      <c r="AD58" s="4676">
        <f t="shared" si="51"/>
        <v>-5318.0298031289749</v>
      </c>
      <c r="AE58" s="4689"/>
      <c r="AF58" s="4689"/>
      <c r="AG58" s="4672"/>
      <c r="AH58" s="4672"/>
      <c r="AI58" s="4672"/>
      <c r="AJ58" s="4672"/>
      <c r="AK58" s="4672"/>
    </row>
    <row r="59" spans="1:37" ht="18.75" customHeight="1">
      <c r="A59" s="4698" t="s">
        <v>72</v>
      </c>
      <c r="B59" s="4678">
        <f>SUM('Произв. прогр. Вода'!H78)</f>
        <v>1091.084576818191</v>
      </c>
      <c r="C59" s="4679">
        <v>434.28</v>
      </c>
      <c r="D59" s="4679">
        <f>96.64+175.5+127.63+54.85</f>
        <v>454.62</v>
      </c>
      <c r="E59" s="4679">
        <v>453.96</v>
      </c>
      <c r="F59" s="4678">
        <f t="shared" ref="F59:F91" si="98">SUM(C59:E59)</f>
        <v>1342.86</v>
      </c>
      <c r="G59" s="4678">
        <f>SUM('Произв. прогр. Вода'!L78)</f>
        <v>1091.084576818191</v>
      </c>
      <c r="H59" s="4679">
        <v>466.72</v>
      </c>
      <c r="I59" s="4679">
        <f>-0.01+456.29</f>
        <v>456.28000000000003</v>
      </c>
      <c r="J59" s="4679">
        <v>545.77</v>
      </c>
      <c r="K59" s="4678">
        <f t="shared" ref="K59:K91" si="99">SUM(H59:J59)</f>
        <v>1468.77</v>
      </c>
      <c r="L59" s="4680">
        <f>SUM('Произв. прогр. Вода'!M78)</f>
        <v>2182.1691536363819</v>
      </c>
      <c r="M59" s="4680">
        <f t="shared" ref="M59:M91" si="100">SUM(F59+K59)</f>
        <v>2811.63</v>
      </c>
      <c r="N59" s="4680">
        <f t="shared" si="43"/>
        <v>629.4608463636182</v>
      </c>
      <c r="O59" s="4678">
        <f>SUM('Произв. прогр. Вода'!Q78)</f>
        <v>1134.7279598909188</v>
      </c>
      <c r="P59" s="4679"/>
      <c r="Q59" s="4679"/>
      <c r="R59" s="4679"/>
      <c r="S59" s="4678">
        <f t="shared" ref="S59:S91" si="101">SUM(P59:R59)</f>
        <v>0</v>
      </c>
      <c r="T59" s="4680">
        <f>SUM('Произв. прогр. Вода'!R78)</f>
        <v>3316.8971135273005</v>
      </c>
      <c r="U59" s="4680">
        <f t="shared" ref="U59:U91" si="102">SUM(M59+S59)</f>
        <v>2811.63</v>
      </c>
      <c r="V59" s="4680">
        <f t="shared" si="47"/>
        <v>-505.26711352730035</v>
      </c>
      <c r="W59" s="4678">
        <f>SUM('Произв. прогр. Вода'!V78)</f>
        <v>1134.7279598909188</v>
      </c>
      <c r="X59" s="4679"/>
      <c r="Y59" s="4679"/>
      <c r="Z59" s="4679"/>
      <c r="AA59" s="4678">
        <f t="shared" ref="AA59:AA91" si="103">SUM(X59:Z59)</f>
        <v>0</v>
      </c>
      <c r="AB59" s="4680">
        <f>SUM('Произв. прогр. Вода'!B78)</f>
        <v>4451.6250734182195</v>
      </c>
      <c r="AC59" s="4680">
        <f t="shared" ref="AC59:AC91" si="104">SUM(U59+AA59)</f>
        <v>2811.63</v>
      </c>
      <c r="AD59" s="4680">
        <f t="shared" si="51"/>
        <v>-1639.9950734182194</v>
      </c>
      <c r="AE59" s="4689"/>
      <c r="AF59" s="4689"/>
      <c r="AG59" s="4672"/>
      <c r="AH59" s="4672"/>
      <c r="AI59" s="4672"/>
      <c r="AJ59" s="4672"/>
      <c r="AK59" s="4672"/>
    </row>
    <row r="60" spans="1:37" ht="18.75" customHeight="1">
      <c r="A60" s="4698" t="s">
        <v>121</v>
      </c>
      <c r="B60" s="4678">
        <f>SUM('Произв. прогр. Вода'!H79)</f>
        <v>329.39011026947753</v>
      </c>
      <c r="C60" s="4679">
        <v>130.06</v>
      </c>
      <c r="D60" s="4679">
        <f>29.18+50.3+38.54+16.57</f>
        <v>134.58999999999997</v>
      </c>
      <c r="E60" s="4679">
        <v>135.63</v>
      </c>
      <c r="F60" s="4678">
        <f t="shared" si="98"/>
        <v>400.28</v>
      </c>
      <c r="G60" s="4678">
        <f>SUM('Произв. прогр. Вода'!L79)</f>
        <v>329.39011026947753</v>
      </c>
      <c r="H60" s="4679">
        <v>139.47999999999999</v>
      </c>
      <c r="I60" s="4679">
        <f>0.01+137.8</f>
        <v>137.81</v>
      </c>
      <c r="J60" s="4679">
        <v>164.82</v>
      </c>
      <c r="K60" s="4678">
        <f t="shared" si="99"/>
        <v>442.10999999999996</v>
      </c>
      <c r="L60" s="4680">
        <f>SUM('Произв. прогр. Вода'!M79)</f>
        <v>658.78022053895506</v>
      </c>
      <c r="M60" s="4680">
        <f t="shared" si="100"/>
        <v>842.38999999999987</v>
      </c>
      <c r="N60" s="4680">
        <f t="shared" si="43"/>
        <v>183.60977946104481</v>
      </c>
      <c r="O60" s="4678">
        <f>SUM('Произв. прогр. Вода'!Q79)</f>
        <v>342.56571468025675</v>
      </c>
      <c r="P60" s="4679"/>
      <c r="Q60" s="4679"/>
      <c r="R60" s="4679"/>
      <c r="S60" s="4678">
        <f t="shared" si="101"/>
        <v>0</v>
      </c>
      <c r="T60" s="4680">
        <f>SUM('Произв. прогр. Вода'!R79)</f>
        <v>1001.3459352192118</v>
      </c>
      <c r="U60" s="4680">
        <f t="shared" si="102"/>
        <v>842.38999999999987</v>
      </c>
      <c r="V60" s="4680">
        <f t="shared" si="47"/>
        <v>-158.95593521921194</v>
      </c>
      <c r="W60" s="4678">
        <f>SUM('Произв. прогр. Вода'!V79)</f>
        <v>342.56571468025675</v>
      </c>
      <c r="X60" s="4679"/>
      <c r="Y60" s="4679"/>
      <c r="Z60" s="4679"/>
      <c r="AA60" s="4678">
        <f t="shared" si="103"/>
        <v>0</v>
      </c>
      <c r="AB60" s="4680">
        <f>SUM('Произв. прогр. Вода'!B79)</f>
        <v>1343.9116498994686</v>
      </c>
      <c r="AC60" s="4680">
        <f t="shared" si="104"/>
        <v>842.38999999999987</v>
      </c>
      <c r="AD60" s="4680">
        <f t="shared" si="51"/>
        <v>-501.52164989946868</v>
      </c>
      <c r="AE60" s="4689"/>
      <c r="AF60" s="4689"/>
      <c r="AG60" s="4672"/>
      <c r="AH60" s="4672"/>
      <c r="AI60" s="4672"/>
      <c r="AJ60" s="4672"/>
      <c r="AK60" s="4672"/>
    </row>
    <row r="61" spans="1:37" ht="18.75" customHeight="1">
      <c r="A61" s="4698" t="s">
        <v>52</v>
      </c>
      <c r="B61" s="4678">
        <f>SUM('Произв. прогр. Вода'!H80)</f>
        <v>25.996332111179729</v>
      </c>
      <c r="C61" s="4679">
        <f>7.56+0.14</f>
        <v>7.6999999999999993</v>
      </c>
      <c r="D61" s="4679">
        <v>5.95</v>
      </c>
      <c r="E61" s="4679">
        <v>9.8800000000000008</v>
      </c>
      <c r="F61" s="4678">
        <f t="shared" si="98"/>
        <v>23.53</v>
      </c>
      <c r="G61" s="4678">
        <f>SUM('Произв. прогр. Вода'!L80)</f>
        <v>25.996332111179729</v>
      </c>
      <c r="H61" s="4679">
        <v>7.95</v>
      </c>
      <c r="I61" s="4679">
        <f>-0.01+7.9</f>
        <v>7.8900000000000006</v>
      </c>
      <c r="J61" s="4679">
        <v>6</v>
      </c>
      <c r="K61" s="4678">
        <f t="shared" si="99"/>
        <v>21.84</v>
      </c>
      <c r="L61" s="4680">
        <f>SUM('Произв. прогр. Вода'!M80)</f>
        <v>51.992664222359458</v>
      </c>
      <c r="M61" s="4680">
        <f t="shared" si="100"/>
        <v>45.370000000000005</v>
      </c>
      <c r="N61" s="4680">
        <f t="shared" si="43"/>
        <v>-6.6226642223594538</v>
      </c>
      <c r="O61" s="4678">
        <f>SUM('Произв. прогр. Вода'!Q80)</f>
        <v>25.996332111179729</v>
      </c>
      <c r="P61" s="4679"/>
      <c r="Q61" s="4679"/>
      <c r="R61" s="4679"/>
      <c r="S61" s="4678">
        <f t="shared" si="101"/>
        <v>0</v>
      </c>
      <c r="T61" s="4680">
        <f>SUM('Произв. прогр. Вода'!R80)</f>
        <v>77.988996333539191</v>
      </c>
      <c r="U61" s="4680">
        <f t="shared" si="102"/>
        <v>45.370000000000005</v>
      </c>
      <c r="V61" s="4680">
        <f t="shared" si="47"/>
        <v>-32.618996333539187</v>
      </c>
      <c r="W61" s="4678">
        <f>SUM('Произв. прогр. Вода'!V80)</f>
        <v>25.996332111179729</v>
      </c>
      <c r="X61" s="4679"/>
      <c r="Y61" s="4679"/>
      <c r="Z61" s="4679"/>
      <c r="AA61" s="4678">
        <f t="shared" si="103"/>
        <v>0</v>
      </c>
      <c r="AB61" s="4680">
        <f>SUM('Произв. прогр. Вода'!B80)</f>
        <v>103.98532844471892</v>
      </c>
      <c r="AC61" s="4680">
        <f t="shared" si="104"/>
        <v>45.370000000000005</v>
      </c>
      <c r="AD61" s="4680">
        <f t="shared" si="51"/>
        <v>-58.615328444718912</v>
      </c>
      <c r="AE61" s="4689"/>
      <c r="AF61" s="4689"/>
      <c r="AG61" s="4672"/>
      <c r="AH61" s="4672"/>
      <c r="AI61" s="4672"/>
      <c r="AJ61" s="4672"/>
      <c r="AK61" s="4672"/>
    </row>
    <row r="62" spans="1:37" ht="18.75" customHeight="1">
      <c r="A62" s="4698" t="s">
        <v>1556</v>
      </c>
      <c r="B62" s="4678">
        <f>SUM('Произв. прогр. Вода'!H81)</f>
        <v>5.5941474163298146</v>
      </c>
      <c r="C62" s="4679">
        <v>1.55</v>
      </c>
      <c r="D62" s="4679">
        <v>1.55</v>
      </c>
      <c r="E62" s="4679">
        <v>1.55</v>
      </c>
      <c r="F62" s="4678">
        <f t="shared" si="98"/>
        <v>4.6500000000000004</v>
      </c>
      <c r="G62" s="4678">
        <f>SUM('Произв. прогр. Вода'!L81)</f>
        <v>5.5941474163298146</v>
      </c>
      <c r="H62" s="4679">
        <v>1.55</v>
      </c>
      <c r="I62" s="4679">
        <v>1.55</v>
      </c>
      <c r="J62" s="4679">
        <v>1.55</v>
      </c>
      <c r="K62" s="4678">
        <f t="shared" si="99"/>
        <v>4.6500000000000004</v>
      </c>
      <c r="L62" s="4680">
        <f>SUM('Произв. прогр. Вода'!M81)</f>
        <v>11.188294832659629</v>
      </c>
      <c r="M62" s="4680">
        <f t="shared" si="100"/>
        <v>9.3000000000000007</v>
      </c>
      <c r="N62" s="4680">
        <f t="shared" si="43"/>
        <v>-1.8882948326596285</v>
      </c>
      <c r="O62" s="4678">
        <f>SUM('Произв. прогр. Вода'!Q81)</f>
        <v>5.5941474163298146</v>
      </c>
      <c r="P62" s="4679"/>
      <c r="Q62" s="4679"/>
      <c r="R62" s="4679"/>
      <c r="S62" s="4678">
        <f t="shared" si="101"/>
        <v>0</v>
      </c>
      <c r="T62" s="4680">
        <f>SUM('Произв. прогр. Вода'!R81)</f>
        <v>16.782442248989444</v>
      </c>
      <c r="U62" s="4680">
        <f t="shared" si="102"/>
        <v>9.3000000000000007</v>
      </c>
      <c r="V62" s="4680">
        <f t="shared" si="47"/>
        <v>-7.4824422489894431</v>
      </c>
      <c r="W62" s="4678">
        <f>SUM('Произв. прогр. Вода'!V81)</f>
        <v>5.5941474163298146</v>
      </c>
      <c r="X62" s="4679"/>
      <c r="Y62" s="4679"/>
      <c r="Z62" s="4679"/>
      <c r="AA62" s="4678">
        <f t="shared" si="103"/>
        <v>0</v>
      </c>
      <c r="AB62" s="4680">
        <f>SUM('Произв. прогр. Вода'!B81)</f>
        <v>22.376589665319258</v>
      </c>
      <c r="AC62" s="4680">
        <f t="shared" si="104"/>
        <v>9.3000000000000007</v>
      </c>
      <c r="AD62" s="4680">
        <f t="shared" si="51"/>
        <v>-13.076589665319258</v>
      </c>
      <c r="AE62" s="4689"/>
      <c r="AF62" s="4689"/>
      <c r="AG62" s="4672"/>
      <c r="AH62" s="4672"/>
      <c r="AI62" s="4672"/>
      <c r="AJ62" s="4672"/>
      <c r="AK62" s="4672"/>
    </row>
    <row r="63" spans="1:37" ht="18.75" customHeight="1">
      <c r="A63" s="4698" t="s">
        <v>605</v>
      </c>
      <c r="B63" s="4678">
        <f>SUM('Произв. прогр. Вода'!H82)</f>
        <v>140.5118203984018</v>
      </c>
      <c r="C63" s="4679">
        <f>26.69+10.14</f>
        <v>36.83</v>
      </c>
      <c r="D63" s="4679">
        <f>17.89+3.44</f>
        <v>21.330000000000002</v>
      </c>
      <c r="E63" s="4679">
        <v>29.63</v>
      </c>
      <c r="F63" s="4678">
        <f t="shared" si="98"/>
        <v>87.789999999999992</v>
      </c>
      <c r="G63" s="4678">
        <f>SUM('Произв. прогр. Вода'!L82)</f>
        <v>140.5118203984018</v>
      </c>
      <c r="H63" s="4679">
        <v>23.75</v>
      </c>
      <c r="I63" s="4679">
        <f>-0.02+32.85+1.07</f>
        <v>33.9</v>
      </c>
      <c r="J63" s="4679">
        <v>25.21</v>
      </c>
      <c r="K63" s="4678">
        <f t="shared" si="99"/>
        <v>82.86</v>
      </c>
      <c r="L63" s="4680">
        <f>SUM('Произв. прогр. Вода'!M82)</f>
        <v>281.02364079680359</v>
      </c>
      <c r="M63" s="4680">
        <f t="shared" si="100"/>
        <v>170.64999999999998</v>
      </c>
      <c r="N63" s="4680">
        <f t="shared" si="43"/>
        <v>-110.37364079680361</v>
      </c>
      <c r="O63" s="4678">
        <f>SUM('Произв. прогр. Вода'!Q82)</f>
        <v>140.5118203984018</v>
      </c>
      <c r="P63" s="4679"/>
      <c r="Q63" s="4679"/>
      <c r="R63" s="4679"/>
      <c r="S63" s="4678">
        <f t="shared" si="101"/>
        <v>0</v>
      </c>
      <c r="T63" s="4680">
        <f>SUM('Произв. прогр. Вода'!R82)</f>
        <v>421.53546119520536</v>
      </c>
      <c r="U63" s="4680">
        <f t="shared" si="102"/>
        <v>170.64999999999998</v>
      </c>
      <c r="V63" s="4680">
        <f t="shared" si="47"/>
        <v>-250.88546119520538</v>
      </c>
      <c r="W63" s="4678">
        <f>SUM('Произв. прогр. Вода'!V82)</f>
        <v>140.5118203984018</v>
      </c>
      <c r="X63" s="4679"/>
      <c r="Y63" s="4679"/>
      <c r="Z63" s="4679"/>
      <c r="AA63" s="4678">
        <f t="shared" si="103"/>
        <v>0</v>
      </c>
      <c r="AB63" s="4680">
        <f>SUM('Произв. прогр. Вода'!B82)</f>
        <v>562.04728159360718</v>
      </c>
      <c r="AC63" s="4680">
        <f t="shared" si="104"/>
        <v>170.64999999999998</v>
      </c>
      <c r="AD63" s="4680">
        <f t="shared" si="51"/>
        <v>-391.3972815936072</v>
      </c>
      <c r="AE63" s="4689"/>
      <c r="AF63" s="4689"/>
      <c r="AG63" s="4672"/>
      <c r="AH63" s="4672"/>
      <c r="AI63" s="4672"/>
      <c r="AJ63" s="4672"/>
      <c r="AK63" s="4672"/>
    </row>
    <row r="64" spans="1:37" ht="18.75" customHeight="1">
      <c r="A64" s="4698" t="s">
        <v>1557</v>
      </c>
      <c r="B64" s="4678">
        <f>SUM('Произв. прогр. Вода'!H83)</f>
        <v>115.83175826753498</v>
      </c>
      <c r="C64" s="4679"/>
      <c r="D64" s="4679"/>
      <c r="E64" s="4679"/>
      <c r="F64" s="4678">
        <f t="shared" si="98"/>
        <v>0</v>
      </c>
      <c r="G64" s="4678">
        <f>SUM('Произв. прогр. Вода'!L83)</f>
        <v>115.83175826753498</v>
      </c>
      <c r="H64" s="4679"/>
      <c r="I64" s="4679"/>
      <c r="J64" s="4679"/>
      <c r="K64" s="4678">
        <f t="shared" si="99"/>
        <v>0</v>
      </c>
      <c r="L64" s="4680">
        <f>SUM('Произв. прогр. Вода'!M83)</f>
        <v>231.66351653506996</v>
      </c>
      <c r="M64" s="4680">
        <f t="shared" si="100"/>
        <v>0</v>
      </c>
      <c r="N64" s="4680">
        <f t="shared" si="43"/>
        <v>-231.66351653506996</v>
      </c>
      <c r="O64" s="4678">
        <f>SUM('Произв. прогр. Вода'!Q83)</f>
        <v>115.83175826753498</v>
      </c>
      <c r="P64" s="4679"/>
      <c r="Q64" s="4679"/>
      <c r="R64" s="4679"/>
      <c r="S64" s="4678">
        <f t="shared" si="101"/>
        <v>0</v>
      </c>
      <c r="T64" s="4680">
        <f>SUM('Произв. прогр. Вода'!R83)</f>
        <v>347.49527480260497</v>
      </c>
      <c r="U64" s="4680">
        <f t="shared" si="102"/>
        <v>0</v>
      </c>
      <c r="V64" s="4680">
        <f t="shared" si="47"/>
        <v>-347.49527480260497</v>
      </c>
      <c r="W64" s="4678">
        <f>SUM('Произв. прогр. Вода'!V83)</f>
        <v>115.83175826753498</v>
      </c>
      <c r="X64" s="4679"/>
      <c r="Y64" s="4679"/>
      <c r="Z64" s="4679"/>
      <c r="AA64" s="4678">
        <f t="shared" si="103"/>
        <v>0</v>
      </c>
      <c r="AB64" s="4680">
        <f>SUM('Произв. прогр. Вода'!B83)</f>
        <v>463.32703307013992</v>
      </c>
      <c r="AC64" s="4680">
        <f t="shared" si="104"/>
        <v>0</v>
      </c>
      <c r="AD64" s="4680">
        <f t="shared" si="51"/>
        <v>-463.32703307013992</v>
      </c>
      <c r="AE64" s="4689"/>
      <c r="AF64" s="4689"/>
      <c r="AG64" s="4672"/>
      <c r="AH64" s="4672"/>
      <c r="AI64" s="4672"/>
      <c r="AJ64" s="4672"/>
      <c r="AK64" s="4672"/>
    </row>
    <row r="65" spans="1:37" ht="18.75" customHeight="1">
      <c r="A65" s="4698" t="s">
        <v>607</v>
      </c>
      <c r="B65" s="4678">
        <f>SUM('Произв. прогр. Вода'!H84)</f>
        <v>22.047522170241034</v>
      </c>
      <c r="C65" s="4679">
        <v>6.93</v>
      </c>
      <c r="D65" s="4679">
        <v>6.93</v>
      </c>
      <c r="E65" s="4679">
        <v>6.93</v>
      </c>
      <c r="F65" s="4678">
        <f t="shared" si="98"/>
        <v>20.79</v>
      </c>
      <c r="G65" s="4678">
        <f>SUM('Произв. прогр. Вода'!L84)</f>
        <v>22.047522170241034</v>
      </c>
      <c r="H65" s="4679"/>
      <c r="I65" s="4679"/>
      <c r="J65" s="4679"/>
      <c r="K65" s="4678">
        <f t="shared" si="99"/>
        <v>0</v>
      </c>
      <c r="L65" s="4680">
        <f>SUM('Произв. прогр. Вода'!M84)</f>
        <v>44.095044340482069</v>
      </c>
      <c r="M65" s="4680">
        <f t="shared" si="100"/>
        <v>20.79</v>
      </c>
      <c r="N65" s="4680">
        <f t="shared" si="43"/>
        <v>-23.30504434048207</v>
      </c>
      <c r="O65" s="4678">
        <f>SUM('Произв. прогр. Вода'!Q84)</f>
        <v>22.047522170241034</v>
      </c>
      <c r="P65" s="4679"/>
      <c r="Q65" s="4679"/>
      <c r="R65" s="4679"/>
      <c r="S65" s="4678">
        <f t="shared" si="101"/>
        <v>0</v>
      </c>
      <c r="T65" s="4680">
        <f>SUM('Произв. прогр. Вода'!R84)</f>
        <v>66.1425665107231</v>
      </c>
      <c r="U65" s="4680">
        <f t="shared" si="102"/>
        <v>20.79</v>
      </c>
      <c r="V65" s="4680">
        <f t="shared" si="47"/>
        <v>-45.352566510723101</v>
      </c>
      <c r="W65" s="4678">
        <f>SUM('Произв. прогр. Вода'!V84)</f>
        <v>22.047522170241034</v>
      </c>
      <c r="X65" s="4679"/>
      <c r="Y65" s="4679"/>
      <c r="Z65" s="4679"/>
      <c r="AA65" s="4678">
        <f t="shared" si="103"/>
        <v>0</v>
      </c>
      <c r="AB65" s="4680">
        <f>SUM('Произв. прогр. Вода'!B84)</f>
        <v>88.190088680964138</v>
      </c>
      <c r="AC65" s="4680">
        <f t="shared" si="104"/>
        <v>20.79</v>
      </c>
      <c r="AD65" s="4680">
        <f t="shared" si="51"/>
        <v>-67.400088680964132</v>
      </c>
      <c r="AE65" s="4689"/>
      <c r="AF65" s="4689"/>
      <c r="AG65" s="4672"/>
      <c r="AH65" s="4672"/>
      <c r="AI65" s="4672"/>
      <c r="AJ65" s="4672"/>
      <c r="AK65" s="4672"/>
    </row>
    <row r="66" spans="1:37" ht="18.75" customHeight="1">
      <c r="A66" s="4698" t="s">
        <v>98</v>
      </c>
      <c r="B66" s="4678">
        <f>SUM('Произв. прогр. Вода'!H85)</f>
        <v>13.491767298207197</v>
      </c>
      <c r="C66" s="4679"/>
      <c r="D66" s="4679"/>
      <c r="E66" s="4679">
        <v>12.38</v>
      </c>
      <c r="F66" s="4678">
        <f t="shared" si="98"/>
        <v>12.38</v>
      </c>
      <c r="G66" s="4678">
        <f>SUM('Произв. прогр. Вода'!L85)</f>
        <v>13.491767298207197</v>
      </c>
      <c r="H66" s="4679"/>
      <c r="I66" s="4679"/>
      <c r="J66" s="4679">
        <v>12.38</v>
      </c>
      <c r="K66" s="4678">
        <f t="shared" si="99"/>
        <v>12.38</v>
      </c>
      <c r="L66" s="4680">
        <f>SUM('Произв. прогр. Вода'!M85)</f>
        <v>26.983534596414394</v>
      </c>
      <c r="M66" s="4680">
        <f t="shared" si="100"/>
        <v>24.76</v>
      </c>
      <c r="N66" s="4680">
        <f t="shared" si="43"/>
        <v>-2.2235345964143924</v>
      </c>
      <c r="O66" s="4678">
        <f>SUM('Произв. прогр. Вода'!Q85)</f>
        <v>13.491767298207197</v>
      </c>
      <c r="P66" s="4679"/>
      <c r="Q66" s="4679"/>
      <c r="R66" s="4679"/>
      <c r="S66" s="4678">
        <f t="shared" si="101"/>
        <v>0</v>
      </c>
      <c r="T66" s="4680">
        <f>SUM('Произв. прогр. Вода'!R85)</f>
        <v>40.475301894621595</v>
      </c>
      <c r="U66" s="4680">
        <f t="shared" si="102"/>
        <v>24.76</v>
      </c>
      <c r="V66" s="4680">
        <f t="shared" si="47"/>
        <v>-15.715301894621593</v>
      </c>
      <c r="W66" s="4678">
        <f>SUM('Произв. прогр. Вода'!V85)</f>
        <v>13.491767298207197</v>
      </c>
      <c r="X66" s="4679"/>
      <c r="Y66" s="4679"/>
      <c r="Z66" s="4679"/>
      <c r="AA66" s="4678">
        <f t="shared" si="103"/>
        <v>0</v>
      </c>
      <c r="AB66" s="4680">
        <f>SUM('Произв. прогр. Вода'!B85)</f>
        <v>53.967069192828788</v>
      </c>
      <c r="AC66" s="4680">
        <f t="shared" si="104"/>
        <v>24.76</v>
      </c>
      <c r="AD66" s="4680">
        <f t="shared" si="51"/>
        <v>-29.207069192828786</v>
      </c>
      <c r="AE66" s="4689"/>
      <c r="AF66" s="4689"/>
      <c r="AG66" s="4672"/>
      <c r="AH66" s="4672"/>
      <c r="AI66" s="4672"/>
      <c r="AJ66" s="4672"/>
      <c r="AK66" s="4672"/>
    </row>
    <row r="67" spans="1:37" ht="18.75" customHeight="1">
      <c r="A67" s="4698" t="s">
        <v>42</v>
      </c>
      <c r="B67" s="4678">
        <f>SUM('Произв. прогр. Вода'!H86)</f>
        <v>0</v>
      </c>
      <c r="C67" s="4679"/>
      <c r="D67" s="4679"/>
      <c r="E67" s="4679">
        <v>0.83</v>
      </c>
      <c r="F67" s="4678">
        <f t="shared" si="98"/>
        <v>0.83</v>
      </c>
      <c r="G67" s="4678">
        <f>SUM('Произв. прогр. Вода'!L86)</f>
        <v>0</v>
      </c>
      <c r="H67" s="4679"/>
      <c r="I67" s="4679">
        <v>0.39</v>
      </c>
      <c r="J67" s="4679"/>
      <c r="K67" s="4678">
        <f t="shared" si="99"/>
        <v>0.39</v>
      </c>
      <c r="L67" s="4680">
        <f>SUM('Произв. прогр. Вода'!M86)</f>
        <v>0</v>
      </c>
      <c r="M67" s="4680">
        <f t="shared" ref="M67" si="105">SUM(F67+K67)</f>
        <v>1.22</v>
      </c>
      <c r="N67" s="4680">
        <f t="shared" ref="N67" si="106">SUM(M67-L67)</f>
        <v>1.22</v>
      </c>
      <c r="O67" s="4678">
        <f>SUM('Произв. прогр. Вода'!Q86)</f>
        <v>0</v>
      </c>
      <c r="P67" s="4679"/>
      <c r="Q67" s="4679"/>
      <c r="R67" s="4679"/>
      <c r="S67" s="4678">
        <f t="shared" si="101"/>
        <v>0</v>
      </c>
      <c r="T67" s="4680">
        <f>SUM('Произв. прогр. Вода'!R86)</f>
        <v>0</v>
      </c>
      <c r="U67" s="4680">
        <f t="shared" si="102"/>
        <v>1.22</v>
      </c>
      <c r="V67" s="4680">
        <f t="shared" ref="V67" si="107">SUM(U67-T67)</f>
        <v>1.22</v>
      </c>
      <c r="W67" s="4678">
        <f>SUM('Произв. прогр. Вода'!V86)</f>
        <v>0</v>
      </c>
      <c r="X67" s="4679"/>
      <c r="Y67" s="4679"/>
      <c r="Z67" s="4679"/>
      <c r="AA67" s="4678">
        <f t="shared" si="103"/>
        <v>0</v>
      </c>
      <c r="AB67" s="4680">
        <f>SUM('Произв. прогр. Вода'!B86)</f>
        <v>0</v>
      </c>
      <c r="AC67" s="4680">
        <f t="shared" si="104"/>
        <v>1.22</v>
      </c>
      <c r="AD67" s="4680">
        <f t="shared" ref="AD67" si="108">SUM(AC67-AB67)</f>
        <v>1.22</v>
      </c>
      <c r="AE67" s="4689"/>
      <c r="AF67" s="4689"/>
      <c r="AG67" s="4672"/>
      <c r="AH67" s="4672"/>
      <c r="AI67" s="4672"/>
      <c r="AJ67" s="4672"/>
      <c r="AK67" s="4672"/>
    </row>
    <row r="68" spans="1:37" ht="18.75" customHeight="1">
      <c r="A68" s="4698" t="s">
        <v>608</v>
      </c>
      <c r="B68" s="4678">
        <f>SUM('Произв. прогр. Вода'!H87)</f>
        <v>21.060319685006363</v>
      </c>
      <c r="C68" s="4679"/>
      <c r="D68" s="4679">
        <v>11.13</v>
      </c>
      <c r="E68" s="4679">
        <v>10.59</v>
      </c>
      <c r="F68" s="4678">
        <f t="shared" si="98"/>
        <v>21.72</v>
      </c>
      <c r="G68" s="4678">
        <f>SUM('Произв. прогр. Вода'!L87)</f>
        <v>21.060319685006363</v>
      </c>
      <c r="H68" s="4679"/>
      <c r="I68" s="4679"/>
      <c r="J68" s="4679">
        <v>10.59</v>
      </c>
      <c r="K68" s="4678">
        <f t="shared" si="99"/>
        <v>10.59</v>
      </c>
      <c r="L68" s="4680">
        <f>SUM('Произв. прогр. Вода'!M87)</f>
        <v>42.120639370012725</v>
      </c>
      <c r="M68" s="4680">
        <f t="shared" si="100"/>
        <v>32.31</v>
      </c>
      <c r="N68" s="4680">
        <f t="shared" si="43"/>
        <v>-9.8106393700127228</v>
      </c>
      <c r="O68" s="4678">
        <f>SUM('Произв. прогр. Вода'!Q87)</f>
        <v>21.060319685006363</v>
      </c>
      <c r="P68" s="4679"/>
      <c r="Q68" s="4679"/>
      <c r="R68" s="4679"/>
      <c r="S68" s="4678">
        <f t="shared" si="101"/>
        <v>0</v>
      </c>
      <c r="T68" s="4680">
        <f>SUM('Произв. прогр. Вода'!R87)</f>
        <v>63.180959055019088</v>
      </c>
      <c r="U68" s="4680">
        <f t="shared" si="102"/>
        <v>32.31</v>
      </c>
      <c r="V68" s="4680">
        <f t="shared" si="47"/>
        <v>-30.870959055019085</v>
      </c>
      <c r="W68" s="4678">
        <f>SUM('Произв. прогр. Вода'!V87)</f>
        <v>21.060319685006363</v>
      </c>
      <c r="X68" s="4679"/>
      <c r="Y68" s="4679"/>
      <c r="Z68" s="4679"/>
      <c r="AA68" s="4678">
        <f t="shared" si="103"/>
        <v>0</v>
      </c>
      <c r="AB68" s="4680">
        <f>SUM('Произв. прогр. Вода'!B87)</f>
        <v>84.24127874002545</v>
      </c>
      <c r="AC68" s="4680">
        <f t="shared" si="104"/>
        <v>32.31</v>
      </c>
      <c r="AD68" s="4680">
        <f t="shared" si="51"/>
        <v>-51.931278740025448</v>
      </c>
      <c r="AE68" s="4689"/>
      <c r="AF68" s="4689"/>
      <c r="AG68" s="4672"/>
      <c r="AH68" s="4672"/>
      <c r="AI68" s="4672"/>
      <c r="AJ68" s="4672"/>
      <c r="AK68" s="4672"/>
    </row>
    <row r="69" spans="1:37" ht="18.75" customHeight="1">
      <c r="A69" s="4698" t="s">
        <v>1558</v>
      </c>
      <c r="B69" s="4678">
        <f>SUM('Произв. прогр. Вода'!H88)</f>
        <v>10.530159842503181</v>
      </c>
      <c r="C69" s="4679"/>
      <c r="D69" s="4679"/>
      <c r="E69" s="4679"/>
      <c r="F69" s="4678">
        <f t="shared" si="98"/>
        <v>0</v>
      </c>
      <c r="G69" s="4678">
        <f>SUM('Произв. прогр. Вода'!L88)</f>
        <v>10.530159842503181</v>
      </c>
      <c r="H69" s="4679"/>
      <c r="I69" s="4679"/>
      <c r="J69" s="4679">
        <v>16.12</v>
      </c>
      <c r="K69" s="4678">
        <f t="shared" si="99"/>
        <v>16.12</v>
      </c>
      <c r="L69" s="4680">
        <f>SUM('Произв. прогр. Вода'!M88)</f>
        <v>21.060319685006363</v>
      </c>
      <c r="M69" s="4680">
        <f t="shared" si="100"/>
        <v>16.12</v>
      </c>
      <c r="N69" s="4680">
        <f t="shared" si="43"/>
        <v>-4.9403196850063615</v>
      </c>
      <c r="O69" s="4678">
        <f>SUM('Произв. прогр. Вода'!Q88)</f>
        <v>10.530159842503181</v>
      </c>
      <c r="P69" s="4679"/>
      <c r="Q69" s="4679"/>
      <c r="R69" s="4679"/>
      <c r="S69" s="4678">
        <f t="shared" si="101"/>
        <v>0</v>
      </c>
      <c r="T69" s="4680">
        <f>SUM('Произв. прогр. Вода'!R88)</f>
        <v>31.590479527509544</v>
      </c>
      <c r="U69" s="4680">
        <f t="shared" si="102"/>
        <v>16.12</v>
      </c>
      <c r="V69" s="4680">
        <f t="shared" si="47"/>
        <v>-15.470479527509543</v>
      </c>
      <c r="W69" s="4678">
        <f>SUM('Произв. прогр. Вода'!V88)</f>
        <v>10.530159842503181</v>
      </c>
      <c r="X69" s="4679"/>
      <c r="Y69" s="4679"/>
      <c r="Z69" s="4679"/>
      <c r="AA69" s="4678">
        <f t="shared" si="103"/>
        <v>0</v>
      </c>
      <c r="AB69" s="4680">
        <f>SUM('Произв. прогр. Вода'!B88)</f>
        <v>42.120639370012725</v>
      </c>
      <c r="AC69" s="4680">
        <f t="shared" si="104"/>
        <v>16.12</v>
      </c>
      <c r="AD69" s="4680">
        <f t="shared" si="51"/>
        <v>-26.000639370012724</v>
      </c>
      <c r="AE69" s="4689"/>
      <c r="AF69" s="4689"/>
      <c r="AG69" s="4672"/>
      <c r="AH69" s="4672"/>
      <c r="AI69" s="4672"/>
      <c r="AJ69" s="4672"/>
      <c r="AK69" s="4672"/>
    </row>
    <row r="70" spans="1:37" ht="18.75" customHeight="1">
      <c r="A70" s="4698" t="s">
        <v>611</v>
      </c>
      <c r="B70" s="4678">
        <f>SUM('Произв. прогр. Вода'!H89)</f>
        <v>10.530159842503181</v>
      </c>
      <c r="C70" s="4679">
        <f>0.35+2.81</f>
        <v>3.16</v>
      </c>
      <c r="D70" s="4679">
        <f>0.35+14.95</f>
        <v>15.299999999999999</v>
      </c>
      <c r="E70" s="4679">
        <v>10.73</v>
      </c>
      <c r="F70" s="4678">
        <f t="shared" si="98"/>
        <v>29.19</v>
      </c>
      <c r="G70" s="4678">
        <f>SUM('Произв. прогр. Вода'!L89)</f>
        <v>10.530159842503181</v>
      </c>
      <c r="H70" s="4679">
        <v>0.35</v>
      </c>
      <c r="I70" s="4679">
        <f>-0.06+0.35</f>
        <v>0.28999999999999998</v>
      </c>
      <c r="J70" s="4679">
        <v>0.35</v>
      </c>
      <c r="K70" s="4678">
        <f t="shared" si="99"/>
        <v>0.98999999999999988</v>
      </c>
      <c r="L70" s="4680">
        <f>SUM('Произв. прогр. Вода'!M89)</f>
        <v>21.060319685006363</v>
      </c>
      <c r="M70" s="4680">
        <f t="shared" si="100"/>
        <v>30.18</v>
      </c>
      <c r="N70" s="4680">
        <f t="shared" si="43"/>
        <v>9.1196803149936372</v>
      </c>
      <c r="O70" s="4678">
        <f>SUM('Произв. прогр. Вода'!Q89)</f>
        <v>10.530159842503181</v>
      </c>
      <c r="P70" s="4679"/>
      <c r="Q70" s="4679"/>
      <c r="R70" s="4679"/>
      <c r="S70" s="4678">
        <f t="shared" si="101"/>
        <v>0</v>
      </c>
      <c r="T70" s="4680">
        <f>SUM('Произв. прогр. Вода'!R89)</f>
        <v>31.590479527509544</v>
      </c>
      <c r="U70" s="4680">
        <f t="shared" si="102"/>
        <v>30.18</v>
      </c>
      <c r="V70" s="4680">
        <f t="shared" si="47"/>
        <v>-1.4104795275095441</v>
      </c>
      <c r="W70" s="4678">
        <f>SUM('Произв. прогр. Вода'!V89)</f>
        <v>10.530159842503181</v>
      </c>
      <c r="X70" s="4679"/>
      <c r="Y70" s="4679"/>
      <c r="Z70" s="4679"/>
      <c r="AA70" s="4678">
        <f t="shared" si="103"/>
        <v>0</v>
      </c>
      <c r="AB70" s="4680">
        <f>SUM('Произв. прогр. Вода'!B89)</f>
        <v>42.120639370012725</v>
      </c>
      <c r="AC70" s="4680">
        <f t="shared" si="104"/>
        <v>30.18</v>
      </c>
      <c r="AD70" s="4680">
        <f t="shared" si="51"/>
        <v>-11.940639370012725</v>
      </c>
      <c r="AE70" s="4689"/>
      <c r="AF70" s="4689"/>
      <c r="AG70" s="4672"/>
      <c r="AH70" s="4672"/>
      <c r="AI70" s="4672"/>
      <c r="AJ70" s="4672"/>
      <c r="AK70" s="4672"/>
    </row>
    <row r="71" spans="1:37" ht="18.75" customHeight="1">
      <c r="A71" s="4698" t="s">
        <v>615</v>
      </c>
      <c r="B71" s="4678">
        <f>SUM('Произв. прогр. Вода'!H90)</f>
        <v>0</v>
      </c>
      <c r="C71" s="4679">
        <v>47.35</v>
      </c>
      <c r="D71" s="4679">
        <v>46.36</v>
      </c>
      <c r="E71" s="4679">
        <v>44.73</v>
      </c>
      <c r="F71" s="4678">
        <f t="shared" si="98"/>
        <v>138.44</v>
      </c>
      <c r="G71" s="4678">
        <f>SUM('Произв. прогр. Вода'!L90)</f>
        <v>0</v>
      </c>
      <c r="H71" s="4679">
        <v>43.1</v>
      </c>
      <c r="I71" s="4679">
        <v>43.47</v>
      </c>
      <c r="J71" s="4679">
        <v>43.31</v>
      </c>
      <c r="K71" s="4678">
        <f t="shared" si="99"/>
        <v>129.88</v>
      </c>
      <c r="L71" s="4680">
        <f>SUM('Произв. прогр. Вода'!M90)</f>
        <v>0</v>
      </c>
      <c r="M71" s="4680">
        <f t="shared" si="100"/>
        <v>268.32</v>
      </c>
      <c r="N71" s="4680">
        <f t="shared" si="43"/>
        <v>268.32</v>
      </c>
      <c r="O71" s="4678">
        <f>SUM('Произв. прогр. Вода'!Q90)</f>
        <v>0</v>
      </c>
      <c r="P71" s="4679"/>
      <c r="Q71" s="4679"/>
      <c r="R71" s="4679"/>
      <c r="S71" s="4678">
        <f t="shared" si="101"/>
        <v>0</v>
      </c>
      <c r="T71" s="4680">
        <f>SUM('Произв. прогр. Вода'!R90)</f>
        <v>0</v>
      </c>
      <c r="U71" s="4680">
        <f t="shared" si="102"/>
        <v>268.32</v>
      </c>
      <c r="V71" s="4680">
        <f t="shared" si="47"/>
        <v>268.32</v>
      </c>
      <c r="W71" s="4678">
        <f>SUM('Произв. прогр. Вода'!V90)</f>
        <v>0</v>
      </c>
      <c r="X71" s="4679"/>
      <c r="Y71" s="4679"/>
      <c r="Z71" s="4679"/>
      <c r="AA71" s="4678">
        <f t="shared" si="103"/>
        <v>0</v>
      </c>
      <c r="AB71" s="4680">
        <f>SUM('Произв. прогр. Вода'!B90)</f>
        <v>0</v>
      </c>
      <c r="AC71" s="4680">
        <f t="shared" si="104"/>
        <v>268.32</v>
      </c>
      <c r="AD71" s="4680">
        <f t="shared" si="51"/>
        <v>268.32</v>
      </c>
      <c r="AE71" s="4689"/>
      <c r="AF71" s="4689"/>
      <c r="AG71" s="4672"/>
      <c r="AH71" s="4672"/>
      <c r="AI71" s="4672"/>
      <c r="AJ71" s="4672"/>
      <c r="AK71" s="4672"/>
    </row>
    <row r="72" spans="1:37" ht="18.75" customHeight="1">
      <c r="A72" s="4698" t="s">
        <v>612</v>
      </c>
      <c r="B72" s="4678">
        <f>SUM('Произв. прогр. Вода'!H91)</f>
        <v>0</v>
      </c>
      <c r="C72" s="4679">
        <v>27.79</v>
      </c>
      <c r="D72" s="4679">
        <v>27.79</v>
      </c>
      <c r="E72" s="4679">
        <v>28.62</v>
      </c>
      <c r="F72" s="4678">
        <f t="shared" si="98"/>
        <v>84.2</v>
      </c>
      <c r="G72" s="4678">
        <f>SUM('Произв. прогр. Вода'!L91)</f>
        <v>0</v>
      </c>
      <c r="H72" s="4679">
        <v>27.78</v>
      </c>
      <c r="I72" s="4679">
        <v>28.31</v>
      </c>
      <c r="J72" s="4679">
        <v>27.98</v>
      </c>
      <c r="K72" s="4678">
        <f t="shared" si="99"/>
        <v>84.070000000000007</v>
      </c>
      <c r="L72" s="4680">
        <f>SUM('Произв. прогр. Вода'!M91)</f>
        <v>0</v>
      </c>
      <c r="M72" s="4680">
        <f t="shared" si="100"/>
        <v>168.27</v>
      </c>
      <c r="N72" s="4680">
        <f t="shared" si="43"/>
        <v>168.27</v>
      </c>
      <c r="O72" s="4678">
        <f>SUM('Произв. прогр. Вода'!Q91)</f>
        <v>0</v>
      </c>
      <c r="P72" s="4679"/>
      <c r="Q72" s="4679"/>
      <c r="R72" s="4679"/>
      <c r="S72" s="4678">
        <f t="shared" si="101"/>
        <v>0</v>
      </c>
      <c r="T72" s="4680">
        <f>SUM('Произв. прогр. Вода'!R91)</f>
        <v>0</v>
      </c>
      <c r="U72" s="4680">
        <f t="shared" si="102"/>
        <v>168.27</v>
      </c>
      <c r="V72" s="4680">
        <f t="shared" si="47"/>
        <v>168.27</v>
      </c>
      <c r="W72" s="4678">
        <f>SUM('Произв. прогр. Вода'!V91)</f>
        <v>0</v>
      </c>
      <c r="X72" s="4679"/>
      <c r="Y72" s="4679"/>
      <c r="Z72" s="4679"/>
      <c r="AA72" s="4678">
        <f t="shared" si="103"/>
        <v>0</v>
      </c>
      <c r="AB72" s="4680">
        <f>SUM('Произв. прогр. Вода'!B91)</f>
        <v>0</v>
      </c>
      <c r="AC72" s="4680">
        <f t="shared" si="104"/>
        <v>168.27</v>
      </c>
      <c r="AD72" s="4680">
        <f t="shared" si="51"/>
        <v>168.27</v>
      </c>
      <c r="AE72" s="4689"/>
      <c r="AF72" s="4689"/>
      <c r="AG72" s="4672"/>
      <c r="AH72" s="4672"/>
      <c r="AI72" s="4672"/>
      <c r="AJ72" s="4672"/>
      <c r="AK72" s="4672"/>
    </row>
    <row r="73" spans="1:37" ht="18.75" customHeight="1">
      <c r="A73" s="4698" t="s">
        <v>1559</v>
      </c>
      <c r="B73" s="4678">
        <f>SUM('Произв. прогр. Вода'!H92)</f>
        <v>0</v>
      </c>
      <c r="C73" s="4679"/>
      <c r="D73" s="4679"/>
      <c r="E73" s="4679"/>
      <c r="F73" s="4678">
        <f t="shared" si="98"/>
        <v>0</v>
      </c>
      <c r="G73" s="4678">
        <f>SUM('Произв. прогр. Вода'!L92)</f>
        <v>0</v>
      </c>
      <c r="H73" s="4679"/>
      <c r="I73" s="4679"/>
      <c r="J73" s="4679"/>
      <c r="K73" s="4678">
        <f t="shared" si="99"/>
        <v>0</v>
      </c>
      <c r="L73" s="4680">
        <f>SUM('Произв. прогр. Вода'!M92)</f>
        <v>0</v>
      </c>
      <c r="M73" s="4680">
        <f t="shared" si="100"/>
        <v>0</v>
      </c>
      <c r="N73" s="4680">
        <f t="shared" si="43"/>
        <v>0</v>
      </c>
      <c r="O73" s="4678">
        <f>SUM('Произв. прогр. Вода'!Q92)</f>
        <v>0</v>
      </c>
      <c r="P73" s="4679"/>
      <c r="Q73" s="4679"/>
      <c r="R73" s="4679"/>
      <c r="S73" s="4678">
        <f t="shared" si="101"/>
        <v>0</v>
      </c>
      <c r="T73" s="4680">
        <f>SUM('Произв. прогр. Вода'!R92)</f>
        <v>0</v>
      </c>
      <c r="U73" s="4680">
        <f t="shared" si="102"/>
        <v>0</v>
      </c>
      <c r="V73" s="4680">
        <f t="shared" si="47"/>
        <v>0</v>
      </c>
      <c r="W73" s="4678">
        <f>SUM('Произв. прогр. Вода'!V92)</f>
        <v>0</v>
      </c>
      <c r="X73" s="4679"/>
      <c r="Y73" s="4679"/>
      <c r="Z73" s="4679"/>
      <c r="AA73" s="4678">
        <f t="shared" si="103"/>
        <v>0</v>
      </c>
      <c r="AB73" s="4680">
        <f>SUM('Произв. прогр. Вода'!B92)</f>
        <v>0</v>
      </c>
      <c r="AC73" s="4680">
        <f t="shared" si="104"/>
        <v>0</v>
      </c>
      <c r="AD73" s="4680">
        <f t="shared" si="51"/>
        <v>0</v>
      </c>
      <c r="AE73" s="4689"/>
      <c r="AF73" s="4689"/>
      <c r="AG73" s="4672"/>
      <c r="AH73" s="4672"/>
      <c r="AI73" s="4672"/>
      <c r="AJ73" s="4672"/>
      <c r="AK73" s="4672"/>
    </row>
    <row r="74" spans="1:37" ht="18.75" customHeight="1">
      <c r="A74" s="4698" t="s">
        <v>38</v>
      </c>
      <c r="B74" s="4678">
        <f>SUM('Произв. прогр. Вода'!H93)</f>
        <v>11.517362327737851</v>
      </c>
      <c r="C74" s="4679"/>
      <c r="D74" s="4679">
        <v>9</v>
      </c>
      <c r="E74" s="4679"/>
      <c r="F74" s="4678">
        <f t="shared" si="98"/>
        <v>9</v>
      </c>
      <c r="G74" s="4678">
        <f>SUM('Произв. прогр. Вода'!L93)</f>
        <v>11.517362327737851</v>
      </c>
      <c r="H74" s="4679">
        <v>3.46</v>
      </c>
      <c r="I74" s="4679"/>
      <c r="J74" s="4679"/>
      <c r="K74" s="4678">
        <f t="shared" si="99"/>
        <v>3.46</v>
      </c>
      <c r="L74" s="4680">
        <f>SUM('Произв. прогр. Вода'!M93)</f>
        <v>23.034724655475703</v>
      </c>
      <c r="M74" s="4680">
        <f t="shared" si="100"/>
        <v>12.46</v>
      </c>
      <c r="N74" s="4680">
        <f t="shared" si="43"/>
        <v>-10.574724655475702</v>
      </c>
      <c r="O74" s="4678">
        <f>SUM('Произв. прогр. Вода'!Q93)</f>
        <v>11.517362327737851</v>
      </c>
      <c r="P74" s="4679"/>
      <c r="Q74" s="4679"/>
      <c r="R74" s="4679"/>
      <c r="S74" s="4678">
        <f t="shared" si="101"/>
        <v>0</v>
      </c>
      <c r="T74" s="4680">
        <f>SUM('Произв. прогр. Вода'!R93)</f>
        <v>34.552086983213556</v>
      </c>
      <c r="U74" s="4680">
        <f t="shared" si="102"/>
        <v>12.46</v>
      </c>
      <c r="V74" s="4680">
        <f t="shared" si="47"/>
        <v>-22.092086983213555</v>
      </c>
      <c r="W74" s="4678">
        <f>SUM('Произв. прогр. Вода'!V93)</f>
        <v>11.517362327737851</v>
      </c>
      <c r="X74" s="4679"/>
      <c r="Y74" s="4679"/>
      <c r="Z74" s="4679"/>
      <c r="AA74" s="4678">
        <f t="shared" si="103"/>
        <v>0</v>
      </c>
      <c r="AB74" s="4680">
        <f>SUM('Произв. прогр. Вода'!B93)</f>
        <v>46.069449310951406</v>
      </c>
      <c r="AC74" s="4680">
        <f t="shared" si="104"/>
        <v>12.46</v>
      </c>
      <c r="AD74" s="4680">
        <f t="shared" si="51"/>
        <v>-33.609449310951405</v>
      </c>
      <c r="AE74" s="4689"/>
      <c r="AF74" s="4689"/>
      <c r="AG74" s="4672"/>
      <c r="AH74" s="4672"/>
      <c r="AI74" s="4672"/>
      <c r="AJ74" s="4672"/>
      <c r="AK74" s="4672"/>
    </row>
    <row r="75" spans="1:37" ht="18.75" customHeight="1">
      <c r="A75" s="4698" t="s">
        <v>1993</v>
      </c>
      <c r="B75" s="4678">
        <f>SUM('Произв. прогр. Вода'!H94)</f>
        <v>12.175497317894305</v>
      </c>
      <c r="C75" s="4679"/>
      <c r="D75" s="4679"/>
      <c r="E75" s="4679"/>
      <c r="F75" s="4678">
        <f t="shared" si="98"/>
        <v>0</v>
      </c>
      <c r="G75" s="4678">
        <f>SUM('Произв. прогр. Вода'!L94)</f>
        <v>12.175497317894305</v>
      </c>
      <c r="H75" s="4679"/>
      <c r="I75" s="4679"/>
      <c r="J75" s="4679"/>
      <c r="K75" s="4678">
        <f t="shared" si="99"/>
        <v>0</v>
      </c>
      <c r="L75" s="4680">
        <f>SUM('Произв. прогр. Вода'!M94)</f>
        <v>24.350994635788609</v>
      </c>
      <c r="M75" s="4680">
        <f t="shared" si="100"/>
        <v>0</v>
      </c>
      <c r="N75" s="4680">
        <f t="shared" si="43"/>
        <v>-24.350994635788609</v>
      </c>
      <c r="O75" s="4678">
        <f>SUM('Произв. прогр. Вода'!Q94)</f>
        <v>12.175497317894305</v>
      </c>
      <c r="P75" s="4679"/>
      <c r="Q75" s="4679"/>
      <c r="R75" s="4679"/>
      <c r="S75" s="4678">
        <f t="shared" si="101"/>
        <v>0</v>
      </c>
      <c r="T75" s="4680">
        <f>SUM('Произв. прогр. Вода'!R94)</f>
        <v>36.526491953682914</v>
      </c>
      <c r="U75" s="4680">
        <f t="shared" si="102"/>
        <v>0</v>
      </c>
      <c r="V75" s="4680">
        <f t="shared" si="47"/>
        <v>-36.526491953682914</v>
      </c>
      <c r="W75" s="4678">
        <f>SUM('Произв. прогр. Вода'!V94)</f>
        <v>12.175497317894305</v>
      </c>
      <c r="X75" s="4679"/>
      <c r="Y75" s="4679"/>
      <c r="Z75" s="4679"/>
      <c r="AA75" s="4678">
        <f t="shared" si="103"/>
        <v>0</v>
      </c>
      <c r="AB75" s="4680">
        <f>SUM('Произв. прогр. Вода'!B94)</f>
        <v>48.701989271577212</v>
      </c>
      <c r="AC75" s="4680">
        <f t="shared" si="104"/>
        <v>0</v>
      </c>
      <c r="AD75" s="4680">
        <f t="shared" si="51"/>
        <v>-48.701989271577212</v>
      </c>
      <c r="AE75" s="4689"/>
      <c r="AF75" s="4689"/>
      <c r="AG75" s="4672"/>
      <c r="AH75" s="4672"/>
      <c r="AI75" s="4672"/>
      <c r="AJ75" s="4672"/>
      <c r="AK75" s="4672"/>
    </row>
    <row r="76" spans="1:37" ht="18.75" customHeight="1">
      <c r="A76" s="4698" t="s">
        <v>606</v>
      </c>
      <c r="B76" s="4678">
        <f>SUM('Произв. прогр. Вода'!H95)</f>
        <v>2322.0801632421962</v>
      </c>
      <c r="C76" s="4678">
        <f>SUM(C77:C80)</f>
        <v>817.93000000000006</v>
      </c>
      <c r="D76" s="4678">
        <f>SUM(D77:D80)</f>
        <v>741.78</v>
      </c>
      <c r="E76" s="4678">
        <f>SUM(E77:E80)</f>
        <v>818.45999999999992</v>
      </c>
      <c r="F76" s="4678">
        <f t="shared" ref="F76" si="109">SUM(F77:F80)</f>
        <v>2378.17</v>
      </c>
      <c r="G76" s="4678">
        <f>SUM('Произв. прогр. Вода'!L95)</f>
        <v>735.03910843342749</v>
      </c>
      <c r="H76" s="4678">
        <f t="shared" ref="H76:M76" si="110">SUM(H77:H80)</f>
        <v>530.6</v>
      </c>
      <c r="I76" s="4678">
        <f t="shared" si="110"/>
        <v>197.26000000000002</v>
      </c>
      <c r="J76" s="4678">
        <f t="shared" si="110"/>
        <v>22.65</v>
      </c>
      <c r="K76" s="4678">
        <f t="shared" si="110"/>
        <v>750.50999999999988</v>
      </c>
      <c r="L76" s="4680">
        <f>SUM('Произв. прогр. Вода'!M95)</f>
        <v>3057.1192716756236</v>
      </c>
      <c r="M76" s="4680">
        <f t="shared" si="110"/>
        <v>3128.6799999999994</v>
      </c>
      <c r="N76" s="4680">
        <f t="shared" si="43"/>
        <v>71.560728324375759</v>
      </c>
      <c r="O76" s="4678">
        <f>SUM('Произв. прогр. Вода'!Q95)</f>
        <v>355.79372028558532</v>
      </c>
      <c r="P76" s="4678">
        <f t="shared" ref="P76:U76" si="111">SUM(P77:P80)</f>
        <v>0</v>
      </c>
      <c r="Q76" s="4678">
        <f t="shared" si="111"/>
        <v>0</v>
      </c>
      <c r="R76" s="4678">
        <f t="shared" si="111"/>
        <v>0</v>
      </c>
      <c r="S76" s="4678">
        <f t="shared" si="111"/>
        <v>0</v>
      </c>
      <c r="T76" s="4680">
        <f>SUM('Произв. прогр. Вода'!R95)</f>
        <v>3412.9129919612087</v>
      </c>
      <c r="U76" s="4680">
        <f t="shared" si="111"/>
        <v>3128.6799999999994</v>
      </c>
      <c r="V76" s="4680">
        <f t="shared" si="47"/>
        <v>-284.23299196120934</v>
      </c>
      <c r="W76" s="4678">
        <f>SUM('Произв. прогр. Вода'!V95)</f>
        <v>2070.6677460223218</v>
      </c>
      <c r="X76" s="4678">
        <f t="shared" ref="X76:AC76" si="112">SUM(X77:X80)</f>
        <v>0</v>
      </c>
      <c r="Y76" s="4678">
        <f t="shared" si="112"/>
        <v>0</v>
      </c>
      <c r="Z76" s="4678">
        <f t="shared" si="112"/>
        <v>0</v>
      </c>
      <c r="AA76" s="4678">
        <f t="shared" si="112"/>
        <v>0</v>
      </c>
      <c r="AB76" s="4680">
        <f>SUM('Произв. прогр. Вода'!B95)</f>
        <v>5483.5807379835305</v>
      </c>
      <c r="AC76" s="4680">
        <f t="shared" si="112"/>
        <v>3128.6799999999994</v>
      </c>
      <c r="AD76" s="4680">
        <f t="shared" si="51"/>
        <v>-2354.9007379835311</v>
      </c>
      <c r="AE76" s="4689"/>
      <c r="AF76" s="4689"/>
      <c r="AG76" s="4672"/>
      <c r="AH76" s="4672"/>
      <c r="AI76" s="4672"/>
      <c r="AJ76" s="4672"/>
      <c r="AK76" s="4672"/>
    </row>
    <row r="77" spans="1:37" ht="18.75" customHeight="1">
      <c r="A77" s="4699" t="s">
        <v>1994</v>
      </c>
      <c r="B77" s="4684">
        <f>SUM('Произв. прогр. Вода'!H96)</f>
        <v>2169.7219130209778</v>
      </c>
      <c r="C77" s="4685">
        <f>792.7+19.57</f>
        <v>812.2700000000001</v>
      </c>
      <c r="D77" s="4685">
        <f>666.86+21.89</f>
        <v>688.75</v>
      </c>
      <c r="E77" s="4685">
        <v>707.79</v>
      </c>
      <c r="F77" s="4684">
        <f t="shared" si="98"/>
        <v>2208.81</v>
      </c>
      <c r="G77" s="4684">
        <f>SUM('Произв. прогр. Вода'!L96)</f>
        <v>582.68085821220973</v>
      </c>
      <c r="H77" s="4685">
        <v>503.19</v>
      </c>
      <c r="I77" s="4685">
        <f>5.28+163.33</f>
        <v>168.61</v>
      </c>
      <c r="J77" s="4685"/>
      <c r="K77" s="4684">
        <f t="shared" si="99"/>
        <v>671.8</v>
      </c>
      <c r="L77" s="4686">
        <f>SUM('Произв. прогр. Вода'!M96)</f>
        <v>2752.4027712331877</v>
      </c>
      <c r="M77" s="4686">
        <f t="shared" si="100"/>
        <v>2880.6099999999997</v>
      </c>
      <c r="N77" s="4686">
        <f t="shared" si="43"/>
        <v>128.20722876681202</v>
      </c>
      <c r="O77" s="4684">
        <f>SUM('Произв. прогр. Вода'!Q96)</f>
        <v>203.43547006436748</v>
      </c>
      <c r="P77" s="4685"/>
      <c r="Q77" s="4685"/>
      <c r="R77" s="4685"/>
      <c r="S77" s="4684">
        <f t="shared" si="101"/>
        <v>0</v>
      </c>
      <c r="T77" s="4686">
        <f>SUM('Произв. прогр. Вода'!R96)</f>
        <v>2955.8382412975552</v>
      </c>
      <c r="U77" s="4686">
        <f t="shared" si="102"/>
        <v>2880.6099999999997</v>
      </c>
      <c r="V77" s="4686">
        <f t="shared" si="47"/>
        <v>-75.228241297555542</v>
      </c>
      <c r="W77" s="4684">
        <f>SUM('Произв. прогр. Вода'!V96)</f>
        <v>1918.3094958011043</v>
      </c>
      <c r="X77" s="4685"/>
      <c r="Y77" s="4685"/>
      <c r="Z77" s="4685"/>
      <c r="AA77" s="4684">
        <f t="shared" si="103"/>
        <v>0</v>
      </c>
      <c r="AB77" s="4686">
        <f>SUM('Произв. прогр. Вода'!B96)</f>
        <v>4874.1477370986595</v>
      </c>
      <c r="AC77" s="4686">
        <f t="shared" si="104"/>
        <v>2880.6099999999997</v>
      </c>
      <c r="AD77" s="4686">
        <f t="shared" si="51"/>
        <v>-1993.5377370986598</v>
      </c>
      <c r="AE77" s="4689"/>
      <c r="AF77" s="4689"/>
      <c r="AG77" s="4672"/>
      <c r="AH77" s="4672"/>
      <c r="AI77" s="4672"/>
      <c r="AJ77" s="4672"/>
      <c r="AK77" s="4672"/>
    </row>
    <row r="78" spans="1:37" ht="18.75" customHeight="1">
      <c r="A78" s="4699" t="s">
        <v>564</v>
      </c>
      <c r="B78" s="4684">
        <f>SUM('Произв. прогр. Вода'!H97)</f>
        <v>144.46063033934047</v>
      </c>
      <c r="C78" s="4685">
        <f>5.61+0.05</f>
        <v>5.66</v>
      </c>
      <c r="D78" s="4685">
        <f>50.59+0.03</f>
        <v>50.620000000000005</v>
      </c>
      <c r="E78" s="4685">
        <v>109.53</v>
      </c>
      <c r="F78" s="4684">
        <f t="shared" si="98"/>
        <v>165.81</v>
      </c>
      <c r="G78" s="4684">
        <f>SUM('Произв. прогр. Вода'!L97)</f>
        <v>144.46063033934047</v>
      </c>
      <c r="H78" s="4685">
        <v>21.58</v>
      </c>
      <c r="I78" s="4685">
        <f>0.05+26.05</f>
        <v>26.1</v>
      </c>
      <c r="J78" s="4685">
        <v>19.61</v>
      </c>
      <c r="K78" s="4684">
        <f t="shared" si="99"/>
        <v>67.289999999999992</v>
      </c>
      <c r="L78" s="4686">
        <f>SUM('Произв. прогр. Вода'!M97)</f>
        <v>288.92126067868094</v>
      </c>
      <c r="M78" s="4686">
        <f t="shared" si="100"/>
        <v>233.1</v>
      </c>
      <c r="N78" s="4686">
        <f t="shared" si="43"/>
        <v>-55.821260678680943</v>
      </c>
      <c r="O78" s="4684">
        <f>SUM('Произв. прогр. Вода'!Q97)</f>
        <v>144.46063033934047</v>
      </c>
      <c r="P78" s="4685"/>
      <c r="Q78" s="4685"/>
      <c r="R78" s="4685"/>
      <c r="S78" s="4684">
        <f t="shared" si="101"/>
        <v>0</v>
      </c>
      <c r="T78" s="4686">
        <f>SUM('Произв. прогр. Вода'!R97)</f>
        <v>433.38189101802141</v>
      </c>
      <c r="U78" s="4686">
        <f t="shared" si="102"/>
        <v>233.1</v>
      </c>
      <c r="V78" s="4686">
        <f t="shared" si="47"/>
        <v>-200.28189101802141</v>
      </c>
      <c r="W78" s="4684">
        <f>SUM('Произв. прогр. Вода'!V97)</f>
        <v>144.46063033934047</v>
      </c>
      <c r="X78" s="4685"/>
      <c r="Y78" s="4685"/>
      <c r="Z78" s="4685"/>
      <c r="AA78" s="4684">
        <f t="shared" si="103"/>
        <v>0</v>
      </c>
      <c r="AB78" s="4686">
        <f>SUM('Произв. прогр. Вода'!B97)</f>
        <v>577.84252135736187</v>
      </c>
      <c r="AC78" s="4686">
        <f t="shared" si="104"/>
        <v>233.1</v>
      </c>
      <c r="AD78" s="4686">
        <f t="shared" si="51"/>
        <v>-344.74252135736185</v>
      </c>
      <c r="AE78" s="4689"/>
      <c r="AF78" s="4689"/>
      <c r="AG78" s="4672"/>
      <c r="AH78" s="4672"/>
      <c r="AI78" s="4672"/>
      <c r="AJ78" s="4672"/>
      <c r="AK78" s="4672"/>
    </row>
    <row r="79" spans="1:37" ht="18.75" customHeight="1">
      <c r="A79" s="4699" t="s">
        <v>563</v>
      </c>
      <c r="B79" s="4684">
        <f>SUM('Произв. прогр. Вода'!H98)</f>
        <v>0</v>
      </c>
      <c r="C79" s="4685"/>
      <c r="D79" s="4685"/>
      <c r="E79" s="4685"/>
      <c r="F79" s="4684">
        <f t="shared" si="98"/>
        <v>0</v>
      </c>
      <c r="G79" s="4684">
        <f>SUM('Произв. прогр. Вода'!L98)</f>
        <v>0</v>
      </c>
      <c r="H79" s="4685"/>
      <c r="I79" s="4685"/>
      <c r="J79" s="4685"/>
      <c r="K79" s="4684">
        <f t="shared" si="99"/>
        <v>0</v>
      </c>
      <c r="L79" s="4686">
        <f>SUM('Произв. прогр. Вода'!M98)</f>
        <v>0</v>
      </c>
      <c r="M79" s="4686">
        <f t="shared" si="100"/>
        <v>0</v>
      </c>
      <c r="N79" s="4686">
        <f t="shared" si="43"/>
        <v>0</v>
      </c>
      <c r="O79" s="4684">
        <f>SUM('Произв. прогр. Вода'!Q98)</f>
        <v>0</v>
      </c>
      <c r="P79" s="4685"/>
      <c r="Q79" s="4685"/>
      <c r="R79" s="4685"/>
      <c r="S79" s="4684">
        <f t="shared" si="101"/>
        <v>0</v>
      </c>
      <c r="T79" s="4686">
        <f>SUM('Произв. прогр. Вода'!R98)</f>
        <v>0</v>
      </c>
      <c r="U79" s="4686">
        <f t="shared" si="102"/>
        <v>0</v>
      </c>
      <c r="V79" s="4686">
        <f t="shared" si="47"/>
        <v>0</v>
      </c>
      <c r="W79" s="4684">
        <f>SUM('Произв. прогр. Вода'!V98)</f>
        <v>0</v>
      </c>
      <c r="X79" s="4685"/>
      <c r="Y79" s="4685"/>
      <c r="Z79" s="4685"/>
      <c r="AA79" s="4684">
        <f t="shared" si="103"/>
        <v>0</v>
      </c>
      <c r="AB79" s="4686">
        <f>SUM('Произв. прогр. Вода'!B98)</f>
        <v>0</v>
      </c>
      <c r="AC79" s="4686">
        <f t="shared" si="104"/>
        <v>0</v>
      </c>
      <c r="AD79" s="4686">
        <f t="shared" si="51"/>
        <v>0</v>
      </c>
      <c r="AE79" s="4689"/>
      <c r="AF79" s="4689"/>
      <c r="AG79" s="4672"/>
      <c r="AH79" s="4672"/>
      <c r="AI79" s="4672"/>
      <c r="AJ79" s="4672"/>
      <c r="AK79" s="4672"/>
    </row>
    <row r="80" spans="1:37" ht="18.75" customHeight="1">
      <c r="A80" s="4699" t="s">
        <v>1995</v>
      </c>
      <c r="B80" s="4684">
        <f>SUM('Произв. прогр. Вода'!H99)</f>
        <v>7.8976198818773842</v>
      </c>
      <c r="C80" s="4685"/>
      <c r="D80" s="4685">
        <v>2.41</v>
      </c>
      <c r="E80" s="4685">
        <v>1.1399999999999999</v>
      </c>
      <c r="F80" s="4684">
        <f t="shared" si="98"/>
        <v>3.55</v>
      </c>
      <c r="G80" s="4684">
        <f>SUM('Произв. прогр. Вода'!L99)</f>
        <v>7.8976198818773842</v>
      </c>
      <c r="H80" s="4685">
        <v>5.83</v>
      </c>
      <c r="I80" s="4685">
        <v>2.5499999999999998</v>
      </c>
      <c r="J80" s="4685">
        <v>3.04</v>
      </c>
      <c r="K80" s="4684">
        <f t="shared" si="99"/>
        <v>11.419999999999998</v>
      </c>
      <c r="L80" s="4686">
        <f>SUM('Произв. прогр. Вода'!M99)</f>
        <v>15.795239763754768</v>
      </c>
      <c r="M80" s="4686">
        <f t="shared" si="100"/>
        <v>14.969999999999999</v>
      </c>
      <c r="N80" s="4686">
        <f t="shared" si="43"/>
        <v>-0.82523976375476948</v>
      </c>
      <c r="O80" s="4684">
        <f>SUM('Произв. прогр. Вода'!Q99)</f>
        <v>7.8976198818773842</v>
      </c>
      <c r="P80" s="4685"/>
      <c r="Q80" s="4685"/>
      <c r="R80" s="4685"/>
      <c r="S80" s="4684">
        <f t="shared" si="101"/>
        <v>0</v>
      </c>
      <c r="T80" s="4686">
        <f>SUM('Произв. прогр. Вода'!R99)</f>
        <v>23.692859645632154</v>
      </c>
      <c r="U80" s="4686">
        <f t="shared" si="102"/>
        <v>14.969999999999999</v>
      </c>
      <c r="V80" s="4686">
        <f t="shared" si="47"/>
        <v>-8.7228596456321554</v>
      </c>
      <c r="W80" s="4684">
        <f>SUM('Произв. прогр. Вода'!V99)</f>
        <v>7.8976198818773842</v>
      </c>
      <c r="X80" s="4685"/>
      <c r="Y80" s="4685"/>
      <c r="Z80" s="4685"/>
      <c r="AA80" s="4684">
        <f t="shared" si="103"/>
        <v>0</v>
      </c>
      <c r="AB80" s="4686">
        <f>SUM('Произв. прогр. Вода'!B99)</f>
        <v>31.590479527509537</v>
      </c>
      <c r="AC80" s="4686">
        <f t="shared" si="104"/>
        <v>14.969999999999999</v>
      </c>
      <c r="AD80" s="4686">
        <f t="shared" si="51"/>
        <v>-16.620479527509538</v>
      </c>
      <c r="AE80" s="4689"/>
      <c r="AF80" s="4689"/>
      <c r="AG80" s="4672"/>
      <c r="AH80" s="4672"/>
      <c r="AI80" s="4672"/>
      <c r="AJ80" s="4672"/>
      <c r="AK80" s="4672"/>
    </row>
    <row r="81" spans="1:37" ht="18.75" customHeight="1">
      <c r="A81" s="4698" t="s">
        <v>609</v>
      </c>
      <c r="B81" s="4678">
        <f>SUM('Произв. прогр. Вода'!H100)</f>
        <v>73.890526495838898</v>
      </c>
      <c r="C81" s="4678">
        <f t="shared" ref="C81" si="113">SUM(C82:C85)</f>
        <v>1.02</v>
      </c>
      <c r="D81" s="4678">
        <f t="shared" ref="D81:F81" si="114">SUM(D82:D85)</f>
        <v>7.87</v>
      </c>
      <c r="E81" s="4678">
        <f t="shared" si="114"/>
        <v>20.77</v>
      </c>
      <c r="F81" s="4678">
        <f t="shared" si="114"/>
        <v>29.66</v>
      </c>
      <c r="G81" s="4678">
        <f>SUM('Произв. прогр. Вода'!L100)</f>
        <v>85.329570759748151</v>
      </c>
      <c r="H81" s="4678">
        <f t="shared" ref="H81:M81" si="115">SUM(H82:H85)</f>
        <v>107.83</v>
      </c>
      <c r="I81" s="4678">
        <f t="shared" si="115"/>
        <v>20.329999999999998</v>
      </c>
      <c r="J81" s="4678">
        <f t="shared" si="115"/>
        <v>104.4</v>
      </c>
      <c r="K81" s="4678">
        <f t="shared" si="115"/>
        <v>232.56000000000003</v>
      </c>
      <c r="L81" s="4680">
        <f>SUM('Произв. прогр. Вода'!M100)</f>
        <v>159.22009725558706</v>
      </c>
      <c r="M81" s="4680">
        <f t="shared" si="115"/>
        <v>262.22000000000003</v>
      </c>
      <c r="N81" s="4680">
        <f t="shared" si="43"/>
        <v>102.99990274441296</v>
      </c>
      <c r="O81" s="4678">
        <f>SUM('Произв. прогр. Вода'!Q100)</f>
        <v>93.324331366172615</v>
      </c>
      <c r="P81" s="4678">
        <f t="shared" ref="P81:U81" si="116">SUM(P82:P85)</f>
        <v>0</v>
      </c>
      <c r="Q81" s="4678">
        <f t="shared" si="116"/>
        <v>0</v>
      </c>
      <c r="R81" s="4678">
        <f t="shared" si="116"/>
        <v>0</v>
      </c>
      <c r="S81" s="4678">
        <f t="shared" si="116"/>
        <v>0</v>
      </c>
      <c r="T81" s="4680">
        <f>SUM('Произв. прогр. Вода'!R100)</f>
        <v>252.54442862175966</v>
      </c>
      <c r="U81" s="4680">
        <f t="shared" si="116"/>
        <v>262.22000000000003</v>
      </c>
      <c r="V81" s="4680">
        <f t="shared" si="47"/>
        <v>9.6755713782403632</v>
      </c>
      <c r="W81" s="4678">
        <f>SUM('Произв. прогр. Вода'!V100)</f>
        <v>73.890526495838898</v>
      </c>
      <c r="X81" s="4678">
        <f t="shared" ref="X81:AC81" si="117">SUM(X82:X85)</f>
        <v>0</v>
      </c>
      <c r="Y81" s="4678">
        <f t="shared" si="117"/>
        <v>0</v>
      </c>
      <c r="Z81" s="4678">
        <f t="shared" si="117"/>
        <v>0</v>
      </c>
      <c r="AA81" s="4678">
        <f t="shared" si="117"/>
        <v>0</v>
      </c>
      <c r="AB81" s="4680">
        <f>SUM('Произв. прогр. Вода'!B100)</f>
        <v>326.43495511759858</v>
      </c>
      <c r="AC81" s="4680">
        <f t="shared" si="117"/>
        <v>262.22000000000003</v>
      </c>
      <c r="AD81" s="4680">
        <f t="shared" si="51"/>
        <v>-64.214955117598549</v>
      </c>
      <c r="AE81" s="4689"/>
      <c r="AF81" s="4689"/>
      <c r="AG81" s="4672"/>
      <c r="AH81" s="4672"/>
      <c r="AI81" s="4672"/>
      <c r="AJ81" s="4672"/>
      <c r="AK81" s="4672"/>
    </row>
    <row r="82" spans="1:37" ht="18.75" customHeight="1">
      <c r="A82" s="4699" t="s">
        <v>551</v>
      </c>
      <c r="B82" s="4684">
        <f>SUM('Произв. прогр. Вода'!H101)</f>
        <v>55.133679276380114</v>
      </c>
      <c r="C82" s="4685"/>
      <c r="D82" s="4685">
        <v>6.23</v>
      </c>
      <c r="E82" s="4685">
        <v>19.32</v>
      </c>
      <c r="F82" s="4684">
        <f t="shared" si="98"/>
        <v>25.55</v>
      </c>
      <c r="G82" s="4684">
        <f>SUM('Произв. прогр. Вода'!L101)</f>
        <v>66.572723540289346</v>
      </c>
      <c r="H82" s="4685">
        <v>107.58</v>
      </c>
      <c r="I82" s="4685">
        <f>-0.01+12.26+8.07-0.01</f>
        <v>20.309999999999999</v>
      </c>
      <c r="J82" s="4685">
        <v>44.78</v>
      </c>
      <c r="K82" s="4684">
        <f t="shared" si="99"/>
        <v>172.67000000000002</v>
      </c>
      <c r="L82" s="4686">
        <f>SUM('Произв. прогр. Вода'!M101)</f>
        <v>121.70640281666945</v>
      </c>
      <c r="M82" s="4686">
        <f t="shared" si="100"/>
        <v>198.22000000000003</v>
      </c>
      <c r="N82" s="4686">
        <f t="shared" si="43"/>
        <v>76.513597183330575</v>
      </c>
      <c r="O82" s="4684">
        <f>SUM('Произв. прогр. Вода'!Q101)</f>
        <v>74.567484146713824</v>
      </c>
      <c r="P82" s="4685"/>
      <c r="Q82" s="4685"/>
      <c r="R82" s="4685"/>
      <c r="S82" s="4684">
        <f t="shared" si="101"/>
        <v>0</v>
      </c>
      <c r="T82" s="4686">
        <f>SUM('Произв. прогр. Вода'!R101)</f>
        <v>196.27388696338329</v>
      </c>
      <c r="U82" s="4686">
        <f t="shared" si="102"/>
        <v>198.22000000000003</v>
      </c>
      <c r="V82" s="4686">
        <f t="shared" si="47"/>
        <v>1.9461130366167367</v>
      </c>
      <c r="W82" s="4684">
        <f>SUM('Произв. прогр. Вода'!V101)</f>
        <v>55.133679276380114</v>
      </c>
      <c r="X82" s="4685"/>
      <c r="Y82" s="4685"/>
      <c r="Z82" s="4685"/>
      <c r="AA82" s="4684">
        <f t="shared" si="103"/>
        <v>0</v>
      </c>
      <c r="AB82" s="4686">
        <f>SUM('Произв. прогр. Вода'!B101)</f>
        <v>251.40756623976341</v>
      </c>
      <c r="AC82" s="4686">
        <f t="shared" si="104"/>
        <v>198.22000000000003</v>
      </c>
      <c r="AD82" s="4686">
        <f t="shared" si="51"/>
        <v>-53.187566239763385</v>
      </c>
      <c r="AE82" s="4689"/>
      <c r="AF82" s="4689"/>
      <c r="AG82" s="4672"/>
      <c r="AH82" s="4672"/>
      <c r="AI82" s="4672"/>
      <c r="AJ82" s="4672"/>
      <c r="AK82" s="4672"/>
    </row>
    <row r="83" spans="1:37" ht="18.75" customHeight="1">
      <c r="A83" s="4699" t="s">
        <v>643</v>
      </c>
      <c r="B83" s="4684">
        <f>SUM('Произв. прогр. Вода'!H102)</f>
        <v>2.9616074557040193</v>
      </c>
      <c r="C83" s="4685"/>
      <c r="D83" s="4685">
        <v>0.51</v>
      </c>
      <c r="E83" s="4685">
        <v>0.45</v>
      </c>
      <c r="F83" s="4684">
        <f t="shared" si="98"/>
        <v>0.96</v>
      </c>
      <c r="G83" s="4684">
        <f>SUM('Произв. прогр. Вода'!L102)</f>
        <v>2.9616074557040193</v>
      </c>
      <c r="H83" s="4685"/>
      <c r="I83" s="4685"/>
      <c r="J83" s="4685"/>
      <c r="K83" s="4684">
        <f t="shared" si="99"/>
        <v>0</v>
      </c>
      <c r="L83" s="4686">
        <f>SUM('Произв. прогр. Вода'!M102)</f>
        <v>5.9232149114080386</v>
      </c>
      <c r="M83" s="4686">
        <f t="shared" si="100"/>
        <v>0.96</v>
      </c>
      <c r="N83" s="4686">
        <f t="shared" si="43"/>
        <v>-4.9632149114080386</v>
      </c>
      <c r="O83" s="4684">
        <f>SUM('Произв. прогр. Вода'!Q102)</f>
        <v>2.9616074557040193</v>
      </c>
      <c r="P83" s="4685"/>
      <c r="Q83" s="4685"/>
      <c r="R83" s="4685"/>
      <c r="S83" s="4684">
        <f t="shared" si="101"/>
        <v>0</v>
      </c>
      <c r="T83" s="4686">
        <f>SUM('Произв. прогр. Вода'!R102)</f>
        <v>8.8848223671120579</v>
      </c>
      <c r="U83" s="4686">
        <f t="shared" si="102"/>
        <v>0.96</v>
      </c>
      <c r="V83" s="4686">
        <f t="shared" si="47"/>
        <v>-7.9248223671120579</v>
      </c>
      <c r="W83" s="4684">
        <f>SUM('Произв. прогр. Вода'!V102)</f>
        <v>2.9616074557040193</v>
      </c>
      <c r="X83" s="4685"/>
      <c r="Y83" s="4685"/>
      <c r="Z83" s="4685"/>
      <c r="AA83" s="4684">
        <f t="shared" si="103"/>
        <v>0</v>
      </c>
      <c r="AB83" s="4686">
        <f>SUM('Произв. прогр. Вода'!B102)</f>
        <v>11.846429822816077</v>
      </c>
      <c r="AC83" s="4686">
        <f t="shared" si="104"/>
        <v>0.96</v>
      </c>
      <c r="AD83" s="4686">
        <f t="shared" si="51"/>
        <v>-10.886429822816076</v>
      </c>
      <c r="AE83" s="4689"/>
      <c r="AF83" s="4689"/>
      <c r="AG83" s="4672"/>
      <c r="AH83" s="4672"/>
      <c r="AI83" s="4672"/>
      <c r="AJ83" s="4672"/>
      <c r="AK83" s="4672"/>
    </row>
    <row r="84" spans="1:37" ht="18.75" customHeight="1">
      <c r="A84" s="4699" t="s">
        <v>559</v>
      </c>
      <c r="B84" s="4684">
        <f>SUM('Произв. прогр. Вода'!H103)</f>
        <v>15.466172268676541</v>
      </c>
      <c r="C84" s="4685"/>
      <c r="D84" s="4685"/>
      <c r="E84" s="4685"/>
      <c r="F84" s="4684">
        <f t="shared" si="98"/>
        <v>0</v>
      </c>
      <c r="G84" s="4684">
        <f>SUM('Произв. прогр. Вода'!L103)</f>
        <v>15.466172268676541</v>
      </c>
      <c r="H84" s="4685"/>
      <c r="I84" s="4685"/>
      <c r="J84" s="4685">
        <v>59.62</v>
      </c>
      <c r="K84" s="4684">
        <f t="shared" si="99"/>
        <v>59.62</v>
      </c>
      <c r="L84" s="4686">
        <f>SUM('Произв. прогр. Вода'!M103)</f>
        <v>30.932344537353082</v>
      </c>
      <c r="M84" s="4686">
        <f t="shared" si="100"/>
        <v>59.62</v>
      </c>
      <c r="N84" s="4686">
        <f t="shared" si="43"/>
        <v>28.687655462646916</v>
      </c>
      <c r="O84" s="4684">
        <f>SUM('Произв. прогр. Вода'!Q103)</f>
        <v>15.466172268676541</v>
      </c>
      <c r="P84" s="4685"/>
      <c r="Q84" s="4685"/>
      <c r="R84" s="4685"/>
      <c r="S84" s="4684">
        <f t="shared" si="101"/>
        <v>0</v>
      </c>
      <c r="T84" s="4686">
        <f>SUM('Произв. прогр. Вода'!R103)</f>
        <v>46.398516806029619</v>
      </c>
      <c r="U84" s="4686">
        <f t="shared" si="102"/>
        <v>59.62</v>
      </c>
      <c r="V84" s="4686">
        <f t="shared" si="47"/>
        <v>13.221483193970379</v>
      </c>
      <c r="W84" s="4684">
        <f>SUM('Произв. прогр. Вода'!V103)</f>
        <v>15.466172268676541</v>
      </c>
      <c r="X84" s="4685"/>
      <c r="Y84" s="4685"/>
      <c r="Z84" s="4685"/>
      <c r="AA84" s="4684">
        <f t="shared" si="103"/>
        <v>0</v>
      </c>
      <c r="AB84" s="4686">
        <f>SUM('Произв. прогр. Вода'!B103)</f>
        <v>61.86468907470617</v>
      </c>
      <c r="AC84" s="4686">
        <f t="shared" si="104"/>
        <v>59.62</v>
      </c>
      <c r="AD84" s="4686">
        <f t="shared" si="51"/>
        <v>-2.244689074706173</v>
      </c>
      <c r="AE84" s="4689"/>
      <c r="AF84" s="4689"/>
      <c r="AG84" s="4672"/>
      <c r="AH84" s="4672"/>
      <c r="AI84" s="4672"/>
      <c r="AJ84" s="4672"/>
      <c r="AK84" s="4672"/>
    </row>
    <row r="85" spans="1:37" ht="18.75" customHeight="1">
      <c r="A85" s="4699" t="s">
        <v>613</v>
      </c>
      <c r="B85" s="4684">
        <f>SUM('Произв. прогр. Вода'!H104)</f>
        <v>0.32906749507822441</v>
      </c>
      <c r="C85" s="4685">
        <f>0.05+0.97</f>
        <v>1.02</v>
      </c>
      <c r="D85" s="4685">
        <f>0.61+0.52</f>
        <v>1.1299999999999999</v>
      </c>
      <c r="E85" s="4685">
        <v>1</v>
      </c>
      <c r="F85" s="4684">
        <f t="shared" si="98"/>
        <v>3.15</v>
      </c>
      <c r="G85" s="4684">
        <f>SUM('Произв. прогр. Вода'!L104)</f>
        <v>0.32906749507822441</v>
      </c>
      <c r="H85" s="4685">
        <f>0.26-0.01</f>
        <v>0.25</v>
      </c>
      <c r="I85" s="4685">
        <v>0.02</v>
      </c>
      <c r="J85" s="4685"/>
      <c r="K85" s="4684">
        <f t="shared" si="99"/>
        <v>0.27</v>
      </c>
      <c r="L85" s="4686">
        <f>SUM('Произв. прогр. Вода'!M104)</f>
        <v>0.65813499015644883</v>
      </c>
      <c r="M85" s="4686">
        <f t="shared" si="100"/>
        <v>3.42</v>
      </c>
      <c r="N85" s="4686">
        <f t="shared" si="43"/>
        <v>2.7618650098435511</v>
      </c>
      <c r="O85" s="4684">
        <f>SUM('Произв. прогр. Вода'!Q104)</f>
        <v>0.32906749507822441</v>
      </c>
      <c r="P85" s="4685"/>
      <c r="Q85" s="4685"/>
      <c r="R85" s="4685"/>
      <c r="S85" s="4684">
        <f t="shared" si="101"/>
        <v>0</v>
      </c>
      <c r="T85" s="4686">
        <f>SUM('Произв. прогр. Вода'!R104)</f>
        <v>0.98720248523467324</v>
      </c>
      <c r="U85" s="4686">
        <f t="shared" si="102"/>
        <v>3.42</v>
      </c>
      <c r="V85" s="4686">
        <f t="shared" si="47"/>
        <v>2.4327975147653267</v>
      </c>
      <c r="W85" s="4684">
        <f>SUM('Произв. прогр. Вода'!V104)</f>
        <v>0.32906749507822441</v>
      </c>
      <c r="X85" s="4685"/>
      <c r="Y85" s="4685"/>
      <c r="Z85" s="4685"/>
      <c r="AA85" s="4684">
        <f t="shared" si="103"/>
        <v>0</v>
      </c>
      <c r="AB85" s="4686">
        <f>SUM('Произв. прогр. Вода'!B104)</f>
        <v>1.3162699803128977</v>
      </c>
      <c r="AC85" s="4686">
        <f t="shared" si="104"/>
        <v>3.42</v>
      </c>
      <c r="AD85" s="4686">
        <f t="shared" si="51"/>
        <v>2.1037300196871023</v>
      </c>
      <c r="AE85" s="4689"/>
      <c r="AF85" s="4689"/>
      <c r="AG85" s="4672"/>
      <c r="AH85" s="4672"/>
      <c r="AI85" s="4672"/>
      <c r="AJ85" s="4672"/>
      <c r="AK85" s="4672"/>
    </row>
    <row r="86" spans="1:37" ht="18.75" customHeight="1">
      <c r="A86" s="4696" t="s">
        <v>16</v>
      </c>
      <c r="B86" s="4674">
        <f>SUM('Произв. прогр. Вода'!H105)</f>
        <v>4595.449089061457</v>
      </c>
      <c r="C86" s="4674">
        <f t="shared" ref="C86" si="118">SUM(C87:C91)+C93</f>
        <v>1096.44</v>
      </c>
      <c r="D86" s="4674">
        <f t="shared" ref="D86:F86" si="119">SUM(D87:D91)+D93</f>
        <v>1188.1999999999998</v>
      </c>
      <c r="E86" s="4674">
        <f>SUM(E87:E91)+E93</f>
        <v>1330.3500000000001</v>
      </c>
      <c r="F86" s="4674">
        <f t="shared" si="119"/>
        <v>3614.99</v>
      </c>
      <c r="G86" s="4674">
        <f>SUM('Произв. прогр. Вода'!L105)</f>
        <v>4600.4917395592493</v>
      </c>
      <c r="H86" s="4674">
        <f>SUM(H87:H91)+H93</f>
        <v>1312.32</v>
      </c>
      <c r="I86" s="4674">
        <f t="shared" ref="I86:M86" si="120">SUM(I87:I91)+I93</f>
        <v>1150.99</v>
      </c>
      <c r="J86" s="4674">
        <f t="shared" si="120"/>
        <v>1211.5</v>
      </c>
      <c r="K86" s="4674">
        <f t="shared" si="120"/>
        <v>3674.81</v>
      </c>
      <c r="L86" s="4676">
        <f>SUM('Произв. прогр. Вода'!M105)</f>
        <v>9195.9408286207072</v>
      </c>
      <c r="M86" s="4676">
        <f t="shared" si="120"/>
        <v>7289.7999999999993</v>
      </c>
      <c r="N86" s="4676">
        <f t="shared" si="43"/>
        <v>-1906.1408286207079</v>
      </c>
      <c r="O86" s="4674">
        <f>SUM('Произв. прогр. Вода'!Q105)</f>
        <v>4751.9426013840521</v>
      </c>
      <c r="P86" s="4674">
        <f t="shared" ref="P86:U86" si="121">SUM(P87:P91)+P93</f>
        <v>0</v>
      </c>
      <c r="Q86" s="4674">
        <f t="shared" si="121"/>
        <v>0</v>
      </c>
      <c r="R86" s="4674">
        <f t="shared" si="121"/>
        <v>0</v>
      </c>
      <c r="S86" s="4674">
        <f t="shared" si="121"/>
        <v>0</v>
      </c>
      <c r="T86" s="4676">
        <f>SUM('Произв. прогр. Вода'!R105)</f>
        <v>13947.883430004758</v>
      </c>
      <c r="U86" s="4676">
        <f t="shared" si="121"/>
        <v>7289.7999999999993</v>
      </c>
      <c r="V86" s="4697">
        <f t="shared" si="47"/>
        <v>-6658.0834300047591</v>
      </c>
      <c r="W86" s="4674">
        <f>SUM('Произв. прогр. Вода'!V105)</f>
        <v>4743.3756369119783</v>
      </c>
      <c r="X86" s="4674">
        <f t="shared" ref="X86:AC86" si="122">SUM(X87:X91)+X93</f>
        <v>0</v>
      </c>
      <c r="Y86" s="4674">
        <f t="shared" si="122"/>
        <v>0</v>
      </c>
      <c r="Z86" s="4674">
        <f t="shared" si="122"/>
        <v>0</v>
      </c>
      <c r="AA86" s="4674">
        <f t="shared" si="122"/>
        <v>0</v>
      </c>
      <c r="AB86" s="4676">
        <f>SUM('Произв. прогр. Вода'!B105)</f>
        <v>18691.259066916737</v>
      </c>
      <c r="AC86" s="4676">
        <f t="shared" si="122"/>
        <v>7289.7999999999993</v>
      </c>
      <c r="AD86" s="4676">
        <f t="shared" si="51"/>
        <v>-11401.459066916737</v>
      </c>
      <c r="AE86" s="4689"/>
      <c r="AF86" s="4689"/>
      <c r="AG86" s="4672"/>
      <c r="AH86" s="4672"/>
      <c r="AI86" s="4672"/>
      <c r="AJ86" s="4672"/>
      <c r="AK86" s="4672"/>
    </row>
    <row r="87" spans="1:37" ht="18.75" customHeight="1">
      <c r="A87" s="4691" t="s">
        <v>3</v>
      </c>
      <c r="B87" s="4678">
        <f>SUM('Произв. прогр. Вода'!H106)</f>
        <v>69.903471555917989</v>
      </c>
      <c r="C87" s="4679">
        <f>97.86+0.15</f>
        <v>98.01</v>
      </c>
      <c r="D87" s="4679">
        <f>60.34+0.25+14.72</f>
        <v>75.31</v>
      </c>
      <c r="E87" s="4679">
        <v>85.85</v>
      </c>
      <c r="F87" s="4678">
        <f t="shared" si="98"/>
        <v>259.16999999999996</v>
      </c>
      <c r="G87" s="4678">
        <f>SUM('Произв. прогр. Вода'!L106)</f>
        <v>69.903471555917989</v>
      </c>
      <c r="H87" s="4679">
        <v>70.430000000000007</v>
      </c>
      <c r="I87" s="4679">
        <f>0.01+6.71</f>
        <v>6.72</v>
      </c>
      <c r="J87" s="4679">
        <v>65.56</v>
      </c>
      <c r="K87" s="4678">
        <f t="shared" si="99"/>
        <v>142.71</v>
      </c>
      <c r="L87" s="4680">
        <f>SUM('Произв. прогр. Вода'!M106)</f>
        <v>139.80694311183598</v>
      </c>
      <c r="M87" s="4680">
        <f t="shared" si="100"/>
        <v>401.88</v>
      </c>
      <c r="N87" s="4680">
        <f t="shared" si="43"/>
        <v>262.07305688816405</v>
      </c>
      <c r="O87" s="4678">
        <f>SUM('Произв. прогр. Вода'!Q106)</f>
        <v>69.903471555917989</v>
      </c>
      <c r="P87" s="4679"/>
      <c r="Q87" s="4679"/>
      <c r="R87" s="4679"/>
      <c r="S87" s="4678">
        <f t="shared" si="101"/>
        <v>0</v>
      </c>
      <c r="T87" s="4680">
        <f>SUM('Произв. прогр. Вода'!R106)</f>
        <v>209.71041466775398</v>
      </c>
      <c r="U87" s="4680">
        <f t="shared" si="102"/>
        <v>401.88</v>
      </c>
      <c r="V87" s="4680">
        <f t="shared" si="47"/>
        <v>192.16958533224602</v>
      </c>
      <c r="W87" s="4678">
        <f>SUM('Произв. прогр. Вода'!V106)</f>
        <v>69.903471555917989</v>
      </c>
      <c r="X87" s="4679"/>
      <c r="Y87" s="4679"/>
      <c r="Z87" s="4679"/>
      <c r="AA87" s="4678">
        <f t="shared" si="103"/>
        <v>0</v>
      </c>
      <c r="AB87" s="4680">
        <f>SUM('Произв. прогр. Вода'!B106)</f>
        <v>279.61388622367195</v>
      </c>
      <c r="AC87" s="4680">
        <f t="shared" si="104"/>
        <v>401.88</v>
      </c>
      <c r="AD87" s="4680">
        <f t="shared" si="51"/>
        <v>122.26611377632804</v>
      </c>
      <c r="AE87" s="4689"/>
      <c r="AF87" s="4689"/>
      <c r="AG87" s="4672"/>
      <c r="AH87" s="4672"/>
      <c r="AI87" s="4672"/>
      <c r="AJ87" s="4672"/>
      <c r="AK87" s="4672"/>
    </row>
    <row r="88" spans="1:37" ht="18.75" customHeight="1">
      <c r="A88" s="4691" t="s">
        <v>2</v>
      </c>
      <c r="B88" s="4678">
        <f>SUM('Произв. прогр. Вода'!H107)</f>
        <v>13.4725</v>
      </c>
      <c r="C88" s="4679">
        <v>4.49</v>
      </c>
      <c r="D88" s="4679">
        <v>4.49</v>
      </c>
      <c r="E88" s="4679">
        <v>4.49</v>
      </c>
      <c r="F88" s="4678">
        <f t="shared" si="98"/>
        <v>13.47</v>
      </c>
      <c r="G88" s="4678">
        <f>SUM('Произв. прогр. Вода'!L107)</f>
        <v>13.4725</v>
      </c>
      <c r="H88" s="4679">
        <v>4.49</v>
      </c>
      <c r="I88" s="4679">
        <v>4.5</v>
      </c>
      <c r="J88" s="4679">
        <v>4.49</v>
      </c>
      <c r="K88" s="4678">
        <f t="shared" si="99"/>
        <v>13.48</v>
      </c>
      <c r="L88" s="4680">
        <f>SUM('Произв. прогр. Вода'!M107)</f>
        <v>26.945</v>
      </c>
      <c r="M88" s="4680">
        <f t="shared" si="100"/>
        <v>26.950000000000003</v>
      </c>
      <c r="N88" s="4680">
        <f t="shared" si="43"/>
        <v>5.000000000002558E-3</v>
      </c>
      <c r="O88" s="4678">
        <f>SUM('Произв. прогр. Вода'!Q107)</f>
        <v>13.4725</v>
      </c>
      <c r="P88" s="4679"/>
      <c r="Q88" s="4679"/>
      <c r="R88" s="4679"/>
      <c r="S88" s="4678">
        <f t="shared" si="101"/>
        <v>0</v>
      </c>
      <c r="T88" s="4680">
        <f>SUM('Произв. прогр. Вода'!R107)</f>
        <v>40.417500000000004</v>
      </c>
      <c r="U88" s="4680">
        <f t="shared" si="102"/>
        <v>26.950000000000003</v>
      </c>
      <c r="V88" s="4680">
        <f t="shared" si="47"/>
        <v>-13.467500000000001</v>
      </c>
      <c r="W88" s="4678">
        <f>SUM('Произв. прогр. Вода'!V107)</f>
        <v>13.4725</v>
      </c>
      <c r="X88" s="4679"/>
      <c r="Y88" s="4679"/>
      <c r="Z88" s="4679"/>
      <c r="AA88" s="4678">
        <f t="shared" si="103"/>
        <v>0</v>
      </c>
      <c r="AB88" s="4680">
        <f>SUM('Произв. прогр. Вода'!B107)</f>
        <v>53.89</v>
      </c>
      <c r="AC88" s="4680">
        <f t="shared" si="104"/>
        <v>26.950000000000003</v>
      </c>
      <c r="AD88" s="4680">
        <f t="shared" si="51"/>
        <v>-26.939999999999998</v>
      </c>
      <c r="AE88" s="4689"/>
      <c r="AF88" s="4689"/>
      <c r="AG88" s="4672"/>
      <c r="AH88" s="4672"/>
      <c r="AI88" s="4672"/>
      <c r="AJ88" s="4672"/>
      <c r="AK88" s="4672"/>
    </row>
    <row r="89" spans="1:37" ht="18.75" customHeight="1">
      <c r="A89" s="4691" t="s">
        <v>2045</v>
      </c>
      <c r="B89" s="4678">
        <f>SUM('Произв. прогр. Вода'!H108)</f>
        <v>0</v>
      </c>
      <c r="C89" s="4679"/>
      <c r="D89" s="4679"/>
      <c r="E89" s="4679">
        <v>10.91</v>
      </c>
      <c r="F89" s="4678">
        <f t="shared" si="98"/>
        <v>10.91</v>
      </c>
      <c r="G89" s="4678">
        <f>SUM('Произв. прогр. Вода'!L108)</f>
        <v>0</v>
      </c>
      <c r="H89" s="4679"/>
      <c r="I89" s="4679"/>
      <c r="J89" s="4679"/>
      <c r="K89" s="4678">
        <f t="shared" si="99"/>
        <v>0</v>
      </c>
      <c r="L89" s="4680">
        <f>SUM('Произв. прогр. Вода'!M108)</f>
        <v>0</v>
      </c>
      <c r="M89" s="4680">
        <f t="shared" si="100"/>
        <v>10.91</v>
      </c>
      <c r="N89" s="4680">
        <f t="shared" si="43"/>
        <v>10.91</v>
      </c>
      <c r="O89" s="4678">
        <f>SUM('Произв. прогр. Вода'!Q108)</f>
        <v>0</v>
      </c>
      <c r="P89" s="4679"/>
      <c r="Q89" s="4679"/>
      <c r="R89" s="4679"/>
      <c r="S89" s="4678">
        <f t="shared" si="101"/>
        <v>0</v>
      </c>
      <c r="T89" s="4680">
        <f>SUM('Произв. прогр. Вода'!R108)</f>
        <v>0</v>
      </c>
      <c r="U89" s="4680">
        <f t="shared" si="102"/>
        <v>10.91</v>
      </c>
      <c r="V89" s="4680">
        <f t="shared" si="47"/>
        <v>10.91</v>
      </c>
      <c r="W89" s="4678">
        <f>SUM('Произв. прогр. Вода'!V108)</f>
        <v>0</v>
      </c>
      <c r="X89" s="4679"/>
      <c r="Y89" s="4679"/>
      <c r="Z89" s="4679"/>
      <c r="AA89" s="4678">
        <f t="shared" si="103"/>
        <v>0</v>
      </c>
      <c r="AB89" s="4680">
        <f>SUM('Произв. прогр. Вода'!B108)</f>
        <v>0</v>
      </c>
      <c r="AC89" s="4680">
        <f t="shared" si="104"/>
        <v>10.91</v>
      </c>
      <c r="AD89" s="4680">
        <f t="shared" si="51"/>
        <v>10.91</v>
      </c>
      <c r="AE89" s="4689"/>
      <c r="AF89" s="4689"/>
      <c r="AG89" s="4672"/>
      <c r="AH89" s="4672"/>
      <c r="AI89" s="4672"/>
      <c r="AJ89" s="4672"/>
      <c r="AK89" s="4672"/>
    </row>
    <row r="90" spans="1:37" ht="18.75" customHeight="1">
      <c r="A90" s="4691" t="s">
        <v>4</v>
      </c>
      <c r="B90" s="4678">
        <f>SUM('Произв. прогр. Вода'!H109)</f>
        <v>2844.0850635081106</v>
      </c>
      <c r="C90" s="4679">
        <v>633.14</v>
      </c>
      <c r="D90" s="4679">
        <f>703.93</f>
        <v>703.93</v>
      </c>
      <c r="E90" s="4679">
        <v>757.38</v>
      </c>
      <c r="F90" s="4678">
        <f t="shared" si="98"/>
        <v>2094.4499999999998</v>
      </c>
      <c r="G90" s="4678">
        <f>SUM('Произв. прогр. Вода'!L109)</f>
        <v>2844.0850635081106</v>
      </c>
      <c r="H90" s="4679">
        <v>786.62</v>
      </c>
      <c r="I90" s="4679">
        <f>-4.77+732.77</f>
        <v>728</v>
      </c>
      <c r="J90" s="4679">
        <v>726.87</v>
      </c>
      <c r="K90" s="4678">
        <f t="shared" si="99"/>
        <v>2241.4899999999998</v>
      </c>
      <c r="L90" s="4680">
        <f>SUM('Произв. прогр. Вода'!M109)</f>
        <v>5688.1701270162212</v>
      </c>
      <c r="M90" s="4680">
        <f t="shared" si="100"/>
        <v>4335.9399999999996</v>
      </c>
      <c r="N90" s="4680">
        <f t="shared" ref="N90:N146" si="123">SUM(M90-L90)</f>
        <v>-1352.2301270162216</v>
      </c>
      <c r="O90" s="4678">
        <f>SUM('Произв. прогр. Вода'!Q109)</f>
        <v>2957.8484660484355</v>
      </c>
      <c r="P90" s="4679"/>
      <c r="Q90" s="4679"/>
      <c r="R90" s="4679"/>
      <c r="S90" s="4678">
        <f t="shared" si="101"/>
        <v>0</v>
      </c>
      <c r="T90" s="4680">
        <f>SUM('Произв. прогр. Вода'!R109)</f>
        <v>8646.0185930646567</v>
      </c>
      <c r="U90" s="4680">
        <f t="shared" si="102"/>
        <v>4335.9399999999996</v>
      </c>
      <c r="V90" s="4680">
        <f t="shared" ref="V90:V146" si="124">SUM(U90-T90)</f>
        <v>-4310.0785930646571</v>
      </c>
      <c r="W90" s="4678">
        <f>SUM('Произв. прогр. Вода'!V109)</f>
        <v>2957.8484660484355</v>
      </c>
      <c r="X90" s="4679"/>
      <c r="Y90" s="4679"/>
      <c r="Z90" s="4679"/>
      <c r="AA90" s="4678">
        <f t="shared" si="103"/>
        <v>0</v>
      </c>
      <c r="AB90" s="4680">
        <f>SUM('Произв. прогр. Вода'!B109)</f>
        <v>11603.867059113092</v>
      </c>
      <c r="AC90" s="4680">
        <f t="shared" si="104"/>
        <v>4335.9399999999996</v>
      </c>
      <c r="AD90" s="4680">
        <f t="shared" ref="AD90:AD146" si="125">SUM(AC90-AB90)</f>
        <v>-7267.9270591130926</v>
      </c>
      <c r="AE90" s="4689"/>
      <c r="AF90" s="4689"/>
      <c r="AG90" s="4672"/>
      <c r="AH90" s="4672"/>
      <c r="AI90" s="4672"/>
      <c r="AJ90" s="4672"/>
      <c r="AK90" s="4672"/>
    </row>
    <row r="91" spans="1:37" ht="18.75" customHeight="1">
      <c r="A91" s="4691" t="s">
        <v>5</v>
      </c>
      <c r="B91" s="4678">
        <f>SUM('Произв. прогр. Вода'!H110)</f>
        <v>854.07863275490934</v>
      </c>
      <c r="C91" s="4679">
        <v>191.21</v>
      </c>
      <c r="D91" s="4693">
        <v>210.62</v>
      </c>
      <c r="E91" s="4679">
        <v>227.52</v>
      </c>
      <c r="F91" s="4678">
        <f t="shared" si="98"/>
        <v>629.35</v>
      </c>
      <c r="G91" s="4678">
        <f>SUM('Произв. прогр. Вода'!L110)</f>
        <v>854.07863275490934</v>
      </c>
      <c r="H91" s="4679">
        <v>234.58</v>
      </c>
      <c r="I91" s="4679">
        <f>-0.24+219.1</f>
        <v>218.85999999999999</v>
      </c>
      <c r="J91" s="4679">
        <v>219.52</v>
      </c>
      <c r="K91" s="4678">
        <f t="shared" si="99"/>
        <v>672.96</v>
      </c>
      <c r="L91" s="4680">
        <f>SUM('Произв. прогр. Вода'!M110)</f>
        <v>1708.1572655098187</v>
      </c>
      <c r="M91" s="4680">
        <f t="shared" si="100"/>
        <v>1302.31</v>
      </c>
      <c r="N91" s="4680">
        <f t="shared" si="123"/>
        <v>-405.84726550981873</v>
      </c>
      <c r="O91" s="4678">
        <f>SUM('Произв. прогр. Вода'!Q110)</f>
        <v>888.24177806510579</v>
      </c>
      <c r="P91" s="4679"/>
      <c r="Q91" s="4679"/>
      <c r="R91" s="4679"/>
      <c r="S91" s="4678">
        <f t="shared" si="101"/>
        <v>0</v>
      </c>
      <c r="T91" s="4680">
        <f>SUM('Произв. прогр. Вода'!R110)</f>
        <v>2596.3990435749247</v>
      </c>
      <c r="U91" s="4680">
        <f t="shared" si="102"/>
        <v>1302.31</v>
      </c>
      <c r="V91" s="4680">
        <f t="shared" si="124"/>
        <v>-1294.0890435749247</v>
      </c>
      <c r="W91" s="4678">
        <f>SUM('Произв. прогр. Вода'!V110)</f>
        <v>888.24177806510579</v>
      </c>
      <c r="X91" s="4679"/>
      <c r="Y91" s="4679"/>
      <c r="Z91" s="4679"/>
      <c r="AA91" s="4678">
        <f t="shared" si="103"/>
        <v>0</v>
      </c>
      <c r="AB91" s="4680">
        <f>SUM('Произв. прогр. Вода'!B110)</f>
        <v>3484.64082164003</v>
      </c>
      <c r="AC91" s="4680">
        <f t="shared" si="104"/>
        <v>1302.31</v>
      </c>
      <c r="AD91" s="4680">
        <f t="shared" si="125"/>
        <v>-2182.3308216400301</v>
      </c>
      <c r="AE91" s="4689"/>
      <c r="AF91" s="4689"/>
      <c r="AG91" s="4672"/>
      <c r="AH91" s="4672"/>
      <c r="AI91" s="4672"/>
      <c r="AJ91" s="4672"/>
      <c r="AK91" s="4672"/>
    </row>
    <row r="92" spans="1:37" ht="18.75" customHeight="1">
      <c r="A92" s="4695" t="str">
        <f>A57</f>
        <v>то же в %</v>
      </c>
      <c r="B92" s="4682">
        <f>SUM('Произв. прогр. Вода'!H111)</f>
        <v>0.30029996068451759</v>
      </c>
      <c r="C92" s="4682">
        <f t="shared" ref="C92:F92" si="126">SUM(C91/C90)</f>
        <v>0.30200271661875733</v>
      </c>
      <c r="D92" s="4682">
        <f t="shared" si="126"/>
        <v>0.29920588694898642</v>
      </c>
      <c r="E92" s="4682">
        <f t="shared" si="126"/>
        <v>0.30040402439990493</v>
      </c>
      <c r="F92" s="4682">
        <f t="shared" si="126"/>
        <v>0.30048461409916688</v>
      </c>
      <c r="G92" s="4682">
        <f>SUM('Произв. прогр. Вода'!L111)</f>
        <v>0.30029996068451759</v>
      </c>
      <c r="H92" s="4682">
        <f t="shared" ref="H92:M92" si="127">SUM(H91/H90)</f>
        <v>0.29821260583254938</v>
      </c>
      <c r="I92" s="4682">
        <f t="shared" si="127"/>
        <v>0.3006318681318681</v>
      </c>
      <c r="J92" s="4682">
        <f t="shared" si="127"/>
        <v>0.30200723650721589</v>
      </c>
      <c r="K92" s="4682">
        <f t="shared" si="127"/>
        <v>0.30022886562063633</v>
      </c>
      <c r="L92" s="4683">
        <f>SUM('Произв. прогр. Вода'!M111)</f>
        <v>0.30029996068451759</v>
      </c>
      <c r="M92" s="4683">
        <f t="shared" si="127"/>
        <v>0.30035240340041608</v>
      </c>
      <c r="N92" s="4683">
        <f t="shared" si="123"/>
        <v>5.2442715898493031E-5</v>
      </c>
      <c r="O92" s="4682">
        <f>SUM('Произв. прогр. Вода'!Q111)</f>
        <v>0.30029996068451759</v>
      </c>
      <c r="P92" s="4682" t="e">
        <f t="shared" ref="P92:U92" si="128">SUM(P91/P90)</f>
        <v>#DIV/0!</v>
      </c>
      <c r="Q92" s="4682" t="e">
        <f t="shared" si="128"/>
        <v>#DIV/0!</v>
      </c>
      <c r="R92" s="4682" t="e">
        <f t="shared" si="128"/>
        <v>#DIV/0!</v>
      </c>
      <c r="S92" s="4682" t="e">
        <f t="shared" si="128"/>
        <v>#DIV/0!</v>
      </c>
      <c r="T92" s="4683">
        <f>SUM('Произв. прогр. Вода'!R111)</f>
        <v>0.30029996068451759</v>
      </c>
      <c r="U92" s="4683">
        <f t="shared" si="128"/>
        <v>0.30035240340041608</v>
      </c>
      <c r="V92" s="4683">
        <f t="shared" si="124"/>
        <v>5.2442715898493031E-5</v>
      </c>
      <c r="W92" s="4682">
        <f>SUM('Произв. прогр. Вода'!V111)</f>
        <v>0.30029996068451759</v>
      </c>
      <c r="X92" s="4682" t="e">
        <f t="shared" ref="X92:AC92" si="129">SUM(X91/X90)</f>
        <v>#DIV/0!</v>
      </c>
      <c r="Y92" s="4682" t="e">
        <f t="shared" si="129"/>
        <v>#DIV/0!</v>
      </c>
      <c r="Z92" s="4682" t="e">
        <f t="shared" si="129"/>
        <v>#DIV/0!</v>
      </c>
      <c r="AA92" s="4682" t="e">
        <f t="shared" si="129"/>
        <v>#DIV/0!</v>
      </c>
      <c r="AB92" s="4683">
        <f>SUM('Произв. прогр. Вода'!B111)</f>
        <v>0.30029996068451759</v>
      </c>
      <c r="AC92" s="4683">
        <f t="shared" si="129"/>
        <v>0.30035240340041608</v>
      </c>
      <c r="AD92" s="4683">
        <f t="shared" si="125"/>
        <v>5.2442715898493031E-5</v>
      </c>
      <c r="AE92" s="4689"/>
      <c r="AF92" s="4689"/>
      <c r="AG92" s="4672"/>
      <c r="AH92" s="4672"/>
      <c r="AI92" s="4672"/>
      <c r="AJ92" s="4672"/>
      <c r="AK92" s="4672"/>
    </row>
    <row r="93" spans="1:37" ht="18.75" customHeight="1">
      <c r="A93" s="4696" t="s">
        <v>1723</v>
      </c>
      <c r="B93" s="4674">
        <f>SUM('Произв. прогр. Вода'!H112)</f>
        <v>813.90942124251865</v>
      </c>
      <c r="C93" s="4674">
        <f t="shared" ref="C93" si="130">SUM(C94:C104)+C106</f>
        <v>169.59</v>
      </c>
      <c r="D93" s="4674">
        <f t="shared" ref="D93:F93" si="131">SUM(D94:D104)+D106</f>
        <v>193.84999999999997</v>
      </c>
      <c r="E93" s="4674">
        <f>SUM(E94:E104)+E106</f>
        <v>244.20000000000002</v>
      </c>
      <c r="F93" s="4674">
        <f t="shared" si="131"/>
        <v>607.64</v>
      </c>
      <c r="G93" s="4674">
        <f>SUM('Произв. прогр. Вода'!L112)</f>
        <v>818.95207174031123</v>
      </c>
      <c r="H93" s="4674">
        <f>SUM(H94:H104)+H106</f>
        <v>216.2</v>
      </c>
      <c r="I93" s="4674">
        <f t="shared" ref="I93:M93" si="132">SUM(I94:I104)+I106</f>
        <v>192.90999999999997</v>
      </c>
      <c r="J93" s="4674">
        <f t="shared" si="132"/>
        <v>195.06</v>
      </c>
      <c r="K93" s="4674">
        <f t="shared" si="132"/>
        <v>604.16999999999996</v>
      </c>
      <c r="L93" s="4676">
        <f>SUM('Произв. прогр. Вода'!M112)</f>
        <v>1632.86149298283</v>
      </c>
      <c r="M93" s="4676">
        <f t="shared" si="132"/>
        <v>1211.81</v>
      </c>
      <c r="N93" s="4676">
        <f t="shared" si="123"/>
        <v>-421.05149298283004</v>
      </c>
      <c r="O93" s="4674">
        <f>SUM('Произв. прогр. Вода'!Q112)</f>
        <v>822.47638571459242</v>
      </c>
      <c r="P93" s="4674">
        <f t="shared" ref="P93:U93" si="133">SUM(P94:P104)+P106</f>
        <v>0</v>
      </c>
      <c r="Q93" s="4674">
        <f>SUM(Q94:Q104)+Q106</f>
        <v>0</v>
      </c>
      <c r="R93" s="4674">
        <f t="shared" si="133"/>
        <v>0</v>
      </c>
      <c r="S93" s="4674">
        <f t="shared" si="133"/>
        <v>0</v>
      </c>
      <c r="T93" s="4676">
        <f>SUM('Произв. прогр. Вода'!R112)</f>
        <v>2455.3378786974226</v>
      </c>
      <c r="U93" s="4676">
        <f t="shared" si="133"/>
        <v>1211.81</v>
      </c>
      <c r="V93" s="4697">
        <f t="shared" si="124"/>
        <v>-1243.5278786974227</v>
      </c>
      <c r="W93" s="4674">
        <f>SUM('Произв. прогр. Вода'!V112)</f>
        <v>813.90942124251865</v>
      </c>
      <c r="X93" s="4674">
        <f t="shared" ref="X93:AC93" si="134">SUM(X94:X104)+X106</f>
        <v>0</v>
      </c>
      <c r="Y93" s="4674">
        <f t="shared" si="134"/>
        <v>0</v>
      </c>
      <c r="Z93" s="4674">
        <f t="shared" si="134"/>
        <v>0</v>
      </c>
      <c r="AA93" s="4674">
        <f t="shared" si="134"/>
        <v>0</v>
      </c>
      <c r="AB93" s="4676">
        <f>SUM('Произв. прогр. Вода'!B112)</f>
        <v>3269.2472999399411</v>
      </c>
      <c r="AC93" s="4676">
        <f t="shared" si="134"/>
        <v>1211.81</v>
      </c>
      <c r="AD93" s="4676">
        <f t="shared" si="125"/>
        <v>-2057.4372999399411</v>
      </c>
      <c r="AE93" s="4689"/>
      <c r="AF93" s="4689"/>
      <c r="AG93" s="4672"/>
      <c r="AH93" s="4672"/>
      <c r="AI93" s="4672"/>
      <c r="AJ93" s="4672"/>
      <c r="AK93" s="4672"/>
    </row>
    <row r="94" spans="1:37" ht="18.75" customHeight="1">
      <c r="A94" s="4698" t="s">
        <v>72</v>
      </c>
      <c r="B94" s="4678">
        <f>SUM('Произв. прогр. Вода'!H113)</f>
        <v>0</v>
      </c>
      <c r="C94" s="4679"/>
      <c r="D94" s="4679"/>
      <c r="E94" s="4679"/>
      <c r="F94" s="4678">
        <f t="shared" ref="F94:F115" si="135">SUM(C94:E94)</f>
        <v>0</v>
      </c>
      <c r="G94" s="4678">
        <f>SUM('Произв. прогр. Вода'!L113)</f>
        <v>0</v>
      </c>
      <c r="H94" s="4679"/>
      <c r="I94" s="4679"/>
      <c r="J94" s="4679"/>
      <c r="K94" s="4678">
        <f t="shared" ref="K94:K115" si="136">SUM(H94:J94)</f>
        <v>0</v>
      </c>
      <c r="L94" s="4680">
        <f>SUM('Произв. прогр. Вода'!M113)</f>
        <v>0</v>
      </c>
      <c r="M94" s="4680">
        <f t="shared" ref="M94:M115" si="137">SUM(F94+K94)</f>
        <v>0</v>
      </c>
      <c r="N94" s="4680">
        <f t="shared" si="123"/>
        <v>0</v>
      </c>
      <c r="O94" s="4678">
        <f>SUM('Произв. прогр. Вода'!Q113)</f>
        <v>0</v>
      </c>
      <c r="P94" s="4679"/>
      <c r="Q94" s="4679"/>
      <c r="R94" s="4679"/>
      <c r="S94" s="4678">
        <f t="shared" ref="S94:S115" si="138">SUM(P94:R94)</f>
        <v>0</v>
      </c>
      <c r="T94" s="4680">
        <f>SUM('Произв. прогр. Вода'!R113)</f>
        <v>0</v>
      </c>
      <c r="U94" s="4680">
        <f t="shared" ref="U94:U115" si="139">SUM(M94+S94)</f>
        <v>0</v>
      </c>
      <c r="V94" s="4680">
        <f t="shared" si="124"/>
        <v>0</v>
      </c>
      <c r="W94" s="4678">
        <f>SUM('Произв. прогр. Вода'!V113)</f>
        <v>0</v>
      </c>
      <c r="X94" s="4679"/>
      <c r="Y94" s="4679"/>
      <c r="Z94" s="4679"/>
      <c r="AA94" s="4678">
        <f t="shared" ref="AA94:AA115" si="140">SUM(X94:Z94)</f>
        <v>0</v>
      </c>
      <c r="AB94" s="4680">
        <f>SUM('Произв. прогр. Вода'!B113)</f>
        <v>0</v>
      </c>
      <c r="AC94" s="4680">
        <f t="shared" ref="AC94:AC115" si="141">SUM(U94+AA94)</f>
        <v>0</v>
      </c>
      <c r="AD94" s="4680">
        <f t="shared" si="125"/>
        <v>0</v>
      </c>
      <c r="AE94" s="4689"/>
      <c r="AF94" s="4689"/>
      <c r="AG94" s="4672"/>
      <c r="AH94" s="4672"/>
      <c r="AI94" s="4672"/>
      <c r="AJ94" s="4672"/>
      <c r="AK94" s="4672"/>
    </row>
    <row r="95" spans="1:37" ht="18.75" customHeight="1">
      <c r="A95" s="4698" t="s">
        <v>121</v>
      </c>
      <c r="B95" s="4678">
        <f>SUM('Произв. прогр. Вода'!H114)</f>
        <v>0</v>
      </c>
      <c r="C95" s="4679"/>
      <c r="D95" s="4679"/>
      <c r="E95" s="4679"/>
      <c r="F95" s="4678">
        <f t="shared" si="135"/>
        <v>0</v>
      </c>
      <c r="G95" s="4678">
        <f>SUM('Произв. прогр. Вода'!L114)</f>
        <v>0</v>
      </c>
      <c r="H95" s="4679"/>
      <c r="I95" s="4679"/>
      <c r="J95" s="4679"/>
      <c r="K95" s="4678">
        <f t="shared" si="136"/>
        <v>0</v>
      </c>
      <c r="L95" s="4680">
        <f>SUM('Произв. прогр. Вода'!M114)</f>
        <v>0</v>
      </c>
      <c r="M95" s="4680">
        <f t="shared" si="137"/>
        <v>0</v>
      </c>
      <c r="N95" s="4680">
        <f t="shared" si="123"/>
        <v>0</v>
      </c>
      <c r="O95" s="4678">
        <f>SUM('Произв. прогр. Вода'!Q114)</f>
        <v>0</v>
      </c>
      <c r="P95" s="4679"/>
      <c r="Q95" s="4679"/>
      <c r="R95" s="4679"/>
      <c r="S95" s="4678">
        <f t="shared" si="138"/>
        <v>0</v>
      </c>
      <c r="T95" s="4680">
        <f>SUM('Произв. прогр. Вода'!R114)</f>
        <v>0</v>
      </c>
      <c r="U95" s="4680">
        <f t="shared" si="139"/>
        <v>0</v>
      </c>
      <c r="V95" s="4680">
        <f t="shared" si="124"/>
        <v>0</v>
      </c>
      <c r="W95" s="4678">
        <f>SUM('Произв. прогр. Вода'!V114)</f>
        <v>0</v>
      </c>
      <c r="X95" s="4679"/>
      <c r="Y95" s="4679"/>
      <c r="Z95" s="4679"/>
      <c r="AA95" s="4678">
        <f t="shared" si="140"/>
        <v>0</v>
      </c>
      <c r="AB95" s="4680">
        <f>SUM('Произв. прогр. Вода'!B114)</f>
        <v>0</v>
      </c>
      <c r="AC95" s="4680">
        <f t="shared" si="141"/>
        <v>0</v>
      </c>
      <c r="AD95" s="4680">
        <f t="shared" si="125"/>
        <v>0</v>
      </c>
      <c r="AE95" s="4689"/>
      <c r="AF95" s="4689"/>
      <c r="AG95" s="4672"/>
      <c r="AH95" s="4672"/>
      <c r="AI95" s="4672"/>
      <c r="AJ95" s="4672"/>
      <c r="AK95" s="4672"/>
    </row>
    <row r="96" spans="1:37" ht="18.75" customHeight="1">
      <c r="A96" s="4698" t="s">
        <v>52</v>
      </c>
      <c r="B96" s="4678">
        <f>SUM('Произв. прогр. Вода'!H115)</f>
        <v>1.8798171974654663</v>
      </c>
      <c r="C96" s="4679">
        <v>0.53</v>
      </c>
      <c r="D96" s="4679"/>
      <c r="E96" s="4679">
        <v>1.19</v>
      </c>
      <c r="F96" s="4678">
        <f t="shared" si="135"/>
        <v>1.72</v>
      </c>
      <c r="G96" s="4678">
        <f>SUM('Произв. прогр. Вода'!L115)</f>
        <v>1.8798171974654663</v>
      </c>
      <c r="H96" s="4679">
        <v>0.57999999999999996</v>
      </c>
      <c r="I96" s="4679">
        <v>0.54</v>
      </c>
      <c r="J96" s="4679"/>
      <c r="K96" s="4678">
        <f t="shared" si="136"/>
        <v>1.1200000000000001</v>
      </c>
      <c r="L96" s="4680">
        <f>SUM('Произв. прогр. Вода'!M115)</f>
        <v>3.7596343949309325</v>
      </c>
      <c r="M96" s="4680">
        <f t="shared" si="137"/>
        <v>2.84</v>
      </c>
      <c r="N96" s="4680">
        <f t="shared" si="123"/>
        <v>-0.91963439493093269</v>
      </c>
      <c r="O96" s="4678">
        <f>SUM('Произв. прогр. Вода'!Q115)</f>
        <v>1.8798171974654663</v>
      </c>
      <c r="P96" s="4679"/>
      <c r="Q96" s="4679"/>
      <c r="R96" s="4679"/>
      <c r="S96" s="4678">
        <f t="shared" si="138"/>
        <v>0</v>
      </c>
      <c r="T96" s="4680">
        <f>SUM('Произв. прогр. Вода'!R115)</f>
        <v>5.6394515923963988</v>
      </c>
      <c r="U96" s="4680">
        <f t="shared" si="139"/>
        <v>2.84</v>
      </c>
      <c r="V96" s="4680">
        <f t="shared" si="124"/>
        <v>-2.799451592396399</v>
      </c>
      <c r="W96" s="4678">
        <f>SUM('Произв. прогр. Вода'!V115)</f>
        <v>1.8798171974654663</v>
      </c>
      <c r="X96" s="4679"/>
      <c r="Y96" s="4679"/>
      <c r="Z96" s="4679"/>
      <c r="AA96" s="4678">
        <f t="shared" si="140"/>
        <v>0</v>
      </c>
      <c r="AB96" s="4680">
        <f>SUM('Произв. прогр. Вода'!B115)</f>
        <v>7.5192687898618642</v>
      </c>
      <c r="AC96" s="4680">
        <f t="shared" si="141"/>
        <v>2.84</v>
      </c>
      <c r="AD96" s="4680">
        <f t="shared" si="125"/>
        <v>-4.6792687898618643</v>
      </c>
      <c r="AE96" s="4689"/>
      <c r="AF96" s="4689"/>
      <c r="AG96" s="4672"/>
      <c r="AH96" s="4672"/>
      <c r="AI96" s="4672"/>
      <c r="AJ96" s="4672"/>
      <c r="AK96" s="4672"/>
    </row>
    <row r="97" spans="1:37" ht="18.75" customHeight="1">
      <c r="A97" s="4698" t="s">
        <v>603</v>
      </c>
      <c r="B97" s="4678">
        <f>SUM('Произв. прогр. Вода'!H116)</f>
        <v>570.81057856951372</v>
      </c>
      <c r="C97" s="4679">
        <f>0.64+1.4+123</f>
        <v>125.04</v>
      </c>
      <c r="D97" s="4679">
        <f>0.32+141.63</f>
        <v>141.94999999999999</v>
      </c>
      <c r="E97" s="4679">
        <v>177.25</v>
      </c>
      <c r="F97" s="4678">
        <f t="shared" si="135"/>
        <v>444.24</v>
      </c>
      <c r="G97" s="4678">
        <f>SUM('Произв. прогр. Вода'!L116)</f>
        <v>570.81057856951372</v>
      </c>
      <c r="H97" s="4679">
        <v>164.18</v>
      </c>
      <c r="I97" s="4679">
        <f>0.33+1.91+141.57</f>
        <v>143.81</v>
      </c>
      <c r="J97" s="4679">
        <v>141.82</v>
      </c>
      <c r="K97" s="4678">
        <f t="shared" si="136"/>
        <v>449.81</v>
      </c>
      <c r="L97" s="4680">
        <f>SUM('Произв. прогр. Вода'!M116)</f>
        <v>1141.6211571390274</v>
      </c>
      <c r="M97" s="4680">
        <f t="shared" si="137"/>
        <v>894.05</v>
      </c>
      <c r="N97" s="4680">
        <f t="shared" si="123"/>
        <v>-247.57115713902749</v>
      </c>
      <c r="O97" s="4678">
        <f>SUM('Произв. прогр. Вода'!Q116)</f>
        <v>570.81057856951372</v>
      </c>
      <c r="P97" s="4679"/>
      <c r="Q97" s="4679"/>
      <c r="R97" s="4679"/>
      <c r="S97" s="4678">
        <f t="shared" si="138"/>
        <v>0</v>
      </c>
      <c r="T97" s="4680">
        <f>SUM('Произв. прогр. Вода'!R116)</f>
        <v>1712.4317357085411</v>
      </c>
      <c r="U97" s="4680">
        <f t="shared" si="139"/>
        <v>894.05</v>
      </c>
      <c r="V97" s="4680">
        <f t="shared" si="124"/>
        <v>-818.3817357085411</v>
      </c>
      <c r="W97" s="4678">
        <f>SUM('Произв. прогр. Вода'!V116)</f>
        <v>570.81057856951372</v>
      </c>
      <c r="X97" s="4679"/>
      <c r="Y97" s="4679"/>
      <c r="Z97" s="4679"/>
      <c r="AA97" s="4678">
        <f t="shared" si="140"/>
        <v>0</v>
      </c>
      <c r="AB97" s="4680">
        <f>SUM('Произв. прогр. Вода'!B116)</f>
        <v>2283.2423142780549</v>
      </c>
      <c r="AC97" s="4680">
        <f t="shared" si="141"/>
        <v>894.05</v>
      </c>
      <c r="AD97" s="4680">
        <f t="shared" si="125"/>
        <v>-1389.1923142780549</v>
      </c>
      <c r="AE97" s="4689"/>
      <c r="AF97" s="4689"/>
      <c r="AG97" s="4672"/>
      <c r="AH97" s="4672"/>
      <c r="AI97" s="4672"/>
      <c r="AJ97" s="4672"/>
      <c r="AK97" s="4672"/>
    </row>
    <row r="98" spans="1:37" ht="18.75" customHeight="1">
      <c r="A98" s="4698" t="s">
        <v>605</v>
      </c>
      <c r="B98" s="4678">
        <f>SUM('Произв. прогр. Вода'!H117)</f>
        <v>50.34640841907509</v>
      </c>
      <c r="C98" s="4679">
        <v>5.76</v>
      </c>
      <c r="D98" s="4679">
        <v>10.55</v>
      </c>
      <c r="E98" s="4679">
        <v>6.32</v>
      </c>
      <c r="F98" s="4678">
        <f t="shared" si="135"/>
        <v>22.630000000000003</v>
      </c>
      <c r="G98" s="4678">
        <f>SUM('Произв. прогр. Вода'!L117)</f>
        <v>50.34640841907509</v>
      </c>
      <c r="H98" s="4679">
        <v>10.76</v>
      </c>
      <c r="I98" s="4679">
        <v>25.13</v>
      </c>
      <c r="J98" s="4679">
        <v>5.69</v>
      </c>
      <c r="K98" s="4678">
        <f t="shared" si="136"/>
        <v>41.58</v>
      </c>
      <c r="L98" s="4680">
        <f>SUM('Произв. прогр. Вода'!M117)</f>
        <v>100.69281683815018</v>
      </c>
      <c r="M98" s="4680">
        <f t="shared" si="137"/>
        <v>64.210000000000008</v>
      </c>
      <c r="N98" s="4680">
        <f t="shared" si="123"/>
        <v>-36.482816838150171</v>
      </c>
      <c r="O98" s="4678">
        <f>SUM('Произв. прогр. Вода'!Q117)</f>
        <v>50.34640841907509</v>
      </c>
      <c r="P98" s="4679"/>
      <c r="Q98" s="4679"/>
      <c r="R98" s="4679"/>
      <c r="S98" s="4678">
        <f t="shared" si="138"/>
        <v>0</v>
      </c>
      <c r="T98" s="4680">
        <f>SUM('Произв. прогр. Вода'!R117)</f>
        <v>151.03922525722527</v>
      </c>
      <c r="U98" s="4680">
        <f t="shared" si="139"/>
        <v>64.210000000000008</v>
      </c>
      <c r="V98" s="4680">
        <f t="shared" si="124"/>
        <v>-86.829225257225261</v>
      </c>
      <c r="W98" s="4678">
        <f>SUM('Произв. прогр. Вода'!V117)</f>
        <v>50.34640841907509</v>
      </c>
      <c r="X98" s="4679"/>
      <c r="Y98" s="4679"/>
      <c r="Z98" s="4679"/>
      <c r="AA98" s="4678">
        <f t="shared" si="140"/>
        <v>0</v>
      </c>
      <c r="AB98" s="4680">
        <f>SUM('Произв. прогр. Вода'!B117)</f>
        <v>201.38563367630039</v>
      </c>
      <c r="AC98" s="4680">
        <f t="shared" si="141"/>
        <v>64.210000000000008</v>
      </c>
      <c r="AD98" s="4680">
        <f t="shared" si="125"/>
        <v>-137.17563367630038</v>
      </c>
      <c r="AE98" s="4689"/>
      <c r="AF98" s="4689"/>
      <c r="AG98" s="4672"/>
      <c r="AH98" s="4672"/>
      <c r="AI98" s="4672"/>
      <c r="AJ98" s="4672"/>
      <c r="AK98" s="4672"/>
    </row>
    <row r="99" spans="1:37" ht="18.75" customHeight="1">
      <c r="A99" s="4698" t="s">
        <v>604</v>
      </c>
      <c r="B99" s="4678">
        <f>SUM('Произв. прогр. Вода'!H118)</f>
        <v>31.466505261921931</v>
      </c>
      <c r="C99" s="4679">
        <f>7.04+3.07</f>
        <v>10.11</v>
      </c>
      <c r="D99" s="4679">
        <f>7.04+3.07</f>
        <v>10.11</v>
      </c>
      <c r="E99" s="4679">
        <v>10.08</v>
      </c>
      <c r="F99" s="4678">
        <f t="shared" si="135"/>
        <v>30.299999999999997</v>
      </c>
      <c r="G99" s="4678">
        <f>SUM('Произв. прогр. Вода'!L118)</f>
        <v>31.466505261921931</v>
      </c>
      <c r="H99" s="4679">
        <v>10.07</v>
      </c>
      <c r="I99" s="4679">
        <f>7.04+3.02</f>
        <v>10.06</v>
      </c>
      <c r="J99" s="4679">
        <v>10.07</v>
      </c>
      <c r="K99" s="4678">
        <f t="shared" si="136"/>
        <v>30.200000000000003</v>
      </c>
      <c r="L99" s="4680">
        <f>SUM('Произв. прогр. Вода'!M118)</f>
        <v>62.933010523843862</v>
      </c>
      <c r="M99" s="4680">
        <f t="shared" si="137"/>
        <v>60.5</v>
      </c>
      <c r="N99" s="4680">
        <f t="shared" si="123"/>
        <v>-2.433010523843862</v>
      </c>
      <c r="O99" s="4678">
        <f>SUM('Произв. прогр. Вода'!Q118)</f>
        <v>31.466505261921931</v>
      </c>
      <c r="P99" s="4679"/>
      <c r="Q99" s="4679"/>
      <c r="R99" s="4679"/>
      <c r="S99" s="4678">
        <f t="shared" si="138"/>
        <v>0</v>
      </c>
      <c r="T99" s="4680">
        <f>SUM('Произв. прогр. Вода'!R118)</f>
        <v>94.3995157857658</v>
      </c>
      <c r="U99" s="4680">
        <f t="shared" si="139"/>
        <v>60.5</v>
      </c>
      <c r="V99" s="4680">
        <f t="shared" si="124"/>
        <v>-33.8995157857658</v>
      </c>
      <c r="W99" s="4678">
        <f>SUM('Произв. прогр. Вода'!V118)</f>
        <v>31.466505261921931</v>
      </c>
      <c r="X99" s="4679"/>
      <c r="Y99" s="4679"/>
      <c r="Z99" s="4679"/>
      <c r="AA99" s="4678">
        <f t="shared" si="140"/>
        <v>0</v>
      </c>
      <c r="AB99" s="4680">
        <f>SUM('Произв. прогр. Вода'!B118)</f>
        <v>125.86602104768772</v>
      </c>
      <c r="AC99" s="4680">
        <f t="shared" si="141"/>
        <v>60.5</v>
      </c>
      <c r="AD99" s="4680">
        <f t="shared" si="125"/>
        <v>-65.366021047687724</v>
      </c>
      <c r="AE99" s="4689"/>
      <c r="AF99" s="4689"/>
      <c r="AG99" s="4672"/>
      <c r="AH99" s="4672"/>
      <c r="AI99" s="4672"/>
      <c r="AJ99" s="4672"/>
      <c r="AK99" s="4672"/>
    </row>
    <row r="100" spans="1:37" ht="18.75" customHeight="1">
      <c r="A100" s="4698" t="s">
        <v>614</v>
      </c>
      <c r="B100" s="4678">
        <f>SUM('Произв. прогр. Вода'!H119)</f>
        <v>14.384688119735742</v>
      </c>
      <c r="C100" s="4679"/>
      <c r="D100" s="4679">
        <v>0.64</v>
      </c>
      <c r="E100" s="4679"/>
      <c r="F100" s="4678">
        <f t="shared" si="135"/>
        <v>0.64</v>
      </c>
      <c r="G100" s="4678">
        <f>SUM('Произв. прогр. Вода'!L119)</f>
        <v>14.384688119735742</v>
      </c>
      <c r="H100" s="4679">
        <v>1.26</v>
      </c>
      <c r="I100" s="4679">
        <v>1.26</v>
      </c>
      <c r="J100" s="4679"/>
      <c r="K100" s="4678">
        <f t="shared" si="136"/>
        <v>2.52</v>
      </c>
      <c r="L100" s="4680">
        <f>SUM('Произв. прогр. Вода'!M119)</f>
        <v>28.769376239471484</v>
      </c>
      <c r="M100" s="4680">
        <f t="shared" si="137"/>
        <v>3.16</v>
      </c>
      <c r="N100" s="4680">
        <f t="shared" si="123"/>
        <v>-25.609376239471484</v>
      </c>
      <c r="O100" s="4678">
        <f>SUM('Произв. прогр. Вода'!Q119)</f>
        <v>14.384688119735742</v>
      </c>
      <c r="P100" s="4679"/>
      <c r="Q100" s="4679"/>
      <c r="R100" s="4679"/>
      <c r="S100" s="4678">
        <f t="shared" si="138"/>
        <v>0</v>
      </c>
      <c r="T100" s="4680">
        <f>SUM('Произв. прогр. Вода'!R119)</f>
        <v>43.154064359207226</v>
      </c>
      <c r="U100" s="4680">
        <f t="shared" si="139"/>
        <v>3.16</v>
      </c>
      <c r="V100" s="4680">
        <f t="shared" si="124"/>
        <v>-39.994064359207229</v>
      </c>
      <c r="W100" s="4678">
        <f>SUM('Произв. прогр. Вода'!V119)</f>
        <v>14.384688119735742</v>
      </c>
      <c r="X100" s="4679"/>
      <c r="Y100" s="4679"/>
      <c r="Z100" s="4679"/>
      <c r="AA100" s="4678">
        <f t="shared" si="140"/>
        <v>0</v>
      </c>
      <c r="AB100" s="4680">
        <f>SUM('Произв. прогр. Вода'!B119)</f>
        <v>57.538752478942968</v>
      </c>
      <c r="AC100" s="4680">
        <f t="shared" si="141"/>
        <v>3.16</v>
      </c>
      <c r="AD100" s="4680">
        <f t="shared" si="125"/>
        <v>-54.378752478942971</v>
      </c>
      <c r="AE100" s="4689"/>
      <c r="AF100" s="4689"/>
      <c r="AG100" s="4672"/>
      <c r="AH100" s="4672"/>
      <c r="AI100" s="4672"/>
      <c r="AJ100" s="4672"/>
      <c r="AK100" s="4672"/>
    </row>
    <row r="101" spans="1:37" ht="18.75" customHeight="1">
      <c r="A101" s="4698" t="s">
        <v>41</v>
      </c>
      <c r="B101" s="4678">
        <f>SUM('Произв. прогр. Вода'!H120)</f>
        <v>0</v>
      </c>
      <c r="C101" s="4679"/>
      <c r="D101" s="4679"/>
      <c r="E101" s="4679"/>
      <c r="F101" s="4678">
        <f t="shared" si="135"/>
        <v>0</v>
      </c>
      <c r="G101" s="4678">
        <f>SUM('Произв. прогр. Вода'!L120)</f>
        <v>0</v>
      </c>
      <c r="H101" s="4679"/>
      <c r="I101" s="4679"/>
      <c r="J101" s="4679"/>
      <c r="K101" s="4678">
        <f t="shared" si="136"/>
        <v>0</v>
      </c>
      <c r="L101" s="4680">
        <f>SUM('Произв. прогр. Вода'!M120)</f>
        <v>0</v>
      </c>
      <c r="M101" s="4680">
        <f t="shared" si="137"/>
        <v>0</v>
      </c>
      <c r="N101" s="4680">
        <f t="shared" si="123"/>
        <v>0</v>
      </c>
      <c r="O101" s="4678">
        <f>SUM('Произв. прогр. Вода'!Q120)</f>
        <v>0</v>
      </c>
      <c r="P101" s="4679"/>
      <c r="Q101" s="4679"/>
      <c r="R101" s="4679"/>
      <c r="S101" s="4678">
        <f t="shared" si="138"/>
        <v>0</v>
      </c>
      <c r="T101" s="4680">
        <f>SUM('Произв. прогр. Вода'!R120)</f>
        <v>0</v>
      </c>
      <c r="U101" s="4680">
        <f t="shared" si="139"/>
        <v>0</v>
      </c>
      <c r="V101" s="4680">
        <f t="shared" si="124"/>
        <v>0</v>
      </c>
      <c r="W101" s="4678">
        <f>SUM('Произв. прогр. Вода'!V120)</f>
        <v>0</v>
      </c>
      <c r="X101" s="4679"/>
      <c r="Y101" s="4679"/>
      <c r="Z101" s="4679"/>
      <c r="AA101" s="4678">
        <f t="shared" si="140"/>
        <v>0</v>
      </c>
      <c r="AB101" s="4680">
        <f>SUM('Произв. прогр. Вода'!B120)</f>
        <v>0</v>
      </c>
      <c r="AC101" s="4680">
        <f t="shared" si="141"/>
        <v>0</v>
      </c>
      <c r="AD101" s="4680">
        <f t="shared" si="125"/>
        <v>0</v>
      </c>
      <c r="AE101" s="4689"/>
      <c r="AF101" s="4689"/>
      <c r="AG101" s="4672"/>
      <c r="AH101" s="4672"/>
      <c r="AI101" s="4672"/>
      <c r="AJ101" s="4672"/>
      <c r="AK101" s="4672"/>
    </row>
    <row r="102" spans="1:37" ht="18.75" customHeight="1">
      <c r="A102" s="4698" t="s">
        <v>38</v>
      </c>
      <c r="B102" s="4678">
        <f>SUM('Произв. прогр. Вода'!H121)</f>
        <v>1.6346236499699707</v>
      </c>
      <c r="C102" s="4679"/>
      <c r="D102" s="4679">
        <v>3.2</v>
      </c>
      <c r="E102" s="4679"/>
      <c r="F102" s="4678">
        <f t="shared" si="135"/>
        <v>3.2</v>
      </c>
      <c r="G102" s="4678">
        <f>SUM('Произв. прогр. Вода'!L121)</f>
        <v>1.6346236499699707</v>
      </c>
      <c r="H102" s="4679"/>
      <c r="I102" s="4679"/>
      <c r="J102" s="4679">
        <v>2.8</v>
      </c>
      <c r="K102" s="4678">
        <f t="shared" si="136"/>
        <v>2.8</v>
      </c>
      <c r="L102" s="4680">
        <f>SUM('Произв. прогр. Вода'!M121)</f>
        <v>3.2692472999399413</v>
      </c>
      <c r="M102" s="4680">
        <f t="shared" si="137"/>
        <v>6</v>
      </c>
      <c r="N102" s="4680">
        <f t="shared" si="123"/>
        <v>2.7307527000600587</v>
      </c>
      <c r="O102" s="4678">
        <f>SUM('Произв. прогр. Вода'!Q121)</f>
        <v>1.6346236499699707</v>
      </c>
      <c r="P102" s="4679"/>
      <c r="Q102" s="4679"/>
      <c r="R102" s="4679"/>
      <c r="S102" s="4678">
        <f t="shared" si="138"/>
        <v>0</v>
      </c>
      <c r="T102" s="4680">
        <f>SUM('Произв. прогр. Вода'!R121)</f>
        <v>4.903870949909912</v>
      </c>
      <c r="U102" s="4680">
        <f t="shared" si="139"/>
        <v>6</v>
      </c>
      <c r="V102" s="4680">
        <f t="shared" si="124"/>
        <v>1.096129050090088</v>
      </c>
      <c r="W102" s="4678">
        <f>SUM('Произв. прогр. Вода'!V121)</f>
        <v>1.6346236499699707</v>
      </c>
      <c r="X102" s="4679"/>
      <c r="Y102" s="4679"/>
      <c r="Z102" s="4679"/>
      <c r="AA102" s="4678">
        <f t="shared" si="140"/>
        <v>0</v>
      </c>
      <c r="AB102" s="4680">
        <f>SUM('Произв. прогр. Вода'!B121)</f>
        <v>6.5384945998798827</v>
      </c>
      <c r="AC102" s="4680">
        <f t="shared" si="141"/>
        <v>6</v>
      </c>
      <c r="AD102" s="4680">
        <f t="shared" si="125"/>
        <v>-0.53849459987988268</v>
      </c>
      <c r="AE102" s="4689"/>
      <c r="AF102" s="4689"/>
      <c r="AG102" s="4672"/>
      <c r="AH102" s="4672"/>
      <c r="AI102" s="4672"/>
      <c r="AJ102" s="4672"/>
      <c r="AK102" s="4672"/>
    </row>
    <row r="103" spans="1:37" ht="18.75" customHeight="1">
      <c r="A103" s="4698" t="s">
        <v>32</v>
      </c>
      <c r="B103" s="4678">
        <f>SUM('Произв. прогр. Вода'!H122)</f>
        <v>17.572204237177182</v>
      </c>
      <c r="C103" s="4679"/>
      <c r="D103" s="4679"/>
      <c r="E103" s="4679">
        <v>14.4</v>
      </c>
      <c r="F103" s="4678">
        <f t="shared" si="135"/>
        <v>14.4</v>
      </c>
      <c r="G103" s="4678">
        <f>SUM('Произв. прогр. Вода'!L122)</f>
        <v>17.572204237177182</v>
      </c>
      <c r="H103" s="4679"/>
      <c r="I103" s="4679"/>
      <c r="J103" s="4679">
        <v>14.4</v>
      </c>
      <c r="K103" s="4678">
        <f t="shared" si="136"/>
        <v>14.4</v>
      </c>
      <c r="L103" s="4680">
        <f>SUM('Произв. прогр. Вода'!M122)</f>
        <v>35.144408474354364</v>
      </c>
      <c r="M103" s="4680">
        <f t="shared" si="137"/>
        <v>28.8</v>
      </c>
      <c r="N103" s="4680">
        <f t="shared" si="123"/>
        <v>-6.3444084743543634</v>
      </c>
      <c r="O103" s="4678">
        <f>SUM('Произв. прогр. Вода'!Q122)</f>
        <v>17.572204237177182</v>
      </c>
      <c r="P103" s="4679"/>
      <c r="Q103" s="4679"/>
      <c r="R103" s="4679"/>
      <c r="S103" s="4678">
        <f t="shared" si="138"/>
        <v>0</v>
      </c>
      <c r="T103" s="4680">
        <f>SUM('Произв. прогр. Вода'!R122)</f>
        <v>52.716612711531546</v>
      </c>
      <c r="U103" s="4680">
        <f t="shared" si="139"/>
        <v>28.8</v>
      </c>
      <c r="V103" s="4680">
        <f t="shared" si="124"/>
        <v>-23.916612711531545</v>
      </c>
      <c r="W103" s="4678">
        <f>SUM('Произв. прогр. Вода'!V122)</f>
        <v>17.572204237177182</v>
      </c>
      <c r="X103" s="4679"/>
      <c r="Y103" s="4679"/>
      <c r="Z103" s="4679"/>
      <c r="AA103" s="4678">
        <f t="shared" si="140"/>
        <v>0</v>
      </c>
      <c r="AB103" s="4680">
        <f>SUM('Произв. прогр. Вода'!B122)</f>
        <v>70.288816948708728</v>
      </c>
      <c r="AC103" s="4680">
        <f t="shared" si="141"/>
        <v>28.8</v>
      </c>
      <c r="AD103" s="4680">
        <f t="shared" si="125"/>
        <v>-41.488816948708731</v>
      </c>
      <c r="AE103" s="4689"/>
      <c r="AF103" s="4689"/>
      <c r="AG103" s="4672"/>
      <c r="AH103" s="4672"/>
      <c r="AI103" s="4672"/>
      <c r="AJ103" s="4672"/>
      <c r="AK103" s="4672"/>
    </row>
    <row r="104" spans="1:37" ht="18.75" customHeight="1">
      <c r="A104" s="4698" t="s">
        <v>606</v>
      </c>
      <c r="B104" s="4678">
        <f>SUM('Произв. прогр. Вода'!H123)</f>
        <v>66.954184702769993</v>
      </c>
      <c r="C104" s="4678">
        <f t="shared" ref="C104:F104" si="142">SUM(C105)</f>
        <v>23.36</v>
      </c>
      <c r="D104" s="4678">
        <f t="shared" si="142"/>
        <v>1.98</v>
      </c>
      <c r="E104" s="4678">
        <f t="shared" si="142"/>
        <v>30.17</v>
      </c>
      <c r="F104" s="4678">
        <f t="shared" si="142"/>
        <v>55.510000000000005</v>
      </c>
      <c r="G104" s="4678">
        <f>SUM('Произв. прогр. Вода'!L123)</f>
        <v>66.954184702769993</v>
      </c>
      <c r="H104" s="4678">
        <f t="shared" ref="H104" si="143">SUM(H105)</f>
        <v>5.6</v>
      </c>
      <c r="I104" s="4678">
        <f t="shared" ref="I104:M104" si="144">SUM(I105)</f>
        <v>3</v>
      </c>
      <c r="J104" s="4678">
        <f t="shared" si="144"/>
        <v>3.87</v>
      </c>
      <c r="K104" s="4678">
        <f t="shared" si="144"/>
        <v>12.469999999999999</v>
      </c>
      <c r="L104" s="4680">
        <f>SUM('Произв. прогр. Вода'!M123)</f>
        <v>133.90836940553999</v>
      </c>
      <c r="M104" s="4680">
        <f t="shared" si="144"/>
        <v>67.98</v>
      </c>
      <c r="N104" s="4680">
        <f t="shared" si="123"/>
        <v>-65.928369405539982</v>
      </c>
      <c r="O104" s="4678">
        <f>SUM('Произв. прогр. Вода'!Q123)</f>
        <v>66.954184702769993</v>
      </c>
      <c r="P104" s="4678">
        <f t="shared" ref="P104" si="145">SUM(P105)</f>
        <v>0</v>
      </c>
      <c r="Q104" s="4678">
        <f t="shared" ref="Q104:U104" si="146">SUM(Q105)</f>
        <v>0</v>
      </c>
      <c r="R104" s="4678">
        <f t="shared" si="146"/>
        <v>0</v>
      </c>
      <c r="S104" s="4678">
        <f t="shared" si="146"/>
        <v>0</v>
      </c>
      <c r="T104" s="4680">
        <f>SUM('Произв. прогр. Вода'!R123)</f>
        <v>200.86255410830998</v>
      </c>
      <c r="U104" s="4680">
        <f t="shared" si="146"/>
        <v>67.98</v>
      </c>
      <c r="V104" s="4680">
        <f t="shared" si="124"/>
        <v>-132.88255410830999</v>
      </c>
      <c r="W104" s="4678">
        <f>SUM('Произв. прогр. Вода'!V123)</f>
        <v>66.954184702769993</v>
      </c>
      <c r="X104" s="4678">
        <f t="shared" ref="X104" si="147">SUM(X105)</f>
        <v>0</v>
      </c>
      <c r="Y104" s="4678">
        <f t="shared" ref="Y104:AC104" si="148">SUM(Y105)</f>
        <v>0</v>
      </c>
      <c r="Z104" s="4678">
        <f t="shared" si="148"/>
        <v>0</v>
      </c>
      <c r="AA104" s="4678">
        <f t="shared" si="148"/>
        <v>0</v>
      </c>
      <c r="AB104" s="4680">
        <f>SUM('Произв. прогр. Вода'!B123)</f>
        <v>267.81673881107997</v>
      </c>
      <c r="AC104" s="4680">
        <f t="shared" si="148"/>
        <v>67.98</v>
      </c>
      <c r="AD104" s="4680">
        <f t="shared" si="125"/>
        <v>-199.83673881107995</v>
      </c>
      <c r="AE104" s="4689"/>
      <c r="AF104" s="4689"/>
      <c r="AG104" s="4672"/>
      <c r="AH104" s="4672"/>
      <c r="AI104" s="4672"/>
      <c r="AJ104" s="4672"/>
      <c r="AK104" s="4672"/>
    </row>
    <row r="105" spans="1:37" ht="18.75" customHeight="1">
      <c r="A105" s="4699" t="s">
        <v>564</v>
      </c>
      <c r="B105" s="4684">
        <f>SUM('Произв. прогр. Вода'!H124)</f>
        <v>66.954184702769993</v>
      </c>
      <c r="C105" s="4685">
        <v>23.36</v>
      </c>
      <c r="D105" s="4685">
        <v>1.98</v>
      </c>
      <c r="E105" s="4685">
        <v>30.17</v>
      </c>
      <c r="F105" s="4684">
        <f t="shared" si="135"/>
        <v>55.510000000000005</v>
      </c>
      <c r="G105" s="4684">
        <f>SUM('Произв. прогр. Вода'!L124)</f>
        <v>66.954184702769993</v>
      </c>
      <c r="H105" s="4685">
        <v>5.6</v>
      </c>
      <c r="I105" s="4685">
        <v>3</v>
      </c>
      <c r="J105" s="4685">
        <v>3.87</v>
      </c>
      <c r="K105" s="4684">
        <f t="shared" si="136"/>
        <v>12.469999999999999</v>
      </c>
      <c r="L105" s="4686">
        <f>SUM('Произв. прогр. Вода'!M124)</f>
        <v>133.90836940553999</v>
      </c>
      <c r="M105" s="4686">
        <f t="shared" si="137"/>
        <v>67.98</v>
      </c>
      <c r="N105" s="4686">
        <f t="shared" si="123"/>
        <v>-65.928369405539982</v>
      </c>
      <c r="O105" s="4684">
        <f>SUM('Произв. прогр. Вода'!Q124)</f>
        <v>66.954184702769993</v>
      </c>
      <c r="P105" s="4685"/>
      <c r="Q105" s="4685"/>
      <c r="R105" s="4685"/>
      <c r="S105" s="4684">
        <f t="shared" si="138"/>
        <v>0</v>
      </c>
      <c r="T105" s="4686">
        <f>SUM('Произв. прогр. Вода'!R124)</f>
        <v>200.86255410830998</v>
      </c>
      <c r="U105" s="4686">
        <f t="shared" si="139"/>
        <v>67.98</v>
      </c>
      <c r="V105" s="4686">
        <f t="shared" si="124"/>
        <v>-132.88255410830999</v>
      </c>
      <c r="W105" s="4684">
        <f>SUM('Произв. прогр. Вода'!V124)</f>
        <v>66.954184702769993</v>
      </c>
      <c r="X105" s="4685"/>
      <c r="Y105" s="4685"/>
      <c r="Z105" s="4685"/>
      <c r="AA105" s="4684">
        <f t="shared" si="140"/>
        <v>0</v>
      </c>
      <c r="AB105" s="4686">
        <f>SUM('Произв. прогр. Вода'!B124)</f>
        <v>267.81673881107997</v>
      </c>
      <c r="AC105" s="4686">
        <f t="shared" si="141"/>
        <v>67.98</v>
      </c>
      <c r="AD105" s="4686">
        <f t="shared" si="125"/>
        <v>-199.83673881107995</v>
      </c>
      <c r="AE105" s="4689"/>
      <c r="AF105" s="4689"/>
      <c r="AG105" s="4672"/>
      <c r="AH105" s="4672"/>
      <c r="AI105" s="4672"/>
      <c r="AJ105" s="4672"/>
      <c r="AK105" s="4672"/>
    </row>
    <row r="106" spans="1:37" ht="18.75" customHeight="1">
      <c r="A106" s="4698" t="s">
        <v>609</v>
      </c>
      <c r="B106" s="4678">
        <f>SUM('Произв. прогр. Вода'!H125)</f>
        <v>58.860411084889684</v>
      </c>
      <c r="C106" s="4678">
        <f t="shared" ref="C106" si="149">SUM(C107:C109)</f>
        <v>4.79</v>
      </c>
      <c r="D106" s="4678">
        <f t="shared" ref="D106:F106" si="150">SUM(D107:D109)</f>
        <v>25.42</v>
      </c>
      <c r="E106" s="4678">
        <f t="shared" si="150"/>
        <v>4.79</v>
      </c>
      <c r="F106" s="4678">
        <f t="shared" si="150"/>
        <v>35</v>
      </c>
      <c r="G106" s="4678">
        <f>SUM('Произв. прогр. Вода'!L125)</f>
        <v>63.903061582682049</v>
      </c>
      <c r="H106" s="4678">
        <f t="shared" ref="H106:M106" si="151">SUM(H107:H109)</f>
        <v>23.75</v>
      </c>
      <c r="I106" s="4678">
        <f t="shared" si="151"/>
        <v>9.11</v>
      </c>
      <c r="J106" s="4678">
        <f t="shared" si="151"/>
        <v>16.41</v>
      </c>
      <c r="K106" s="4678">
        <f t="shared" si="151"/>
        <v>49.269999999999996</v>
      </c>
      <c r="L106" s="4680">
        <f>SUM('Произв. прогр. Вода'!M125)</f>
        <v>122.76347266757173</v>
      </c>
      <c r="M106" s="4680">
        <f t="shared" si="151"/>
        <v>84.27</v>
      </c>
      <c r="N106" s="4680">
        <f t="shared" si="123"/>
        <v>-38.493472667571737</v>
      </c>
      <c r="O106" s="4678">
        <f>SUM('Произв. прогр. Вода'!Q125)</f>
        <v>67.427375556963312</v>
      </c>
      <c r="P106" s="4678">
        <f t="shared" ref="P106:U106" si="152">SUM(P107:P109)</f>
        <v>0</v>
      </c>
      <c r="Q106" s="4678">
        <f t="shared" si="152"/>
        <v>0</v>
      </c>
      <c r="R106" s="4678">
        <f t="shared" si="152"/>
        <v>0</v>
      </c>
      <c r="S106" s="4678">
        <f t="shared" si="152"/>
        <v>0</v>
      </c>
      <c r="T106" s="4680">
        <f>SUM('Произв. прогр. Вода'!R125)</f>
        <v>190.19084822453505</v>
      </c>
      <c r="U106" s="4680">
        <f t="shared" si="152"/>
        <v>84.27</v>
      </c>
      <c r="V106" s="4686">
        <f t="shared" si="124"/>
        <v>-105.92084822453505</v>
      </c>
      <c r="W106" s="4678">
        <f>SUM('Произв. прогр. Вода'!V125)</f>
        <v>58.860411084889684</v>
      </c>
      <c r="X106" s="4678">
        <f t="shared" ref="X106:AC106" si="153">SUM(X107:X109)</f>
        <v>0</v>
      </c>
      <c r="Y106" s="4678">
        <f t="shared" si="153"/>
        <v>0</v>
      </c>
      <c r="Z106" s="4678">
        <f t="shared" si="153"/>
        <v>0</v>
      </c>
      <c r="AA106" s="4678">
        <f t="shared" si="153"/>
        <v>0</v>
      </c>
      <c r="AB106" s="4680">
        <f>SUM('Произв. прогр. Вода'!B125)</f>
        <v>249.05125930942472</v>
      </c>
      <c r="AC106" s="4680">
        <f t="shared" si="153"/>
        <v>84.27</v>
      </c>
      <c r="AD106" s="4680">
        <f t="shared" si="125"/>
        <v>-164.78125930942474</v>
      </c>
      <c r="AE106" s="4689"/>
      <c r="AF106" s="4689"/>
      <c r="AG106" s="4672"/>
      <c r="AH106" s="4672"/>
      <c r="AI106" s="4672"/>
      <c r="AJ106" s="4672"/>
      <c r="AK106" s="4672"/>
    </row>
    <row r="107" spans="1:37" ht="18.75" customHeight="1">
      <c r="A107" s="4699" t="s">
        <v>551</v>
      </c>
      <c r="B107" s="4684">
        <f>SUM('Произв. прогр. Вода'!H126)</f>
        <v>24.304467124524507</v>
      </c>
      <c r="C107" s="4685"/>
      <c r="D107" s="4685"/>
      <c r="E107" s="4685"/>
      <c r="F107" s="4684">
        <f t="shared" si="135"/>
        <v>0</v>
      </c>
      <c r="G107" s="4684">
        <f>SUM('Произв. прогр. Вода'!L126)</f>
        <v>29.347117622316865</v>
      </c>
      <c r="H107" s="4685"/>
      <c r="I107" s="4685"/>
      <c r="J107" s="4685"/>
      <c r="K107" s="4684">
        <f t="shared" si="136"/>
        <v>0</v>
      </c>
      <c r="L107" s="4686">
        <f>SUM('Произв. прогр. Вода'!M126)</f>
        <v>53.651584746841372</v>
      </c>
      <c r="M107" s="4686">
        <f t="shared" si="137"/>
        <v>0</v>
      </c>
      <c r="N107" s="4686">
        <f t="shared" si="123"/>
        <v>-53.651584746841372</v>
      </c>
      <c r="O107" s="4684">
        <f>SUM('Произв. прогр. Вода'!Q126)</f>
        <v>32.871431596598121</v>
      </c>
      <c r="P107" s="4685"/>
      <c r="Q107" s="4685"/>
      <c r="R107" s="4685"/>
      <c r="S107" s="4684">
        <f t="shared" si="138"/>
        <v>0</v>
      </c>
      <c r="T107" s="4686">
        <f>SUM('Произв. прогр. Вода'!R126)</f>
        <v>86.523016343439494</v>
      </c>
      <c r="U107" s="4686">
        <f t="shared" si="139"/>
        <v>0</v>
      </c>
      <c r="V107" s="4686">
        <f t="shared" si="124"/>
        <v>-86.523016343439494</v>
      </c>
      <c r="W107" s="4684">
        <f>SUM('Произв. прогр. Вода'!V126)</f>
        <v>24.304467124524507</v>
      </c>
      <c r="X107" s="4685"/>
      <c r="Y107" s="4685"/>
      <c r="Z107" s="4685"/>
      <c r="AA107" s="4684">
        <f t="shared" si="140"/>
        <v>0</v>
      </c>
      <c r="AB107" s="4686">
        <f>SUM('Произв. прогр. Вода'!B126)</f>
        <v>110.827483467964</v>
      </c>
      <c r="AC107" s="4686">
        <f t="shared" si="141"/>
        <v>0</v>
      </c>
      <c r="AD107" s="4686">
        <f t="shared" si="125"/>
        <v>-110.827483467964</v>
      </c>
      <c r="AE107" s="4689"/>
      <c r="AF107" s="4689"/>
      <c r="AG107" s="4672"/>
      <c r="AH107" s="4672"/>
      <c r="AI107" s="4672"/>
      <c r="AJ107" s="4672"/>
      <c r="AK107" s="4672"/>
    </row>
    <row r="108" spans="1:37" ht="18.75" customHeight="1">
      <c r="A108" s="4699" t="s">
        <v>559</v>
      </c>
      <c r="B108" s="4684">
        <f>SUM('Произв. прогр. Вода'!H127)</f>
        <v>32.447279451903917</v>
      </c>
      <c r="C108" s="4685">
        <f>3.79+1</f>
        <v>4.79</v>
      </c>
      <c r="D108" s="4685">
        <f>2.58+16.34+6.5</f>
        <v>25.42</v>
      </c>
      <c r="E108" s="4685">
        <v>4.79</v>
      </c>
      <c r="F108" s="4684">
        <f t="shared" si="135"/>
        <v>35</v>
      </c>
      <c r="G108" s="4684">
        <f>SUM('Произв. прогр. Вода'!L127)</f>
        <v>32.447279451903917</v>
      </c>
      <c r="H108" s="4685">
        <v>23.75</v>
      </c>
      <c r="I108" s="4685">
        <f>0.03+7.58+1.5</f>
        <v>9.11</v>
      </c>
      <c r="J108" s="4685">
        <v>16.41</v>
      </c>
      <c r="K108" s="4684">
        <f t="shared" si="136"/>
        <v>49.269999999999996</v>
      </c>
      <c r="L108" s="4686">
        <f>SUM('Произв. прогр. Вода'!M127)</f>
        <v>64.894558903807834</v>
      </c>
      <c r="M108" s="4686">
        <f t="shared" si="137"/>
        <v>84.27</v>
      </c>
      <c r="N108" s="4686">
        <f t="shared" si="123"/>
        <v>19.375441096192162</v>
      </c>
      <c r="O108" s="4684">
        <f>SUM('Произв. прогр. Вода'!Q127)</f>
        <v>32.447279451903917</v>
      </c>
      <c r="P108" s="4685"/>
      <c r="Q108" s="4685"/>
      <c r="R108" s="4685"/>
      <c r="S108" s="4684">
        <f t="shared" si="138"/>
        <v>0</v>
      </c>
      <c r="T108" s="4686">
        <f>SUM('Произв. прогр. Вода'!R127)</f>
        <v>97.341838355711758</v>
      </c>
      <c r="U108" s="4686">
        <f t="shared" si="139"/>
        <v>84.27</v>
      </c>
      <c r="V108" s="4686">
        <f t="shared" si="124"/>
        <v>-13.071838355711762</v>
      </c>
      <c r="W108" s="4684">
        <f>SUM('Произв. прогр. Вода'!V127)</f>
        <v>32.447279451903917</v>
      </c>
      <c r="X108" s="4685"/>
      <c r="Y108" s="4685"/>
      <c r="Z108" s="4685"/>
      <c r="AA108" s="4684">
        <f t="shared" si="140"/>
        <v>0</v>
      </c>
      <c r="AB108" s="4686">
        <f>SUM('Произв. прогр. Вода'!B127)</f>
        <v>129.78911780761567</v>
      </c>
      <c r="AC108" s="4686">
        <f t="shared" si="141"/>
        <v>84.27</v>
      </c>
      <c r="AD108" s="4686">
        <f t="shared" si="125"/>
        <v>-45.519117807615672</v>
      </c>
      <c r="AE108" s="4689"/>
      <c r="AF108" s="4689"/>
      <c r="AG108" s="4672"/>
      <c r="AH108" s="4672"/>
      <c r="AI108" s="4672"/>
      <c r="AJ108" s="4672"/>
      <c r="AK108" s="4672"/>
    </row>
    <row r="109" spans="1:37" ht="18.75" customHeight="1">
      <c r="A109" s="4699" t="s">
        <v>613</v>
      </c>
      <c r="B109" s="4684">
        <f>SUM('Произв. прогр. Вода'!H128)</f>
        <v>2.1086645084612621</v>
      </c>
      <c r="C109" s="4685"/>
      <c r="D109" s="4685"/>
      <c r="E109" s="4685"/>
      <c r="F109" s="4684">
        <f t="shared" si="135"/>
        <v>0</v>
      </c>
      <c r="G109" s="4684">
        <f>SUM('Произв. прогр. Вода'!L128)</f>
        <v>2.1086645084612621</v>
      </c>
      <c r="H109" s="4685"/>
      <c r="I109" s="4685"/>
      <c r="J109" s="4685"/>
      <c r="K109" s="4684">
        <f t="shared" si="136"/>
        <v>0</v>
      </c>
      <c r="L109" s="4686">
        <f>SUM('Произв. прогр. Вода'!M128)</f>
        <v>4.2173290169225242</v>
      </c>
      <c r="M109" s="4686">
        <f t="shared" si="137"/>
        <v>0</v>
      </c>
      <c r="N109" s="4686">
        <f t="shared" si="123"/>
        <v>-4.2173290169225242</v>
      </c>
      <c r="O109" s="4684">
        <f>SUM('Произв. прогр. Вода'!Q128)</f>
        <v>2.1086645084612621</v>
      </c>
      <c r="P109" s="4685"/>
      <c r="Q109" s="4685"/>
      <c r="R109" s="4685"/>
      <c r="S109" s="4684">
        <f t="shared" si="138"/>
        <v>0</v>
      </c>
      <c r="T109" s="4686">
        <f>SUM('Произв. прогр. Вода'!R128)</f>
        <v>6.3259935253837867</v>
      </c>
      <c r="U109" s="4686">
        <f t="shared" si="139"/>
        <v>0</v>
      </c>
      <c r="V109" s="4686">
        <f t="shared" si="124"/>
        <v>-6.3259935253837867</v>
      </c>
      <c r="W109" s="4684">
        <f>SUM('Произв. прогр. Вода'!V128)</f>
        <v>2.1086645084612621</v>
      </c>
      <c r="X109" s="4685"/>
      <c r="Y109" s="4685"/>
      <c r="Z109" s="4685"/>
      <c r="AA109" s="4684">
        <f t="shared" si="140"/>
        <v>0</v>
      </c>
      <c r="AB109" s="4686">
        <f>SUM('Произв. прогр. Вода'!B128)</f>
        <v>8.4346580338450483</v>
      </c>
      <c r="AC109" s="4686">
        <f t="shared" si="141"/>
        <v>0</v>
      </c>
      <c r="AD109" s="4686">
        <f t="shared" si="125"/>
        <v>-8.4346580338450483</v>
      </c>
      <c r="AE109" s="4689"/>
      <c r="AF109" s="4689"/>
      <c r="AG109" s="4672"/>
      <c r="AH109" s="4672"/>
      <c r="AI109" s="4672"/>
      <c r="AJ109" s="4672"/>
      <c r="AK109" s="4672"/>
    </row>
    <row r="110" spans="1:37" ht="18.75" customHeight="1">
      <c r="A110" s="4673" t="s">
        <v>541</v>
      </c>
      <c r="B110" s="4674">
        <f>SUM('Произв. прогр. Вода'!H129)</f>
        <v>4129.7040145996616</v>
      </c>
      <c r="C110" s="4674">
        <f t="shared" ref="C110" si="154">SUM(C111:C115)+C117</f>
        <v>1196.43</v>
      </c>
      <c r="D110" s="4674">
        <f t="shared" ref="D110:F110" si="155">SUM(D111:D115)+D117</f>
        <v>1175.5900000000001</v>
      </c>
      <c r="E110" s="4674">
        <f>SUM(E111:E115)+E117</f>
        <v>1120.1300000000001</v>
      </c>
      <c r="F110" s="4674">
        <f t="shared" si="155"/>
        <v>3492.1499999999996</v>
      </c>
      <c r="G110" s="4674">
        <f>SUM('Произв. прогр. Вода'!L129)</f>
        <v>4136.0466463898147</v>
      </c>
      <c r="H110" s="4674">
        <f>SUM(H111:H115)+H117</f>
        <v>1347.91</v>
      </c>
      <c r="I110" s="4674">
        <f t="shared" ref="I110:M110" si="156">SUM(I111:I115)+I117</f>
        <v>1357.42</v>
      </c>
      <c r="J110" s="4674">
        <f t="shared" si="156"/>
        <v>1545.8700000000001</v>
      </c>
      <c r="K110" s="4674">
        <f t="shared" si="156"/>
        <v>4251.2</v>
      </c>
      <c r="L110" s="4676">
        <f>SUM('Произв. прогр. Вода'!M129)</f>
        <v>8265.7506609894754</v>
      </c>
      <c r="M110" s="4676">
        <f t="shared" si="156"/>
        <v>7743.35</v>
      </c>
      <c r="N110" s="4676">
        <f t="shared" si="123"/>
        <v>-522.400660989475</v>
      </c>
      <c r="O110" s="4674">
        <f>SUM('Произв. прогр. Вода'!Q129)</f>
        <v>4264.0161981744714</v>
      </c>
      <c r="P110" s="4674">
        <f t="shared" ref="P110:U110" si="157">SUM(P111:P115)+P117</f>
        <v>0</v>
      </c>
      <c r="Q110" s="4674">
        <f t="shared" si="157"/>
        <v>0</v>
      </c>
      <c r="R110" s="4674">
        <f t="shared" si="157"/>
        <v>0</v>
      </c>
      <c r="S110" s="4674">
        <f t="shared" si="157"/>
        <v>0</v>
      </c>
      <c r="T110" s="4676">
        <f>SUM('Произв. прогр. Вода'!R129)</f>
        <v>12529.766859163945</v>
      </c>
      <c r="U110" s="4676">
        <f t="shared" si="157"/>
        <v>7743.35</v>
      </c>
      <c r="V110" s="4697">
        <f t="shared" si="124"/>
        <v>-4786.4168591639445</v>
      </c>
      <c r="W110" s="4674">
        <f>SUM('Произв. прогр. Вода'!V129)</f>
        <v>4253.2406940562551</v>
      </c>
      <c r="X110" s="4674">
        <f t="shared" ref="X110:AC110" si="158">SUM(X111:X115)+X117</f>
        <v>0</v>
      </c>
      <c r="Y110" s="4674">
        <f t="shared" si="158"/>
        <v>0</v>
      </c>
      <c r="Z110" s="4674">
        <f t="shared" si="158"/>
        <v>0</v>
      </c>
      <c r="AA110" s="4674">
        <f t="shared" si="158"/>
        <v>0</v>
      </c>
      <c r="AB110" s="4676">
        <f>SUM('Произв. прогр. Вода'!B129)</f>
        <v>16783.007553220203</v>
      </c>
      <c r="AC110" s="4676">
        <f t="shared" si="158"/>
        <v>7743.35</v>
      </c>
      <c r="AD110" s="4676">
        <f t="shared" si="125"/>
        <v>-9039.6575532202023</v>
      </c>
      <c r="AE110" s="4689"/>
      <c r="AF110" s="4689"/>
      <c r="AG110" s="4672"/>
      <c r="AH110" s="4672"/>
      <c r="AI110" s="4672"/>
      <c r="AJ110" s="4672"/>
      <c r="AK110" s="4672"/>
    </row>
    <row r="111" spans="1:37" ht="18.75" customHeight="1">
      <c r="A111" s="4691" t="s">
        <v>2</v>
      </c>
      <c r="B111" s="4678">
        <f>SUM('Произв. прогр. Вода'!H130)</f>
        <v>883.31</v>
      </c>
      <c r="C111" s="4679">
        <v>295.37</v>
      </c>
      <c r="D111" s="4679">
        <v>295.37</v>
      </c>
      <c r="E111" s="4679">
        <v>295.37</v>
      </c>
      <c r="F111" s="4678">
        <f t="shared" si="135"/>
        <v>886.11</v>
      </c>
      <c r="G111" s="4678">
        <f>SUM('Произв. прогр. Вода'!L130)</f>
        <v>883.31</v>
      </c>
      <c r="H111" s="4679">
        <v>295.37</v>
      </c>
      <c r="I111" s="4679">
        <v>295.37</v>
      </c>
      <c r="J111" s="4679">
        <v>295.37</v>
      </c>
      <c r="K111" s="4678">
        <f t="shared" si="136"/>
        <v>886.11</v>
      </c>
      <c r="L111" s="4680">
        <f>SUM('Произв. прогр. Вода'!M130)</f>
        <v>1766.62</v>
      </c>
      <c r="M111" s="4680">
        <f t="shared" si="137"/>
        <v>1772.22</v>
      </c>
      <c r="N111" s="4680">
        <f t="shared" si="123"/>
        <v>5.6000000000001364</v>
      </c>
      <c r="O111" s="4678">
        <f>SUM('Произв. прогр. Вода'!Q130)</f>
        <v>883.31</v>
      </c>
      <c r="P111" s="4679"/>
      <c r="Q111" s="4679"/>
      <c r="R111" s="4679"/>
      <c r="S111" s="4678">
        <f t="shared" si="138"/>
        <v>0</v>
      </c>
      <c r="T111" s="4680">
        <f>SUM('Произв. прогр. Вода'!R130)</f>
        <v>2649.93</v>
      </c>
      <c r="U111" s="4680">
        <f t="shared" si="139"/>
        <v>1772.22</v>
      </c>
      <c r="V111" s="4680">
        <f t="shared" si="124"/>
        <v>-877.70999999999981</v>
      </c>
      <c r="W111" s="4678">
        <f>SUM('Произв. прогр. Вода'!V130)</f>
        <v>883.31</v>
      </c>
      <c r="X111" s="4679"/>
      <c r="Y111" s="4679"/>
      <c r="Z111" s="4679"/>
      <c r="AA111" s="4678">
        <f t="shared" si="140"/>
        <v>0</v>
      </c>
      <c r="AB111" s="4680">
        <f>SUM('Произв. прогр. Вода'!B130)</f>
        <v>3533.24</v>
      </c>
      <c r="AC111" s="4680">
        <f t="shared" si="141"/>
        <v>1772.22</v>
      </c>
      <c r="AD111" s="4680">
        <f t="shared" si="125"/>
        <v>-1761.0199999999998</v>
      </c>
      <c r="AE111" s="4689"/>
      <c r="AF111" s="4689"/>
      <c r="AG111" s="4672"/>
      <c r="AH111" s="4672"/>
      <c r="AI111" s="4672"/>
      <c r="AJ111" s="4672"/>
      <c r="AK111" s="4672"/>
    </row>
    <row r="112" spans="1:37" ht="18.75" customHeight="1">
      <c r="A112" s="4691" t="s">
        <v>219</v>
      </c>
      <c r="B112" s="4678">
        <f>SUM('Произв. прогр. Вода'!H131)</f>
        <v>0</v>
      </c>
      <c r="C112" s="4679"/>
      <c r="D112" s="4679"/>
      <c r="E112" s="4679"/>
      <c r="F112" s="4678">
        <f t="shared" si="135"/>
        <v>0</v>
      </c>
      <c r="G112" s="4678">
        <f>SUM('Произв. прогр. Вода'!L131)</f>
        <v>0</v>
      </c>
      <c r="H112" s="4679"/>
      <c r="I112" s="4679"/>
      <c r="J112" s="4679"/>
      <c r="K112" s="4678">
        <f t="shared" si="136"/>
        <v>0</v>
      </c>
      <c r="L112" s="4680">
        <f>SUM('Произв. прогр. Вода'!M131)</f>
        <v>0</v>
      </c>
      <c r="M112" s="4680">
        <f t="shared" si="137"/>
        <v>0</v>
      </c>
      <c r="N112" s="4680">
        <f t="shared" si="123"/>
        <v>0</v>
      </c>
      <c r="O112" s="4678">
        <f>SUM('Произв. прогр. Вода'!Q131)</f>
        <v>0</v>
      </c>
      <c r="P112" s="4679"/>
      <c r="Q112" s="4679"/>
      <c r="R112" s="4679"/>
      <c r="S112" s="4678">
        <f t="shared" si="138"/>
        <v>0</v>
      </c>
      <c r="T112" s="4680">
        <f>SUM('Произв. прогр. Вода'!R131)</f>
        <v>0</v>
      </c>
      <c r="U112" s="4680">
        <f t="shared" si="139"/>
        <v>0</v>
      </c>
      <c r="V112" s="4680">
        <f t="shared" si="124"/>
        <v>0</v>
      </c>
      <c r="W112" s="4678">
        <f>SUM('Произв. прогр. Вода'!V131)</f>
        <v>0</v>
      </c>
      <c r="X112" s="4679"/>
      <c r="Y112" s="4679"/>
      <c r="Z112" s="4679"/>
      <c r="AA112" s="4678">
        <f t="shared" si="140"/>
        <v>0</v>
      </c>
      <c r="AB112" s="4680">
        <f>SUM('Произв. прогр. Вода'!B131)</f>
        <v>0</v>
      </c>
      <c r="AC112" s="4680">
        <f t="shared" si="141"/>
        <v>0</v>
      </c>
      <c r="AD112" s="4680">
        <f t="shared" si="125"/>
        <v>0</v>
      </c>
      <c r="AE112" s="4689"/>
      <c r="AF112" s="4689"/>
      <c r="AG112" s="4672"/>
      <c r="AH112" s="4672"/>
      <c r="AI112" s="4672"/>
      <c r="AJ112" s="4672"/>
      <c r="AK112" s="4672"/>
    </row>
    <row r="113" spans="1:37" ht="18.75" customHeight="1">
      <c r="A113" s="4691" t="s">
        <v>3</v>
      </c>
      <c r="B113" s="4678">
        <f>SUM('Произв. прогр. Вода'!H132)</f>
        <v>66.703167378305082</v>
      </c>
      <c r="C113" s="4679">
        <f>18.75+49.17</f>
        <v>67.92</v>
      </c>
      <c r="D113" s="4679">
        <f>26.19+21.03</f>
        <v>47.22</v>
      </c>
      <c r="E113" s="4679">
        <v>99.45</v>
      </c>
      <c r="F113" s="4678">
        <f t="shared" si="135"/>
        <v>214.59</v>
      </c>
      <c r="G113" s="4678">
        <f>SUM('Произв. прогр. Вода'!L132)</f>
        <v>66.703167378305082</v>
      </c>
      <c r="H113" s="4679">
        <v>239.88</v>
      </c>
      <c r="I113" s="4679">
        <f>58.89+50.25</f>
        <v>109.14</v>
      </c>
      <c r="J113" s="4679">
        <v>280.87</v>
      </c>
      <c r="K113" s="4678">
        <f t="shared" si="136"/>
        <v>629.89</v>
      </c>
      <c r="L113" s="4680">
        <f>SUM('Произв. прогр. Вода'!M132)</f>
        <v>133.40633475661016</v>
      </c>
      <c r="M113" s="4680">
        <f t="shared" si="137"/>
        <v>844.48</v>
      </c>
      <c r="N113" s="4680">
        <f t="shared" si="123"/>
        <v>711.07366524338988</v>
      </c>
      <c r="O113" s="4678">
        <f>SUM('Произв. прогр. Вода'!Q132)</f>
        <v>66.703167378305082</v>
      </c>
      <c r="P113" s="4679"/>
      <c r="Q113" s="4679"/>
      <c r="R113" s="4679"/>
      <c r="S113" s="4678">
        <f t="shared" si="138"/>
        <v>0</v>
      </c>
      <c r="T113" s="4680">
        <f>SUM('Произв. прогр. Вода'!R132)</f>
        <v>200.10950213491526</v>
      </c>
      <c r="U113" s="4680">
        <f t="shared" si="139"/>
        <v>844.48</v>
      </c>
      <c r="V113" s="4680">
        <f t="shared" si="124"/>
        <v>644.37049786508476</v>
      </c>
      <c r="W113" s="4678">
        <f>SUM('Произв. прогр. Вода'!V132)</f>
        <v>66.703167378305082</v>
      </c>
      <c r="X113" s="4679"/>
      <c r="Y113" s="4679"/>
      <c r="Z113" s="4679"/>
      <c r="AA113" s="4678">
        <f t="shared" si="140"/>
        <v>0</v>
      </c>
      <c r="AB113" s="4680">
        <f>SUM('Произв. прогр. Вода'!B132)</f>
        <v>266.81266951322033</v>
      </c>
      <c r="AC113" s="4680">
        <f t="shared" si="141"/>
        <v>844.48</v>
      </c>
      <c r="AD113" s="4680">
        <f t="shared" si="125"/>
        <v>577.66733048677975</v>
      </c>
      <c r="AE113" s="4689"/>
      <c r="AF113" s="4689"/>
      <c r="AG113" s="4672"/>
      <c r="AH113" s="4672"/>
      <c r="AI113" s="4672"/>
      <c r="AJ113" s="4672"/>
      <c r="AK113" s="4672"/>
    </row>
    <row r="114" spans="1:37" ht="18.75" customHeight="1">
      <c r="A114" s="4691" t="s">
        <v>4</v>
      </c>
      <c r="B114" s="4678">
        <f>SUM('Произв. прогр. Вода'!H133)</f>
        <v>1971.8497943183065</v>
      </c>
      <c r="C114" s="4679">
        <v>460.87</v>
      </c>
      <c r="D114" s="4679">
        <f>481.54</f>
        <v>481.54</v>
      </c>
      <c r="E114" s="4679">
        <v>393.68</v>
      </c>
      <c r="F114" s="4678">
        <f t="shared" si="135"/>
        <v>1336.0900000000001</v>
      </c>
      <c r="G114" s="4678">
        <f>SUM('Произв. прогр. Вода'!L133)</f>
        <v>1971.8497943183065</v>
      </c>
      <c r="H114" s="4679">
        <v>444.94</v>
      </c>
      <c r="I114" s="4679">
        <f>50+544.79</f>
        <v>594.79</v>
      </c>
      <c r="J114" s="4679">
        <v>602.22</v>
      </c>
      <c r="K114" s="4678">
        <f t="shared" si="136"/>
        <v>1641.95</v>
      </c>
      <c r="L114" s="4680">
        <f>SUM('Произв. прогр. Вода'!M133)</f>
        <v>3943.699588636613</v>
      </c>
      <c r="M114" s="4680">
        <f t="shared" si="137"/>
        <v>2978.04</v>
      </c>
      <c r="N114" s="4680">
        <f t="shared" si="123"/>
        <v>-965.65958863661308</v>
      </c>
      <c r="O114" s="4678">
        <f>SUM('Произв. прогр. Вода'!Q133)</f>
        <v>2050.7237860910391</v>
      </c>
      <c r="P114" s="4679"/>
      <c r="Q114" s="4679"/>
      <c r="R114" s="4679"/>
      <c r="S114" s="4678">
        <f t="shared" si="138"/>
        <v>0</v>
      </c>
      <c r="T114" s="4680">
        <f>SUM('Произв. прогр. Вода'!R133)</f>
        <v>5994.4233747276521</v>
      </c>
      <c r="U114" s="4680">
        <f t="shared" si="139"/>
        <v>2978.04</v>
      </c>
      <c r="V114" s="4680">
        <f t="shared" si="124"/>
        <v>-3016.3833747276522</v>
      </c>
      <c r="W114" s="4678">
        <f>SUM('Произв. прогр. Вода'!V133)</f>
        <v>2050.7237860910391</v>
      </c>
      <c r="X114" s="4679"/>
      <c r="Y114" s="4679"/>
      <c r="Z114" s="4679"/>
      <c r="AA114" s="4678">
        <f t="shared" si="140"/>
        <v>0</v>
      </c>
      <c r="AB114" s="4680">
        <f>SUM('Произв. прогр. Вода'!B133)</f>
        <v>8045.1471608186912</v>
      </c>
      <c r="AC114" s="4680">
        <f t="shared" si="141"/>
        <v>2978.04</v>
      </c>
      <c r="AD114" s="4680">
        <f t="shared" si="125"/>
        <v>-5067.1071608186912</v>
      </c>
      <c r="AE114" s="4689"/>
      <c r="AF114" s="4689"/>
      <c r="AG114" s="4672"/>
      <c r="AH114" s="4672"/>
      <c r="AI114" s="4672"/>
      <c r="AJ114" s="4672"/>
      <c r="AK114" s="4672"/>
    </row>
    <row r="115" spans="1:37" ht="18.75" customHeight="1">
      <c r="A115" s="4691" t="s">
        <v>5</v>
      </c>
      <c r="B115" s="4678">
        <f>SUM('Произв. прогр. Вода'!H134)</f>
        <v>593.52678808981022</v>
      </c>
      <c r="C115" s="4679">
        <v>139.28</v>
      </c>
      <c r="D115" s="4679">
        <v>147.71</v>
      </c>
      <c r="E115" s="4679">
        <v>119.63</v>
      </c>
      <c r="F115" s="4678">
        <f t="shared" si="135"/>
        <v>406.62</v>
      </c>
      <c r="G115" s="4678">
        <f>SUM('Произв. прогр. Вода'!L134)</f>
        <v>593.52678808981022</v>
      </c>
      <c r="H115" s="4679">
        <v>133.26</v>
      </c>
      <c r="I115" s="4679">
        <f>13.55+168.92</f>
        <v>182.47</v>
      </c>
      <c r="J115" s="4679">
        <v>185.7</v>
      </c>
      <c r="K115" s="4678">
        <f t="shared" si="136"/>
        <v>501.43</v>
      </c>
      <c r="L115" s="4680">
        <f>SUM('Произв. прогр. Вода'!M134)</f>
        <v>1187.0535761796204</v>
      </c>
      <c r="M115" s="4680">
        <f t="shared" si="137"/>
        <v>908.05</v>
      </c>
      <c r="N115" s="4680">
        <f t="shared" si="123"/>
        <v>-279.0035761796205</v>
      </c>
      <c r="O115" s="4678">
        <f>SUM('Произв. прогр. Вода'!Q134)</f>
        <v>617.26785961340272</v>
      </c>
      <c r="P115" s="4679"/>
      <c r="Q115" s="4679"/>
      <c r="R115" s="4679"/>
      <c r="S115" s="4678">
        <f t="shared" si="138"/>
        <v>0</v>
      </c>
      <c r="T115" s="4680">
        <f>SUM('Произв. прогр. Вода'!R134)</f>
        <v>1804.3214357930233</v>
      </c>
      <c r="U115" s="4680">
        <f t="shared" si="139"/>
        <v>908.05</v>
      </c>
      <c r="V115" s="4680">
        <f t="shared" si="124"/>
        <v>-896.27143579302333</v>
      </c>
      <c r="W115" s="4678">
        <f>SUM('Произв. прогр. Вода'!V134)</f>
        <v>617.26785961340272</v>
      </c>
      <c r="X115" s="4679"/>
      <c r="Y115" s="4679"/>
      <c r="Z115" s="4679"/>
      <c r="AA115" s="4678">
        <f t="shared" si="140"/>
        <v>0</v>
      </c>
      <c r="AB115" s="4680">
        <f>SUM('Произв. прогр. Вода'!B134)</f>
        <v>2421.5892954064261</v>
      </c>
      <c r="AC115" s="4680">
        <f t="shared" si="141"/>
        <v>908.05</v>
      </c>
      <c r="AD115" s="4680">
        <f t="shared" si="125"/>
        <v>-1513.5392954064262</v>
      </c>
      <c r="AE115" s="4689"/>
      <c r="AF115" s="4689"/>
      <c r="AG115" s="4672"/>
      <c r="AH115" s="4672"/>
      <c r="AI115" s="4672"/>
      <c r="AJ115" s="4672"/>
      <c r="AK115" s="4672"/>
    </row>
    <row r="116" spans="1:37" ht="18.75" customHeight="1">
      <c r="A116" s="4695" t="str">
        <f>A57</f>
        <v>то же в %</v>
      </c>
      <c r="B116" s="4682">
        <f>SUM('Произв. прогр. Вода'!H135)</f>
        <v>0.30099999999999999</v>
      </c>
      <c r="C116" s="4682">
        <f t="shared" ref="C116" si="159">SUM(C115/C114)</f>
        <v>0.30221103564996638</v>
      </c>
      <c r="D116" s="4682">
        <f t="shared" ref="D116:F116" si="160">SUM(D115/D114)</f>
        <v>0.30674502637371764</v>
      </c>
      <c r="E116" s="4682">
        <f t="shared" si="160"/>
        <v>0.30387624466571833</v>
      </c>
      <c r="F116" s="4682">
        <f t="shared" si="160"/>
        <v>0.30433578576293513</v>
      </c>
      <c r="G116" s="4682">
        <f>SUM('Произв. прогр. Вода'!L135)</f>
        <v>0.30099999999999999</v>
      </c>
      <c r="H116" s="4682">
        <f t="shared" ref="H116:M116" si="161">SUM(H115/H114)</f>
        <v>0.29950105632220075</v>
      </c>
      <c r="I116" s="4682">
        <f t="shared" si="161"/>
        <v>0.30678054439381969</v>
      </c>
      <c r="J116" s="4682">
        <f t="shared" si="161"/>
        <v>0.30835907143568791</v>
      </c>
      <c r="K116" s="4682">
        <f t="shared" si="161"/>
        <v>0.30538688754225157</v>
      </c>
      <c r="L116" s="4683">
        <f>SUM('Произв. прогр. Вода'!M135)</f>
        <v>0.30099999999999999</v>
      </c>
      <c r="M116" s="4683">
        <f t="shared" si="161"/>
        <v>0.30491531342762351</v>
      </c>
      <c r="N116" s="4683">
        <f t="shared" si="123"/>
        <v>3.9153134276235235E-3</v>
      </c>
      <c r="O116" s="4682">
        <f>SUM('Произв. прогр. Вода'!Q135)</f>
        <v>0.30099999999999999</v>
      </c>
      <c r="P116" s="4682" t="e">
        <f t="shared" ref="P116:U116" si="162">SUM(P115/P114)</f>
        <v>#DIV/0!</v>
      </c>
      <c r="Q116" s="4682" t="e">
        <f t="shared" si="162"/>
        <v>#DIV/0!</v>
      </c>
      <c r="R116" s="4682" t="e">
        <f t="shared" si="162"/>
        <v>#DIV/0!</v>
      </c>
      <c r="S116" s="4682" t="e">
        <f t="shared" si="162"/>
        <v>#DIV/0!</v>
      </c>
      <c r="T116" s="4683">
        <f>SUM('Произв. прогр. Вода'!R135)</f>
        <v>0.30099999999999999</v>
      </c>
      <c r="U116" s="4683">
        <f t="shared" si="162"/>
        <v>0.30491531342762351</v>
      </c>
      <c r="V116" s="4683">
        <f t="shared" si="124"/>
        <v>3.9153134276235235E-3</v>
      </c>
      <c r="W116" s="4682">
        <f>SUM('Произв. прогр. Вода'!V135)</f>
        <v>0.30099999999999999</v>
      </c>
      <c r="X116" s="4682" t="e">
        <f t="shared" ref="X116:AC116" si="163">SUM(X115/X114)</f>
        <v>#DIV/0!</v>
      </c>
      <c r="Y116" s="4682" t="e">
        <f t="shared" si="163"/>
        <v>#DIV/0!</v>
      </c>
      <c r="Z116" s="4682" t="e">
        <f t="shared" si="163"/>
        <v>#DIV/0!</v>
      </c>
      <c r="AA116" s="4682" t="e">
        <f t="shared" si="163"/>
        <v>#DIV/0!</v>
      </c>
      <c r="AB116" s="4683">
        <f>SUM('Произв. прогр. Вода'!B135)</f>
        <v>0.30099999999999999</v>
      </c>
      <c r="AC116" s="4683">
        <f t="shared" si="163"/>
        <v>0.30491531342762351</v>
      </c>
      <c r="AD116" s="4683">
        <f t="shared" si="125"/>
        <v>3.9153134276235235E-3</v>
      </c>
      <c r="AE116" s="4689"/>
      <c r="AF116" s="4689"/>
      <c r="AG116" s="4672"/>
      <c r="AH116" s="4672"/>
      <c r="AI116" s="4672"/>
      <c r="AJ116" s="4672"/>
      <c r="AK116" s="4672"/>
    </row>
    <row r="117" spans="1:37" ht="18.75" customHeight="1">
      <c r="A117" s="4696" t="s">
        <v>1723</v>
      </c>
      <c r="B117" s="4674">
        <f>SUM('Произв. прогр. Вода'!H136)</f>
        <v>614.31426481323933</v>
      </c>
      <c r="C117" s="4674">
        <f>SUM(C118:C124)+C126</f>
        <v>232.99</v>
      </c>
      <c r="D117" s="4674">
        <f t="shared" ref="D117:E117" si="164">SUM(D118:D124)+D126</f>
        <v>203.75</v>
      </c>
      <c r="E117" s="4674">
        <f t="shared" si="164"/>
        <v>212</v>
      </c>
      <c r="F117" s="4674">
        <f>SUM(F118:F124)+F126</f>
        <v>648.74</v>
      </c>
      <c r="G117" s="4674">
        <f>SUM('Произв. прогр. Вода'!L136)</f>
        <v>620.65689660339285</v>
      </c>
      <c r="H117" s="4674">
        <f>SUM(H118:H124)+H126</f>
        <v>234.46000000000004</v>
      </c>
      <c r="I117" s="4674">
        <f t="shared" ref="I117:K117" si="165">SUM(I118:I124)+I126</f>
        <v>175.65</v>
      </c>
      <c r="J117" s="4674">
        <f t="shared" si="165"/>
        <v>181.71</v>
      </c>
      <c r="K117" s="4674">
        <f t="shared" si="165"/>
        <v>591.82000000000005</v>
      </c>
      <c r="L117" s="4676">
        <f>SUM('Произв. прогр. Вода'!M136)</f>
        <v>1234.9711614166322</v>
      </c>
      <c r="M117" s="4676">
        <f>SUM(M118:M124)+M126</f>
        <v>1240.56</v>
      </c>
      <c r="N117" s="4676">
        <f t="shared" si="123"/>
        <v>5.5888385833677603</v>
      </c>
      <c r="O117" s="4674">
        <f>SUM('Произв. прогр. Вода'!Q136)</f>
        <v>646.01138509172461</v>
      </c>
      <c r="P117" s="4674">
        <f>SUM(P118:P124)+P126</f>
        <v>0</v>
      </c>
      <c r="Q117" s="4674">
        <f t="shared" ref="Q117" si="166">SUM(Q118:Q124)+Q126</f>
        <v>0</v>
      </c>
      <c r="R117" s="4674">
        <f t="shared" ref="R117" si="167">SUM(R118:R124)+R126</f>
        <v>0</v>
      </c>
      <c r="S117" s="4674">
        <f>SUM(S118:S124)+S126</f>
        <v>0</v>
      </c>
      <c r="T117" s="4676">
        <f>SUM('Произв. прогр. Вода'!R136)</f>
        <v>1880.9825465083568</v>
      </c>
      <c r="U117" s="4676">
        <f>SUM(U118:U124)+U126</f>
        <v>1240.56</v>
      </c>
      <c r="V117" s="4697">
        <f t="shared" si="124"/>
        <v>-640.42254650835685</v>
      </c>
      <c r="W117" s="4674">
        <f>SUM('Произв. прогр. Вода'!V136)</f>
        <v>635.23588097350785</v>
      </c>
      <c r="X117" s="4674">
        <f>SUM(X118:X124)+X126</f>
        <v>0</v>
      </c>
      <c r="Y117" s="4674">
        <f t="shared" ref="Y117:Z117" si="168">SUM(Y118:Y124)+Y126</f>
        <v>0</v>
      </c>
      <c r="Z117" s="4674">
        <f t="shared" si="168"/>
        <v>0</v>
      </c>
      <c r="AA117" s="4674">
        <f>SUM(AA118:AA124)+AA126</f>
        <v>0</v>
      </c>
      <c r="AB117" s="4676">
        <f>SUM('Произв. прогр. Вода'!B136)</f>
        <v>2516.2184274818646</v>
      </c>
      <c r="AC117" s="4676">
        <f>SUM(AC118:AC124)+AC126</f>
        <v>1240.56</v>
      </c>
      <c r="AD117" s="4676">
        <f t="shared" si="125"/>
        <v>-1275.6584274818647</v>
      </c>
      <c r="AE117" s="4689"/>
      <c r="AF117" s="4689"/>
      <c r="AG117" s="4672"/>
      <c r="AH117" s="4672"/>
      <c r="AI117" s="4672"/>
      <c r="AJ117" s="4672"/>
      <c r="AK117" s="4672"/>
    </row>
    <row r="118" spans="1:37" ht="18.75" customHeight="1">
      <c r="A118" s="4698" t="s">
        <v>72</v>
      </c>
      <c r="B118" s="4678">
        <f>SUM('Произв. прогр. Вода'!H137)</f>
        <v>401.73154011315842</v>
      </c>
      <c r="C118" s="4679">
        <v>166.78</v>
      </c>
      <c r="D118" s="4679">
        <v>122.55</v>
      </c>
      <c r="E118" s="4679">
        <v>149.1</v>
      </c>
      <c r="F118" s="4678">
        <f t="shared" ref="F118:F143" si="169">SUM(C118:E118)</f>
        <v>438.42999999999995</v>
      </c>
      <c r="G118" s="4678">
        <f>SUM('Произв. прогр. Вода'!L137)</f>
        <v>401.73154011315842</v>
      </c>
      <c r="H118" s="4679">
        <v>162.08000000000001</v>
      </c>
      <c r="I118" s="4679">
        <f>0.01+127.09</f>
        <v>127.10000000000001</v>
      </c>
      <c r="J118" s="4679">
        <v>131.47999999999999</v>
      </c>
      <c r="K118" s="4678">
        <f t="shared" ref="K118:K141" si="170">SUM(H118:J118)</f>
        <v>420.65999999999997</v>
      </c>
      <c r="L118" s="4680">
        <f>SUM('Произв. прогр. Вода'!M137)</f>
        <v>803.46308022631683</v>
      </c>
      <c r="M118" s="4680">
        <f t="shared" ref="M118:M141" si="171">SUM(F118+K118)</f>
        <v>859.08999999999992</v>
      </c>
      <c r="N118" s="4680">
        <f t="shared" si="123"/>
        <v>55.626919773683085</v>
      </c>
      <c r="O118" s="4678">
        <f>SUM('Произв. прогр. Вода'!Q137)</f>
        <v>417.80080171768486</v>
      </c>
      <c r="P118" s="4679"/>
      <c r="Q118" s="4679"/>
      <c r="R118" s="4679"/>
      <c r="S118" s="4678">
        <f t="shared" ref="S118:S141" si="172">SUM(P118:R118)</f>
        <v>0</v>
      </c>
      <c r="T118" s="4680">
        <f>SUM('Произв. прогр. Вода'!R137)</f>
        <v>1221.2638819440017</v>
      </c>
      <c r="U118" s="4680">
        <f t="shared" ref="U118:U143" si="173">SUM(M118+S118)</f>
        <v>859.08999999999992</v>
      </c>
      <c r="V118" s="4680">
        <f t="shared" si="124"/>
        <v>-362.17388194400178</v>
      </c>
      <c r="W118" s="4678">
        <f>SUM('Произв. прогр. Вода'!V137)</f>
        <v>417.80080171768486</v>
      </c>
      <c r="X118" s="4679"/>
      <c r="Y118" s="4679"/>
      <c r="Z118" s="4679"/>
      <c r="AA118" s="4678">
        <f t="shared" ref="AA118:AA143" si="174">SUM(X118:Z118)</f>
        <v>0</v>
      </c>
      <c r="AB118" s="4680">
        <f>SUM('Произв. прогр. Вода'!B137)</f>
        <v>1639.0646836616866</v>
      </c>
      <c r="AC118" s="4680">
        <f t="shared" ref="AC118:AC143" si="175">SUM(U118+AA118)</f>
        <v>859.08999999999992</v>
      </c>
      <c r="AD118" s="4680">
        <f t="shared" si="125"/>
        <v>-779.97468366168664</v>
      </c>
      <c r="AE118" s="4689"/>
      <c r="AF118" s="4689"/>
      <c r="AG118" s="4672"/>
      <c r="AH118" s="4672"/>
      <c r="AI118" s="4672"/>
      <c r="AJ118" s="4672"/>
      <c r="AK118" s="4672"/>
    </row>
    <row r="119" spans="1:37" ht="18.75" customHeight="1">
      <c r="A119" s="4698" t="s">
        <v>121</v>
      </c>
      <c r="B119" s="4678">
        <f>SUM('Произв. прогр. Вода'!H138)</f>
        <v>121.3088638935497</v>
      </c>
      <c r="C119" s="4679">
        <v>50.37</v>
      </c>
      <c r="D119" s="4679">
        <v>37.01</v>
      </c>
      <c r="E119" s="4679">
        <v>45.03</v>
      </c>
      <c r="F119" s="4678">
        <f t="shared" si="169"/>
        <v>132.41</v>
      </c>
      <c r="G119" s="4678">
        <f>SUM('Произв. прогр. Вода'!L138)</f>
        <v>121.3088638935497</v>
      </c>
      <c r="H119" s="4679">
        <v>48.95</v>
      </c>
      <c r="I119" s="4679">
        <v>38.380000000000003</v>
      </c>
      <c r="J119" s="4679">
        <v>39.71</v>
      </c>
      <c r="K119" s="4678">
        <f t="shared" si="170"/>
        <v>127.04000000000002</v>
      </c>
      <c r="L119" s="4680">
        <f>SUM('Произв. прогр. Вода'!M138)</f>
        <v>242.6177277870994</v>
      </c>
      <c r="M119" s="4680">
        <f t="shared" si="171"/>
        <v>259.45000000000005</v>
      </c>
      <c r="N119" s="4680">
        <f t="shared" si="123"/>
        <v>16.832272212900648</v>
      </c>
      <c r="O119" s="4678">
        <f>SUM('Произв. прогр. Вода'!Q138)</f>
        <v>126.16121844929171</v>
      </c>
      <c r="P119" s="4679"/>
      <c r="Q119" s="4679"/>
      <c r="R119" s="4679"/>
      <c r="S119" s="4678">
        <f t="shared" si="172"/>
        <v>0</v>
      </c>
      <c r="T119" s="4680">
        <f>SUM('Произв. прогр. Вода'!R138)</f>
        <v>368.77894623639111</v>
      </c>
      <c r="U119" s="4680">
        <f t="shared" si="173"/>
        <v>259.45000000000005</v>
      </c>
      <c r="V119" s="4680">
        <f t="shared" si="124"/>
        <v>-109.32894623639106</v>
      </c>
      <c r="W119" s="4678">
        <f>SUM('Произв. прогр. Вода'!V138)</f>
        <v>126.16121844929171</v>
      </c>
      <c r="X119" s="4679"/>
      <c r="Y119" s="4679"/>
      <c r="Z119" s="4679"/>
      <c r="AA119" s="4678">
        <f t="shared" si="174"/>
        <v>0</v>
      </c>
      <c r="AB119" s="4680">
        <f>SUM('Произв. прогр. Вода'!B138)</f>
        <v>494.94016468568282</v>
      </c>
      <c r="AC119" s="4680">
        <f t="shared" si="175"/>
        <v>259.45000000000005</v>
      </c>
      <c r="AD119" s="4680">
        <f t="shared" si="125"/>
        <v>-235.49016468568277</v>
      </c>
      <c r="AE119" s="4689"/>
      <c r="AF119" s="4689"/>
      <c r="AG119" s="4672"/>
      <c r="AH119" s="4672"/>
      <c r="AI119" s="4672"/>
      <c r="AJ119" s="4672"/>
      <c r="AK119" s="4672"/>
    </row>
    <row r="120" spans="1:37" ht="18.75" customHeight="1">
      <c r="A120" s="4698" t="s">
        <v>52</v>
      </c>
      <c r="B120" s="4678">
        <f>SUM('Произв. прогр. Вода'!H139)</f>
        <v>2.3275020454207249</v>
      </c>
      <c r="C120" s="4679">
        <v>0.78</v>
      </c>
      <c r="D120" s="4679"/>
      <c r="E120" s="4679">
        <v>1.43</v>
      </c>
      <c r="F120" s="4678">
        <f t="shared" si="169"/>
        <v>2.21</v>
      </c>
      <c r="G120" s="4678">
        <f>SUM('Произв. прогр. Вода'!L139)</f>
        <v>2.3275020454207249</v>
      </c>
      <c r="H120" s="4679">
        <v>0.72</v>
      </c>
      <c r="I120" s="4679">
        <f>0.01+0.69</f>
        <v>0.7</v>
      </c>
      <c r="J120" s="4679"/>
      <c r="K120" s="4678">
        <f t="shared" si="170"/>
        <v>1.42</v>
      </c>
      <c r="L120" s="4680">
        <f>SUM('Произв. прогр. Вода'!M139)</f>
        <v>4.6550040908414498</v>
      </c>
      <c r="M120" s="4680">
        <f t="shared" si="171"/>
        <v>3.63</v>
      </c>
      <c r="N120" s="4680">
        <f t="shared" si="123"/>
        <v>-1.0250040908414499</v>
      </c>
      <c r="O120" s="4678">
        <f>SUM('Произв. прогр. Вода'!Q139)</f>
        <v>2.3275020454207249</v>
      </c>
      <c r="P120" s="4679"/>
      <c r="Q120" s="4679"/>
      <c r="R120" s="4679"/>
      <c r="S120" s="4678">
        <f t="shared" si="172"/>
        <v>0</v>
      </c>
      <c r="T120" s="4680">
        <f>SUM('Произв. прогр. Вода'!R139)</f>
        <v>6.9825061362621748</v>
      </c>
      <c r="U120" s="4680">
        <f t="shared" si="173"/>
        <v>3.63</v>
      </c>
      <c r="V120" s="4680">
        <f t="shared" si="124"/>
        <v>-3.3525061362621749</v>
      </c>
      <c r="W120" s="4678">
        <f>SUM('Произв. прогр. Вода'!V139)</f>
        <v>2.3275020454207249</v>
      </c>
      <c r="X120" s="4679"/>
      <c r="Y120" s="4679"/>
      <c r="Z120" s="4679"/>
      <c r="AA120" s="4678">
        <f t="shared" si="174"/>
        <v>0</v>
      </c>
      <c r="AB120" s="4680">
        <f>SUM('Произв. прогр. Вода'!B139)</f>
        <v>9.3100081816828997</v>
      </c>
      <c r="AC120" s="4680">
        <f t="shared" si="175"/>
        <v>3.63</v>
      </c>
      <c r="AD120" s="4680">
        <f t="shared" si="125"/>
        <v>-5.6800081816828998</v>
      </c>
      <c r="AE120" s="4689"/>
      <c r="AF120" s="4689"/>
      <c r="AG120" s="4672"/>
      <c r="AH120" s="4672"/>
      <c r="AI120" s="4672"/>
      <c r="AJ120" s="4672"/>
      <c r="AK120" s="4672"/>
    </row>
    <row r="121" spans="1:37" ht="18.75" customHeight="1">
      <c r="A121" s="4698" t="s">
        <v>605</v>
      </c>
      <c r="B121" s="4678">
        <f>SUM('Произв. прогр. Вода'!H140)</f>
        <v>42.649902345817608</v>
      </c>
      <c r="C121" s="4679">
        <v>12.52</v>
      </c>
      <c r="D121" s="4679">
        <v>30.02</v>
      </c>
      <c r="E121" s="4679">
        <v>7.94</v>
      </c>
      <c r="F121" s="4678">
        <f t="shared" si="169"/>
        <v>50.48</v>
      </c>
      <c r="G121" s="4678">
        <f>SUM('Произв. прогр. Вода'!L140)</f>
        <v>42.649902345817608</v>
      </c>
      <c r="H121" s="4679">
        <v>18.39</v>
      </c>
      <c r="I121" s="4679">
        <f>-3.6+12.52</f>
        <v>8.92</v>
      </c>
      <c r="J121" s="4679">
        <v>10.52</v>
      </c>
      <c r="K121" s="4678">
        <f t="shared" si="170"/>
        <v>37.83</v>
      </c>
      <c r="L121" s="4680">
        <f>SUM('Произв. прогр. Вода'!M140)</f>
        <v>85.299804691635217</v>
      </c>
      <c r="M121" s="4680">
        <f t="shared" si="171"/>
        <v>88.31</v>
      </c>
      <c r="N121" s="4680">
        <f t="shared" si="123"/>
        <v>3.0101953083647857</v>
      </c>
      <c r="O121" s="4678">
        <f>SUM('Произв. прогр. Вода'!Q140)</f>
        <v>42.649902345817608</v>
      </c>
      <c r="P121" s="4679"/>
      <c r="Q121" s="4679"/>
      <c r="R121" s="4679"/>
      <c r="S121" s="4678">
        <f t="shared" si="172"/>
        <v>0</v>
      </c>
      <c r="T121" s="4680">
        <f>SUM('Произв. прогр. Вода'!R140)</f>
        <v>127.94970703745282</v>
      </c>
      <c r="U121" s="4680">
        <f t="shared" si="173"/>
        <v>88.31</v>
      </c>
      <c r="V121" s="4680">
        <f t="shared" si="124"/>
        <v>-39.639707037452823</v>
      </c>
      <c r="W121" s="4678">
        <f>SUM('Произв. прогр. Вода'!V140)</f>
        <v>42.649902345817608</v>
      </c>
      <c r="X121" s="4679"/>
      <c r="Y121" s="4679"/>
      <c r="Z121" s="4679"/>
      <c r="AA121" s="4678">
        <f t="shared" si="174"/>
        <v>0</v>
      </c>
      <c r="AB121" s="4680">
        <f>SUM('Произв. прогр. Вода'!B140)</f>
        <v>170.59960938327043</v>
      </c>
      <c r="AC121" s="4680">
        <f t="shared" si="175"/>
        <v>88.31</v>
      </c>
      <c r="AD121" s="4680">
        <f t="shared" si="125"/>
        <v>-82.289609383270431</v>
      </c>
      <c r="AE121" s="4689"/>
      <c r="AF121" s="4689"/>
      <c r="AG121" s="4672"/>
      <c r="AH121" s="4672"/>
      <c r="AI121" s="4672"/>
      <c r="AJ121" s="4672"/>
      <c r="AK121" s="4672"/>
    </row>
    <row r="122" spans="1:37" ht="18.75" customHeight="1">
      <c r="A122" s="4698" t="s">
        <v>38</v>
      </c>
      <c r="B122" s="4678">
        <f>SUM('Произв. прогр. Вода'!H141)</f>
        <v>9.0583863389347119</v>
      </c>
      <c r="C122" s="4679"/>
      <c r="D122" s="4679"/>
      <c r="E122" s="4679"/>
      <c r="F122" s="4678">
        <f t="shared" si="169"/>
        <v>0</v>
      </c>
      <c r="G122" s="4678">
        <f>SUM('Произв. прогр. Вода'!L141)</f>
        <v>9.0583863389347119</v>
      </c>
      <c r="H122" s="4679"/>
      <c r="I122" s="4679"/>
      <c r="J122" s="4679"/>
      <c r="K122" s="4678">
        <f t="shared" si="170"/>
        <v>0</v>
      </c>
      <c r="L122" s="4680">
        <f>SUM('Произв. прогр. Вода'!M141)</f>
        <v>18.116772677869424</v>
      </c>
      <c r="M122" s="4680">
        <f t="shared" si="171"/>
        <v>0</v>
      </c>
      <c r="N122" s="4680">
        <f t="shared" si="123"/>
        <v>-18.116772677869424</v>
      </c>
      <c r="O122" s="4678">
        <f>SUM('Произв. прогр. Вода'!Q141)</f>
        <v>9.0583863389347119</v>
      </c>
      <c r="P122" s="4679"/>
      <c r="Q122" s="4679"/>
      <c r="R122" s="4679"/>
      <c r="S122" s="4678">
        <f t="shared" si="172"/>
        <v>0</v>
      </c>
      <c r="T122" s="4680">
        <f>SUM('Произв. прогр. Вода'!R141)</f>
        <v>27.175159016804137</v>
      </c>
      <c r="U122" s="4680">
        <f t="shared" si="173"/>
        <v>0</v>
      </c>
      <c r="V122" s="4680">
        <f t="shared" si="124"/>
        <v>-27.175159016804137</v>
      </c>
      <c r="W122" s="4678">
        <f>SUM('Произв. прогр. Вода'!V141)</f>
        <v>9.0583863389347119</v>
      </c>
      <c r="X122" s="4679"/>
      <c r="Y122" s="4679"/>
      <c r="Z122" s="4679"/>
      <c r="AA122" s="4678">
        <f t="shared" si="174"/>
        <v>0</v>
      </c>
      <c r="AB122" s="4680">
        <f>SUM('Произв. прогр. Вода'!B141)</f>
        <v>36.233545355738848</v>
      </c>
      <c r="AC122" s="4680">
        <f t="shared" si="175"/>
        <v>0</v>
      </c>
      <c r="AD122" s="4680">
        <f t="shared" si="125"/>
        <v>-36.233545355738848</v>
      </c>
      <c r="AE122" s="4689"/>
      <c r="AF122" s="4689"/>
      <c r="AG122" s="4672"/>
      <c r="AH122" s="4672"/>
      <c r="AI122" s="4672"/>
      <c r="AJ122" s="4672"/>
      <c r="AK122" s="4672"/>
    </row>
    <row r="123" spans="1:37" ht="18.75" customHeight="1">
      <c r="A123" s="4698" t="s">
        <v>32</v>
      </c>
      <c r="B123" s="4678">
        <f>SUM('Произв. прогр. Вода'!H142)</f>
        <v>0.81777098893160594</v>
      </c>
      <c r="C123" s="4679"/>
      <c r="D123" s="4679"/>
      <c r="E123" s="4679"/>
      <c r="F123" s="4678">
        <f t="shared" si="169"/>
        <v>0</v>
      </c>
      <c r="G123" s="4678">
        <f>SUM('Произв. прогр. Вода'!L142)</f>
        <v>0.81777098893160594</v>
      </c>
      <c r="H123" s="4679"/>
      <c r="I123" s="4679"/>
      <c r="J123" s="4679"/>
      <c r="K123" s="4678">
        <f t="shared" si="170"/>
        <v>0</v>
      </c>
      <c r="L123" s="4680">
        <f>SUM('Произв. прогр. Вода'!M142)</f>
        <v>1.6355419778632119</v>
      </c>
      <c r="M123" s="4680">
        <f t="shared" si="171"/>
        <v>0</v>
      </c>
      <c r="N123" s="4680">
        <f t="shared" si="123"/>
        <v>-1.6355419778632119</v>
      </c>
      <c r="O123" s="4678">
        <f>SUM('Произв. прогр. Вода'!Q142)</f>
        <v>0.81777098893160594</v>
      </c>
      <c r="P123" s="4679"/>
      <c r="Q123" s="4679"/>
      <c r="R123" s="4679"/>
      <c r="S123" s="4678">
        <f t="shared" si="172"/>
        <v>0</v>
      </c>
      <c r="T123" s="4680">
        <f>SUM('Произв. прогр. Вода'!R142)</f>
        <v>2.4533129667948179</v>
      </c>
      <c r="U123" s="4680">
        <f t="shared" si="173"/>
        <v>0</v>
      </c>
      <c r="V123" s="4680">
        <f t="shared" si="124"/>
        <v>-2.4533129667948179</v>
      </c>
      <c r="W123" s="4678">
        <f>SUM('Произв. прогр. Вода'!V142)</f>
        <v>0.81777098893160594</v>
      </c>
      <c r="X123" s="4679"/>
      <c r="Y123" s="4679"/>
      <c r="Z123" s="4679"/>
      <c r="AA123" s="4678">
        <f t="shared" si="174"/>
        <v>0</v>
      </c>
      <c r="AB123" s="4680">
        <f>SUM('Произв. прогр. Вода'!B142)</f>
        <v>3.2710839557264237</v>
      </c>
      <c r="AC123" s="4680">
        <f t="shared" si="175"/>
        <v>0</v>
      </c>
      <c r="AD123" s="4680">
        <f t="shared" si="125"/>
        <v>-3.2710839557264237</v>
      </c>
      <c r="AE123" s="4689"/>
      <c r="AF123" s="4689"/>
      <c r="AG123" s="4672"/>
      <c r="AH123" s="4672"/>
      <c r="AI123" s="4672"/>
      <c r="AJ123" s="4672"/>
      <c r="AK123" s="4672"/>
    </row>
    <row r="124" spans="1:37" ht="18.75" customHeight="1">
      <c r="A124" s="4698" t="s">
        <v>606</v>
      </c>
      <c r="B124" s="4678">
        <f>SUM('Произв. прогр. Вода'!H143)</f>
        <v>4.9695313942766832</v>
      </c>
      <c r="C124" s="4678">
        <f t="shared" ref="C124:F124" si="176">SUM(C125)</f>
        <v>2.54</v>
      </c>
      <c r="D124" s="4678">
        <f t="shared" si="176"/>
        <v>14.17</v>
      </c>
      <c r="E124" s="4678">
        <f t="shared" si="176"/>
        <v>8.5</v>
      </c>
      <c r="F124" s="4678">
        <f t="shared" si="176"/>
        <v>25.21</v>
      </c>
      <c r="G124" s="4678">
        <f>SUM('Произв. прогр. Вода'!L143)</f>
        <v>4.9695313942766832</v>
      </c>
      <c r="H124" s="4678">
        <f t="shared" ref="H124" si="177">SUM(H125)</f>
        <v>4.07</v>
      </c>
      <c r="I124" s="4678">
        <f t="shared" ref="I124:M124" si="178">SUM(I125)</f>
        <v>0.55000000000000004</v>
      </c>
      <c r="J124" s="4678">
        <f t="shared" si="178"/>
        <v>0</v>
      </c>
      <c r="K124" s="4678">
        <f t="shared" si="178"/>
        <v>4.62</v>
      </c>
      <c r="L124" s="4680">
        <f>SUM('Произв. прогр. Вода'!M143)</f>
        <v>9.9390627885533664</v>
      </c>
      <c r="M124" s="4680">
        <f t="shared" si="178"/>
        <v>29.830000000000002</v>
      </c>
      <c r="N124" s="4680">
        <f t="shared" si="123"/>
        <v>19.890937211446634</v>
      </c>
      <c r="O124" s="4678">
        <f>SUM('Произв. прогр. Вода'!Q143)</f>
        <v>4.9695313942766832</v>
      </c>
      <c r="P124" s="4678">
        <f t="shared" ref="P124" si="179">SUM(P125)</f>
        <v>0</v>
      </c>
      <c r="Q124" s="4678">
        <f t="shared" ref="Q124:U124" si="180">SUM(Q125)</f>
        <v>0</v>
      </c>
      <c r="R124" s="4678">
        <f t="shared" si="180"/>
        <v>0</v>
      </c>
      <c r="S124" s="4678">
        <f t="shared" si="180"/>
        <v>0</v>
      </c>
      <c r="T124" s="4680">
        <f>SUM('Произв. прогр. Вода'!R143)</f>
        <v>14.908594182830051</v>
      </c>
      <c r="U124" s="4680">
        <f t="shared" si="180"/>
        <v>29.830000000000002</v>
      </c>
      <c r="V124" s="4680">
        <f t="shared" si="124"/>
        <v>14.921405817169951</v>
      </c>
      <c r="W124" s="4678">
        <f>SUM('Произв. прогр. Вода'!V143)</f>
        <v>4.9695313942766832</v>
      </c>
      <c r="X124" s="4678">
        <f t="shared" ref="X124" si="181">SUM(X125)</f>
        <v>0</v>
      </c>
      <c r="Y124" s="4678">
        <f t="shared" ref="Y124:AC124" si="182">SUM(Y125)</f>
        <v>0</v>
      </c>
      <c r="Z124" s="4678">
        <f t="shared" si="182"/>
        <v>0</v>
      </c>
      <c r="AA124" s="4678">
        <f t="shared" si="182"/>
        <v>0</v>
      </c>
      <c r="AB124" s="4680">
        <f>SUM('Произв. прогр. Вода'!B143)</f>
        <v>19.878125577106733</v>
      </c>
      <c r="AC124" s="4680">
        <f t="shared" si="182"/>
        <v>29.830000000000002</v>
      </c>
      <c r="AD124" s="4680">
        <f t="shared" si="125"/>
        <v>9.951874422893269</v>
      </c>
      <c r="AE124" s="4689"/>
      <c r="AF124" s="4689"/>
      <c r="AG124" s="4672"/>
      <c r="AH124" s="4672"/>
      <c r="AI124" s="4672"/>
      <c r="AJ124" s="4672"/>
      <c r="AK124" s="4672"/>
    </row>
    <row r="125" spans="1:37" ht="18.75" customHeight="1">
      <c r="A125" s="4699" t="s">
        <v>564</v>
      </c>
      <c r="B125" s="4684">
        <f>SUM('Произв. прогр. Вода'!H144)</f>
        <v>4.9695313942766832</v>
      </c>
      <c r="C125" s="4685">
        <v>2.54</v>
      </c>
      <c r="D125" s="4685">
        <v>14.17</v>
      </c>
      <c r="E125" s="4685">
        <v>8.5</v>
      </c>
      <c r="F125" s="4684">
        <f t="shared" si="169"/>
        <v>25.21</v>
      </c>
      <c r="G125" s="4684">
        <f>SUM('Произв. прогр. Вода'!L144)</f>
        <v>4.9695313942766832</v>
      </c>
      <c r="H125" s="4685">
        <f>4.08-0.01</f>
        <v>4.07</v>
      </c>
      <c r="I125" s="4685">
        <v>0.55000000000000004</v>
      </c>
      <c r="J125" s="4685"/>
      <c r="K125" s="4684">
        <f t="shared" si="170"/>
        <v>4.62</v>
      </c>
      <c r="L125" s="4686">
        <f>SUM('Произв. прогр. Вода'!M144)</f>
        <v>9.9390627885533664</v>
      </c>
      <c r="M125" s="4686">
        <f t="shared" si="171"/>
        <v>29.830000000000002</v>
      </c>
      <c r="N125" s="4686">
        <f t="shared" si="123"/>
        <v>19.890937211446634</v>
      </c>
      <c r="O125" s="4684">
        <f>SUM('Произв. прогр. Вода'!Q144)</f>
        <v>4.9695313942766832</v>
      </c>
      <c r="P125" s="4685"/>
      <c r="Q125" s="4685"/>
      <c r="R125" s="4685"/>
      <c r="S125" s="4684">
        <f t="shared" si="172"/>
        <v>0</v>
      </c>
      <c r="T125" s="4686">
        <f>SUM('Произв. прогр. Вода'!R144)</f>
        <v>14.908594182830051</v>
      </c>
      <c r="U125" s="4686">
        <f t="shared" si="173"/>
        <v>29.830000000000002</v>
      </c>
      <c r="V125" s="4686">
        <f t="shared" si="124"/>
        <v>14.921405817169951</v>
      </c>
      <c r="W125" s="4684">
        <f>SUM('Произв. прогр. Вода'!V144)</f>
        <v>4.9695313942766832</v>
      </c>
      <c r="X125" s="4685"/>
      <c r="Y125" s="4685"/>
      <c r="Z125" s="4685"/>
      <c r="AA125" s="4684">
        <f t="shared" si="174"/>
        <v>0</v>
      </c>
      <c r="AB125" s="4686">
        <f>SUM('Произв. прогр. Вода'!B144)</f>
        <v>19.878125577106733</v>
      </c>
      <c r="AC125" s="4686">
        <f t="shared" si="175"/>
        <v>29.830000000000002</v>
      </c>
      <c r="AD125" s="4686">
        <f t="shared" si="125"/>
        <v>9.951874422893269</v>
      </c>
      <c r="AE125" s="4689"/>
      <c r="AF125" s="4689"/>
      <c r="AG125" s="4672"/>
      <c r="AH125" s="4672"/>
      <c r="AI125" s="4672"/>
      <c r="AJ125" s="4672"/>
      <c r="AK125" s="4672"/>
    </row>
    <row r="126" spans="1:37" ht="18.75" customHeight="1">
      <c r="A126" s="4698" t="s">
        <v>609</v>
      </c>
      <c r="B126" s="4678">
        <f>SUM('Произв. прогр. Вода'!H145)</f>
        <v>31.450767693149871</v>
      </c>
      <c r="C126" s="4678">
        <f>SUM(C127:C129)</f>
        <v>0</v>
      </c>
      <c r="D126" s="4678">
        <f>SUM(D127:D129)</f>
        <v>0</v>
      </c>
      <c r="E126" s="4678">
        <f>SUM(E127:E129)</f>
        <v>0</v>
      </c>
      <c r="F126" s="4678">
        <f>SUM(F127:F129)</f>
        <v>0</v>
      </c>
      <c r="G126" s="4678">
        <f>SUM('Произв. прогр. Вода'!L145)</f>
        <v>37.793399483303403</v>
      </c>
      <c r="H126" s="4678">
        <f>SUM(H127:H129)</f>
        <v>0.25</v>
      </c>
      <c r="I126" s="4678">
        <f>SUM(I127:I129)</f>
        <v>0</v>
      </c>
      <c r="J126" s="4678">
        <f>SUM(J127:J129)</f>
        <v>0</v>
      </c>
      <c r="K126" s="4678">
        <f>SUM(K127:K129)</f>
        <v>0.25</v>
      </c>
      <c r="L126" s="4680">
        <f>SUM('Произв. прогр. Вода'!M145)</f>
        <v>69.244167176453274</v>
      </c>
      <c r="M126" s="4680">
        <f>SUM(M127:M129)</f>
        <v>0.25</v>
      </c>
      <c r="N126" s="4680">
        <f t="shared" si="123"/>
        <v>-68.994167176453274</v>
      </c>
      <c r="O126" s="4678">
        <f>SUM('Произв. прогр. Вода'!Q145)</f>
        <v>42.226271811366757</v>
      </c>
      <c r="P126" s="4678">
        <f>SUM(P127:P129)</f>
        <v>0</v>
      </c>
      <c r="Q126" s="4678">
        <f>SUM(Q127:Q129)</f>
        <v>0</v>
      </c>
      <c r="R126" s="4678">
        <f>SUM(R127:R129)</f>
        <v>0</v>
      </c>
      <c r="S126" s="4678">
        <f>SUM(S127:S129)</f>
        <v>0</v>
      </c>
      <c r="T126" s="4680">
        <f>SUM('Произв. прогр. Вода'!R145)</f>
        <v>111.47043898782003</v>
      </c>
      <c r="U126" s="4680">
        <f>SUM(U127:U129)</f>
        <v>0.25</v>
      </c>
      <c r="V126" s="4680">
        <f t="shared" si="124"/>
        <v>-111.22043898782003</v>
      </c>
      <c r="W126" s="4678">
        <f>SUM('Произв. прогр. Вода'!V145)</f>
        <v>31.450767693149871</v>
      </c>
      <c r="X126" s="4678">
        <f>SUM(X127:X129)</f>
        <v>0</v>
      </c>
      <c r="Y126" s="4678">
        <f>SUM(Y127:Y129)</f>
        <v>0</v>
      </c>
      <c r="Z126" s="4678">
        <f>SUM(Z127:Z129)</f>
        <v>0</v>
      </c>
      <c r="AA126" s="4678">
        <f>SUM(AA127:AA129)</f>
        <v>0</v>
      </c>
      <c r="AB126" s="4680">
        <f>SUM('Произв. прогр. Вода'!B145)</f>
        <v>142.9212066809699</v>
      </c>
      <c r="AC126" s="4680">
        <f>SUM(AC127:AC129)</f>
        <v>0.25</v>
      </c>
      <c r="AD126" s="4680">
        <f t="shared" si="125"/>
        <v>-142.6712066809699</v>
      </c>
      <c r="AE126" s="4689"/>
      <c r="AF126" s="4689"/>
      <c r="AG126" s="4672"/>
      <c r="AH126" s="4672"/>
      <c r="AI126" s="4672"/>
      <c r="AJ126" s="4672"/>
      <c r="AK126" s="4672"/>
    </row>
    <row r="127" spans="1:37" ht="18.75" customHeight="1">
      <c r="A127" s="4699" t="s">
        <v>551</v>
      </c>
      <c r="B127" s="4684">
        <f>SUM('Произв. прогр. Вода'!H146)</f>
        <v>30.570091243531216</v>
      </c>
      <c r="C127" s="4685"/>
      <c r="D127" s="4685"/>
      <c r="E127" s="4685"/>
      <c r="F127" s="4684">
        <f t="shared" si="169"/>
        <v>0</v>
      </c>
      <c r="G127" s="4684">
        <f>SUM('Произв. прогр. Вода'!L146)</f>
        <v>36.912723033684756</v>
      </c>
      <c r="H127" s="4685"/>
      <c r="I127" s="4685"/>
      <c r="J127" s="4685"/>
      <c r="K127" s="4684">
        <f t="shared" si="170"/>
        <v>0</v>
      </c>
      <c r="L127" s="4686">
        <f>SUM('Произв. прогр. Вода'!M146)</f>
        <v>67.482814277215965</v>
      </c>
      <c r="M127" s="4686">
        <f t="shared" si="171"/>
        <v>0</v>
      </c>
      <c r="N127" s="4686">
        <f t="shared" si="123"/>
        <v>-67.482814277215965</v>
      </c>
      <c r="O127" s="4684">
        <f>SUM('Произв. прогр. Вода'!Q146)</f>
        <v>41.345595361748103</v>
      </c>
      <c r="P127" s="4685"/>
      <c r="Q127" s="4685"/>
      <c r="R127" s="4685"/>
      <c r="S127" s="4684">
        <f t="shared" si="172"/>
        <v>0</v>
      </c>
      <c r="T127" s="4686">
        <f>SUM('Произв. прогр. Вода'!R146)</f>
        <v>108.82840963896408</v>
      </c>
      <c r="U127" s="4686">
        <f t="shared" si="173"/>
        <v>0</v>
      </c>
      <c r="V127" s="4686">
        <f t="shared" si="124"/>
        <v>-108.82840963896408</v>
      </c>
      <c r="W127" s="4684">
        <f>SUM('Произв. прогр. Вода'!V146)</f>
        <v>30.570091243531216</v>
      </c>
      <c r="X127" s="4685"/>
      <c r="Y127" s="4685"/>
      <c r="Z127" s="4685"/>
      <c r="AA127" s="4684">
        <f t="shared" si="174"/>
        <v>0</v>
      </c>
      <c r="AB127" s="4686">
        <f>SUM('Произв. прогр. Вода'!B146)</f>
        <v>139.39850088249528</v>
      </c>
      <c r="AC127" s="4686">
        <f t="shared" si="175"/>
        <v>0</v>
      </c>
      <c r="AD127" s="4686">
        <f t="shared" si="125"/>
        <v>-139.39850088249528</v>
      </c>
      <c r="AE127" s="4689"/>
      <c r="AF127" s="4689"/>
      <c r="AG127" s="4672"/>
      <c r="AH127" s="4672"/>
      <c r="AI127" s="4672"/>
      <c r="AJ127" s="4672"/>
      <c r="AK127" s="4672"/>
    </row>
    <row r="128" spans="1:37" ht="18.75" customHeight="1">
      <c r="A128" s="4699" t="s">
        <v>643</v>
      </c>
      <c r="B128" s="4684">
        <f>SUM('Произв. прогр. Вода'!H147)</f>
        <v>0.88067644961865277</v>
      </c>
      <c r="C128" s="4685"/>
      <c r="D128" s="4685"/>
      <c r="E128" s="4685"/>
      <c r="F128" s="4684">
        <f t="shared" si="169"/>
        <v>0</v>
      </c>
      <c r="G128" s="4684">
        <f>SUM('Произв. прогр. Вода'!L147)</f>
        <v>0.88067644961865277</v>
      </c>
      <c r="H128" s="4685"/>
      <c r="I128" s="4685"/>
      <c r="J128" s="4685"/>
      <c r="K128" s="4684">
        <f t="shared" si="170"/>
        <v>0</v>
      </c>
      <c r="L128" s="4686">
        <f>SUM('Произв. прогр. Вода'!M147)</f>
        <v>1.7613528992373055</v>
      </c>
      <c r="M128" s="4686">
        <f t="shared" si="171"/>
        <v>0</v>
      </c>
      <c r="N128" s="4686">
        <f t="shared" si="123"/>
        <v>-1.7613528992373055</v>
      </c>
      <c r="O128" s="4684">
        <f>SUM('Произв. прогр. Вода'!Q147)</f>
        <v>0.88067644961865277</v>
      </c>
      <c r="P128" s="4685"/>
      <c r="Q128" s="4685"/>
      <c r="R128" s="4685"/>
      <c r="S128" s="4684">
        <f t="shared" si="172"/>
        <v>0</v>
      </c>
      <c r="T128" s="4686">
        <f>SUM('Произв. прогр. Вода'!R147)</f>
        <v>2.6420293488559583</v>
      </c>
      <c r="U128" s="4686">
        <f t="shared" si="173"/>
        <v>0</v>
      </c>
      <c r="V128" s="4686">
        <f t="shared" si="124"/>
        <v>-2.6420293488559583</v>
      </c>
      <c r="W128" s="4684">
        <f>SUM('Произв. прогр. Вода'!V147)</f>
        <v>0.88067644961865277</v>
      </c>
      <c r="X128" s="4685"/>
      <c r="Y128" s="4685"/>
      <c r="Z128" s="4685"/>
      <c r="AA128" s="4684">
        <f t="shared" si="174"/>
        <v>0</v>
      </c>
      <c r="AB128" s="4686">
        <f>SUM('Произв. прогр. Вода'!B147)</f>
        <v>3.5227057984746111</v>
      </c>
      <c r="AC128" s="4686">
        <f t="shared" si="175"/>
        <v>0</v>
      </c>
      <c r="AD128" s="4686">
        <f t="shared" si="125"/>
        <v>-3.5227057984746111</v>
      </c>
      <c r="AE128" s="4689"/>
      <c r="AF128" s="4689"/>
      <c r="AG128" s="4672"/>
      <c r="AH128" s="4672"/>
      <c r="AI128" s="4672"/>
      <c r="AJ128" s="4672"/>
      <c r="AK128" s="4672"/>
    </row>
    <row r="129" spans="1:37" ht="18.75" customHeight="1">
      <c r="A129" s="4699" t="s">
        <v>613</v>
      </c>
      <c r="B129" s="4684">
        <f>SUM('Произв. прогр. Вода'!H148)</f>
        <v>0</v>
      </c>
      <c r="C129" s="4685"/>
      <c r="D129" s="4685"/>
      <c r="E129" s="4685"/>
      <c r="F129" s="4684">
        <f t="shared" si="169"/>
        <v>0</v>
      </c>
      <c r="G129" s="4684">
        <f>SUM('Произв. прогр. Вода'!L148)</f>
        <v>0</v>
      </c>
      <c r="H129" s="4685">
        <f>0.26-0.01</f>
        <v>0.25</v>
      </c>
      <c r="I129" s="4685"/>
      <c r="J129" s="4685"/>
      <c r="K129" s="4684">
        <f t="shared" si="170"/>
        <v>0.25</v>
      </c>
      <c r="L129" s="4686">
        <f>SUM('Произв. прогр. Вода'!M148)</f>
        <v>0</v>
      </c>
      <c r="M129" s="4686">
        <f t="shared" si="171"/>
        <v>0.25</v>
      </c>
      <c r="N129" s="4686">
        <f t="shared" si="123"/>
        <v>0.25</v>
      </c>
      <c r="O129" s="4684">
        <f>SUM('Произв. прогр. Вода'!Q148)</f>
        <v>0</v>
      </c>
      <c r="P129" s="4685"/>
      <c r="Q129" s="4685"/>
      <c r="R129" s="4685"/>
      <c r="S129" s="4684">
        <f t="shared" si="172"/>
        <v>0</v>
      </c>
      <c r="T129" s="4686">
        <f>SUM('Произв. прогр. Вода'!R148)</f>
        <v>0</v>
      </c>
      <c r="U129" s="4686">
        <f t="shared" si="173"/>
        <v>0.25</v>
      </c>
      <c r="V129" s="4686">
        <f t="shared" si="124"/>
        <v>0.25</v>
      </c>
      <c r="W129" s="4684">
        <f>SUM('Произв. прогр. Вода'!V148)</f>
        <v>0</v>
      </c>
      <c r="X129" s="4685"/>
      <c r="Y129" s="4685"/>
      <c r="Z129" s="4685"/>
      <c r="AA129" s="4684">
        <f t="shared" si="174"/>
        <v>0</v>
      </c>
      <c r="AB129" s="4686">
        <f>SUM('Произв. прогр. Вода'!B148)</f>
        <v>0</v>
      </c>
      <c r="AC129" s="4686">
        <f t="shared" si="175"/>
        <v>0.25</v>
      </c>
      <c r="AD129" s="4686">
        <f t="shared" si="125"/>
        <v>0.25</v>
      </c>
      <c r="AE129" s="4689"/>
      <c r="AF129" s="4689"/>
      <c r="AG129" s="4672"/>
      <c r="AH129" s="4672"/>
      <c r="AI129" s="4672"/>
      <c r="AJ129" s="4672"/>
      <c r="AK129" s="4672"/>
    </row>
    <row r="130" spans="1:37" ht="18.75" customHeight="1">
      <c r="A130" s="4696" t="s">
        <v>1724</v>
      </c>
      <c r="B130" s="4674">
        <f>SUM('Произв. прогр. Вода'!H149)</f>
        <v>880.95560302602939</v>
      </c>
      <c r="C130" s="4674">
        <f t="shared" ref="C130:F130" si="183">SUM(C131:C134)</f>
        <v>0</v>
      </c>
      <c r="D130" s="4674">
        <f t="shared" si="183"/>
        <v>0</v>
      </c>
      <c r="E130" s="4674">
        <f>SUM(E131:E134)</f>
        <v>684.78</v>
      </c>
      <c r="F130" s="4674">
        <f t="shared" si="183"/>
        <v>684.78</v>
      </c>
      <c r="G130" s="4674">
        <f>SUM('Произв. прогр. Вода'!L149)</f>
        <v>880.95560302602939</v>
      </c>
      <c r="H130" s="4674">
        <f t="shared" ref="H130:M130" si="184">SUM(H131:H134)</f>
        <v>0</v>
      </c>
      <c r="I130" s="4674">
        <f t="shared" si="184"/>
        <v>0</v>
      </c>
      <c r="J130" s="4674">
        <f t="shared" si="184"/>
        <v>684.78</v>
      </c>
      <c r="K130" s="4674">
        <f t="shared" si="184"/>
        <v>684.78</v>
      </c>
      <c r="L130" s="4676">
        <f>SUM('Произв. прогр. Вода'!M149)</f>
        <v>1761.9112060520588</v>
      </c>
      <c r="M130" s="4676">
        <f t="shared" si="184"/>
        <v>1369.56</v>
      </c>
      <c r="N130" s="4676">
        <f t="shared" si="123"/>
        <v>-392.35120605205884</v>
      </c>
      <c r="O130" s="4674">
        <f>SUM('Произв. прогр. Вода'!Q149)</f>
        <v>880.95560302602939</v>
      </c>
      <c r="P130" s="4674">
        <f t="shared" ref="P130:U130" si="185">SUM(P131:P134)</f>
        <v>0</v>
      </c>
      <c r="Q130" s="4674">
        <f t="shared" si="185"/>
        <v>0</v>
      </c>
      <c r="R130" s="4674">
        <f t="shared" si="185"/>
        <v>0</v>
      </c>
      <c r="S130" s="4674">
        <f t="shared" si="185"/>
        <v>0</v>
      </c>
      <c r="T130" s="4676">
        <f>SUM('Произв. прогр. Вода'!R149)</f>
        <v>2642.8668090780884</v>
      </c>
      <c r="U130" s="4676">
        <f t="shared" si="185"/>
        <v>1369.56</v>
      </c>
      <c r="V130" s="4676">
        <f t="shared" si="124"/>
        <v>-1273.3068090780885</v>
      </c>
      <c r="W130" s="4674">
        <f>SUM('Произв. прогр. Вода'!V149)</f>
        <v>880.95560302602939</v>
      </c>
      <c r="X130" s="4674">
        <f t="shared" ref="X130:AC130" si="186">SUM(X131:X134)</f>
        <v>0</v>
      </c>
      <c r="Y130" s="4674">
        <f t="shared" si="186"/>
        <v>0</v>
      </c>
      <c r="Z130" s="4674">
        <f t="shared" si="186"/>
        <v>0</v>
      </c>
      <c r="AA130" s="4674">
        <f t="shared" si="186"/>
        <v>0</v>
      </c>
      <c r="AB130" s="4676">
        <f>SUM('Произв. прогр. Вода'!B149)</f>
        <v>3523.8224121041176</v>
      </c>
      <c r="AC130" s="4676">
        <f t="shared" si="186"/>
        <v>1369.56</v>
      </c>
      <c r="AD130" s="4676">
        <f t="shared" si="125"/>
        <v>-2154.2624121041176</v>
      </c>
      <c r="AE130" s="4689"/>
      <c r="AF130" s="4689"/>
      <c r="AG130" s="4672"/>
      <c r="AH130" s="4672"/>
      <c r="AI130" s="4672"/>
      <c r="AJ130" s="4672"/>
      <c r="AK130" s="4672"/>
    </row>
    <row r="131" spans="1:37" ht="18.75" customHeight="1">
      <c r="A131" s="4695" t="s">
        <v>1996</v>
      </c>
      <c r="B131" s="4684">
        <f>SUM('Произв. прогр. Вода'!H150)</f>
        <v>359.10560302602937</v>
      </c>
      <c r="C131" s="4685"/>
      <c r="D131" s="4685"/>
      <c r="E131" s="4685">
        <v>663</v>
      </c>
      <c r="F131" s="4684">
        <f t="shared" si="169"/>
        <v>663</v>
      </c>
      <c r="G131" s="4684">
        <f>SUM('Произв. прогр. Вода'!L150)</f>
        <v>359.10560302602937</v>
      </c>
      <c r="H131" s="4685"/>
      <c r="I131" s="4685"/>
      <c r="J131" s="4685">
        <v>663</v>
      </c>
      <c r="K131" s="4684">
        <f t="shared" si="170"/>
        <v>663</v>
      </c>
      <c r="L131" s="4686">
        <f>SUM('Произв. прогр. Вода'!M150)</f>
        <v>718.21120605205874</v>
      </c>
      <c r="M131" s="4686">
        <f t="shared" si="171"/>
        <v>1326</v>
      </c>
      <c r="N131" s="4686">
        <f t="shared" si="123"/>
        <v>607.78879394794126</v>
      </c>
      <c r="O131" s="4684">
        <f>SUM('Произв. прогр. Вода'!Q150)</f>
        <v>359.10560302602937</v>
      </c>
      <c r="P131" s="4685"/>
      <c r="Q131" s="4685"/>
      <c r="R131" s="4685"/>
      <c r="S131" s="4684">
        <f t="shared" si="172"/>
        <v>0</v>
      </c>
      <c r="T131" s="4686">
        <f>SUM('Произв. прогр. Вода'!R150)</f>
        <v>1077.3168090780882</v>
      </c>
      <c r="U131" s="4686">
        <f t="shared" si="173"/>
        <v>1326</v>
      </c>
      <c r="V131" s="4686">
        <f t="shared" si="124"/>
        <v>248.68319092191177</v>
      </c>
      <c r="W131" s="4684">
        <f>SUM('Произв. прогр. Вода'!V150)</f>
        <v>359.10560302602937</v>
      </c>
      <c r="X131" s="4685"/>
      <c r="Y131" s="4685"/>
      <c r="Z131" s="4685"/>
      <c r="AA131" s="4684">
        <f t="shared" si="174"/>
        <v>0</v>
      </c>
      <c r="AB131" s="4686">
        <f>SUM('Произв. прогр. Вода'!B150)</f>
        <v>1436.4224121041175</v>
      </c>
      <c r="AC131" s="4686">
        <f t="shared" si="175"/>
        <v>1326</v>
      </c>
      <c r="AD131" s="4686">
        <f t="shared" si="125"/>
        <v>-110.42241210411748</v>
      </c>
      <c r="AE131" s="4689"/>
      <c r="AF131" s="4689"/>
      <c r="AG131" s="4672"/>
      <c r="AH131" s="4672"/>
      <c r="AI131" s="4672"/>
      <c r="AJ131" s="4672"/>
      <c r="AK131" s="4672"/>
    </row>
    <row r="132" spans="1:37" ht="18.75" customHeight="1">
      <c r="A132" s="4695" t="s">
        <v>542</v>
      </c>
      <c r="B132" s="4684">
        <f>SUM('Произв. прогр. Вода'!H151)</f>
        <v>22.79</v>
      </c>
      <c r="C132" s="4685"/>
      <c r="D132" s="4685"/>
      <c r="E132" s="4685">
        <v>21.78</v>
      </c>
      <c r="F132" s="4684">
        <f t="shared" si="169"/>
        <v>21.78</v>
      </c>
      <c r="G132" s="4684">
        <f>SUM('Произв. прогр. Вода'!L151)</f>
        <v>22.79</v>
      </c>
      <c r="H132" s="4685"/>
      <c r="I132" s="4685"/>
      <c r="J132" s="4685">
        <v>21.78</v>
      </c>
      <c r="K132" s="4684">
        <f t="shared" si="170"/>
        <v>21.78</v>
      </c>
      <c r="L132" s="4686">
        <f>SUM('Произв. прогр. Вода'!M151)</f>
        <v>45.58</v>
      </c>
      <c r="M132" s="4686">
        <f t="shared" si="171"/>
        <v>43.56</v>
      </c>
      <c r="N132" s="4686">
        <f t="shared" si="123"/>
        <v>-2.019999999999996</v>
      </c>
      <c r="O132" s="4684">
        <f>SUM('Произв. прогр. Вода'!Q151)</f>
        <v>22.79</v>
      </c>
      <c r="P132" s="4685"/>
      <c r="Q132" s="4685"/>
      <c r="R132" s="4685"/>
      <c r="S132" s="4684">
        <f t="shared" si="172"/>
        <v>0</v>
      </c>
      <c r="T132" s="4686">
        <f>SUM('Произв. прогр. Вода'!R151)</f>
        <v>68.37</v>
      </c>
      <c r="U132" s="4686">
        <f t="shared" si="173"/>
        <v>43.56</v>
      </c>
      <c r="V132" s="4686">
        <f t="shared" si="124"/>
        <v>-24.810000000000002</v>
      </c>
      <c r="W132" s="4684">
        <f>SUM('Произв. прогр. Вода'!V151)</f>
        <v>22.79</v>
      </c>
      <c r="X132" s="4685"/>
      <c r="Y132" s="4685"/>
      <c r="Z132" s="4685"/>
      <c r="AA132" s="4684">
        <f t="shared" si="174"/>
        <v>0</v>
      </c>
      <c r="AB132" s="4686">
        <f>SUM('Произв. прогр. Вода'!B151)</f>
        <v>91.16</v>
      </c>
      <c r="AC132" s="4686">
        <f t="shared" si="175"/>
        <v>43.56</v>
      </c>
      <c r="AD132" s="4686">
        <f t="shared" si="125"/>
        <v>-47.599999999999994</v>
      </c>
      <c r="AE132" s="4689"/>
      <c r="AF132" s="4689"/>
      <c r="AG132" s="4672"/>
      <c r="AH132" s="4672"/>
      <c r="AI132" s="4672"/>
      <c r="AJ132" s="4672"/>
      <c r="AK132" s="4672"/>
    </row>
    <row r="133" spans="1:37" ht="18.75" customHeight="1">
      <c r="A133" s="4695" t="s">
        <v>543</v>
      </c>
      <c r="B133" s="4684">
        <f>SUM('Произв. прогр. Вода'!H152)</f>
        <v>0</v>
      </c>
      <c r="C133" s="4685"/>
      <c r="D133" s="4685"/>
      <c r="E133" s="4685"/>
      <c r="F133" s="4684">
        <f t="shared" si="169"/>
        <v>0</v>
      </c>
      <c r="G133" s="4684">
        <f>SUM('Произв. прогр. Вода'!L152)</f>
        <v>0</v>
      </c>
      <c r="H133" s="4685"/>
      <c r="I133" s="4685"/>
      <c r="J133" s="4685"/>
      <c r="K133" s="4684">
        <f t="shared" si="170"/>
        <v>0</v>
      </c>
      <c r="L133" s="4686">
        <f>SUM('Произв. прогр. Вода'!M152)</f>
        <v>0</v>
      </c>
      <c r="M133" s="4686">
        <f t="shared" si="171"/>
        <v>0</v>
      </c>
      <c r="N133" s="4686">
        <f t="shared" si="123"/>
        <v>0</v>
      </c>
      <c r="O133" s="4684">
        <f>SUM('Произв. прогр. Вода'!Q152)</f>
        <v>0</v>
      </c>
      <c r="P133" s="4685"/>
      <c r="Q133" s="4685"/>
      <c r="R133" s="4685"/>
      <c r="S133" s="4684">
        <f t="shared" si="172"/>
        <v>0</v>
      </c>
      <c r="T133" s="4686">
        <f>SUM('Произв. прогр. Вода'!R152)</f>
        <v>0</v>
      </c>
      <c r="U133" s="4686">
        <f t="shared" si="173"/>
        <v>0</v>
      </c>
      <c r="V133" s="4686">
        <f t="shared" si="124"/>
        <v>0</v>
      </c>
      <c r="W133" s="4684">
        <f>SUM('Произв. прогр. Вода'!V152)</f>
        <v>0</v>
      </c>
      <c r="X133" s="4685"/>
      <c r="Y133" s="4685"/>
      <c r="Z133" s="4685"/>
      <c r="AA133" s="4684">
        <f t="shared" si="174"/>
        <v>0</v>
      </c>
      <c r="AB133" s="4686">
        <f>SUM('Произв. прогр. Вода'!B152)</f>
        <v>0</v>
      </c>
      <c r="AC133" s="4686">
        <f t="shared" si="175"/>
        <v>0</v>
      </c>
      <c r="AD133" s="4686">
        <f t="shared" si="125"/>
        <v>0</v>
      </c>
      <c r="AE133" s="4689"/>
      <c r="AF133" s="4689"/>
      <c r="AG133" s="4672"/>
      <c r="AH133" s="4672"/>
      <c r="AI133" s="4672"/>
      <c r="AJ133" s="4672"/>
      <c r="AK133" s="4672"/>
    </row>
    <row r="134" spans="1:37" ht="18.75" customHeight="1">
      <c r="A134" s="4695" t="s">
        <v>544</v>
      </c>
      <c r="B134" s="4684">
        <f>SUM('Произв. прогр. Вода'!H153)</f>
        <v>499.05999999999995</v>
      </c>
      <c r="C134" s="4685"/>
      <c r="D134" s="4685"/>
      <c r="E134" s="4685"/>
      <c r="F134" s="4684">
        <f t="shared" si="169"/>
        <v>0</v>
      </c>
      <c r="G134" s="4684">
        <f>SUM('Произв. прогр. Вода'!L153)</f>
        <v>499.05999999999995</v>
      </c>
      <c r="H134" s="4685"/>
      <c r="I134" s="4685"/>
      <c r="J134" s="4685"/>
      <c r="K134" s="4684">
        <f t="shared" si="170"/>
        <v>0</v>
      </c>
      <c r="L134" s="4686">
        <f>SUM('Произв. прогр. Вода'!M153)</f>
        <v>998.11999999999989</v>
      </c>
      <c r="M134" s="4686">
        <f t="shared" si="171"/>
        <v>0</v>
      </c>
      <c r="N134" s="4686">
        <f t="shared" si="123"/>
        <v>-998.11999999999989</v>
      </c>
      <c r="O134" s="4684">
        <f>SUM('Произв. прогр. Вода'!Q153)</f>
        <v>499.05999999999995</v>
      </c>
      <c r="P134" s="4685"/>
      <c r="Q134" s="4685"/>
      <c r="R134" s="4685"/>
      <c r="S134" s="4684">
        <f t="shared" si="172"/>
        <v>0</v>
      </c>
      <c r="T134" s="4686">
        <f>SUM('Произв. прогр. Вода'!R153)</f>
        <v>1497.1799999999998</v>
      </c>
      <c r="U134" s="4686">
        <f t="shared" si="173"/>
        <v>0</v>
      </c>
      <c r="V134" s="4686">
        <f t="shared" si="124"/>
        <v>-1497.1799999999998</v>
      </c>
      <c r="W134" s="4684">
        <f>SUM('Произв. прогр. Вода'!V153)</f>
        <v>499.05999999999995</v>
      </c>
      <c r="X134" s="4685"/>
      <c r="Y134" s="4685"/>
      <c r="Z134" s="4685"/>
      <c r="AA134" s="4684">
        <f t="shared" si="174"/>
        <v>0</v>
      </c>
      <c r="AB134" s="4686">
        <f>SUM('Произв. прогр. Вода'!B153)</f>
        <v>1996.24</v>
      </c>
      <c r="AC134" s="4686">
        <f t="shared" si="175"/>
        <v>0</v>
      </c>
      <c r="AD134" s="4686">
        <f t="shared" si="125"/>
        <v>-1996.24</v>
      </c>
      <c r="AE134" s="4689"/>
      <c r="AF134" s="4689"/>
      <c r="AG134" s="4672"/>
      <c r="AH134" s="4672"/>
      <c r="AI134" s="4672"/>
      <c r="AJ134" s="4672"/>
      <c r="AK134" s="4672"/>
    </row>
    <row r="135" spans="1:37" ht="18.75" customHeight="1">
      <c r="A135" s="4696" t="s">
        <v>1726</v>
      </c>
      <c r="B135" s="4674">
        <f>SUM('Произв. прогр. Вода'!H154)</f>
        <v>2637.7937418640818</v>
      </c>
      <c r="C135" s="4674">
        <f t="shared" ref="C135:F135" si="187">SUM(C136:C141)</f>
        <v>1212.6799999999998</v>
      </c>
      <c r="D135" s="4674">
        <f t="shared" si="187"/>
        <v>1129.96</v>
      </c>
      <c r="E135" s="4674">
        <f>SUM(E136:E141)</f>
        <v>1429.8899999999999</v>
      </c>
      <c r="F135" s="4674">
        <f t="shared" si="187"/>
        <v>3772.5299999999997</v>
      </c>
      <c r="G135" s="4674">
        <f>SUM('Произв. прогр. Вода'!L154)</f>
        <v>2637.7937418640818</v>
      </c>
      <c r="H135" s="4674">
        <f t="shared" ref="H135:M135" si="188">SUM(H136:H141)</f>
        <v>1175.6099999999999</v>
      </c>
      <c r="I135" s="4674">
        <f t="shared" si="188"/>
        <v>1036.8700000000003</v>
      </c>
      <c r="J135" s="4674">
        <f t="shared" si="188"/>
        <v>1272.1199999999999</v>
      </c>
      <c r="K135" s="4674">
        <f t="shared" si="188"/>
        <v>3484.6000000000004</v>
      </c>
      <c r="L135" s="4676">
        <f>SUM('Произв. прогр. Вода'!M154)</f>
        <v>5275.5874837281635</v>
      </c>
      <c r="M135" s="4676">
        <f t="shared" si="188"/>
        <v>7257.1299999999992</v>
      </c>
      <c r="N135" s="4676">
        <f t="shared" si="123"/>
        <v>1981.5425162718357</v>
      </c>
      <c r="O135" s="4674">
        <f>SUM('Произв. прогр. Вода'!Q154)</f>
        <v>2734.441118221685</v>
      </c>
      <c r="P135" s="4674">
        <f t="shared" ref="P135:U135" si="189">SUM(P136:P141)</f>
        <v>0</v>
      </c>
      <c r="Q135" s="4674">
        <f t="shared" si="189"/>
        <v>0</v>
      </c>
      <c r="R135" s="4674">
        <f t="shared" si="189"/>
        <v>0</v>
      </c>
      <c r="S135" s="4674">
        <f t="shared" si="189"/>
        <v>0</v>
      </c>
      <c r="T135" s="4676">
        <f>SUM('Произв. прогр. Вода'!R154)</f>
        <v>8010.028601949849</v>
      </c>
      <c r="U135" s="4676">
        <f t="shared" si="189"/>
        <v>7257.1299999999992</v>
      </c>
      <c r="V135" s="4676">
        <f t="shared" si="124"/>
        <v>-752.89860194984976</v>
      </c>
      <c r="W135" s="4674">
        <f>SUM('Произв. прогр. Вода'!V154)</f>
        <v>2734.441118221685</v>
      </c>
      <c r="X135" s="4674">
        <f t="shared" ref="X135:AC135" si="190">SUM(X136:X141)</f>
        <v>0</v>
      </c>
      <c r="Y135" s="4674">
        <f t="shared" si="190"/>
        <v>0</v>
      </c>
      <c r="Z135" s="4674">
        <f t="shared" si="190"/>
        <v>0</v>
      </c>
      <c r="AA135" s="4674">
        <f t="shared" si="190"/>
        <v>0</v>
      </c>
      <c r="AB135" s="4676">
        <f>SUM('Произв. прогр. Вода'!B154)</f>
        <v>10744.469720171532</v>
      </c>
      <c r="AC135" s="4676">
        <f t="shared" si="190"/>
        <v>7257.1299999999992</v>
      </c>
      <c r="AD135" s="4676">
        <f t="shared" si="125"/>
        <v>-3487.3397201715325</v>
      </c>
      <c r="AE135" s="4689"/>
      <c r="AF135" s="4689"/>
      <c r="AG135" s="4672"/>
      <c r="AH135" s="4672"/>
      <c r="AI135" s="4672"/>
      <c r="AJ135" s="4672"/>
      <c r="AK135" s="4672"/>
    </row>
    <row r="136" spans="1:37" ht="18.75" customHeight="1">
      <c r="A136" s="4699" t="s">
        <v>1727</v>
      </c>
      <c r="B136" s="4684">
        <f>SUM('Произв. прогр. Вода'!H155)</f>
        <v>1855.7483939631879</v>
      </c>
      <c r="C136" s="4685">
        <v>753.93</v>
      </c>
      <c r="D136" s="4685">
        <v>757.53</v>
      </c>
      <c r="E136" s="4685">
        <v>721.16</v>
      </c>
      <c r="F136" s="4684">
        <f t="shared" si="169"/>
        <v>2232.62</v>
      </c>
      <c r="G136" s="4684">
        <f>SUM('Произв. прогр. Вода'!L155)</f>
        <v>1855.7483939631879</v>
      </c>
      <c r="H136" s="4685">
        <v>735</v>
      </c>
      <c r="I136" s="4685">
        <f>-57.25+746.69-3.56</f>
        <v>685.88000000000011</v>
      </c>
      <c r="J136" s="4685">
        <v>875.19</v>
      </c>
      <c r="K136" s="4684">
        <f t="shared" si="170"/>
        <v>2296.0700000000002</v>
      </c>
      <c r="L136" s="4686">
        <f>SUM('Произв. прогр. Вода'!M155)</f>
        <v>3711.4967879263759</v>
      </c>
      <c r="M136" s="4686">
        <f t="shared" si="171"/>
        <v>4528.6900000000005</v>
      </c>
      <c r="N136" s="4686">
        <f t="shared" si="123"/>
        <v>817.19321207362464</v>
      </c>
      <c r="O136" s="4684">
        <f>SUM('Произв. прогр. Вода'!Q155)</f>
        <v>1929.9783297217159</v>
      </c>
      <c r="P136" s="4685"/>
      <c r="Q136" s="4685"/>
      <c r="R136" s="4685"/>
      <c r="S136" s="4684">
        <f t="shared" si="172"/>
        <v>0</v>
      </c>
      <c r="T136" s="4686">
        <f>SUM('Произв. прогр. Вода'!R155)</f>
        <v>5641.4751176480913</v>
      </c>
      <c r="U136" s="4686">
        <f t="shared" si="173"/>
        <v>4528.6900000000005</v>
      </c>
      <c r="V136" s="4686">
        <f t="shared" si="124"/>
        <v>-1112.7851176480908</v>
      </c>
      <c r="W136" s="4684">
        <f>SUM('Произв. прогр. Вода'!V155)</f>
        <v>1929.9783297217159</v>
      </c>
      <c r="X136" s="4685"/>
      <c r="Y136" s="4685"/>
      <c r="Z136" s="4685"/>
      <c r="AA136" s="4684">
        <f t="shared" si="174"/>
        <v>0</v>
      </c>
      <c r="AB136" s="4686">
        <f>SUM('Произв. прогр. Вода'!B155)</f>
        <v>7571.4534473698077</v>
      </c>
      <c r="AC136" s="4686">
        <f t="shared" si="175"/>
        <v>4528.6900000000005</v>
      </c>
      <c r="AD136" s="4686">
        <f t="shared" si="125"/>
        <v>-3042.7634473698072</v>
      </c>
      <c r="AE136" s="4689"/>
      <c r="AF136" s="4689"/>
      <c r="AG136" s="4672"/>
      <c r="AH136" s="4672"/>
      <c r="AI136" s="4672"/>
      <c r="AJ136" s="4672"/>
      <c r="AK136" s="4672"/>
    </row>
    <row r="137" spans="1:37" ht="18.75" customHeight="1">
      <c r="A137" s="4699" t="s">
        <v>1728</v>
      </c>
      <c r="B137" s="4684">
        <f>SUM('Произв. прогр. Вода'!H156)</f>
        <v>560.4360149768828</v>
      </c>
      <c r="C137" s="4685">
        <v>244.85</v>
      </c>
      <c r="D137" s="4685">
        <v>228.12</v>
      </c>
      <c r="E137" s="4685">
        <v>220.34</v>
      </c>
      <c r="F137" s="4684">
        <f t="shared" si="169"/>
        <v>693.31000000000006</v>
      </c>
      <c r="G137" s="4684">
        <f>SUM('Произв. прогр. Вода'!L156)</f>
        <v>560.4360149768828</v>
      </c>
      <c r="H137" s="4685">
        <v>220.11</v>
      </c>
      <c r="I137" s="4685">
        <f>0.93+225.47-1.07</f>
        <v>225.33</v>
      </c>
      <c r="J137" s="4685">
        <v>264.56</v>
      </c>
      <c r="K137" s="4684">
        <f t="shared" si="170"/>
        <v>710</v>
      </c>
      <c r="L137" s="4686">
        <f>SUM('Произв. прогр. Вода'!M156)</f>
        <v>1120.8720299537656</v>
      </c>
      <c r="M137" s="4686">
        <f t="shared" si="171"/>
        <v>1403.31</v>
      </c>
      <c r="N137" s="4686">
        <f t="shared" si="123"/>
        <v>282.43797004623434</v>
      </c>
      <c r="O137" s="4684">
        <f>SUM('Произв. прогр. Вода'!Q156)</f>
        <v>582.85345557595804</v>
      </c>
      <c r="P137" s="4685"/>
      <c r="Q137" s="4685"/>
      <c r="R137" s="4685"/>
      <c r="S137" s="4684">
        <f t="shared" si="172"/>
        <v>0</v>
      </c>
      <c r="T137" s="4686">
        <f>SUM('Произв. прогр. Вода'!R156)</f>
        <v>1703.7254855297238</v>
      </c>
      <c r="U137" s="4686">
        <f t="shared" si="173"/>
        <v>1403.31</v>
      </c>
      <c r="V137" s="4686">
        <f t="shared" si="124"/>
        <v>-300.41548552972381</v>
      </c>
      <c r="W137" s="4684">
        <f>SUM('Произв. прогр. Вода'!V156)</f>
        <v>582.85345557595804</v>
      </c>
      <c r="X137" s="4685"/>
      <c r="Y137" s="4685"/>
      <c r="Z137" s="4685"/>
      <c r="AA137" s="4684">
        <f t="shared" si="174"/>
        <v>0</v>
      </c>
      <c r="AB137" s="4686">
        <f>SUM('Произв. прогр. Вода'!B156)</f>
        <v>2286.5789411056817</v>
      </c>
      <c r="AC137" s="4686">
        <f t="shared" si="175"/>
        <v>1403.31</v>
      </c>
      <c r="AD137" s="4686">
        <f t="shared" si="125"/>
        <v>-883.26894110568173</v>
      </c>
      <c r="AE137" s="4689"/>
      <c r="AF137" s="4689"/>
      <c r="AG137" s="4672"/>
      <c r="AH137" s="4672"/>
      <c r="AI137" s="4672"/>
      <c r="AJ137" s="4672"/>
      <c r="AK137" s="4672"/>
    </row>
    <row r="138" spans="1:37" ht="18.75" customHeight="1">
      <c r="A138" s="4700" t="s">
        <v>285</v>
      </c>
      <c r="B138" s="4684"/>
      <c r="C138" s="4685">
        <v>0.13</v>
      </c>
      <c r="D138" s="4685">
        <v>0.12</v>
      </c>
      <c r="E138" s="4685">
        <v>2.35</v>
      </c>
      <c r="F138" s="4684">
        <f t="shared" si="169"/>
        <v>2.6</v>
      </c>
      <c r="G138" s="4684"/>
      <c r="H138" s="4685">
        <v>2.59</v>
      </c>
      <c r="I138" s="4685">
        <v>2.76</v>
      </c>
      <c r="J138" s="4685">
        <v>3.16</v>
      </c>
      <c r="K138" s="4684">
        <f t="shared" si="170"/>
        <v>8.51</v>
      </c>
      <c r="L138" s="4686"/>
      <c r="M138" s="4686">
        <f t="shared" si="171"/>
        <v>11.11</v>
      </c>
      <c r="N138" s="4686"/>
      <c r="O138" s="4684"/>
      <c r="P138" s="4685"/>
      <c r="Q138" s="4685"/>
      <c r="R138" s="4685"/>
      <c r="S138" s="4684">
        <f t="shared" si="172"/>
        <v>0</v>
      </c>
      <c r="T138" s="4686"/>
      <c r="U138" s="4686">
        <f t="shared" si="173"/>
        <v>11.11</v>
      </c>
      <c r="V138" s="4686"/>
      <c r="W138" s="4684"/>
      <c r="X138" s="4685"/>
      <c r="Y138" s="4685"/>
      <c r="Z138" s="4685"/>
      <c r="AA138" s="4684">
        <f t="shared" si="174"/>
        <v>0</v>
      </c>
      <c r="AB138" s="4686"/>
      <c r="AC138" s="4686">
        <f t="shared" si="175"/>
        <v>11.11</v>
      </c>
      <c r="AD138" s="4686"/>
      <c r="AE138" s="4689"/>
      <c r="AF138" s="4689"/>
      <c r="AG138" s="4672"/>
      <c r="AH138" s="4672"/>
      <c r="AI138" s="4672"/>
      <c r="AJ138" s="4672"/>
      <c r="AK138" s="4672"/>
    </row>
    <row r="139" spans="1:37" ht="18.75" customHeight="1">
      <c r="A139" s="4700" t="s">
        <v>1997</v>
      </c>
      <c r="B139" s="4684"/>
      <c r="C139" s="4685">
        <v>10.02</v>
      </c>
      <c r="D139" s="4685">
        <v>10.82</v>
      </c>
      <c r="E139" s="4685">
        <v>10.31</v>
      </c>
      <c r="F139" s="4684">
        <f t="shared" si="169"/>
        <v>31.15</v>
      </c>
      <c r="G139" s="4684"/>
      <c r="H139" s="4685">
        <v>8.0500000000000007</v>
      </c>
      <c r="I139" s="4685">
        <f>0.08+2.54-0.04</f>
        <v>2.58</v>
      </c>
      <c r="J139" s="4685"/>
      <c r="K139" s="4684">
        <f t="shared" si="170"/>
        <v>10.63</v>
      </c>
      <c r="L139" s="4686"/>
      <c r="M139" s="4686">
        <f t="shared" si="171"/>
        <v>41.78</v>
      </c>
      <c r="N139" s="4686"/>
      <c r="O139" s="4684"/>
      <c r="P139" s="4685"/>
      <c r="Q139" s="4685"/>
      <c r="R139" s="4685"/>
      <c r="S139" s="4684">
        <f t="shared" si="172"/>
        <v>0</v>
      </c>
      <c r="T139" s="4686"/>
      <c r="U139" s="4686">
        <f t="shared" si="173"/>
        <v>41.78</v>
      </c>
      <c r="V139" s="4686"/>
      <c r="W139" s="4684"/>
      <c r="X139" s="4685"/>
      <c r="Y139" s="4685"/>
      <c r="Z139" s="4685"/>
      <c r="AA139" s="4684">
        <f t="shared" si="174"/>
        <v>0</v>
      </c>
      <c r="AB139" s="4686"/>
      <c r="AC139" s="4686">
        <f t="shared" si="175"/>
        <v>41.78</v>
      </c>
      <c r="AD139" s="4686"/>
      <c r="AE139" s="4689"/>
      <c r="AF139" s="4689"/>
      <c r="AG139" s="4672"/>
      <c r="AH139" s="4672"/>
      <c r="AI139" s="4672"/>
      <c r="AJ139" s="4672"/>
      <c r="AK139" s="4672"/>
    </row>
    <row r="140" spans="1:37" ht="18.75" customHeight="1">
      <c r="A140" s="4700" t="s">
        <v>286</v>
      </c>
      <c r="B140" s="4684"/>
      <c r="C140" s="4685">
        <v>6.3</v>
      </c>
      <c r="D140" s="4685">
        <v>6.35</v>
      </c>
      <c r="E140" s="4685">
        <v>5.98</v>
      </c>
      <c r="F140" s="4684">
        <f t="shared" si="169"/>
        <v>18.63</v>
      </c>
      <c r="G140" s="4684"/>
      <c r="H140" s="4685">
        <v>6.29</v>
      </c>
      <c r="I140" s="4685">
        <f>0.05+6.42-0.03</f>
        <v>6.4399999999999995</v>
      </c>
      <c r="J140" s="4685">
        <v>6.33</v>
      </c>
      <c r="K140" s="4684">
        <f t="shared" si="170"/>
        <v>19.060000000000002</v>
      </c>
      <c r="L140" s="4686"/>
      <c r="M140" s="4686">
        <f t="shared" si="171"/>
        <v>37.69</v>
      </c>
      <c r="N140" s="4686"/>
      <c r="O140" s="4684"/>
      <c r="P140" s="4685"/>
      <c r="Q140" s="4685"/>
      <c r="R140" s="4685"/>
      <c r="S140" s="4684">
        <f t="shared" si="172"/>
        <v>0</v>
      </c>
      <c r="T140" s="4686"/>
      <c r="U140" s="4686">
        <f t="shared" si="173"/>
        <v>37.69</v>
      </c>
      <c r="V140" s="4686"/>
      <c r="W140" s="4684"/>
      <c r="X140" s="4685"/>
      <c r="Y140" s="4685"/>
      <c r="Z140" s="4685"/>
      <c r="AA140" s="4684">
        <f t="shared" si="174"/>
        <v>0</v>
      </c>
      <c r="AB140" s="4686"/>
      <c r="AC140" s="4686">
        <f t="shared" si="175"/>
        <v>37.69</v>
      </c>
      <c r="AD140" s="4686"/>
      <c r="AE140" s="4689"/>
      <c r="AF140" s="4689"/>
      <c r="AG140" s="4672"/>
      <c r="AH140" s="4672"/>
      <c r="AI140" s="4672"/>
      <c r="AJ140" s="4672"/>
      <c r="AK140" s="4672"/>
    </row>
    <row r="141" spans="1:37" ht="18.75" customHeight="1">
      <c r="A141" s="4695" t="s">
        <v>1729</v>
      </c>
      <c r="B141" s="4684">
        <f>SUM('Произв. прогр. Вода'!H157)</f>
        <v>221.60933292401057</v>
      </c>
      <c r="C141" s="4685">
        <v>197.45</v>
      </c>
      <c r="D141" s="4685">
        <v>127.02</v>
      </c>
      <c r="E141" s="4685">
        <v>469.75</v>
      </c>
      <c r="F141" s="4684">
        <f t="shared" si="169"/>
        <v>794.22</v>
      </c>
      <c r="G141" s="4684">
        <f>SUM('Произв. прогр. Вода'!L157)</f>
        <v>221.60933292401057</v>
      </c>
      <c r="H141" s="4685">
        <v>203.57</v>
      </c>
      <c r="I141" s="4685">
        <f>3.85+111.03-1</f>
        <v>113.88</v>
      </c>
      <c r="J141" s="4685">
        <v>122.88</v>
      </c>
      <c r="K141" s="4684">
        <f t="shared" si="170"/>
        <v>440.33</v>
      </c>
      <c r="L141" s="4686">
        <f>SUM('Произв. прогр. Вода'!M157)</f>
        <v>443.21866584802115</v>
      </c>
      <c r="M141" s="4686">
        <f t="shared" si="171"/>
        <v>1234.55</v>
      </c>
      <c r="N141" s="4686">
        <f t="shared" si="123"/>
        <v>791.33133415197881</v>
      </c>
      <c r="O141" s="4684">
        <f>SUM('Произв. прогр. Вода'!Q157)</f>
        <v>221.60933292401057</v>
      </c>
      <c r="P141" s="4685"/>
      <c r="Q141" s="4685"/>
      <c r="R141" s="4685"/>
      <c r="S141" s="4684">
        <f t="shared" si="172"/>
        <v>0</v>
      </c>
      <c r="T141" s="4686">
        <f>SUM('Произв. прогр. Вода'!R157)</f>
        <v>664.82799877203172</v>
      </c>
      <c r="U141" s="4686">
        <f t="shared" si="173"/>
        <v>1234.55</v>
      </c>
      <c r="V141" s="4686">
        <f t="shared" si="124"/>
        <v>569.72200122796824</v>
      </c>
      <c r="W141" s="4684">
        <f>SUM('Произв. прогр. Вода'!V157)</f>
        <v>221.60933292401057</v>
      </c>
      <c r="X141" s="4685"/>
      <c r="Y141" s="4685"/>
      <c r="Z141" s="4685"/>
      <c r="AA141" s="4684">
        <f t="shared" si="174"/>
        <v>0</v>
      </c>
      <c r="AB141" s="4686">
        <f>SUM('Произв. прогр. Вода'!B157)</f>
        <v>886.43733169604229</v>
      </c>
      <c r="AC141" s="4686">
        <f t="shared" si="175"/>
        <v>1234.55</v>
      </c>
      <c r="AD141" s="4686">
        <f t="shared" si="125"/>
        <v>348.11266830395766</v>
      </c>
      <c r="AE141" s="4689"/>
      <c r="AF141" s="4689"/>
      <c r="AG141" s="4672"/>
      <c r="AH141" s="4672"/>
      <c r="AI141" s="4672"/>
      <c r="AJ141" s="4672"/>
      <c r="AK141" s="4672"/>
    </row>
    <row r="142" spans="1:37" ht="18.75" customHeight="1">
      <c r="A142" s="4673" t="s">
        <v>1730</v>
      </c>
      <c r="B142" s="4674">
        <f>SUM('Произв. прогр. Вода'!H158)</f>
        <v>0</v>
      </c>
      <c r="C142" s="4674">
        <v>0</v>
      </c>
      <c r="D142" s="4674">
        <v>0</v>
      </c>
      <c r="E142" s="4674">
        <v>0</v>
      </c>
      <c r="F142" s="4674">
        <f>SUM(C142:E142)</f>
        <v>0</v>
      </c>
      <c r="G142" s="4674">
        <f>SUM('Произв. прогр. Вода'!L158)</f>
        <v>0</v>
      </c>
      <c r="H142" s="4674">
        <v>0</v>
      </c>
      <c r="I142" s="4674">
        <v>0</v>
      </c>
      <c r="J142" s="4674">
        <v>0</v>
      </c>
      <c r="K142" s="4674">
        <f>SUM(H142:J142)</f>
        <v>0</v>
      </c>
      <c r="L142" s="4676">
        <f>SUM('Произв. прогр. Вода'!M158)</f>
        <v>0</v>
      </c>
      <c r="M142" s="4676">
        <f>SUM(F142+K142)</f>
        <v>0</v>
      </c>
      <c r="N142" s="4676">
        <f t="shared" si="123"/>
        <v>0</v>
      </c>
      <c r="O142" s="4674">
        <f>SUM('Произв. прогр. Вода'!Q158)</f>
        <v>0</v>
      </c>
      <c r="P142" s="4674">
        <v>0</v>
      </c>
      <c r="Q142" s="4674">
        <v>0</v>
      </c>
      <c r="R142" s="4674">
        <v>0</v>
      </c>
      <c r="S142" s="4674">
        <f>SUM(P142:R142)</f>
        <v>0</v>
      </c>
      <c r="T142" s="4676">
        <f>SUM('Произв. прогр. Вода'!R158)</f>
        <v>0</v>
      </c>
      <c r="U142" s="4676">
        <f>SUM(M142+S142)</f>
        <v>0</v>
      </c>
      <c r="V142" s="4676">
        <f t="shared" si="124"/>
        <v>0</v>
      </c>
      <c r="W142" s="4674">
        <f>SUM('Произв. прогр. Вода'!V158)</f>
        <v>0</v>
      </c>
      <c r="X142" s="4674">
        <v>0</v>
      </c>
      <c r="Y142" s="4674">
        <v>0</v>
      </c>
      <c r="Z142" s="4674">
        <v>0</v>
      </c>
      <c r="AA142" s="4674">
        <f>SUM(X142:Z142)</f>
        <v>0</v>
      </c>
      <c r="AB142" s="4676">
        <f>SUM('Произв. прогр. Вода'!B158)</f>
        <v>0</v>
      </c>
      <c r="AC142" s="4676">
        <f>SUM(U142+AA142)</f>
        <v>0</v>
      </c>
      <c r="AD142" s="4676">
        <f t="shared" si="125"/>
        <v>0</v>
      </c>
      <c r="AE142" s="4689"/>
      <c r="AF142" s="4689"/>
      <c r="AG142" s="4672"/>
      <c r="AH142" s="4672"/>
      <c r="AI142" s="4672"/>
      <c r="AJ142" s="4672"/>
      <c r="AK142" s="4672"/>
    </row>
    <row r="143" spans="1:37" ht="18.75" customHeight="1">
      <c r="A143" s="4673" t="s">
        <v>1731</v>
      </c>
      <c r="B143" s="4674">
        <f>SUM('Произв. прогр. Вода'!H162)</f>
        <v>109.20990090616635</v>
      </c>
      <c r="C143" s="4675"/>
      <c r="D143" s="4675"/>
      <c r="E143" s="4675"/>
      <c r="F143" s="4674">
        <f t="shared" si="169"/>
        <v>0</v>
      </c>
      <c r="G143" s="4674">
        <f>SUM('Произв. прогр. Вода'!L162)</f>
        <v>109.20990090616635</v>
      </c>
      <c r="H143" s="4675"/>
      <c r="I143" s="4675"/>
      <c r="J143" s="4675"/>
      <c r="K143" s="4674">
        <f t="shared" ref="K143" si="191">SUM(H143:J143)</f>
        <v>0</v>
      </c>
      <c r="L143" s="4676">
        <f>SUM('Произв. прогр. Вода'!M162)</f>
        <v>218.41980181233271</v>
      </c>
      <c r="M143" s="4676">
        <f t="shared" ref="M143" si="192">SUM(F143+K143)</f>
        <v>0</v>
      </c>
      <c r="N143" s="4676">
        <f t="shared" ref="N143" si="193">SUM(M143-L143)</f>
        <v>-218.41980181233271</v>
      </c>
      <c r="O143" s="4674">
        <f>SUM('Произв. прогр. Вода'!Q162)</f>
        <v>109.20990090616635</v>
      </c>
      <c r="P143" s="4675"/>
      <c r="Q143" s="4675"/>
      <c r="R143" s="4675"/>
      <c r="S143" s="4674">
        <f t="shared" ref="S143" si="194">SUM(P143:R143)</f>
        <v>0</v>
      </c>
      <c r="T143" s="4676">
        <f>SUM('Произв. прогр. Вода'!R162)</f>
        <v>327.62970271849906</v>
      </c>
      <c r="U143" s="4676">
        <f t="shared" si="173"/>
        <v>0</v>
      </c>
      <c r="V143" s="4676">
        <f t="shared" si="124"/>
        <v>-327.62970271849906</v>
      </c>
      <c r="W143" s="4674">
        <f>SUM('Произв. прогр. Вода'!V162)</f>
        <v>109.20990090616635</v>
      </c>
      <c r="X143" s="4675"/>
      <c r="Y143" s="4675"/>
      <c r="Z143" s="4675"/>
      <c r="AA143" s="4674">
        <f t="shared" si="174"/>
        <v>0</v>
      </c>
      <c r="AB143" s="4676">
        <f>SUM('Произв. прогр. Вода'!B162)</f>
        <v>436.83960362466541</v>
      </c>
      <c r="AC143" s="4676">
        <f t="shared" si="175"/>
        <v>0</v>
      </c>
      <c r="AD143" s="4676">
        <f t="shared" ref="AD143" si="195">SUM(AC143-AB143)</f>
        <v>-436.83960362466541</v>
      </c>
      <c r="AE143" s="4689"/>
      <c r="AF143" s="4689"/>
      <c r="AG143" s="4672"/>
      <c r="AH143" s="4672"/>
      <c r="AI143" s="4672"/>
      <c r="AJ143" s="4672"/>
      <c r="AK143" s="4672"/>
    </row>
    <row r="144" spans="1:37" ht="18.75" customHeight="1">
      <c r="A144" s="4696" t="s">
        <v>12</v>
      </c>
      <c r="B144" s="4674">
        <f>SUM('Произв. прогр. Вода'!H163)</f>
        <v>32529.201343468536</v>
      </c>
      <c r="C144" s="4674">
        <f>SUM(C25+C49+C86+C110+C130+C135+C142+C143)</f>
        <v>10514.970000000001</v>
      </c>
      <c r="D144" s="4674">
        <f>SUM(D25+D49+D86+D110+D130+D135+D142+D143)</f>
        <v>9444.3999999999978</v>
      </c>
      <c r="E144" s="4674">
        <f>SUM(E25+E49+E86+E110+E130+E135+E142+E143)</f>
        <v>12013.359999999999</v>
      </c>
      <c r="F144" s="4674">
        <f>SUM(F25+F49+F86+F110+F130+F135+F142+F143)</f>
        <v>31972.729999999996</v>
      </c>
      <c r="G144" s="4674">
        <f>SUM('Произв. прогр. Вода'!L163)</f>
        <v>30861.491857305962</v>
      </c>
      <c r="H144" s="4674">
        <f>SUM(H25+H49+H86+H110+H130+H135+H142+H143)</f>
        <v>11127.480000000001</v>
      </c>
      <c r="I144" s="4674">
        <f>SUM(I25+I49+I86+I110+I130+I135+I142+I143)</f>
        <v>10121.700000000001</v>
      </c>
      <c r="J144" s="4674">
        <f>SUM(J25+J49+J86+J110+J130+J135+J142+J143)</f>
        <v>11471.890000000003</v>
      </c>
      <c r="K144" s="4674">
        <f>SUM(K25+K49+K86+K110+K130+K135+K142+K143)</f>
        <v>32721.07</v>
      </c>
      <c r="L144" s="4676">
        <f>SUM('Произв. прогр. Вода'!M163)</f>
        <v>63390.693200774498</v>
      </c>
      <c r="M144" s="4676">
        <f>SUM(M25+M49+M86+M110+M130+M135+M142+M143)</f>
        <v>64693.799999999988</v>
      </c>
      <c r="N144" s="4676">
        <f t="shared" si="123"/>
        <v>1303.1067992254902</v>
      </c>
      <c r="O144" s="4674">
        <f>SUM('Произв. прогр. Вода'!Q163)</f>
        <v>31483.093207353002</v>
      </c>
      <c r="P144" s="4674">
        <f>SUM(P25+P49+P86+P110+P130+P135+P142+P143)</f>
        <v>0</v>
      </c>
      <c r="Q144" s="4674">
        <f>SUM(Q25+Q49+Q86+Q110+Q130+Q135+Q142+Q143)</f>
        <v>0</v>
      </c>
      <c r="R144" s="4674">
        <f>SUM(R25+R49+R86+R110+R130+R135+R142+R143)</f>
        <v>0</v>
      </c>
      <c r="S144" s="4674">
        <f>SUM(S25+S49+S86+S110+S130+S135+S142+S143)</f>
        <v>0</v>
      </c>
      <c r="T144" s="4676">
        <f>SUM('Произв. прогр. Вода'!R163)</f>
        <v>94873.786408127504</v>
      </c>
      <c r="U144" s="4676">
        <f>SUM(U25+U49+U86+U110+U130+U135+U142+U143)</f>
        <v>64693.799999999988</v>
      </c>
      <c r="V144" s="4676">
        <f t="shared" si="124"/>
        <v>-30179.986408127515</v>
      </c>
      <c r="W144" s="4674">
        <f>SUM('Произв. прогр. Вода'!V163)</f>
        <v>33268.604116416187</v>
      </c>
      <c r="X144" s="4674">
        <f>SUM(X25+X49+X86+X110+X130+X135+X142+X143)</f>
        <v>0</v>
      </c>
      <c r="Y144" s="4674">
        <f>SUM(Y25+Y49+Y86+Y110+Y130+Y135+Y142+Y143)</f>
        <v>0</v>
      </c>
      <c r="Z144" s="4674">
        <f>SUM(Z25+Z49+Z86+Z110+Z130+Z135+Z142+Z143)</f>
        <v>0</v>
      </c>
      <c r="AA144" s="4674">
        <f>SUM(AA25+AA49+AA86+AA110+AA130+AA135+AA142+AA143)</f>
        <v>0</v>
      </c>
      <c r="AB144" s="4676">
        <f>SUM('Произв. прогр. Вода'!B163)</f>
        <v>128142.39052398229</v>
      </c>
      <c r="AC144" s="4676">
        <f>SUM(AC25+AC49+AC86+AC110+AC130+AC135+AC142+AC143)</f>
        <v>64693.799999999988</v>
      </c>
      <c r="AD144" s="4676">
        <f t="shared" si="125"/>
        <v>-63448.590523982304</v>
      </c>
      <c r="AE144" s="4689"/>
      <c r="AF144" s="4689"/>
      <c r="AG144" s="4672"/>
      <c r="AH144" s="4672"/>
      <c r="AI144" s="4672"/>
      <c r="AJ144" s="4672"/>
      <c r="AK144" s="4672"/>
    </row>
    <row r="145" spans="1:37" ht="18.75" customHeight="1">
      <c r="A145" s="4696" t="s">
        <v>13</v>
      </c>
      <c r="B145" s="4674">
        <f>SUM('Произв. прогр. Вода'!H164)</f>
        <v>925.27281000000016</v>
      </c>
      <c r="C145" s="4674">
        <f t="shared" ref="C145" si="196">SUM(C14)</f>
        <v>319.33</v>
      </c>
      <c r="D145" s="4674">
        <f t="shared" ref="D145:F145" si="197">SUM(D14)</f>
        <v>315.57</v>
      </c>
      <c r="E145" s="4674">
        <f t="shared" si="197"/>
        <v>297.38000000000005</v>
      </c>
      <c r="F145" s="4674">
        <f t="shared" si="197"/>
        <v>932.28</v>
      </c>
      <c r="G145" s="4674">
        <f>SUM('Произв. прогр. Вода'!L164)</f>
        <v>885.4371900000001</v>
      </c>
      <c r="H145" s="4674">
        <f t="shared" ref="H145:K145" si="198">SUM(H14)</f>
        <v>320.52</v>
      </c>
      <c r="I145" s="4674">
        <f t="shared" si="198"/>
        <v>305.08999999999997</v>
      </c>
      <c r="J145" s="4674">
        <f t="shared" si="198"/>
        <v>324.98</v>
      </c>
      <c r="K145" s="4674">
        <f t="shared" si="198"/>
        <v>950.59000000000015</v>
      </c>
      <c r="L145" s="4676">
        <f>SUM('Произв. прогр. Вода'!M164)</f>
        <v>1810.7100000000003</v>
      </c>
      <c r="M145" s="4676">
        <f t="shared" ref="M145" si="199">SUM(M14)</f>
        <v>1882.87</v>
      </c>
      <c r="N145" s="4676">
        <f t="shared" si="123"/>
        <v>72.159999999999627</v>
      </c>
      <c r="O145" s="4674">
        <f>SUM('Произв. прогр. Вода'!Q164)</f>
        <v>885.4371900000001</v>
      </c>
      <c r="P145" s="4674">
        <f t="shared" ref="P145:S145" si="200">SUM(P14)</f>
        <v>0</v>
      </c>
      <c r="Q145" s="4674">
        <f t="shared" si="200"/>
        <v>0</v>
      </c>
      <c r="R145" s="4674">
        <f t="shared" si="200"/>
        <v>0</v>
      </c>
      <c r="S145" s="4674">
        <f t="shared" si="200"/>
        <v>0</v>
      </c>
      <c r="T145" s="4676">
        <f>SUM('Произв. прогр. Вода'!R164)</f>
        <v>2696.1471900000006</v>
      </c>
      <c r="U145" s="4676">
        <f t="shared" ref="U145" si="201">SUM(U14)</f>
        <v>1882.87</v>
      </c>
      <c r="V145" s="4676">
        <f t="shared" si="124"/>
        <v>-813.2771900000007</v>
      </c>
      <c r="W145" s="4674">
        <f>SUM('Произв. прогр. Вода'!V164)</f>
        <v>925.27281000000016</v>
      </c>
      <c r="X145" s="4674">
        <f t="shared" ref="X145:AA145" si="202">SUM(X14)</f>
        <v>0</v>
      </c>
      <c r="Y145" s="4674">
        <f t="shared" si="202"/>
        <v>0</v>
      </c>
      <c r="Z145" s="4674">
        <f t="shared" si="202"/>
        <v>0</v>
      </c>
      <c r="AA145" s="4674">
        <f t="shared" si="202"/>
        <v>0</v>
      </c>
      <c r="AB145" s="4676">
        <f>SUM('Произв. прогр. Вода'!B164)</f>
        <v>3621.42</v>
      </c>
      <c r="AC145" s="4676">
        <f t="shared" ref="AC145" si="203">SUM(AC14)</f>
        <v>1882.87</v>
      </c>
      <c r="AD145" s="4676">
        <f t="shared" si="125"/>
        <v>-1738.5500000000002</v>
      </c>
      <c r="AE145" s="4689"/>
      <c r="AF145" s="4689"/>
      <c r="AG145" s="4672"/>
      <c r="AH145" s="4672"/>
      <c r="AI145" s="4672"/>
      <c r="AJ145" s="4672"/>
      <c r="AK145" s="4672"/>
    </row>
    <row r="146" spans="1:37" ht="18.75" customHeight="1">
      <c r="A146" s="4696" t="s">
        <v>14</v>
      </c>
      <c r="B146" s="4674">
        <f>SUM('Произв. прогр. Вода'!H165)</f>
        <v>35.156335506571871</v>
      </c>
      <c r="C146" s="4674">
        <f t="shared" ref="C146:F146" si="204">SUM(C144/C145)</f>
        <v>32.928224720508567</v>
      </c>
      <c r="D146" s="4674">
        <f t="shared" si="204"/>
        <v>29.928066673004398</v>
      </c>
      <c r="E146" s="4674">
        <f t="shared" si="204"/>
        <v>40.397336740870259</v>
      </c>
      <c r="F146" s="4674">
        <f t="shared" si="204"/>
        <v>34.295201012571326</v>
      </c>
      <c r="G146" s="4674">
        <f>SUM('Произв. прогр. Вода'!L165)</f>
        <v>34.854524076751233</v>
      </c>
      <c r="H146" s="4674">
        <f t="shared" ref="H146:M146" si="205">SUM(H144/H145)</f>
        <v>34.716959940097347</v>
      </c>
      <c r="I146" s="4674">
        <f t="shared" si="205"/>
        <v>33.176111966960576</v>
      </c>
      <c r="J146" s="4674">
        <f t="shared" si="205"/>
        <v>35.300295402794028</v>
      </c>
      <c r="K146" s="4674">
        <f t="shared" si="205"/>
        <v>34.421853796063495</v>
      </c>
      <c r="L146" s="4676">
        <f>SUM('Произв. прогр. Вода'!M165)</f>
        <v>35.008749717389584</v>
      </c>
      <c r="M146" s="4676">
        <f t="shared" si="205"/>
        <v>34.359143222845972</v>
      </c>
      <c r="N146" s="4676">
        <f t="shared" si="123"/>
        <v>-0.64960649454361175</v>
      </c>
      <c r="O146" s="4674">
        <f>SUM('Произв. прогр. Вода'!Q165)</f>
        <v>35.556551681947084</v>
      </c>
      <c r="P146" s="4674" t="e">
        <f t="shared" ref="P146:U146" si="206">SUM(P144/P145)</f>
        <v>#DIV/0!</v>
      </c>
      <c r="Q146" s="4674" t="e">
        <f t="shared" si="206"/>
        <v>#DIV/0!</v>
      </c>
      <c r="R146" s="4674" t="e">
        <f t="shared" si="206"/>
        <v>#DIV/0!</v>
      </c>
      <c r="S146" s="4674" t="e">
        <f t="shared" si="206"/>
        <v>#DIV/0!</v>
      </c>
      <c r="T146" s="4676">
        <f>SUM('Произв. прогр. Вода'!R165)</f>
        <v>35.188652444500811</v>
      </c>
      <c r="U146" s="4676">
        <f t="shared" si="206"/>
        <v>34.359143222845972</v>
      </c>
      <c r="V146" s="4676">
        <f t="shared" si="124"/>
        <v>-0.82950922165483831</v>
      </c>
      <c r="W146" s="4674">
        <f>SUM('Произв. прогр. Вода'!V165)</f>
        <v>35.955454171852494</v>
      </c>
      <c r="X146" s="4674" t="e">
        <f t="shared" ref="X146:AC146" si="207">SUM(X144/X145)</f>
        <v>#DIV/0!</v>
      </c>
      <c r="Y146" s="4674" t="e">
        <f t="shared" si="207"/>
        <v>#DIV/0!</v>
      </c>
      <c r="Z146" s="4674" t="e">
        <f t="shared" si="207"/>
        <v>#DIV/0!</v>
      </c>
      <c r="AA146" s="4674" t="e">
        <f t="shared" si="207"/>
        <v>#DIV/0!</v>
      </c>
      <c r="AB146" s="4676">
        <f>SUM('Произв. прогр. Вода'!B165)</f>
        <v>35.384570285684148</v>
      </c>
      <c r="AC146" s="4676">
        <f t="shared" si="207"/>
        <v>34.359143222845972</v>
      </c>
      <c r="AD146" s="4676">
        <f t="shared" si="125"/>
        <v>-1.0254270628381761</v>
      </c>
      <c r="AE146" s="4689"/>
      <c r="AF146" s="4689"/>
      <c r="AG146" s="4672"/>
      <c r="AH146" s="4672"/>
      <c r="AI146" s="4672"/>
      <c r="AJ146" s="4672"/>
      <c r="AK146" s="4672"/>
    </row>
    <row r="147" spans="1:37" ht="18.75" customHeight="1">
      <c r="A147" s="4701" t="s">
        <v>1998</v>
      </c>
      <c r="B147" s="4674">
        <f>SUM(B148:B149)</f>
        <v>0</v>
      </c>
      <c r="C147" s="4674">
        <f t="shared" ref="C147:AD147" si="208">SUM(C148:C149)</f>
        <v>0</v>
      </c>
      <c r="D147" s="4674">
        <f t="shared" si="208"/>
        <v>0</v>
      </c>
      <c r="E147" s="4674">
        <f t="shared" si="208"/>
        <v>0</v>
      </c>
      <c r="F147" s="4674">
        <f t="shared" si="208"/>
        <v>0</v>
      </c>
      <c r="G147" s="4674">
        <f t="shared" si="208"/>
        <v>0</v>
      </c>
      <c r="H147" s="4674">
        <f t="shared" si="208"/>
        <v>0</v>
      </c>
      <c r="I147" s="4674">
        <f t="shared" si="208"/>
        <v>0</v>
      </c>
      <c r="J147" s="4674">
        <f t="shared" si="208"/>
        <v>0</v>
      </c>
      <c r="K147" s="4674">
        <f t="shared" si="208"/>
        <v>0</v>
      </c>
      <c r="L147" s="4676">
        <f t="shared" si="208"/>
        <v>0</v>
      </c>
      <c r="M147" s="4676">
        <f t="shared" si="208"/>
        <v>0</v>
      </c>
      <c r="N147" s="4676">
        <f t="shared" si="208"/>
        <v>0</v>
      </c>
      <c r="O147" s="4674">
        <f t="shared" si="208"/>
        <v>0</v>
      </c>
      <c r="P147" s="4674">
        <f t="shared" si="208"/>
        <v>0</v>
      </c>
      <c r="Q147" s="4674">
        <f t="shared" si="208"/>
        <v>0</v>
      </c>
      <c r="R147" s="4674">
        <f t="shared" si="208"/>
        <v>0</v>
      </c>
      <c r="S147" s="4674">
        <f t="shared" si="208"/>
        <v>0</v>
      </c>
      <c r="T147" s="4676">
        <f t="shared" si="208"/>
        <v>0</v>
      </c>
      <c r="U147" s="4676">
        <f t="shared" si="208"/>
        <v>0</v>
      </c>
      <c r="V147" s="4676">
        <f t="shared" si="208"/>
        <v>0</v>
      </c>
      <c r="W147" s="4674">
        <f t="shared" si="208"/>
        <v>0</v>
      </c>
      <c r="X147" s="4674">
        <f t="shared" si="208"/>
        <v>0</v>
      </c>
      <c r="Y147" s="4674">
        <f t="shared" si="208"/>
        <v>0</v>
      </c>
      <c r="Z147" s="4674">
        <f t="shared" si="208"/>
        <v>0</v>
      </c>
      <c r="AA147" s="4674">
        <f t="shared" si="208"/>
        <v>0</v>
      </c>
      <c r="AB147" s="4676">
        <f t="shared" si="208"/>
        <v>0</v>
      </c>
      <c r="AC147" s="4676">
        <f t="shared" si="208"/>
        <v>0</v>
      </c>
      <c r="AD147" s="4676">
        <f t="shared" si="208"/>
        <v>0</v>
      </c>
      <c r="AE147" s="4689"/>
      <c r="AF147" s="4689"/>
      <c r="AG147" s="4672"/>
      <c r="AH147" s="4672"/>
      <c r="AI147" s="4672"/>
      <c r="AJ147" s="4672"/>
      <c r="AK147" s="4672"/>
    </row>
    <row r="148" spans="1:37" ht="18.75" customHeight="1">
      <c r="A148" s="4695" t="s">
        <v>1999</v>
      </c>
      <c r="B148" s="4684">
        <v>0</v>
      </c>
      <c r="C148" s="4685"/>
      <c r="D148" s="4685"/>
      <c r="E148" s="4702"/>
      <c r="F148" s="4684">
        <f>SUM(C148:E148)</f>
        <v>0</v>
      </c>
      <c r="G148" s="4684">
        <v>0</v>
      </c>
      <c r="H148" s="4685"/>
      <c r="I148" s="4685"/>
      <c r="J148" s="4685"/>
      <c r="K148" s="4684">
        <f>SUM(H148:J148)</f>
        <v>0</v>
      </c>
      <c r="L148" s="4686">
        <v>0</v>
      </c>
      <c r="M148" s="4686">
        <f t="shared" ref="M148:M149" si="209">SUM(F148+K148)</f>
        <v>0</v>
      </c>
      <c r="N148" s="4686">
        <v>0</v>
      </c>
      <c r="O148" s="4684">
        <v>0</v>
      </c>
      <c r="P148" s="4685"/>
      <c r="Q148" s="4685"/>
      <c r="R148" s="4685"/>
      <c r="S148" s="4684">
        <f t="shared" ref="S148:S149" si="210">SUM(P148:R148)</f>
        <v>0</v>
      </c>
      <c r="T148" s="4686">
        <v>0</v>
      </c>
      <c r="U148" s="4686">
        <f t="shared" ref="U148:U149" si="211">SUM(M148+S148)</f>
        <v>0</v>
      </c>
      <c r="V148" s="4686">
        <v>0</v>
      </c>
      <c r="W148" s="4684">
        <v>0</v>
      </c>
      <c r="X148" s="4685"/>
      <c r="Y148" s="4685"/>
      <c r="Z148" s="4685"/>
      <c r="AA148" s="4684">
        <f t="shared" ref="AA148:AA149" si="212">SUM(X148:Z148)</f>
        <v>0</v>
      </c>
      <c r="AB148" s="4686">
        <v>0</v>
      </c>
      <c r="AC148" s="4686">
        <f t="shared" ref="AC148:AC149" si="213">SUM(U148+AA148)</f>
        <v>0</v>
      </c>
      <c r="AD148" s="4686">
        <v>0</v>
      </c>
      <c r="AE148" s="4689"/>
      <c r="AF148" s="4689"/>
      <c r="AG148" s="4672"/>
      <c r="AH148" s="4672"/>
      <c r="AI148" s="4672"/>
      <c r="AJ148" s="4672"/>
      <c r="AK148" s="4672"/>
    </row>
    <row r="149" spans="1:37" ht="18.75" customHeight="1">
      <c r="A149" s="4695" t="s">
        <v>2000</v>
      </c>
      <c r="B149" s="4684">
        <v>0</v>
      </c>
      <c r="C149" s="4685"/>
      <c r="D149" s="4685"/>
      <c r="E149" s="4685"/>
      <c r="F149" s="4684">
        <f>SUM(C149:E149)</f>
        <v>0</v>
      </c>
      <c r="G149" s="4684">
        <v>0</v>
      </c>
      <c r="H149" s="4685"/>
      <c r="I149" s="4685"/>
      <c r="J149" s="4685"/>
      <c r="K149" s="4684">
        <f>SUM(H149:J149)</f>
        <v>0</v>
      </c>
      <c r="L149" s="4686">
        <v>0</v>
      </c>
      <c r="M149" s="4686">
        <f t="shared" si="209"/>
        <v>0</v>
      </c>
      <c r="N149" s="4686">
        <v>0</v>
      </c>
      <c r="O149" s="4684">
        <v>0</v>
      </c>
      <c r="P149" s="4685"/>
      <c r="Q149" s="4685"/>
      <c r="R149" s="4685"/>
      <c r="S149" s="4684">
        <f t="shared" si="210"/>
        <v>0</v>
      </c>
      <c r="T149" s="4686">
        <v>0</v>
      </c>
      <c r="U149" s="4686">
        <f t="shared" si="211"/>
        <v>0</v>
      </c>
      <c r="V149" s="4686">
        <v>0</v>
      </c>
      <c r="W149" s="4684">
        <v>0</v>
      </c>
      <c r="X149" s="4685"/>
      <c r="Y149" s="4685"/>
      <c r="Z149" s="4685"/>
      <c r="AA149" s="4684">
        <f t="shared" si="212"/>
        <v>0</v>
      </c>
      <c r="AB149" s="4686">
        <v>0</v>
      </c>
      <c r="AC149" s="4686">
        <f t="shared" si="213"/>
        <v>0</v>
      </c>
      <c r="AD149" s="4686">
        <v>0</v>
      </c>
      <c r="AE149" s="4689"/>
      <c r="AF149" s="4689"/>
      <c r="AG149" s="4672"/>
      <c r="AH149" s="4672"/>
      <c r="AI149" s="4672"/>
      <c r="AJ149" s="4672"/>
      <c r="AK149" s="4672"/>
    </row>
    <row r="150" spans="1:37" ht="18.75" customHeight="1">
      <c r="A150" s="4701" t="s">
        <v>2001</v>
      </c>
      <c r="B150" s="4703">
        <f>SUM(B144+B147)</f>
        <v>32529.201343468536</v>
      </c>
      <c r="C150" s="4703">
        <f t="shared" ref="C150:AD150" si="214">SUM(C144+C147)</f>
        <v>10514.970000000001</v>
      </c>
      <c r="D150" s="4703">
        <f t="shared" si="214"/>
        <v>9444.3999999999978</v>
      </c>
      <c r="E150" s="4703">
        <f t="shared" si="214"/>
        <v>12013.359999999999</v>
      </c>
      <c r="F150" s="4703">
        <f t="shared" si="214"/>
        <v>31972.729999999996</v>
      </c>
      <c r="G150" s="4703">
        <f t="shared" si="214"/>
        <v>30861.491857305962</v>
      </c>
      <c r="H150" s="4703">
        <f t="shared" si="214"/>
        <v>11127.480000000001</v>
      </c>
      <c r="I150" s="4703">
        <f t="shared" si="214"/>
        <v>10121.700000000001</v>
      </c>
      <c r="J150" s="4703">
        <f t="shared" si="214"/>
        <v>11471.890000000003</v>
      </c>
      <c r="K150" s="4703">
        <f t="shared" si="214"/>
        <v>32721.07</v>
      </c>
      <c r="L150" s="4704">
        <f t="shared" si="214"/>
        <v>63390.693200774498</v>
      </c>
      <c r="M150" s="4704">
        <f t="shared" si="214"/>
        <v>64693.799999999988</v>
      </c>
      <c r="N150" s="4704">
        <f t="shared" si="214"/>
        <v>1303.1067992254902</v>
      </c>
      <c r="O150" s="4703">
        <f t="shared" si="214"/>
        <v>31483.093207353002</v>
      </c>
      <c r="P150" s="4703">
        <f t="shared" si="214"/>
        <v>0</v>
      </c>
      <c r="Q150" s="4703">
        <f t="shared" si="214"/>
        <v>0</v>
      </c>
      <c r="R150" s="4703">
        <f t="shared" si="214"/>
        <v>0</v>
      </c>
      <c r="S150" s="4703">
        <f t="shared" si="214"/>
        <v>0</v>
      </c>
      <c r="T150" s="4704">
        <f t="shared" si="214"/>
        <v>94873.786408127504</v>
      </c>
      <c r="U150" s="4704">
        <f t="shared" si="214"/>
        <v>64693.799999999988</v>
      </c>
      <c r="V150" s="4704">
        <f t="shared" si="214"/>
        <v>-30179.986408127515</v>
      </c>
      <c r="W150" s="4703">
        <f t="shared" si="214"/>
        <v>33268.604116416187</v>
      </c>
      <c r="X150" s="4703">
        <f t="shared" si="214"/>
        <v>0</v>
      </c>
      <c r="Y150" s="4703">
        <f t="shared" si="214"/>
        <v>0</v>
      </c>
      <c r="Z150" s="4703">
        <f t="shared" si="214"/>
        <v>0</v>
      </c>
      <c r="AA150" s="4703">
        <f t="shared" si="214"/>
        <v>0</v>
      </c>
      <c r="AB150" s="4704">
        <f t="shared" si="214"/>
        <v>128142.39052398229</v>
      </c>
      <c r="AC150" s="4704">
        <f t="shared" si="214"/>
        <v>64693.799999999988</v>
      </c>
      <c r="AD150" s="4704">
        <f t="shared" si="214"/>
        <v>-63448.590523982304</v>
      </c>
      <c r="AE150" s="4665"/>
      <c r="AF150" s="4665"/>
      <c r="AG150" s="4665"/>
      <c r="AH150" s="4665"/>
      <c r="AI150" s="4665"/>
      <c r="AJ150" s="4665"/>
      <c r="AK150" s="4665"/>
    </row>
    <row r="151" spans="1:37">
      <c r="A151" s="4665"/>
      <c r="B151" s="4665"/>
      <c r="C151" s="4665"/>
      <c r="D151" s="4665"/>
      <c r="E151" s="4665"/>
      <c r="F151" s="4665"/>
      <c r="G151" s="4665"/>
      <c r="H151" s="4665"/>
      <c r="I151" s="4665"/>
      <c r="J151" s="4665"/>
      <c r="K151" s="4665"/>
      <c r="L151" s="4665"/>
      <c r="M151" s="4665"/>
      <c r="N151" s="4665"/>
      <c r="O151" s="4665"/>
      <c r="P151" s="4665"/>
      <c r="Q151" s="4665"/>
      <c r="R151" s="4665"/>
      <c r="S151" s="4665"/>
      <c r="T151" s="4665"/>
      <c r="U151" s="4665"/>
      <c r="V151" s="4665"/>
      <c r="W151" s="4665"/>
      <c r="X151" s="4665"/>
      <c r="Y151" s="4665"/>
      <c r="Z151" s="4665"/>
      <c r="AA151" s="4665"/>
      <c r="AB151" s="4665"/>
      <c r="AC151" s="4665"/>
      <c r="AD151" s="4665"/>
      <c r="AE151" s="4665"/>
      <c r="AF151" s="4665"/>
      <c r="AG151" s="4665"/>
      <c r="AH151" s="4665"/>
      <c r="AI151" s="4665"/>
      <c r="AJ151" s="4665"/>
      <c r="AK151" s="4665"/>
    </row>
    <row r="152" spans="1:37" ht="15.75">
      <c r="A152" s="4879" t="s">
        <v>1408</v>
      </c>
      <c r="B152" s="4879"/>
      <c r="C152" s="4879"/>
      <c r="D152" s="4879" t="s">
        <v>1409</v>
      </c>
      <c r="E152" s="4879"/>
      <c r="F152" s="4665"/>
      <c r="G152" s="4665"/>
      <c r="H152" s="4665"/>
      <c r="I152" s="4665"/>
      <c r="J152" s="4665"/>
      <c r="K152" s="4665"/>
      <c r="L152" s="4665"/>
      <c r="M152" s="4665"/>
      <c r="N152" s="4665"/>
      <c r="O152" s="4665"/>
      <c r="P152" s="4665"/>
      <c r="Q152" s="4665"/>
      <c r="R152" s="4665"/>
      <c r="S152" s="4665"/>
      <c r="T152" s="4665"/>
      <c r="U152" s="4665"/>
      <c r="V152" s="4665"/>
      <c r="W152" s="4665"/>
      <c r="X152" s="4665"/>
      <c r="Y152" s="4665"/>
      <c r="Z152" s="4665"/>
      <c r="AA152" s="4665"/>
      <c r="AB152" s="4665"/>
      <c r="AC152" s="4665"/>
      <c r="AD152" s="4665"/>
      <c r="AE152" s="4665"/>
      <c r="AF152" s="4665"/>
      <c r="AG152" s="4665"/>
      <c r="AH152" s="4665"/>
      <c r="AI152" s="4665"/>
      <c r="AJ152" s="4665"/>
      <c r="AK152" s="4665"/>
    </row>
    <row r="153" spans="1:37" ht="20.25">
      <c r="A153" s="4660" t="s">
        <v>2038</v>
      </c>
      <c r="B153" s="4665"/>
      <c r="C153" s="4665"/>
      <c r="D153" s="4665"/>
      <c r="E153" s="4665"/>
      <c r="F153" s="4665"/>
      <c r="G153" s="4665"/>
      <c r="H153" s="4665"/>
      <c r="I153" s="4665"/>
      <c r="J153" s="4665"/>
      <c r="K153" s="4665"/>
      <c r="L153" s="4665"/>
      <c r="M153" s="4665"/>
      <c r="N153" s="4665"/>
      <c r="O153" s="4665"/>
      <c r="P153" s="4665"/>
      <c r="Q153" s="4665"/>
      <c r="R153" s="4665"/>
      <c r="S153" s="4665"/>
      <c r="T153" s="4665"/>
      <c r="U153" s="4665"/>
      <c r="V153" s="4665"/>
      <c r="W153" s="4665"/>
      <c r="X153" s="4665"/>
      <c r="Y153" s="4665"/>
      <c r="Z153" s="4665"/>
      <c r="AA153" s="4665"/>
      <c r="AB153" s="4665"/>
      <c r="AC153" s="4665"/>
      <c r="AD153" s="4665"/>
      <c r="AE153" s="4665"/>
      <c r="AF153" s="4665"/>
      <c r="AG153" s="4665"/>
      <c r="AH153" s="4665"/>
      <c r="AI153" s="4665"/>
      <c r="AJ153" s="4665"/>
      <c r="AK153" s="4665"/>
    </row>
    <row r="154" spans="1:37" ht="20.25">
      <c r="A154" s="4666" t="s">
        <v>2002</v>
      </c>
      <c r="B154" s="4665"/>
      <c r="C154" s="4665"/>
      <c r="D154" s="4665"/>
      <c r="E154" s="4665"/>
      <c r="F154" s="4665"/>
      <c r="G154" s="4665"/>
      <c r="H154" s="4665"/>
      <c r="I154" s="4665"/>
      <c r="J154" s="4665"/>
      <c r="K154" s="4665"/>
      <c r="L154" s="4665"/>
      <c r="M154" s="4665"/>
      <c r="N154" s="4665"/>
      <c r="O154" s="4665"/>
      <c r="P154" s="4665"/>
      <c r="Q154" s="4665"/>
      <c r="R154" s="4665"/>
      <c r="S154" s="4665"/>
      <c r="T154" s="4665"/>
      <c r="U154" s="4665"/>
      <c r="V154" s="4665"/>
      <c r="W154" s="4665"/>
      <c r="X154" s="4665"/>
      <c r="Y154" s="4665"/>
      <c r="Z154" s="4665"/>
      <c r="AA154" s="4665"/>
      <c r="AB154" s="4665"/>
      <c r="AC154" s="4665"/>
      <c r="AD154" s="4665"/>
      <c r="AE154" s="4665"/>
      <c r="AF154" s="4665"/>
      <c r="AG154" s="4665"/>
      <c r="AH154" s="4665"/>
      <c r="AI154" s="4665"/>
      <c r="AJ154" s="4665"/>
      <c r="AK154" s="4665"/>
    </row>
    <row r="155" spans="1:37" ht="20.25">
      <c r="A155" s="4666"/>
      <c r="B155" s="4665"/>
      <c r="C155" s="4665"/>
      <c r="D155" s="4665"/>
      <c r="E155" s="4665"/>
      <c r="F155" s="4665"/>
      <c r="G155" s="4665"/>
      <c r="H155" s="4665"/>
      <c r="I155" s="4665"/>
      <c r="J155" s="4665"/>
      <c r="K155" s="4665"/>
      <c r="L155" s="4665"/>
      <c r="M155" s="4665"/>
      <c r="N155" s="4665"/>
      <c r="O155" s="4665"/>
      <c r="P155" s="4665"/>
      <c r="Q155" s="4665"/>
      <c r="R155" s="4665"/>
      <c r="S155" s="4665"/>
      <c r="T155" s="4665"/>
      <c r="U155" s="4665"/>
      <c r="V155" s="4665"/>
      <c r="W155" s="4665"/>
      <c r="X155" s="4665"/>
      <c r="Y155" s="4665"/>
      <c r="Z155" s="4665"/>
      <c r="AA155" s="4665"/>
      <c r="AB155" s="4665"/>
      <c r="AC155" s="4665"/>
      <c r="AD155" s="4665"/>
      <c r="AE155" s="4665"/>
      <c r="AF155" s="4665"/>
      <c r="AG155" s="4665"/>
      <c r="AH155" s="4665"/>
      <c r="AI155" s="4665"/>
      <c r="AJ155" s="4665"/>
      <c r="AK155" s="4665"/>
    </row>
    <row r="156" spans="1:37" ht="18.75">
      <c r="A156" s="4668" t="s">
        <v>1982</v>
      </c>
      <c r="B156" s="4705"/>
      <c r="C156" s="4705"/>
      <c r="D156" s="4705"/>
      <c r="E156" s="4705"/>
      <c r="F156" s="4705"/>
      <c r="G156" s="4705"/>
      <c r="H156" s="4705"/>
      <c r="I156" s="4705"/>
      <c r="J156" s="4705"/>
      <c r="K156" s="4705"/>
      <c r="L156" s="4705"/>
      <c r="M156" s="4705"/>
      <c r="N156" s="4705"/>
      <c r="O156" s="4705"/>
      <c r="P156" s="4705"/>
      <c r="Q156" s="4705"/>
      <c r="R156" s="4705"/>
      <c r="S156" s="4705"/>
      <c r="T156" s="4705"/>
      <c r="U156" s="4705"/>
      <c r="V156" s="4705"/>
      <c r="W156" s="4705"/>
      <c r="X156" s="4705"/>
      <c r="Y156" s="4705"/>
      <c r="Z156" s="4705"/>
      <c r="AA156" s="4705"/>
      <c r="AB156" s="4705"/>
      <c r="AC156" s="4705"/>
      <c r="AD156" s="4706"/>
      <c r="AE156" s="4665"/>
      <c r="AF156" s="4665"/>
      <c r="AG156" s="4665"/>
      <c r="AH156" s="4665"/>
      <c r="AI156" s="4665"/>
      <c r="AJ156" s="4665"/>
      <c r="AK156" s="4665"/>
    </row>
    <row r="157" spans="1:37" ht="18.75">
      <c r="A157" s="4930" t="s">
        <v>545</v>
      </c>
      <c r="B157" s="4928" t="s">
        <v>1983</v>
      </c>
      <c r="C157" s="4928"/>
      <c r="D157" s="4928"/>
      <c r="E157" s="4928"/>
      <c r="F157" s="4928"/>
      <c r="G157" s="4928" t="s">
        <v>1984</v>
      </c>
      <c r="H157" s="4928"/>
      <c r="I157" s="4928"/>
      <c r="J157" s="4928"/>
      <c r="K157" s="4928"/>
      <c r="L157" s="4926" t="s">
        <v>1985</v>
      </c>
      <c r="M157" s="4926"/>
      <c r="N157" s="4926"/>
      <c r="O157" s="4928" t="s">
        <v>1986</v>
      </c>
      <c r="P157" s="4928"/>
      <c r="Q157" s="4928"/>
      <c r="R157" s="4928"/>
      <c r="S157" s="4928"/>
      <c r="T157" s="4926" t="s">
        <v>1987</v>
      </c>
      <c r="U157" s="4926"/>
      <c r="V157" s="4926"/>
      <c r="W157" s="4928" t="s">
        <v>1988</v>
      </c>
      <c r="X157" s="4928"/>
      <c r="Y157" s="4928"/>
      <c r="Z157" s="4928"/>
      <c r="AA157" s="4928"/>
      <c r="AB157" s="4926" t="s">
        <v>887</v>
      </c>
      <c r="AC157" s="4926"/>
      <c r="AD157" s="4926"/>
      <c r="AE157" s="4665"/>
      <c r="AF157" s="4665"/>
      <c r="AG157" s="4665"/>
      <c r="AH157" s="4665"/>
      <c r="AI157" s="4665"/>
      <c r="AJ157" s="4665"/>
      <c r="AK157" s="4665"/>
    </row>
    <row r="158" spans="1:37" ht="12.75" customHeight="1">
      <c r="A158" s="4931"/>
      <c r="B158" s="4927" t="s">
        <v>1989</v>
      </c>
      <c r="C158" s="4928" t="s">
        <v>586</v>
      </c>
      <c r="D158" s="4928" t="s">
        <v>587</v>
      </c>
      <c r="E158" s="4928" t="s">
        <v>588</v>
      </c>
      <c r="F158" s="4927" t="s">
        <v>1990</v>
      </c>
      <c r="G158" s="4927" t="s">
        <v>1989</v>
      </c>
      <c r="H158" s="4928" t="s">
        <v>1562</v>
      </c>
      <c r="I158" s="4928" t="s">
        <v>590</v>
      </c>
      <c r="J158" s="4928" t="s">
        <v>591</v>
      </c>
      <c r="K158" s="4927" t="s">
        <v>1990</v>
      </c>
      <c r="L158" s="4929" t="s">
        <v>1989</v>
      </c>
      <c r="M158" s="4929" t="s">
        <v>1990</v>
      </c>
      <c r="N158" s="4926" t="s">
        <v>1991</v>
      </c>
      <c r="O158" s="4927" t="s">
        <v>1989</v>
      </c>
      <c r="P158" s="4928" t="s">
        <v>592</v>
      </c>
      <c r="Q158" s="4928" t="s">
        <v>593</v>
      </c>
      <c r="R158" s="4928" t="s">
        <v>594</v>
      </c>
      <c r="S158" s="4927" t="s">
        <v>1990</v>
      </c>
      <c r="T158" s="4929" t="s">
        <v>1989</v>
      </c>
      <c r="U158" s="4929" t="s">
        <v>1990</v>
      </c>
      <c r="V158" s="4926" t="s">
        <v>1991</v>
      </c>
      <c r="W158" s="4927" t="s">
        <v>1989</v>
      </c>
      <c r="X158" s="4928" t="s">
        <v>595</v>
      </c>
      <c r="Y158" s="4928" t="s">
        <v>596</v>
      </c>
      <c r="Z158" s="4928" t="s">
        <v>597</v>
      </c>
      <c r="AA158" s="4927" t="s">
        <v>1990</v>
      </c>
      <c r="AB158" s="4929" t="s">
        <v>1989</v>
      </c>
      <c r="AC158" s="4929" t="s">
        <v>1990</v>
      </c>
      <c r="AD158" s="4926" t="s">
        <v>1991</v>
      </c>
      <c r="AE158" s="4665"/>
      <c r="AF158" s="4665"/>
      <c r="AG158" s="4665"/>
      <c r="AH158" s="4665"/>
      <c r="AI158" s="4665"/>
      <c r="AJ158" s="4665"/>
      <c r="AK158" s="4665"/>
    </row>
    <row r="159" spans="1:37" ht="12.75" customHeight="1">
      <c r="A159" s="4931"/>
      <c r="B159" s="4927"/>
      <c r="C159" s="4928"/>
      <c r="D159" s="4928"/>
      <c r="E159" s="4928"/>
      <c r="F159" s="4927"/>
      <c r="G159" s="4927"/>
      <c r="H159" s="4928"/>
      <c r="I159" s="4928"/>
      <c r="J159" s="4928"/>
      <c r="K159" s="4927"/>
      <c r="L159" s="4929"/>
      <c r="M159" s="4929"/>
      <c r="N159" s="4926"/>
      <c r="O159" s="4927"/>
      <c r="P159" s="4928"/>
      <c r="Q159" s="4928"/>
      <c r="R159" s="4928"/>
      <c r="S159" s="4927"/>
      <c r="T159" s="4929"/>
      <c r="U159" s="4929"/>
      <c r="V159" s="4926"/>
      <c r="W159" s="4927"/>
      <c r="X159" s="4928"/>
      <c r="Y159" s="4928"/>
      <c r="Z159" s="4928"/>
      <c r="AA159" s="4927"/>
      <c r="AB159" s="4929"/>
      <c r="AC159" s="4929"/>
      <c r="AD159" s="4926"/>
      <c r="AE159" s="4665"/>
      <c r="AF159" s="4665"/>
      <c r="AG159" s="4665"/>
      <c r="AH159" s="4665"/>
      <c r="AI159" s="4665"/>
      <c r="AJ159" s="4665"/>
      <c r="AK159" s="4665"/>
    </row>
    <row r="160" spans="1:37" ht="18.75">
      <c r="A160" s="4673" t="s">
        <v>1707</v>
      </c>
      <c r="B160" s="4674">
        <f>SUM(B8)</f>
        <v>1360.8647955000001</v>
      </c>
      <c r="C160" s="4674">
        <f t="shared" ref="C160:E161" si="215">SUM(C8)</f>
        <v>653.08500000000004</v>
      </c>
      <c r="D160" s="4674">
        <f t="shared" si="215"/>
        <v>497.262</v>
      </c>
      <c r="E160" s="4674">
        <f t="shared" si="215"/>
        <v>514.80899999999997</v>
      </c>
      <c r="F160" s="4674">
        <f>SUM(C160:E160)</f>
        <v>1665.1559999999999</v>
      </c>
      <c r="G160" s="4674">
        <f>SUM(G8)</f>
        <v>1302.2757045000001</v>
      </c>
      <c r="H160" s="4674">
        <f t="shared" ref="H160:J161" si="216">SUM(H8)</f>
        <v>597.01900000000001</v>
      </c>
      <c r="I160" s="4674">
        <f t="shared" si="216"/>
        <v>658.07100000000003</v>
      </c>
      <c r="J160" s="4674">
        <f>SUM(J8)</f>
        <v>642.82100000000003</v>
      </c>
      <c r="K160" s="4674">
        <f>SUM(H160:J160)</f>
        <v>1897.9110000000001</v>
      </c>
      <c r="L160" s="4676">
        <f>SUM(L8)</f>
        <v>2663.1405000000004</v>
      </c>
      <c r="M160" s="4676">
        <f>SUM(F160+K160)</f>
        <v>3563.067</v>
      </c>
      <c r="N160" s="4676">
        <f>SUM(M160-L160)</f>
        <v>899.92649999999958</v>
      </c>
      <c r="O160" s="4674">
        <f>SUM(O8)</f>
        <v>1302.2757045000003</v>
      </c>
      <c r="P160" s="4674">
        <f t="shared" ref="P160:R161" si="217">SUM(P8)</f>
        <v>0</v>
      </c>
      <c r="Q160" s="4674">
        <f t="shared" si="217"/>
        <v>0</v>
      </c>
      <c r="R160" s="4674">
        <f t="shared" si="217"/>
        <v>0</v>
      </c>
      <c r="S160" s="4674">
        <f>SUM(P160:R160)</f>
        <v>0</v>
      </c>
      <c r="T160" s="4676">
        <f>SUM(T8)</f>
        <v>3965.4162045000007</v>
      </c>
      <c r="U160" s="4676">
        <f>SUM(M160+S160)</f>
        <v>3563.067</v>
      </c>
      <c r="V160" s="4676">
        <f>SUM(U160-T160)</f>
        <v>-402.34920450000072</v>
      </c>
      <c r="W160" s="4674">
        <f>SUM(W8)</f>
        <v>1360.8647955000001</v>
      </c>
      <c r="X160" s="4674">
        <f t="shared" ref="X160:Z161" si="218">SUM(X8)</f>
        <v>0</v>
      </c>
      <c r="Y160" s="4674">
        <f t="shared" si="218"/>
        <v>0</v>
      </c>
      <c r="Z160" s="4674">
        <f t="shared" si="218"/>
        <v>0</v>
      </c>
      <c r="AA160" s="4674">
        <f>SUM(X160:Z160)</f>
        <v>0</v>
      </c>
      <c r="AB160" s="4676">
        <f>SUM(AB8)</f>
        <v>5326.2809999999999</v>
      </c>
      <c r="AC160" s="4676">
        <f>SUM(U160+AA160)</f>
        <v>3563.067</v>
      </c>
      <c r="AD160" s="4676">
        <f>SUM(AC160-AB160)</f>
        <v>-1763.2139999999999</v>
      </c>
      <c r="AE160" s="4665"/>
      <c r="AF160" s="4665"/>
      <c r="AG160" s="4665"/>
      <c r="AH160" s="4665"/>
      <c r="AI160" s="4665"/>
      <c r="AJ160" s="4665"/>
      <c r="AK160" s="4665"/>
    </row>
    <row r="161" spans="1:37" ht="18.75">
      <c r="A161" s="4677" t="s">
        <v>20</v>
      </c>
      <c r="B161" s="4678">
        <f>SUM(B9)</f>
        <v>204.10450000000003</v>
      </c>
      <c r="C161" s="4678">
        <f t="shared" si="215"/>
        <v>153.15100000000001</v>
      </c>
      <c r="D161" s="4678">
        <f t="shared" si="215"/>
        <v>75.460999999999999</v>
      </c>
      <c r="E161" s="4678">
        <f t="shared" si="215"/>
        <v>37.656999999999996</v>
      </c>
      <c r="F161" s="4678">
        <f>SUM(C161:E161)</f>
        <v>266.26900000000001</v>
      </c>
      <c r="G161" s="4678">
        <f>SUM(G9)</f>
        <v>204.10450000000003</v>
      </c>
      <c r="H161" s="4678">
        <f t="shared" si="216"/>
        <v>91.515000000000001</v>
      </c>
      <c r="I161" s="4678">
        <f t="shared" si="216"/>
        <v>162.489</v>
      </c>
      <c r="J161" s="4678">
        <f t="shared" si="216"/>
        <v>152.56200000000001</v>
      </c>
      <c r="K161" s="4678">
        <f>SUM(H161:J161)</f>
        <v>406.56600000000003</v>
      </c>
      <c r="L161" s="4680">
        <f>SUM(L9)</f>
        <v>408.20900000000006</v>
      </c>
      <c r="M161" s="4680">
        <f>SUM(F161+K161)</f>
        <v>672.83500000000004</v>
      </c>
      <c r="N161" s="4680">
        <f>SUM(M161-L161)</f>
        <v>264.62599999999998</v>
      </c>
      <c r="O161" s="4678">
        <f>SUM(O9)</f>
        <v>204.10450000000003</v>
      </c>
      <c r="P161" s="4678">
        <f t="shared" si="217"/>
        <v>0</v>
      </c>
      <c r="Q161" s="4678">
        <f t="shared" si="217"/>
        <v>0</v>
      </c>
      <c r="R161" s="4678">
        <f t="shared" si="217"/>
        <v>0</v>
      </c>
      <c r="S161" s="4678">
        <f>SUM(P161:R161)</f>
        <v>0</v>
      </c>
      <c r="T161" s="4680">
        <f>SUM(T9)</f>
        <v>612.31350000000009</v>
      </c>
      <c r="U161" s="4680">
        <f>SUM(M161+S161)</f>
        <v>672.83500000000004</v>
      </c>
      <c r="V161" s="4680">
        <f t="shared" ref="V161:V172" si="219">SUM(U161-T161)</f>
        <v>60.521499999999946</v>
      </c>
      <c r="W161" s="4678">
        <f>SUM(W9)</f>
        <v>204.10450000000003</v>
      </c>
      <c r="X161" s="4678">
        <f t="shared" si="218"/>
        <v>0</v>
      </c>
      <c r="Y161" s="4678">
        <f t="shared" si="218"/>
        <v>0</v>
      </c>
      <c r="Z161" s="4678">
        <f t="shared" si="218"/>
        <v>0</v>
      </c>
      <c r="AA161" s="4678">
        <f>SUM(X161:Z161)</f>
        <v>0</v>
      </c>
      <c r="AB161" s="4680">
        <f>SUM(AB9)</f>
        <v>816.41800000000001</v>
      </c>
      <c r="AC161" s="4680">
        <f>SUM(U161+AA161)</f>
        <v>672.83500000000004</v>
      </c>
      <c r="AD161" s="4680">
        <f t="shared" ref="AD161:AD172" si="220">SUM(AC161-AB161)</f>
        <v>-143.58299999999997</v>
      </c>
      <c r="AE161" s="4665"/>
      <c r="AF161" s="4665"/>
      <c r="AG161" s="4665"/>
      <c r="AH161" s="4665"/>
      <c r="AI161" s="4665"/>
      <c r="AJ161" s="4665"/>
      <c r="AK161" s="4665"/>
    </row>
    <row r="162" spans="1:37" ht="18.75">
      <c r="A162" s="4681" t="s">
        <v>388</v>
      </c>
      <c r="B162" s="4682">
        <f>SUM(B161/B160)</f>
        <v>0.14998146816268348</v>
      </c>
      <c r="C162" s="4682">
        <f>SUM(C161/C160)</f>
        <v>0.23450393134124961</v>
      </c>
      <c r="D162" s="4682">
        <f t="shared" ref="D162:M162" si="221">SUM(D161/D160)</f>
        <v>0.15175299942485049</v>
      </c>
      <c r="E162" s="4682">
        <f t="shared" si="221"/>
        <v>7.3147516846053584E-2</v>
      </c>
      <c r="F162" s="4682">
        <f t="shared" si="221"/>
        <v>0.15990633910576546</v>
      </c>
      <c r="G162" s="4682">
        <f t="shared" si="221"/>
        <v>0.15672910067716003</v>
      </c>
      <c r="H162" s="4682">
        <f t="shared" si="221"/>
        <v>0.15328657881909957</v>
      </c>
      <c r="I162" s="4682">
        <f t="shared" si="221"/>
        <v>0.24691712596361182</v>
      </c>
      <c r="J162" s="4682">
        <f t="shared" si="221"/>
        <v>0.23733200999967333</v>
      </c>
      <c r="K162" s="4682">
        <f t="shared" si="221"/>
        <v>0.21421763191213919</v>
      </c>
      <c r="L162" s="4683">
        <f t="shared" si="221"/>
        <v>0.1532810604622625</v>
      </c>
      <c r="M162" s="4683">
        <f t="shared" si="221"/>
        <v>0.18883591018636472</v>
      </c>
      <c r="N162" s="4707">
        <f t="shared" ref="N162:N172" si="222">SUM(M162-L162)</f>
        <v>3.5554849724102222E-2</v>
      </c>
      <c r="O162" s="4682">
        <f t="shared" ref="O162:U162" si="223">SUM(O161/O160)</f>
        <v>0.15672910067716</v>
      </c>
      <c r="P162" s="4682" t="e">
        <f t="shared" si="223"/>
        <v>#DIV/0!</v>
      </c>
      <c r="Q162" s="4682" t="e">
        <f t="shared" si="223"/>
        <v>#DIV/0!</v>
      </c>
      <c r="R162" s="4682" t="e">
        <f t="shared" si="223"/>
        <v>#DIV/0!</v>
      </c>
      <c r="S162" s="4682" t="e">
        <f t="shared" si="223"/>
        <v>#DIV/0!</v>
      </c>
      <c r="T162" s="4683">
        <f t="shared" si="223"/>
        <v>0.154413425583206</v>
      </c>
      <c r="U162" s="4683">
        <f t="shared" si="223"/>
        <v>0.18883591018636472</v>
      </c>
      <c r="V162" s="4707">
        <f t="shared" si="219"/>
        <v>3.4422484603158721E-2</v>
      </c>
      <c r="W162" s="4682">
        <f t="shared" ref="W162:AC162" si="224">SUM(W161/W160)</f>
        <v>0.14998146816268348</v>
      </c>
      <c r="X162" s="4682" t="e">
        <f t="shared" si="224"/>
        <v>#DIV/0!</v>
      </c>
      <c r="Y162" s="4682" t="e">
        <f t="shared" si="224"/>
        <v>#DIV/0!</v>
      </c>
      <c r="Z162" s="4682" t="e">
        <f t="shared" si="224"/>
        <v>#DIV/0!</v>
      </c>
      <c r="AA162" s="4682" t="e">
        <f t="shared" si="224"/>
        <v>#DIV/0!</v>
      </c>
      <c r="AB162" s="4683">
        <f t="shared" si="224"/>
        <v>0.1532810604622625</v>
      </c>
      <c r="AC162" s="4683">
        <f t="shared" si="224"/>
        <v>0.18883591018636472</v>
      </c>
      <c r="AD162" s="4707">
        <f t="shared" si="220"/>
        <v>3.5554849724102222E-2</v>
      </c>
      <c r="AE162" s="4665"/>
      <c r="AF162" s="4665"/>
      <c r="AG162" s="4665"/>
      <c r="AH162" s="4665"/>
      <c r="AI162" s="4665"/>
      <c r="AJ162" s="4665"/>
      <c r="AK162" s="4665"/>
    </row>
    <row r="163" spans="1:37" ht="18.75">
      <c r="A163" s="4673" t="s">
        <v>1708</v>
      </c>
      <c r="B163" s="4674">
        <f>SUM(B11)</f>
        <v>1156.7602955000002</v>
      </c>
      <c r="C163" s="4674">
        <f>SUM(C160-C161)</f>
        <v>499.93400000000003</v>
      </c>
      <c r="D163" s="4674">
        <f t="shared" ref="D163:F163" si="225">SUM(D160-D161)</f>
        <v>421.80099999999999</v>
      </c>
      <c r="E163" s="4674">
        <f t="shared" si="225"/>
        <v>477.15199999999999</v>
      </c>
      <c r="F163" s="4674">
        <f t="shared" si="225"/>
        <v>1398.8869999999999</v>
      </c>
      <c r="G163" s="4674">
        <f>SUM(G11)</f>
        <v>1098.1712045000004</v>
      </c>
      <c r="H163" s="4674">
        <f t="shared" ref="H163:K163" si="226">SUM(H160-H161)</f>
        <v>505.50400000000002</v>
      </c>
      <c r="I163" s="4674">
        <f t="shared" si="226"/>
        <v>495.58199999999999</v>
      </c>
      <c r="J163" s="4674">
        <f t="shared" si="226"/>
        <v>490.25900000000001</v>
      </c>
      <c r="K163" s="4674">
        <f t="shared" si="226"/>
        <v>1491.345</v>
      </c>
      <c r="L163" s="4676">
        <f>SUM(L11)</f>
        <v>2254.9315000000006</v>
      </c>
      <c r="M163" s="4676">
        <f t="shared" ref="M163" si="227">SUM(M160-M161)</f>
        <v>2890.232</v>
      </c>
      <c r="N163" s="4676">
        <f t="shared" si="222"/>
        <v>635.30049999999937</v>
      </c>
      <c r="O163" s="4674">
        <f>SUM(O11)</f>
        <v>1098.1712045000002</v>
      </c>
      <c r="P163" s="4674">
        <f t="shared" ref="P163:S163" si="228">SUM(P160-P161)</f>
        <v>0</v>
      </c>
      <c r="Q163" s="4674">
        <f t="shared" si="228"/>
        <v>0</v>
      </c>
      <c r="R163" s="4674">
        <f t="shared" si="228"/>
        <v>0</v>
      </c>
      <c r="S163" s="4674">
        <f t="shared" si="228"/>
        <v>0</v>
      </c>
      <c r="T163" s="4676">
        <f>SUM(T11)</f>
        <v>3353.102704500001</v>
      </c>
      <c r="U163" s="4676">
        <f t="shared" ref="U163" si="229">SUM(U160-U161)</f>
        <v>2890.232</v>
      </c>
      <c r="V163" s="4676">
        <f t="shared" si="219"/>
        <v>-462.87070450000101</v>
      </c>
      <c r="W163" s="4674">
        <f>SUM(W11)</f>
        <v>1156.7602955000002</v>
      </c>
      <c r="X163" s="4674">
        <f t="shared" ref="X163:AA163" si="230">SUM(X160-X161)</f>
        <v>0</v>
      </c>
      <c r="Y163" s="4674">
        <f t="shared" si="230"/>
        <v>0</v>
      </c>
      <c r="Z163" s="4674">
        <f t="shared" si="230"/>
        <v>0</v>
      </c>
      <c r="AA163" s="4674">
        <f t="shared" si="230"/>
        <v>0</v>
      </c>
      <c r="AB163" s="4676">
        <f>SUM(AB11)</f>
        <v>4509.8630000000003</v>
      </c>
      <c r="AC163" s="4676">
        <f t="shared" ref="AC163" si="231">SUM(AC160-AC161)</f>
        <v>2890.232</v>
      </c>
      <c r="AD163" s="4676">
        <f t="shared" si="220"/>
        <v>-1619.6310000000003</v>
      </c>
      <c r="AE163" s="4665"/>
      <c r="AF163" s="4665"/>
      <c r="AG163" s="4665"/>
      <c r="AH163" s="4665"/>
      <c r="AI163" s="4665"/>
      <c r="AJ163" s="4665"/>
      <c r="AK163" s="4665"/>
    </row>
    <row r="164" spans="1:37" ht="18.75">
      <c r="A164" s="4677" t="s">
        <v>51</v>
      </c>
      <c r="B164" s="4678">
        <f>SUM(B12)</f>
        <v>231.48748550000005</v>
      </c>
      <c r="C164" s="4678">
        <f>SUM(C163-C166)</f>
        <v>180.60400000000004</v>
      </c>
      <c r="D164" s="4678">
        <f t="shared" ref="D164:F164" si="232">SUM(D163-D166)</f>
        <v>106.23099999999999</v>
      </c>
      <c r="E164" s="4678">
        <f t="shared" si="232"/>
        <v>179.77199999999993</v>
      </c>
      <c r="F164" s="4678">
        <f t="shared" si="232"/>
        <v>466.60699999999997</v>
      </c>
      <c r="G164" s="4678">
        <f>SUM(G12)</f>
        <v>212.73401450000011</v>
      </c>
      <c r="H164" s="4678">
        <f t="shared" ref="H164:K164" si="233">SUM(H163-H166)</f>
        <v>184.98400000000004</v>
      </c>
      <c r="I164" s="4678">
        <f t="shared" si="233"/>
        <v>190.49200000000002</v>
      </c>
      <c r="J164" s="4678">
        <f t="shared" si="233"/>
        <v>165.279</v>
      </c>
      <c r="K164" s="4678">
        <f t="shared" si="233"/>
        <v>540.75499999999988</v>
      </c>
      <c r="L164" s="4680">
        <f>SUM(L12)</f>
        <v>444.22150000000016</v>
      </c>
      <c r="M164" s="4680">
        <f t="shared" ref="M164" si="234">SUM(M163-M166)</f>
        <v>1007.3620000000001</v>
      </c>
      <c r="N164" s="4680">
        <f t="shared" si="222"/>
        <v>563.14049999999997</v>
      </c>
      <c r="O164" s="4678">
        <f>SUM(O12)</f>
        <v>212.73401450000011</v>
      </c>
      <c r="P164" s="4678">
        <f t="shared" ref="P164:S164" si="235">SUM(P163-P166)</f>
        <v>0</v>
      </c>
      <c r="Q164" s="4678">
        <f t="shared" si="235"/>
        <v>0</v>
      </c>
      <c r="R164" s="4678">
        <f t="shared" si="235"/>
        <v>0</v>
      </c>
      <c r="S164" s="4678">
        <f t="shared" si="235"/>
        <v>0</v>
      </c>
      <c r="T164" s="4680">
        <f>SUM(T12)</f>
        <v>656.95551450000028</v>
      </c>
      <c r="U164" s="4680">
        <f t="shared" ref="U164" si="236">SUM(U163-U166)</f>
        <v>1007.3620000000001</v>
      </c>
      <c r="V164" s="4680">
        <f t="shared" si="219"/>
        <v>350.4064854999998</v>
      </c>
      <c r="W164" s="4678">
        <f>SUM(W12)</f>
        <v>231.48748550000005</v>
      </c>
      <c r="X164" s="4678">
        <f t="shared" ref="X164:AA164" si="237">SUM(X163-X166)</f>
        <v>0</v>
      </c>
      <c r="Y164" s="4678">
        <f t="shared" si="237"/>
        <v>0</v>
      </c>
      <c r="Z164" s="4678">
        <f t="shared" si="237"/>
        <v>0</v>
      </c>
      <c r="AA164" s="4678">
        <f t="shared" si="237"/>
        <v>0</v>
      </c>
      <c r="AB164" s="4680">
        <f>SUM(AB12)</f>
        <v>888.44300000000021</v>
      </c>
      <c r="AC164" s="4680">
        <f t="shared" ref="AC164" si="238">SUM(AC163-AC166)</f>
        <v>1007.3620000000001</v>
      </c>
      <c r="AD164" s="4680">
        <f t="shared" si="220"/>
        <v>118.91899999999987</v>
      </c>
      <c r="AE164" s="4665"/>
      <c r="AF164" s="4665"/>
      <c r="AG164" s="4665"/>
      <c r="AH164" s="4665"/>
      <c r="AI164" s="4665"/>
      <c r="AJ164" s="4665"/>
      <c r="AK164" s="4665"/>
    </row>
    <row r="165" spans="1:37" ht="18.75">
      <c r="A165" s="4681" t="s">
        <v>117</v>
      </c>
      <c r="B165" s="4682">
        <f>SUM(B164/B163)</f>
        <v>0.20011707386614741</v>
      </c>
      <c r="C165" s="4682">
        <f>SUM(C164/C163)</f>
        <v>0.36125568575051914</v>
      </c>
      <c r="D165" s="4682">
        <f t="shared" ref="D165:M165" si="239">SUM(D164/D163)</f>
        <v>0.25185099134425948</v>
      </c>
      <c r="E165" s="4682">
        <f t="shared" si="239"/>
        <v>0.37676044530883229</v>
      </c>
      <c r="F165" s="4682">
        <f t="shared" si="239"/>
        <v>0.33355589121923357</v>
      </c>
      <c r="G165" s="4682">
        <f t="shared" si="239"/>
        <v>0.19371662053082001</v>
      </c>
      <c r="H165" s="4682">
        <f t="shared" si="239"/>
        <v>0.36593973539279617</v>
      </c>
      <c r="I165" s="4682">
        <f t="shared" si="239"/>
        <v>0.38438038508258981</v>
      </c>
      <c r="J165" s="4682">
        <f t="shared" si="239"/>
        <v>0.33712588652120612</v>
      </c>
      <c r="K165" s="4682">
        <f t="shared" si="239"/>
        <v>0.36259550942270224</v>
      </c>
      <c r="L165" s="4683">
        <f t="shared" si="239"/>
        <v>0.19699999756090153</v>
      </c>
      <c r="M165" s="4683">
        <f t="shared" si="239"/>
        <v>0.34854018639334144</v>
      </c>
      <c r="N165" s="4707">
        <f t="shared" si="222"/>
        <v>0.15154018883243991</v>
      </c>
      <c r="O165" s="4682">
        <f t="shared" ref="O165:AC165" si="240">SUM(O164/O163)</f>
        <v>0.19371662053082006</v>
      </c>
      <c r="P165" s="4682" t="e">
        <f t="shared" si="240"/>
        <v>#DIV/0!</v>
      </c>
      <c r="Q165" s="4682" t="e">
        <f t="shared" si="240"/>
        <v>#DIV/0!</v>
      </c>
      <c r="R165" s="4682" t="e">
        <f t="shared" si="240"/>
        <v>#DIV/0!</v>
      </c>
      <c r="S165" s="4682" t="e">
        <f t="shared" si="240"/>
        <v>#DIV/0!</v>
      </c>
      <c r="T165" s="4683">
        <f t="shared" si="240"/>
        <v>0.19592466214003498</v>
      </c>
      <c r="U165" s="4683">
        <f t="shared" si="240"/>
        <v>0.34854018639334144</v>
      </c>
      <c r="V165" s="4707">
        <f t="shared" si="219"/>
        <v>0.15261552425330646</v>
      </c>
      <c r="W165" s="4682">
        <f t="shared" si="240"/>
        <v>0.20011707386614741</v>
      </c>
      <c r="X165" s="4682" t="e">
        <f t="shared" si="240"/>
        <v>#DIV/0!</v>
      </c>
      <c r="Y165" s="4682" t="e">
        <f t="shared" si="240"/>
        <v>#DIV/0!</v>
      </c>
      <c r="Z165" s="4682" t="e">
        <f t="shared" si="240"/>
        <v>#DIV/0!</v>
      </c>
      <c r="AA165" s="4682" t="e">
        <f t="shared" si="240"/>
        <v>#DIV/0!</v>
      </c>
      <c r="AB165" s="4683">
        <f t="shared" si="240"/>
        <v>0.19699999756090156</v>
      </c>
      <c r="AC165" s="4683">
        <f t="shared" si="240"/>
        <v>0.34854018639334144</v>
      </c>
      <c r="AD165" s="4707">
        <f t="shared" si="220"/>
        <v>0.15154018883243989</v>
      </c>
      <c r="AE165" s="4665"/>
      <c r="AF165" s="4665"/>
      <c r="AG165" s="4665"/>
      <c r="AH165" s="4665"/>
      <c r="AI165" s="4665"/>
      <c r="AJ165" s="4665"/>
      <c r="AK165" s="4665"/>
    </row>
    <row r="166" spans="1:37" ht="18.75">
      <c r="A166" s="4673" t="s">
        <v>1709</v>
      </c>
      <c r="B166" s="4674">
        <f>SUM(B14)</f>
        <v>925.27281000000016</v>
      </c>
      <c r="C166" s="4674">
        <f>SUM(C167+C168+C170)</f>
        <v>319.33</v>
      </c>
      <c r="D166" s="4674">
        <f t="shared" ref="D166:F166" si="241">SUM(D167+D168+D170)</f>
        <v>315.57</v>
      </c>
      <c r="E166" s="4674">
        <f t="shared" si="241"/>
        <v>297.38000000000005</v>
      </c>
      <c r="F166" s="4674">
        <f t="shared" si="241"/>
        <v>932.28</v>
      </c>
      <c r="G166" s="4674">
        <f>SUM(G14)</f>
        <v>885.4371900000001</v>
      </c>
      <c r="H166" s="4674">
        <f t="shared" ref="H166:K166" si="242">SUM(H167+H168+H170)</f>
        <v>320.52</v>
      </c>
      <c r="I166" s="4674">
        <f t="shared" si="242"/>
        <v>305.08999999999997</v>
      </c>
      <c r="J166" s="4674">
        <f t="shared" si="242"/>
        <v>324.98</v>
      </c>
      <c r="K166" s="4674">
        <f t="shared" si="242"/>
        <v>950.59000000000015</v>
      </c>
      <c r="L166" s="4676">
        <f>SUM(L14)</f>
        <v>1810.7100000000003</v>
      </c>
      <c r="M166" s="4676">
        <f t="shared" ref="M166" si="243">SUM(M167+M168+M170)</f>
        <v>1882.87</v>
      </c>
      <c r="N166" s="4676">
        <f t="shared" si="222"/>
        <v>72.159999999999627</v>
      </c>
      <c r="O166" s="4674">
        <f>SUM(O14)</f>
        <v>885.4371900000001</v>
      </c>
      <c r="P166" s="4674">
        <f t="shared" ref="P166:S166" si="244">SUM(P167+P168+P170)</f>
        <v>0</v>
      </c>
      <c r="Q166" s="4674">
        <f t="shared" si="244"/>
        <v>0</v>
      </c>
      <c r="R166" s="4674">
        <f t="shared" si="244"/>
        <v>0</v>
      </c>
      <c r="S166" s="4674">
        <f t="shared" si="244"/>
        <v>0</v>
      </c>
      <c r="T166" s="4676">
        <f>SUM(T14)</f>
        <v>2696.1471900000006</v>
      </c>
      <c r="U166" s="4676">
        <f t="shared" ref="U166" si="245">SUM(U167+U168+U170)</f>
        <v>1882.87</v>
      </c>
      <c r="V166" s="4676">
        <f t="shared" si="219"/>
        <v>-813.2771900000007</v>
      </c>
      <c r="W166" s="4674">
        <f>SUM(W14)</f>
        <v>925.27281000000016</v>
      </c>
      <c r="X166" s="4674">
        <f t="shared" ref="X166:AA166" si="246">SUM(X167+X168+X170)</f>
        <v>0</v>
      </c>
      <c r="Y166" s="4674">
        <f t="shared" si="246"/>
        <v>0</v>
      </c>
      <c r="Z166" s="4674">
        <f t="shared" si="246"/>
        <v>0</v>
      </c>
      <c r="AA166" s="4674">
        <f t="shared" si="246"/>
        <v>0</v>
      </c>
      <c r="AB166" s="4676">
        <f>SUM(AB14)</f>
        <v>3621.42</v>
      </c>
      <c r="AC166" s="4676">
        <f t="shared" ref="AC166" si="247">SUM(AC167+AC168+AC170)</f>
        <v>1882.87</v>
      </c>
      <c r="AD166" s="4676">
        <f t="shared" si="220"/>
        <v>-1738.5500000000002</v>
      </c>
      <c r="AE166" s="4665"/>
      <c r="AF166" s="4665"/>
      <c r="AG166" s="4665"/>
      <c r="AH166" s="4665"/>
      <c r="AI166" s="4665"/>
      <c r="AJ166" s="4665"/>
      <c r="AK166" s="4665"/>
    </row>
    <row r="167" spans="1:37" ht="18.75">
      <c r="A167" s="4677" t="s">
        <v>24</v>
      </c>
      <c r="B167" s="4678">
        <f>SUM(B15)</f>
        <v>602.98</v>
      </c>
      <c r="C167" s="4678">
        <f t="shared" ref="C167:E169" si="248">SUM(C15)</f>
        <v>213.77</v>
      </c>
      <c r="D167" s="4678">
        <f t="shared" si="248"/>
        <v>207.75</v>
      </c>
      <c r="E167" s="4678">
        <f t="shared" si="248"/>
        <v>196.9</v>
      </c>
      <c r="F167" s="4678">
        <f>SUM(C167:E167)</f>
        <v>618.41999999999996</v>
      </c>
      <c r="G167" s="4678">
        <f>SUM(G15)</f>
        <v>577.02</v>
      </c>
      <c r="H167" s="4678">
        <f t="shared" ref="H167:J169" si="249">SUM(H15)</f>
        <v>209.84</v>
      </c>
      <c r="I167" s="4678">
        <f t="shared" si="249"/>
        <v>200.96</v>
      </c>
      <c r="J167" s="4678">
        <f t="shared" si="249"/>
        <v>217.77</v>
      </c>
      <c r="K167" s="4678">
        <f>SUM(H167:J167)</f>
        <v>628.57000000000005</v>
      </c>
      <c r="L167" s="4680">
        <f>SUM(L15)</f>
        <v>1180</v>
      </c>
      <c r="M167" s="4680">
        <f>SUM(F167+K167)</f>
        <v>1246.99</v>
      </c>
      <c r="N167" s="4680">
        <f t="shared" si="222"/>
        <v>66.990000000000009</v>
      </c>
      <c r="O167" s="4678">
        <f>SUM(O15)</f>
        <v>577.02</v>
      </c>
      <c r="P167" s="4678">
        <f t="shared" ref="P167:R169" si="250">SUM(P15)</f>
        <v>0</v>
      </c>
      <c r="Q167" s="4678">
        <f t="shared" si="250"/>
        <v>0</v>
      </c>
      <c r="R167" s="4678">
        <f t="shared" si="250"/>
        <v>0</v>
      </c>
      <c r="S167" s="4678">
        <f>SUM(P167:R167)</f>
        <v>0</v>
      </c>
      <c r="T167" s="4680">
        <f>SUM(T15)</f>
        <v>1757.02</v>
      </c>
      <c r="U167" s="4680">
        <f>SUM(M167+S167)</f>
        <v>1246.99</v>
      </c>
      <c r="V167" s="4680">
        <f t="shared" si="219"/>
        <v>-510.03</v>
      </c>
      <c r="W167" s="4678">
        <f>SUM(W15)</f>
        <v>602.98</v>
      </c>
      <c r="X167" s="4678">
        <f t="shared" ref="X167:AA169" si="251">SUM(X15)</f>
        <v>0</v>
      </c>
      <c r="Y167" s="4678">
        <f t="shared" si="251"/>
        <v>0</v>
      </c>
      <c r="Z167" s="4678">
        <f t="shared" si="251"/>
        <v>0</v>
      </c>
      <c r="AA167" s="4678">
        <f t="shared" si="251"/>
        <v>0</v>
      </c>
      <c r="AB167" s="4680">
        <f>SUM(AB15)</f>
        <v>2360</v>
      </c>
      <c r="AC167" s="4680">
        <f>SUM(U167+AA167)</f>
        <v>1246.99</v>
      </c>
      <c r="AD167" s="4680">
        <f t="shared" si="220"/>
        <v>-1113.01</v>
      </c>
      <c r="AE167" s="4665"/>
      <c r="AF167" s="4665"/>
      <c r="AG167" s="4665"/>
      <c r="AH167" s="4665"/>
      <c r="AI167" s="4665"/>
      <c r="AJ167" s="4665"/>
      <c r="AK167" s="4665"/>
    </row>
    <row r="168" spans="1:37" ht="18.75">
      <c r="A168" s="4677" t="s">
        <v>1710</v>
      </c>
      <c r="B168" s="4678">
        <f>SUM(B16)</f>
        <v>240.53281000000001</v>
      </c>
      <c r="C168" s="4678">
        <f t="shared" si="248"/>
        <v>77.41</v>
      </c>
      <c r="D168" s="4678">
        <f t="shared" si="248"/>
        <v>79.62</v>
      </c>
      <c r="E168" s="4678">
        <f t="shared" si="248"/>
        <v>75.680000000000007</v>
      </c>
      <c r="F168" s="4678">
        <f>SUM(C168:E168)</f>
        <v>232.71</v>
      </c>
      <c r="G168" s="4678">
        <f>SUM(G16)</f>
        <v>230.17719</v>
      </c>
      <c r="H168" s="4678">
        <f t="shared" si="249"/>
        <v>84.91</v>
      </c>
      <c r="I168" s="4678">
        <f t="shared" si="249"/>
        <v>78.23</v>
      </c>
      <c r="J168" s="4678">
        <f t="shared" si="249"/>
        <v>80.42</v>
      </c>
      <c r="K168" s="4678">
        <f>SUM(H168:J168)</f>
        <v>243.56</v>
      </c>
      <c r="L168" s="4680">
        <f>SUM(L16)</f>
        <v>470.71000000000004</v>
      </c>
      <c r="M168" s="4680">
        <f>SUM(F168+K168)</f>
        <v>476.27</v>
      </c>
      <c r="N168" s="4680">
        <f t="shared" si="222"/>
        <v>5.5599999999999454</v>
      </c>
      <c r="O168" s="4678">
        <f>SUM(O16)</f>
        <v>230.17719</v>
      </c>
      <c r="P168" s="4678">
        <f t="shared" si="250"/>
        <v>0</v>
      </c>
      <c r="Q168" s="4678">
        <f t="shared" si="250"/>
        <v>0</v>
      </c>
      <c r="R168" s="4678">
        <f t="shared" si="250"/>
        <v>0</v>
      </c>
      <c r="S168" s="4678">
        <f>SUM(P168:R168)</f>
        <v>0</v>
      </c>
      <c r="T168" s="4680">
        <f>SUM(T16)</f>
        <v>700.88719000000003</v>
      </c>
      <c r="U168" s="4680">
        <f>SUM(M168+S168)</f>
        <v>476.27</v>
      </c>
      <c r="V168" s="4680">
        <f t="shared" si="219"/>
        <v>-224.61719000000005</v>
      </c>
      <c r="W168" s="4678">
        <f>SUM(W16)</f>
        <v>240.53281000000001</v>
      </c>
      <c r="X168" s="4678">
        <f t="shared" si="251"/>
        <v>0</v>
      </c>
      <c r="Y168" s="4678">
        <f t="shared" si="251"/>
        <v>0</v>
      </c>
      <c r="Z168" s="4678">
        <f t="shared" si="251"/>
        <v>0</v>
      </c>
      <c r="AA168" s="4678">
        <f t="shared" si="251"/>
        <v>0</v>
      </c>
      <c r="AB168" s="4680">
        <f>SUM(AB16)</f>
        <v>941.42</v>
      </c>
      <c r="AC168" s="4680">
        <f>SUM(U168+AA168)</f>
        <v>476.27</v>
      </c>
      <c r="AD168" s="4680">
        <f t="shared" si="220"/>
        <v>-465.15</v>
      </c>
      <c r="AE168" s="4665"/>
      <c r="AF168" s="4665"/>
      <c r="AG168" s="4665"/>
      <c r="AH168" s="4665"/>
      <c r="AI168" s="4665"/>
      <c r="AJ168" s="4665"/>
      <c r="AK168" s="4665"/>
    </row>
    <row r="169" spans="1:37" ht="18.75">
      <c r="A169" s="4681" t="s">
        <v>25</v>
      </c>
      <c r="B169" s="4678">
        <f>SUM(B17)</f>
        <v>5.3550000000000004</v>
      </c>
      <c r="C169" s="4678">
        <f t="shared" si="248"/>
        <v>0.14000000000000001</v>
      </c>
      <c r="D169" s="4678">
        <f t="shared" si="248"/>
        <v>0.18</v>
      </c>
      <c r="E169" s="4678">
        <f t="shared" si="248"/>
        <v>0.12</v>
      </c>
      <c r="F169" s="4678">
        <f>SUM(C169:E169)</f>
        <v>0.44</v>
      </c>
      <c r="G169" s="4678">
        <f>SUM(G17)</f>
        <v>5.3550000000000004</v>
      </c>
      <c r="H169" s="4678">
        <f t="shared" si="249"/>
        <v>0.32</v>
      </c>
      <c r="I169" s="4678">
        <f t="shared" si="249"/>
        <v>0.1</v>
      </c>
      <c r="J169" s="4678">
        <f t="shared" si="249"/>
        <v>0.09</v>
      </c>
      <c r="K169" s="4678">
        <f>SUM(H169:J169)</f>
        <v>0.51</v>
      </c>
      <c r="L169" s="4680">
        <f>SUM(L17)</f>
        <v>10.71</v>
      </c>
      <c r="M169" s="4680">
        <f>SUM(F169+K169)</f>
        <v>0.95</v>
      </c>
      <c r="N169" s="4680">
        <f t="shared" si="222"/>
        <v>-9.7600000000000016</v>
      </c>
      <c r="O169" s="4678">
        <f>SUM(O17)</f>
        <v>5.3550000000000004</v>
      </c>
      <c r="P169" s="4678">
        <f t="shared" si="250"/>
        <v>0</v>
      </c>
      <c r="Q169" s="4678">
        <f t="shared" si="250"/>
        <v>0</v>
      </c>
      <c r="R169" s="4678">
        <f t="shared" si="250"/>
        <v>0</v>
      </c>
      <c r="S169" s="4678">
        <f>SUM(P169:R169)</f>
        <v>0</v>
      </c>
      <c r="T169" s="4680">
        <f>SUM(T17)</f>
        <v>16.065000000000001</v>
      </c>
      <c r="U169" s="4680">
        <f>SUM(M169+S169)</f>
        <v>0.95</v>
      </c>
      <c r="V169" s="4680">
        <f t="shared" si="219"/>
        <v>-15.115000000000002</v>
      </c>
      <c r="W169" s="4678">
        <f>SUM(W17)</f>
        <v>5.3550000000000004</v>
      </c>
      <c r="X169" s="4678">
        <f t="shared" si="251"/>
        <v>0</v>
      </c>
      <c r="Y169" s="4678">
        <f t="shared" si="251"/>
        <v>0</v>
      </c>
      <c r="Z169" s="4678">
        <f t="shared" si="251"/>
        <v>0</v>
      </c>
      <c r="AA169" s="4678">
        <f t="shared" si="251"/>
        <v>0</v>
      </c>
      <c r="AB169" s="4680">
        <f>SUM(AB17)</f>
        <v>21.42</v>
      </c>
      <c r="AC169" s="4680">
        <f>SUM(U169+AA169)</f>
        <v>0.95</v>
      </c>
      <c r="AD169" s="4680">
        <f t="shared" si="220"/>
        <v>-20.470000000000002</v>
      </c>
      <c r="AE169" s="4665"/>
      <c r="AF169" s="4665"/>
      <c r="AG169" s="4665"/>
      <c r="AH169" s="4665"/>
      <c r="AI169" s="4665"/>
      <c r="AJ169" s="4665"/>
      <c r="AK169" s="4665"/>
    </row>
    <row r="170" spans="1:37" ht="18.75">
      <c r="A170" s="4673" t="s">
        <v>1711</v>
      </c>
      <c r="B170" s="4674">
        <f t="shared" ref="B170:E172" si="252">SUM(B18)</f>
        <v>81.760000000000005</v>
      </c>
      <c r="C170" s="4674">
        <f>SUM(C171:C172)</f>
        <v>28.15</v>
      </c>
      <c r="D170" s="4674">
        <f t="shared" ref="D170:F170" si="253">SUM(D171:D172)</f>
        <v>28.2</v>
      </c>
      <c r="E170" s="4674">
        <f t="shared" si="253"/>
        <v>24.8</v>
      </c>
      <c r="F170" s="4674">
        <f t="shared" si="253"/>
        <v>81.149999999999991</v>
      </c>
      <c r="G170" s="4674">
        <f t="shared" ref="G170:J172" si="254">SUM(G18)</f>
        <v>78.240000000000009</v>
      </c>
      <c r="H170" s="4674">
        <f t="shared" ref="H170:K170" si="255">SUM(H171:H172)</f>
        <v>25.77</v>
      </c>
      <c r="I170" s="4674">
        <f t="shared" si="255"/>
        <v>25.9</v>
      </c>
      <c r="J170" s="4674">
        <f t="shared" si="255"/>
        <v>26.79</v>
      </c>
      <c r="K170" s="4674">
        <f t="shared" si="255"/>
        <v>78.460000000000008</v>
      </c>
      <c r="L170" s="4676">
        <f t="shared" ref="L170:L172" si="256">SUM(L18)</f>
        <v>160</v>
      </c>
      <c r="M170" s="4676">
        <f t="shared" ref="M170" si="257">SUM(M171:M172)</f>
        <v>159.61000000000001</v>
      </c>
      <c r="N170" s="4676">
        <f t="shared" si="222"/>
        <v>-0.38999999999998636</v>
      </c>
      <c r="O170" s="4674">
        <f t="shared" ref="O170:R172" si="258">SUM(O18)</f>
        <v>78.240000000000009</v>
      </c>
      <c r="P170" s="4674">
        <f t="shared" ref="P170:S170" si="259">SUM(P171:P172)</f>
        <v>0</v>
      </c>
      <c r="Q170" s="4674">
        <f t="shared" si="259"/>
        <v>0</v>
      </c>
      <c r="R170" s="4674">
        <f t="shared" si="259"/>
        <v>0</v>
      </c>
      <c r="S170" s="4674">
        <f t="shared" si="259"/>
        <v>0</v>
      </c>
      <c r="T170" s="4676">
        <f t="shared" ref="T170:T172" si="260">SUM(T18)</f>
        <v>238.24</v>
      </c>
      <c r="U170" s="4676">
        <f t="shared" ref="U170" si="261">SUM(U171:U172)</f>
        <v>159.61000000000001</v>
      </c>
      <c r="V170" s="4676">
        <f t="shared" si="219"/>
        <v>-78.63</v>
      </c>
      <c r="W170" s="4674">
        <f t="shared" ref="W170:Z172" si="262">SUM(W18)</f>
        <v>81.760000000000005</v>
      </c>
      <c r="X170" s="4674">
        <f t="shared" ref="X170:AA170" si="263">SUM(X171:X172)</f>
        <v>0</v>
      </c>
      <c r="Y170" s="4674">
        <f t="shared" si="263"/>
        <v>0</v>
      </c>
      <c r="Z170" s="4674">
        <f t="shared" si="263"/>
        <v>0</v>
      </c>
      <c r="AA170" s="4674">
        <f t="shared" si="263"/>
        <v>0</v>
      </c>
      <c r="AB170" s="4676">
        <f t="shared" ref="AB170:AB172" si="264">SUM(AB18)</f>
        <v>320</v>
      </c>
      <c r="AC170" s="4676">
        <f t="shared" ref="AC170" si="265">SUM(AC171:AC172)</f>
        <v>159.61000000000001</v>
      </c>
      <c r="AD170" s="4676">
        <f t="shared" si="220"/>
        <v>-160.38999999999999</v>
      </c>
      <c r="AE170" s="4665"/>
      <c r="AF170" s="4665"/>
      <c r="AG170" s="4665"/>
      <c r="AH170" s="4665"/>
      <c r="AI170" s="4665"/>
      <c r="AJ170" s="4665"/>
      <c r="AK170" s="4665"/>
    </row>
    <row r="171" spans="1:37" ht="18.75">
      <c r="A171" s="4681" t="s">
        <v>654</v>
      </c>
      <c r="B171" s="4684">
        <f t="shared" si="252"/>
        <v>81.760000000000005</v>
      </c>
      <c r="C171" s="4684">
        <f t="shared" ref="C171:E171" si="266">SUM(C19)</f>
        <v>28.15</v>
      </c>
      <c r="D171" s="4684">
        <f t="shared" si="266"/>
        <v>28.2</v>
      </c>
      <c r="E171" s="4684">
        <f t="shared" si="266"/>
        <v>24.8</v>
      </c>
      <c r="F171" s="4684">
        <f>SUM(C171:E171)</f>
        <v>81.149999999999991</v>
      </c>
      <c r="G171" s="4684">
        <f t="shared" si="254"/>
        <v>78.240000000000009</v>
      </c>
      <c r="H171" s="4684">
        <f t="shared" si="254"/>
        <v>25.77</v>
      </c>
      <c r="I171" s="4684">
        <f t="shared" si="254"/>
        <v>25.9</v>
      </c>
      <c r="J171" s="4684">
        <f t="shared" si="254"/>
        <v>26.79</v>
      </c>
      <c r="K171" s="4684">
        <f>SUM(H171:J171)</f>
        <v>78.460000000000008</v>
      </c>
      <c r="L171" s="4686">
        <f t="shared" si="256"/>
        <v>160</v>
      </c>
      <c r="M171" s="4686">
        <f>SUM(F171+K171)</f>
        <v>159.61000000000001</v>
      </c>
      <c r="N171" s="4686">
        <f t="shared" si="222"/>
        <v>-0.38999999999998636</v>
      </c>
      <c r="O171" s="4684">
        <f t="shared" si="258"/>
        <v>78.240000000000009</v>
      </c>
      <c r="P171" s="4684">
        <f t="shared" si="258"/>
        <v>0</v>
      </c>
      <c r="Q171" s="4684">
        <f t="shared" si="258"/>
        <v>0</v>
      </c>
      <c r="R171" s="4684">
        <f t="shared" si="258"/>
        <v>0</v>
      </c>
      <c r="S171" s="4684">
        <f>SUM(P171:R171)</f>
        <v>0</v>
      </c>
      <c r="T171" s="4686">
        <f t="shared" si="260"/>
        <v>238.24</v>
      </c>
      <c r="U171" s="4686">
        <f>SUM(M171+S171)</f>
        <v>159.61000000000001</v>
      </c>
      <c r="V171" s="4686">
        <f t="shared" si="219"/>
        <v>-78.63</v>
      </c>
      <c r="W171" s="4684">
        <f t="shared" si="262"/>
        <v>81.760000000000005</v>
      </c>
      <c r="X171" s="4684">
        <f t="shared" si="262"/>
        <v>0</v>
      </c>
      <c r="Y171" s="4684">
        <f t="shared" si="262"/>
        <v>0</v>
      </c>
      <c r="Z171" s="4684">
        <f t="shared" si="262"/>
        <v>0</v>
      </c>
      <c r="AA171" s="4684">
        <f>SUM(X171:Z171)</f>
        <v>0</v>
      </c>
      <c r="AB171" s="4686">
        <f t="shared" si="264"/>
        <v>320</v>
      </c>
      <c r="AC171" s="4686">
        <f>SUM(U171+AA171)</f>
        <v>159.61000000000001</v>
      </c>
      <c r="AD171" s="4686">
        <f t="shared" si="220"/>
        <v>-160.38999999999999</v>
      </c>
      <c r="AE171" s="4665"/>
      <c r="AF171" s="4665"/>
      <c r="AG171" s="4665"/>
      <c r="AH171" s="4665"/>
      <c r="AI171" s="4665"/>
      <c r="AJ171" s="4665"/>
      <c r="AK171" s="4665"/>
    </row>
    <row r="172" spans="1:37" ht="18.75">
      <c r="A172" s="4681" t="s">
        <v>655</v>
      </c>
      <c r="B172" s="4684">
        <f t="shared" si="252"/>
        <v>0</v>
      </c>
      <c r="C172" s="4684">
        <f t="shared" si="252"/>
        <v>0</v>
      </c>
      <c r="D172" s="4684">
        <f t="shared" si="252"/>
        <v>0</v>
      </c>
      <c r="E172" s="4684">
        <f t="shared" si="252"/>
        <v>0</v>
      </c>
      <c r="F172" s="4684">
        <f>SUM(C172:E172)</f>
        <v>0</v>
      </c>
      <c r="G172" s="4684">
        <f t="shared" si="254"/>
        <v>0</v>
      </c>
      <c r="H172" s="4684">
        <f t="shared" si="254"/>
        <v>0</v>
      </c>
      <c r="I172" s="4684">
        <f t="shared" si="254"/>
        <v>0</v>
      </c>
      <c r="J172" s="4684">
        <f t="shared" si="254"/>
        <v>0</v>
      </c>
      <c r="K172" s="4684">
        <f>SUM(H172:J172)</f>
        <v>0</v>
      </c>
      <c r="L172" s="4686">
        <f t="shared" si="256"/>
        <v>0</v>
      </c>
      <c r="M172" s="4686">
        <f>SUM(F172+K172)</f>
        <v>0</v>
      </c>
      <c r="N172" s="4686">
        <f t="shared" si="222"/>
        <v>0</v>
      </c>
      <c r="O172" s="4684">
        <f t="shared" si="258"/>
        <v>0</v>
      </c>
      <c r="P172" s="4684">
        <f t="shared" si="258"/>
        <v>0</v>
      </c>
      <c r="Q172" s="4684">
        <f t="shared" si="258"/>
        <v>0</v>
      </c>
      <c r="R172" s="4684">
        <f t="shared" si="258"/>
        <v>0</v>
      </c>
      <c r="S172" s="4684">
        <f>SUM(P172:R172)</f>
        <v>0</v>
      </c>
      <c r="T172" s="4686">
        <f t="shared" si="260"/>
        <v>0</v>
      </c>
      <c r="U172" s="4686">
        <f>SUM(M172+S172)</f>
        <v>0</v>
      </c>
      <c r="V172" s="4686">
        <f t="shared" si="219"/>
        <v>0</v>
      </c>
      <c r="W172" s="4684">
        <f t="shared" si="262"/>
        <v>0</v>
      </c>
      <c r="X172" s="4684">
        <f t="shared" si="262"/>
        <v>0</v>
      </c>
      <c r="Y172" s="4684">
        <f t="shared" si="262"/>
        <v>0</v>
      </c>
      <c r="Z172" s="4684">
        <f t="shared" si="262"/>
        <v>0</v>
      </c>
      <c r="AA172" s="4684">
        <f>SUM(X172:Z172)</f>
        <v>0</v>
      </c>
      <c r="AB172" s="4686">
        <f t="shared" si="264"/>
        <v>0</v>
      </c>
      <c r="AC172" s="4686">
        <f>SUM(U172+AA172)</f>
        <v>0</v>
      </c>
      <c r="AD172" s="4686">
        <f t="shared" si="220"/>
        <v>0</v>
      </c>
      <c r="AE172" s="4665"/>
      <c r="AF172" s="4665"/>
      <c r="AG172" s="4665"/>
      <c r="AH172" s="4665"/>
      <c r="AI172" s="4665"/>
      <c r="AJ172" s="4665"/>
      <c r="AK172" s="4665"/>
    </row>
    <row r="173" spans="1:37" ht="18" customHeight="1">
      <c r="A173" s="4668" t="s">
        <v>1992</v>
      </c>
      <c r="B173" s="4687"/>
      <c r="C173" s="4687"/>
      <c r="D173" s="4687"/>
      <c r="E173" s="4687"/>
      <c r="F173" s="4687"/>
      <c r="G173" s="4687"/>
      <c r="H173" s="4687"/>
      <c r="I173" s="4687"/>
      <c r="J173" s="4687"/>
      <c r="K173" s="4687"/>
      <c r="L173" s="4687"/>
      <c r="M173" s="4687"/>
      <c r="N173" s="4687"/>
      <c r="O173" s="4687"/>
      <c r="P173" s="4687"/>
      <c r="Q173" s="4687"/>
      <c r="R173" s="4687"/>
      <c r="S173" s="4687"/>
      <c r="T173" s="4687"/>
      <c r="U173" s="4687"/>
      <c r="V173" s="4687"/>
      <c r="W173" s="4687"/>
      <c r="X173" s="4687"/>
      <c r="Y173" s="4687"/>
      <c r="Z173" s="4687"/>
      <c r="AA173" s="4687"/>
      <c r="AB173" s="4687"/>
      <c r="AC173" s="4687"/>
      <c r="AD173" s="4688"/>
      <c r="AE173" s="4665"/>
      <c r="AF173" s="4665"/>
      <c r="AG173" s="4665"/>
      <c r="AH173" s="4665"/>
      <c r="AI173" s="4665"/>
      <c r="AJ173" s="4665"/>
      <c r="AK173" s="4665"/>
    </row>
    <row r="174" spans="1:37" ht="18" customHeight="1">
      <c r="A174" s="4930" t="s">
        <v>545</v>
      </c>
      <c r="B174" s="4928" t="s">
        <v>1983</v>
      </c>
      <c r="C174" s="4928"/>
      <c r="D174" s="4928"/>
      <c r="E174" s="4928"/>
      <c r="F174" s="4928"/>
      <c r="G174" s="4928" t="s">
        <v>1984</v>
      </c>
      <c r="H174" s="4928"/>
      <c r="I174" s="4928"/>
      <c r="J174" s="4928"/>
      <c r="K174" s="4928"/>
      <c r="L174" s="4932" t="s">
        <v>1985</v>
      </c>
      <c r="M174" s="4932"/>
      <c r="N174" s="4932"/>
      <c r="O174" s="4928" t="s">
        <v>1986</v>
      </c>
      <c r="P174" s="4928"/>
      <c r="Q174" s="4928"/>
      <c r="R174" s="4928"/>
      <c r="S174" s="4928"/>
      <c r="T174" s="4926" t="s">
        <v>1987</v>
      </c>
      <c r="U174" s="4926"/>
      <c r="V174" s="4926"/>
      <c r="W174" s="4928" t="s">
        <v>1988</v>
      </c>
      <c r="X174" s="4928"/>
      <c r="Y174" s="4928"/>
      <c r="Z174" s="4928"/>
      <c r="AA174" s="4928"/>
      <c r="AB174" s="4926" t="s">
        <v>886</v>
      </c>
      <c r="AC174" s="4926"/>
      <c r="AD174" s="4926"/>
      <c r="AE174" s="4665"/>
      <c r="AF174" s="4665"/>
      <c r="AG174" s="4665"/>
      <c r="AH174" s="4665"/>
      <c r="AI174" s="4665"/>
      <c r="AJ174" s="4665"/>
      <c r="AK174" s="4665"/>
    </row>
    <row r="175" spans="1:37" ht="12.75" customHeight="1">
      <c r="A175" s="4931"/>
      <c r="B175" s="4927" t="s">
        <v>1989</v>
      </c>
      <c r="C175" s="4928" t="s">
        <v>586</v>
      </c>
      <c r="D175" s="4928" t="s">
        <v>587</v>
      </c>
      <c r="E175" s="4928" t="s">
        <v>588</v>
      </c>
      <c r="F175" s="4927" t="s">
        <v>1990</v>
      </c>
      <c r="G175" s="4927" t="s">
        <v>1989</v>
      </c>
      <c r="H175" s="4928" t="s">
        <v>1562</v>
      </c>
      <c r="I175" s="4928" t="s">
        <v>590</v>
      </c>
      <c r="J175" s="4928" t="s">
        <v>591</v>
      </c>
      <c r="K175" s="4927" t="s">
        <v>1990</v>
      </c>
      <c r="L175" s="4929" t="s">
        <v>1989</v>
      </c>
      <c r="M175" s="4929" t="s">
        <v>1990</v>
      </c>
      <c r="N175" s="4926" t="s">
        <v>1991</v>
      </c>
      <c r="O175" s="4927" t="s">
        <v>1989</v>
      </c>
      <c r="P175" s="4928" t="s">
        <v>592</v>
      </c>
      <c r="Q175" s="4928" t="s">
        <v>593</v>
      </c>
      <c r="R175" s="4928" t="s">
        <v>594</v>
      </c>
      <c r="S175" s="4927" t="s">
        <v>1990</v>
      </c>
      <c r="T175" s="4929" t="s">
        <v>1989</v>
      </c>
      <c r="U175" s="4929" t="s">
        <v>1990</v>
      </c>
      <c r="V175" s="4926" t="s">
        <v>1991</v>
      </c>
      <c r="W175" s="4927" t="s">
        <v>1989</v>
      </c>
      <c r="X175" s="4928" t="s">
        <v>595</v>
      </c>
      <c r="Y175" s="4928" t="s">
        <v>596</v>
      </c>
      <c r="Z175" s="4928" t="s">
        <v>597</v>
      </c>
      <c r="AA175" s="4927" t="s">
        <v>1990</v>
      </c>
      <c r="AB175" s="4929" t="s">
        <v>1989</v>
      </c>
      <c r="AC175" s="4929" t="s">
        <v>1990</v>
      </c>
      <c r="AD175" s="4926" t="s">
        <v>1991</v>
      </c>
      <c r="AE175" s="4665"/>
      <c r="AF175" s="4665"/>
      <c r="AG175" s="4665"/>
      <c r="AH175" s="4665"/>
      <c r="AI175" s="4665"/>
      <c r="AJ175" s="4665"/>
      <c r="AK175" s="4665"/>
    </row>
    <row r="176" spans="1:37" ht="12.75" customHeight="1">
      <c r="A176" s="4931"/>
      <c r="B176" s="4927"/>
      <c r="C176" s="4928"/>
      <c r="D176" s="4928"/>
      <c r="E176" s="4928"/>
      <c r="F176" s="4927"/>
      <c r="G176" s="4927"/>
      <c r="H176" s="4928"/>
      <c r="I176" s="4928"/>
      <c r="J176" s="4928"/>
      <c r="K176" s="4927"/>
      <c r="L176" s="4929"/>
      <c r="M176" s="4929"/>
      <c r="N176" s="4926"/>
      <c r="O176" s="4927"/>
      <c r="P176" s="4928"/>
      <c r="Q176" s="4928"/>
      <c r="R176" s="4928"/>
      <c r="S176" s="4927"/>
      <c r="T176" s="4929"/>
      <c r="U176" s="4929"/>
      <c r="V176" s="4926"/>
      <c r="W176" s="4927"/>
      <c r="X176" s="4928"/>
      <c r="Y176" s="4928"/>
      <c r="Z176" s="4928"/>
      <c r="AA176" s="4927"/>
      <c r="AB176" s="4929"/>
      <c r="AC176" s="4929"/>
      <c r="AD176" s="4926"/>
      <c r="AE176" s="4665"/>
      <c r="AF176" s="4665"/>
      <c r="AG176" s="4665"/>
      <c r="AH176" s="4665"/>
      <c r="AI176" s="4665"/>
      <c r="AJ176" s="4665"/>
      <c r="AK176" s="4665"/>
    </row>
    <row r="177" spans="1:37" ht="18.75">
      <c r="A177" s="4691" t="s">
        <v>1</v>
      </c>
      <c r="B177" s="4708">
        <f>SUM(B26+B50)</f>
        <v>2232.580914411561</v>
      </c>
      <c r="C177" s="4708">
        <f t="shared" ref="C177:K177" si="267">SUM(C26+C50)</f>
        <v>941.03</v>
      </c>
      <c r="D177" s="4708">
        <f t="shared" si="267"/>
        <v>860.23</v>
      </c>
      <c r="E177" s="4708">
        <f t="shared" si="267"/>
        <v>880.24</v>
      </c>
      <c r="F177" s="4708">
        <f t="shared" si="267"/>
        <v>2681.5</v>
      </c>
      <c r="G177" s="4708">
        <f>SUM(G26+G50)</f>
        <v>2126.982747286077</v>
      </c>
      <c r="H177" s="4708">
        <f t="shared" si="267"/>
        <v>909.62</v>
      </c>
      <c r="I177" s="4708">
        <f t="shared" si="267"/>
        <v>1146.6100000000001</v>
      </c>
      <c r="J177" s="4708">
        <f t="shared" si="267"/>
        <v>953.06999999999994</v>
      </c>
      <c r="K177" s="4708">
        <f t="shared" si="267"/>
        <v>3009.3</v>
      </c>
      <c r="L177" s="4709">
        <f>SUM(L26+L50)</f>
        <v>4359.563661697639</v>
      </c>
      <c r="M177" s="4709">
        <f t="shared" ref="M177" si="268">SUM(M26+M50)</f>
        <v>5690.7999999999993</v>
      </c>
      <c r="N177" s="4680">
        <f t="shared" ref="N177:N210" si="269">SUM(M177-L177)</f>
        <v>1331.2363383023603</v>
      </c>
      <c r="O177" s="4708">
        <f>SUM(O26+O50)</f>
        <v>2275.8715395961026</v>
      </c>
      <c r="P177" s="4708">
        <f t="shared" ref="P177:S177" si="270">SUM(P26+P50)</f>
        <v>0</v>
      </c>
      <c r="Q177" s="4708">
        <f t="shared" si="270"/>
        <v>0</v>
      </c>
      <c r="R177" s="4708">
        <f t="shared" si="270"/>
        <v>0</v>
      </c>
      <c r="S177" s="4708">
        <f t="shared" si="270"/>
        <v>0</v>
      </c>
      <c r="T177" s="4709">
        <f>SUM(T26+T50)</f>
        <v>6635.4352012937416</v>
      </c>
      <c r="U177" s="4709">
        <f t="shared" ref="U177" si="271">SUM(U26+U50)</f>
        <v>5690.7999999999993</v>
      </c>
      <c r="V177" s="4680">
        <f t="shared" ref="V177:V210" si="272">SUM(U177-T177)</f>
        <v>-944.63520129374228</v>
      </c>
      <c r="W177" s="4708">
        <f>SUM(W26+W50)</f>
        <v>2388.8615784203703</v>
      </c>
      <c r="X177" s="4708">
        <f t="shared" ref="X177:AA177" si="273">SUM(X26+X50)</f>
        <v>0</v>
      </c>
      <c r="Y177" s="4708">
        <f t="shared" si="273"/>
        <v>0</v>
      </c>
      <c r="Z177" s="4708">
        <f t="shared" si="273"/>
        <v>0</v>
      </c>
      <c r="AA177" s="4708">
        <f t="shared" si="273"/>
        <v>0</v>
      </c>
      <c r="AB177" s="4709">
        <f>SUM(AB26+AB50)</f>
        <v>9024.296779152719</v>
      </c>
      <c r="AC177" s="4709">
        <f t="shared" ref="AC177" si="274">SUM(AC26+AC50)</f>
        <v>5690.7999999999993</v>
      </c>
      <c r="AD177" s="4680">
        <f t="shared" ref="AD177:AD210" si="275">SUM(AC177-AB177)</f>
        <v>-3333.4967791527197</v>
      </c>
      <c r="AE177" s="4665"/>
      <c r="AF177" s="4665"/>
      <c r="AG177" s="4665"/>
      <c r="AH177" s="4665"/>
      <c r="AI177" s="4665"/>
      <c r="AJ177" s="4665"/>
      <c r="AK177" s="4665"/>
    </row>
    <row r="178" spans="1:37" ht="18.75">
      <c r="A178" s="4691" t="s">
        <v>2</v>
      </c>
      <c r="B178" s="4708">
        <f t="shared" ref="B178:M179" si="276">SUM(B27+B52+B88+B111)</f>
        <v>2124.4750000000004</v>
      </c>
      <c r="C178" s="4708">
        <f t="shared" si="276"/>
        <v>745.78</v>
      </c>
      <c r="D178" s="4708">
        <f t="shared" si="276"/>
        <v>743.83</v>
      </c>
      <c r="E178" s="4708">
        <f t="shared" si="276"/>
        <v>743.83</v>
      </c>
      <c r="F178" s="4708">
        <f t="shared" si="276"/>
        <v>2233.44</v>
      </c>
      <c r="G178" s="4708">
        <f t="shared" si="276"/>
        <v>2124.4750000000004</v>
      </c>
      <c r="H178" s="4708">
        <f t="shared" si="276"/>
        <v>798.78</v>
      </c>
      <c r="I178" s="4708">
        <f t="shared" si="276"/>
        <v>798.77</v>
      </c>
      <c r="J178" s="4708">
        <f t="shared" si="276"/>
        <v>801.94</v>
      </c>
      <c r="K178" s="4708">
        <f t="shared" si="276"/>
        <v>2399.4899999999998</v>
      </c>
      <c r="L178" s="4709">
        <f t="shared" si="276"/>
        <v>4248.9500000000007</v>
      </c>
      <c r="M178" s="4709">
        <f t="shared" si="276"/>
        <v>4632.9299999999994</v>
      </c>
      <c r="N178" s="4680">
        <f t="shared" si="269"/>
        <v>383.97999999999865</v>
      </c>
      <c r="O178" s="4708">
        <f t="shared" ref="O178:U179" si="277">SUM(O27+O52+O88+O111)</f>
        <v>2124.4750000000004</v>
      </c>
      <c r="P178" s="4708">
        <f t="shared" si="277"/>
        <v>0</v>
      </c>
      <c r="Q178" s="4708">
        <f t="shared" si="277"/>
        <v>0</v>
      </c>
      <c r="R178" s="4708">
        <f t="shared" si="277"/>
        <v>0</v>
      </c>
      <c r="S178" s="4708">
        <f t="shared" si="277"/>
        <v>0</v>
      </c>
      <c r="T178" s="4709">
        <f t="shared" si="277"/>
        <v>6373.4249999999993</v>
      </c>
      <c r="U178" s="4709">
        <f t="shared" si="277"/>
        <v>4632.9299999999994</v>
      </c>
      <c r="V178" s="4680">
        <f t="shared" si="272"/>
        <v>-1740.4949999999999</v>
      </c>
      <c r="W178" s="4708">
        <f t="shared" ref="W178:AC179" si="278">SUM(W27+W52+W88+W111)</f>
        <v>2124.4750000000004</v>
      </c>
      <c r="X178" s="4708">
        <f t="shared" si="278"/>
        <v>0</v>
      </c>
      <c r="Y178" s="4708">
        <f t="shared" si="278"/>
        <v>0</v>
      </c>
      <c r="Z178" s="4708">
        <f t="shared" si="278"/>
        <v>0</v>
      </c>
      <c r="AA178" s="4708">
        <f t="shared" si="278"/>
        <v>0</v>
      </c>
      <c r="AB178" s="4709">
        <f t="shared" si="278"/>
        <v>8497.9000000000015</v>
      </c>
      <c r="AC178" s="4709">
        <f t="shared" si="278"/>
        <v>4632.9299999999994</v>
      </c>
      <c r="AD178" s="4680">
        <f t="shared" si="275"/>
        <v>-3864.9700000000021</v>
      </c>
      <c r="AE178" s="4665"/>
      <c r="AF178" s="4665"/>
      <c r="AG178" s="4665"/>
      <c r="AH178" s="4665"/>
      <c r="AI178" s="4665"/>
      <c r="AJ178" s="4665"/>
      <c r="AK178" s="4665"/>
    </row>
    <row r="179" spans="1:37" ht="18.75">
      <c r="A179" s="4753" t="s">
        <v>2046</v>
      </c>
      <c r="B179" s="4708">
        <f t="shared" si="276"/>
        <v>0</v>
      </c>
      <c r="C179" s="4708">
        <f t="shared" si="276"/>
        <v>0</v>
      </c>
      <c r="D179" s="4708">
        <f t="shared" si="276"/>
        <v>0</v>
      </c>
      <c r="E179" s="4708">
        <f t="shared" si="276"/>
        <v>10.91</v>
      </c>
      <c r="F179" s="4708">
        <f t="shared" si="276"/>
        <v>10.91</v>
      </c>
      <c r="G179" s="4708">
        <f t="shared" si="276"/>
        <v>0</v>
      </c>
      <c r="H179" s="4708">
        <f t="shared" si="276"/>
        <v>0</v>
      </c>
      <c r="I179" s="4708">
        <f t="shared" si="276"/>
        <v>0</v>
      </c>
      <c r="J179" s="4708">
        <f t="shared" si="276"/>
        <v>0</v>
      </c>
      <c r="K179" s="4708">
        <f t="shared" si="276"/>
        <v>0</v>
      </c>
      <c r="L179" s="4709">
        <f t="shared" si="276"/>
        <v>0</v>
      </c>
      <c r="M179" s="4709">
        <f t="shared" si="276"/>
        <v>10.91</v>
      </c>
      <c r="N179" s="4680">
        <f t="shared" si="269"/>
        <v>10.91</v>
      </c>
      <c r="O179" s="4708">
        <f t="shared" si="277"/>
        <v>0</v>
      </c>
      <c r="P179" s="4708">
        <f t="shared" si="277"/>
        <v>0</v>
      </c>
      <c r="Q179" s="4708">
        <f t="shared" si="277"/>
        <v>0</v>
      </c>
      <c r="R179" s="4708">
        <f t="shared" si="277"/>
        <v>0</v>
      </c>
      <c r="S179" s="4708">
        <f t="shared" si="277"/>
        <v>0</v>
      </c>
      <c r="T179" s="4709">
        <f t="shared" si="277"/>
        <v>0</v>
      </c>
      <c r="U179" s="4709">
        <f t="shared" si="277"/>
        <v>10.91</v>
      </c>
      <c r="V179" s="4680">
        <f t="shared" si="272"/>
        <v>10.91</v>
      </c>
      <c r="W179" s="4708">
        <f t="shared" si="278"/>
        <v>0</v>
      </c>
      <c r="X179" s="4708">
        <f t="shared" si="278"/>
        <v>0</v>
      </c>
      <c r="Y179" s="4708">
        <f t="shared" si="278"/>
        <v>0</v>
      </c>
      <c r="Z179" s="4708">
        <f t="shared" si="278"/>
        <v>0</v>
      </c>
      <c r="AA179" s="4708">
        <f t="shared" si="278"/>
        <v>0</v>
      </c>
      <c r="AB179" s="4709">
        <f t="shared" si="278"/>
        <v>0</v>
      </c>
      <c r="AC179" s="4709">
        <f t="shared" si="278"/>
        <v>10.91</v>
      </c>
      <c r="AD179" s="4680">
        <f t="shared" si="275"/>
        <v>10.91</v>
      </c>
      <c r="AE179" s="4665"/>
      <c r="AF179" s="4665"/>
      <c r="AG179" s="4665"/>
      <c r="AH179" s="4665"/>
      <c r="AI179" s="4665"/>
      <c r="AJ179" s="4665"/>
      <c r="AK179" s="4665"/>
    </row>
    <row r="180" spans="1:37" ht="18.75">
      <c r="A180" s="4691" t="s">
        <v>3</v>
      </c>
      <c r="B180" s="4708">
        <f>SUM(B29+B54+B87+B113)</f>
        <v>136.60663893422307</v>
      </c>
      <c r="C180" s="4708">
        <f t="shared" ref="C180:K180" si="279">SUM(C29+C54+C87+C113)</f>
        <v>491.63</v>
      </c>
      <c r="D180" s="4708">
        <f t="shared" si="279"/>
        <v>404.36</v>
      </c>
      <c r="E180" s="4708">
        <f t="shared" si="279"/>
        <v>276.14999999999998</v>
      </c>
      <c r="F180" s="4708">
        <f t="shared" si="279"/>
        <v>1172.1399999999999</v>
      </c>
      <c r="G180" s="4708">
        <f>SUM(G29+G54+G87+G113)</f>
        <v>136.60663893422307</v>
      </c>
      <c r="H180" s="4708">
        <f t="shared" si="279"/>
        <v>447.34000000000003</v>
      </c>
      <c r="I180" s="4708">
        <f t="shared" si="279"/>
        <v>142.97</v>
      </c>
      <c r="J180" s="4708">
        <f t="shared" si="279"/>
        <v>463.3</v>
      </c>
      <c r="K180" s="4708">
        <f t="shared" si="279"/>
        <v>1053.6100000000001</v>
      </c>
      <c r="L180" s="4709">
        <f>SUM(L29+L54+L87+L113)</f>
        <v>273.21327786844614</v>
      </c>
      <c r="M180" s="4709">
        <f t="shared" ref="M180" si="280">SUM(M29+M54+M87+M113)</f>
        <v>2225.75</v>
      </c>
      <c r="N180" s="4680">
        <f t="shared" si="269"/>
        <v>1952.5367221315539</v>
      </c>
      <c r="O180" s="4708">
        <f>SUM(O29+O54+O87+O113)</f>
        <v>136.60663893422307</v>
      </c>
      <c r="P180" s="4708">
        <f t="shared" ref="P180:S180" si="281">SUM(P29+P54+P87+P113)</f>
        <v>0</v>
      </c>
      <c r="Q180" s="4708">
        <f t="shared" si="281"/>
        <v>0</v>
      </c>
      <c r="R180" s="4708">
        <f t="shared" si="281"/>
        <v>0</v>
      </c>
      <c r="S180" s="4708">
        <f t="shared" si="281"/>
        <v>0</v>
      </c>
      <c r="T180" s="4709">
        <f>SUM(T29+T54+T87+T113)</f>
        <v>409.81991680266924</v>
      </c>
      <c r="U180" s="4709">
        <f t="shared" ref="U180" si="282">SUM(U29+U54+U87+U113)</f>
        <v>2225.75</v>
      </c>
      <c r="V180" s="4680">
        <f t="shared" si="272"/>
        <v>1815.9300831973308</v>
      </c>
      <c r="W180" s="4708">
        <f>SUM(W29+W54+W87+W113)</f>
        <v>136.60663893422307</v>
      </c>
      <c r="X180" s="4708">
        <f t="shared" ref="X180:AA180" si="283">SUM(X29+X54+X87+X113)</f>
        <v>0</v>
      </c>
      <c r="Y180" s="4708">
        <f t="shared" si="283"/>
        <v>0</v>
      </c>
      <c r="Z180" s="4708">
        <f t="shared" si="283"/>
        <v>0</v>
      </c>
      <c r="AA180" s="4708">
        <f t="shared" si="283"/>
        <v>0</v>
      </c>
      <c r="AB180" s="4709">
        <f>SUM(AB29+AB54+AB87+AB113)</f>
        <v>546.42655573689228</v>
      </c>
      <c r="AC180" s="4709">
        <f t="shared" ref="AC180" si="284">SUM(AC29+AC54+AC87+AC113)</f>
        <v>2225.75</v>
      </c>
      <c r="AD180" s="4680">
        <f t="shared" si="275"/>
        <v>1679.3234442631078</v>
      </c>
      <c r="AE180" s="4665"/>
      <c r="AF180" s="4665"/>
      <c r="AG180" s="4665"/>
      <c r="AH180" s="4665"/>
      <c r="AI180" s="4665"/>
      <c r="AJ180" s="4665"/>
      <c r="AK180" s="4665"/>
    </row>
    <row r="181" spans="1:37" ht="18.75">
      <c r="A181" s="4691" t="s">
        <v>8</v>
      </c>
      <c r="B181" s="4708">
        <f>SUM(B51)</f>
        <v>1906.4536600680776</v>
      </c>
      <c r="C181" s="4708">
        <f t="shared" ref="C181:K181" si="285">SUM(C51)</f>
        <v>687.34</v>
      </c>
      <c r="D181" s="4708">
        <f t="shared" si="285"/>
        <v>274.33</v>
      </c>
      <c r="E181" s="4708">
        <f t="shared" si="285"/>
        <v>1799.45</v>
      </c>
      <c r="F181" s="4708">
        <f t="shared" si="285"/>
        <v>2761.12</v>
      </c>
      <c r="G181" s="4708">
        <f>SUM(G51)</f>
        <v>1906.4536600680776</v>
      </c>
      <c r="H181" s="4708">
        <f t="shared" si="285"/>
        <v>1406.47</v>
      </c>
      <c r="I181" s="4708">
        <f t="shared" si="285"/>
        <v>812.58</v>
      </c>
      <c r="J181" s="4708">
        <f t="shared" si="285"/>
        <v>758.6</v>
      </c>
      <c r="K181" s="4708">
        <f t="shared" si="285"/>
        <v>2977.65</v>
      </c>
      <c r="L181" s="4709">
        <f>SUM(L51)</f>
        <v>3812.9073201361552</v>
      </c>
      <c r="M181" s="4709">
        <f t="shared" ref="M181" si="286">SUM(M51)</f>
        <v>5738.77</v>
      </c>
      <c r="N181" s="4680">
        <f t="shared" si="269"/>
        <v>1925.8626798638452</v>
      </c>
      <c r="O181" s="4708">
        <f>SUM(O51)</f>
        <v>1906.4536600680776</v>
      </c>
      <c r="P181" s="4708">
        <f t="shared" ref="P181:S181" si="287">SUM(P51)</f>
        <v>0</v>
      </c>
      <c r="Q181" s="4708">
        <f t="shared" si="287"/>
        <v>0</v>
      </c>
      <c r="R181" s="4708">
        <f t="shared" si="287"/>
        <v>0</v>
      </c>
      <c r="S181" s="4708">
        <f t="shared" si="287"/>
        <v>0</v>
      </c>
      <c r="T181" s="4709">
        <f>SUM(T51)</f>
        <v>5719.3609802042329</v>
      </c>
      <c r="U181" s="4709">
        <f t="shared" ref="U181" si="288">SUM(U51)</f>
        <v>5738.77</v>
      </c>
      <c r="V181" s="4680">
        <f t="shared" si="272"/>
        <v>19.409019795767563</v>
      </c>
      <c r="W181" s="4708">
        <f>SUM(W51)</f>
        <v>1906.4536600680776</v>
      </c>
      <c r="X181" s="4708">
        <f t="shared" ref="X181:AA181" si="289">SUM(X51)</f>
        <v>0</v>
      </c>
      <c r="Y181" s="4708">
        <f t="shared" si="289"/>
        <v>0</v>
      </c>
      <c r="Z181" s="4708">
        <f t="shared" si="289"/>
        <v>0</v>
      </c>
      <c r="AA181" s="4708">
        <f t="shared" si="289"/>
        <v>0</v>
      </c>
      <c r="AB181" s="4709">
        <f>SUM(AB51)</f>
        <v>7625.8146402723114</v>
      </c>
      <c r="AC181" s="4709">
        <f t="shared" ref="AC181" si="290">SUM(AC51)</f>
        <v>5738.77</v>
      </c>
      <c r="AD181" s="4680">
        <f t="shared" si="275"/>
        <v>-1887.044640272311</v>
      </c>
      <c r="AE181" s="4665"/>
      <c r="AF181" s="4665"/>
      <c r="AG181" s="4665"/>
      <c r="AH181" s="4665"/>
      <c r="AI181" s="4665"/>
      <c r="AJ181" s="4665"/>
      <c r="AK181" s="4665"/>
    </row>
    <row r="182" spans="1:37" ht="18.75">
      <c r="A182" s="4691" t="s">
        <v>4</v>
      </c>
      <c r="B182" s="4708">
        <f t="shared" ref="B182:M183" si="291">SUM(B30+B55+B90+B114)</f>
        <v>12699.849104344863</v>
      </c>
      <c r="C182" s="4708">
        <f t="shared" si="291"/>
        <v>3416.2</v>
      </c>
      <c r="D182" s="4708">
        <f t="shared" si="291"/>
        <v>3148.93</v>
      </c>
      <c r="E182" s="4708">
        <f t="shared" si="291"/>
        <v>3108.39</v>
      </c>
      <c r="F182" s="4708">
        <f t="shared" si="291"/>
        <v>9673.52</v>
      </c>
      <c r="G182" s="4708">
        <f t="shared" si="291"/>
        <v>12699.849104344863</v>
      </c>
      <c r="H182" s="4708">
        <f t="shared" si="291"/>
        <v>3481.2999999999997</v>
      </c>
      <c r="I182" s="4708">
        <f t="shared" si="291"/>
        <v>3723.2599999999998</v>
      </c>
      <c r="J182" s="4708">
        <f t="shared" si="291"/>
        <v>3920.59</v>
      </c>
      <c r="K182" s="4708">
        <f t="shared" si="291"/>
        <v>11125.150000000001</v>
      </c>
      <c r="L182" s="4709">
        <f t="shared" si="291"/>
        <v>25399.698208689726</v>
      </c>
      <c r="M182" s="4709">
        <f t="shared" si="291"/>
        <v>20798.669999999998</v>
      </c>
      <c r="N182" s="4680">
        <f t="shared" si="269"/>
        <v>-4601.0282086897278</v>
      </c>
      <c r="O182" s="4708">
        <f t="shared" ref="O182:U183" si="292">SUM(O30+O55+O90+O114)</f>
        <v>13207.843068518658</v>
      </c>
      <c r="P182" s="4708">
        <f t="shared" si="292"/>
        <v>0</v>
      </c>
      <c r="Q182" s="4708">
        <f t="shared" si="292"/>
        <v>0</v>
      </c>
      <c r="R182" s="4708">
        <f t="shared" si="292"/>
        <v>0</v>
      </c>
      <c r="S182" s="4708">
        <f t="shared" si="292"/>
        <v>0</v>
      </c>
      <c r="T182" s="4709">
        <f t="shared" si="292"/>
        <v>38607.541277208387</v>
      </c>
      <c r="U182" s="4709">
        <f t="shared" si="292"/>
        <v>20798.669999999998</v>
      </c>
      <c r="V182" s="4680">
        <f t="shared" si="272"/>
        <v>-17808.871277208389</v>
      </c>
      <c r="W182" s="4708">
        <f t="shared" ref="W182:AC183" si="293">SUM(W30+W55+W90+W114)</f>
        <v>13207.843068518658</v>
      </c>
      <c r="X182" s="4708">
        <f t="shared" si="293"/>
        <v>0</v>
      </c>
      <c r="Y182" s="4708">
        <f t="shared" si="293"/>
        <v>0</v>
      </c>
      <c r="Z182" s="4708">
        <f t="shared" si="293"/>
        <v>0</v>
      </c>
      <c r="AA182" s="4708">
        <f t="shared" si="293"/>
        <v>0</v>
      </c>
      <c r="AB182" s="4709">
        <f t="shared" si="293"/>
        <v>51815.384345727041</v>
      </c>
      <c r="AC182" s="4709">
        <f t="shared" si="293"/>
        <v>20798.669999999998</v>
      </c>
      <c r="AD182" s="4680">
        <f t="shared" si="275"/>
        <v>-31016.714345727043</v>
      </c>
      <c r="AE182" s="4665"/>
      <c r="AF182" s="4665"/>
      <c r="AG182" s="4665"/>
      <c r="AH182" s="4665"/>
      <c r="AI182" s="4665"/>
      <c r="AJ182" s="4665"/>
      <c r="AK182" s="4665"/>
    </row>
    <row r="183" spans="1:37" ht="18.75">
      <c r="A183" s="4691" t="s">
        <v>5</v>
      </c>
      <c r="B183" s="4708">
        <f t="shared" si="291"/>
        <v>3803.8145495885601</v>
      </c>
      <c r="C183" s="4708">
        <f t="shared" si="291"/>
        <v>1041.57</v>
      </c>
      <c r="D183" s="4708">
        <f t="shared" si="291"/>
        <v>944.43000000000006</v>
      </c>
      <c r="E183" s="4708">
        <f t="shared" si="291"/>
        <v>968.81</v>
      </c>
      <c r="F183" s="4708">
        <f t="shared" si="291"/>
        <v>2954.81</v>
      </c>
      <c r="G183" s="4708">
        <f t="shared" si="291"/>
        <v>3803.8145495885601</v>
      </c>
      <c r="H183" s="4708">
        <f t="shared" si="291"/>
        <v>1044.6100000000001</v>
      </c>
      <c r="I183" s="4708">
        <f t="shared" si="291"/>
        <v>1099.8400000000001</v>
      </c>
      <c r="J183" s="4708">
        <f t="shared" si="291"/>
        <v>1188.29</v>
      </c>
      <c r="K183" s="4708">
        <f t="shared" si="291"/>
        <v>3332.7400000000002</v>
      </c>
      <c r="L183" s="4709">
        <f t="shared" si="291"/>
        <v>7607.6290991771202</v>
      </c>
      <c r="M183" s="4709">
        <f t="shared" si="291"/>
        <v>6287.55</v>
      </c>
      <c r="N183" s="4680">
        <f t="shared" si="269"/>
        <v>-1320.07909917712</v>
      </c>
      <c r="O183" s="4708">
        <f t="shared" si="292"/>
        <v>3955.9671315721034</v>
      </c>
      <c r="P183" s="4708">
        <f t="shared" si="292"/>
        <v>0</v>
      </c>
      <c r="Q183" s="4708">
        <f t="shared" si="292"/>
        <v>0</v>
      </c>
      <c r="R183" s="4708">
        <f t="shared" si="292"/>
        <v>0</v>
      </c>
      <c r="S183" s="4708">
        <f t="shared" si="292"/>
        <v>0</v>
      </c>
      <c r="T183" s="4709">
        <f t="shared" si="292"/>
        <v>11563.596230749223</v>
      </c>
      <c r="U183" s="4709">
        <f t="shared" si="292"/>
        <v>6287.55</v>
      </c>
      <c r="V183" s="4680">
        <f t="shared" si="272"/>
        <v>-5276.0462307492226</v>
      </c>
      <c r="W183" s="4708">
        <f t="shared" si="293"/>
        <v>3955.9671315721034</v>
      </c>
      <c r="X183" s="4708">
        <f t="shared" si="293"/>
        <v>0</v>
      </c>
      <c r="Y183" s="4708">
        <f t="shared" si="293"/>
        <v>0</v>
      </c>
      <c r="Z183" s="4708">
        <f t="shared" si="293"/>
        <v>0</v>
      </c>
      <c r="AA183" s="4708">
        <f t="shared" si="293"/>
        <v>0</v>
      </c>
      <c r="AB183" s="4709">
        <f t="shared" si="293"/>
        <v>15519.563362321327</v>
      </c>
      <c r="AC183" s="4709">
        <f t="shared" si="293"/>
        <v>6287.55</v>
      </c>
      <c r="AD183" s="4680">
        <f t="shared" si="275"/>
        <v>-9232.013362321326</v>
      </c>
      <c r="AE183" s="4665"/>
      <c r="AF183" s="4665"/>
      <c r="AG183" s="4665"/>
      <c r="AH183" s="4665"/>
      <c r="AI183" s="4665"/>
      <c r="AJ183" s="4665"/>
      <c r="AK183" s="4665"/>
    </row>
    <row r="184" spans="1:37" ht="18.75">
      <c r="A184" s="4695" t="s">
        <v>321</v>
      </c>
      <c r="B184" s="4710">
        <f>SUM(B183/B182)</f>
        <v>0.29951651538026558</v>
      </c>
      <c r="C184" s="4710">
        <f t="shared" ref="C184:AC184" si="294">SUM(C183/C182)</f>
        <v>0.30489139980094843</v>
      </c>
      <c r="D184" s="4710">
        <f t="shared" si="294"/>
        <v>0.29992092552073246</v>
      </c>
      <c r="E184" s="4710">
        <f t="shared" si="294"/>
        <v>0.31167581931482213</v>
      </c>
      <c r="F184" s="4710">
        <f t="shared" si="294"/>
        <v>0.30545344404105224</v>
      </c>
      <c r="G184" s="4710">
        <f>SUM(G183/G182)</f>
        <v>0.29951651538026558</v>
      </c>
      <c r="H184" s="4710">
        <f t="shared" si="294"/>
        <v>0.30006319478355792</v>
      </c>
      <c r="I184" s="4710">
        <f t="shared" si="294"/>
        <v>0.29539704452549653</v>
      </c>
      <c r="J184" s="4710">
        <f t="shared" si="294"/>
        <v>0.30308958600618785</v>
      </c>
      <c r="K184" s="4710">
        <f t="shared" si="294"/>
        <v>0.29956809571106907</v>
      </c>
      <c r="L184" s="4711">
        <f>SUM(L183/L182)</f>
        <v>0.29951651538026558</v>
      </c>
      <c r="M184" s="4711">
        <f t="shared" si="294"/>
        <v>0.30230538779643124</v>
      </c>
      <c r="N184" s="4707">
        <f t="shared" si="269"/>
        <v>2.7888724161656553E-3</v>
      </c>
      <c r="O184" s="4710">
        <f>SUM(O183/O182)</f>
        <v>0.29951651538026564</v>
      </c>
      <c r="P184" s="4710" t="e">
        <f t="shared" si="294"/>
        <v>#DIV/0!</v>
      </c>
      <c r="Q184" s="4710" t="e">
        <f t="shared" si="294"/>
        <v>#DIV/0!</v>
      </c>
      <c r="R184" s="4710" t="e">
        <f t="shared" si="294"/>
        <v>#DIV/0!</v>
      </c>
      <c r="S184" s="4710" t="e">
        <f t="shared" si="294"/>
        <v>#DIV/0!</v>
      </c>
      <c r="T184" s="4711">
        <f>SUM(T183/T182)</f>
        <v>0.29951651538026552</v>
      </c>
      <c r="U184" s="4711">
        <f t="shared" si="294"/>
        <v>0.30230538779643124</v>
      </c>
      <c r="V184" s="4707">
        <f t="shared" si="272"/>
        <v>2.7888724161657108E-3</v>
      </c>
      <c r="W184" s="4710">
        <f>SUM(W183/W182)</f>
        <v>0.29951651538026564</v>
      </c>
      <c r="X184" s="4710" t="e">
        <f t="shared" si="294"/>
        <v>#DIV/0!</v>
      </c>
      <c r="Y184" s="4710" t="e">
        <f t="shared" si="294"/>
        <v>#DIV/0!</v>
      </c>
      <c r="Z184" s="4710" t="e">
        <f t="shared" si="294"/>
        <v>#DIV/0!</v>
      </c>
      <c r="AA184" s="4710" t="e">
        <f t="shared" si="294"/>
        <v>#DIV/0!</v>
      </c>
      <c r="AB184" s="4711">
        <f>SUM(AB183/AB182)</f>
        <v>0.29951651538026558</v>
      </c>
      <c r="AC184" s="4711">
        <f t="shared" si="294"/>
        <v>0.30230538779643124</v>
      </c>
      <c r="AD184" s="4707">
        <f t="shared" si="275"/>
        <v>2.7888724161656553E-3</v>
      </c>
      <c r="AE184" s="4665"/>
      <c r="AF184" s="4665"/>
      <c r="AG184" s="4665"/>
      <c r="AH184" s="4665"/>
      <c r="AI184" s="4665"/>
      <c r="AJ184" s="4665"/>
      <c r="AK184" s="4665"/>
    </row>
    <row r="185" spans="1:37" ht="18.75">
      <c r="A185" s="4691" t="s">
        <v>1745</v>
      </c>
      <c r="B185" s="4708">
        <f t="shared" ref="B185:M187" si="295">SUM(B33+B58+B93+B117)</f>
        <v>5997.4622303249726</v>
      </c>
      <c r="C185" s="4708">
        <f t="shared" si="295"/>
        <v>1978.7399999999998</v>
      </c>
      <c r="D185" s="4708">
        <f t="shared" si="295"/>
        <v>1938.3299999999997</v>
      </c>
      <c r="E185" s="4708">
        <f t="shared" si="295"/>
        <v>2110.91</v>
      </c>
      <c r="F185" s="4708">
        <f t="shared" si="295"/>
        <v>6027.98</v>
      </c>
      <c r="G185" s="4708">
        <f t="shared" si="295"/>
        <v>4435.350911287881</v>
      </c>
      <c r="H185" s="4708">
        <f t="shared" si="295"/>
        <v>1863.7500000000002</v>
      </c>
      <c r="I185" s="4708">
        <f t="shared" si="295"/>
        <v>1360.8</v>
      </c>
      <c r="J185" s="4708">
        <f t="shared" si="295"/>
        <v>1429.1999999999998</v>
      </c>
      <c r="K185" s="4708">
        <f t="shared" si="295"/>
        <v>4653.75</v>
      </c>
      <c r="L185" s="4709">
        <f t="shared" si="295"/>
        <v>10432.813141612853</v>
      </c>
      <c r="M185" s="4709">
        <f t="shared" si="295"/>
        <v>10681.73</v>
      </c>
      <c r="N185" s="4680">
        <f t="shared" si="269"/>
        <v>248.91685838714693</v>
      </c>
      <c r="O185" s="4708">
        <f t="shared" ref="O185:U187" si="296">SUM(O33+O58+O93+O117)</f>
        <v>4151.2695465099532</v>
      </c>
      <c r="P185" s="4708">
        <f t="shared" si="296"/>
        <v>0</v>
      </c>
      <c r="Q185" s="4708">
        <f t="shared" si="296"/>
        <v>0</v>
      </c>
      <c r="R185" s="4708">
        <f t="shared" si="296"/>
        <v>0</v>
      </c>
      <c r="S185" s="4708">
        <f t="shared" si="296"/>
        <v>0</v>
      </c>
      <c r="T185" s="4709">
        <f t="shared" si="296"/>
        <v>14584.082688122806</v>
      </c>
      <c r="U185" s="4709">
        <f t="shared" si="296"/>
        <v>10681.73</v>
      </c>
      <c r="V185" s="4680">
        <f t="shared" si="272"/>
        <v>-3902.3526881228063</v>
      </c>
      <c r="W185" s="4708">
        <f t="shared" ref="W185:AC187" si="297">SUM(W33+W58+W93+W117)</f>
        <v>5823.7904167488741</v>
      </c>
      <c r="X185" s="4708">
        <f t="shared" si="297"/>
        <v>0</v>
      </c>
      <c r="Y185" s="4708">
        <f t="shared" si="297"/>
        <v>0</v>
      </c>
      <c r="Z185" s="4708">
        <f t="shared" si="297"/>
        <v>0</v>
      </c>
      <c r="AA185" s="4708">
        <f t="shared" si="297"/>
        <v>0</v>
      </c>
      <c r="AB185" s="4709">
        <f t="shared" si="297"/>
        <v>20407.87310487168</v>
      </c>
      <c r="AC185" s="4709">
        <f t="shared" si="297"/>
        <v>10681.73</v>
      </c>
      <c r="AD185" s="4680">
        <f t="shared" si="275"/>
        <v>-9726.1431048716804</v>
      </c>
      <c r="AE185" s="4665"/>
      <c r="AF185" s="4665"/>
      <c r="AG185" s="4665"/>
      <c r="AH185" s="4665"/>
      <c r="AI185" s="4665"/>
      <c r="AJ185" s="4665"/>
      <c r="AK185" s="4665"/>
    </row>
    <row r="186" spans="1:37" ht="18.75">
      <c r="A186" s="4695" t="s">
        <v>1746</v>
      </c>
      <c r="B186" s="4712">
        <f t="shared" si="295"/>
        <v>1492.8161169313494</v>
      </c>
      <c r="C186" s="4712">
        <f t="shared" si="295"/>
        <v>601.05999999999995</v>
      </c>
      <c r="D186" s="4712">
        <f t="shared" si="295"/>
        <v>577.16999999999996</v>
      </c>
      <c r="E186" s="4712">
        <f t="shared" si="295"/>
        <v>603.05999999999995</v>
      </c>
      <c r="F186" s="4712">
        <f t="shared" si="295"/>
        <v>1781.29</v>
      </c>
      <c r="G186" s="4712">
        <f t="shared" si="295"/>
        <v>1492.8161169313494</v>
      </c>
      <c r="H186" s="4712">
        <f t="shared" si="295"/>
        <v>628.80000000000007</v>
      </c>
      <c r="I186" s="4712">
        <f t="shared" si="295"/>
        <v>583.38</v>
      </c>
      <c r="J186" s="4712">
        <f t="shared" si="295"/>
        <v>677.25</v>
      </c>
      <c r="K186" s="4712">
        <f t="shared" si="295"/>
        <v>1889.4299999999998</v>
      </c>
      <c r="L186" s="4713">
        <f t="shared" si="295"/>
        <v>2985.6322338626987</v>
      </c>
      <c r="M186" s="4713">
        <f t="shared" si="295"/>
        <v>3670.7200000000003</v>
      </c>
      <c r="N186" s="4686">
        <f t="shared" si="269"/>
        <v>685.08776613730151</v>
      </c>
      <c r="O186" s="4712">
        <f t="shared" si="296"/>
        <v>1552.5287616086036</v>
      </c>
      <c r="P186" s="4712">
        <f t="shared" si="296"/>
        <v>0</v>
      </c>
      <c r="Q186" s="4712">
        <f t="shared" si="296"/>
        <v>0</v>
      </c>
      <c r="R186" s="4712">
        <f t="shared" si="296"/>
        <v>0</v>
      </c>
      <c r="S186" s="4712">
        <f t="shared" si="296"/>
        <v>0</v>
      </c>
      <c r="T186" s="4713">
        <f t="shared" si="296"/>
        <v>4538.1609954713022</v>
      </c>
      <c r="U186" s="4713">
        <f t="shared" si="296"/>
        <v>3670.7200000000003</v>
      </c>
      <c r="V186" s="4686">
        <f t="shared" si="272"/>
        <v>-867.4409954713019</v>
      </c>
      <c r="W186" s="4712">
        <f t="shared" si="297"/>
        <v>1552.5287616086036</v>
      </c>
      <c r="X186" s="4712">
        <f t="shared" si="297"/>
        <v>0</v>
      </c>
      <c r="Y186" s="4712">
        <f t="shared" si="297"/>
        <v>0</v>
      </c>
      <c r="Z186" s="4712">
        <f t="shared" si="297"/>
        <v>0</v>
      </c>
      <c r="AA186" s="4712">
        <f t="shared" si="297"/>
        <v>0</v>
      </c>
      <c r="AB186" s="4713">
        <f t="shared" si="297"/>
        <v>6090.6897570799065</v>
      </c>
      <c r="AC186" s="4713">
        <f t="shared" si="297"/>
        <v>3670.7200000000003</v>
      </c>
      <c r="AD186" s="4686">
        <f t="shared" si="275"/>
        <v>-2419.9697570799062</v>
      </c>
      <c r="AE186" s="4665"/>
      <c r="AF186" s="4665"/>
      <c r="AG186" s="4665"/>
      <c r="AH186" s="4665"/>
      <c r="AI186" s="4665"/>
      <c r="AJ186" s="4665"/>
      <c r="AK186" s="4665"/>
    </row>
    <row r="187" spans="1:37" ht="18.75">
      <c r="A187" s="4695" t="s">
        <v>1747</v>
      </c>
      <c r="B187" s="4712">
        <f t="shared" si="295"/>
        <v>450.69897416302723</v>
      </c>
      <c r="C187" s="4712">
        <f t="shared" si="295"/>
        <v>180.43</v>
      </c>
      <c r="D187" s="4712">
        <f t="shared" si="295"/>
        <v>171.59999999999997</v>
      </c>
      <c r="E187" s="4712">
        <f t="shared" si="295"/>
        <v>180.66</v>
      </c>
      <c r="F187" s="4712">
        <f t="shared" si="295"/>
        <v>532.68999999999994</v>
      </c>
      <c r="G187" s="4712">
        <f t="shared" si="295"/>
        <v>450.69897416302723</v>
      </c>
      <c r="H187" s="4712">
        <f t="shared" si="295"/>
        <v>188.43</v>
      </c>
      <c r="I187" s="4712">
        <f t="shared" si="295"/>
        <v>176.19</v>
      </c>
      <c r="J187" s="4712">
        <f t="shared" si="295"/>
        <v>204.53</v>
      </c>
      <c r="K187" s="4712">
        <f t="shared" si="295"/>
        <v>569.15</v>
      </c>
      <c r="L187" s="4713">
        <f t="shared" si="295"/>
        <v>901.39794832605446</v>
      </c>
      <c r="M187" s="4713">
        <f t="shared" si="295"/>
        <v>1101.8399999999999</v>
      </c>
      <c r="N187" s="4686">
        <f t="shared" si="269"/>
        <v>200.44205167394546</v>
      </c>
      <c r="O187" s="4712">
        <f t="shared" si="296"/>
        <v>468.72693312954846</v>
      </c>
      <c r="P187" s="4712">
        <f t="shared" si="296"/>
        <v>0</v>
      </c>
      <c r="Q187" s="4712">
        <f t="shared" si="296"/>
        <v>0</v>
      </c>
      <c r="R187" s="4712">
        <f t="shared" si="296"/>
        <v>0</v>
      </c>
      <c r="S187" s="4712">
        <f t="shared" si="296"/>
        <v>0</v>
      </c>
      <c r="T187" s="4713">
        <f t="shared" si="296"/>
        <v>1370.1248814556029</v>
      </c>
      <c r="U187" s="4713">
        <f t="shared" si="296"/>
        <v>1101.8399999999999</v>
      </c>
      <c r="V187" s="4686">
        <f t="shared" si="272"/>
        <v>-268.284881455603</v>
      </c>
      <c r="W187" s="4712">
        <f t="shared" si="297"/>
        <v>468.72693312954846</v>
      </c>
      <c r="X187" s="4712">
        <f t="shared" si="297"/>
        <v>0</v>
      </c>
      <c r="Y187" s="4712">
        <f t="shared" si="297"/>
        <v>0</v>
      </c>
      <c r="Z187" s="4712">
        <f t="shared" si="297"/>
        <v>0</v>
      </c>
      <c r="AA187" s="4712">
        <f t="shared" si="297"/>
        <v>0</v>
      </c>
      <c r="AB187" s="4713">
        <f t="shared" si="297"/>
        <v>1838.8518145851513</v>
      </c>
      <c r="AC187" s="4713">
        <f t="shared" si="297"/>
        <v>1101.8399999999999</v>
      </c>
      <c r="AD187" s="4686">
        <f t="shared" si="275"/>
        <v>-737.01181458515134</v>
      </c>
      <c r="AE187" s="4665"/>
      <c r="AF187" s="4665"/>
      <c r="AG187" s="4665"/>
      <c r="AH187" s="4665"/>
      <c r="AI187" s="4665"/>
      <c r="AJ187" s="4665"/>
      <c r="AK187" s="4665"/>
    </row>
    <row r="188" spans="1:37" ht="18.75">
      <c r="A188" s="4695" t="s">
        <v>31</v>
      </c>
      <c r="B188" s="4712">
        <f>SUM(B97)</f>
        <v>570.81057856951372</v>
      </c>
      <c r="C188" s="4712">
        <f t="shared" ref="C188:F188" si="298">SUM(C97)</f>
        <v>125.04</v>
      </c>
      <c r="D188" s="4712">
        <f t="shared" si="298"/>
        <v>141.94999999999999</v>
      </c>
      <c r="E188" s="4712">
        <f t="shared" si="298"/>
        <v>177.25</v>
      </c>
      <c r="F188" s="4712">
        <f t="shared" si="298"/>
        <v>444.24</v>
      </c>
      <c r="G188" s="4712">
        <f>SUM(G97)</f>
        <v>570.81057856951372</v>
      </c>
      <c r="H188" s="4712">
        <f t="shared" ref="H188:K188" si="299">SUM(H97)</f>
        <v>164.18</v>
      </c>
      <c r="I188" s="4712">
        <f t="shared" si="299"/>
        <v>143.81</v>
      </c>
      <c r="J188" s="4712">
        <f t="shared" si="299"/>
        <v>141.82</v>
      </c>
      <c r="K188" s="4712">
        <f t="shared" si="299"/>
        <v>449.81</v>
      </c>
      <c r="L188" s="4713">
        <f>SUM(L97)</f>
        <v>1141.6211571390274</v>
      </c>
      <c r="M188" s="4713">
        <f t="shared" ref="M188" si="300">SUM(M97)</f>
        <v>894.05</v>
      </c>
      <c r="N188" s="4686">
        <f t="shared" si="269"/>
        <v>-247.57115713902749</v>
      </c>
      <c r="O188" s="4712">
        <f>SUM(O97)</f>
        <v>570.81057856951372</v>
      </c>
      <c r="P188" s="4712">
        <f t="shared" ref="P188:S188" si="301">SUM(P97)</f>
        <v>0</v>
      </c>
      <c r="Q188" s="4712">
        <f t="shared" si="301"/>
        <v>0</v>
      </c>
      <c r="R188" s="4712">
        <f t="shared" si="301"/>
        <v>0</v>
      </c>
      <c r="S188" s="4712">
        <f t="shared" si="301"/>
        <v>0</v>
      </c>
      <c r="T188" s="4713">
        <f>SUM(T97)</f>
        <v>1712.4317357085411</v>
      </c>
      <c r="U188" s="4713">
        <f t="shared" ref="U188" si="302">SUM(U97)</f>
        <v>894.05</v>
      </c>
      <c r="V188" s="4686">
        <f t="shared" si="272"/>
        <v>-818.3817357085411</v>
      </c>
      <c r="W188" s="4712">
        <f>SUM(W97)</f>
        <v>570.81057856951372</v>
      </c>
      <c r="X188" s="4712">
        <f t="shared" ref="X188:AA188" si="303">SUM(X97)</f>
        <v>0</v>
      </c>
      <c r="Y188" s="4712">
        <f t="shared" si="303"/>
        <v>0</v>
      </c>
      <c r="Z188" s="4712">
        <f t="shared" si="303"/>
        <v>0</v>
      </c>
      <c r="AA188" s="4712">
        <f t="shared" si="303"/>
        <v>0</v>
      </c>
      <c r="AB188" s="4713">
        <f>SUM(AB97)</f>
        <v>2283.2423142780549</v>
      </c>
      <c r="AC188" s="4713">
        <f t="shared" ref="AC188" si="304">SUM(AC97)</f>
        <v>894.05</v>
      </c>
      <c r="AD188" s="4686">
        <f t="shared" si="275"/>
        <v>-1389.1923142780549</v>
      </c>
      <c r="AE188" s="4665"/>
      <c r="AF188" s="4665"/>
      <c r="AG188" s="4665"/>
      <c r="AH188" s="4665"/>
      <c r="AI188" s="4665"/>
      <c r="AJ188" s="4665"/>
      <c r="AK188" s="4665"/>
    </row>
    <row r="189" spans="1:37" ht="18.75">
      <c r="A189" s="4695" t="s">
        <v>300</v>
      </c>
      <c r="B189" s="4712">
        <f>SUM(B185-(B186+B187+B188))</f>
        <v>3483.1365606610821</v>
      </c>
      <c r="C189" s="4712">
        <f t="shared" ref="C189:F189" si="305">SUM(C185-(C186+C187+C188))</f>
        <v>1072.2099999999998</v>
      </c>
      <c r="D189" s="4712">
        <f t="shared" si="305"/>
        <v>1047.6099999999997</v>
      </c>
      <c r="E189" s="4712">
        <f t="shared" si="305"/>
        <v>1149.94</v>
      </c>
      <c r="F189" s="4712">
        <f t="shared" si="305"/>
        <v>3269.7599999999993</v>
      </c>
      <c r="G189" s="4712">
        <f>SUM(G185-(G186+G187+G188))</f>
        <v>1921.0252416239905</v>
      </c>
      <c r="H189" s="4712">
        <f t="shared" ref="H189:M189" si="306">SUM(H185-(H186+H187+H188))</f>
        <v>882.34000000000015</v>
      </c>
      <c r="I189" s="4712">
        <f t="shared" si="306"/>
        <v>457.42000000000007</v>
      </c>
      <c r="J189" s="4712">
        <f t="shared" si="306"/>
        <v>405.59999999999991</v>
      </c>
      <c r="K189" s="4712">
        <f t="shared" si="306"/>
        <v>1745.3600000000001</v>
      </c>
      <c r="L189" s="4713">
        <f>SUM(L185-(L186+L187+L188))</f>
        <v>5404.1618022850716</v>
      </c>
      <c r="M189" s="4713">
        <f t="shared" si="306"/>
        <v>5015.119999999999</v>
      </c>
      <c r="N189" s="4686">
        <f t="shared" si="269"/>
        <v>-389.04180228507266</v>
      </c>
      <c r="O189" s="4712">
        <f>SUM(O185-(O186+O187+O188))</f>
        <v>1559.2032732022872</v>
      </c>
      <c r="P189" s="4712">
        <f t="shared" ref="P189:S189" si="307">SUM(P185-(P186+P187+P188))</f>
        <v>0</v>
      </c>
      <c r="Q189" s="4712">
        <f t="shared" si="307"/>
        <v>0</v>
      </c>
      <c r="R189" s="4712">
        <f t="shared" si="307"/>
        <v>0</v>
      </c>
      <c r="S189" s="4712">
        <f t="shared" si="307"/>
        <v>0</v>
      </c>
      <c r="T189" s="4713">
        <f>SUM(T185-(T186+T187+T188))</f>
        <v>6963.3650754873597</v>
      </c>
      <c r="U189" s="4713">
        <f t="shared" ref="U189" si="308">SUM(U185-(U186+U187+U188))</f>
        <v>5015.119999999999</v>
      </c>
      <c r="V189" s="4686">
        <f t="shared" si="272"/>
        <v>-1948.2450754873607</v>
      </c>
      <c r="W189" s="4712">
        <f>SUM(W185-(W186+W187+W188))</f>
        <v>3231.7241434412081</v>
      </c>
      <c r="X189" s="4712">
        <f t="shared" ref="X189:AA189" si="309">SUM(X185-(X186+X187+X188))</f>
        <v>0</v>
      </c>
      <c r="Y189" s="4712">
        <f t="shared" si="309"/>
        <v>0</v>
      </c>
      <c r="Z189" s="4712">
        <f t="shared" si="309"/>
        <v>0</v>
      </c>
      <c r="AA189" s="4712">
        <f t="shared" si="309"/>
        <v>0</v>
      </c>
      <c r="AB189" s="4713">
        <f>SUM(AB185-(AB186+AB187+AB188))</f>
        <v>10195.089218928568</v>
      </c>
      <c r="AC189" s="4713">
        <f t="shared" ref="AC189" si="310">SUM(AC185-(AC186+AC187+AC188))</f>
        <v>5015.119999999999</v>
      </c>
      <c r="AD189" s="4686">
        <f t="shared" si="275"/>
        <v>-5179.9692189285688</v>
      </c>
      <c r="AE189" s="4665"/>
      <c r="AF189" s="4665"/>
      <c r="AG189" s="4665"/>
      <c r="AH189" s="4665"/>
      <c r="AI189" s="4665"/>
      <c r="AJ189" s="4665"/>
      <c r="AK189" s="4665"/>
    </row>
    <row r="190" spans="1:37" ht="18.75">
      <c r="A190" s="4691" t="s">
        <v>1724</v>
      </c>
      <c r="B190" s="4708">
        <f>SUM(B130)</f>
        <v>880.95560302602939</v>
      </c>
      <c r="C190" s="4708">
        <f t="shared" ref="C190:F190" si="311">SUM(C130)</f>
        <v>0</v>
      </c>
      <c r="D190" s="4708">
        <f t="shared" si="311"/>
        <v>0</v>
      </c>
      <c r="E190" s="4708">
        <f t="shared" si="311"/>
        <v>684.78</v>
      </c>
      <c r="F190" s="4708">
        <f t="shared" si="311"/>
        <v>684.78</v>
      </c>
      <c r="G190" s="4708">
        <f>SUM(G130)</f>
        <v>880.95560302602939</v>
      </c>
      <c r="H190" s="4708">
        <f t="shared" ref="H190:K190" si="312">SUM(H130)</f>
        <v>0</v>
      </c>
      <c r="I190" s="4708">
        <f t="shared" si="312"/>
        <v>0</v>
      </c>
      <c r="J190" s="4708">
        <f t="shared" si="312"/>
        <v>684.78</v>
      </c>
      <c r="K190" s="4708">
        <f t="shared" si="312"/>
        <v>684.78</v>
      </c>
      <c r="L190" s="4709">
        <f>SUM(L130)</f>
        <v>1761.9112060520588</v>
      </c>
      <c r="M190" s="4709">
        <f t="shared" ref="M190" si="313">SUM(M130)</f>
        <v>1369.56</v>
      </c>
      <c r="N190" s="4680">
        <f t="shared" si="269"/>
        <v>-392.35120605205884</v>
      </c>
      <c r="O190" s="4708">
        <f>SUM(O130)</f>
        <v>880.95560302602939</v>
      </c>
      <c r="P190" s="4708">
        <f t="shared" ref="P190:S190" si="314">SUM(P130)</f>
        <v>0</v>
      </c>
      <c r="Q190" s="4708">
        <f t="shared" si="314"/>
        <v>0</v>
      </c>
      <c r="R190" s="4708">
        <f t="shared" si="314"/>
        <v>0</v>
      </c>
      <c r="S190" s="4708">
        <f t="shared" si="314"/>
        <v>0</v>
      </c>
      <c r="T190" s="4709">
        <f>SUM(T130)</f>
        <v>2642.8668090780884</v>
      </c>
      <c r="U190" s="4709">
        <f t="shared" ref="U190" si="315">SUM(U130)</f>
        <v>1369.56</v>
      </c>
      <c r="V190" s="4680">
        <f t="shared" si="272"/>
        <v>-1273.3068090780885</v>
      </c>
      <c r="W190" s="4708">
        <f>SUM(W130)</f>
        <v>880.95560302602939</v>
      </c>
      <c r="X190" s="4708">
        <f t="shared" ref="X190:AA190" si="316">SUM(X130)</f>
        <v>0</v>
      </c>
      <c r="Y190" s="4708">
        <f t="shared" si="316"/>
        <v>0</v>
      </c>
      <c r="Z190" s="4708">
        <f t="shared" si="316"/>
        <v>0</v>
      </c>
      <c r="AA190" s="4708">
        <f t="shared" si="316"/>
        <v>0</v>
      </c>
      <c r="AB190" s="4709">
        <f>SUM(AB130)</f>
        <v>3523.8224121041176</v>
      </c>
      <c r="AC190" s="4709">
        <f t="shared" ref="AC190" si="317">SUM(AC130)</f>
        <v>1369.56</v>
      </c>
      <c r="AD190" s="4680">
        <f t="shared" si="275"/>
        <v>-2154.2624121041176</v>
      </c>
      <c r="AE190" s="4665"/>
      <c r="AF190" s="4665"/>
      <c r="AG190" s="4665"/>
      <c r="AH190" s="4665"/>
      <c r="AI190" s="4665"/>
      <c r="AJ190" s="4665"/>
      <c r="AK190" s="4665"/>
    </row>
    <row r="191" spans="1:37" ht="18.75">
      <c r="A191" s="4695" t="s">
        <v>1699</v>
      </c>
      <c r="B191" s="4712">
        <f t="shared" ref="B191:M200" si="318">SUM(B131)</f>
        <v>359.10560302602937</v>
      </c>
      <c r="C191" s="4712">
        <f t="shared" si="318"/>
        <v>0</v>
      </c>
      <c r="D191" s="4712">
        <f t="shared" si="318"/>
        <v>0</v>
      </c>
      <c r="E191" s="4712">
        <f t="shared" si="318"/>
        <v>663</v>
      </c>
      <c r="F191" s="4712">
        <f t="shared" si="318"/>
        <v>663</v>
      </c>
      <c r="G191" s="4712">
        <f t="shared" si="318"/>
        <v>359.10560302602937</v>
      </c>
      <c r="H191" s="4712">
        <f t="shared" si="318"/>
        <v>0</v>
      </c>
      <c r="I191" s="4712">
        <f t="shared" si="318"/>
        <v>0</v>
      </c>
      <c r="J191" s="4712">
        <f t="shared" si="318"/>
        <v>663</v>
      </c>
      <c r="K191" s="4712">
        <f t="shared" si="318"/>
        <v>663</v>
      </c>
      <c r="L191" s="4713">
        <f t="shared" si="318"/>
        <v>718.21120605205874</v>
      </c>
      <c r="M191" s="4713">
        <f t="shared" si="318"/>
        <v>1326</v>
      </c>
      <c r="N191" s="4686">
        <f t="shared" si="269"/>
        <v>607.78879394794126</v>
      </c>
      <c r="O191" s="4712">
        <f t="shared" ref="O191:U200" si="319">SUM(O131)</f>
        <v>359.10560302602937</v>
      </c>
      <c r="P191" s="4712">
        <f t="shared" si="319"/>
        <v>0</v>
      </c>
      <c r="Q191" s="4712">
        <f t="shared" si="319"/>
        <v>0</v>
      </c>
      <c r="R191" s="4712">
        <f t="shared" si="319"/>
        <v>0</v>
      </c>
      <c r="S191" s="4712">
        <f t="shared" si="319"/>
        <v>0</v>
      </c>
      <c r="T191" s="4713">
        <f t="shared" si="319"/>
        <v>1077.3168090780882</v>
      </c>
      <c r="U191" s="4713">
        <f t="shared" si="319"/>
        <v>1326</v>
      </c>
      <c r="V191" s="4686">
        <f t="shared" si="272"/>
        <v>248.68319092191177</v>
      </c>
      <c r="W191" s="4712">
        <f t="shared" ref="W191:AC200" si="320">SUM(W131)</f>
        <v>359.10560302602937</v>
      </c>
      <c r="X191" s="4712">
        <f t="shared" si="320"/>
        <v>0</v>
      </c>
      <c r="Y191" s="4712">
        <f t="shared" si="320"/>
        <v>0</v>
      </c>
      <c r="Z191" s="4712">
        <f t="shared" si="320"/>
        <v>0</v>
      </c>
      <c r="AA191" s="4712">
        <f t="shared" si="320"/>
        <v>0</v>
      </c>
      <c r="AB191" s="4713">
        <f t="shared" si="320"/>
        <v>1436.4224121041175</v>
      </c>
      <c r="AC191" s="4713">
        <f t="shared" si="320"/>
        <v>1326</v>
      </c>
      <c r="AD191" s="4686">
        <f t="shared" si="275"/>
        <v>-110.42241210411748</v>
      </c>
      <c r="AE191" s="4665"/>
      <c r="AF191" s="4665"/>
      <c r="AG191" s="4665"/>
      <c r="AH191" s="4665"/>
      <c r="AI191" s="4665"/>
      <c r="AJ191" s="4665"/>
      <c r="AK191" s="4665"/>
    </row>
    <row r="192" spans="1:37" ht="18.75">
      <c r="A192" s="4695" t="s">
        <v>542</v>
      </c>
      <c r="B192" s="4712">
        <f t="shared" si="318"/>
        <v>22.79</v>
      </c>
      <c r="C192" s="4712">
        <f t="shared" si="318"/>
        <v>0</v>
      </c>
      <c r="D192" s="4712">
        <f t="shared" si="318"/>
        <v>0</v>
      </c>
      <c r="E192" s="4712">
        <f t="shared" si="318"/>
        <v>21.78</v>
      </c>
      <c r="F192" s="4712">
        <f t="shared" si="318"/>
        <v>21.78</v>
      </c>
      <c r="G192" s="4712">
        <f t="shared" si="318"/>
        <v>22.79</v>
      </c>
      <c r="H192" s="4712">
        <f t="shared" si="318"/>
        <v>0</v>
      </c>
      <c r="I192" s="4712">
        <f t="shared" si="318"/>
        <v>0</v>
      </c>
      <c r="J192" s="4712">
        <f t="shared" si="318"/>
        <v>21.78</v>
      </c>
      <c r="K192" s="4712">
        <f t="shared" si="318"/>
        <v>21.78</v>
      </c>
      <c r="L192" s="4713">
        <f t="shared" si="318"/>
        <v>45.58</v>
      </c>
      <c r="M192" s="4713">
        <f t="shared" si="318"/>
        <v>43.56</v>
      </c>
      <c r="N192" s="4686">
        <f t="shared" si="269"/>
        <v>-2.019999999999996</v>
      </c>
      <c r="O192" s="4712">
        <f t="shared" si="319"/>
        <v>22.79</v>
      </c>
      <c r="P192" s="4712">
        <f t="shared" si="319"/>
        <v>0</v>
      </c>
      <c r="Q192" s="4712">
        <f t="shared" si="319"/>
        <v>0</v>
      </c>
      <c r="R192" s="4712">
        <f t="shared" si="319"/>
        <v>0</v>
      </c>
      <c r="S192" s="4712">
        <f t="shared" si="319"/>
        <v>0</v>
      </c>
      <c r="T192" s="4713">
        <f t="shared" si="319"/>
        <v>68.37</v>
      </c>
      <c r="U192" s="4713">
        <f t="shared" si="319"/>
        <v>43.56</v>
      </c>
      <c r="V192" s="4686">
        <f t="shared" si="272"/>
        <v>-24.810000000000002</v>
      </c>
      <c r="W192" s="4712">
        <f t="shared" si="320"/>
        <v>22.79</v>
      </c>
      <c r="X192" s="4712">
        <f t="shared" si="320"/>
        <v>0</v>
      </c>
      <c r="Y192" s="4712">
        <f t="shared" si="320"/>
        <v>0</v>
      </c>
      <c r="Z192" s="4712">
        <f t="shared" si="320"/>
        <v>0</v>
      </c>
      <c r="AA192" s="4712">
        <f t="shared" si="320"/>
        <v>0</v>
      </c>
      <c r="AB192" s="4713">
        <f t="shared" si="320"/>
        <v>91.16</v>
      </c>
      <c r="AC192" s="4713">
        <f t="shared" si="320"/>
        <v>43.56</v>
      </c>
      <c r="AD192" s="4686">
        <f t="shared" si="275"/>
        <v>-47.599999999999994</v>
      </c>
      <c r="AE192" s="4665"/>
      <c r="AF192" s="4665"/>
      <c r="AG192" s="4665"/>
      <c r="AH192" s="4665"/>
      <c r="AI192" s="4665"/>
      <c r="AJ192" s="4665"/>
      <c r="AK192" s="4665"/>
    </row>
    <row r="193" spans="1:37" ht="18.75">
      <c r="A193" s="4695" t="s">
        <v>543</v>
      </c>
      <c r="B193" s="4712">
        <f t="shared" si="318"/>
        <v>0</v>
      </c>
      <c r="C193" s="4712">
        <f t="shared" si="318"/>
        <v>0</v>
      </c>
      <c r="D193" s="4712">
        <f t="shared" si="318"/>
        <v>0</v>
      </c>
      <c r="E193" s="4712">
        <f t="shared" si="318"/>
        <v>0</v>
      </c>
      <c r="F193" s="4712">
        <f t="shared" si="318"/>
        <v>0</v>
      </c>
      <c r="G193" s="4712">
        <f t="shared" si="318"/>
        <v>0</v>
      </c>
      <c r="H193" s="4712">
        <f t="shared" si="318"/>
        <v>0</v>
      </c>
      <c r="I193" s="4712">
        <f t="shared" si="318"/>
        <v>0</v>
      </c>
      <c r="J193" s="4712">
        <f t="shared" si="318"/>
        <v>0</v>
      </c>
      <c r="K193" s="4712">
        <f t="shared" si="318"/>
        <v>0</v>
      </c>
      <c r="L193" s="4713">
        <f t="shared" si="318"/>
        <v>0</v>
      </c>
      <c r="M193" s="4713">
        <f t="shared" si="318"/>
        <v>0</v>
      </c>
      <c r="N193" s="4686">
        <f t="shared" si="269"/>
        <v>0</v>
      </c>
      <c r="O193" s="4712">
        <f t="shared" si="319"/>
        <v>0</v>
      </c>
      <c r="P193" s="4712">
        <f t="shared" si="319"/>
        <v>0</v>
      </c>
      <c r="Q193" s="4712">
        <f t="shared" si="319"/>
        <v>0</v>
      </c>
      <c r="R193" s="4712">
        <f t="shared" si="319"/>
        <v>0</v>
      </c>
      <c r="S193" s="4712">
        <f t="shared" si="319"/>
        <v>0</v>
      </c>
      <c r="T193" s="4713">
        <f t="shared" si="319"/>
        <v>0</v>
      </c>
      <c r="U193" s="4713">
        <f t="shared" si="319"/>
        <v>0</v>
      </c>
      <c r="V193" s="4686">
        <f t="shared" si="272"/>
        <v>0</v>
      </c>
      <c r="W193" s="4712">
        <f t="shared" si="320"/>
        <v>0</v>
      </c>
      <c r="X193" s="4712">
        <f t="shared" si="320"/>
        <v>0</v>
      </c>
      <c r="Y193" s="4712">
        <f t="shared" si="320"/>
        <v>0</v>
      </c>
      <c r="Z193" s="4712">
        <f t="shared" si="320"/>
        <v>0</v>
      </c>
      <c r="AA193" s="4712">
        <f t="shared" si="320"/>
        <v>0</v>
      </c>
      <c r="AB193" s="4713">
        <f t="shared" si="320"/>
        <v>0</v>
      </c>
      <c r="AC193" s="4713">
        <f t="shared" si="320"/>
        <v>0</v>
      </c>
      <c r="AD193" s="4686">
        <f t="shared" si="275"/>
        <v>0</v>
      </c>
      <c r="AE193" s="4665"/>
      <c r="AF193" s="4665"/>
      <c r="AG193" s="4665"/>
      <c r="AH193" s="4665"/>
      <c r="AI193" s="4665"/>
      <c r="AJ193" s="4665"/>
      <c r="AK193" s="4665"/>
    </row>
    <row r="194" spans="1:37" ht="18.75">
      <c r="A194" s="4695" t="s">
        <v>544</v>
      </c>
      <c r="B194" s="4712">
        <f t="shared" si="318"/>
        <v>499.05999999999995</v>
      </c>
      <c r="C194" s="4712">
        <f t="shared" si="318"/>
        <v>0</v>
      </c>
      <c r="D194" s="4712">
        <f t="shared" si="318"/>
        <v>0</v>
      </c>
      <c r="E194" s="4712">
        <f t="shared" si="318"/>
        <v>0</v>
      </c>
      <c r="F194" s="4712">
        <f t="shared" si="318"/>
        <v>0</v>
      </c>
      <c r="G194" s="4712">
        <f t="shared" si="318"/>
        <v>499.05999999999995</v>
      </c>
      <c r="H194" s="4712">
        <f t="shared" si="318"/>
        <v>0</v>
      </c>
      <c r="I194" s="4712">
        <f t="shared" si="318"/>
        <v>0</v>
      </c>
      <c r="J194" s="4712">
        <f t="shared" si="318"/>
        <v>0</v>
      </c>
      <c r="K194" s="4712">
        <f t="shared" si="318"/>
        <v>0</v>
      </c>
      <c r="L194" s="4713">
        <f t="shared" si="318"/>
        <v>998.11999999999989</v>
      </c>
      <c r="M194" s="4713">
        <f t="shared" si="318"/>
        <v>0</v>
      </c>
      <c r="N194" s="4686">
        <f t="shared" si="269"/>
        <v>-998.11999999999989</v>
      </c>
      <c r="O194" s="4712">
        <f t="shared" si="319"/>
        <v>499.05999999999995</v>
      </c>
      <c r="P194" s="4712">
        <f t="shared" si="319"/>
        <v>0</v>
      </c>
      <c r="Q194" s="4712">
        <f t="shared" si="319"/>
        <v>0</v>
      </c>
      <c r="R194" s="4712">
        <f t="shared" si="319"/>
        <v>0</v>
      </c>
      <c r="S194" s="4712">
        <f t="shared" si="319"/>
        <v>0</v>
      </c>
      <c r="T194" s="4713">
        <f t="shared" si="319"/>
        <v>1497.1799999999998</v>
      </c>
      <c r="U194" s="4713">
        <f t="shared" si="319"/>
        <v>0</v>
      </c>
      <c r="V194" s="4686">
        <f t="shared" si="272"/>
        <v>-1497.1799999999998</v>
      </c>
      <c r="W194" s="4712">
        <f t="shared" si="320"/>
        <v>499.05999999999995</v>
      </c>
      <c r="X194" s="4712">
        <f t="shared" si="320"/>
        <v>0</v>
      </c>
      <c r="Y194" s="4712">
        <f t="shared" si="320"/>
        <v>0</v>
      </c>
      <c r="Z194" s="4712">
        <f t="shared" si="320"/>
        <v>0</v>
      </c>
      <c r="AA194" s="4712">
        <f t="shared" si="320"/>
        <v>0</v>
      </c>
      <c r="AB194" s="4713">
        <f t="shared" si="320"/>
        <v>1996.24</v>
      </c>
      <c r="AC194" s="4713">
        <f t="shared" si="320"/>
        <v>0</v>
      </c>
      <c r="AD194" s="4686">
        <f t="shared" si="275"/>
        <v>-1996.24</v>
      </c>
      <c r="AE194" s="4665"/>
      <c r="AF194" s="4665"/>
      <c r="AG194" s="4665"/>
      <c r="AH194" s="4665"/>
      <c r="AI194" s="4665"/>
      <c r="AJ194" s="4665"/>
      <c r="AK194" s="4665"/>
    </row>
    <row r="195" spans="1:37" ht="18.75">
      <c r="A195" s="4691" t="s">
        <v>1748</v>
      </c>
      <c r="B195" s="4708">
        <f>SUM(B135)</f>
        <v>2637.7937418640818</v>
      </c>
      <c r="C195" s="4708">
        <f t="shared" si="318"/>
        <v>1212.6799999999998</v>
      </c>
      <c r="D195" s="4708">
        <f t="shared" si="318"/>
        <v>1129.96</v>
      </c>
      <c r="E195" s="4708">
        <f t="shared" si="318"/>
        <v>1429.8899999999999</v>
      </c>
      <c r="F195" s="4708">
        <f t="shared" si="318"/>
        <v>3772.5299999999997</v>
      </c>
      <c r="G195" s="4708">
        <f>SUM(G135)</f>
        <v>2637.7937418640818</v>
      </c>
      <c r="H195" s="4708">
        <f t="shared" si="318"/>
        <v>1175.6099999999999</v>
      </c>
      <c r="I195" s="4708">
        <f t="shared" si="318"/>
        <v>1036.8700000000003</v>
      </c>
      <c r="J195" s="4708">
        <f t="shared" si="318"/>
        <v>1272.1199999999999</v>
      </c>
      <c r="K195" s="4708">
        <f t="shared" si="318"/>
        <v>3484.6000000000004</v>
      </c>
      <c r="L195" s="4709">
        <f>SUM(L135)</f>
        <v>5275.5874837281635</v>
      </c>
      <c r="M195" s="4709">
        <f t="shared" si="318"/>
        <v>7257.1299999999992</v>
      </c>
      <c r="N195" s="4680">
        <f t="shared" si="269"/>
        <v>1981.5425162718357</v>
      </c>
      <c r="O195" s="4708">
        <f>SUM(O135)</f>
        <v>2734.441118221685</v>
      </c>
      <c r="P195" s="4708">
        <f t="shared" si="319"/>
        <v>0</v>
      </c>
      <c r="Q195" s="4708">
        <f t="shared" si="319"/>
        <v>0</v>
      </c>
      <c r="R195" s="4708">
        <f t="shared" si="319"/>
        <v>0</v>
      </c>
      <c r="S195" s="4708">
        <f t="shared" si="319"/>
        <v>0</v>
      </c>
      <c r="T195" s="4709">
        <f>SUM(T135)</f>
        <v>8010.028601949849</v>
      </c>
      <c r="U195" s="4709">
        <f t="shared" si="319"/>
        <v>7257.1299999999992</v>
      </c>
      <c r="V195" s="4680">
        <f t="shared" si="272"/>
        <v>-752.89860194984976</v>
      </c>
      <c r="W195" s="4708">
        <f>SUM(W135)</f>
        <v>2734.441118221685</v>
      </c>
      <c r="X195" s="4708">
        <f t="shared" si="320"/>
        <v>0</v>
      </c>
      <c r="Y195" s="4708">
        <f t="shared" si="320"/>
        <v>0</v>
      </c>
      <c r="Z195" s="4708">
        <f t="shared" si="320"/>
        <v>0</v>
      </c>
      <c r="AA195" s="4708">
        <f t="shared" si="320"/>
        <v>0</v>
      </c>
      <c r="AB195" s="4709">
        <f>SUM(AB135)</f>
        <v>10744.469720171532</v>
      </c>
      <c r="AC195" s="4709">
        <f t="shared" si="320"/>
        <v>7257.1299999999992</v>
      </c>
      <c r="AD195" s="4680">
        <f t="shared" si="275"/>
        <v>-3487.3397201715325</v>
      </c>
      <c r="AE195" s="4665"/>
      <c r="AF195" s="4665"/>
      <c r="AG195" s="4665"/>
      <c r="AH195" s="4665"/>
      <c r="AI195" s="4665"/>
      <c r="AJ195" s="4665"/>
      <c r="AK195" s="4665"/>
    </row>
    <row r="196" spans="1:37" ht="18.75">
      <c r="A196" s="4699" t="s">
        <v>1727</v>
      </c>
      <c r="B196" s="4712">
        <f>SUM(B136)</f>
        <v>1855.7483939631879</v>
      </c>
      <c r="C196" s="4712">
        <f t="shared" si="318"/>
        <v>753.93</v>
      </c>
      <c r="D196" s="4712">
        <f t="shared" si="318"/>
        <v>757.53</v>
      </c>
      <c r="E196" s="4712">
        <f t="shared" si="318"/>
        <v>721.16</v>
      </c>
      <c r="F196" s="4712">
        <f t="shared" si="318"/>
        <v>2232.62</v>
      </c>
      <c r="G196" s="4712">
        <f>SUM(G136)</f>
        <v>1855.7483939631879</v>
      </c>
      <c r="H196" s="4712">
        <f t="shared" si="318"/>
        <v>735</v>
      </c>
      <c r="I196" s="4712">
        <f t="shared" si="318"/>
        <v>685.88000000000011</v>
      </c>
      <c r="J196" s="4712">
        <f t="shared" si="318"/>
        <v>875.19</v>
      </c>
      <c r="K196" s="4712">
        <f t="shared" si="318"/>
        <v>2296.0700000000002</v>
      </c>
      <c r="L196" s="4713">
        <f>SUM(L136)</f>
        <v>3711.4967879263759</v>
      </c>
      <c r="M196" s="4713">
        <f>SUM(M136)</f>
        <v>4528.6900000000005</v>
      </c>
      <c r="N196" s="4686">
        <f t="shared" si="269"/>
        <v>817.19321207362464</v>
      </c>
      <c r="O196" s="4712">
        <f>SUM(O136)</f>
        <v>1929.9783297217159</v>
      </c>
      <c r="P196" s="4712">
        <f t="shared" si="319"/>
        <v>0</v>
      </c>
      <c r="Q196" s="4712">
        <f t="shared" si="319"/>
        <v>0</v>
      </c>
      <c r="R196" s="4712">
        <f t="shared" si="319"/>
        <v>0</v>
      </c>
      <c r="S196" s="4712">
        <f t="shared" si="319"/>
        <v>0</v>
      </c>
      <c r="T196" s="4713">
        <f>SUM(T136)</f>
        <v>5641.4751176480913</v>
      </c>
      <c r="U196" s="4713">
        <f>SUM(U136)</f>
        <v>4528.6900000000005</v>
      </c>
      <c r="V196" s="4686">
        <f t="shared" si="272"/>
        <v>-1112.7851176480908</v>
      </c>
      <c r="W196" s="4712">
        <f>SUM(W136)</f>
        <v>1929.9783297217159</v>
      </c>
      <c r="X196" s="4712">
        <f t="shared" si="320"/>
        <v>0</v>
      </c>
      <c r="Y196" s="4712">
        <f t="shared" si="320"/>
        <v>0</v>
      </c>
      <c r="Z196" s="4712">
        <f t="shared" si="320"/>
        <v>0</v>
      </c>
      <c r="AA196" s="4712">
        <f t="shared" si="320"/>
        <v>0</v>
      </c>
      <c r="AB196" s="4713">
        <f>SUM(AB136)</f>
        <v>7571.4534473698077</v>
      </c>
      <c r="AC196" s="4713">
        <f>SUM(AC136)</f>
        <v>4528.6900000000005</v>
      </c>
      <c r="AD196" s="4686">
        <f t="shared" si="275"/>
        <v>-3042.7634473698072</v>
      </c>
      <c r="AE196" s="4665"/>
      <c r="AF196" s="4665"/>
      <c r="AG196" s="4665"/>
      <c r="AH196" s="4665"/>
      <c r="AI196" s="4665"/>
      <c r="AJ196" s="4665"/>
      <c r="AK196" s="4665"/>
    </row>
    <row r="197" spans="1:37" ht="18.75">
      <c r="A197" s="4699" t="s">
        <v>1728</v>
      </c>
      <c r="B197" s="4712">
        <f>SUM(B137)</f>
        <v>560.4360149768828</v>
      </c>
      <c r="C197" s="4712">
        <f t="shared" si="318"/>
        <v>244.85</v>
      </c>
      <c r="D197" s="4712">
        <f t="shared" si="318"/>
        <v>228.12</v>
      </c>
      <c r="E197" s="4712">
        <f t="shared" si="318"/>
        <v>220.34</v>
      </c>
      <c r="F197" s="4712">
        <f t="shared" si="318"/>
        <v>693.31000000000006</v>
      </c>
      <c r="G197" s="4712">
        <f>SUM(G137)</f>
        <v>560.4360149768828</v>
      </c>
      <c r="H197" s="4712">
        <f t="shared" si="318"/>
        <v>220.11</v>
      </c>
      <c r="I197" s="4712">
        <f t="shared" si="318"/>
        <v>225.33</v>
      </c>
      <c r="J197" s="4712">
        <f t="shared" si="318"/>
        <v>264.56</v>
      </c>
      <c r="K197" s="4712">
        <f t="shared" si="318"/>
        <v>710</v>
      </c>
      <c r="L197" s="4713">
        <f>SUM(L137)</f>
        <v>1120.8720299537656</v>
      </c>
      <c r="M197" s="4713">
        <f>SUM(M137)</f>
        <v>1403.31</v>
      </c>
      <c r="N197" s="4686">
        <f t="shared" si="269"/>
        <v>282.43797004623434</v>
      </c>
      <c r="O197" s="4712">
        <f>SUM(O137)</f>
        <v>582.85345557595804</v>
      </c>
      <c r="P197" s="4712">
        <f t="shared" si="319"/>
        <v>0</v>
      </c>
      <c r="Q197" s="4712">
        <f t="shared" si="319"/>
        <v>0</v>
      </c>
      <c r="R197" s="4712">
        <f t="shared" si="319"/>
        <v>0</v>
      </c>
      <c r="S197" s="4712">
        <f t="shared" si="319"/>
        <v>0</v>
      </c>
      <c r="T197" s="4713">
        <f>SUM(T137)</f>
        <v>1703.7254855297238</v>
      </c>
      <c r="U197" s="4713">
        <f>SUM(U137)</f>
        <v>1403.31</v>
      </c>
      <c r="V197" s="4686">
        <f t="shared" si="272"/>
        <v>-300.41548552972381</v>
      </c>
      <c r="W197" s="4712">
        <f>SUM(W137)</f>
        <v>582.85345557595804</v>
      </c>
      <c r="X197" s="4712">
        <f t="shared" si="320"/>
        <v>0</v>
      </c>
      <c r="Y197" s="4712">
        <f t="shared" si="320"/>
        <v>0</v>
      </c>
      <c r="Z197" s="4712">
        <f t="shared" si="320"/>
        <v>0</v>
      </c>
      <c r="AA197" s="4712">
        <f t="shared" si="320"/>
        <v>0</v>
      </c>
      <c r="AB197" s="4713">
        <f>SUM(AB137)</f>
        <v>2286.5789411056817</v>
      </c>
      <c r="AC197" s="4713">
        <f>SUM(AC137)</f>
        <v>1403.31</v>
      </c>
      <c r="AD197" s="4686">
        <f t="shared" si="275"/>
        <v>-883.26894110568173</v>
      </c>
      <c r="AE197" s="4665"/>
      <c r="AF197" s="4665"/>
      <c r="AG197" s="4665"/>
      <c r="AH197" s="4665"/>
      <c r="AI197" s="4665"/>
      <c r="AJ197" s="4665"/>
      <c r="AK197" s="4665"/>
    </row>
    <row r="198" spans="1:37" ht="18.75">
      <c r="A198" s="4700" t="s">
        <v>285</v>
      </c>
      <c r="B198" s="4712"/>
      <c r="C198" s="4712">
        <f t="shared" si="318"/>
        <v>0.13</v>
      </c>
      <c r="D198" s="4712">
        <f t="shared" si="318"/>
        <v>0.12</v>
      </c>
      <c r="E198" s="4712">
        <f t="shared" si="318"/>
        <v>2.35</v>
      </c>
      <c r="F198" s="4712">
        <f t="shared" si="318"/>
        <v>2.6</v>
      </c>
      <c r="G198" s="4712"/>
      <c r="H198" s="4712">
        <f t="shared" si="318"/>
        <v>2.59</v>
      </c>
      <c r="I198" s="4712">
        <f t="shared" si="318"/>
        <v>2.76</v>
      </c>
      <c r="J198" s="4712">
        <f t="shared" si="318"/>
        <v>3.16</v>
      </c>
      <c r="K198" s="4712">
        <f t="shared" si="318"/>
        <v>8.51</v>
      </c>
      <c r="L198" s="4713"/>
      <c r="M198" s="4713">
        <f t="shared" ref="M198:M200" si="321">SUM(M138)</f>
        <v>11.11</v>
      </c>
      <c r="N198" s="4686"/>
      <c r="O198" s="4712"/>
      <c r="P198" s="4712">
        <f t="shared" si="319"/>
        <v>0</v>
      </c>
      <c r="Q198" s="4712">
        <f t="shared" si="319"/>
        <v>0</v>
      </c>
      <c r="R198" s="4712">
        <f t="shared" si="319"/>
        <v>0</v>
      </c>
      <c r="S198" s="4712">
        <f t="shared" si="319"/>
        <v>0</v>
      </c>
      <c r="T198" s="4713"/>
      <c r="U198" s="4713">
        <f t="shared" ref="U198:U200" si="322">SUM(U138)</f>
        <v>11.11</v>
      </c>
      <c r="V198" s="4686"/>
      <c r="W198" s="4712"/>
      <c r="X198" s="4712">
        <f t="shared" si="320"/>
        <v>0</v>
      </c>
      <c r="Y198" s="4712">
        <f t="shared" si="320"/>
        <v>0</v>
      </c>
      <c r="Z198" s="4712">
        <f t="shared" si="320"/>
        <v>0</v>
      </c>
      <c r="AA198" s="4712">
        <f t="shared" si="320"/>
        <v>0</v>
      </c>
      <c r="AB198" s="4713"/>
      <c r="AC198" s="4713">
        <f t="shared" ref="AC198:AC200" si="323">SUM(AC138)</f>
        <v>11.11</v>
      </c>
      <c r="AD198" s="4686"/>
      <c r="AE198" s="4665"/>
      <c r="AF198" s="4665"/>
      <c r="AG198" s="4665"/>
      <c r="AH198" s="4665"/>
      <c r="AI198" s="4665"/>
      <c r="AJ198" s="4665"/>
      <c r="AK198" s="4665"/>
    </row>
    <row r="199" spans="1:37" ht="18.75">
      <c r="A199" s="4700" t="s">
        <v>1997</v>
      </c>
      <c r="B199" s="4712"/>
      <c r="C199" s="4712">
        <f t="shared" si="318"/>
        <v>10.02</v>
      </c>
      <c r="D199" s="4712">
        <f t="shared" si="318"/>
        <v>10.82</v>
      </c>
      <c r="E199" s="4712">
        <f t="shared" si="318"/>
        <v>10.31</v>
      </c>
      <c r="F199" s="4712">
        <f t="shared" si="318"/>
        <v>31.15</v>
      </c>
      <c r="G199" s="4712"/>
      <c r="H199" s="4712">
        <f t="shared" si="318"/>
        <v>8.0500000000000007</v>
      </c>
      <c r="I199" s="4712">
        <f t="shared" si="318"/>
        <v>2.58</v>
      </c>
      <c r="J199" s="4712">
        <f t="shared" si="318"/>
        <v>0</v>
      </c>
      <c r="K199" s="4712">
        <f t="shared" si="318"/>
        <v>10.63</v>
      </c>
      <c r="L199" s="4713"/>
      <c r="M199" s="4713">
        <f t="shared" si="321"/>
        <v>41.78</v>
      </c>
      <c r="N199" s="4686"/>
      <c r="O199" s="4712"/>
      <c r="P199" s="4712">
        <f t="shared" si="319"/>
        <v>0</v>
      </c>
      <c r="Q199" s="4712">
        <f t="shared" si="319"/>
        <v>0</v>
      </c>
      <c r="R199" s="4712">
        <f t="shared" si="319"/>
        <v>0</v>
      </c>
      <c r="S199" s="4712">
        <f t="shared" si="319"/>
        <v>0</v>
      </c>
      <c r="T199" s="4713"/>
      <c r="U199" s="4713">
        <f t="shared" si="322"/>
        <v>41.78</v>
      </c>
      <c r="V199" s="4686"/>
      <c r="W199" s="4712"/>
      <c r="X199" s="4712">
        <f t="shared" si="320"/>
        <v>0</v>
      </c>
      <c r="Y199" s="4712">
        <f t="shared" si="320"/>
        <v>0</v>
      </c>
      <c r="Z199" s="4712">
        <f t="shared" si="320"/>
        <v>0</v>
      </c>
      <c r="AA199" s="4712">
        <f t="shared" si="320"/>
        <v>0</v>
      </c>
      <c r="AB199" s="4713"/>
      <c r="AC199" s="4713">
        <f t="shared" si="323"/>
        <v>41.78</v>
      </c>
      <c r="AD199" s="4686"/>
      <c r="AE199" s="4665"/>
      <c r="AF199" s="4665"/>
      <c r="AG199" s="4665"/>
      <c r="AH199" s="4665"/>
      <c r="AI199" s="4665"/>
      <c r="AJ199" s="4665"/>
      <c r="AK199" s="4665"/>
    </row>
    <row r="200" spans="1:37" ht="18.75">
      <c r="A200" s="4700" t="s">
        <v>286</v>
      </c>
      <c r="B200" s="4712"/>
      <c r="C200" s="4712">
        <f t="shared" si="318"/>
        <v>6.3</v>
      </c>
      <c r="D200" s="4712">
        <f t="shared" si="318"/>
        <v>6.35</v>
      </c>
      <c r="E200" s="4712">
        <f t="shared" si="318"/>
        <v>5.98</v>
      </c>
      <c r="F200" s="4712">
        <f t="shared" si="318"/>
        <v>18.63</v>
      </c>
      <c r="G200" s="4712"/>
      <c r="H200" s="4712">
        <f t="shared" si="318"/>
        <v>6.29</v>
      </c>
      <c r="I200" s="4712">
        <f t="shared" si="318"/>
        <v>6.4399999999999995</v>
      </c>
      <c r="J200" s="4712">
        <f t="shared" si="318"/>
        <v>6.33</v>
      </c>
      <c r="K200" s="4712">
        <f t="shared" si="318"/>
        <v>19.060000000000002</v>
      </c>
      <c r="L200" s="4713"/>
      <c r="M200" s="4713">
        <f t="shared" si="321"/>
        <v>37.69</v>
      </c>
      <c r="N200" s="4686"/>
      <c r="O200" s="4712"/>
      <c r="P200" s="4712">
        <f t="shared" si="319"/>
        <v>0</v>
      </c>
      <c r="Q200" s="4712">
        <f t="shared" si="319"/>
        <v>0</v>
      </c>
      <c r="R200" s="4712">
        <f t="shared" si="319"/>
        <v>0</v>
      </c>
      <c r="S200" s="4712">
        <f t="shared" si="319"/>
        <v>0</v>
      </c>
      <c r="T200" s="4713"/>
      <c r="U200" s="4713">
        <f t="shared" si="322"/>
        <v>37.69</v>
      </c>
      <c r="V200" s="4686"/>
      <c r="W200" s="4712"/>
      <c r="X200" s="4712">
        <f t="shared" si="320"/>
        <v>0</v>
      </c>
      <c r="Y200" s="4712">
        <f t="shared" si="320"/>
        <v>0</v>
      </c>
      <c r="Z200" s="4712">
        <f t="shared" si="320"/>
        <v>0</v>
      </c>
      <c r="AA200" s="4712">
        <f t="shared" si="320"/>
        <v>0</v>
      </c>
      <c r="AB200" s="4713"/>
      <c r="AC200" s="4713">
        <f t="shared" si="323"/>
        <v>37.69</v>
      </c>
      <c r="AD200" s="4686"/>
      <c r="AE200" s="4665"/>
      <c r="AF200" s="4665"/>
      <c r="AG200" s="4665"/>
      <c r="AH200" s="4665"/>
      <c r="AI200" s="4665"/>
      <c r="AJ200" s="4665"/>
      <c r="AK200" s="4665"/>
    </row>
    <row r="201" spans="1:37" ht="18.75">
      <c r="A201" s="4695" t="s">
        <v>1729</v>
      </c>
      <c r="B201" s="4712">
        <f t="shared" ref="B201:M201" si="324">SUM(B141)</f>
        <v>221.60933292401057</v>
      </c>
      <c r="C201" s="4712">
        <f t="shared" si="324"/>
        <v>197.45</v>
      </c>
      <c r="D201" s="4712">
        <f t="shared" si="324"/>
        <v>127.02</v>
      </c>
      <c r="E201" s="4712">
        <f t="shared" si="324"/>
        <v>469.75</v>
      </c>
      <c r="F201" s="4712">
        <f t="shared" si="324"/>
        <v>794.22</v>
      </c>
      <c r="G201" s="4712">
        <f t="shared" si="324"/>
        <v>221.60933292401057</v>
      </c>
      <c r="H201" s="4712">
        <f t="shared" si="324"/>
        <v>203.57</v>
      </c>
      <c r="I201" s="4712">
        <f t="shared" si="324"/>
        <v>113.88</v>
      </c>
      <c r="J201" s="4712">
        <f t="shared" si="324"/>
        <v>122.88</v>
      </c>
      <c r="K201" s="4712">
        <f t="shared" si="324"/>
        <v>440.33</v>
      </c>
      <c r="L201" s="4713">
        <f t="shared" si="324"/>
        <v>443.21866584802115</v>
      </c>
      <c r="M201" s="4713">
        <f t="shared" si="324"/>
        <v>1234.55</v>
      </c>
      <c r="N201" s="4686">
        <f t="shared" si="269"/>
        <v>791.33133415197881</v>
      </c>
      <c r="O201" s="4712">
        <f t="shared" ref="O201:U202" si="325">SUM(O141)</f>
        <v>221.60933292401057</v>
      </c>
      <c r="P201" s="4712">
        <f t="shared" si="325"/>
        <v>0</v>
      </c>
      <c r="Q201" s="4712">
        <f t="shared" si="325"/>
        <v>0</v>
      </c>
      <c r="R201" s="4712">
        <f t="shared" si="325"/>
        <v>0</v>
      </c>
      <c r="S201" s="4712">
        <f t="shared" si="325"/>
        <v>0</v>
      </c>
      <c r="T201" s="4713">
        <f t="shared" si="325"/>
        <v>664.82799877203172</v>
      </c>
      <c r="U201" s="4713">
        <f t="shared" si="325"/>
        <v>1234.55</v>
      </c>
      <c r="V201" s="4686">
        <f t="shared" si="272"/>
        <v>569.72200122796824</v>
      </c>
      <c r="W201" s="4712">
        <f t="shared" ref="W201:AC202" si="326">SUM(W141)</f>
        <v>221.60933292401057</v>
      </c>
      <c r="X201" s="4712">
        <f t="shared" si="326"/>
        <v>0</v>
      </c>
      <c r="Y201" s="4712">
        <f t="shared" si="326"/>
        <v>0</v>
      </c>
      <c r="Z201" s="4712">
        <f t="shared" si="326"/>
        <v>0</v>
      </c>
      <c r="AA201" s="4712">
        <f t="shared" si="326"/>
        <v>0</v>
      </c>
      <c r="AB201" s="4713">
        <f t="shared" si="326"/>
        <v>886.43733169604229</v>
      </c>
      <c r="AC201" s="4713">
        <f t="shared" si="326"/>
        <v>1234.55</v>
      </c>
      <c r="AD201" s="4686">
        <f t="shared" si="275"/>
        <v>348.11266830395766</v>
      </c>
      <c r="AE201" s="4665"/>
      <c r="AF201" s="4665"/>
      <c r="AG201" s="4665"/>
      <c r="AH201" s="4665"/>
      <c r="AI201" s="4665"/>
      <c r="AJ201" s="4665"/>
      <c r="AK201" s="4665"/>
    </row>
    <row r="202" spans="1:37" ht="18.75">
      <c r="A202" s="4677" t="s">
        <v>1730</v>
      </c>
      <c r="B202" s="4708">
        <f t="shared" ref="B202:M202" si="327">SUM(B142)</f>
        <v>0</v>
      </c>
      <c r="C202" s="4708">
        <f t="shared" si="327"/>
        <v>0</v>
      </c>
      <c r="D202" s="4708">
        <f t="shared" si="327"/>
        <v>0</v>
      </c>
      <c r="E202" s="4708">
        <f t="shared" si="327"/>
        <v>0</v>
      </c>
      <c r="F202" s="4708">
        <f t="shared" si="327"/>
        <v>0</v>
      </c>
      <c r="G202" s="4708">
        <f t="shared" si="327"/>
        <v>0</v>
      </c>
      <c r="H202" s="4708">
        <f t="shared" si="327"/>
        <v>0</v>
      </c>
      <c r="I202" s="4708">
        <f t="shared" si="327"/>
        <v>0</v>
      </c>
      <c r="J202" s="4708">
        <f t="shared" si="327"/>
        <v>0</v>
      </c>
      <c r="K202" s="4708">
        <f t="shared" si="327"/>
        <v>0</v>
      </c>
      <c r="L202" s="4709">
        <f t="shared" si="327"/>
        <v>0</v>
      </c>
      <c r="M202" s="4709">
        <f t="shared" si="327"/>
        <v>0</v>
      </c>
      <c r="N202" s="4680">
        <f t="shared" si="269"/>
        <v>0</v>
      </c>
      <c r="O202" s="4708">
        <f t="shared" si="325"/>
        <v>0</v>
      </c>
      <c r="P202" s="4708">
        <f t="shared" si="325"/>
        <v>0</v>
      </c>
      <c r="Q202" s="4708">
        <f t="shared" si="325"/>
        <v>0</v>
      </c>
      <c r="R202" s="4708">
        <f t="shared" si="325"/>
        <v>0</v>
      </c>
      <c r="S202" s="4708">
        <f t="shared" si="325"/>
        <v>0</v>
      </c>
      <c r="T202" s="4709">
        <f t="shared" si="325"/>
        <v>0</v>
      </c>
      <c r="U202" s="4709">
        <f t="shared" si="325"/>
        <v>0</v>
      </c>
      <c r="V202" s="4680">
        <f t="shared" si="272"/>
        <v>0</v>
      </c>
      <c r="W202" s="4708">
        <f t="shared" si="326"/>
        <v>0</v>
      </c>
      <c r="X202" s="4708">
        <f t="shared" si="326"/>
        <v>0</v>
      </c>
      <c r="Y202" s="4708">
        <f t="shared" si="326"/>
        <v>0</v>
      </c>
      <c r="Z202" s="4708">
        <f t="shared" si="326"/>
        <v>0</v>
      </c>
      <c r="AA202" s="4708">
        <f t="shared" si="326"/>
        <v>0</v>
      </c>
      <c r="AB202" s="4709">
        <f t="shared" si="326"/>
        <v>0</v>
      </c>
      <c r="AC202" s="4709">
        <f t="shared" si="326"/>
        <v>0</v>
      </c>
      <c r="AD202" s="4680">
        <f t="shared" si="275"/>
        <v>0</v>
      </c>
      <c r="AE202" s="4665"/>
      <c r="AF202" s="4665"/>
      <c r="AG202" s="4665"/>
      <c r="AH202" s="4665"/>
      <c r="AI202" s="4665"/>
      <c r="AJ202" s="4665"/>
      <c r="AK202" s="4665"/>
    </row>
    <row r="203" spans="1:37" ht="18.75">
      <c r="A203" s="4677" t="s">
        <v>1731</v>
      </c>
      <c r="B203" s="4708">
        <f>SUM(B143)</f>
        <v>109.20990090616635</v>
      </c>
      <c r="C203" s="4708">
        <f t="shared" ref="C203:Q203" si="328">SUM(C143)</f>
        <v>0</v>
      </c>
      <c r="D203" s="4708">
        <f t="shared" si="328"/>
        <v>0</v>
      </c>
      <c r="E203" s="4708">
        <f t="shared" si="328"/>
        <v>0</v>
      </c>
      <c r="F203" s="4708">
        <f t="shared" si="328"/>
        <v>0</v>
      </c>
      <c r="G203" s="4708">
        <f t="shared" si="328"/>
        <v>109.20990090616635</v>
      </c>
      <c r="H203" s="4708">
        <f t="shared" si="328"/>
        <v>0</v>
      </c>
      <c r="I203" s="4708">
        <f t="shared" si="328"/>
        <v>0</v>
      </c>
      <c r="J203" s="4708">
        <f t="shared" si="328"/>
        <v>0</v>
      </c>
      <c r="K203" s="4708">
        <f t="shared" si="328"/>
        <v>0</v>
      </c>
      <c r="L203" s="4709">
        <f t="shared" si="328"/>
        <v>218.41980181233271</v>
      </c>
      <c r="M203" s="4709">
        <f t="shared" si="328"/>
        <v>0</v>
      </c>
      <c r="N203" s="4686">
        <f t="shared" si="269"/>
        <v>-218.41980181233271</v>
      </c>
      <c r="O203" s="4708">
        <f t="shared" si="328"/>
        <v>109.20990090616635</v>
      </c>
      <c r="P203" s="4708">
        <f t="shared" si="328"/>
        <v>0</v>
      </c>
      <c r="Q203" s="4708">
        <f t="shared" si="328"/>
        <v>0</v>
      </c>
      <c r="R203" s="4708">
        <f t="shared" ref="R203:AC203" si="329">SUM(R143)</f>
        <v>0</v>
      </c>
      <c r="S203" s="4708">
        <f t="shared" si="329"/>
        <v>0</v>
      </c>
      <c r="T203" s="4709">
        <f t="shared" si="329"/>
        <v>327.62970271849906</v>
      </c>
      <c r="U203" s="4709">
        <f t="shared" si="329"/>
        <v>0</v>
      </c>
      <c r="V203" s="4686">
        <f t="shared" si="272"/>
        <v>-327.62970271849906</v>
      </c>
      <c r="W203" s="4708">
        <f t="shared" si="329"/>
        <v>109.20990090616635</v>
      </c>
      <c r="X203" s="4708">
        <f t="shared" si="329"/>
        <v>0</v>
      </c>
      <c r="Y203" s="4708">
        <f t="shared" si="329"/>
        <v>0</v>
      </c>
      <c r="Z203" s="4708">
        <f t="shared" si="329"/>
        <v>0</v>
      </c>
      <c r="AA203" s="4708">
        <f t="shared" si="329"/>
        <v>0</v>
      </c>
      <c r="AB203" s="4709">
        <f t="shared" si="329"/>
        <v>436.83960362466541</v>
      </c>
      <c r="AC203" s="4709">
        <f t="shared" si="329"/>
        <v>0</v>
      </c>
      <c r="AD203" s="4686">
        <f t="shared" si="275"/>
        <v>-436.83960362466541</v>
      </c>
      <c r="AE203" s="4665"/>
      <c r="AF203" s="4665"/>
      <c r="AG203" s="4665"/>
      <c r="AH203" s="4665"/>
      <c r="AI203" s="4665"/>
      <c r="AJ203" s="4665"/>
      <c r="AK203" s="4665"/>
    </row>
    <row r="204" spans="1:37" ht="18.75">
      <c r="A204" s="4696" t="s">
        <v>12</v>
      </c>
      <c r="B204" s="4703">
        <f t="shared" ref="B204:M204" si="330">SUM(B177+B178+B179+B180+B181+B182+B183+B185+B190+B195+B202+B203)</f>
        <v>32529.201343468536</v>
      </c>
      <c r="C204" s="4703">
        <f t="shared" si="330"/>
        <v>10514.97</v>
      </c>
      <c r="D204" s="4703">
        <f t="shared" si="330"/>
        <v>9444.4000000000015</v>
      </c>
      <c r="E204" s="4703">
        <f t="shared" si="330"/>
        <v>12013.359999999999</v>
      </c>
      <c r="F204" s="4703">
        <f t="shared" si="330"/>
        <v>31972.73</v>
      </c>
      <c r="G204" s="4703">
        <f t="shared" si="330"/>
        <v>30861.491857305962</v>
      </c>
      <c r="H204" s="4703">
        <f t="shared" si="330"/>
        <v>11127.480000000001</v>
      </c>
      <c r="I204" s="4703">
        <f t="shared" si="330"/>
        <v>10121.700000000001</v>
      </c>
      <c r="J204" s="4703">
        <f t="shared" si="330"/>
        <v>11471.89</v>
      </c>
      <c r="K204" s="4703">
        <f t="shared" si="330"/>
        <v>32721.07</v>
      </c>
      <c r="L204" s="4704">
        <f t="shared" si="330"/>
        <v>63390.693200774498</v>
      </c>
      <c r="M204" s="4704">
        <f t="shared" si="330"/>
        <v>64693.799999999996</v>
      </c>
      <c r="N204" s="4676">
        <f t="shared" si="269"/>
        <v>1303.1067992254975</v>
      </c>
      <c r="O204" s="4703">
        <f t="shared" ref="O204:U204" si="331">SUM(O177+O178+O179+O180+O181+O182+O183+O185+O190+O195+O202+O203)</f>
        <v>31483.093207352998</v>
      </c>
      <c r="P204" s="4703">
        <f t="shared" si="331"/>
        <v>0</v>
      </c>
      <c r="Q204" s="4703">
        <f t="shared" si="331"/>
        <v>0</v>
      </c>
      <c r="R204" s="4703">
        <f t="shared" si="331"/>
        <v>0</v>
      </c>
      <c r="S204" s="4703">
        <f t="shared" si="331"/>
        <v>0</v>
      </c>
      <c r="T204" s="4704">
        <f t="shared" si="331"/>
        <v>94873.786408127475</v>
      </c>
      <c r="U204" s="4704">
        <f t="shared" si="331"/>
        <v>64693.799999999996</v>
      </c>
      <c r="V204" s="4676">
        <f t="shared" si="272"/>
        <v>-30179.986408127479</v>
      </c>
      <c r="W204" s="4703">
        <f t="shared" ref="W204:AC204" si="332">SUM(W177+W178+W179+W180+W181+W182+W183+W185+W190+W195+W202+W203)</f>
        <v>33268.60411641618</v>
      </c>
      <c r="X204" s="4703">
        <f t="shared" si="332"/>
        <v>0</v>
      </c>
      <c r="Y204" s="4703">
        <f t="shared" si="332"/>
        <v>0</v>
      </c>
      <c r="Z204" s="4703">
        <f t="shared" si="332"/>
        <v>0</v>
      </c>
      <c r="AA204" s="4703">
        <f t="shared" si="332"/>
        <v>0</v>
      </c>
      <c r="AB204" s="4704">
        <f t="shared" si="332"/>
        <v>128142.39052398228</v>
      </c>
      <c r="AC204" s="4704">
        <f t="shared" si="332"/>
        <v>64693.799999999996</v>
      </c>
      <c r="AD204" s="4676">
        <f t="shared" si="275"/>
        <v>-63448.590523982282</v>
      </c>
      <c r="AE204" s="4665"/>
      <c r="AF204" s="4665"/>
      <c r="AG204" s="4665"/>
      <c r="AH204" s="4665"/>
      <c r="AI204" s="4665"/>
      <c r="AJ204" s="4665"/>
      <c r="AK204" s="4665"/>
    </row>
    <row r="205" spans="1:37" ht="18.75">
      <c r="A205" s="4696" t="s">
        <v>13</v>
      </c>
      <c r="B205" s="4703">
        <f>SUM(B166)</f>
        <v>925.27281000000016</v>
      </c>
      <c r="C205" s="4703">
        <f t="shared" ref="C205:F205" si="333">SUM(C166)</f>
        <v>319.33</v>
      </c>
      <c r="D205" s="4703">
        <f t="shared" si="333"/>
        <v>315.57</v>
      </c>
      <c r="E205" s="4703">
        <f t="shared" si="333"/>
        <v>297.38000000000005</v>
      </c>
      <c r="F205" s="4703">
        <f t="shared" si="333"/>
        <v>932.28</v>
      </c>
      <c r="G205" s="4703">
        <f>SUM(G166)</f>
        <v>885.4371900000001</v>
      </c>
      <c r="H205" s="4703">
        <f t="shared" ref="H205:K205" si="334">SUM(H166)</f>
        <v>320.52</v>
      </c>
      <c r="I205" s="4703">
        <f t="shared" si="334"/>
        <v>305.08999999999997</v>
      </c>
      <c r="J205" s="4703">
        <f t="shared" si="334"/>
        <v>324.98</v>
      </c>
      <c r="K205" s="4703">
        <f t="shared" si="334"/>
        <v>950.59000000000015</v>
      </c>
      <c r="L205" s="4704">
        <f>SUM(L166)</f>
        <v>1810.7100000000003</v>
      </c>
      <c r="M205" s="4704">
        <f t="shared" ref="M205" si="335">SUM(M166)</f>
        <v>1882.87</v>
      </c>
      <c r="N205" s="4676">
        <f t="shared" si="269"/>
        <v>72.159999999999627</v>
      </c>
      <c r="O205" s="4703">
        <f>SUM(O166)</f>
        <v>885.4371900000001</v>
      </c>
      <c r="P205" s="4703">
        <f t="shared" ref="P205:S205" si="336">SUM(P166)</f>
        <v>0</v>
      </c>
      <c r="Q205" s="4703">
        <f t="shared" si="336"/>
        <v>0</v>
      </c>
      <c r="R205" s="4703">
        <f t="shared" si="336"/>
        <v>0</v>
      </c>
      <c r="S205" s="4703">
        <f t="shared" si="336"/>
        <v>0</v>
      </c>
      <c r="T205" s="4704">
        <f>SUM(T166)</f>
        <v>2696.1471900000006</v>
      </c>
      <c r="U205" s="4704">
        <f t="shared" ref="U205" si="337">SUM(U166)</f>
        <v>1882.87</v>
      </c>
      <c r="V205" s="4676">
        <f t="shared" si="272"/>
        <v>-813.2771900000007</v>
      </c>
      <c r="W205" s="4703">
        <f>SUM(W166)</f>
        <v>925.27281000000016</v>
      </c>
      <c r="X205" s="4703">
        <f t="shared" ref="X205:AA205" si="338">SUM(X166)</f>
        <v>0</v>
      </c>
      <c r="Y205" s="4703">
        <f t="shared" si="338"/>
        <v>0</v>
      </c>
      <c r="Z205" s="4703">
        <f t="shared" si="338"/>
        <v>0</v>
      </c>
      <c r="AA205" s="4703">
        <f t="shared" si="338"/>
        <v>0</v>
      </c>
      <c r="AB205" s="4704">
        <f>SUM(AB166)</f>
        <v>3621.42</v>
      </c>
      <c r="AC205" s="4704">
        <f t="shared" ref="AC205" si="339">SUM(AC166)</f>
        <v>1882.87</v>
      </c>
      <c r="AD205" s="4676">
        <f t="shared" si="275"/>
        <v>-1738.5500000000002</v>
      </c>
      <c r="AE205" s="4665"/>
      <c r="AF205" s="4665"/>
      <c r="AG205" s="4665"/>
      <c r="AH205" s="4665"/>
      <c r="AI205" s="4665"/>
      <c r="AJ205" s="4665"/>
      <c r="AK205" s="4665"/>
    </row>
    <row r="206" spans="1:37" ht="18.75">
      <c r="A206" s="4696" t="s">
        <v>14</v>
      </c>
      <c r="B206" s="4703">
        <f>SUM(B204/B205)</f>
        <v>35.156335506571871</v>
      </c>
      <c r="C206" s="4703">
        <f t="shared" ref="C206:F206" si="340">SUM(C204/C205)</f>
        <v>32.928224720508567</v>
      </c>
      <c r="D206" s="4703">
        <f t="shared" si="340"/>
        <v>29.928066673004409</v>
      </c>
      <c r="E206" s="4703">
        <f t="shared" si="340"/>
        <v>40.397336740870259</v>
      </c>
      <c r="F206" s="4703">
        <f t="shared" si="340"/>
        <v>34.295201012571333</v>
      </c>
      <c r="G206" s="4703">
        <f>SUM(G204/G205)</f>
        <v>34.854524076751233</v>
      </c>
      <c r="H206" s="4703">
        <f t="shared" ref="H206:M206" si="341">SUM(H204/H205)</f>
        <v>34.716959940097347</v>
      </c>
      <c r="I206" s="4703">
        <f t="shared" si="341"/>
        <v>33.176111966960576</v>
      </c>
      <c r="J206" s="4703">
        <f t="shared" si="341"/>
        <v>35.300295402794013</v>
      </c>
      <c r="K206" s="4703">
        <f t="shared" si="341"/>
        <v>34.421853796063495</v>
      </c>
      <c r="L206" s="4704">
        <f>SUM(L204/L205)</f>
        <v>35.008749717389584</v>
      </c>
      <c r="M206" s="4704">
        <f t="shared" si="341"/>
        <v>34.359143222845972</v>
      </c>
      <c r="N206" s="4676">
        <f t="shared" si="269"/>
        <v>-0.64960649454361175</v>
      </c>
      <c r="O206" s="4703">
        <f>SUM(O204/O205)</f>
        <v>35.556551681947077</v>
      </c>
      <c r="P206" s="4703" t="e">
        <f t="shared" ref="P206:S206" si="342">SUM(P204/P205)</f>
        <v>#DIV/0!</v>
      </c>
      <c r="Q206" s="4703" t="e">
        <f t="shared" si="342"/>
        <v>#DIV/0!</v>
      </c>
      <c r="R206" s="4703" t="e">
        <f t="shared" si="342"/>
        <v>#DIV/0!</v>
      </c>
      <c r="S206" s="4703" t="e">
        <f t="shared" si="342"/>
        <v>#DIV/0!</v>
      </c>
      <c r="T206" s="4704">
        <f>SUM(T204/T205)</f>
        <v>35.188652444500796</v>
      </c>
      <c r="U206" s="4704">
        <f t="shared" ref="U206" si="343">SUM(U204/U205)</f>
        <v>34.359143222845972</v>
      </c>
      <c r="V206" s="4676">
        <f t="shared" si="272"/>
        <v>-0.8295092216548241</v>
      </c>
      <c r="W206" s="4703">
        <f>SUM(W204/W205)</f>
        <v>35.955454171852487</v>
      </c>
      <c r="X206" s="4703" t="e">
        <f t="shared" ref="X206:AA206" si="344">SUM(X204/X205)</f>
        <v>#DIV/0!</v>
      </c>
      <c r="Y206" s="4703" t="e">
        <f t="shared" si="344"/>
        <v>#DIV/0!</v>
      </c>
      <c r="Z206" s="4703" t="e">
        <f t="shared" si="344"/>
        <v>#DIV/0!</v>
      </c>
      <c r="AA206" s="4703" t="e">
        <f t="shared" si="344"/>
        <v>#DIV/0!</v>
      </c>
      <c r="AB206" s="4704">
        <f>SUM(AB204/AB205)</f>
        <v>35.384570285684141</v>
      </c>
      <c r="AC206" s="4704">
        <f t="shared" ref="AC206" si="345">SUM(AC204/AC205)</f>
        <v>34.359143222845972</v>
      </c>
      <c r="AD206" s="4676">
        <f t="shared" si="275"/>
        <v>-1.025427062838169</v>
      </c>
      <c r="AE206" s="4665"/>
      <c r="AF206" s="4665"/>
      <c r="AG206" s="4665"/>
      <c r="AH206" s="4665"/>
      <c r="AI206" s="4665"/>
      <c r="AJ206" s="4665"/>
      <c r="AK206" s="4665"/>
    </row>
    <row r="207" spans="1:37" ht="18.75">
      <c r="A207" s="4701" t="s">
        <v>1998</v>
      </c>
      <c r="B207" s="4674">
        <f>SUM(B208:B209)</f>
        <v>0</v>
      </c>
      <c r="C207" s="4674">
        <f t="shared" ref="C207:F207" si="346">SUM(C208:C209)</f>
        <v>0</v>
      </c>
      <c r="D207" s="4674">
        <f t="shared" si="346"/>
        <v>0</v>
      </c>
      <c r="E207" s="4674">
        <f t="shared" si="346"/>
        <v>0</v>
      </c>
      <c r="F207" s="4674">
        <f t="shared" si="346"/>
        <v>0</v>
      </c>
      <c r="G207" s="4674">
        <f>SUM(G208:G209)</f>
        <v>0</v>
      </c>
      <c r="H207" s="4674">
        <f t="shared" ref="H207:M207" si="347">SUM(H208:H209)</f>
        <v>0</v>
      </c>
      <c r="I207" s="4674">
        <f t="shared" si="347"/>
        <v>0</v>
      </c>
      <c r="J207" s="4674">
        <f t="shared" si="347"/>
        <v>0</v>
      </c>
      <c r="K207" s="4674">
        <f t="shared" si="347"/>
        <v>0</v>
      </c>
      <c r="L207" s="4676">
        <f>SUM(L208:L209)</f>
        <v>0</v>
      </c>
      <c r="M207" s="4676">
        <f t="shared" si="347"/>
        <v>0</v>
      </c>
      <c r="N207" s="4676">
        <f t="shared" si="269"/>
        <v>0</v>
      </c>
      <c r="O207" s="4674">
        <f>SUM(O208:O209)</f>
        <v>0</v>
      </c>
      <c r="P207" s="4674">
        <f t="shared" ref="P207:S207" si="348">SUM(P208:P209)</f>
        <v>0</v>
      </c>
      <c r="Q207" s="4674">
        <f t="shared" si="348"/>
        <v>0</v>
      </c>
      <c r="R207" s="4674">
        <f t="shared" si="348"/>
        <v>0</v>
      </c>
      <c r="S207" s="4674">
        <f t="shared" si="348"/>
        <v>0</v>
      </c>
      <c r="T207" s="4676">
        <f>SUM(T208:T209)</f>
        <v>0</v>
      </c>
      <c r="U207" s="4676">
        <f t="shared" ref="U207" si="349">SUM(U208:U209)</f>
        <v>0</v>
      </c>
      <c r="V207" s="4676">
        <f t="shared" si="272"/>
        <v>0</v>
      </c>
      <c r="W207" s="4674">
        <f>SUM(W208:W209)</f>
        <v>0</v>
      </c>
      <c r="X207" s="4674">
        <f t="shared" ref="X207:AA207" si="350">SUM(X208:X209)</f>
        <v>0</v>
      </c>
      <c r="Y207" s="4674">
        <f t="shared" si="350"/>
        <v>0</v>
      </c>
      <c r="Z207" s="4674">
        <f t="shared" si="350"/>
        <v>0</v>
      </c>
      <c r="AA207" s="4674">
        <f t="shared" si="350"/>
        <v>0</v>
      </c>
      <c r="AB207" s="4676">
        <f>SUM(AB208:AB209)</f>
        <v>0</v>
      </c>
      <c r="AC207" s="4676">
        <f t="shared" ref="AC207" si="351">SUM(AC208:AC209)</f>
        <v>0</v>
      </c>
      <c r="AD207" s="4676">
        <f t="shared" si="275"/>
        <v>0</v>
      </c>
      <c r="AE207" s="4665"/>
      <c r="AF207" s="4665"/>
      <c r="AG207" s="4665"/>
      <c r="AH207" s="4665"/>
      <c r="AI207" s="4665"/>
      <c r="AJ207" s="4665"/>
      <c r="AK207" s="4665"/>
    </row>
    <row r="208" spans="1:37" ht="18.75">
      <c r="A208" s="4695" t="s">
        <v>2003</v>
      </c>
      <c r="B208" s="4684">
        <f>SUM(B148)</f>
        <v>0</v>
      </c>
      <c r="C208" s="4684">
        <f t="shared" ref="C208:AD209" si="352">SUM(C148)</f>
        <v>0</v>
      </c>
      <c r="D208" s="4684">
        <f t="shared" si="352"/>
        <v>0</v>
      </c>
      <c r="E208" s="4684">
        <f t="shared" si="352"/>
        <v>0</v>
      </c>
      <c r="F208" s="4684">
        <f t="shared" si="352"/>
        <v>0</v>
      </c>
      <c r="G208" s="4684">
        <f t="shared" si="352"/>
        <v>0</v>
      </c>
      <c r="H208" s="4684">
        <f t="shared" si="352"/>
        <v>0</v>
      </c>
      <c r="I208" s="4684">
        <f t="shared" si="352"/>
        <v>0</v>
      </c>
      <c r="J208" s="4684">
        <f t="shared" si="352"/>
        <v>0</v>
      </c>
      <c r="K208" s="4684">
        <f t="shared" si="352"/>
        <v>0</v>
      </c>
      <c r="L208" s="4686">
        <f t="shared" si="352"/>
        <v>0</v>
      </c>
      <c r="M208" s="4686">
        <f t="shared" si="352"/>
        <v>0</v>
      </c>
      <c r="N208" s="4686">
        <f t="shared" si="352"/>
        <v>0</v>
      </c>
      <c r="O208" s="4684">
        <f t="shared" si="352"/>
        <v>0</v>
      </c>
      <c r="P208" s="4684">
        <f t="shared" si="352"/>
        <v>0</v>
      </c>
      <c r="Q208" s="4684">
        <f t="shared" si="352"/>
        <v>0</v>
      </c>
      <c r="R208" s="4684">
        <f t="shared" si="352"/>
        <v>0</v>
      </c>
      <c r="S208" s="4684">
        <f t="shared" si="352"/>
        <v>0</v>
      </c>
      <c r="T208" s="4686">
        <f t="shared" si="352"/>
        <v>0</v>
      </c>
      <c r="U208" s="4686">
        <f t="shared" si="352"/>
        <v>0</v>
      </c>
      <c r="V208" s="4686">
        <f t="shared" si="352"/>
        <v>0</v>
      </c>
      <c r="W208" s="4684">
        <f t="shared" si="352"/>
        <v>0</v>
      </c>
      <c r="X208" s="4684">
        <f t="shared" si="352"/>
        <v>0</v>
      </c>
      <c r="Y208" s="4684">
        <f t="shared" si="352"/>
        <v>0</v>
      </c>
      <c r="Z208" s="4684">
        <f t="shared" si="352"/>
        <v>0</v>
      </c>
      <c r="AA208" s="4684">
        <f t="shared" si="352"/>
        <v>0</v>
      </c>
      <c r="AB208" s="4686">
        <f t="shared" si="352"/>
        <v>0</v>
      </c>
      <c r="AC208" s="4686">
        <f t="shared" si="352"/>
        <v>0</v>
      </c>
      <c r="AD208" s="4686">
        <f t="shared" si="352"/>
        <v>0</v>
      </c>
      <c r="AE208" s="4665"/>
      <c r="AF208" s="4665"/>
      <c r="AG208" s="4665"/>
      <c r="AH208" s="4665"/>
      <c r="AI208" s="4665"/>
      <c r="AJ208" s="4665"/>
      <c r="AK208" s="4665"/>
    </row>
    <row r="209" spans="1:37" ht="18.75">
      <c r="A209" s="4695" t="s">
        <v>2000</v>
      </c>
      <c r="B209" s="4684">
        <f>SUM(B149)</f>
        <v>0</v>
      </c>
      <c r="C209" s="4684">
        <f t="shared" si="352"/>
        <v>0</v>
      </c>
      <c r="D209" s="4684">
        <f t="shared" si="352"/>
        <v>0</v>
      </c>
      <c r="E209" s="4684">
        <f t="shared" si="352"/>
        <v>0</v>
      </c>
      <c r="F209" s="4684">
        <f t="shared" si="352"/>
        <v>0</v>
      </c>
      <c r="G209" s="4684">
        <f t="shared" si="352"/>
        <v>0</v>
      </c>
      <c r="H209" s="4684">
        <f t="shared" si="352"/>
        <v>0</v>
      </c>
      <c r="I209" s="4684">
        <f t="shared" si="352"/>
        <v>0</v>
      </c>
      <c r="J209" s="4684">
        <f t="shared" si="352"/>
        <v>0</v>
      </c>
      <c r="K209" s="4684">
        <f t="shared" si="352"/>
        <v>0</v>
      </c>
      <c r="L209" s="4686">
        <f t="shared" si="352"/>
        <v>0</v>
      </c>
      <c r="M209" s="4686">
        <f t="shared" si="352"/>
        <v>0</v>
      </c>
      <c r="N209" s="4686">
        <f t="shared" si="352"/>
        <v>0</v>
      </c>
      <c r="O209" s="4684">
        <f t="shared" si="352"/>
        <v>0</v>
      </c>
      <c r="P209" s="4684">
        <f t="shared" si="352"/>
        <v>0</v>
      </c>
      <c r="Q209" s="4684">
        <f t="shared" si="352"/>
        <v>0</v>
      </c>
      <c r="R209" s="4684">
        <f t="shared" si="352"/>
        <v>0</v>
      </c>
      <c r="S209" s="4684">
        <f t="shared" si="352"/>
        <v>0</v>
      </c>
      <c r="T209" s="4686">
        <f t="shared" si="352"/>
        <v>0</v>
      </c>
      <c r="U209" s="4686">
        <f t="shared" si="352"/>
        <v>0</v>
      </c>
      <c r="V209" s="4686">
        <f t="shared" si="352"/>
        <v>0</v>
      </c>
      <c r="W209" s="4684">
        <f t="shared" si="352"/>
        <v>0</v>
      </c>
      <c r="X209" s="4684">
        <f t="shared" si="352"/>
        <v>0</v>
      </c>
      <c r="Y209" s="4684">
        <f t="shared" si="352"/>
        <v>0</v>
      </c>
      <c r="Z209" s="4684">
        <f t="shared" si="352"/>
        <v>0</v>
      </c>
      <c r="AA209" s="4684">
        <f t="shared" si="352"/>
        <v>0</v>
      </c>
      <c r="AB209" s="4686">
        <f t="shared" si="352"/>
        <v>0</v>
      </c>
      <c r="AC209" s="4686">
        <f t="shared" si="352"/>
        <v>0</v>
      </c>
      <c r="AD209" s="4686">
        <f t="shared" si="352"/>
        <v>0</v>
      </c>
      <c r="AE209" s="4665"/>
      <c r="AF209" s="4665"/>
      <c r="AG209" s="4665"/>
      <c r="AH209" s="4665"/>
      <c r="AI209" s="4665"/>
      <c r="AJ209" s="4665"/>
      <c r="AK209" s="4665"/>
    </row>
    <row r="210" spans="1:37" ht="18.75">
      <c r="A210" s="4701" t="s">
        <v>2001</v>
      </c>
      <c r="B210" s="4703">
        <f>SUM(B204+B207)</f>
        <v>32529.201343468536</v>
      </c>
      <c r="C210" s="4703">
        <f t="shared" ref="C210:F210" si="353">SUM(C204+C207)</f>
        <v>10514.97</v>
      </c>
      <c r="D210" s="4703">
        <f t="shared" si="353"/>
        <v>9444.4000000000015</v>
      </c>
      <c r="E210" s="4703">
        <f t="shared" si="353"/>
        <v>12013.359999999999</v>
      </c>
      <c r="F210" s="4703">
        <f t="shared" si="353"/>
        <v>31972.73</v>
      </c>
      <c r="G210" s="4703">
        <f>SUM(G204+G207)</f>
        <v>30861.491857305962</v>
      </c>
      <c r="H210" s="4703">
        <f t="shared" ref="H210:K210" si="354">SUM(H204+H207)</f>
        <v>11127.480000000001</v>
      </c>
      <c r="I210" s="4703">
        <f t="shared" si="354"/>
        <v>10121.700000000001</v>
      </c>
      <c r="J210" s="4703">
        <f t="shared" si="354"/>
        <v>11471.89</v>
      </c>
      <c r="K210" s="4703">
        <f t="shared" si="354"/>
        <v>32721.07</v>
      </c>
      <c r="L210" s="4704">
        <f>SUM(L204+L207)</f>
        <v>63390.693200774498</v>
      </c>
      <c r="M210" s="4704">
        <f t="shared" ref="M210" si="355">SUM(M204+M207)</f>
        <v>64693.799999999996</v>
      </c>
      <c r="N210" s="4676">
        <f t="shared" si="269"/>
        <v>1303.1067992254975</v>
      </c>
      <c r="O210" s="4703">
        <f>SUM(O204+O207)</f>
        <v>31483.093207352998</v>
      </c>
      <c r="P210" s="4703">
        <f t="shared" ref="P210:S210" si="356">SUM(P204+P207)</f>
        <v>0</v>
      </c>
      <c r="Q210" s="4703">
        <f t="shared" si="356"/>
        <v>0</v>
      </c>
      <c r="R210" s="4703">
        <f t="shared" si="356"/>
        <v>0</v>
      </c>
      <c r="S210" s="4703">
        <f t="shared" si="356"/>
        <v>0</v>
      </c>
      <c r="T210" s="4704">
        <f>SUM(T204+T207)</f>
        <v>94873.786408127475</v>
      </c>
      <c r="U210" s="4704">
        <f t="shared" ref="U210" si="357">SUM(U204+U207)</f>
        <v>64693.799999999996</v>
      </c>
      <c r="V210" s="4676">
        <f t="shared" si="272"/>
        <v>-30179.986408127479</v>
      </c>
      <c r="W210" s="4703">
        <f>SUM(W204+W207)</f>
        <v>33268.60411641618</v>
      </c>
      <c r="X210" s="4703">
        <f t="shared" ref="X210:AA210" si="358">SUM(X204+X207)</f>
        <v>0</v>
      </c>
      <c r="Y210" s="4703">
        <f t="shared" si="358"/>
        <v>0</v>
      </c>
      <c r="Z210" s="4703">
        <f t="shared" si="358"/>
        <v>0</v>
      </c>
      <c r="AA210" s="4703">
        <f t="shared" si="358"/>
        <v>0</v>
      </c>
      <c r="AB210" s="4704">
        <f>SUM(AB204+AB207)</f>
        <v>128142.39052398228</v>
      </c>
      <c r="AC210" s="4704">
        <f t="shared" ref="AC210" si="359">SUM(AC204+AC207)</f>
        <v>64693.799999999996</v>
      </c>
      <c r="AD210" s="4676">
        <f t="shared" si="275"/>
        <v>-63448.590523982282</v>
      </c>
      <c r="AE210" s="4665"/>
      <c r="AF210" s="4665"/>
      <c r="AG210" s="4665"/>
      <c r="AH210" s="4665"/>
      <c r="AI210" s="4665"/>
      <c r="AJ210" s="4665"/>
      <c r="AK210" s="4665"/>
    </row>
    <row r="211" spans="1:37" ht="18.75">
      <c r="A211" s="4879" t="s">
        <v>1408</v>
      </c>
      <c r="B211" s="4879"/>
      <c r="C211" s="4879"/>
      <c r="D211" s="4879" t="s">
        <v>1409</v>
      </c>
      <c r="E211" s="4879"/>
      <c r="F211" s="4714"/>
      <c r="G211" s="4714"/>
      <c r="H211" s="4714"/>
      <c r="I211" s="4714"/>
      <c r="J211" s="4714"/>
      <c r="K211" s="4714"/>
      <c r="L211" s="4714"/>
      <c r="M211" s="4714"/>
      <c r="N211" s="4714"/>
      <c r="O211" s="4714"/>
      <c r="P211" s="4714"/>
      <c r="Q211" s="4714"/>
      <c r="R211" s="4714"/>
      <c r="S211" s="4714"/>
      <c r="T211" s="4714"/>
      <c r="U211" s="4714"/>
      <c r="V211" s="4714"/>
      <c r="W211" s="4714"/>
      <c r="X211" s="4714"/>
      <c r="Y211" s="4714"/>
      <c r="Z211" s="4714"/>
      <c r="AA211" s="4714"/>
      <c r="AB211" s="4714"/>
      <c r="AC211" s="4714"/>
      <c r="AD211" s="4714"/>
      <c r="AE211" s="4665"/>
      <c r="AF211" s="4665"/>
      <c r="AG211" s="4665"/>
      <c r="AH211" s="4665"/>
      <c r="AI211" s="4665"/>
      <c r="AJ211" s="4665"/>
      <c r="AK211" s="4665"/>
    </row>
    <row r="212" spans="1:37" ht="20.25">
      <c r="A212" s="4660" t="s">
        <v>2039</v>
      </c>
      <c r="B212" s="4665"/>
      <c r="C212" s="4665"/>
      <c r="D212" s="4665"/>
      <c r="E212" s="4665"/>
      <c r="F212" s="4665"/>
      <c r="G212" s="4665"/>
      <c r="H212" s="4665"/>
      <c r="I212" s="4665"/>
      <c r="J212" s="4665"/>
      <c r="K212" s="4665"/>
      <c r="L212" s="4665"/>
      <c r="M212" s="4665"/>
      <c r="N212" s="4665"/>
      <c r="O212" s="4665"/>
      <c r="P212" s="4665"/>
      <c r="Q212" s="4665"/>
      <c r="R212" s="4665"/>
      <c r="S212" s="4665"/>
      <c r="T212" s="4665"/>
      <c r="U212" s="4665"/>
      <c r="V212" s="4665"/>
      <c r="W212" s="4665"/>
      <c r="X212" s="4665"/>
      <c r="Y212" s="4665"/>
      <c r="Z212" s="4665"/>
      <c r="AA212" s="4665"/>
      <c r="AB212" s="4665"/>
      <c r="AC212" s="4665"/>
      <c r="AD212" s="4665"/>
      <c r="AE212" s="4665"/>
      <c r="AF212" s="4665"/>
      <c r="AG212" s="4665"/>
      <c r="AH212" s="4665"/>
      <c r="AI212" s="4665"/>
      <c r="AJ212" s="4665"/>
      <c r="AK212" s="4665"/>
    </row>
    <row r="213" spans="1:37" ht="20.25">
      <c r="A213" s="4666"/>
      <c r="B213" s="4665"/>
      <c r="C213" s="4665"/>
      <c r="D213" s="4665"/>
      <c r="E213" s="4665"/>
      <c r="F213" s="4665"/>
      <c r="G213" s="4665"/>
      <c r="H213" s="4665"/>
      <c r="I213" s="4665"/>
      <c r="J213" s="4665"/>
      <c r="K213" s="4665"/>
      <c r="L213" s="4665"/>
      <c r="M213" s="4665"/>
      <c r="N213" s="4665"/>
      <c r="O213" s="4665"/>
      <c r="P213" s="4665"/>
      <c r="Q213" s="4665"/>
      <c r="R213" s="4665"/>
      <c r="S213" s="4665"/>
      <c r="T213" s="4665"/>
      <c r="U213" s="4665"/>
      <c r="V213" s="4665"/>
      <c r="W213" s="4665"/>
      <c r="X213" s="4665"/>
      <c r="Y213" s="4665"/>
      <c r="Z213" s="4665"/>
      <c r="AA213" s="4665"/>
      <c r="AB213" s="4665"/>
      <c r="AC213" s="4665"/>
      <c r="AD213" s="4665"/>
      <c r="AE213" s="4665"/>
      <c r="AF213" s="4665"/>
      <c r="AG213" s="4665"/>
      <c r="AH213" s="4665"/>
      <c r="AI213" s="4665"/>
      <c r="AJ213" s="4665"/>
      <c r="AK213" s="4665"/>
    </row>
    <row r="214" spans="1:37" ht="18.75">
      <c r="A214" s="4927" t="s">
        <v>545</v>
      </c>
      <c r="B214" s="4928" t="s">
        <v>1983</v>
      </c>
      <c r="C214" s="4928"/>
      <c r="D214" s="4928"/>
      <c r="E214" s="4928"/>
      <c r="F214" s="4928"/>
      <c r="G214" s="4928" t="s">
        <v>1984</v>
      </c>
      <c r="H214" s="4928"/>
      <c r="I214" s="4928"/>
      <c r="J214" s="4928"/>
      <c r="K214" s="4928"/>
      <c r="L214" s="4926" t="s">
        <v>1985</v>
      </c>
      <c r="M214" s="4926"/>
      <c r="N214" s="4926"/>
      <c r="O214" s="4928" t="s">
        <v>1986</v>
      </c>
      <c r="P214" s="4928"/>
      <c r="Q214" s="4928"/>
      <c r="R214" s="4928"/>
      <c r="S214" s="4928"/>
      <c r="T214" s="4926" t="s">
        <v>1987</v>
      </c>
      <c r="U214" s="4926"/>
      <c r="V214" s="4926"/>
      <c r="W214" s="4928" t="s">
        <v>1988</v>
      </c>
      <c r="X214" s="4928"/>
      <c r="Y214" s="4928"/>
      <c r="Z214" s="4928"/>
      <c r="AA214" s="4928"/>
      <c r="AB214" s="4926" t="s">
        <v>886</v>
      </c>
      <c r="AC214" s="4926"/>
      <c r="AD214" s="4926"/>
      <c r="AE214" s="4665"/>
      <c r="AF214" s="4665"/>
      <c r="AG214" s="4665"/>
      <c r="AH214" s="4665"/>
      <c r="AI214" s="4665"/>
      <c r="AJ214" s="4665"/>
      <c r="AK214" s="4665"/>
    </row>
    <row r="215" spans="1:37" ht="12.75" customHeight="1">
      <c r="A215" s="4933"/>
      <c r="B215" s="4927" t="s">
        <v>1989</v>
      </c>
      <c r="C215" s="4928" t="s">
        <v>586</v>
      </c>
      <c r="D215" s="4928" t="s">
        <v>587</v>
      </c>
      <c r="E215" s="4928" t="s">
        <v>588</v>
      </c>
      <c r="F215" s="4927" t="s">
        <v>1990</v>
      </c>
      <c r="G215" s="4927" t="s">
        <v>1989</v>
      </c>
      <c r="H215" s="4928" t="s">
        <v>1562</v>
      </c>
      <c r="I215" s="4928" t="s">
        <v>590</v>
      </c>
      <c r="J215" s="4928" t="s">
        <v>591</v>
      </c>
      <c r="K215" s="4927" t="s">
        <v>1990</v>
      </c>
      <c r="L215" s="4929" t="s">
        <v>1989</v>
      </c>
      <c r="M215" s="4929" t="s">
        <v>1990</v>
      </c>
      <c r="N215" s="4926" t="s">
        <v>1991</v>
      </c>
      <c r="O215" s="4927" t="s">
        <v>1989</v>
      </c>
      <c r="P215" s="4928" t="s">
        <v>592</v>
      </c>
      <c r="Q215" s="4928" t="s">
        <v>593</v>
      </c>
      <c r="R215" s="4928" t="s">
        <v>594</v>
      </c>
      <c r="S215" s="4927" t="s">
        <v>1990</v>
      </c>
      <c r="T215" s="4929" t="s">
        <v>1989</v>
      </c>
      <c r="U215" s="4929" t="s">
        <v>1990</v>
      </c>
      <c r="V215" s="4926" t="s">
        <v>1991</v>
      </c>
      <c r="W215" s="4927" t="s">
        <v>1989</v>
      </c>
      <c r="X215" s="4928" t="s">
        <v>595</v>
      </c>
      <c r="Y215" s="4928" t="s">
        <v>596</v>
      </c>
      <c r="Z215" s="4928" t="s">
        <v>597</v>
      </c>
      <c r="AA215" s="4927" t="s">
        <v>1990</v>
      </c>
      <c r="AB215" s="4929" t="s">
        <v>1989</v>
      </c>
      <c r="AC215" s="4929" t="s">
        <v>1990</v>
      </c>
      <c r="AD215" s="4926" t="s">
        <v>1991</v>
      </c>
      <c r="AE215" s="4665"/>
      <c r="AF215" s="4665"/>
      <c r="AG215" s="4665"/>
      <c r="AH215" s="4665"/>
      <c r="AI215" s="4665"/>
      <c r="AJ215" s="4665"/>
      <c r="AK215" s="4665"/>
    </row>
    <row r="216" spans="1:37" ht="12.75" customHeight="1">
      <c r="A216" s="4933"/>
      <c r="B216" s="4927"/>
      <c r="C216" s="4928"/>
      <c r="D216" s="4928"/>
      <c r="E216" s="4928"/>
      <c r="F216" s="4927"/>
      <c r="G216" s="4927"/>
      <c r="H216" s="4928"/>
      <c r="I216" s="4928"/>
      <c r="J216" s="4928"/>
      <c r="K216" s="4927"/>
      <c r="L216" s="4929"/>
      <c r="M216" s="4929"/>
      <c r="N216" s="4926"/>
      <c r="O216" s="4927"/>
      <c r="P216" s="4928"/>
      <c r="Q216" s="4928"/>
      <c r="R216" s="4928"/>
      <c r="S216" s="4927"/>
      <c r="T216" s="4929"/>
      <c r="U216" s="4929"/>
      <c r="V216" s="4926"/>
      <c r="W216" s="4927"/>
      <c r="X216" s="4928"/>
      <c r="Y216" s="4928"/>
      <c r="Z216" s="4928"/>
      <c r="AA216" s="4927"/>
      <c r="AB216" s="4929"/>
      <c r="AC216" s="4929"/>
      <c r="AD216" s="4926"/>
      <c r="AE216" s="4665"/>
      <c r="AF216" s="4665"/>
      <c r="AG216" s="4665"/>
      <c r="AH216" s="4665"/>
      <c r="AI216" s="4665"/>
      <c r="AJ216" s="4665"/>
      <c r="AK216" s="4665"/>
    </row>
    <row r="217" spans="1:37" ht="18.75">
      <c r="A217" s="4698" t="s">
        <v>72</v>
      </c>
      <c r="B217" s="4708">
        <f t="shared" ref="B217:M218" si="360">SUM(B34+B59+B94+B118)</f>
        <v>1492.8161169313494</v>
      </c>
      <c r="C217" s="4708">
        <f t="shared" si="360"/>
        <v>601.05999999999995</v>
      </c>
      <c r="D217" s="4708">
        <f t="shared" si="360"/>
        <v>577.16999999999996</v>
      </c>
      <c r="E217" s="4708">
        <f t="shared" si="360"/>
        <v>603.05999999999995</v>
      </c>
      <c r="F217" s="4708">
        <f t="shared" si="360"/>
        <v>1781.29</v>
      </c>
      <c r="G217" s="4708">
        <f t="shared" si="360"/>
        <v>1492.8161169313494</v>
      </c>
      <c r="H217" s="4708">
        <f t="shared" si="360"/>
        <v>628.80000000000007</v>
      </c>
      <c r="I217" s="4708">
        <f t="shared" si="360"/>
        <v>583.38</v>
      </c>
      <c r="J217" s="4708">
        <f t="shared" si="360"/>
        <v>677.25</v>
      </c>
      <c r="K217" s="4708">
        <f t="shared" si="360"/>
        <v>1889.4299999999998</v>
      </c>
      <c r="L217" s="4709">
        <f t="shared" si="360"/>
        <v>2985.6322338626987</v>
      </c>
      <c r="M217" s="4709">
        <f t="shared" si="360"/>
        <v>3670.7200000000003</v>
      </c>
      <c r="N217" s="4680">
        <f t="shared" ref="N217:N249" si="361">SUM(M217-L217)</f>
        <v>685.08776613730151</v>
      </c>
      <c r="O217" s="4708">
        <f t="shared" ref="O217:U218" si="362">SUM(O34+O59+O94+O118)</f>
        <v>1552.5287616086036</v>
      </c>
      <c r="P217" s="4708">
        <f t="shared" si="362"/>
        <v>0</v>
      </c>
      <c r="Q217" s="4708">
        <f t="shared" si="362"/>
        <v>0</v>
      </c>
      <c r="R217" s="4708">
        <f t="shared" si="362"/>
        <v>0</v>
      </c>
      <c r="S217" s="4708">
        <f t="shared" si="362"/>
        <v>0</v>
      </c>
      <c r="T217" s="4709">
        <f t="shared" si="362"/>
        <v>4538.1609954713022</v>
      </c>
      <c r="U217" s="4709">
        <f t="shared" si="362"/>
        <v>3670.7200000000003</v>
      </c>
      <c r="V217" s="4680">
        <f t="shared" ref="V217:V249" si="363">SUM(U217-T217)</f>
        <v>-867.4409954713019</v>
      </c>
      <c r="W217" s="4708">
        <f t="shared" ref="W217:AC218" si="364">SUM(W34+W59+W94+W118)</f>
        <v>1552.5287616086036</v>
      </c>
      <c r="X217" s="4708">
        <f t="shared" si="364"/>
        <v>0</v>
      </c>
      <c r="Y217" s="4708">
        <f t="shared" si="364"/>
        <v>0</v>
      </c>
      <c r="Z217" s="4708">
        <f t="shared" si="364"/>
        <v>0</v>
      </c>
      <c r="AA217" s="4708">
        <f t="shared" si="364"/>
        <v>0</v>
      </c>
      <c r="AB217" s="4709">
        <f t="shared" si="364"/>
        <v>6090.6897570799065</v>
      </c>
      <c r="AC217" s="4709">
        <f t="shared" si="364"/>
        <v>3670.7200000000003</v>
      </c>
      <c r="AD217" s="4680">
        <f t="shared" ref="AD217:AD249" si="365">SUM(AC217-AB217)</f>
        <v>-2419.9697570799062</v>
      </c>
      <c r="AE217" s="4665"/>
      <c r="AF217" s="4665"/>
      <c r="AG217" s="4665"/>
      <c r="AH217" s="4665"/>
      <c r="AI217" s="4665"/>
      <c r="AJ217" s="4665"/>
      <c r="AK217" s="4665"/>
    </row>
    <row r="218" spans="1:37" ht="18.75">
      <c r="A218" s="4698" t="s">
        <v>121</v>
      </c>
      <c r="B218" s="4708">
        <f t="shared" si="360"/>
        <v>450.69897416302723</v>
      </c>
      <c r="C218" s="4708">
        <f t="shared" si="360"/>
        <v>180.43</v>
      </c>
      <c r="D218" s="4708">
        <f t="shared" si="360"/>
        <v>171.59999999999997</v>
      </c>
      <c r="E218" s="4708">
        <f t="shared" si="360"/>
        <v>180.66</v>
      </c>
      <c r="F218" s="4708">
        <f t="shared" si="360"/>
        <v>532.68999999999994</v>
      </c>
      <c r="G218" s="4708">
        <f t="shared" si="360"/>
        <v>450.69897416302723</v>
      </c>
      <c r="H218" s="4708">
        <f t="shared" si="360"/>
        <v>188.43</v>
      </c>
      <c r="I218" s="4708">
        <f t="shared" si="360"/>
        <v>176.19</v>
      </c>
      <c r="J218" s="4708">
        <f t="shared" si="360"/>
        <v>204.53</v>
      </c>
      <c r="K218" s="4708">
        <f t="shared" si="360"/>
        <v>569.15</v>
      </c>
      <c r="L218" s="4709">
        <f t="shared" si="360"/>
        <v>901.39794832605446</v>
      </c>
      <c r="M218" s="4709">
        <f t="shared" si="360"/>
        <v>1101.8399999999999</v>
      </c>
      <c r="N218" s="4680">
        <f t="shared" si="361"/>
        <v>200.44205167394546</v>
      </c>
      <c r="O218" s="4708">
        <f t="shared" si="362"/>
        <v>468.72693312954846</v>
      </c>
      <c r="P218" s="4708">
        <f t="shared" si="362"/>
        <v>0</v>
      </c>
      <c r="Q218" s="4708">
        <f t="shared" si="362"/>
        <v>0</v>
      </c>
      <c r="R218" s="4708">
        <f t="shared" si="362"/>
        <v>0</v>
      </c>
      <c r="S218" s="4708">
        <f t="shared" si="362"/>
        <v>0</v>
      </c>
      <c r="T218" s="4709">
        <f t="shared" si="362"/>
        <v>1370.1248814556029</v>
      </c>
      <c r="U218" s="4709">
        <f t="shared" si="362"/>
        <v>1101.8399999999999</v>
      </c>
      <c r="V218" s="4680">
        <f t="shared" si="363"/>
        <v>-268.284881455603</v>
      </c>
      <c r="W218" s="4708">
        <f t="shared" si="364"/>
        <v>468.72693312954846</v>
      </c>
      <c r="X218" s="4708">
        <f t="shared" si="364"/>
        <v>0</v>
      </c>
      <c r="Y218" s="4708">
        <f t="shared" si="364"/>
        <v>0</v>
      </c>
      <c r="Z218" s="4708">
        <f t="shared" si="364"/>
        <v>0</v>
      </c>
      <c r="AA218" s="4708">
        <f t="shared" si="364"/>
        <v>0</v>
      </c>
      <c r="AB218" s="4709">
        <f t="shared" si="364"/>
        <v>1838.8518145851513</v>
      </c>
      <c r="AC218" s="4709">
        <f t="shared" si="364"/>
        <v>1101.8399999999999</v>
      </c>
      <c r="AD218" s="4680">
        <f t="shared" si="365"/>
        <v>-737.01181458515134</v>
      </c>
      <c r="AE218" s="4665"/>
      <c r="AF218" s="4665"/>
      <c r="AG218" s="4665"/>
      <c r="AH218" s="4665"/>
      <c r="AI218" s="4665"/>
      <c r="AJ218" s="4665"/>
      <c r="AK218" s="4665"/>
    </row>
    <row r="219" spans="1:37" ht="18.75">
      <c r="A219" s="4698" t="s">
        <v>1555</v>
      </c>
      <c r="B219" s="4708">
        <f>SUM(B36)</f>
        <v>274.24256052553886</v>
      </c>
      <c r="C219" s="4708">
        <f t="shared" ref="C219:M219" si="366">SUM(C36)</f>
        <v>60.65</v>
      </c>
      <c r="D219" s="4708">
        <f t="shared" si="366"/>
        <v>55.69</v>
      </c>
      <c r="E219" s="4708">
        <f t="shared" si="366"/>
        <v>61.65</v>
      </c>
      <c r="F219" s="4708">
        <f t="shared" si="366"/>
        <v>177.99</v>
      </c>
      <c r="G219" s="4708">
        <f t="shared" si="366"/>
        <v>274.24256052553886</v>
      </c>
      <c r="H219" s="4708">
        <f t="shared" si="366"/>
        <v>59.66</v>
      </c>
      <c r="I219" s="4708">
        <f t="shared" si="366"/>
        <v>61.66</v>
      </c>
      <c r="J219" s="4708">
        <f t="shared" si="366"/>
        <v>61.78</v>
      </c>
      <c r="K219" s="4708">
        <f t="shared" si="366"/>
        <v>183.1</v>
      </c>
      <c r="L219" s="4709">
        <f t="shared" si="366"/>
        <v>548.48512105107773</v>
      </c>
      <c r="M219" s="4709">
        <f t="shared" si="366"/>
        <v>361.09000000000003</v>
      </c>
      <c r="N219" s="4680">
        <f t="shared" si="361"/>
        <v>-187.39512105107769</v>
      </c>
      <c r="O219" s="4708">
        <f t="shared" ref="O219:U219" si="367">SUM(O36)</f>
        <v>274.24256052553886</v>
      </c>
      <c r="P219" s="4708">
        <f t="shared" si="367"/>
        <v>0</v>
      </c>
      <c r="Q219" s="4708">
        <f t="shared" si="367"/>
        <v>0</v>
      </c>
      <c r="R219" s="4708">
        <f t="shared" si="367"/>
        <v>0</v>
      </c>
      <c r="S219" s="4708">
        <f t="shared" si="367"/>
        <v>0</v>
      </c>
      <c r="T219" s="4709">
        <f t="shared" si="367"/>
        <v>822.72768157661653</v>
      </c>
      <c r="U219" s="4709">
        <f t="shared" si="367"/>
        <v>361.09000000000003</v>
      </c>
      <c r="V219" s="4680">
        <f t="shared" si="363"/>
        <v>-461.6376815766165</v>
      </c>
      <c r="W219" s="4708">
        <f t="shared" ref="W219:AC219" si="368">SUM(W36)</f>
        <v>274.24256052553886</v>
      </c>
      <c r="X219" s="4708">
        <f t="shared" si="368"/>
        <v>0</v>
      </c>
      <c r="Y219" s="4708">
        <f t="shared" si="368"/>
        <v>0</v>
      </c>
      <c r="Z219" s="4708">
        <f t="shared" si="368"/>
        <v>0</v>
      </c>
      <c r="AA219" s="4708">
        <f t="shared" si="368"/>
        <v>0</v>
      </c>
      <c r="AB219" s="4709">
        <f t="shared" si="368"/>
        <v>1096.9702421021555</v>
      </c>
      <c r="AC219" s="4709">
        <f t="shared" si="368"/>
        <v>361.09000000000003</v>
      </c>
      <c r="AD219" s="4680">
        <f t="shared" si="365"/>
        <v>-735.88024210215542</v>
      </c>
      <c r="AE219" s="4665"/>
      <c r="AF219" s="4665"/>
      <c r="AG219" s="4665"/>
      <c r="AH219" s="4665"/>
      <c r="AI219" s="4665"/>
      <c r="AJ219" s="4665"/>
      <c r="AK219" s="4665"/>
    </row>
    <row r="220" spans="1:37" ht="18.75">
      <c r="A220" s="4698" t="s">
        <v>52</v>
      </c>
      <c r="B220" s="4708">
        <f>SUM(B37+B61+B96+B120)</f>
        <v>34.801730213176747</v>
      </c>
      <c r="C220" s="4708">
        <f t="shared" ref="C220:M220" si="369">SUM(C37+C61+C96+C120)</f>
        <v>9.9199999999999982</v>
      </c>
      <c r="D220" s="4708">
        <f t="shared" si="369"/>
        <v>6.79</v>
      </c>
      <c r="E220" s="4708">
        <f t="shared" si="369"/>
        <v>13.43</v>
      </c>
      <c r="F220" s="4708">
        <f t="shared" si="369"/>
        <v>30.14</v>
      </c>
      <c r="G220" s="4708">
        <f t="shared" si="369"/>
        <v>34.801730213176747</v>
      </c>
      <c r="H220" s="4708">
        <f t="shared" si="369"/>
        <v>10.110000000000001</v>
      </c>
      <c r="I220" s="4708">
        <f t="shared" si="369"/>
        <v>10.030000000000001</v>
      </c>
      <c r="J220" s="4708">
        <f t="shared" si="369"/>
        <v>6.84</v>
      </c>
      <c r="K220" s="4708">
        <f t="shared" si="369"/>
        <v>26.980000000000004</v>
      </c>
      <c r="L220" s="4709">
        <f t="shared" si="369"/>
        <v>69.603460426353493</v>
      </c>
      <c r="M220" s="4709">
        <f t="shared" si="369"/>
        <v>57.120000000000012</v>
      </c>
      <c r="N220" s="4680">
        <f t="shared" si="361"/>
        <v>-12.483460426353481</v>
      </c>
      <c r="O220" s="4708">
        <f t="shared" ref="O220:U220" si="370">SUM(O37+O61+O96+O120)</f>
        <v>34.801730213176747</v>
      </c>
      <c r="P220" s="4708">
        <f t="shared" si="370"/>
        <v>0</v>
      </c>
      <c r="Q220" s="4708">
        <f t="shared" si="370"/>
        <v>0</v>
      </c>
      <c r="R220" s="4708">
        <f t="shared" si="370"/>
        <v>0</v>
      </c>
      <c r="S220" s="4708">
        <f t="shared" si="370"/>
        <v>0</v>
      </c>
      <c r="T220" s="4709">
        <f t="shared" si="370"/>
        <v>104.40519063953025</v>
      </c>
      <c r="U220" s="4709">
        <f t="shared" si="370"/>
        <v>57.120000000000012</v>
      </c>
      <c r="V220" s="4680">
        <f t="shared" si="363"/>
        <v>-47.285190639530235</v>
      </c>
      <c r="W220" s="4708">
        <f t="shared" ref="W220:AC220" si="371">SUM(W37+W61+W96+W120)</f>
        <v>34.801730213176747</v>
      </c>
      <c r="X220" s="4708">
        <f t="shared" si="371"/>
        <v>0</v>
      </c>
      <c r="Y220" s="4708">
        <f t="shared" si="371"/>
        <v>0</v>
      </c>
      <c r="Z220" s="4708">
        <f t="shared" si="371"/>
        <v>0</v>
      </c>
      <c r="AA220" s="4708">
        <f t="shared" si="371"/>
        <v>0</v>
      </c>
      <c r="AB220" s="4709">
        <f t="shared" si="371"/>
        <v>139.20692085270699</v>
      </c>
      <c r="AC220" s="4709">
        <f t="shared" si="371"/>
        <v>57.120000000000012</v>
      </c>
      <c r="AD220" s="4680">
        <f t="shared" si="365"/>
        <v>-82.086920852706982</v>
      </c>
      <c r="AE220" s="4665"/>
      <c r="AF220" s="4665"/>
      <c r="AG220" s="4665"/>
      <c r="AH220" s="4665"/>
      <c r="AI220" s="4665"/>
      <c r="AJ220" s="4665"/>
      <c r="AK220" s="4665"/>
    </row>
    <row r="221" spans="1:37" ht="18.75">
      <c r="A221" s="4698" t="s">
        <v>1556</v>
      </c>
      <c r="B221" s="4708">
        <f>SUM(B38+B62)</f>
        <v>11.14103619874923</v>
      </c>
      <c r="C221" s="4708">
        <f t="shared" ref="C221:M221" si="372">SUM(C38+C62)</f>
        <v>1.55</v>
      </c>
      <c r="D221" s="4708">
        <f t="shared" si="372"/>
        <v>1.55</v>
      </c>
      <c r="E221" s="4708">
        <f t="shared" si="372"/>
        <v>1.55</v>
      </c>
      <c r="F221" s="4708">
        <f t="shared" si="372"/>
        <v>4.6500000000000004</v>
      </c>
      <c r="G221" s="4708">
        <f t="shared" si="372"/>
        <v>11.14103619874923</v>
      </c>
      <c r="H221" s="4708">
        <f t="shared" si="372"/>
        <v>1.55</v>
      </c>
      <c r="I221" s="4708">
        <f t="shared" si="372"/>
        <v>1.55</v>
      </c>
      <c r="J221" s="4708">
        <f t="shared" si="372"/>
        <v>1.55</v>
      </c>
      <c r="K221" s="4708">
        <f t="shared" si="372"/>
        <v>4.6500000000000004</v>
      </c>
      <c r="L221" s="4709">
        <f t="shared" si="372"/>
        <v>22.28207239749846</v>
      </c>
      <c r="M221" s="4709">
        <f t="shared" si="372"/>
        <v>9.3000000000000007</v>
      </c>
      <c r="N221" s="4680">
        <f t="shared" si="361"/>
        <v>-12.98207239749846</v>
      </c>
      <c r="O221" s="4708">
        <f t="shared" ref="O221:U221" si="373">SUM(O38+O62)</f>
        <v>11.14103619874923</v>
      </c>
      <c r="P221" s="4708">
        <f t="shared" si="373"/>
        <v>0</v>
      </c>
      <c r="Q221" s="4708">
        <f t="shared" si="373"/>
        <v>0</v>
      </c>
      <c r="R221" s="4708">
        <f t="shared" si="373"/>
        <v>0</v>
      </c>
      <c r="S221" s="4708">
        <f t="shared" si="373"/>
        <v>0</v>
      </c>
      <c r="T221" s="4709">
        <f t="shared" si="373"/>
        <v>33.423108596247687</v>
      </c>
      <c r="U221" s="4709">
        <f t="shared" si="373"/>
        <v>9.3000000000000007</v>
      </c>
      <c r="V221" s="4680">
        <f t="shared" si="363"/>
        <v>-24.123108596247686</v>
      </c>
      <c r="W221" s="4708">
        <f t="shared" ref="W221:AC221" si="374">SUM(W38+W62)</f>
        <v>11.14103619874923</v>
      </c>
      <c r="X221" s="4708">
        <f t="shared" si="374"/>
        <v>0</v>
      </c>
      <c r="Y221" s="4708">
        <f t="shared" si="374"/>
        <v>0</v>
      </c>
      <c r="Z221" s="4708">
        <f t="shared" si="374"/>
        <v>0</v>
      </c>
      <c r="AA221" s="4708">
        <f t="shared" si="374"/>
        <v>0</v>
      </c>
      <c r="AB221" s="4709">
        <f t="shared" si="374"/>
        <v>44.56414479499692</v>
      </c>
      <c r="AC221" s="4709">
        <f t="shared" si="374"/>
        <v>9.3000000000000007</v>
      </c>
      <c r="AD221" s="4680">
        <f t="shared" si="365"/>
        <v>-35.264144794996923</v>
      </c>
      <c r="AE221" s="4665"/>
      <c r="AF221" s="4665"/>
      <c r="AG221" s="4665"/>
      <c r="AH221" s="4665"/>
      <c r="AI221" s="4665"/>
      <c r="AJ221" s="4665"/>
      <c r="AK221" s="4665"/>
    </row>
    <row r="222" spans="1:37" ht="18.75">
      <c r="A222" s="4698" t="s">
        <v>605</v>
      </c>
      <c r="B222" s="4708">
        <f>SUM(B39+B63+B98+B121)</f>
        <v>265.47572704092215</v>
      </c>
      <c r="C222" s="4708">
        <f t="shared" ref="C222:M222" si="375">SUM(C39+C63+C98+C121)</f>
        <v>55.11</v>
      </c>
      <c r="D222" s="4708">
        <f t="shared" si="375"/>
        <v>61.900000000000006</v>
      </c>
      <c r="E222" s="4708">
        <f t="shared" si="375"/>
        <v>43.89</v>
      </c>
      <c r="F222" s="4708">
        <f t="shared" si="375"/>
        <v>160.89999999999998</v>
      </c>
      <c r="G222" s="4708">
        <f t="shared" si="375"/>
        <v>265.47572704092215</v>
      </c>
      <c r="H222" s="4708">
        <f t="shared" si="375"/>
        <v>52.9</v>
      </c>
      <c r="I222" s="4708">
        <f t="shared" si="375"/>
        <v>70.150000000000006</v>
      </c>
      <c r="J222" s="4708">
        <f t="shared" si="375"/>
        <v>41.99</v>
      </c>
      <c r="K222" s="4708">
        <f t="shared" si="375"/>
        <v>165.04</v>
      </c>
      <c r="L222" s="4709">
        <f t="shared" si="375"/>
        <v>530.9514540818443</v>
      </c>
      <c r="M222" s="4709">
        <f t="shared" si="375"/>
        <v>325.94</v>
      </c>
      <c r="N222" s="4680">
        <f t="shared" si="361"/>
        <v>-205.01145408184431</v>
      </c>
      <c r="O222" s="4708">
        <f t="shared" ref="O222:U222" si="376">SUM(O39+O63+O98+O121)</f>
        <v>265.47572704092215</v>
      </c>
      <c r="P222" s="4708">
        <f t="shared" si="376"/>
        <v>0</v>
      </c>
      <c r="Q222" s="4708">
        <f t="shared" si="376"/>
        <v>0</v>
      </c>
      <c r="R222" s="4708">
        <f t="shared" si="376"/>
        <v>0</v>
      </c>
      <c r="S222" s="4708">
        <f t="shared" si="376"/>
        <v>0</v>
      </c>
      <c r="T222" s="4709">
        <f t="shared" si="376"/>
        <v>796.42718112276646</v>
      </c>
      <c r="U222" s="4709">
        <f t="shared" si="376"/>
        <v>325.94</v>
      </c>
      <c r="V222" s="4680">
        <f t="shared" si="363"/>
        <v>-470.48718112276646</v>
      </c>
      <c r="W222" s="4708">
        <f t="shared" ref="W222:AC222" si="377">SUM(W39+W63+W98+W121)</f>
        <v>265.47572704092215</v>
      </c>
      <c r="X222" s="4708">
        <f t="shared" si="377"/>
        <v>0</v>
      </c>
      <c r="Y222" s="4708">
        <f t="shared" si="377"/>
        <v>0</v>
      </c>
      <c r="Z222" s="4708">
        <f t="shared" si="377"/>
        <v>0</v>
      </c>
      <c r="AA222" s="4708">
        <f t="shared" si="377"/>
        <v>0</v>
      </c>
      <c r="AB222" s="4709">
        <f t="shared" si="377"/>
        <v>1061.9029081636886</v>
      </c>
      <c r="AC222" s="4709">
        <f t="shared" si="377"/>
        <v>325.94</v>
      </c>
      <c r="AD222" s="4680">
        <f t="shared" si="365"/>
        <v>-735.96290816368855</v>
      </c>
      <c r="AE222" s="4665"/>
      <c r="AF222" s="4665"/>
      <c r="AG222" s="4665"/>
      <c r="AH222" s="4665"/>
      <c r="AI222" s="4665"/>
      <c r="AJ222" s="4665"/>
      <c r="AK222" s="4665"/>
    </row>
    <row r="223" spans="1:37" ht="18.75">
      <c r="A223" s="4698" t="s">
        <v>1559</v>
      </c>
      <c r="B223" s="4708">
        <f>SUM(B73)</f>
        <v>0</v>
      </c>
      <c r="C223" s="4708">
        <f t="shared" ref="C223:M223" si="378">SUM(C73)</f>
        <v>0</v>
      </c>
      <c r="D223" s="4708">
        <f t="shared" si="378"/>
        <v>0</v>
      </c>
      <c r="E223" s="4708">
        <f t="shared" si="378"/>
        <v>0</v>
      </c>
      <c r="F223" s="4708">
        <f t="shared" si="378"/>
        <v>0</v>
      </c>
      <c r="G223" s="4708">
        <f t="shared" si="378"/>
        <v>0</v>
      </c>
      <c r="H223" s="4708">
        <f t="shared" si="378"/>
        <v>0</v>
      </c>
      <c r="I223" s="4708">
        <f t="shared" si="378"/>
        <v>0</v>
      </c>
      <c r="J223" s="4708">
        <f t="shared" si="378"/>
        <v>0</v>
      </c>
      <c r="K223" s="4708">
        <f t="shared" si="378"/>
        <v>0</v>
      </c>
      <c r="L223" s="4709">
        <f t="shared" si="378"/>
        <v>0</v>
      </c>
      <c r="M223" s="4709">
        <f t="shared" si="378"/>
        <v>0</v>
      </c>
      <c r="N223" s="4680">
        <f t="shared" si="361"/>
        <v>0</v>
      </c>
      <c r="O223" s="4708">
        <f t="shared" ref="O223:U223" si="379">SUM(O73)</f>
        <v>0</v>
      </c>
      <c r="P223" s="4708">
        <f t="shared" si="379"/>
        <v>0</v>
      </c>
      <c r="Q223" s="4708">
        <f t="shared" si="379"/>
        <v>0</v>
      </c>
      <c r="R223" s="4708">
        <f t="shared" si="379"/>
        <v>0</v>
      </c>
      <c r="S223" s="4708">
        <f t="shared" si="379"/>
        <v>0</v>
      </c>
      <c r="T223" s="4709">
        <f t="shared" si="379"/>
        <v>0</v>
      </c>
      <c r="U223" s="4709">
        <f t="shared" si="379"/>
        <v>0</v>
      </c>
      <c r="V223" s="4680">
        <f t="shared" si="363"/>
        <v>0</v>
      </c>
      <c r="W223" s="4708">
        <f t="shared" ref="W223:AC223" si="380">SUM(W73)</f>
        <v>0</v>
      </c>
      <c r="X223" s="4708">
        <f t="shared" si="380"/>
        <v>0</v>
      </c>
      <c r="Y223" s="4708">
        <f t="shared" si="380"/>
        <v>0</v>
      </c>
      <c r="Z223" s="4708">
        <f t="shared" si="380"/>
        <v>0</v>
      </c>
      <c r="AA223" s="4708">
        <f t="shared" si="380"/>
        <v>0</v>
      </c>
      <c r="AB223" s="4709">
        <f t="shared" si="380"/>
        <v>0</v>
      </c>
      <c r="AC223" s="4709">
        <f t="shared" si="380"/>
        <v>0</v>
      </c>
      <c r="AD223" s="4680">
        <f t="shared" si="365"/>
        <v>0</v>
      </c>
      <c r="AE223" s="4665"/>
      <c r="AF223" s="4665"/>
      <c r="AG223" s="4665"/>
      <c r="AH223" s="4665"/>
      <c r="AI223" s="4665"/>
      <c r="AJ223" s="4665"/>
      <c r="AK223" s="4665"/>
    </row>
    <row r="224" spans="1:37" ht="18.75">
      <c r="A224" s="4698" t="s">
        <v>98</v>
      </c>
      <c r="B224" s="4708">
        <f>SUM(B40+B66)</f>
        <v>20.534856344305531</v>
      </c>
      <c r="C224" s="4708">
        <f t="shared" ref="C224:M224" si="381">SUM(C40+C66)</f>
        <v>0</v>
      </c>
      <c r="D224" s="4708">
        <f t="shared" si="381"/>
        <v>0</v>
      </c>
      <c r="E224" s="4708">
        <f t="shared" si="381"/>
        <v>19.66</v>
      </c>
      <c r="F224" s="4708">
        <f t="shared" si="381"/>
        <v>19.66</v>
      </c>
      <c r="G224" s="4708">
        <f t="shared" si="381"/>
        <v>20.534856344305531</v>
      </c>
      <c r="H224" s="4708">
        <f t="shared" si="381"/>
        <v>0</v>
      </c>
      <c r="I224" s="4708">
        <f t="shared" si="381"/>
        <v>0</v>
      </c>
      <c r="J224" s="4708">
        <f t="shared" si="381"/>
        <v>19.66</v>
      </c>
      <c r="K224" s="4708">
        <f t="shared" si="381"/>
        <v>19.66</v>
      </c>
      <c r="L224" s="4709">
        <f t="shared" si="381"/>
        <v>41.069712688611062</v>
      </c>
      <c r="M224" s="4709">
        <f t="shared" si="381"/>
        <v>39.32</v>
      </c>
      <c r="N224" s="4680">
        <f t="shared" si="361"/>
        <v>-1.7497126886110621</v>
      </c>
      <c r="O224" s="4708">
        <f t="shared" ref="O224:U224" si="382">SUM(O40+O66)</f>
        <v>20.534856344305531</v>
      </c>
      <c r="P224" s="4708">
        <f t="shared" si="382"/>
        <v>0</v>
      </c>
      <c r="Q224" s="4708">
        <f t="shared" si="382"/>
        <v>0</v>
      </c>
      <c r="R224" s="4708">
        <f t="shared" si="382"/>
        <v>0</v>
      </c>
      <c r="S224" s="4708">
        <f t="shared" si="382"/>
        <v>0</v>
      </c>
      <c r="T224" s="4709">
        <f t="shared" si="382"/>
        <v>61.604569032916601</v>
      </c>
      <c r="U224" s="4709">
        <f t="shared" si="382"/>
        <v>39.32</v>
      </c>
      <c r="V224" s="4680">
        <f t="shared" si="363"/>
        <v>-22.2845690329166</v>
      </c>
      <c r="W224" s="4708">
        <f t="shared" ref="W224:AC224" si="383">SUM(W40+W66)</f>
        <v>20.534856344305531</v>
      </c>
      <c r="X224" s="4708">
        <f t="shared" si="383"/>
        <v>0</v>
      </c>
      <c r="Y224" s="4708">
        <f t="shared" si="383"/>
        <v>0</v>
      </c>
      <c r="Z224" s="4708">
        <f t="shared" si="383"/>
        <v>0</v>
      </c>
      <c r="AA224" s="4708">
        <f t="shared" si="383"/>
        <v>0</v>
      </c>
      <c r="AB224" s="4709">
        <f t="shared" si="383"/>
        <v>82.139425377222125</v>
      </c>
      <c r="AC224" s="4709">
        <f t="shared" si="383"/>
        <v>39.32</v>
      </c>
      <c r="AD224" s="4680">
        <f t="shared" si="365"/>
        <v>-42.819425377222124</v>
      </c>
      <c r="AE224" s="4665"/>
      <c r="AF224" s="4665"/>
      <c r="AG224" s="4665"/>
      <c r="AH224" s="4665"/>
      <c r="AI224" s="4665"/>
      <c r="AJ224" s="4665"/>
      <c r="AK224" s="4665"/>
    </row>
    <row r="225" spans="1:37" ht="18.75">
      <c r="A225" s="4698" t="s">
        <v>607</v>
      </c>
      <c r="B225" s="4708">
        <f>SUM(B65)</f>
        <v>22.047522170241034</v>
      </c>
      <c r="C225" s="4708">
        <f t="shared" ref="C225:M225" si="384">SUM(C65)</f>
        <v>6.93</v>
      </c>
      <c r="D225" s="4708">
        <f t="shared" si="384"/>
        <v>6.93</v>
      </c>
      <c r="E225" s="4708">
        <f t="shared" si="384"/>
        <v>6.93</v>
      </c>
      <c r="F225" s="4708">
        <f t="shared" si="384"/>
        <v>20.79</v>
      </c>
      <c r="G225" s="4708">
        <f t="shared" si="384"/>
        <v>22.047522170241034</v>
      </c>
      <c r="H225" s="4708">
        <f t="shared" si="384"/>
        <v>0</v>
      </c>
      <c r="I225" s="4708">
        <f t="shared" si="384"/>
        <v>0</v>
      </c>
      <c r="J225" s="4708">
        <f t="shared" si="384"/>
        <v>0</v>
      </c>
      <c r="K225" s="4708">
        <f t="shared" si="384"/>
        <v>0</v>
      </c>
      <c r="L225" s="4709">
        <f t="shared" si="384"/>
        <v>44.095044340482069</v>
      </c>
      <c r="M225" s="4709">
        <f t="shared" si="384"/>
        <v>20.79</v>
      </c>
      <c r="N225" s="4680">
        <f t="shared" si="361"/>
        <v>-23.30504434048207</v>
      </c>
      <c r="O225" s="4708">
        <f t="shared" ref="O225:U225" si="385">SUM(O65)</f>
        <v>22.047522170241034</v>
      </c>
      <c r="P225" s="4708">
        <f t="shared" si="385"/>
        <v>0</v>
      </c>
      <c r="Q225" s="4708">
        <f t="shared" si="385"/>
        <v>0</v>
      </c>
      <c r="R225" s="4708">
        <f t="shared" si="385"/>
        <v>0</v>
      </c>
      <c r="S225" s="4708">
        <f t="shared" si="385"/>
        <v>0</v>
      </c>
      <c r="T225" s="4709">
        <f t="shared" si="385"/>
        <v>66.1425665107231</v>
      </c>
      <c r="U225" s="4709">
        <f t="shared" si="385"/>
        <v>20.79</v>
      </c>
      <c r="V225" s="4680">
        <f t="shared" si="363"/>
        <v>-45.352566510723101</v>
      </c>
      <c r="W225" s="4708">
        <f t="shared" ref="W225:AC225" si="386">SUM(W65)</f>
        <v>22.047522170241034</v>
      </c>
      <c r="X225" s="4708">
        <f t="shared" si="386"/>
        <v>0</v>
      </c>
      <c r="Y225" s="4708">
        <f t="shared" si="386"/>
        <v>0</v>
      </c>
      <c r="Z225" s="4708">
        <f t="shared" si="386"/>
        <v>0</v>
      </c>
      <c r="AA225" s="4708">
        <f t="shared" si="386"/>
        <v>0</v>
      </c>
      <c r="AB225" s="4709">
        <f t="shared" si="386"/>
        <v>88.190088680964138</v>
      </c>
      <c r="AC225" s="4709">
        <f t="shared" si="386"/>
        <v>20.79</v>
      </c>
      <c r="AD225" s="4680">
        <f t="shared" si="365"/>
        <v>-67.400088680964132</v>
      </c>
      <c r="AE225" s="4665"/>
      <c r="AF225" s="4665"/>
      <c r="AG225" s="4665"/>
      <c r="AH225" s="4665"/>
      <c r="AI225" s="4665"/>
      <c r="AJ225" s="4665"/>
      <c r="AK225" s="4665"/>
    </row>
    <row r="226" spans="1:37" ht="18.75">
      <c r="A226" s="4698" t="s">
        <v>42</v>
      </c>
      <c r="B226" s="4708">
        <f>SUM(B67)</f>
        <v>0</v>
      </c>
      <c r="C226" s="4708">
        <f t="shared" ref="C226:K226" si="387">SUM(C67)</f>
        <v>0</v>
      </c>
      <c r="D226" s="4708">
        <f t="shared" si="387"/>
        <v>0</v>
      </c>
      <c r="E226" s="4708">
        <f t="shared" si="387"/>
        <v>0.83</v>
      </c>
      <c r="F226" s="4708">
        <f t="shared" si="387"/>
        <v>0.83</v>
      </c>
      <c r="G226" s="4708">
        <f t="shared" si="387"/>
        <v>0</v>
      </c>
      <c r="H226" s="4708">
        <f t="shared" si="387"/>
        <v>0</v>
      </c>
      <c r="I226" s="4708">
        <f t="shared" si="387"/>
        <v>0.39</v>
      </c>
      <c r="J226" s="4708">
        <f t="shared" si="387"/>
        <v>0</v>
      </c>
      <c r="K226" s="4708">
        <f t="shared" si="387"/>
        <v>0.39</v>
      </c>
      <c r="L226" s="4709">
        <f>SUM(L67)</f>
        <v>0</v>
      </c>
      <c r="M226" s="4709">
        <f>SUM(M67)</f>
        <v>1.22</v>
      </c>
      <c r="N226" s="4680">
        <f t="shared" si="361"/>
        <v>1.22</v>
      </c>
      <c r="O226" s="4708">
        <f t="shared" ref="O226:S226" si="388">SUM(O67)</f>
        <v>0</v>
      </c>
      <c r="P226" s="4708">
        <f t="shared" si="388"/>
        <v>0</v>
      </c>
      <c r="Q226" s="4708">
        <f t="shared" si="388"/>
        <v>0</v>
      </c>
      <c r="R226" s="4708">
        <f t="shared" si="388"/>
        <v>0</v>
      </c>
      <c r="S226" s="4708">
        <f t="shared" si="388"/>
        <v>0</v>
      </c>
      <c r="T226" s="4709">
        <f>SUM(T67)</f>
        <v>0</v>
      </c>
      <c r="U226" s="4709">
        <f>SUM(U67)</f>
        <v>1.22</v>
      </c>
      <c r="V226" s="4680">
        <f t="shared" si="363"/>
        <v>1.22</v>
      </c>
      <c r="W226" s="4708">
        <f t="shared" ref="W226:AA226" si="389">SUM(W67)</f>
        <v>0</v>
      </c>
      <c r="X226" s="4708">
        <f t="shared" si="389"/>
        <v>0</v>
      </c>
      <c r="Y226" s="4708">
        <f t="shared" si="389"/>
        <v>0</v>
      </c>
      <c r="Z226" s="4708">
        <f t="shared" si="389"/>
        <v>0</v>
      </c>
      <c r="AA226" s="4708">
        <f t="shared" si="389"/>
        <v>0</v>
      </c>
      <c r="AB226" s="4709">
        <f>SUM(AB67)</f>
        <v>0</v>
      </c>
      <c r="AC226" s="4709">
        <f>SUM(AC67)</f>
        <v>1.22</v>
      </c>
      <c r="AD226" s="4680">
        <f t="shared" si="365"/>
        <v>1.22</v>
      </c>
      <c r="AE226" s="4665"/>
      <c r="AF226" s="4665"/>
      <c r="AG226" s="4665"/>
      <c r="AH226" s="4665"/>
      <c r="AI226" s="4665"/>
      <c r="AJ226" s="4665"/>
      <c r="AK226" s="4665"/>
    </row>
    <row r="227" spans="1:37" ht="18.75">
      <c r="A227" s="4698" t="s">
        <v>1557</v>
      </c>
      <c r="B227" s="4708">
        <f>SUM(B64)</f>
        <v>115.83175826753498</v>
      </c>
      <c r="C227" s="4708">
        <f t="shared" ref="C227:M227" si="390">SUM(C64)</f>
        <v>0</v>
      </c>
      <c r="D227" s="4708">
        <f t="shared" si="390"/>
        <v>0</v>
      </c>
      <c r="E227" s="4708">
        <f t="shared" si="390"/>
        <v>0</v>
      </c>
      <c r="F227" s="4708">
        <f t="shared" si="390"/>
        <v>0</v>
      </c>
      <c r="G227" s="4708">
        <f t="shared" si="390"/>
        <v>115.83175826753498</v>
      </c>
      <c r="H227" s="4708">
        <f t="shared" si="390"/>
        <v>0</v>
      </c>
      <c r="I227" s="4708">
        <f t="shared" si="390"/>
        <v>0</v>
      </c>
      <c r="J227" s="4708">
        <f t="shared" si="390"/>
        <v>0</v>
      </c>
      <c r="K227" s="4708">
        <f t="shared" si="390"/>
        <v>0</v>
      </c>
      <c r="L227" s="4709">
        <f t="shared" si="390"/>
        <v>231.66351653506996</v>
      </c>
      <c r="M227" s="4709">
        <f t="shared" si="390"/>
        <v>0</v>
      </c>
      <c r="N227" s="4680">
        <f t="shared" si="361"/>
        <v>-231.66351653506996</v>
      </c>
      <c r="O227" s="4708">
        <f t="shared" ref="O227:U227" si="391">SUM(O64)</f>
        <v>115.83175826753498</v>
      </c>
      <c r="P227" s="4708">
        <f t="shared" si="391"/>
        <v>0</v>
      </c>
      <c r="Q227" s="4708">
        <f t="shared" si="391"/>
        <v>0</v>
      </c>
      <c r="R227" s="4708">
        <f t="shared" si="391"/>
        <v>0</v>
      </c>
      <c r="S227" s="4708">
        <f t="shared" si="391"/>
        <v>0</v>
      </c>
      <c r="T227" s="4709">
        <f t="shared" si="391"/>
        <v>347.49527480260497</v>
      </c>
      <c r="U227" s="4709">
        <f t="shared" si="391"/>
        <v>0</v>
      </c>
      <c r="V227" s="4680">
        <f t="shared" si="363"/>
        <v>-347.49527480260497</v>
      </c>
      <c r="W227" s="4708">
        <f t="shared" ref="W227:AC227" si="392">SUM(W64)</f>
        <v>115.83175826753498</v>
      </c>
      <c r="X227" s="4708">
        <f t="shared" si="392"/>
        <v>0</v>
      </c>
      <c r="Y227" s="4708">
        <f t="shared" si="392"/>
        <v>0</v>
      </c>
      <c r="Z227" s="4708">
        <f t="shared" si="392"/>
        <v>0</v>
      </c>
      <c r="AA227" s="4708">
        <f t="shared" si="392"/>
        <v>0</v>
      </c>
      <c r="AB227" s="4709">
        <f t="shared" si="392"/>
        <v>463.32703307013992</v>
      </c>
      <c r="AC227" s="4709">
        <f t="shared" si="392"/>
        <v>0</v>
      </c>
      <c r="AD227" s="4680">
        <f t="shared" si="365"/>
        <v>-463.32703307013992</v>
      </c>
      <c r="AE227" s="4665"/>
      <c r="AF227" s="4665"/>
      <c r="AG227" s="4665"/>
      <c r="AH227" s="4665"/>
      <c r="AI227" s="4665"/>
      <c r="AJ227" s="4665"/>
      <c r="AK227" s="4665"/>
    </row>
    <row r="228" spans="1:37" ht="18.75">
      <c r="A228" s="4698" t="s">
        <v>32</v>
      </c>
      <c r="B228" s="4708">
        <f>SUM(B75+B103+B123)</f>
        <v>30.565472544003093</v>
      </c>
      <c r="C228" s="4708">
        <f t="shared" ref="C228:M228" si="393">SUM(C75+C103+C123)</f>
        <v>0</v>
      </c>
      <c r="D228" s="4708">
        <f t="shared" si="393"/>
        <v>0</v>
      </c>
      <c r="E228" s="4708">
        <f t="shared" si="393"/>
        <v>14.4</v>
      </c>
      <c r="F228" s="4708">
        <f t="shared" si="393"/>
        <v>14.4</v>
      </c>
      <c r="G228" s="4708">
        <f t="shared" si="393"/>
        <v>30.565472544003093</v>
      </c>
      <c r="H228" s="4708">
        <f t="shared" si="393"/>
        <v>0</v>
      </c>
      <c r="I228" s="4708">
        <f t="shared" si="393"/>
        <v>0</v>
      </c>
      <c r="J228" s="4708">
        <f t="shared" si="393"/>
        <v>14.4</v>
      </c>
      <c r="K228" s="4708">
        <f t="shared" si="393"/>
        <v>14.4</v>
      </c>
      <c r="L228" s="4709">
        <f t="shared" si="393"/>
        <v>61.130945088006186</v>
      </c>
      <c r="M228" s="4709">
        <f t="shared" si="393"/>
        <v>28.8</v>
      </c>
      <c r="N228" s="4680">
        <f t="shared" si="361"/>
        <v>-32.330945088006189</v>
      </c>
      <c r="O228" s="4708">
        <f t="shared" ref="O228:U228" si="394">SUM(O75+O103+O123)</f>
        <v>30.565472544003093</v>
      </c>
      <c r="P228" s="4708">
        <f t="shared" si="394"/>
        <v>0</v>
      </c>
      <c r="Q228" s="4708">
        <f t="shared" si="394"/>
        <v>0</v>
      </c>
      <c r="R228" s="4708">
        <f t="shared" si="394"/>
        <v>0</v>
      </c>
      <c r="S228" s="4708">
        <f t="shared" si="394"/>
        <v>0</v>
      </c>
      <c r="T228" s="4709">
        <f t="shared" si="394"/>
        <v>91.696417632009272</v>
      </c>
      <c r="U228" s="4709">
        <f t="shared" si="394"/>
        <v>28.8</v>
      </c>
      <c r="V228" s="4680">
        <f t="shared" si="363"/>
        <v>-62.896417632009275</v>
      </c>
      <c r="W228" s="4708">
        <f t="shared" ref="W228:AC228" si="395">SUM(W75+W103+W123)</f>
        <v>30.565472544003093</v>
      </c>
      <c r="X228" s="4708">
        <f t="shared" si="395"/>
        <v>0</v>
      </c>
      <c r="Y228" s="4708">
        <f t="shared" si="395"/>
        <v>0</v>
      </c>
      <c r="Z228" s="4708">
        <f t="shared" si="395"/>
        <v>0</v>
      </c>
      <c r="AA228" s="4708">
        <f t="shared" si="395"/>
        <v>0</v>
      </c>
      <c r="AB228" s="4709">
        <f t="shared" si="395"/>
        <v>122.26189017601237</v>
      </c>
      <c r="AC228" s="4709">
        <f t="shared" si="395"/>
        <v>28.8</v>
      </c>
      <c r="AD228" s="4680">
        <f t="shared" si="365"/>
        <v>-93.461890176012375</v>
      </c>
      <c r="AE228" s="4665"/>
      <c r="AF228" s="4665"/>
      <c r="AG228" s="4665"/>
      <c r="AH228" s="4665"/>
      <c r="AI228" s="4665"/>
      <c r="AJ228" s="4665"/>
      <c r="AK228" s="4665"/>
    </row>
    <row r="229" spans="1:37" ht="18.75">
      <c r="A229" s="4698" t="s">
        <v>603</v>
      </c>
      <c r="B229" s="4708">
        <f>SUM(B97)</f>
        <v>570.81057856951372</v>
      </c>
      <c r="C229" s="4708">
        <f t="shared" ref="C229:M229" si="396">SUM(C97)</f>
        <v>125.04</v>
      </c>
      <c r="D229" s="4708">
        <f t="shared" si="396"/>
        <v>141.94999999999999</v>
      </c>
      <c r="E229" s="4708">
        <f t="shared" si="396"/>
        <v>177.25</v>
      </c>
      <c r="F229" s="4708">
        <f t="shared" si="396"/>
        <v>444.24</v>
      </c>
      <c r="G229" s="4708">
        <f t="shared" si="396"/>
        <v>570.81057856951372</v>
      </c>
      <c r="H229" s="4708">
        <f t="shared" si="396"/>
        <v>164.18</v>
      </c>
      <c r="I229" s="4708">
        <f t="shared" si="396"/>
        <v>143.81</v>
      </c>
      <c r="J229" s="4708">
        <f t="shared" si="396"/>
        <v>141.82</v>
      </c>
      <c r="K229" s="4708">
        <f t="shared" si="396"/>
        <v>449.81</v>
      </c>
      <c r="L229" s="4709">
        <f t="shared" si="396"/>
        <v>1141.6211571390274</v>
      </c>
      <c r="M229" s="4709">
        <f t="shared" si="396"/>
        <v>894.05</v>
      </c>
      <c r="N229" s="4680">
        <f t="shared" si="361"/>
        <v>-247.57115713902749</v>
      </c>
      <c r="O229" s="4708">
        <f t="shared" ref="O229:U229" si="397">SUM(O97)</f>
        <v>570.81057856951372</v>
      </c>
      <c r="P229" s="4708">
        <f t="shared" si="397"/>
        <v>0</v>
      </c>
      <c r="Q229" s="4708">
        <f t="shared" si="397"/>
        <v>0</v>
      </c>
      <c r="R229" s="4708">
        <f t="shared" si="397"/>
        <v>0</v>
      </c>
      <c r="S229" s="4708">
        <f t="shared" si="397"/>
        <v>0</v>
      </c>
      <c r="T229" s="4709">
        <f t="shared" si="397"/>
        <v>1712.4317357085411</v>
      </c>
      <c r="U229" s="4709">
        <f t="shared" si="397"/>
        <v>894.05</v>
      </c>
      <c r="V229" s="4680">
        <f t="shared" si="363"/>
        <v>-818.3817357085411</v>
      </c>
      <c r="W229" s="4708">
        <f t="shared" ref="W229:AC229" si="398">SUM(W97)</f>
        <v>570.81057856951372</v>
      </c>
      <c r="X229" s="4708">
        <f t="shared" si="398"/>
        <v>0</v>
      </c>
      <c r="Y229" s="4708">
        <f t="shared" si="398"/>
        <v>0</v>
      </c>
      <c r="Z229" s="4708">
        <f t="shared" si="398"/>
        <v>0</v>
      </c>
      <c r="AA229" s="4708">
        <f t="shared" si="398"/>
        <v>0</v>
      </c>
      <c r="AB229" s="4709">
        <f t="shared" si="398"/>
        <v>2283.2423142780549</v>
      </c>
      <c r="AC229" s="4709">
        <f t="shared" si="398"/>
        <v>894.05</v>
      </c>
      <c r="AD229" s="4680">
        <f t="shared" si="365"/>
        <v>-1389.1923142780549</v>
      </c>
      <c r="AE229" s="4665"/>
      <c r="AF229" s="4665"/>
      <c r="AG229" s="4665"/>
      <c r="AH229" s="4665"/>
      <c r="AI229" s="4665"/>
      <c r="AJ229" s="4665"/>
      <c r="AK229" s="4665"/>
    </row>
    <row r="230" spans="1:37" ht="18.75">
      <c r="A230" s="4698" t="s">
        <v>2004</v>
      </c>
      <c r="B230" s="4708">
        <f>SUM(B99)</f>
        <v>31.466505261921931</v>
      </c>
      <c r="C230" s="4708">
        <f t="shared" ref="C230:M231" si="399">SUM(C99)</f>
        <v>10.11</v>
      </c>
      <c r="D230" s="4708">
        <f t="shared" si="399"/>
        <v>10.11</v>
      </c>
      <c r="E230" s="4708">
        <f t="shared" si="399"/>
        <v>10.08</v>
      </c>
      <c r="F230" s="4708">
        <f t="shared" si="399"/>
        <v>30.299999999999997</v>
      </c>
      <c r="G230" s="4708">
        <f t="shared" si="399"/>
        <v>31.466505261921931</v>
      </c>
      <c r="H230" s="4708">
        <f t="shared" si="399"/>
        <v>10.07</v>
      </c>
      <c r="I230" s="4708">
        <f t="shared" si="399"/>
        <v>10.06</v>
      </c>
      <c r="J230" s="4708">
        <f t="shared" si="399"/>
        <v>10.07</v>
      </c>
      <c r="K230" s="4708">
        <f t="shared" si="399"/>
        <v>30.200000000000003</v>
      </c>
      <c r="L230" s="4709">
        <f t="shared" si="399"/>
        <v>62.933010523843862</v>
      </c>
      <c r="M230" s="4709">
        <f t="shared" si="399"/>
        <v>60.5</v>
      </c>
      <c r="N230" s="4680">
        <f t="shared" si="361"/>
        <v>-2.433010523843862</v>
      </c>
      <c r="O230" s="4708">
        <f t="shared" ref="O230:U231" si="400">SUM(O99)</f>
        <v>31.466505261921931</v>
      </c>
      <c r="P230" s="4708">
        <f t="shared" si="400"/>
        <v>0</v>
      </c>
      <c r="Q230" s="4708">
        <f t="shared" si="400"/>
        <v>0</v>
      </c>
      <c r="R230" s="4708">
        <f t="shared" si="400"/>
        <v>0</v>
      </c>
      <c r="S230" s="4708">
        <f t="shared" si="400"/>
        <v>0</v>
      </c>
      <c r="T230" s="4709">
        <f t="shared" si="400"/>
        <v>94.3995157857658</v>
      </c>
      <c r="U230" s="4709">
        <f t="shared" si="400"/>
        <v>60.5</v>
      </c>
      <c r="V230" s="4680">
        <f t="shared" si="363"/>
        <v>-33.8995157857658</v>
      </c>
      <c r="W230" s="4708">
        <f t="shared" ref="W230:AC231" si="401">SUM(W99)</f>
        <v>31.466505261921931</v>
      </c>
      <c r="X230" s="4708">
        <f t="shared" si="401"/>
        <v>0</v>
      </c>
      <c r="Y230" s="4708">
        <f t="shared" si="401"/>
        <v>0</v>
      </c>
      <c r="Z230" s="4708">
        <f t="shared" si="401"/>
        <v>0</v>
      </c>
      <c r="AA230" s="4708">
        <f t="shared" si="401"/>
        <v>0</v>
      </c>
      <c r="AB230" s="4709">
        <f t="shared" si="401"/>
        <v>125.86602104768772</v>
      </c>
      <c r="AC230" s="4709">
        <f t="shared" si="401"/>
        <v>60.5</v>
      </c>
      <c r="AD230" s="4680">
        <f t="shared" si="365"/>
        <v>-65.366021047687724</v>
      </c>
      <c r="AE230" s="4665"/>
      <c r="AF230" s="4665"/>
      <c r="AG230" s="4665"/>
      <c r="AH230" s="4665"/>
      <c r="AI230" s="4665"/>
      <c r="AJ230" s="4665"/>
      <c r="AK230" s="4665"/>
    </row>
    <row r="231" spans="1:37" ht="18.75">
      <c r="A231" s="4698" t="s">
        <v>614</v>
      </c>
      <c r="B231" s="4708">
        <f>SUM(B100)</f>
        <v>14.384688119735742</v>
      </c>
      <c r="C231" s="4708">
        <f t="shared" si="399"/>
        <v>0</v>
      </c>
      <c r="D231" s="4708">
        <f t="shared" si="399"/>
        <v>0.64</v>
      </c>
      <c r="E231" s="4708">
        <f t="shared" si="399"/>
        <v>0</v>
      </c>
      <c r="F231" s="4708">
        <f t="shared" si="399"/>
        <v>0.64</v>
      </c>
      <c r="G231" s="4708">
        <f t="shared" si="399"/>
        <v>14.384688119735742</v>
      </c>
      <c r="H231" s="4708">
        <f t="shared" si="399"/>
        <v>1.26</v>
      </c>
      <c r="I231" s="4708">
        <f t="shared" si="399"/>
        <v>1.26</v>
      </c>
      <c r="J231" s="4708">
        <f t="shared" si="399"/>
        <v>0</v>
      </c>
      <c r="K231" s="4708">
        <f t="shared" si="399"/>
        <v>2.52</v>
      </c>
      <c r="L231" s="4709">
        <f t="shared" si="399"/>
        <v>28.769376239471484</v>
      </c>
      <c r="M231" s="4709">
        <f t="shared" si="399"/>
        <v>3.16</v>
      </c>
      <c r="N231" s="4680">
        <f t="shared" si="361"/>
        <v>-25.609376239471484</v>
      </c>
      <c r="O231" s="4708">
        <f t="shared" si="400"/>
        <v>14.384688119735742</v>
      </c>
      <c r="P231" s="4708">
        <f t="shared" si="400"/>
        <v>0</v>
      </c>
      <c r="Q231" s="4708">
        <f t="shared" si="400"/>
        <v>0</v>
      </c>
      <c r="R231" s="4708">
        <f t="shared" si="400"/>
        <v>0</v>
      </c>
      <c r="S231" s="4708">
        <f t="shared" si="400"/>
        <v>0</v>
      </c>
      <c r="T231" s="4709">
        <f t="shared" si="400"/>
        <v>43.154064359207226</v>
      </c>
      <c r="U231" s="4709">
        <f t="shared" si="400"/>
        <v>3.16</v>
      </c>
      <c r="V231" s="4680">
        <f t="shared" si="363"/>
        <v>-39.994064359207229</v>
      </c>
      <c r="W231" s="4708">
        <f t="shared" si="401"/>
        <v>14.384688119735742</v>
      </c>
      <c r="X231" s="4708">
        <f t="shared" si="401"/>
        <v>0</v>
      </c>
      <c r="Y231" s="4708">
        <f t="shared" si="401"/>
        <v>0</v>
      </c>
      <c r="Z231" s="4708">
        <f t="shared" si="401"/>
        <v>0</v>
      </c>
      <c r="AA231" s="4708">
        <f t="shared" si="401"/>
        <v>0</v>
      </c>
      <c r="AB231" s="4709">
        <f t="shared" si="401"/>
        <v>57.538752478942968</v>
      </c>
      <c r="AC231" s="4709">
        <f t="shared" si="401"/>
        <v>3.16</v>
      </c>
      <c r="AD231" s="4680">
        <f t="shared" si="365"/>
        <v>-54.378752478942971</v>
      </c>
      <c r="AE231" s="4665"/>
      <c r="AF231" s="4665"/>
      <c r="AG231" s="4665"/>
      <c r="AH231" s="4665"/>
      <c r="AI231" s="4665"/>
      <c r="AJ231" s="4665"/>
      <c r="AK231" s="4665"/>
    </row>
    <row r="232" spans="1:37" ht="18.75">
      <c r="A232" s="4698" t="s">
        <v>41</v>
      </c>
      <c r="B232" s="4708">
        <f>SUM(B101)</f>
        <v>0</v>
      </c>
      <c r="C232" s="4708">
        <f>SUM(C101)</f>
        <v>0</v>
      </c>
      <c r="D232" s="4708">
        <f t="shared" ref="D232:K232" si="402">SUM(D101)</f>
        <v>0</v>
      </c>
      <c r="E232" s="4708">
        <f t="shared" si="402"/>
        <v>0</v>
      </c>
      <c r="F232" s="4708">
        <f t="shared" si="402"/>
        <v>0</v>
      </c>
      <c r="G232" s="4708">
        <f t="shared" si="402"/>
        <v>0</v>
      </c>
      <c r="H232" s="4708">
        <f t="shared" si="402"/>
        <v>0</v>
      </c>
      <c r="I232" s="4708">
        <f t="shared" si="402"/>
        <v>0</v>
      </c>
      <c r="J232" s="4708">
        <f t="shared" si="402"/>
        <v>0</v>
      </c>
      <c r="K232" s="4708">
        <f t="shared" si="402"/>
        <v>0</v>
      </c>
      <c r="L232" s="4709">
        <f>SUM(L101)</f>
        <v>0</v>
      </c>
      <c r="M232" s="4709">
        <f>SUM(M101)</f>
        <v>0</v>
      </c>
      <c r="N232" s="4680">
        <f t="shared" si="361"/>
        <v>0</v>
      </c>
      <c r="O232" s="4708">
        <f t="shared" ref="O232:S232" si="403">SUM(O101)</f>
        <v>0</v>
      </c>
      <c r="P232" s="4708">
        <f t="shared" si="403"/>
        <v>0</v>
      </c>
      <c r="Q232" s="4708">
        <f t="shared" si="403"/>
        <v>0</v>
      </c>
      <c r="R232" s="4708">
        <f t="shared" si="403"/>
        <v>0</v>
      </c>
      <c r="S232" s="4708">
        <f t="shared" si="403"/>
        <v>0</v>
      </c>
      <c r="T232" s="4709">
        <f>SUM(T101)</f>
        <v>0</v>
      </c>
      <c r="U232" s="4709">
        <f>SUM(U101)</f>
        <v>0</v>
      </c>
      <c r="V232" s="4680">
        <f t="shared" si="363"/>
        <v>0</v>
      </c>
      <c r="W232" s="4708">
        <f t="shared" ref="W232:AA232" si="404">SUM(W101)</f>
        <v>0</v>
      </c>
      <c r="X232" s="4708">
        <f t="shared" si="404"/>
        <v>0</v>
      </c>
      <c r="Y232" s="4708">
        <f t="shared" si="404"/>
        <v>0</v>
      </c>
      <c r="Z232" s="4708">
        <f t="shared" si="404"/>
        <v>0</v>
      </c>
      <c r="AA232" s="4708">
        <f t="shared" si="404"/>
        <v>0</v>
      </c>
      <c r="AB232" s="4709">
        <f>SUM(AB101)</f>
        <v>0</v>
      </c>
      <c r="AC232" s="4709">
        <f>SUM(AC101)</f>
        <v>0</v>
      </c>
      <c r="AD232" s="4680">
        <f t="shared" si="365"/>
        <v>0</v>
      </c>
      <c r="AE232" s="4665"/>
      <c r="AF232" s="4665"/>
      <c r="AG232" s="4665"/>
      <c r="AH232" s="4665"/>
      <c r="AI232" s="4665"/>
      <c r="AJ232" s="4665"/>
      <c r="AK232" s="4665"/>
    </row>
    <row r="233" spans="1:37" ht="18.75">
      <c r="A233" s="4698" t="s">
        <v>38</v>
      </c>
      <c r="B233" s="4708">
        <f>SUM(B41+B74+B102+B122)</f>
        <v>25.567699737580597</v>
      </c>
      <c r="C233" s="4708">
        <f t="shared" ref="C233:M233" si="405">SUM(C41+C74+C102+C122)</f>
        <v>0</v>
      </c>
      <c r="D233" s="4708">
        <f t="shared" si="405"/>
        <v>12.2</v>
      </c>
      <c r="E233" s="4708">
        <f t="shared" si="405"/>
        <v>0</v>
      </c>
      <c r="F233" s="4708">
        <f t="shared" si="405"/>
        <v>12.2</v>
      </c>
      <c r="G233" s="4708">
        <f t="shared" si="405"/>
        <v>25.567699737580597</v>
      </c>
      <c r="H233" s="4708">
        <f t="shared" si="405"/>
        <v>3.46</v>
      </c>
      <c r="I233" s="4708">
        <f t="shared" si="405"/>
        <v>0</v>
      </c>
      <c r="J233" s="4708">
        <f t="shared" si="405"/>
        <v>2.8</v>
      </c>
      <c r="K233" s="4708">
        <f t="shared" si="405"/>
        <v>6.26</v>
      </c>
      <c r="L233" s="4709">
        <f t="shared" si="405"/>
        <v>51.135399475161194</v>
      </c>
      <c r="M233" s="4709">
        <f t="shared" si="405"/>
        <v>18.46</v>
      </c>
      <c r="N233" s="4680">
        <f t="shared" si="361"/>
        <v>-32.675399475161193</v>
      </c>
      <c r="O233" s="4708">
        <f t="shared" ref="O233:U233" si="406">SUM(O41+O74+O102+O122)</f>
        <v>25.567699737580597</v>
      </c>
      <c r="P233" s="4708">
        <f t="shared" si="406"/>
        <v>0</v>
      </c>
      <c r="Q233" s="4708">
        <f t="shared" si="406"/>
        <v>0</v>
      </c>
      <c r="R233" s="4708">
        <f t="shared" si="406"/>
        <v>0</v>
      </c>
      <c r="S233" s="4708">
        <f t="shared" si="406"/>
        <v>0</v>
      </c>
      <c r="T233" s="4709">
        <f t="shared" si="406"/>
        <v>76.703099212741819</v>
      </c>
      <c r="U233" s="4709">
        <f t="shared" si="406"/>
        <v>18.46</v>
      </c>
      <c r="V233" s="4680">
        <f t="shared" si="363"/>
        <v>-58.243099212741818</v>
      </c>
      <c r="W233" s="4708">
        <f t="shared" ref="W233:AC233" si="407">SUM(W41+W74+W102+W122)</f>
        <v>25.567699737580597</v>
      </c>
      <c r="X233" s="4708">
        <f t="shared" si="407"/>
        <v>0</v>
      </c>
      <c r="Y233" s="4708">
        <f t="shared" si="407"/>
        <v>0</v>
      </c>
      <c r="Z233" s="4708">
        <f t="shared" si="407"/>
        <v>0</v>
      </c>
      <c r="AA233" s="4708">
        <f t="shared" si="407"/>
        <v>0</v>
      </c>
      <c r="AB233" s="4709">
        <f t="shared" si="407"/>
        <v>102.27079895032239</v>
      </c>
      <c r="AC233" s="4709">
        <f t="shared" si="407"/>
        <v>18.46</v>
      </c>
      <c r="AD233" s="4680">
        <f t="shared" si="365"/>
        <v>-83.810798950322379</v>
      </c>
      <c r="AE233" s="4665"/>
      <c r="AF233" s="4665"/>
      <c r="AG233" s="4665"/>
      <c r="AH233" s="4665"/>
      <c r="AI233" s="4665"/>
      <c r="AJ233" s="4665"/>
      <c r="AK233" s="4665"/>
    </row>
    <row r="234" spans="1:37" ht="18.75">
      <c r="A234" s="4698" t="s">
        <v>2005</v>
      </c>
      <c r="B234" s="4708">
        <f>SUM(B68)</f>
        <v>21.060319685006363</v>
      </c>
      <c r="C234" s="4708">
        <f t="shared" ref="C234:M238" si="408">SUM(C68)</f>
        <v>0</v>
      </c>
      <c r="D234" s="4708">
        <f t="shared" si="408"/>
        <v>11.13</v>
      </c>
      <c r="E234" s="4708">
        <f t="shared" si="408"/>
        <v>10.59</v>
      </c>
      <c r="F234" s="4708">
        <f t="shared" si="408"/>
        <v>21.72</v>
      </c>
      <c r="G234" s="4708">
        <f t="shared" si="408"/>
        <v>21.060319685006363</v>
      </c>
      <c r="H234" s="4708">
        <f t="shared" si="408"/>
        <v>0</v>
      </c>
      <c r="I234" s="4708">
        <f t="shared" si="408"/>
        <v>0</v>
      </c>
      <c r="J234" s="4708">
        <f t="shared" si="408"/>
        <v>10.59</v>
      </c>
      <c r="K234" s="4708">
        <f t="shared" si="408"/>
        <v>10.59</v>
      </c>
      <c r="L234" s="4709">
        <f t="shared" si="408"/>
        <v>42.120639370012725</v>
      </c>
      <c r="M234" s="4709">
        <f t="shared" si="408"/>
        <v>32.31</v>
      </c>
      <c r="N234" s="4680">
        <f t="shared" si="361"/>
        <v>-9.8106393700127228</v>
      </c>
      <c r="O234" s="4708">
        <f t="shared" ref="O234:U238" si="409">SUM(O68)</f>
        <v>21.060319685006363</v>
      </c>
      <c r="P234" s="4708">
        <f t="shared" si="409"/>
        <v>0</v>
      </c>
      <c r="Q234" s="4708">
        <f t="shared" si="409"/>
        <v>0</v>
      </c>
      <c r="R234" s="4708">
        <f t="shared" si="409"/>
        <v>0</v>
      </c>
      <c r="S234" s="4708">
        <f t="shared" si="409"/>
        <v>0</v>
      </c>
      <c r="T234" s="4709">
        <f t="shared" si="409"/>
        <v>63.180959055019088</v>
      </c>
      <c r="U234" s="4709">
        <f t="shared" si="409"/>
        <v>32.31</v>
      </c>
      <c r="V234" s="4680">
        <f t="shared" si="363"/>
        <v>-30.870959055019085</v>
      </c>
      <c r="W234" s="4708">
        <f t="shared" ref="W234:AC238" si="410">SUM(W68)</f>
        <v>21.060319685006363</v>
      </c>
      <c r="X234" s="4708">
        <f t="shared" si="410"/>
        <v>0</v>
      </c>
      <c r="Y234" s="4708">
        <f t="shared" si="410"/>
        <v>0</v>
      </c>
      <c r="Z234" s="4708">
        <f t="shared" si="410"/>
        <v>0</v>
      </c>
      <c r="AA234" s="4708">
        <f t="shared" si="410"/>
        <v>0</v>
      </c>
      <c r="AB234" s="4709">
        <f t="shared" si="410"/>
        <v>84.24127874002545</v>
      </c>
      <c r="AC234" s="4709">
        <f t="shared" si="410"/>
        <v>32.31</v>
      </c>
      <c r="AD234" s="4680">
        <f t="shared" si="365"/>
        <v>-51.931278740025448</v>
      </c>
      <c r="AE234" s="4665"/>
      <c r="AF234" s="4665"/>
      <c r="AG234" s="4665"/>
      <c r="AH234" s="4665"/>
      <c r="AI234" s="4665"/>
      <c r="AJ234" s="4665"/>
      <c r="AK234" s="4665"/>
    </row>
    <row r="235" spans="1:37" ht="18.75">
      <c r="A235" s="4698" t="s">
        <v>2006</v>
      </c>
      <c r="B235" s="4708">
        <f>SUM(B69)</f>
        <v>10.530159842503181</v>
      </c>
      <c r="C235" s="4708">
        <f t="shared" si="408"/>
        <v>0</v>
      </c>
      <c r="D235" s="4708">
        <f t="shared" si="408"/>
        <v>0</v>
      </c>
      <c r="E235" s="4708">
        <f t="shared" si="408"/>
        <v>0</v>
      </c>
      <c r="F235" s="4708">
        <f t="shared" si="408"/>
        <v>0</v>
      </c>
      <c r="G235" s="4708">
        <f t="shared" si="408"/>
        <v>10.530159842503181</v>
      </c>
      <c r="H235" s="4708">
        <f t="shared" si="408"/>
        <v>0</v>
      </c>
      <c r="I235" s="4708">
        <f t="shared" si="408"/>
        <v>0</v>
      </c>
      <c r="J235" s="4708">
        <f t="shared" si="408"/>
        <v>16.12</v>
      </c>
      <c r="K235" s="4708">
        <f t="shared" si="408"/>
        <v>16.12</v>
      </c>
      <c r="L235" s="4709">
        <f t="shared" si="408"/>
        <v>21.060319685006363</v>
      </c>
      <c r="M235" s="4709">
        <f t="shared" si="408"/>
        <v>16.12</v>
      </c>
      <c r="N235" s="4680">
        <f t="shared" si="361"/>
        <v>-4.9403196850063615</v>
      </c>
      <c r="O235" s="4708">
        <f t="shared" si="409"/>
        <v>10.530159842503181</v>
      </c>
      <c r="P235" s="4708">
        <f t="shared" si="409"/>
        <v>0</v>
      </c>
      <c r="Q235" s="4708">
        <f t="shared" si="409"/>
        <v>0</v>
      </c>
      <c r="R235" s="4708">
        <f t="shared" si="409"/>
        <v>0</v>
      </c>
      <c r="S235" s="4708">
        <f t="shared" si="409"/>
        <v>0</v>
      </c>
      <c r="T235" s="4709">
        <f t="shared" si="409"/>
        <v>31.590479527509544</v>
      </c>
      <c r="U235" s="4709">
        <f t="shared" si="409"/>
        <v>16.12</v>
      </c>
      <c r="V235" s="4680">
        <f t="shared" si="363"/>
        <v>-15.470479527509543</v>
      </c>
      <c r="W235" s="4708">
        <f t="shared" si="410"/>
        <v>10.530159842503181</v>
      </c>
      <c r="X235" s="4708">
        <f t="shared" si="410"/>
        <v>0</v>
      </c>
      <c r="Y235" s="4708">
        <f t="shared" si="410"/>
        <v>0</v>
      </c>
      <c r="Z235" s="4708">
        <f t="shared" si="410"/>
        <v>0</v>
      </c>
      <c r="AA235" s="4708">
        <f t="shared" si="410"/>
        <v>0</v>
      </c>
      <c r="AB235" s="4709">
        <f t="shared" si="410"/>
        <v>42.120639370012725</v>
      </c>
      <c r="AC235" s="4709">
        <f t="shared" si="410"/>
        <v>16.12</v>
      </c>
      <c r="AD235" s="4680">
        <f t="shared" si="365"/>
        <v>-26.000639370012724</v>
      </c>
      <c r="AE235" s="4665"/>
      <c r="AF235" s="4665"/>
      <c r="AG235" s="4665"/>
      <c r="AH235" s="4665"/>
      <c r="AI235" s="4665"/>
      <c r="AJ235" s="4665"/>
      <c r="AK235" s="4665"/>
    </row>
    <row r="236" spans="1:37" ht="18.75">
      <c r="A236" s="4698" t="s">
        <v>2007</v>
      </c>
      <c r="B236" s="4708">
        <f>SUM(B70)</f>
        <v>10.530159842503181</v>
      </c>
      <c r="C236" s="4708">
        <f t="shared" si="408"/>
        <v>3.16</v>
      </c>
      <c r="D236" s="4708">
        <f t="shared" si="408"/>
        <v>15.299999999999999</v>
      </c>
      <c r="E236" s="4708">
        <f t="shared" si="408"/>
        <v>10.73</v>
      </c>
      <c r="F236" s="4708">
        <f t="shared" si="408"/>
        <v>29.19</v>
      </c>
      <c r="G236" s="4708">
        <f t="shared" si="408"/>
        <v>10.530159842503181</v>
      </c>
      <c r="H236" s="4708">
        <f t="shared" si="408"/>
        <v>0.35</v>
      </c>
      <c r="I236" s="4708">
        <f t="shared" si="408"/>
        <v>0.28999999999999998</v>
      </c>
      <c r="J236" s="4708">
        <f t="shared" si="408"/>
        <v>0.35</v>
      </c>
      <c r="K236" s="4708">
        <f t="shared" si="408"/>
        <v>0.98999999999999988</v>
      </c>
      <c r="L236" s="4709">
        <f t="shared" si="408"/>
        <v>21.060319685006363</v>
      </c>
      <c r="M236" s="4709">
        <f t="shared" si="408"/>
        <v>30.18</v>
      </c>
      <c r="N236" s="4680">
        <f t="shared" si="361"/>
        <v>9.1196803149936372</v>
      </c>
      <c r="O236" s="4708">
        <f t="shared" si="409"/>
        <v>10.530159842503181</v>
      </c>
      <c r="P236" s="4708">
        <f t="shared" si="409"/>
        <v>0</v>
      </c>
      <c r="Q236" s="4708">
        <f t="shared" si="409"/>
        <v>0</v>
      </c>
      <c r="R236" s="4708">
        <f t="shared" si="409"/>
        <v>0</v>
      </c>
      <c r="S236" s="4708">
        <f t="shared" si="409"/>
        <v>0</v>
      </c>
      <c r="T236" s="4709">
        <f t="shared" si="409"/>
        <v>31.590479527509544</v>
      </c>
      <c r="U236" s="4709">
        <f t="shared" si="409"/>
        <v>30.18</v>
      </c>
      <c r="V236" s="4680">
        <f t="shared" si="363"/>
        <v>-1.4104795275095441</v>
      </c>
      <c r="W236" s="4708">
        <f t="shared" si="410"/>
        <v>10.530159842503181</v>
      </c>
      <c r="X236" s="4708">
        <f t="shared" si="410"/>
        <v>0</v>
      </c>
      <c r="Y236" s="4708">
        <f t="shared" si="410"/>
        <v>0</v>
      </c>
      <c r="Z236" s="4708">
        <f t="shared" si="410"/>
        <v>0</v>
      </c>
      <c r="AA236" s="4708">
        <f t="shared" si="410"/>
        <v>0</v>
      </c>
      <c r="AB236" s="4709">
        <f t="shared" si="410"/>
        <v>42.120639370012725</v>
      </c>
      <c r="AC236" s="4709">
        <f t="shared" si="410"/>
        <v>30.18</v>
      </c>
      <c r="AD236" s="4680">
        <f t="shared" si="365"/>
        <v>-11.940639370012725</v>
      </c>
      <c r="AE236" s="4665"/>
      <c r="AF236" s="4665"/>
      <c r="AG236" s="4665"/>
      <c r="AH236" s="4665"/>
      <c r="AI236" s="4665"/>
      <c r="AJ236" s="4665"/>
      <c r="AK236" s="4665"/>
    </row>
    <row r="237" spans="1:37" ht="18.75">
      <c r="A237" s="4698" t="s">
        <v>636</v>
      </c>
      <c r="B237" s="4708">
        <f>SUM(B71)</f>
        <v>0</v>
      </c>
      <c r="C237" s="4708">
        <f t="shared" si="408"/>
        <v>47.35</v>
      </c>
      <c r="D237" s="4708">
        <f t="shared" si="408"/>
        <v>46.36</v>
      </c>
      <c r="E237" s="4708">
        <f t="shared" si="408"/>
        <v>44.73</v>
      </c>
      <c r="F237" s="4708">
        <f t="shared" si="408"/>
        <v>138.44</v>
      </c>
      <c r="G237" s="4708">
        <f t="shared" si="408"/>
        <v>0</v>
      </c>
      <c r="H237" s="4708">
        <f t="shared" si="408"/>
        <v>43.1</v>
      </c>
      <c r="I237" s="4708">
        <f t="shared" si="408"/>
        <v>43.47</v>
      </c>
      <c r="J237" s="4708">
        <f t="shared" si="408"/>
        <v>43.31</v>
      </c>
      <c r="K237" s="4708">
        <f t="shared" si="408"/>
        <v>129.88</v>
      </c>
      <c r="L237" s="4709">
        <f t="shared" si="408"/>
        <v>0</v>
      </c>
      <c r="M237" s="4709">
        <f t="shared" si="408"/>
        <v>268.32</v>
      </c>
      <c r="N237" s="4680">
        <f t="shared" si="361"/>
        <v>268.32</v>
      </c>
      <c r="O237" s="4708">
        <f t="shared" si="409"/>
        <v>0</v>
      </c>
      <c r="P237" s="4708">
        <f t="shared" si="409"/>
        <v>0</v>
      </c>
      <c r="Q237" s="4708">
        <f t="shared" si="409"/>
        <v>0</v>
      </c>
      <c r="R237" s="4708">
        <f t="shared" si="409"/>
        <v>0</v>
      </c>
      <c r="S237" s="4708">
        <f t="shared" si="409"/>
        <v>0</v>
      </c>
      <c r="T237" s="4709">
        <f t="shared" si="409"/>
        <v>0</v>
      </c>
      <c r="U237" s="4709">
        <f t="shared" si="409"/>
        <v>268.32</v>
      </c>
      <c r="V237" s="4680">
        <f t="shared" si="363"/>
        <v>268.32</v>
      </c>
      <c r="W237" s="4708">
        <f t="shared" si="410"/>
        <v>0</v>
      </c>
      <c r="X237" s="4708">
        <f t="shared" si="410"/>
        <v>0</v>
      </c>
      <c r="Y237" s="4708">
        <f t="shared" si="410"/>
        <v>0</v>
      </c>
      <c r="Z237" s="4708">
        <f t="shared" si="410"/>
        <v>0</v>
      </c>
      <c r="AA237" s="4708">
        <f t="shared" si="410"/>
        <v>0</v>
      </c>
      <c r="AB237" s="4709">
        <f t="shared" si="410"/>
        <v>0</v>
      </c>
      <c r="AC237" s="4709">
        <f t="shared" si="410"/>
        <v>268.32</v>
      </c>
      <c r="AD237" s="4680">
        <f t="shared" si="365"/>
        <v>268.32</v>
      </c>
      <c r="AE237" s="4665"/>
      <c r="AF237" s="4665"/>
      <c r="AG237" s="4665"/>
      <c r="AH237" s="4665"/>
      <c r="AI237" s="4665"/>
      <c r="AJ237" s="4665"/>
      <c r="AK237" s="4665"/>
    </row>
    <row r="238" spans="1:37" ht="18.75">
      <c r="A238" s="4698" t="s">
        <v>612</v>
      </c>
      <c r="B238" s="4708">
        <f>SUM(B72)</f>
        <v>0</v>
      </c>
      <c r="C238" s="4708">
        <f t="shared" si="408"/>
        <v>27.79</v>
      </c>
      <c r="D238" s="4708">
        <f t="shared" si="408"/>
        <v>27.79</v>
      </c>
      <c r="E238" s="4708">
        <f t="shared" si="408"/>
        <v>28.62</v>
      </c>
      <c r="F238" s="4708">
        <f t="shared" si="408"/>
        <v>84.2</v>
      </c>
      <c r="G238" s="4708">
        <f t="shared" si="408"/>
        <v>0</v>
      </c>
      <c r="H238" s="4708">
        <f t="shared" si="408"/>
        <v>27.78</v>
      </c>
      <c r="I238" s="4708">
        <f t="shared" si="408"/>
        <v>28.31</v>
      </c>
      <c r="J238" s="4708">
        <f t="shared" si="408"/>
        <v>27.98</v>
      </c>
      <c r="K238" s="4708">
        <f t="shared" si="408"/>
        <v>84.070000000000007</v>
      </c>
      <c r="L238" s="4709">
        <f t="shared" si="408"/>
        <v>0</v>
      </c>
      <c r="M238" s="4709">
        <f t="shared" si="408"/>
        <v>168.27</v>
      </c>
      <c r="N238" s="4680">
        <f t="shared" si="361"/>
        <v>168.27</v>
      </c>
      <c r="O238" s="4708">
        <f t="shared" si="409"/>
        <v>0</v>
      </c>
      <c r="P238" s="4708">
        <f t="shared" si="409"/>
        <v>0</v>
      </c>
      <c r="Q238" s="4708">
        <f t="shared" si="409"/>
        <v>0</v>
      </c>
      <c r="R238" s="4708">
        <f t="shared" si="409"/>
        <v>0</v>
      </c>
      <c r="S238" s="4708">
        <f t="shared" si="409"/>
        <v>0</v>
      </c>
      <c r="T238" s="4709">
        <f t="shared" si="409"/>
        <v>0</v>
      </c>
      <c r="U238" s="4709">
        <f t="shared" si="409"/>
        <v>168.27</v>
      </c>
      <c r="V238" s="4680">
        <f t="shared" si="363"/>
        <v>168.27</v>
      </c>
      <c r="W238" s="4708">
        <f t="shared" si="410"/>
        <v>0</v>
      </c>
      <c r="X238" s="4708">
        <f t="shared" si="410"/>
        <v>0</v>
      </c>
      <c r="Y238" s="4708">
        <f t="shared" si="410"/>
        <v>0</v>
      </c>
      <c r="Z238" s="4708">
        <f t="shared" si="410"/>
        <v>0</v>
      </c>
      <c r="AA238" s="4708">
        <f t="shared" si="410"/>
        <v>0</v>
      </c>
      <c r="AB238" s="4709">
        <f t="shared" si="410"/>
        <v>0</v>
      </c>
      <c r="AC238" s="4709">
        <f t="shared" si="410"/>
        <v>168.27</v>
      </c>
      <c r="AD238" s="4680">
        <f t="shared" si="365"/>
        <v>168.27</v>
      </c>
      <c r="AE238" s="4665"/>
      <c r="AF238" s="4665"/>
      <c r="AG238" s="4665"/>
      <c r="AH238" s="4665"/>
      <c r="AI238" s="4665"/>
      <c r="AJ238" s="4665"/>
      <c r="AK238" s="4665"/>
    </row>
    <row r="239" spans="1:37" ht="18.75">
      <c r="A239" s="4701" t="s">
        <v>606</v>
      </c>
      <c r="B239" s="4703">
        <f>SUM(B240:B243)</f>
        <v>2403.6744420191185</v>
      </c>
      <c r="C239" s="4703">
        <f t="shared" ref="C239:M239" si="411">SUM(C240:C243)</f>
        <v>843.83</v>
      </c>
      <c r="D239" s="4703">
        <f t="shared" si="411"/>
        <v>757.93</v>
      </c>
      <c r="E239" s="4703">
        <f t="shared" si="411"/>
        <v>857.29</v>
      </c>
      <c r="F239" s="4703">
        <f t="shared" si="411"/>
        <v>2459.0500000000002</v>
      </c>
      <c r="G239" s="4703">
        <f t="shared" si="411"/>
        <v>816.63338721035018</v>
      </c>
      <c r="H239" s="4703">
        <f t="shared" si="411"/>
        <v>540.2700000000001</v>
      </c>
      <c r="I239" s="4703">
        <f t="shared" si="411"/>
        <v>200.81000000000003</v>
      </c>
      <c r="J239" s="4703">
        <f t="shared" si="411"/>
        <v>26.68</v>
      </c>
      <c r="K239" s="4703">
        <f t="shared" si="411"/>
        <v>767.75999999999988</v>
      </c>
      <c r="L239" s="4704">
        <f t="shared" si="411"/>
        <v>3220.3078292294686</v>
      </c>
      <c r="M239" s="4704">
        <f t="shared" si="411"/>
        <v>3226.8099999999995</v>
      </c>
      <c r="N239" s="4680">
        <f t="shared" si="361"/>
        <v>6.5021707705309382</v>
      </c>
      <c r="O239" s="4703">
        <f t="shared" ref="O239:U239" si="412">SUM(O240:O243)</f>
        <v>437.3879990625079</v>
      </c>
      <c r="P239" s="4703">
        <f t="shared" si="412"/>
        <v>0</v>
      </c>
      <c r="Q239" s="4703">
        <f t="shared" si="412"/>
        <v>0</v>
      </c>
      <c r="R239" s="4703">
        <f t="shared" si="412"/>
        <v>0</v>
      </c>
      <c r="S239" s="4703">
        <f t="shared" si="412"/>
        <v>0</v>
      </c>
      <c r="T239" s="4704">
        <f t="shared" si="412"/>
        <v>3657.6958282919768</v>
      </c>
      <c r="U239" s="4704">
        <f t="shared" si="412"/>
        <v>3226.8099999999995</v>
      </c>
      <c r="V239" s="4680">
        <f t="shared" si="363"/>
        <v>-430.8858282919773</v>
      </c>
      <c r="W239" s="4703">
        <f t="shared" ref="W239:AC239" si="413">SUM(W240:W243)</f>
        <v>2152.262024799245</v>
      </c>
      <c r="X239" s="4703">
        <f t="shared" si="413"/>
        <v>0</v>
      </c>
      <c r="Y239" s="4703">
        <f t="shared" si="413"/>
        <v>0</v>
      </c>
      <c r="Z239" s="4703">
        <f t="shared" si="413"/>
        <v>0</v>
      </c>
      <c r="AA239" s="4703">
        <f t="shared" si="413"/>
        <v>0</v>
      </c>
      <c r="AB239" s="4704">
        <f t="shared" si="413"/>
        <v>5809.9578530912213</v>
      </c>
      <c r="AC239" s="4704">
        <f t="shared" si="413"/>
        <v>3226.8099999999995</v>
      </c>
      <c r="AD239" s="4680">
        <f t="shared" si="365"/>
        <v>-2583.1478530912218</v>
      </c>
      <c r="AE239" s="4665"/>
      <c r="AF239" s="4665"/>
      <c r="AG239" s="4665"/>
      <c r="AH239" s="4665"/>
      <c r="AI239" s="4665"/>
      <c r="AJ239" s="4665"/>
      <c r="AK239" s="4665"/>
    </row>
    <row r="240" spans="1:37" ht="18.75">
      <c r="A240" s="4699" t="s">
        <v>562</v>
      </c>
      <c r="B240" s="4708">
        <f>SUM(B77)</f>
        <v>2169.7219130209778</v>
      </c>
      <c r="C240" s="4708">
        <f t="shared" ref="C240:M240" si="414">SUM(C77)</f>
        <v>812.2700000000001</v>
      </c>
      <c r="D240" s="4708">
        <f t="shared" si="414"/>
        <v>688.75</v>
      </c>
      <c r="E240" s="4708">
        <f t="shared" si="414"/>
        <v>707.79</v>
      </c>
      <c r="F240" s="4708">
        <f t="shared" si="414"/>
        <v>2208.81</v>
      </c>
      <c r="G240" s="4708">
        <f t="shared" si="414"/>
        <v>582.68085821220973</v>
      </c>
      <c r="H240" s="4708">
        <f t="shared" si="414"/>
        <v>503.19</v>
      </c>
      <c r="I240" s="4708">
        <f t="shared" si="414"/>
        <v>168.61</v>
      </c>
      <c r="J240" s="4708">
        <f t="shared" si="414"/>
        <v>0</v>
      </c>
      <c r="K240" s="4708">
        <f t="shared" si="414"/>
        <v>671.8</v>
      </c>
      <c r="L240" s="4709">
        <f t="shared" si="414"/>
        <v>2752.4027712331877</v>
      </c>
      <c r="M240" s="4709">
        <f t="shared" si="414"/>
        <v>2880.6099999999997</v>
      </c>
      <c r="N240" s="4680">
        <f t="shared" si="361"/>
        <v>128.20722876681202</v>
      </c>
      <c r="O240" s="4708">
        <f t="shared" ref="O240:U240" si="415">SUM(O77)</f>
        <v>203.43547006436748</v>
      </c>
      <c r="P240" s="4708">
        <f t="shared" si="415"/>
        <v>0</v>
      </c>
      <c r="Q240" s="4708">
        <f t="shared" si="415"/>
        <v>0</v>
      </c>
      <c r="R240" s="4708">
        <f t="shared" si="415"/>
        <v>0</v>
      </c>
      <c r="S240" s="4708">
        <f t="shared" si="415"/>
        <v>0</v>
      </c>
      <c r="T240" s="4709">
        <f t="shared" si="415"/>
        <v>2955.8382412975552</v>
      </c>
      <c r="U240" s="4709">
        <f t="shared" si="415"/>
        <v>2880.6099999999997</v>
      </c>
      <c r="V240" s="4680">
        <f t="shared" si="363"/>
        <v>-75.228241297555542</v>
      </c>
      <c r="W240" s="4708">
        <f t="shared" ref="W240:AC240" si="416">SUM(W77)</f>
        <v>1918.3094958011043</v>
      </c>
      <c r="X240" s="4708">
        <f t="shared" si="416"/>
        <v>0</v>
      </c>
      <c r="Y240" s="4708">
        <f t="shared" si="416"/>
        <v>0</v>
      </c>
      <c r="Z240" s="4708">
        <f t="shared" si="416"/>
        <v>0</v>
      </c>
      <c r="AA240" s="4708">
        <f t="shared" si="416"/>
        <v>0</v>
      </c>
      <c r="AB240" s="4709">
        <f t="shared" si="416"/>
        <v>4874.1477370986595</v>
      </c>
      <c r="AC240" s="4709">
        <f t="shared" si="416"/>
        <v>2880.6099999999997</v>
      </c>
      <c r="AD240" s="4680">
        <f t="shared" si="365"/>
        <v>-1993.5377370986598</v>
      </c>
      <c r="AE240" s="4665"/>
      <c r="AF240" s="4665"/>
      <c r="AG240" s="4665"/>
      <c r="AH240" s="4665"/>
      <c r="AI240" s="4665"/>
      <c r="AJ240" s="4665"/>
      <c r="AK240" s="4665"/>
    </row>
    <row r="241" spans="1:37" ht="18.75">
      <c r="A241" s="4699" t="s">
        <v>564</v>
      </c>
      <c r="B241" s="4708">
        <f>SUM(B43+B78+B105+B125)</f>
        <v>225.72647491204089</v>
      </c>
      <c r="C241" s="4708">
        <f t="shared" ref="C241:M241" si="417">SUM(C43+C78+C105+C125)</f>
        <v>31.56</v>
      </c>
      <c r="D241" s="4708">
        <f t="shared" si="417"/>
        <v>66.77</v>
      </c>
      <c r="E241" s="4708">
        <f t="shared" si="417"/>
        <v>148.36000000000001</v>
      </c>
      <c r="F241" s="4708">
        <f t="shared" si="417"/>
        <v>246.69000000000003</v>
      </c>
      <c r="G241" s="4708">
        <f t="shared" si="417"/>
        <v>225.72647491204089</v>
      </c>
      <c r="H241" s="4708">
        <f t="shared" si="417"/>
        <v>31.25</v>
      </c>
      <c r="I241" s="4708">
        <f t="shared" si="417"/>
        <v>29.650000000000002</v>
      </c>
      <c r="J241" s="4708">
        <f t="shared" si="417"/>
        <v>23.64</v>
      </c>
      <c r="K241" s="4708">
        <f t="shared" si="417"/>
        <v>84.539999999999992</v>
      </c>
      <c r="L241" s="4709">
        <f t="shared" si="417"/>
        <v>451.45294982408177</v>
      </c>
      <c r="M241" s="4709">
        <f t="shared" si="417"/>
        <v>331.22999999999996</v>
      </c>
      <c r="N241" s="4680">
        <f t="shared" si="361"/>
        <v>-120.22294982408181</v>
      </c>
      <c r="O241" s="4708">
        <f t="shared" ref="O241:U241" si="418">SUM(O43+O78+O105+O125)</f>
        <v>225.72647491204089</v>
      </c>
      <c r="P241" s="4708">
        <f t="shared" si="418"/>
        <v>0</v>
      </c>
      <c r="Q241" s="4708">
        <f t="shared" si="418"/>
        <v>0</v>
      </c>
      <c r="R241" s="4708">
        <f t="shared" si="418"/>
        <v>0</v>
      </c>
      <c r="S241" s="4708">
        <f t="shared" si="418"/>
        <v>0</v>
      </c>
      <c r="T241" s="4709">
        <f t="shared" si="418"/>
        <v>677.17942473612266</v>
      </c>
      <c r="U241" s="4709">
        <f t="shared" si="418"/>
        <v>331.22999999999996</v>
      </c>
      <c r="V241" s="4680">
        <f t="shared" si="363"/>
        <v>-345.94942473612269</v>
      </c>
      <c r="W241" s="4708">
        <f t="shared" ref="W241:AC241" si="419">SUM(W43+W78+W105+W125)</f>
        <v>225.72647491204089</v>
      </c>
      <c r="X241" s="4708">
        <f t="shared" si="419"/>
        <v>0</v>
      </c>
      <c r="Y241" s="4708">
        <f t="shared" si="419"/>
        <v>0</v>
      </c>
      <c r="Z241" s="4708">
        <f t="shared" si="419"/>
        <v>0</v>
      </c>
      <c r="AA241" s="4708">
        <f t="shared" si="419"/>
        <v>0</v>
      </c>
      <c r="AB241" s="4709">
        <f t="shared" si="419"/>
        <v>902.90589964816354</v>
      </c>
      <c r="AC241" s="4709">
        <f t="shared" si="419"/>
        <v>331.22999999999996</v>
      </c>
      <c r="AD241" s="4680">
        <f t="shared" si="365"/>
        <v>-571.67589964816352</v>
      </c>
      <c r="AE241" s="4665"/>
      <c r="AF241" s="4665"/>
      <c r="AG241" s="4665"/>
      <c r="AH241" s="4665"/>
      <c r="AI241" s="4665"/>
      <c r="AJ241" s="4665"/>
      <c r="AK241" s="4665"/>
    </row>
    <row r="242" spans="1:37" ht="18.75">
      <c r="A242" s="4699" t="s">
        <v>563</v>
      </c>
      <c r="B242" s="4708">
        <f t="shared" ref="B242:M243" si="420">SUM(B44+B79)</f>
        <v>0</v>
      </c>
      <c r="C242" s="4708">
        <f t="shared" si="420"/>
        <v>0</v>
      </c>
      <c r="D242" s="4708">
        <f t="shared" si="420"/>
        <v>0</v>
      </c>
      <c r="E242" s="4708">
        <f t="shared" si="420"/>
        <v>0</v>
      </c>
      <c r="F242" s="4708">
        <f t="shared" si="420"/>
        <v>0</v>
      </c>
      <c r="G242" s="4708">
        <f t="shared" si="420"/>
        <v>0</v>
      </c>
      <c r="H242" s="4708">
        <f t="shared" si="420"/>
        <v>0</v>
      </c>
      <c r="I242" s="4708">
        <f t="shared" si="420"/>
        <v>0</v>
      </c>
      <c r="J242" s="4708">
        <f t="shared" si="420"/>
        <v>0</v>
      </c>
      <c r="K242" s="4708">
        <f t="shared" si="420"/>
        <v>0</v>
      </c>
      <c r="L242" s="4709">
        <f t="shared" si="420"/>
        <v>0</v>
      </c>
      <c r="M242" s="4709">
        <f t="shared" si="420"/>
        <v>0</v>
      </c>
      <c r="N242" s="4680">
        <f t="shared" si="361"/>
        <v>0</v>
      </c>
      <c r="O242" s="4708">
        <f t="shared" ref="O242:U243" si="421">SUM(O44+O79)</f>
        <v>0</v>
      </c>
      <c r="P242" s="4708">
        <f t="shared" si="421"/>
        <v>0</v>
      </c>
      <c r="Q242" s="4708">
        <f t="shared" si="421"/>
        <v>0</v>
      </c>
      <c r="R242" s="4708">
        <f t="shared" si="421"/>
        <v>0</v>
      </c>
      <c r="S242" s="4708">
        <f t="shared" si="421"/>
        <v>0</v>
      </c>
      <c r="T242" s="4709">
        <f t="shared" si="421"/>
        <v>0</v>
      </c>
      <c r="U242" s="4709">
        <f t="shared" si="421"/>
        <v>0</v>
      </c>
      <c r="V242" s="4680">
        <f t="shared" si="363"/>
        <v>0</v>
      </c>
      <c r="W242" s="4708">
        <f t="shared" ref="W242:AC243" si="422">SUM(W44+W79)</f>
        <v>0</v>
      </c>
      <c r="X242" s="4708">
        <f t="shared" si="422"/>
        <v>0</v>
      </c>
      <c r="Y242" s="4708">
        <f t="shared" si="422"/>
        <v>0</v>
      </c>
      <c r="Z242" s="4708">
        <f t="shared" si="422"/>
        <v>0</v>
      </c>
      <c r="AA242" s="4708">
        <f t="shared" si="422"/>
        <v>0</v>
      </c>
      <c r="AB242" s="4709">
        <f t="shared" si="422"/>
        <v>0</v>
      </c>
      <c r="AC242" s="4709">
        <f t="shared" si="422"/>
        <v>0</v>
      </c>
      <c r="AD242" s="4680">
        <f t="shared" si="365"/>
        <v>0</v>
      </c>
      <c r="AE242" s="4665"/>
      <c r="AF242" s="4665"/>
      <c r="AG242" s="4665"/>
      <c r="AH242" s="4665"/>
      <c r="AI242" s="4665"/>
      <c r="AJ242" s="4665"/>
      <c r="AK242" s="4665"/>
    </row>
    <row r="243" spans="1:37" ht="18.75">
      <c r="A243" s="4699" t="s">
        <v>2008</v>
      </c>
      <c r="B243" s="4708">
        <f t="shared" si="420"/>
        <v>8.2260540860995857</v>
      </c>
      <c r="C243" s="4708">
        <f t="shared" si="420"/>
        <v>0</v>
      </c>
      <c r="D243" s="4708">
        <f t="shared" si="420"/>
        <v>2.41</v>
      </c>
      <c r="E243" s="4708">
        <f t="shared" si="420"/>
        <v>1.1399999999999999</v>
      </c>
      <c r="F243" s="4708">
        <f t="shared" si="420"/>
        <v>3.55</v>
      </c>
      <c r="G243" s="4708">
        <f t="shared" si="420"/>
        <v>8.2260540860995857</v>
      </c>
      <c r="H243" s="4708">
        <f t="shared" si="420"/>
        <v>5.83</v>
      </c>
      <c r="I243" s="4708">
        <f t="shared" si="420"/>
        <v>2.5499999999999998</v>
      </c>
      <c r="J243" s="4708">
        <f t="shared" si="420"/>
        <v>3.04</v>
      </c>
      <c r="K243" s="4708">
        <f t="shared" si="420"/>
        <v>11.419999999999998</v>
      </c>
      <c r="L243" s="4709">
        <f t="shared" si="420"/>
        <v>16.452108172199171</v>
      </c>
      <c r="M243" s="4709">
        <f t="shared" si="420"/>
        <v>14.969999999999999</v>
      </c>
      <c r="N243" s="4680">
        <f t="shared" si="361"/>
        <v>-1.4821081721991725</v>
      </c>
      <c r="O243" s="4708">
        <f t="shared" si="421"/>
        <v>8.2260540860995857</v>
      </c>
      <c r="P243" s="4708">
        <f t="shared" si="421"/>
        <v>0</v>
      </c>
      <c r="Q243" s="4708">
        <f t="shared" si="421"/>
        <v>0</v>
      </c>
      <c r="R243" s="4708">
        <f t="shared" si="421"/>
        <v>0</v>
      </c>
      <c r="S243" s="4708">
        <f t="shared" si="421"/>
        <v>0</v>
      </c>
      <c r="T243" s="4709">
        <f t="shared" si="421"/>
        <v>24.678162258298762</v>
      </c>
      <c r="U243" s="4709">
        <f t="shared" si="421"/>
        <v>14.969999999999999</v>
      </c>
      <c r="V243" s="4680">
        <f t="shared" si="363"/>
        <v>-9.7081622582987634</v>
      </c>
      <c r="W243" s="4708">
        <f t="shared" si="422"/>
        <v>8.2260540860995857</v>
      </c>
      <c r="X243" s="4708">
        <f t="shared" si="422"/>
        <v>0</v>
      </c>
      <c r="Y243" s="4708">
        <f t="shared" si="422"/>
        <v>0</v>
      </c>
      <c r="Z243" s="4708">
        <f t="shared" si="422"/>
        <v>0</v>
      </c>
      <c r="AA243" s="4708">
        <f t="shared" si="422"/>
        <v>0</v>
      </c>
      <c r="AB243" s="4709">
        <f t="shared" si="422"/>
        <v>32.904216344398343</v>
      </c>
      <c r="AC243" s="4709">
        <f t="shared" si="422"/>
        <v>14.969999999999999</v>
      </c>
      <c r="AD243" s="4680">
        <f t="shared" si="365"/>
        <v>-17.934216344398344</v>
      </c>
      <c r="AE243" s="4665"/>
      <c r="AF243" s="4665"/>
      <c r="AG243" s="4665"/>
      <c r="AH243" s="4665"/>
      <c r="AI243" s="4665"/>
      <c r="AJ243" s="4665"/>
      <c r="AK243" s="4665"/>
    </row>
    <row r="244" spans="1:37" ht="18.75">
      <c r="A244" s="4701" t="s">
        <v>609</v>
      </c>
      <c r="B244" s="4703">
        <f>SUM(B245:B248)</f>
        <v>191.28192284824064</v>
      </c>
      <c r="C244" s="4703">
        <f t="shared" ref="C244:M244" si="423">SUM(C245:C248)</f>
        <v>5.8100000000000005</v>
      </c>
      <c r="D244" s="4703">
        <f t="shared" si="423"/>
        <v>33.290000000000006</v>
      </c>
      <c r="E244" s="4703">
        <f t="shared" si="423"/>
        <v>25.56</v>
      </c>
      <c r="F244" s="4703">
        <f t="shared" si="423"/>
        <v>64.66</v>
      </c>
      <c r="G244" s="4703">
        <f t="shared" si="423"/>
        <v>216.2116586199175</v>
      </c>
      <c r="H244" s="4703">
        <f t="shared" si="423"/>
        <v>131.82999999999998</v>
      </c>
      <c r="I244" s="4703">
        <f t="shared" si="423"/>
        <v>29.439999999999998</v>
      </c>
      <c r="J244" s="4703">
        <f t="shared" si="423"/>
        <v>121.48</v>
      </c>
      <c r="K244" s="4703">
        <f t="shared" si="423"/>
        <v>282.75</v>
      </c>
      <c r="L244" s="4704">
        <f t="shared" si="423"/>
        <v>407.49358146815814</v>
      </c>
      <c r="M244" s="4704">
        <f t="shared" si="423"/>
        <v>347.41</v>
      </c>
      <c r="N244" s="4680">
        <f t="shared" si="361"/>
        <v>-60.083581468158116</v>
      </c>
      <c r="O244" s="4703">
        <f t="shared" ref="O244:U244" si="424">SUM(O245:O248)</f>
        <v>233.6350783460565</v>
      </c>
      <c r="P244" s="4703">
        <f t="shared" si="424"/>
        <v>0</v>
      </c>
      <c r="Q244" s="4703">
        <f t="shared" si="424"/>
        <v>0</v>
      </c>
      <c r="R244" s="4703">
        <f t="shared" si="424"/>
        <v>0</v>
      </c>
      <c r="S244" s="4703">
        <f t="shared" si="424"/>
        <v>0</v>
      </c>
      <c r="T244" s="4704">
        <f t="shared" si="424"/>
        <v>641.12865981421464</v>
      </c>
      <c r="U244" s="4704">
        <f t="shared" si="424"/>
        <v>347.41</v>
      </c>
      <c r="V244" s="4680">
        <f t="shared" si="363"/>
        <v>-293.71865981421462</v>
      </c>
      <c r="W244" s="4703">
        <f t="shared" ref="W244:AC244" si="425">SUM(W245:W248)</f>
        <v>191.28192284824064</v>
      </c>
      <c r="X244" s="4703">
        <f t="shared" si="425"/>
        <v>0</v>
      </c>
      <c r="Y244" s="4703">
        <f t="shared" si="425"/>
        <v>0</v>
      </c>
      <c r="Z244" s="4703">
        <f t="shared" si="425"/>
        <v>0</v>
      </c>
      <c r="AA244" s="4703">
        <f t="shared" si="425"/>
        <v>0</v>
      </c>
      <c r="AB244" s="4704">
        <f t="shared" si="425"/>
        <v>832.41058266245534</v>
      </c>
      <c r="AC244" s="4704">
        <f t="shared" si="425"/>
        <v>347.41</v>
      </c>
      <c r="AD244" s="4680">
        <f t="shared" si="365"/>
        <v>-485.00058266245532</v>
      </c>
      <c r="AE244" s="4665"/>
      <c r="AF244" s="4665"/>
      <c r="AG244" s="4665"/>
      <c r="AH244" s="4665"/>
      <c r="AI244" s="4665"/>
      <c r="AJ244" s="4665"/>
      <c r="AK244" s="4665"/>
    </row>
    <row r="245" spans="1:37" ht="18.75">
      <c r="A245" s="4699" t="s">
        <v>551</v>
      </c>
      <c r="B245" s="4708">
        <f>SUM(B47+B82+B107+B127)</f>
        <v>120.15584735667559</v>
      </c>
      <c r="C245" s="4708">
        <f t="shared" ref="C245:M245" si="426">SUM(C47+C82+C107+C127)</f>
        <v>0</v>
      </c>
      <c r="D245" s="4708">
        <f t="shared" si="426"/>
        <v>6.23</v>
      </c>
      <c r="E245" s="4708">
        <f t="shared" si="426"/>
        <v>19.32</v>
      </c>
      <c r="F245" s="4708">
        <f t="shared" si="426"/>
        <v>25.55</v>
      </c>
      <c r="G245" s="4708">
        <f t="shared" si="426"/>
        <v>145.08558312835248</v>
      </c>
      <c r="H245" s="4708">
        <f t="shared" si="426"/>
        <v>107.58</v>
      </c>
      <c r="I245" s="4708">
        <f t="shared" si="426"/>
        <v>20.309999999999999</v>
      </c>
      <c r="J245" s="4708">
        <f t="shared" si="426"/>
        <v>44.78</v>
      </c>
      <c r="K245" s="4708">
        <f t="shared" si="426"/>
        <v>172.67000000000002</v>
      </c>
      <c r="L245" s="4709">
        <f t="shared" si="426"/>
        <v>265.2414304850281</v>
      </c>
      <c r="M245" s="4709">
        <f t="shared" si="426"/>
        <v>198.22000000000003</v>
      </c>
      <c r="N245" s="4680">
        <f t="shared" si="361"/>
        <v>-67.021430485028077</v>
      </c>
      <c r="O245" s="4708">
        <f t="shared" ref="O245:U245" si="427">SUM(O47+O82+O107+O127)</f>
        <v>162.50900285449148</v>
      </c>
      <c r="P245" s="4708">
        <f t="shared" si="427"/>
        <v>0</v>
      </c>
      <c r="Q245" s="4708">
        <f t="shared" si="427"/>
        <v>0</v>
      </c>
      <c r="R245" s="4708">
        <f t="shared" si="427"/>
        <v>0</v>
      </c>
      <c r="S245" s="4708">
        <f t="shared" si="427"/>
        <v>0</v>
      </c>
      <c r="T245" s="4709">
        <f t="shared" si="427"/>
        <v>427.75043333951953</v>
      </c>
      <c r="U245" s="4709">
        <f t="shared" si="427"/>
        <v>198.22000000000003</v>
      </c>
      <c r="V245" s="4680">
        <f t="shared" si="363"/>
        <v>-229.5304333395195</v>
      </c>
      <c r="W245" s="4708">
        <f t="shared" ref="W245:AC245" si="428">SUM(W47+W82+W107+W127)</f>
        <v>120.15584735667559</v>
      </c>
      <c r="X245" s="4708">
        <f t="shared" si="428"/>
        <v>0</v>
      </c>
      <c r="Y245" s="4708">
        <f t="shared" si="428"/>
        <v>0</v>
      </c>
      <c r="Z245" s="4708">
        <f t="shared" si="428"/>
        <v>0</v>
      </c>
      <c r="AA245" s="4708">
        <f t="shared" si="428"/>
        <v>0</v>
      </c>
      <c r="AB245" s="4709">
        <f t="shared" si="428"/>
        <v>547.90628069619515</v>
      </c>
      <c r="AC245" s="4709">
        <f t="shared" si="428"/>
        <v>198.22000000000003</v>
      </c>
      <c r="AD245" s="4680">
        <f t="shared" si="365"/>
        <v>-349.68628069619513</v>
      </c>
      <c r="AE245" s="4665"/>
      <c r="AF245" s="4665"/>
      <c r="AG245" s="4665"/>
      <c r="AH245" s="4665"/>
      <c r="AI245" s="4665"/>
      <c r="AJ245" s="4665"/>
      <c r="AK245" s="4665"/>
    </row>
    <row r="246" spans="1:37" ht="18.75">
      <c r="A246" s="4699" t="s">
        <v>559</v>
      </c>
      <c r="B246" s="4708">
        <f>SUM(B84+B108)</f>
        <v>47.913451720580454</v>
      </c>
      <c r="C246" s="4708">
        <f t="shared" ref="C246:M246" si="429">SUM(C84+C108)</f>
        <v>4.79</v>
      </c>
      <c r="D246" s="4708">
        <f t="shared" si="429"/>
        <v>25.42</v>
      </c>
      <c r="E246" s="4708">
        <f t="shared" si="429"/>
        <v>4.79</v>
      </c>
      <c r="F246" s="4708">
        <f t="shared" si="429"/>
        <v>35</v>
      </c>
      <c r="G246" s="4708">
        <f t="shared" si="429"/>
        <v>47.913451720580454</v>
      </c>
      <c r="H246" s="4708">
        <f t="shared" si="429"/>
        <v>23.75</v>
      </c>
      <c r="I246" s="4708">
        <f t="shared" si="429"/>
        <v>9.11</v>
      </c>
      <c r="J246" s="4708">
        <f t="shared" si="429"/>
        <v>76.03</v>
      </c>
      <c r="K246" s="4708">
        <f t="shared" si="429"/>
        <v>108.88999999999999</v>
      </c>
      <c r="L246" s="4709">
        <f t="shared" si="429"/>
        <v>95.826903441160908</v>
      </c>
      <c r="M246" s="4709">
        <f t="shared" si="429"/>
        <v>143.88999999999999</v>
      </c>
      <c r="N246" s="4680">
        <f t="shared" si="361"/>
        <v>48.063096558839078</v>
      </c>
      <c r="O246" s="4708">
        <f t="shared" ref="O246:U246" si="430">SUM(O84+O108)</f>
        <v>47.913451720580454</v>
      </c>
      <c r="P246" s="4708">
        <f t="shared" si="430"/>
        <v>0</v>
      </c>
      <c r="Q246" s="4708">
        <f t="shared" si="430"/>
        <v>0</v>
      </c>
      <c r="R246" s="4708">
        <f t="shared" si="430"/>
        <v>0</v>
      </c>
      <c r="S246" s="4708">
        <f t="shared" si="430"/>
        <v>0</v>
      </c>
      <c r="T246" s="4709">
        <f t="shared" si="430"/>
        <v>143.74035516174138</v>
      </c>
      <c r="U246" s="4709">
        <f t="shared" si="430"/>
        <v>143.88999999999999</v>
      </c>
      <c r="V246" s="4680">
        <f t="shared" si="363"/>
        <v>0.14964483825860952</v>
      </c>
      <c r="W246" s="4708">
        <f t="shared" ref="W246:AC246" si="431">SUM(W84+W108)</f>
        <v>47.913451720580454</v>
      </c>
      <c r="X246" s="4708">
        <f t="shared" si="431"/>
        <v>0</v>
      </c>
      <c r="Y246" s="4708">
        <f t="shared" si="431"/>
        <v>0</v>
      </c>
      <c r="Z246" s="4708">
        <f t="shared" si="431"/>
        <v>0</v>
      </c>
      <c r="AA246" s="4708">
        <f t="shared" si="431"/>
        <v>0</v>
      </c>
      <c r="AB246" s="4709">
        <f t="shared" si="431"/>
        <v>191.65380688232185</v>
      </c>
      <c r="AC246" s="4709">
        <f t="shared" si="431"/>
        <v>143.88999999999999</v>
      </c>
      <c r="AD246" s="4680">
        <f t="shared" si="365"/>
        <v>-47.763806882321859</v>
      </c>
      <c r="AE246" s="4665"/>
      <c r="AF246" s="4665"/>
      <c r="AG246" s="4665"/>
      <c r="AH246" s="4665"/>
      <c r="AI246" s="4665"/>
      <c r="AJ246" s="4665"/>
      <c r="AK246" s="4665"/>
    </row>
    <row r="247" spans="1:37" ht="18.75">
      <c r="A247" s="4699" t="s">
        <v>643</v>
      </c>
      <c r="B247" s="4708">
        <f>SUM(B48+B83+B128)</f>
        <v>20.774891767445098</v>
      </c>
      <c r="C247" s="4708">
        <f t="shared" ref="C247:M247" si="432">SUM(C48+C83+C128)</f>
        <v>0</v>
      </c>
      <c r="D247" s="4708">
        <f t="shared" si="432"/>
        <v>0.51</v>
      </c>
      <c r="E247" s="4708">
        <f t="shared" si="432"/>
        <v>0.45</v>
      </c>
      <c r="F247" s="4708">
        <f t="shared" si="432"/>
        <v>0.96</v>
      </c>
      <c r="G247" s="4708">
        <f t="shared" si="432"/>
        <v>20.774891767445098</v>
      </c>
      <c r="H247" s="4708">
        <f t="shared" si="432"/>
        <v>0</v>
      </c>
      <c r="I247" s="4708">
        <f t="shared" si="432"/>
        <v>0</v>
      </c>
      <c r="J247" s="4708">
        <f t="shared" si="432"/>
        <v>0.67</v>
      </c>
      <c r="K247" s="4708">
        <f t="shared" si="432"/>
        <v>0.67</v>
      </c>
      <c r="L247" s="4709">
        <f t="shared" si="432"/>
        <v>41.549783534890196</v>
      </c>
      <c r="M247" s="4709">
        <f t="shared" si="432"/>
        <v>1.63</v>
      </c>
      <c r="N247" s="4680">
        <f t="shared" si="361"/>
        <v>-39.919783534890193</v>
      </c>
      <c r="O247" s="4708">
        <f t="shared" ref="O247:U247" si="433">SUM(O48+O83+O128)</f>
        <v>20.774891767445098</v>
      </c>
      <c r="P247" s="4708">
        <f t="shared" si="433"/>
        <v>0</v>
      </c>
      <c r="Q247" s="4708">
        <f t="shared" si="433"/>
        <v>0</v>
      </c>
      <c r="R247" s="4708">
        <f t="shared" si="433"/>
        <v>0</v>
      </c>
      <c r="S247" s="4708">
        <f t="shared" si="433"/>
        <v>0</v>
      </c>
      <c r="T247" s="4709">
        <f t="shared" si="433"/>
        <v>62.324675302335287</v>
      </c>
      <c r="U247" s="4709">
        <f t="shared" si="433"/>
        <v>1.63</v>
      </c>
      <c r="V247" s="4680">
        <f t="shared" si="363"/>
        <v>-60.694675302335284</v>
      </c>
      <c r="W247" s="4708">
        <f t="shared" ref="W247:AC247" si="434">SUM(W48+W83+W128)</f>
        <v>20.774891767445098</v>
      </c>
      <c r="X247" s="4708">
        <f t="shared" si="434"/>
        <v>0</v>
      </c>
      <c r="Y247" s="4708">
        <f t="shared" si="434"/>
        <v>0</v>
      </c>
      <c r="Z247" s="4708">
        <f t="shared" si="434"/>
        <v>0</v>
      </c>
      <c r="AA247" s="4708">
        <f t="shared" si="434"/>
        <v>0</v>
      </c>
      <c r="AB247" s="4709">
        <f t="shared" si="434"/>
        <v>83.099567069780392</v>
      </c>
      <c r="AC247" s="4709">
        <f t="shared" si="434"/>
        <v>1.63</v>
      </c>
      <c r="AD247" s="4680">
        <f t="shared" si="365"/>
        <v>-81.469567069780396</v>
      </c>
      <c r="AE247" s="4665"/>
      <c r="AF247" s="4665"/>
      <c r="AG247" s="4665"/>
      <c r="AH247" s="4665"/>
      <c r="AI247" s="4665"/>
      <c r="AJ247" s="4665"/>
      <c r="AK247" s="4665"/>
    </row>
    <row r="248" spans="1:37" ht="18.75">
      <c r="A248" s="4699" t="s">
        <v>613</v>
      </c>
      <c r="B248" s="4708">
        <f>SUM(B85+B109+B129)</f>
        <v>2.4377320035394865</v>
      </c>
      <c r="C248" s="4708">
        <f t="shared" ref="C248:M248" si="435">SUM(C85+C109+C129)</f>
        <v>1.02</v>
      </c>
      <c r="D248" s="4708">
        <f t="shared" si="435"/>
        <v>1.1299999999999999</v>
      </c>
      <c r="E248" s="4708">
        <f t="shared" si="435"/>
        <v>1</v>
      </c>
      <c r="F248" s="4708">
        <f t="shared" si="435"/>
        <v>3.15</v>
      </c>
      <c r="G248" s="4708">
        <f t="shared" si="435"/>
        <v>2.4377320035394865</v>
      </c>
      <c r="H248" s="4708">
        <f t="shared" si="435"/>
        <v>0.5</v>
      </c>
      <c r="I248" s="4708">
        <f t="shared" si="435"/>
        <v>0.02</v>
      </c>
      <c r="J248" s="4708">
        <f t="shared" si="435"/>
        <v>0</v>
      </c>
      <c r="K248" s="4708">
        <f t="shared" si="435"/>
        <v>0.52</v>
      </c>
      <c r="L248" s="4709">
        <f t="shared" si="435"/>
        <v>4.875464007078973</v>
      </c>
      <c r="M248" s="4709">
        <f t="shared" si="435"/>
        <v>3.67</v>
      </c>
      <c r="N248" s="4680">
        <f t="shared" si="361"/>
        <v>-1.2054640070789731</v>
      </c>
      <c r="O248" s="4708">
        <f t="shared" ref="O248:U248" si="436">SUM(O85+O109+O129)</f>
        <v>2.4377320035394865</v>
      </c>
      <c r="P248" s="4708">
        <f t="shared" si="436"/>
        <v>0</v>
      </c>
      <c r="Q248" s="4708">
        <f t="shared" si="436"/>
        <v>0</v>
      </c>
      <c r="R248" s="4708">
        <f t="shared" si="436"/>
        <v>0</v>
      </c>
      <c r="S248" s="4708">
        <f t="shared" si="436"/>
        <v>0</v>
      </c>
      <c r="T248" s="4709">
        <f t="shared" si="436"/>
        <v>7.3131960106184604</v>
      </c>
      <c r="U248" s="4709">
        <f t="shared" si="436"/>
        <v>3.67</v>
      </c>
      <c r="V248" s="4680">
        <f t="shared" si="363"/>
        <v>-3.6431960106184604</v>
      </c>
      <c r="W248" s="4708">
        <f t="shared" ref="W248:AC248" si="437">SUM(W85+W109+W129)</f>
        <v>2.4377320035394865</v>
      </c>
      <c r="X248" s="4708">
        <f t="shared" si="437"/>
        <v>0</v>
      </c>
      <c r="Y248" s="4708">
        <f t="shared" si="437"/>
        <v>0</v>
      </c>
      <c r="Z248" s="4708">
        <f t="shared" si="437"/>
        <v>0</v>
      </c>
      <c r="AA248" s="4708">
        <f t="shared" si="437"/>
        <v>0</v>
      </c>
      <c r="AB248" s="4709">
        <f t="shared" si="437"/>
        <v>9.750928014157946</v>
      </c>
      <c r="AC248" s="4709">
        <f t="shared" si="437"/>
        <v>3.67</v>
      </c>
      <c r="AD248" s="4680">
        <f t="shared" si="365"/>
        <v>-6.080928014157946</v>
      </c>
      <c r="AE248" s="4665"/>
      <c r="AF248" s="4665"/>
      <c r="AG248" s="4665"/>
      <c r="AH248" s="4665"/>
      <c r="AI248" s="4665"/>
      <c r="AJ248" s="4665"/>
      <c r="AK248" s="4665"/>
    </row>
    <row r="249" spans="1:37" ht="18.75">
      <c r="A249" s="4701" t="s">
        <v>293</v>
      </c>
      <c r="B249" s="4703">
        <f>SUM(B217:B239)+B244</f>
        <v>5997.4622303249716</v>
      </c>
      <c r="C249" s="4703">
        <f t="shared" ref="C249:M249" si="438">SUM(C217:C239)+C244</f>
        <v>1978.7399999999998</v>
      </c>
      <c r="D249" s="4703">
        <f t="shared" si="438"/>
        <v>1938.33</v>
      </c>
      <c r="E249" s="4703">
        <f t="shared" si="438"/>
        <v>2110.9099999999994</v>
      </c>
      <c r="F249" s="4703">
        <f t="shared" si="438"/>
        <v>6027.98</v>
      </c>
      <c r="G249" s="4703">
        <f t="shared" si="438"/>
        <v>4435.3509112878801</v>
      </c>
      <c r="H249" s="4703">
        <f t="shared" si="438"/>
        <v>1863.7499999999995</v>
      </c>
      <c r="I249" s="4703">
        <f t="shared" si="438"/>
        <v>1360.7999999999997</v>
      </c>
      <c r="J249" s="4703">
        <f t="shared" si="438"/>
        <v>1429.1999999999996</v>
      </c>
      <c r="K249" s="4703">
        <f t="shared" si="438"/>
        <v>4653.75</v>
      </c>
      <c r="L249" s="4704">
        <f t="shared" si="438"/>
        <v>10432.813141612851</v>
      </c>
      <c r="M249" s="4704">
        <f t="shared" si="438"/>
        <v>10681.73</v>
      </c>
      <c r="N249" s="4680">
        <f t="shared" si="361"/>
        <v>248.91685838714875</v>
      </c>
      <c r="O249" s="4703">
        <f t="shared" ref="O249:U249" si="439">SUM(O217:O239)+O244</f>
        <v>4151.2695465099523</v>
      </c>
      <c r="P249" s="4703">
        <f t="shared" si="439"/>
        <v>0</v>
      </c>
      <c r="Q249" s="4703">
        <f t="shared" si="439"/>
        <v>0</v>
      </c>
      <c r="R249" s="4703">
        <f t="shared" si="439"/>
        <v>0</v>
      </c>
      <c r="S249" s="4703">
        <f t="shared" si="439"/>
        <v>0</v>
      </c>
      <c r="T249" s="4704">
        <f t="shared" si="439"/>
        <v>14584.082688122804</v>
      </c>
      <c r="U249" s="4704">
        <f t="shared" si="439"/>
        <v>10681.73</v>
      </c>
      <c r="V249" s="4680">
        <f t="shared" si="363"/>
        <v>-3902.3526881228045</v>
      </c>
      <c r="W249" s="4703">
        <f t="shared" ref="W249:AC249" si="440">SUM(W217:W239)+W244</f>
        <v>5823.7904167488732</v>
      </c>
      <c r="X249" s="4703">
        <f t="shared" si="440"/>
        <v>0</v>
      </c>
      <c r="Y249" s="4703">
        <f t="shared" si="440"/>
        <v>0</v>
      </c>
      <c r="Z249" s="4703">
        <f t="shared" si="440"/>
        <v>0</v>
      </c>
      <c r="AA249" s="4703">
        <f t="shared" si="440"/>
        <v>0</v>
      </c>
      <c r="AB249" s="4704">
        <f t="shared" si="440"/>
        <v>20407.873104871676</v>
      </c>
      <c r="AC249" s="4704">
        <f t="shared" si="440"/>
        <v>10681.73</v>
      </c>
      <c r="AD249" s="4680">
        <f t="shared" si="365"/>
        <v>-9726.1431048716768</v>
      </c>
      <c r="AE249" s="4665"/>
      <c r="AF249" s="4665"/>
      <c r="AG249" s="4665"/>
      <c r="AH249" s="4665"/>
      <c r="AI249" s="4665"/>
      <c r="AJ249" s="4665"/>
      <c r="AK249" s="4665"/>
    </row>
    <row r="250" spans="1:37" ht="18.75">
      <c r="A250" s="4665"/>
      <c r="B250" s="4714"/>
      <c r="C250" s="4714"/>
      <c r="D250" s="4714"/>
      <c r="E250" s="4714"/>
      <c r="F250" s="4714"/>
      <c r="G250" s="4714"/>
      <c r="H250" s="4714"/>
      <c r="I250" s="4714"/>
      <c r="J250" s="4714"/>
      <c r="K250" s="4714"/>
      <c r="L250" s="4714"/>
      <c r="M250" s="4714"/>
      <c r="N250" s="4714"/>
      <c r="O250" s="4714"/>
      <c r="P250" s="4714"/>
      <c r="Q250" s="4714"/>
      <c r="R250" s="4714"/>
      <c r="S250" s="4714"/>
      <c r="T250" s="4714"/>
      <c r="U250" s="4714"/>
      <c r="V250" s="4665"/>
      <c r="W250" s="4665"/>
      <c r="X250" s="4665"/>
      <c r="Y250" s="4665"/>
      <c r="Z250" s="4665"/>
      <c r="AA250" s="4665"/>
      <c r="AB250" s="4665"/>
      <c r="AC250" s="4665"/>
      <c r="AD250" s="4665"/>
      <c r="AE250" s="4665"/>
      <c r="AF250" s="4665"/>
      <c r="AG250" s="4665"/>
      <c r="AH250" s="4665"/>
      <c r="AI250" s="4665"/>
      <c r="AJ250" s="4665"/>
      <c r="AK250" s="4665"/>
    </row>
    <row r="251" spans="1:37" ht="18.75">
      <c r="A251" s="4879" t="s">
        <v>1408</v>
      </c>
      <c r="B251" s="4879"/>
      <c r="C251" s="4879"/>
      <c r="D251" s="4879" t="s">
        <v>1409</v>
      </c>
      <c r="E251" s="4879"/>
      <c r="F251" s="4714"/>
      <c r="G251" s="4714"/>
      <c r="H251" s="4714"/>
      <c r="I251" s="4714"/>
      <c r="J251" s="4714"/>
      <c r="K251" s="4714"/>
      <c r="L251" s="4714"/>
      <c r="M251" s="4714"/>
      <c r="N251" s="4714"/>
      <c r="O251" s="4714"/>
      <c r="P251" s="4714"/>
      <c r="Q251" s="4714"/>
      <c r="R251" s="4714"/>
      <c r="S251" s="4714"/>
      <c r="T251" s="4714"/>
      <c r="U251" s="4714"/>
      <c r="V251" s="4665"/>
      <c r="W251" s="4665"/>
      <c r="X251" s="4665"/>
      <c r="Y251" s="4665"/>
      <c r="Z251" s="4665"/>
      <c r="AA251" s="4665"/>
      <c r="AB251" s="4665"/>
      <c r="AC251" s="4665"/>
      <c r="AD251" s="4665"/>
      <c r="AE251" s="4665"/>
      <c r="AF251" s="4665"/>
      <c r="AG251" s="4665"/>
      <c r="AH251" s="4665"/>
      <c r="AI251" s="4665"/>
      <c r="AJ251" s="4665"/>
      <c r="AK251" s="4665"/>
    </row>
    <row r="252" spans="1:37">
      <c r="A252" s="4665"/>
      <c r="B252" s="4665"/>
      <c r="C252" s="4665"/>
      <c r="D252" s="4665"/>
      <c r="E252" s="4665"/>
      <c r="F252" s="4665"/>
      <c r="G252" s="4665"/>
      <c r="H252" s="4665"/>
      <c r="I252" s="4665"/>
      <c r="J252" s="4665"/>
      <c r="K252" s="4665"/>
      <c r="L252" s="4665"/>
      <c r="M252" s="4665"/>
      <c r="N252" s="4665"/>
      <c r="O252" s="4665"/>
      <c r="P252" s="4665"/>
      <c r="Q252" s="4665"/>
      <c r="R252" s="4665"/>
      <c r="S252" s="4665"/>
      <c r="T252" s="4665"/>
      <c r="U252" s="4665"/>
      <c r="V252" s="4665"/>
      <c r="W252" s="4665"/>
      <c r="X252" s="4665"/>
      <c r="Y252" s="4665"/>
      <c r="Z252" s="4665"/>
      <c r="AA252" s="4665"/>
      <c r="AB252" s="4665"/>
      <c r="AC252" s="4665"/>
      <c r="AD252" s="4665"/>
      <c r="AE252" s="4665"/>
      <c r="AF252" s="4665"/>
      <c r="AG252" s="4665"/>
      <c r="AH252" s="4665"/>
      <c r="AI252" s="4665"/>
      <c r="AJ252" s="4665"/>
      <c r="AK252" s="4665"/>
    </row>
    <row r="253" spans="1:37">
      <c r="A253" s="4665"/>
      <c r="B253" s="4665"/>
      <c r="C253" s="4665"/>
      <c r="D253" s="4665"/>
      <c r="E253" s="4665"/>
      <c r="F253" s="4665"/>
      <c r="G253" s="4665"/>
      <c r="H253" s="4665"/>
      <c r="I253" s="4665"/>
      <c r="J253" s="4665"/>
      <c r="K253" s="4665"/>
      <c r="L253" s="4665"/>
      <c r="M253" s="4665"/>
      <c r="N253" s="4665"/>
      <c r="O253" s="4665"/>
      <c r="P253" s="4665"/>
      <c r="Q253" s="4665"/>
      <c r="R253" s="4665"/>
      <c r="S253" s="4665"/>
      <c r="T253" s="4665"/>
      <c r="U253" s="4665"/>
      <c r="V253" s="4665"/>
      <c r="W253" s="4665"/>
      <c r="X253" s="4665"/>
      <c r="Y253" s="4665"/>
      <c r="Z253" s="4665"/>
      <c r="AA253" s="4665"/>
      <c r="AB253" s="4665"/>
      <c r="AC253" s="4665"/>
      <c r="AD253" s="4665"/>
      <c r="AE253" s="4665"/>
      <c r="AF253" s="4665"/>
      <c r="AG253" s="4665"/>
      <c r="AH253" s="4665"/>
      <c r="AI253" s="4665"/>
      <c r="AJ253" s="4665"/>
      <c r="AK253" s="4665"/>
    </row>
    <row r="254" spans="1:37">
      <c r="A254" s="4665"/>
      <c r="B254" s="4665"/>
      <c r="C254" s="4665"/>
      <c r="D254" s="4665"/>
      <c r="E254" s="4665"/>
      <c r="F254" s="4665"/>
      <c r="G254" s="4665"/>
      <c r="H254" s="4665"/>
      <c r="I254" s="4665"/>
      <c r="J254" s="4665"/>
      <c r="K254" s="4665"/>
      <c r="L254" s="4665"/>
      <c r="M254" s="4665"/>
      <c r="N254" s="4665"/>
      <c r="O254" s="4665"/>
      <c r="P254" s="4665"/>
      <c r="Q254" s="4665"/>
      <c r="R254" s="4665"/>
      <c r="S254" s="4665"/>
      <c r="T254" s="4665"/>
      <c r="U254" s="4665"/>
      <c r="V254" s="4665"/>
      <c r="W254" s="4665"/>
      <c r="X254" s="4665"/>
      <c r="Y254" s="4665"/>
      <c r="Z254" s="4665"/>
      <c r="AA254" s="4665"/>
      <c r="AB254" s="4665"/>
      <c r="AC254" s="4665"/>
      <c r="AD254" s="4665"/>
      <c r="AE254" s="4665"/>
      <c r="AF254" s="4665"/>
      <c r="AG254" s="4665"/>
      <c r="AH254" s="4665"/>
      <c r="AI254" s="4665"/>
      <c r="AJ254" s="4665"/>
      <c r="AK254" s="4665"/>
    </row>
    <row r="255" spans="1:37">
      <c r="A255" s="4665"/>
      <c r="B255" s="4665"/>
      <c r="C255" s="4665"/>
      <c r="D255" s="4665"/>
      <c r="E255" s="4665"/>
      <c r="F255" s="4665"/>
      <c r="G255" s="4665"/>
      <c r="H255" s="4665"/>
      <c r="I255" s="4665"/>
      <c r="J255" s="4665"/>
      <c r="K255" s="4665"/>
      <c r="L255" s="4665"/>
      <c r="M255" s="4665"/>
      <c r="N255" s="4665"/>
      <c r="O255" s="4665"/>
      <c r="P255" s="4665"/>
      <c r="Q255" s="4665"/>
      <c r="R255" s="4665"/>
      <c r="S255" s="4665"/>
      <c r="T255" s="4665"/>
      <c r="U255" s="4665"/>
      <c r="V255" s="4665"/>
      <c r="W255" s="4665"/>
      <c r="X255" s="4665"/>
      <c r="Y255" s="4665"/>
      <c r="Z255" s="4665"/>
      <c r="AA255" s="4665"/>
      <c r="AB255" s="4665"/>
      <c r="AC255" s="4665"/>
      <c r="AD255" s="4665"/>
      <c r="AE255" s="4665"/>
      <c r="AF255" s="4665"/>
      <c r="AG255" s="4665"/>
      <c r="AH255" s="4665"/>
      <c r="AI255" s="4665"/>
      <c r="AJ255" s="4665"/>
      <c r="AK255" s="4665"/>
    </row>
    <row r="256" spans="1:37">
      <c r="A256" s="4665"/>
      <c r="B256" s="4665"/>
      <c r="C256" s="4665"/>
      <c r="D256" s="4665"/>
      <c r="E256" s="4665"/>
      <c r="F256" s="4665"/>
      <c r="G256" s="4665"/>
      <c r="H256" s="4665"/>
      <c r="I256" s="4665"/>
      <c r="J256" s="4665"/>
      <c r="K256" s="4665"/>
      <c r="L256" s="4665"/>
      <c r="M256" s="4665"/>
      <c r="N256" s="4665"/>
      <c r="O256" s="4665"/>
      <c r="P256" s="4665"/>
      <c r="Q256" s="4665"/>
      <c r="R256" s="4665"/>
      <c r="S256" s="4665"/>
      <c r="T256" s="4665"/>
      <c r="U256" s="4665"/>
      <c r="V256" s="4665"/>
      <c r="W256" s="4665"/>
      <c r="X256" s="4665"/>
      <c r="Y256" s="4665"/>
      <c r="Z256" s="4665"/>
      <c r="AA256" s="4665"/>
      <c r="AB256" s="4665"/>
      <c r="AC256" s="4665"/>
      <c r="AD256" s="4665"/>
      <c r="AE256" s="4665"/>
      <c r="AF256" s="4665"/>
      <c r="AG256" s="4665"/>
      <c r="AH256" s="4665"/>
      <c r="AI256" s="4665"/>
      <c r="AJ256" s="4665"/>
      <c r="AK256" s="4665"/>
    </row>
    <row r="257" spans="1:37">
      <c r="A257" s="4665"/>
      <c r="B257" s="4665"/>
      <c r="C257" s="4665"/>
      <c r="D257" s="4665"/>
      <c r="E257" s="4665"/>
      <c r="F257" s="4665"/>
      <c r="G257" s="4665"/>
      <c r="H257" s="4665"/>
      <c r="I257" s="4665"/>
      <c r="J257" s="4665"/>
      <c r="K257" s="4665"/>
      <c r="L257" s="4665"/>
      <c r="M257" s="4665"/>
      <c r="N257" s="4665"/>
      <c r="O257" s="4665"/>
      <c r="P257" s="4665"/>
      <c r="Q257" s="4665"/>
      <c r="R257" s="4665"/>
      <c r="S257" s="4665"/>
      <c r="T257" s="4665"/>
      <c r="U257" s="4665"/>
      <c r="V257" s="4665"/>
      <c r="W257" s="4665"/>
      <c r="X257" s="4665"/>
      <c r="Y257" s="4665"/>
      <c r="Z257" s="4665"/>
      <c r="AA257" s="4665"/>
      <c r="AB257" s="4665"/>
      <c r="AC257" s="4665"/>
      <c r="AD257" s="4665"/>
      <c r="AE257" s="4665"/>
      <c r="AF257" s="4665"/>
      <c r="AG257" s="4665"/>
      <c r="AH257" s="4665"/>
      <c r="AI257" s="4665"/>
      <c r="AJ257" s="4665"/>
      <c r="AK257" s="4665"/>
    </row>
    <row r="258" spans="1:37">
      <c r="A258" s="4665"/>
      <c r="B258" s="4665"/>
      <c r="C258" s="4665"/>
      <c r="D258" s="4665"/>
      <c r="E258" s="4665"/>
      <c r="F258" s="4665"/>
      <c r="G258" s="4665"/>
      <c r="H258" s="4665"/>
      <c r="I258" s="4665"/>
      <c r="J258" s="4665"/>
      <c r="K258" s="4665"/>
      <c r="L258" s="4665"/>
      <c r="M258" s="4665"/>
      <c r="N258" s="4665"/>
      <c r="O258" s="4665"/>
      <c r="P258" s="4665"/>
      <c r="Q258" s="4665"/>
      <c r="R258" s="4665"/>
      <c r="S258" s="4665"/>
      <c r="T258" s="4665"/>
      <c r="U258" s="4665"/>
      <c r="V258" s="4665"/>
      <c r="W258" s="4665"/>
      <c r="X258" s="4665"/>
      <c r="Y258" s="4665"/>
      <c r="Z258" s="4665"/>
      <c r="AA258" s="4665"/>
      <c r="AB258" s="4665"/>
      <c r="AC258" s="4665"/>
      <c r="AD258" s="4665"/>
      <c r="AE258" s="4665"/>
      <c r="AF258" s="4665"/>
      <c r="AG258" s="4665"/>
      <c r="AH258" s="4665"/>
      <c r="AI258" s="4665"/>
      <c r="AJ258" s="4665"/>
      <c r="AK258" s="4665"/>
    </row>
    <row r="259" spans="1:37">
      <c r="A259" s="4665"/>
      <c r="B259" s="4665"/>
      <c r="C259" s="4665"/>
      <c r="D259" s="4665"/>
      <c r="E259" s="4665"/>
      <c r="F259" s="4665"/>
      <c r="G259" s="4665"/>
      <c r="H259" s="4665"/>
      <c r="I259" s="4665"/>
      <c r="J259" s="4665"/>
      <c r="K259" s="4665"/>
      <c r="L259" s="4665"/>
      <c r="M259" s="4665"/>
      <c r="N259" s="4665"/>
      <c r="O259" s="4665"/>
      <c r="P259" s="4665"/>
      <c r="Q259" s="4665"/>
      <c r="R259" s="4665"/>
      <c r="S259" s="4665"/>
      <c r="T259" s="4665"/>
      <c r="U259" s="4665"/>
      <c r="V259" s="4665"/>
      <c r="W259" s="4665"/>
      <c r="X259" s="4665"/>
      <c r="Y259" s="4665"/>
      <c r="Z259" s="4665"/>
      <c r="AA259" s="4665"/>
      <c r="AB259" s="4665"/>
      <c r="AC259" s="4665"/>
      <c r="AD259" s="4665"/>
      <c r="AE259" s="4665"/>
      <c r="AF259" s="4665"/>
      <c r="AG259" s="4665"/>
      <c r="AH259" s="4665"/>
      <c r="AI259" s="4665"/>
      <c r="AJ259" s="4665"/>
      <c r="AK259" s="4665"/>
    </row>
    <row r="260" spans="1:37">
      <c r="A260" s="4665"/>
      <c r="B260" s="4665"/>
      <c r="C260" s="4665"/>
      <c r="D260" s="4665"/>
      <c r="E260" s="4665"/>
      <c r="F260" s="4665"/>
      <c r="G260" s="4665"/>
      <c r="H260" s="4665"/>
      <c r="I260" s="4665"/>
      <c r="J260" s="4665"/>
      <c r="K260" s="4665"/>
      <c r="L260" s="4665"/>
      <c r="M260" s="4665"/>
      <c r="N260" s="4665"/>
      <c r="O260" s="4665"/>
      <c r="P260" s="4665"/>
      <c r="Q260" s="4665"/>
      <c r="R260" s="4665"/>
      <c r="S260" s="4665"/>
      <c r="T260" s="4665"/>
      <c r="U260" s="4665"/>
      <c r="V260" s="4665"/>
      <c r="W260" s="4665"/>
      <c r="X260" s="4665"/>
      <c r="Y260" s="4665"/>
      <c r="Z260" s="4665"/>
      <c r="AA260" s="4665"/>
      <c r="AB260" s="4665"/>
      <c r="AC260" s="4665"/>
      <c r="AD260" s="4665"/>
      <c r="AE260" s="4665"/>
      <c r="AF260" s="4665"/>
      <c r="AG260" s="4665"/>
      <c r="AH260" s="4665"/>
      <c r="AI260" s="4665"/>
      <c r="AJ260" s="4665"/>
      <c r="AK260" s="4665"/>
    </row>
    <row r="261" spans="1:37">
      <c r="A261" s="4665"/>
      <c r="B261" s="4665"/>
      <c r="C261" s="4665"/>
      <c r="D261" s="4665"/>
      <c r="E261" s="4665"/>
      <c r="F261" s="4665"/>
      <c r="G261" s="4665"/>
      <c r="H261" s="4665"/>
      <c r="I261" s="4665"/>
      <c r="J261" s="4665"/>
      <c r="K261" s="4665"/>
      <c r="L261" s="4665"/>
      <c r="M261" s="4665"/>
      <c r="N261" s="4665"/>
      <c r="O261" s="4665"/>
      <c r="P261" s="4665"/>
      <c r="Q261" s="4665"/>
      <c r="R261" s="4665"/>
      <c r="S261" s="4665"/>
      <c r="T261" s="4665"/>
      <c r="U261" s="4665"/>
      <c r="V261" s="4665"/>
      <c r="W261" s="4665"/>
      <c r="X261" s="4665"/>
      <c r="Y261" s="4665"/>
      <c r="Z261" s="4665"/>
      <c r="AA261" s="4665"/>
      <c r="AB261" s="4665"/>
      <c r="AC261" s="4665"/>
      <c r="AD261" s="4665"/>
      <c r="AE261" s="4665"/>
      <c r="AF261" s="4665"/>
      <c r="AG261" s="4665"/>
      <c r="AH261" s="4665"/>
      <c r="AI261" s="4665"/>
      <c r="AJ261" s="4665"/>
      <c r="AK261" s="4665"/>
    </row>
    <row r="262" spans="1:37">
      <c r="A262" s="4665"/>
      <c r="B262" s="4665"/>
      <c r="C262" s="4665"/>
      <c r="D262" s="4665"/>
      <c r="E262" s="4665"/>
      <c r="F262" s="4665"/>
      <c r="G262" s="4665"/>
      <c r="H262" s="4665"/>
      <c r="I262" s="4665"/>
      <c r="J262" s="4665"/>
      <c r="K262" s="4665"/>
      <c r="L262" s="4665"/>
      <c r="M262" s="4665"/>
      <c r="N262" s="4665"/>
      <c r="O262" s="4665"/>
      <c r="P262" s="4665"/>
      <c r="Q262" s="4665"/>
      <c r="R262" s="4665"/>
      <c r="S262" s="4665"/>
      <c r="T262" s="4665"/>
      <c r="U262" s="4665"/>
      <c r="V262" s="4665"/>
      <c r="W262" s="4665"/>
      <c r="X262" s="4665"/>
      <c r="Y262" s="4665"/>
      <c r="Z262" s="4665"/>
      <c r="AA262" s="4665"/>
      <c r="AB262" s="4665"/>
      <c r="AC262" s="4665"/>
      <c r="AD262" s="4665"/>
      <c r="AE262" s="4665"/>
      <c r="AF262" s="4665"/>
      <c r="AG262" s="4665"/>
      <c r="AH262" s="4665"/>
      <c r="AI262" s="4665"/>
      <c r="AJ262" s="4665"/>
      <c r="AK262" s="4665"/>
    </row>
    <row r="263" spans="1:37">
      <c r="A263" s="4665"/>
      <c r="B263" s="4665"/>
      <c r="C263" s="4665"/>
      <c r="D263" s="4665"/>
      <c r="E263" s="4665"/>
      <c r="F263" s="4665"/>
      <c r="G263" s="4665"/>
      <c r="H263" s="4665"/>
      <c r="I263" s="4665"/>
      <c r="J263" s="4665"/>
      <c r="K263" s="4665"/>
      <c r="L263" s="4665"/>
      <c r="M263" s="4665"/>
      <c r="N263" s="4665"/>
      <c r="O263" s="4665"/>
      <c r="P263" s="4665"/>
      <c r="Q263" s="4665"/>
      <c r="R263" s="4665"/>
      <c r="S263" s="4665"/>
      <c r="T263" s="4665"/>
      <c r="U263" s="4665"/>
      <c r="V263" s="4665"/>
      <c r="W263" s="4665"/>
      <c r="X263" s="4665"/>
      <c r="Y263" s="4665"/>
      <c r="Z263" s="4665"/>
      <c r="AA263" s="4665"/>
      <c r="AB263" s="4665"/>
      <c r="AC263" s="4665"/>
      <c r="AD263" s="4665"/>
      <c r="AE263" s="4665"/>
      <c r="AF263" s="4665"/>
      <c r="AG263" s="4665"/>
      <c r="AH263" s="4665"/>
      <c r="AI263" s="4665"/>
      <c r="AJ263" s="4665"/>
      <c r="AK263" s="4665"/>
    </row>
    <row r="264" spans="1:37">
      <c r="A264" s="4665"/>
      <c r="B264" s="4665"/>
      <c r="C264" s="4665"/>
      <c r="D264" s="4665"/>
      <c r="E264" s="4665"/>
      <c r="F264" s="4665"/>
      <c r="G264" s="4665"/>
      <c r="H264" s="4665"/>
      <c r="I264" s="4665"/>
      <c r="J264" s="4665"/>
      <c r="K264" s="4665"/>
      <c r="L264" s="4665"/>
      <c r="M264" s="4665"/>
      <c r="N264" s="4665"/>
      <c r="O264" s="4665"/>
      <c r="P264" s="4665"/>
      <c r="Q264" s="4665"/>
      <c r="R264" s="4665"/>
      <c r="S264" s="4665"/>
      <c r="T264" s="4665"/>
      <c r="U264" s="4665"/>
      <c r="V264" s="4665"/>
      <c r="W264" s="4665"/>
      <c r="X264" s="4665"/>
      <c r="Y264" s="4665"/>
      <c r="Z264" s="4665"/>
      <c r="AA264" s="4665"/>
      <c r="AB264" s="4665"/>
      <c r="AC264" s="4665"/>
      <c r="AD264" s="4665"/>
      <c r="AE264" s="4665"/>
      <c r="AF264" s="4665"/>
      <c r="AG264" s="4665"/>
      <c r="AH264" s="4665"/>
      <c r="AI264" s="4665"/>
      <c r="AJ264" s="4665"/>
      <c r="AK264" s="4665"/>
    </row>
    <row r="265" spans="1:37">
      <c r="A265" s="4665"/>
      <c r="B265" s="4665"/>
      <c r="C265" s="4665"/>
      <c r="D265" s="4665"/>
      <c r="E265" s="4665"/>
      <c r="F265" s="4665"/>
      <c r="G265" s="4665"/>
      <c r="H265" s="4665"/>
      <c r="I265" s="4665"/>
      <c r="J265" s="4665"/>
      <c r="K265" s="4665"/>
      <c r="L265" s="4665"/>
      <c r="M265" s="4665"/>
      <c r="N265" s="4665"/>
      <c r="O265" s="4665"/>
      <c r="P265" s="4665"/>
      <c r="Q265" s="4665"/>
      <c r="R265" s="4665"/>
      <c r="S265" s="4665"/>
      <c r="T265" s="4665"/>
      <c r="U265" s="4665"/>
      <c r="V265" s="4665"/>
      <c r="W265" s="4665"/>
      <c r="X265" s="4665"/>
      <c r="Y265" s="4665"/>
      <c r="Z265" s="4665"/>
      <c r="AA265" s="4665"/>
      <c r="AB265" s="4665"/>
      <c r="AC265" s="4665"/>
      <c r="AD265" s="4665"/>
      <c r="AE265" s="4665"/>
      <c r="AF265" s="4665"/>
      <c r="AG265" s="4665"/>
      <c r="AH265" s="4665"/>
      <c r="AI265" s="4665"/>
      <c r="AJ265" s="4665"/>
      <c r="AK265" s="4665"/>
    </row>
    <row r="266" spans="1:37">
      <c r="A266" s="4665"/>
      <c r="B266" s="4665"/>
      <c r="C266" s="4665"/>
      <c r="D266" s="4665"/>
      <c r="E266" s="4665"/>
      <c r="F266" s="4665"/>
      <c r="G266" s="4665"/>
      <c r="H266" s="4665"/>
      <c r="I266" s="4665"/>
      <c r="J266" s="4665"/>
      <c r="K266" s="4665"/>
      <c r="L266" s="4665"/>
      <c r="M266" s="4665"/>
      <c r="N266" s="4665"/>
      <c r="O266" s="4665"/>
      <c r="P266" s="4665"/>
      <c r="Q266" s="4665"/>
      <c r="R266" s="4665"/>
      <c r="S266" s="4665"/>
      <c r="T266" s="4665"/>
      <c r="U266" s="4665"/>
      <c r="V266" s="4665"/>
      <c r="W266" s="4665"/>
      <c r="X266" s="4665"/>
      <c r="Y266" s="4665"/>
      <c r="Z266" s="4665"/>
      <c r="AA266" s="4665"/>
      <c r="AB266" s="4665"/>
      <c r="AC266" s="4665"/>
      <c r="AD266" s="4665"/>
      <c r="AE266" s="4665"/>
      <c r="AF266" s="4665"/>
      <c r="AG266" s="4665"/>
      <c r="AH266" s="4665"/>
      <c r="AI266" s="4665"/>
      <c r="AJ266" s="4665"/>
      <c r="AK266" s="4665"/>
    </row>
    <row r="267" spans="1:37">
      <c r="A267" s="4665"/>
      <c r="B267" s="4665"/>
      <c r="C267" s="4665"/>
      <c r="D267" s="4665"/>
      <c r="E267" s="4665"/>
      <c r="F267" s="4665"/>
      <c r="G267" s="4665"/>
      <c r="H267" s="4665"/>
      <c r="I267" s="4665"/>
      <c r="J267" s="4665"/>
      <c r="K267" s="4665"/>
      <c r="L267" s="4665"/>
      <c r="M267" s="4665"/>
      <c r="N267" s="4665"/>
      <c r="O267" s="4665"/>
      <c r="P267" s="4665"/>
      <c r="Q267" s="4665"/>
      <c r="R267" s="4665"/>
      <c r="S267" s="4665"/>
      <c r="T267" s="4665"/>
      <c r="U267" s="4665"/>
      <c r="V267" s="4665"/>
      <c r="W267" s="4665"/>
      <c r="X267" s="4665"/>
      <c r="Y267" s="4665"/>
      <c r="Z267" s="4665"/>
      <c r="AA267" s="4665"/>
      <c r="AB267" s="4665"/>
      <c r="AC267" s="4665"/>
      <c r="AD267" s="4665"/>
      <c r="AE267" s="4665"/>
      <c r="AF267" s="4665"/>
      <c r="AG267" s="4665"/>
      <c r="AH267" s="4665"/>
      <c r="AI267" s="4665"/>
      <c r="AJ267" s="4665"/>
      <c r="AK267" s="4665"/>
    </row>
    <row r="268" spans="1:37">
      <c r="A268" s="4665"/>
      <c r="B268" s="4665"/>
      <c r="C268" s="4665"/>
      <c r="D268" s="4665"/>
      <c r="E268" s="4665"/>
      <c r="F268" s="4665"/>
      <c r="G268" s="4665"/>
      <c r="H268" s="4665"/>
      <c r="I268" s="4665"/>
      <c r="J268" s="4665"/>
      <c r="K268" s="4665"/>
      <c r="L268" s="4665"/>
      <c r="M268" s="4665"/>
      <c r="N268" s="4665"/>
      <c r="O268" s="4665"/>
      <c r="P268" s="4665"/>
      <c r="Q268" s="4665"/>
      <c r="R268" s="4665"/>
      <c r="S268" s="4665"/>
      <c r="T268" s="4665"/>
      <c r="U268" s="4665"/>
      <c r="V268" s="4665"/>
      <c r="W268" s="4665"/>
      <c r="X268" s="4665"/>
      <c r="Y268" s="4665"/>
      <c r="Z268" s="4665"/>
      <c r="AA268" s="4665"/>
      <c r="AB268" s="4665"/>
      <c r="AC268" s="4665"/>
      <c r="AD268" s="4665"/>
      <c r="AE268" s="4665"/>
      <c r="AF268" s="4665"/>
      <c r="AG268" s="4665"/>
      <c r="AH268" s="4665"/>
      <c r="AI268" s="4665"/>
      <c r="AJ268" s="4665"/>
      <c r="AK268" s="4665"/>
    </row>
    <row r="269" spans="1:37">
      <c r="A269" s="4665"/>
      <c r="B269" s="4665"/>
      <c r="C269" s="4665"/>
      <c r="D269" s="4665"/>
      <c r="E269" s="4665"/>
      <c r="F269" s="4665"/>
      <c r="G269" s="4665"/>
      <c r="H269" s="4665"/>
      <c r="I269" s="4665"/>
      <c r="J269" s="4665"/>
      <c r="K269" s="4665"/>
      <c r="L269" s="4665"/>
      <c r="M269" s="4665"/>
      <c r="N269" s="4665"/>
      <c r="O269" s="4665"/>
      <c r="P269" s="4665"/>
      <c r="Q269" s="4665"/>
      <c r="R269" s="4665"/>
      <c r="S269" s="4665"/>
      <c r="T269" s="4665"/>
      <c r="U269" s="4665"/>
      <c r="V269" s="4665"/>
      <c r="W269" s="4665"/>
      <c r="X269" s="4665"/>
      <c r="Y269" s="4665"/>
      <c r="Z269" s="4665"/>
      <c r="AA269" s="4665"/>
      <c r="AB269" s="4665"/>
      <c r="AC269" s="4665"/>
      <c r="AD269" s="4665"/>
      <c r="AE269" s="4665"/>
      <c r="AF269" s="4665"/>
      <c r="AG269" s="4665"/>
      <c r="AH269" s="4665"/>
      <c r="AI269" s="4665"/>
      <c r="AJ269" s="4665"/>
      <c r="AK269" s="4665"/>
    </row>
    <row r="270" spans="1:37">
      <c r="A270" s="4665"/>
      <c r="B270" s="4665"/>
      <c r="C270" s="4665"/>
      <c r="D270" s="4665"/>
      <c r="E270" s="4665"/>
      <c r="F270" s="4665"/>
      <c r="G270" s="4665"/>
      <c r="H270" s="4665"/>
      <c r="I270" s="4665"/>
      <c r="J270" s="4665"/>
      <c r="K270" s="4665"/>
      <c r="L270" s="4665"/>
      <c r="M270" s="4665"/>
      <c r="N270" s="4665"/>
      <c r="O270" s="4665"/>
      <c r="P270" s="4665"/>
      <c r="Q270" s="4665"/>
      <c r="R270" s="4665"/>
      <c r="S270" s="4665"/>
      <c r="T270" s="4665"/>
      <c r="U270" s="4665"/>
      <c r="V270" s="4665"/>
      <c r="W270" s="4665"/>
      <c r="X270" s="4665"/>
      <c r="Y270" s="4665"/>
      <c r="Z270" s="4665"/>
      <c r="AA270" s="4665"/>
      <c r="AB270" s="4665"/>
      <c r="AC270" s="4665"/>
      <c r="AD270" s="4665"/>
      <c r="AE270" s="4665"/>
      <c r="AF270" s="4665"/>
      <c r="AG270" s="4665"/>
      <c r="AH270" s="4665"/>
      <c r="AI270" s="4665"/>
      <c r="AJ270" s="4665"/>
      <c r="AK270" s="4665"/>
    </row>
    <row r="271" spans="1:37">
      <c r="A271" s="4665"/>
      <c r="B271" s="4665"/>
      <c r="C271" s="4665"/>
      <c r="D271" s="4665"/>
      <c r="E271" s="4665"/>
      <c r="F271" s="4665"/>
      <c r="G271" s="4665"/>
      <c r="H271" s="4665"/>
      <c r="I271" s="4665"/>
      <c r="J271" s="4665"/>
      <c r="K271" s="4665"/>
      <c r="L271" s="4665"/>
      <c r="M271" s="4665"/>
      <c r="N271" s="4665"/>
      <c r="O271" s="4665"/>
      <c r="P271" s="4665"/>
      <c r="Q271" s="4665"/>
      <c r="R271" s="4665"/>
      <c r="S271" s="4665"/>
      <c r="T271" s="4665"/>
      <c r="U271" s="4665"/>
      <c r="V271" s="4665"/>
      <c r="W271" s="4665"/>
      <c r="X271" s="4665"/>
      <c r="Y271" s="4665"/>
      <c r="Z271" s="4665"/>
      <c r="AA271" s="4665"/>
      <c r="AB271" s="4665"/>
      <c r="AC271" s="4665"/>
      <c r="AD271" s="4665"/>
      <c r="AE271" s="4665"/>
      <c r="AF271" s="4665"/>
      <c r="AG271" s="4665"/>
      <c r="AH271" s="4665"/>
      <c r="AI271" s="4665"/>
      <c r="AJ271" s="4665"/>
      <c r="AK271" s="4665"/>
    </row>
    <row r="272" spans="1:37">
      <c r="A272" s="4665"/>
      <c r="B272" s="4665"/>
      <c r="C272" s="4665"/>
      <c r="D272" s="4665"/>
      <c r="E272" s="4665"/>
      <c r="F272" s="4665"/>
      <c r="G272" s="4665"/>
      <c r="H272" s="4665"/>
      <c r="I272" s="4665"/>
      <c r="J272" s="4665"/>
      <c r="K272" s="4665"/>
      <c r="L272" s="4665"/>
      <c r="M272" s="4665"/>
      <c r="N272" s="4665"/>
      <c r="O272" s="4665"/>
      <c r="P272" s="4665"/>
      <c r="Q272" s="4665"/>
      <c r="R272" s="4665"/>
      <c r="S272" s="4665"/>
      <c r="T272" s="4665"/>
      <c r="U272" s="4665"/>
      <c r="V272" s="4665"/>
      <c r="W272" s="4665"/>
      <c r="X272" s="4665"/>
      <c r="Y272" s="4665"/>
      <c r="Z272" s="4665"/>
      <c r="AA272" s="4665"/>
      <c r="AB272" s="4665"/>
      <c r="AC272" s="4665"/>
      <c r="AD272" s="4665"/>
      <c r="AE272" s="4665"/>
      <c r="AF272" s="4665"/>
      <c r="AG272" s="4665"/>
      <c r="AH272" s="4665"/>
      <c r="AI272" s="4665"/>
      <c r="AJ272" s="4665"/>
      <c r="AK272" s="4665"/>
    </row>
    <row r="273" spans="1:37">
      <c r="A273" s="4665"/>
      <c r="B273" s="4665"/>
      <c r="C273" s="4665"/>
      <c r="D273" s="4665"/>
      <c r="E273" s="4665"/>
      <c r="F273" s="4665"/>
      <c r="G273" s="4665"/>
      <c r="H273" s="4665"/>
      <c r="I273" s="4665"/>
      <c r="J273" s="4665"/>
      <c r="K273" s="4665"/>
      <c r="L273" s="4665"/>
      <c r="M273" s="4665"/>
      <c r="N273" s="4665"/>
      <c r="O273" s="4665"/>
      <c r="P273" s="4665"/>
      <c r="Q273" s="4665"/>
      <c r="R273" s="4665"/>
      <c r="S273" s="4665"/>
      <c r="T273" s="4665"/>
      <c r="U273" s="4665"/>
      <c r="V273" s="4665"/>
      <c r="W273" s="4665"/>
      <c r="X273" s="4665"/>
      <c r="Y273" s="4665"/>
      <c r="Z273" s="4665"/>
      <c r="AA273" s="4665"/>
      <c r="AB273" s="4665"/>
      <c r="AC273" s="4665"/>
      <c r="AD273" s="4665"/>
      <c r="AE273" s="4665"/>
      <c r="AF273" s="4665"/>
      <c r="AG273" s="4665"/>
      <c r="AH273" s="4665"/>
      <c r="AI273" s="4665"/>
      <c r="AJ273" s="4665"/>
      <c r="AK273" s="4665"/>
    </row>
    <row r="274" spans="1:37">
      <c r="A274" s="4665"/>
      <c r="B274" s="4665"/>
      <c r="C274" s="4665"/>
      <c r="D274" s="4665"/>
      <c r="E274" s="4665"/>
      <c r="F274" s="4665"/>
      <c r="G274" s="4665"/>
      <c r="H274" s="4665"/>
      <c r="I274" s="4665"/>
      <c r="J274" s="4665"/>
      <c r="K274" s="4665"/>
      <c r="L274" s="4665"/>
      <c r="M274" s="4665"/>
      <c r="N274" s="4665"/>
      <c r="O274" s="4665"/>
      <c r="P274" s="4665"/>
      <c r="Q274" s="4665"/>
      <c r="R274" s="4665"/>
      <c r="S274" s="4665"/>
      <c r="T274" s="4665"/>
      <c r="U274" s="4665"/>
      <c r="V274" s="4665"/>
      <c r="W274" s="4665"/>
      <c r="X274" s="4665"/>
      <c r="Y274" s="4665"/>
      <c r="Z274" s="4665"/>
      <c r="AA274" s="4665"/>
      <c r="AB274" s="4665"/>
      <c r="AC274" s="4665"/>
      <c r="AD274" s="4665"/>
      <c r="AE274" s="4665"/>
      <c r="AF274" s="4665"/>
      <c r="AG274" s="4665"/>
      <c r="AH274" s="4665"/>
      <c r="AI274" s="4665"/>
      <c r="AJ274" s="4665"/>
      <c r="AK274" s="4665"/>
    </row>
    <row r="275" spans="1:37">
      <c r="A275" s="4665"/>
      <c r="B275" s="4665"/>
      <c r="C275" s="4665"/>
      <c r="D275" s="4665"/>
      <c r="E275" s="4665"/>
      <c r="F275" s="4665"/>
      <c r="G275" s="4665"/>
      <c r="H275" s="4665"/>
      <c r="I275" s="4665"/>
      <c r="J275" s="4665"/>
      <c r="K275" s="4665"/>
      <c r="L275" s="4665"/>
      <c r="M275" s="4665"/>
      <c r="N275" s="4665"/>
      <c r="O275" s="4665"/>
      <c r="P275" s="4665"/>
      <c r="Q275" s="4665"/>
      <c r="R275" s="4665"/>
      <c r="S275" s="4665"/>
      <c r="T275" s="4665"/>
      <c r="U275" s="4665"/>
      <c r="V275" s="4665"/>
      <c r="W275" s="4665"/>
      <c r="X275" s="4665"/>
      <c r="Y275" s="4665"/>
      <c r="Z275" s="4665"/>
      <c r="AA275" s="4665"/>
      <c r="AB275" s="4665"/>
      <c r="AC275" s="4665"/>
      <c r="AD275" s="4665"/>
      <c r="AE275" s="4665"/>
      <c r="AF275" s="4665"/>
      <c r="AG275" s="4665"/>
      <c r="AH275" s="4665"/>
      <c r="AI275" s="4665"/>
      <c r="AJ275" s="4665"/>
      <c r="AK275" s="4665"/>
    </row>
    <row r="276" spans="1:37">
      <c r="A276" s="4665"/>
      <c r="B276" s="4665"/>
      <c r="C276" s="4665"/>
      <c r="D276" s="4665"/>
      <c r="E276" s="4665"/>
      <c r="F276" s="4665"/>
      <c r="G276" s="4665"/>
      <c r="H276" s="4665"/>
      <c r="I276" s="4665"/>
      <c r="J276" s="4665"/>
      <c r="K276" s="4665"/>
      <c r="L276" s="4665"/>
      <c r="M276" s="4665"/>
      <c r="N276" s="4665"/>
      <c r="O276" s="4665"/>
      <c r="P276" s="4665"/>
      <c r="Q276" s="4665"/>
      <c r="R276" s="4665"/>
      <c r="S276" s="4665"/>
      <c r="T276" s="4665"/>
      <c r="U276" s="4665"/>
      <c r="V276" s="4665"/>
      <c r="W276" s="4665"/>
      <c r="X276" s="4665"/>
      <c r="Y276" s="4665"/>
      <c r="Z276" s="4665"/>
      <c r="AA276" s="4665"/>
      <c r="AB276" s="4665"/>
      <c r="AC276" s="4665"/>
      <c r="AD276" s="4665"/>
      <c r="AE276" s="4665"/>
      <c r="AF276" s="4665"/>
      <c r="AG276" s="4665"/>
      <c r="AH276" s="4665"/>
      <c r="AI276" s="4665"/>
      <c r="AJ276" s="4665"/>
      <c r="AK276" s="4665"/>
    </row>
    <row r="277" spans="1:37">
      <c r="A277" s="4665"/>
      <c r="B277" s="4665"/>
      <c r="C277" s="4665"/>
      <c r="D277" s="4665"/>
      <c r="E277" s="4665"/>
      <c r="F277" s="4665"/>
      <c r="G277" s="4665"/>
      <c r="H277" s="4665"/>
      <c r="I277" s="4665"/>
      <c r="J277" s="4665"/>
      <c r="K277" s="4665"/>
      <c r="L277" s="4665"/>
      <c r="M277" s="4665"/>
      <c r="N277" s="4665"/>
      <c r="O277" s="4665"/>
      <c r="P277" s="4665"/>
      <c r="Q277" s="4665"/>
      <c r="R277" s="4665"/>
      <c r="S277" s="4665"/>
      <c r="T277" s="4665"/>
      <c r="U277" s="4665"/>
      <c r="V277" s="4665"/>
      <c r="W277" s="4665"/>
      <c r="X277" s="4665"/>
      <c r="Y277" s="4665"/>
      <c r="Z277" s="4665"/>
      <c r="AA277" s="4665"/>
      <c r="AB277" s="4665"/>
      <c r="AC277" s="4665"/>
      <c r="AD277" s="4665"/>
      <c r="AE277" s="4665"/>
      <c r="AF277" s="4665"/>
      <c r="AG277" s="4665"/>
      <c r="AH277" s="4665"/>
      <c r="AI277" s="4665"/>
      <c r="AJ277" s="4665"/>
      <c r="AK277" s="4665"/>
    </row>
    <row r="278" spans="1:37">
      <c r="A278" s="4665"/>
      <c r="B278" s="4665"/>
      <c r="C278" s="4665"/>
      <c r="D278" s="4665"/>
      <c r="E278" s="4665"/>
      <c r="F278" s="4665"/>
      <c r="G278" s="4665"/>
      <c r="H278" s="4665"/>
      <c r="I278" s="4665"/>
      <c r="J278" s="4665"/>
      <c r="K278" s="4665"/>
      <c r="L278" s="4665"/>
      <c r="M278" s="4665"/>
      <c r="N278" s="4665"/>
      <c r="O278" s="4665"/>
      <c r="P278" s="4665"/>
      <c r="Q278" s="4665"/>
      <c r="R278" s="4665"/>
      <c r="S278" s="4665"/>
      <c r="T278" s="4665"/>
      <c r="U278" s="4665"/>
      <c r="V278" s="4665"/>
      <c r="W278" s="4665"/>
      <c r="X278" s="4665"/>
      <c r="Y278" s="4665"/>
      <c r="Z278" s="4665"/>
      <c r="AA278" s="4665"/>
      <c r="AB278" s="4665"/>
      <c r="AC278" s="4665"/>
      <c r="AD278" s="4665"/>
      <c r="AE278" s="4665"/>
      <c r="AF278" s="4665"/>
      <c r="AG278" s="4665"/>
      <c r="AH278" s="4665"/>
      <c r="AI278" s="4665"/>
      <c r="AJ278" s="4665"/>
      <c r="AK278" s="4665"/>
    </row>
    <row r="279" spans="1:37">
      <c r="A279" s="4665"/>
      <c r="B279" s="4665"/>
      <c r="C279" s="4665"/>
      <c r="D279" s="4665"/>
      <c r="E279" s="4665"/>
      <c r="F279" s="4665"/>
      <c r="G279" s="4665"/>
      <c r="H279" s="4665"/>
      <c r="I279" s="4665"/>
      <c r="J279" s="4665"/>
      <c r="K279" s="4665"/>
      <c r="L279" s="4665"/>
      <c r="M279" s="4665"/>
      <c r="N279" s="4665"/>
      <c r="O279" s="4665"/>
      <c r="P279" s="4665"/>
      <c r="Q279" s="4665"/>
      <c r="R279" s="4665"/>
      <c r="S279" s="4665"/>
      <c r="T279" s="4665"/>
      <c r="U279" s="4665"/>
      <c r="V279" s="4665"/>
      <c r="W279" s="4665"/>
      <c r="X279" s="4665"/>
      <c r="Y279" s="4665"/>
      <c r="Z279" s="4665"/>
      <c r="AA279" s="4665"/>
      <c r="AB279" s="4665"/>
      <c r="AC279" s="4665"/>
      <c r="AD279" s="4665"/>
      <c r="AE279" s="4665"/>
      <c r="AF279" s="4665"/>
      <c r="AG279" s="4665"/>
      <c r="AH279" s="4665"/>
      <c r="AI279" s="4665"/>
      <c r="AJ279" s="4665"/>
      <c r="AK279" s="4665"/>
    </row>
    <row r="280" spans="1:37">
      <c r="A280" s="4665"/>
      <c r="B280" s="4665"/>
      <c r="C280" s="4665"/>
      <c r="D280" s="4665"/>
      <c r="E280" s="4665"/>
      <c r="F280" s="4665"/>
      <c r="G280" s="4665"/>
      <c r="H280" s="4665"/>
      <c r="I280" s="4665"/>
      <c r="J280" s="4665"/>
      <c r="K280" s="4665"/>
      <c r="L280" s="4665"/>
      <c r="M280" s="4665"/>
      <c r="N280" s="4665"/>
      <c r="O280" s="4665"/>
      <c r="P280" s="4665"/>
      <c r="Q280" s="4665"/>
      <c r="R280" s="4665"/>
      <c r="S280" s="4665"/>
      <c r="T280" s="4665"/>
      <c r="U280" s="4665"/>
      <c r="V280" s="4665"/>
      <c r="W280" s="4665"/>
      <c r="X280" s="4665"/>
      <c r="Y280" s="4665"/>
      <c r="Z280" s="4665"/>
      <c r="AA280" s="4665"/>
      <c r="AB280" s="4665"/>
      <c r="AC280" s="4665"/>
      <c r="AD280" s="4665"/>
      <c r="AE280" s="4665"/>
      <c r="AF280" s="4665"/>
      <c r="AG280" s="4665"/>
      <c r="AH280" s="4665"/>
      <c r="AI280" s="4665"/>
      <c r="AJ280" s="4665"/>
      <c r="AK280" s="4665"/>
    </row>
    <row r="281" spans="1:37">
      <c r="A281" s="4665"/>
      <c r="B281" s="4665"/>
      <c r="C281" s="4665"/>
      <c r="D281" s="4665"/>
      <c r="E281" s="4665"/>
      <c r="F281" s="4665"/>
      <c r="G281" s="4665"/>
      <c r="H281" s="4665"/>
      <c r="I281" s="4665"/>
      <c r="J281" s="4665"/>
      <c r="K281" s="4665"/>
      <c r="L281" s="4665"/>
      <c r="M281" s="4665"/>
      <c r="N281" s="4665"/>
      <c r="O281" s="4665"/>
      <c r="P281" s="4665"/>
      <c r="Q281" s="4665"/>
      <c r="R281" s="4665"/>
      <c r="S281" s="4665"/>
      <c r="T281" s="4665"/>
      <c r="U281" s="4665"/>
      <c r="V281" s="4665"/>
      <c r="W281" s="4665"/>
      <c r="X281" s="4665"/>
      <c r="Y281" s="4665"/>
      <c r="Z281" s="4665"/>
      <c r="AA281" s="4665"/>
      <c r="AB281" s="4665"/>
      <c r="AC281" s="4665"/>
      <c r="AD281" s="4665"/>
      <c r="AE281" s="4665"/>
      <c r="AF281" s="4665"/>
      <c r="AG281" s="4665"/>
      <c r="AH281" s="4665"/>
      <c r="AI281" s="4665"/>
      <c r="AJ281" s="4665"/>
      <c r="AK281" s="4665"/>
    </row>
    <row r="282" spans="1:37">
      <c r="A282" s="4665"/>
      <c r="B282" s="4665"/>
      <c r="C282" s="4665"/>
      <c r="D282" s="4665"/>
      <c r="E282" s="4665"/>
      <c r="F282" s="4665"/>
      <c r="G282" s="4665"/>
      <c r="H282" s="4665"/>
      <c r="I282" s="4665"/>
      <c r="J282" s="4665"/>
      <c r="K282" s="4665"/>
      <c r="L282" s="4665"/>
      <c r="M282" s="4665"/>
      <c r="N282" s="4665"/>
      <c r="O282" s="4665"/>
      <c r="P282" s="4665"/>
      <c r="Q282" s="4665"/>
      <c r="R282" s="4665"/>
      <c r="S282" s="4665"/>
      <c r="T282" s="4665"/>
      <c r="U282" s="4665"/>
      <c r="V282" s="4665"/>
      <c r="W282" s="4665"/>
      <c r="X282" s="4665"/>
      <c r="Y282" s="4665"/>
      <c r="Z282" s="4665"/>
      <c r="AA282" s="4665"/>
      <c r="AB282" s="4665"/>
      <c r="AC282" s="4665"/>
      <c r="AD282" s="4665"/>
      <c r="AE282" s="4665"/>
      <c r="AF282" s="4665"/>
      <c r="AG282" s="4665"/>
      <c r="AH282" s="4665"/>
      <c r="AI282" s="4665"/>
      <c r="AJ282" s="4665"/>
      <c r="AK282" s="4665"/>
    </row>
    <row r="283" spans="1:37">
      <c r="A283" s="4665"/>
      <c r="B283" s="4665"/>
      <c r="C283" s="4665"/>
      <c r="D283" s="4665"/>
      <c r="E283" s="4665"/>
      <c r="F283" s="4665"/>
      <c r="G283" s="4665"/>
      <c r="H283" s="4665"/>
      <c r="I283" s="4665"/>
      <c r="J283" s="4665"/>
      <c r="K283" s="4665"/>
      <c r="L283" s="4665"/>
      <c r="M283" s="4665"/>
      <c r="N283" s="4665"/>
      <c r="O283" s="4665"/>
      <c r="P283" s="4665"/>
      <c r="Q283" s="4665"/>
      <c r="R283" s="4665"/>
      <c r="S283" s="4665"/>
      <c r="T283" s="4665"/>
      <c r="U283" s="4665"/>
      <c r="V283" s="4665"/>
      <c r="W283" s="4665"/>
      <c r="X283" s="4665"/>
      <c r="Y283" s="4665"/>
      <c r="Z283" s="4665"/>
      <c r="AA283" s="4665"/>
      <c r="AB283" s="4665"/>
      <c r="AC283" s="4665"/>
      <c r="AD283" s="4665"/>
      <c r="AE283" s="4665"/>
      <c r="AF283" s="4665"/>
      <c r="AG283" s="4665"/>
      <c r="AH283" s="4665"/>
      <c r="AI283" s="4665"/>
      <c r="AJ283" s="4665"/>
      <c r="AK283" s="4665"/>
    </row>
    <row r="284" spans="1:37">
      <c r="A284" s="4665"/>
      <c r="B284" s="4665"/>
      <c r="C284" s="4665"/>
      <c r="D284" s="4665"/>
      <c r="E284" s="4665"/>
      <c r="F284" s="4665"/>
      <c r="G284" s="4665"/>
      <c r="H284" s="4665"/>
      <c r="I284" s="4665"/>
      <c r="J284" s="4665"/>
      <c r="K284" s="4665"/>
      <c r="L284" s="4665"/>
      <c r="M284" s="4665"/>
      <c r="N284" s="4665"/>
      <c r="O284" s="4665"/>
      <c r="P284" s="4665"/>
      <c r="Q284" s="4665"/>
      <c r="R284" s="4665"/>
      <c r="S284" s="4665"/>
      <c r="T284" s="4665"/>
      <c r="U284" s="4665"/>
      <c r="V284" s="4665"/>
      <c r="W284" s="4665"/>
      <c r="X284" s="4665"/>
      <c r="Y284" s="4665"/>
      <c r="Z284" s="4665"/>
      <c r="AA284" s="4665"/>
      <c r="AB284" s="4665"/>
      <c r="AC284" s="4665"/>
      <c r="AD284" s="4665"/>
      <c r="AE284" s="4665"/>
      <c r="AF284" s="4665"/>
      <c r="AG284" s="4665"/>
      <c r="AH284" s="4665"/>
      <c r="AI284" s="4665"/>
      <c r="AJ284" s="4665"/>
      <c r="AK284" s="4665"/>
    </row>
    <row r="285" spans="1:37">
      <c r="A285" s="4665"/>
      <c r="B285" s="4665"/>
      <c r="C285" s="4665"/>
      <c r="D285" s="4665"/>
      <c r="E285" s="4665"/>
      <c r="F285" s="4665"/>
      <c r="G285" s="4665"/>
      <c r="H285" s="4665"/>
      <c r="I285" s="4665"/>
      <c r="J285" s="4665"/>
      <c r="K285" s="4665"/>
      <c r="L285" s="4665"/>
      <c r="M285" s="4665"/>
      <c r="N285" s="4665"/>
      <c r="O285" s="4665"/>
      <c r="P285" s="4665"/>
      <c r="Q285" s="4665"/>
      <c r="R285" s="4665"/>
      <c r="S285" s="4665"/>
      <c r="T285" s="4665"/>
      <c r="U285" s="4665"/>
      <c r="V285" s="4665"/>
      <c r="W285" s="4665"/>
      <c r="X285" s="4665"/>
      <c r="Y285" s="4665"/>
      <c r="Z285" s="4665"/>
      <c r="AA285" s="4665"/>
      <c r="AB285" s="4665"/>
      <c r="AC285" s="4665"/>
      <c r="AD285" s="4665"/>
      <c r="AE285" s="4665"/>
      <c r="AF285" s="4665"/>
      <c r="AG285" s="4665"/>
      <c r="AH285" s="4665"/>
      <c r="AI285" s="4665"/>
      <c r="AJ285" s="4665"/>
      <c r="AK285" s="4665"/>
    </row>
    <row r="286" spans="1:37">
      <c r="A286" s="4665"/>
      <c r="B286" s="4665"/>
      <c r="C286" s="4665"/>
      <c r="D286" s="4665"/>
      <c r="E286" s="4665"/>
      <c r="F286" s="4665"/>
      <c r="G286" s="4665"/>
      <c r="H286" s="4665"/>
      <c r="I286" s="4665"/>
      <c r="J286" s="4665"/>
      <c r="K286" s="4665"/>
      <c r="L286" s="4665"/>
      <c r="M286" s="4665"/>
      <c r="N286" s="4665"/>
      <c r="O286" s="4665"/>
      <c r="P286" s="4665"/>
      <c r="Q286" s="4665"/>
      <c r="R286" s="4665"/>
      <c r="S286" s="4665"/>
      <c r="T286" s="4665"/>
      <c r="U286" s="4665"/>
      <c r="V286" s="4665"/>
      <c r="W286" s="4665"/>
      <c r="X286" s="4665"/>
      <c r="Y286" s="4665"/>
      <c r="Z286" s="4665"/>
      <c r="AA286" s="4665"/>
      <c r="AB286" s="4665"/>
      <c r="AC286" s="4665"/>
      <c r="AD286" s="4665"/>
      <c r="AE286" s="4665"/>
      <c r="AF286" s="4665"/>
      <c r="AG286" s="4665"/>
      <c r="AH286" s="4665"/>
      <c r="AI286" s="4665"/>
      <c r="AJ286" s="4665"/>
      <c r="AK286" s="4665"/>
    </row>
    <row r="287" spans="1:37">
      <c r="A287" s="4665"/>
      <c r="B287" s="4665"/>
      <c r="C287" s="4665"/>
      <c r="D287" s="4665"/>
      <c r="E287" s="4665"/>
      <c r="F287" s="4665"/>
      <c r="G287" s="4665"/>
      <c r="H287" s="4665"/>
      <c r="I287" s="4665"/>
      <c r="J287" s="4665"/>
      <c r="K287" s="4665"/>
      <c r="L287" s="4665"/>
      <c r="M287" s="4665"/>
      <c r="N287" s="4665"/>
      <c r="O287" s="4665"/>
      <c r="P287" s="4665"/>
      <c r="Q287" s="4665"/>
      <c r="R287" s="4665"/>
      <c r="S287" s="4665"/>
      <c r="T287" s="4665"/>
      <c r="U287" s="4665"/>
      <c r="V287" s="4665"/>
      <c r="W287" s="4665"/>
      <c r="X287" s="4665"/>
      <c r="Y287" s="4665"/>
      <c r="Z287" s="4665"/>
      <c r="AA287" s="4665"/>
      <c r="AB287" s="4665"/>
      <c r="AC287" s="4665"/>
      <c r="AD287" s="4665"/>
      <c r="AE287" s="4665"/>
      <c r="AF287" s="4665"/>
      <c r="AG287" s="4665"/>
      <c r="AH287" s="4665"/>
      <c r="AI287" s="4665"/>
      <c r="AJ287" s="4665"/>
      <c r="AK287" s="4665"/>
    </row>
    <row r="288" spans="1:37">
      <c r="A288" s="4665"/>
      <c r="B288" s="4665"/>
      <c r="C288" s="4665"/>
      <c r="D288" s="4665"/>
      <c r="E288" s="4665"/>
      <c r="F288" s="4665"/>
      <c r="G288" s="4665"/>
      <c r="H288" s="4665"/>
      <c r="I288" s="4665"/>
      <c r="J288" s="4665"/>
      <c r="K288" s="4665"/>
      <c r="L288" s="4665"/>
      <c r="M288" s="4665"/>
      <c r="N288" s="4665"/>
      <c r="O288" s="4665"/>
      <c r="P288" s="4665"/>
      <c r="Q288" s="4665"/>
      <c r="R288" s="4665"/>
      <c r="S288" s="4665"/>
      <c r="T288" s="4665"/>
      <c r="U288" s="4665"/>
      <c r="V288" s="4665"/>
      <c r="W288" s="4665"/>
      <c r="X288" s="4665"/>
      <c r="Y288" s="4665"/>
      <c r="Z288" s="4665"/>
      <c r="AA288" s="4665"/>
      <c r="AB288" s="4665"/>
      <c r="AC288" s="4665"/>
      <c r="AD288" s="4665"/>
      <c r="AE288" s="4665"/>
      <c r="AF288" s="4665"/>
      <c r="AG288" s="4665"/>
      <c r="AH288" s="4665"/>
      <c r="AI288" s="4665"/>
      <c r="AJ288" s="4665"/>
      <c r="AK288" s="4665"/>
    </row>
    <row r="289" spans="1:37">
      <c r="A289" s="4665"/>
      <c r="B289" s="4665"/>
      <c r="C289" s="4665"/>
      <c r="D289" s="4665"/>
      <c r="E289" s="4665"/>
      <c r="F289" s="4665"/>
      <c r="G289" s="4665"/>
      <c r="H289" s="4665"/>
      <c r="I289" s="4665"/>
      <c r="J289" s="4665"/>
      <c r="K289" s="4665"/>
      <c r="L289" s="4665"/>
      <c r="M289" s="4665"/>
      <c r="N289" s="4665"/>
      <c r="O289" s="4665"/>
      <c r="P289" s="4665"/>
      <c r="Q289" s="4665"/>
      <c r="R289" s="4665"/>
      <c r="S289" s="4665"/>
      <c r="T289" s="4665"/>
      <c r="U289" s="4665"/>
      <c r="V289" s="4665"/>
      <c r="W289" s="4665"/>
      <c r="X289" s="4665"/>
      <c r="Y289" s="4665"/>
      <c r="Z289" s="4665"/>
      <c r="AA289" s="4665"/>
      <c r="AB289" s="4665"/>
      <c r="AC289" s="4665"/>
      <c r="AD289" s="4665"/>
      <c r="AE289" s="4665"/>
      <c r="AF289" s="4665"/>
      <c r="AG289" s="4665"/>
      <c r="AH289" s="4665"/>
      <c r="AI289" s="4665"/>
      <c r="AJ289" s="4665"/>
      <c r="AK289" s="4665"/>
    </row>
    <row r="290" spans="1:37">
      <c r="A290" s="4665"/>
      <c r="B290" s="4665"/>
      <c r="C290" s="4665"/>
      <c r="D290" s="4665"/>
      <c r="E290" s="4665"/>
      <c r="F290" s="4665"/>
      <c r="G290" s="4665"/>
      <c r="H290" s="4665"/>
      <c r="I290" s="4665"/>
      <c r="J290" s="4665"/>
      <c r="K290" s="4665"/>
      <c r="L290" s="4665"/>
      <c r="M290" s="4665"/>
      <c r="N290" s="4665"/>
      <c r="O290" s="4665"/>
      <c r="P290" s="4665"/>
      <c r="Q290" s="4665"/>
      <c r="R290" s="4665"/>
      <c r="S290" s="4665"/>
      <c r="T290" s="4665"/>
      <c r="U290" s="4665"/>
      <c r="V290" s="4665"/>
      <c r="W290" s="4665"/>
      <c r="X290" s="4665"/>
      <c r="Y290" s="4665"/>
      <c r="Z290" s="4665"/>
      <c r="AA290" s="4665"/>
      <c r="AB290" s="4665"/>
      <c r="AC290" s="4665"/>
      <c r="AD290" s="4665"/>
      <c r="AE290" s="4665"/>
      <c r="AF290" s="4665"/>
      <c r="AG290" s="4665"/>
      <c r="AH290" s="4665"/>
      <c r="AI290" s="4665"/>
      <c r="AJ290" s="4665"/>
      <c r="AK290" s="4665"/>
    </row>
    <row r="291" spans="1:37">
      <c r="A291" s="4665"/>
      <c r="B291" s="4665"/>
      <c r="C291" s="4665"/>
      <c r="D291" s="4665"/>
      <c r="E291" s="4665"/>
      <c r="F291" s="4665"/>
      <c r="G291" s="4665"/>
      <c r="H291" s="4665"/>
      <c r="I291" s="4665"/>
      <c r="J291" s="4665"/>
      <c r="K291" s="4665"/>
      <c r="L291" s="4665"/>
      <c r="M291" s="4665"/>
      <c r="N291" s="4665"/>
      <c r="O291" s="4665"/>
      <c r="P291" s="4665"/>
      <c r="Q291" s="4665"/>
      <c r="R291" s="4665"/>
      <c r="S291" s="4665"/>
      <c r="T291" s="4665"/>
      <c r="U291" s="4665"/>
      <c r="V291" s="4665"/>
      <c r="W291" s="4665"/>
      <c r="X291" s="4665"/>
      <c r="Y291" s="4665"/>
      <c r="Z291" s="4665"/>
      <c r="AA291" s="4665"/>
      <c r="AB291" s="4665"/>
      <c r="AC291" s="4665"/>
      <c r="AD291" s="4665"/>
      <c r="AE291" s="4665"/>
      <c r="AF291" s="4665"/>
      <c r="AG291" s="4665"/>
      <c r="AH291" s="4665"/>
      <c r="AI291" s="4665"/>
      <c r="AJ291" s="4665"/>
      <c r="AK291" s="4665"/>
    </row>
    <row r="292" spans="1:37">
      <c r="A292" s="4665"/>
      <c r="B292" s="4665"/>
      <c r="C292" s="4665"/>
      <c r="D292" s="4665"/>
      <c r="E292" s="4665"/>
      <c r="F292" s="4665"/>
      <c r="G292" s="4665"/>
      <c r="H292" s="4665"/>
      <c r="I292" s="4665"/>
      <c r="J292" s="4665"/>
      <c r="K292" s="4665"/>
      <c r="L292" s="4665"/>
      <c r="M292" s="4665"/>
      <c r="N292" s="4665"/>
      <c r="O292" s="4665"/>
      <c r="P292" s="4665"/>
      <c r="Q292" s="4665"/>
      <c r="R292" s="4665"/>
      <c r="S292" s="4665"/>
      <c r="T292" s="4665"/>
      <c r="U292" s="4665"/>
      <c r="V292" s="4665"/>
      <c r="W292" s="4665"/>
      <c r="X292" s="4665"/>
      <c r="Y292" s="4665"/>
      <c r="Z292" s="4665"/>
      <c r="AA292" s="4665"/>
      <c r="AB292" s="4665"/>
      <c r="AC292" s="4665"/>
      <c r="AD292" s="4665"/>
      <c r="AE292" s="4665"/>
      <c r="AF292" s="4665"/>
      <c r="AG292" s="4665"/>
      <c r="AH292" s="4665"/>
      <c r="AI292" s="4665"/>
      <c r="AJ292" s="4665"/>
      <c r="AK292" s="4665"/>
    </row>
    <row r="293" spans="1:37">
      <c r="A293" s="4665"/>
      <c r="B293" s="4665"/>
      <c r="C293" s="4665"/>
      <c r="D293" s="4665"/>
      <c r="E293" s="4665"/>
      <c r="F293" s="4665"/>
      <c r="G293" s="4665"/>
      <c r="H293" s="4665"/>
      <c r="I293" s="4665"/>
      <c r="J293" s="4665"/>
      <c r="K293" s="4665"/>
      <c r="L293" s="4665"/>
      <c r="M293" s="4665"/>
      <c r="N293" s="4665"/>
      <c r="O293" s="4665"/>
      <c r="P293" s="4665"/>
      <c r="Q293" s="4665"/>
      <c r="R293" s="4665"/>
      <c r="S293" s="4665"/>
      <c r="T293" s="4665"/>
      <c r="U293" s="4665"/>
      <c r="V293" s="4665"/>
      <c r="W293" s="4665"/>
      <c r="X293" s="4665"/>
      <c r="Y293" s="4665"/>
      <c r="Z293" s="4665"/>
      <c r="AA293" s="4665"/>
      <c r="AB293" s="4665"/>
      <c r="AC293" s="4665"/>
      <c r="AD293" s="4665"/>
      <c r="AE293" s="4665"/>
      <c r="AF293" s="4665"/>
      <c r="AG293" s="4665"/>
      <c r="AH293" s="4665"/>
      <c r="AI293" s="4665"/>
      <c r="AJ293" s="4665"/>
      <c r="AK293" s="4665"/>
    </row>
    <row r="294" spans="1:37">
      <c r="A294" s="4665"/>
      <c r="B294" s="4665"/>
      <c r="C294" s="4665"/>
      <c r="D294" s="4665"/>
      <c r="E294" s="4665"/>
      <c r="F294" s="4665"/>
      <c r="G294" s="4665"/>
      <c r="H294" s="4665"/>
      <c r="I294" s="4665"/>
      <c r="J294" s="4665"/>
      <c r="K294" s="4665"/>
      <c r="L294" s="4665"/>
      <c r="M294" s="4665"/>
      <c r="N294" s="4665"/>
      <c r="O294" s="4665"/>
      <c r="P294" s="4665"/>
      <c r="Q294" s="4665"/>
      <c r="R294" s="4665"/>
      <c r="S294" s="4665"/>
      <c r="T294" s="4665"/>
      <c r="U294" s="4665"/>
      <c r="V294" s="4665"/>
      <c r="W294" s="4665"/>
      <c r="X294" s="4665"/>
      <c r="Y294" s="4665"/>
      <c r="Z294" s="4665"/>
      <c r="AA294" s="4665"/>
      <c r="AB294" s="4665"/>
      <c r="AC294" s="4665"/>
      <c r="AD294" s="4665"/>
      <c r="AE294" s="4665"/>
      <c r="AF294" s="4665"/>
      <c r="AG294" s="4665"/>
      <c r="AH294" s="4665"/>
      <c r="AI294" s="4665"/>
      <c r="AJ294" s="4665"/>
      <c r="AK294" s="4665"/>
    </row>
    <row r="295" spans="1:37">
      <c r="A295" s="4665"/>
      <c r="B295" s="4665"/>
      <c r="C295" s="4665"/>
      <c r="D295" s="4665"/>
      <c r="E295" s="4665"/>
      <c r="F295" s="4665"/>
      <c r="G295" s="4665"/>
      <c r="H295" s="4665"/>
      <c r="I295" s="4665"/>
      <c r="J295" s="4665"/>
      <c r="K295" s="4665"/>
      <c r="L295" s="4665"/>
      <c r="M295" s="4665"/>
      <c r="N295" s="4665"/>
      <c r="O295" s="4665"/>
      <c r="P295" s="4665"/>
      <c r="Q295" s="4665"/>
      <c r="R295" s="4665"/>
      <c r="S295" s="4665"/>
      <c r="T295" s="4665"/>
      <c r="U295" s="4665"/>
      <c r="V295" s="4665"/>
      <c r="W295" s="4665"/>
      <c r="X295" s="4665"/>
      <c r="Y295" s="4665"/>
      <c r="Z295" s="4665"/>
      <c r="AA295" s="4665"/>
      <c r="AB295" s="4665"/>
      <c r="AC295" s="4665"/>
      <c r="AD295" s="4665"/>
      <c r="AE295" s="4665"/>
      <c r="AF295" s="4665"/>
      <c r="AG295" s="4665"/>
      <c r="AH295" s="4665"/>
      <c r="AI295" s="4665"/>
      <c r="AJ295" s="4665"/>
      <c r="AK295" s="4665"/>
    </row>
    <row r="296" spans="1:37">
      <c r="A296" s="4665"/>
      <c r="B296" s="4665"/>
      <c r="C296" s="4665"/>
      <c r="D296" s="4665"/>
      <c r="E296" s="4665"/>
      <c r="F296" s="4665"/>
      <c r="G296" s="4665"/>
      <c r="H296" s="4665"/>
      <c r="I296" s="4665"/>
      <c r="J296" s="4665"/>
      <c r="K296" s="4665"/>
      <c r="L296" s="4665"/>
      <c r="M296" s="4665"/>
      <c r="N296" s="4665"/>
      <c r="O296" s="4665"/>
      <c r="P296" s="4665"/>
      <c r="Q296" s="4665"/>
      <c r="R296" s="4665"/>
      <c r="S296" s="4665"/>
      <c r="T296" s="4665"/>
      <c r="U296" s="4665"/>
      <c r="V296" s="4665"/>
      <c r="W296" s="4665"/>
      <c r="X296" s="4665"/>
      <c r="Y296" s="4665"/>
      <c r="Z296" s="4665"/>
      <c r="AA296" s="4665"/>
      <c r="AB296" s="4665"/>
      <c r="AC296" s="4665"/>
      <c r="AD296" s="4665"/>
      <c r="AE296" s="4665"/>
      <c r="AF296" s="4665"/>
      <c r="AG296" s="4665"/>
      <c r="AH296" s="4665"/>
      <c r="AI296" s="4665"/>
      <c r="AJ296" s="4665"/>
      <c r="AK296" s="4665"/>
    </row>
    <row r="297" spans="1:37">
      <c r="A297" s="4665"/>
      <c r="B297" s="4665"/>
      <c r="C297" s="4665"/>
      <c r="D297" s="4665"/>
      <c r="E297" s="4665"/>
      <c r="F297" s="4665"/>
      <c r="G297" s="4665"/>
      <c r="H297" s="4665"/>
      <c r="I297" s="4665"/>
      <c r="J297" s="4665"/>
      <c r="K297" s="4665"/>
      <c r="L297" s="4665"/>
      <c r="M297" s="4665"/>
      <c r="N297" s="4665"/>
      <c r="O297" s="4665"/>
      <c r="P297" s="4665"/>
      <c r="Q297" s="4665"/>
      <c r="R297" s="4665"/>
      <c r="S297" s="4665"/>
      <c r="T297" s="4665"/>
      <c r="U297" s="4665"/>
      <c r="V297" s="4665"/>
      <c r="W297" s="4665"/>
      <c r="X297" s="4665"/>
      <c r="Y297" s="4665"/>
      <c r="Z297" s="4665"/>
      <c r="AA297" s="4665"/>
      <c r="AB297" s="4665"/>
      <c r="AC297" s="4665"/>
      <c r="AD297" s="4665"/>
      <c r="AE297" s="4665"/>
      <c r="AF297" s="4665"/>
      <c r="AG297" s="4665"/>
      <c r="AH297" s="4665"/>
      <c r="AI297" s="4665"/>
      <c r="AJ297" s="4665"/>
      <c r="AK297" s="4665"/>
    </row>
    <row r="298" spans="1:37">
      <c r="A298" s="4665"/>
      <c r="B298" s="4665"/>
      <c r="C298" s="4665"/>
      <c r="D298" s="4665"/>
      <c r="E298" s="4665"/>
      <c r="F298" s="4665"/>
      <c r="G298" s="4665"/>
      <c r="H298" s="4665"/>
      <c r="I298" s="4665"/>
      <c r="J298" s="4665"/>
      <c r="K298" s="4665"/>
      <c r="L298" s="4665"/>
      <c r="M298" s="4665"/>
      <c r="N298" s="4665"/>
      <c r="O298" s="4665"/>
      <c r="P298" s="4665"/>
      <c r="Q298" s="4665"/>
      <c r="R298" s="4665"/>
      <c r="S298" s="4665"/>
      <c r="T298" s="4665"/>
      <c r="U298" s="4665"/>
      <c r="V298" s="4665"/>
      <c r="W298" s="4665"/>
      <c r="X298" s="4665"/>
      <c r="Y298" s="4665"/>
      <c r="Z298" s="4665"/>
      <c r="AA298" s="4665"/>
      <c r="AB298" s="4665"/>
      <c r="AC298" s="4665"/>
      <c r="AD298" s="4665"/>
      <c r="AE298" s="4665"/>
      <c r="AF298" s="4665"/>
      <c r="AG298" s="4665"/>
      <c r="AH298" s="4665"/>
      <c r="AI298" s="4665"/>
      <c r="AJ298" s="4665"/>
      <c r="AK298" s="4665"/>
    </row>
    <row r="299" spans="1:37">
      <c r="A299" s="4665"/>
      <c r="B299" s="4665"/>
      <c r="C299" s="4665"/>
      <c r="D299" s="4665"/>
      <c r="E299" s="4665"/>
      <c r="F299" s="4665"/>
      <c r="G299" s="4665"/>
      <c r="H299" s="4665"/>
      <c r="I299" s="4665"/>
      <c r="J299" s="4665"/>
      <c r="K299" s="4665"/>
      <c r="L299" s="4665"/>
      <c r="M299" s="4665"/>
      <c r="N299" s="4665"/>
      <c r="O299" s="4665"/>
      <c r="P299" s="4665"/>
      <c r="Q299" s="4665"/>
      <c r="R299" s="4665"/>
      <c r="S299" s="4665"/>
      <c r="T299" s="4665"/>
      <c r="U299" s="4665"/>
      <c r="V299" s="4665"/>
      <c r="W299" s="4665"/>
      <c r="X299" s="4665"/>
      <c r="Y299" s="4665"/>
      <c r="Z299" s="4665"/>
      <c r="AA299" s="4665"/>
      <c r="AB299" s="4665"/>
      <c r="AC299" s="4665"/>
      <c r="AD299" s="4665"/>
      <c r="AE299" s="4665"/>
      <c r="AF299" s="4665"/>
      <c r="AG299" s="4665"/>
      <c r="AH299" s="4665"/>
      <c r="AI299" s="4665"/>
      <c r="AJ299" s="4665"/>
      <c r="AK299" s="4665"/>
    </row>
    <row r="300" spans="1:37">
      <c r="A300" s="4665"/>
      <c r="B300" s="4665"/>
      <c r="C300" s="4665"/>
      <c r="D300" s="4665"/>
      <c r="E300" s="4665"/>
      <c r="F300" s="4665"/>
      <c r="G300" s="4665"/>
      <c r="H300" s="4665"/>
      <c r="I300" s="4665"/>
      <c r="J300" s="4665"/>
      <c r="K300" s="4665"/>
      <c r="L300" s="4665"/>
      <c r="M300" s="4665"/>
      <c r="N300" s="4665"/>
      <c r="O300" s="4665"/>
      <c r="P300" s="4665"/>
      <c r="Q300" s="4665"/>
      <c r="R300" s="4665"/>
      <c r="S300" s="4665"/>
      <c r="T300" s="4665"/>
      <c r="U300" s="4665"/>
      <c r="V300" s="4665"/>
      <c r="W300" s="4665"/>
      <c r="X300" s="4665"/>
      <c r="Y300" s="4665"/>
      <c r="Z300" s="4665"/>
      <c r="AA300" s="4665"/>
      <c r="AB300" s="4665"/>
      <c r="AC300" s="4665"/>
      <c r="AD300" s="4665"/>
      <c r="AE300" s="4665"/>
      <c r="AF300" s="4665"/>
      <c r="AG300" s="4665"/>
      <c r="AH300" s="4665"/>
      <c r="AI300" s="4665"/>
      <c r="AJ300" s="4665"/>
      <c r="AK300" s="4665"/>
    </row>
    <row r="301" spans="1:37">
      <c r="A301" s="4665"/>
      <c r="B301" s="4665"/>
      <c r="C301" s="4665"/>
      <c r="D301" s="4665"/>
      <c r="E301" s="4665"/>
      <c r="F301" s="4665"/>
      <c r="G301" s="4665"/>
      <c r="H301" s="4665"/>
      <c r="I301" s="4665"/>
      <c r="J301" s="4665"/>
      <c r="K301" s="4665"/>
      <c r="L301" s="4665"/>
      <c r="M301" s="4665"/>
      <c r="N301" s="4665"/>
      <c r="O301" s="4665"/>
      <c r="P301" s="4665"/>
      <c r="Q301" s="4665"/>
      <c r="R301" s="4665"/>
      <c r="S301" s="4665"/>
      <c r="T301" s="4665"/>
      <c r="U301" s="4665"/>
      <c r="V301" s="4665"/>
      <c r="W301" s="4665"/>
      <c r="X301" s="4665"/>
      <c r="Y301" s="4665"/>
      <c r="Z301" s="4665"/>
      <c r="AA301" s="4665"/>
      <c r="AB301" s="4665"/>
      <c r="AC301" s="4665"/>
      <c r="AD301" s="4665"/>
      <c r="AE301" s="4665"/>
      <c r="AF301" s="4665"/>
      <c r="AG301" s="4665"/>
      <c r="AH301" s="4665"/>
      <c r="AI301" s="4665"/>
      <c r="AJ301" s="4665"/>
      <c r="AK301" s="4665"/>
    </row>
    <row r="302" spans="1:37">
      <c r="A302" s="4665"/>
      <c r="B302" s="4665"/>
      <c r="C302" s="4665"/>
      <c r="D302" s="4665"/>
      <c r="E302" s="4665"/>
      <c r="F302" s="4665"/>
      <c r="G302" s="4665"/>
      <c r="H302" s="4665"/>
      <c r="I302" s="4665"/>
      <c r="J302" s="4665"/>
      <c r="K302" s="4665"/>
      <c r="L302" s="4665"/>
      <c r="M302" s="4665"/>
      <c r="N302" s="4665"/>
      <c r="O302" s="4665"/>
      <c r="P302" s="4665"/>
      <c r="Q302" s="4665"/>
      <c r="R302" s="4665"/>
      <c r="S302" s="4665"/>
      <c r="T302" s="4665"/>
      <c r="U302" s="4665"/>
      <c r="V302" s="4665"/>
      <c r="W302" s="4665"/>
      <c r="X302" s="4665"/>
      <c r="Y302" s="4665"/>
      <c r="Z302" s="4665"/>
      <c r="AA302" s="4665"/>
      <c r="AB302" s="4665"/>
      <c r="AC302" s="4665"/>
      <c r="AD302" s="4665"/>
      <c r="AE302" s="4665"/>
      <c r="AF302" s="4665"/>
      <c r="AG302" s="4665"/>
      <c r="AH302" s="4665"/>
      <c r="AI302" s="4665"/>
      <c r="AJ302" s="4665"/>
      <c r="AK302" s="4665"/>
    </row>
    <row r="303" spans="1:37">
      <c r="A303" s="4665"/>
      <c r="B303" s="4665"/>
      <c r="C303" s="4665"/>
      <c r="D303" s="4665"/>
      <c r="E303" s="4665"/>
      <c r="F303" s="4665"/>
      <c r="G303" s="4665"/>
      <c r="H303" s="4665"/>
      <c r="I303" s="4665"/>
      <c r="J303" s="4665"/>
      <c r="K303" s="4665"/>
      <c r="L303" s="4665"/>
      <c r="M303" s="4665"/>
      <c r="N303" s="4665"/>
      <c r="O303" s="4665"/>
      <c r="P303" s="4665"/>
      <c r="Q303" s="4665"/>
      <c r="R303" s="4665"/>
      <c r="S303" s="4665"/>
      <c r="T303" s="4665"/>
      <c r="U303" s="4665"/>
      <c r="V303" s="4665"/>
      <c r="W303" s="4665"/>
      <c r="X303" s="4665"/>
      <c r="Y303" s="4665"/>
      <c r="Z303" s="4665"/>
      <c r="AA303" s="4665"/>
      <c r="AB303" s="4665"/>
      <c r="AC303" s="4665"/>
      <c r="AD303" s="4665"/>
      <c r="AE303" s="4665"/>
      <c r="AF303" s="4665"/>
      <c r="AG303" s="4665"/>
      <c r="AH303" s="4665"/>
      <c r="AI303" s="4665"/>
      <c r="AJ303" s="4665"/>
      <c r="AK303" s="4665"/>
    </row>
    <row r="304" spans="1:37">
      <c r="A304" s="4665"/>
      <c r="B304" s="4665"/>
      <c r="C304" s="4665"/>
      <c r="D304" s="4665"/>
      <c r="E304" s="4665"/>
      <c r="F304" s="4665"/>
      <c r="G304" s="4665"/>
      <c r="H304" s="4665"/>
      <c r="I304" s="4665"/>
      <c r="J304" s="4665"/>
      <c r="K304" s="4665"/>
      <c r="L304" s="4665"/>
      <c r="M304" s="4665"/>
      <c r="N304" s="4665"/>
      <c r="O304" s="4665"/>
      <c r="P304" s="4665"/>
      <c r="Q304" s="4665"/>
      <c r="R304" s="4665"/>
      <c r="S304" s="4665"/>
      <c r="T304" s="4665"/>
      <c r="U304" s="4665"/>
      <c r="V304" s="4665"/>
      <c r="W304" s="4665"/>
      <c r="X304" s="4665"/>
      <c r="Y304" s="4665"/>
      <c r="Z304" s="4665"/>
      <c r="AA304" s="4665"/>
      <c r="AB304" s="4665"/>
      <c r="AC304" s="4665"/>
      <c r="AD304" s="4665"/>
      <c r="AE304" s="4665"/>
      <c r="AF304" s="4665"/>
      <c r="AG304" s="4665"/>
      <c r="AH304" s="4665"/>
      <c r="AI304" s="4665"/>
      <c r="AJ304" s="4665"/>
      <c r="AK304" s="4665"/>
    </row>
    <row r="305" spans="1:37">
      <c r="A305" s="4665"/>
      <c r="B305" s="4665"/>
      <c r="C305" s="4665"/>
      <c r="D305" s="4665"/>
      <c r="E305" s="4665"/>
      <c r="F305" s="4665"/>
      <c r="G305" s="4665"/>
      <c r="H305" s="4665"/>
      <c r="I305" s="4665"/>
      <c r="J305" s="4665"/>
      <c r="K305" s="4665"/>
      <c r="L305" s="4665"/>
      <c r="M305" s="4665"/>
      <c r="N305" s="4665"/>
      <c r="O305" s="4665"/>
      <c r="P305" s="4665"/>
      <c r="Q305" s="4665"/>
      <c r="R305" s="4665"/>
      <c r="S305" s="4665"/>
      <c r="T305" s="4665"/>
      <c r="U305" s="4665"/>
      <c r="V305" s="4665"/>
      <c r="W305" s="4665"/>
      <c r="X305" s="4665"/>
      <c r="Y305" s="4665"/>
      <c r="Z305" s="4665"/>
      <c r="AA305" s="4665"/>
      <c r="AB305" s="4665"/>
      <c r="AC305" s="4665"/>
      <c r="AD305" s="4665"/>
      <c r="AE305" s="4665"/>
      <c r="AF305" s="4665"/>
      <c r="AG305" s="4665"/>
      <c r="AH305" s="4665"/>
      <c r="AI305" s="4665"/>
      <c r="AJ305" s="4665"/>
      <c r="AK305" s="4665"/>
    </row>
    <row r="306" spans="1:37">
      <c r="A306" s="4665"/>
      <c r="B306" s="4665"/>
      <c r="C306" s="4665"/>
      <c r="D306" s="4665"/>
      <c r="E306" s="4665"/>
      <c r="F306" s="4665"/>
      <c r="G306" s="4665"/>
      <c r="H306" s="4665"/>
      <c r="I306" s="4665"/>
      <c r="J306" s="4665"/>
      <c r="K306" s="4665"/>
      <c r="L306" s="4665"/>
      <c r="M306" s="4665"/>
      <c r="N306" s="4665"/>
      <c r="O306" s="4665"/>
      <c r="P306" s="4665"/>
      <c r="Q306" s="4665"/>
      <c r="R306" s="4665"/>
      <c r="S306" s="4665"/>
      <c r="T306" s="4665"/>
      <c r="U306" s="4665"/>
      <c r="V306" s="4665"/>
      <c r="W306" s="4665"/>
      <c r="X306" s="4665"/>
      <c r="Y306" s="4665"/>
      <c r="Z306" s="4665"/>
      <c r="AA306" s="4665"/>
      <c r="AB306" s="4665"/>
      <c r="AC306" s="4665"/>
      <c r="AD306" s="4665"/>
      <c r="AE306" s="4665"/>
      <c r="AF306" s="4665"/>
      <c r="AG306" s="4665"/>
      <c r="AH306" s="4665"/>
      <c r="AI306" s="4665"/>
      <c r="AJ306" s="4665"/>
      <c r="AK306" s="4665"/>
    </row>
    <row r="307" spans="1:37">
      <c r="A307" s="4665"/>
      <c r="B307" s="4665"/>
      <c r="C307" s="4665"/>
      <c r="D307" s="4665"/>
      <c r="E307" s="4665"/>
      <c r="F307" s="4665"/>
      <c r="G307" s="4665"/>
      <c r="H307" s="4665"/>
      <c r="I307" s="4665"/>
      <c r="J307" s="4665"/>
      <c r="K307" s="4665"/>
      <c r="L307" s="4665"/>
      <c r="M307" s="4665"/>
      <c r="N307" s="4665"/>
      <c r="O307" s="4665"/>
      <c r="P307" s="4665"/>
      <c r="Q307" s="4665"/>
      <c r="R307" s="4665"/>
      <c r="S307" s="4665"/>
      <c r="T307" s="4665"/>
      <c r="U307" s="4665"/>
      <c r="V307" s="4665"/>
      <c r="W307" s="4665"/>
      <c r="X307" s="4665"/>
      <c r="Y307" s="4665"/>
      <c r="Z307" s="4665"/>
      <c r="AA307" s="4665"/>
      <c r="AB307" s="4665"/>
      <c r="AC307" s="4665"/>
      <c r="AD307" s="4665"/>
      <c r="AE307" s="4665"/>
      <c r="AF307" s="4665"/>
      <c r="AG307" s="4665"/>
      <c r="AH307" s="4665"/>
      <c r="AI307" s="4665"/>
      <c r="AJ307" s="4665"/>
      <c r="AK307" s="4665"/>
    </row>
    <row r="308" spans="1:37">
      <c r="A308" s="4665"/>
      <c r="B308" s="4665"/>
      <c r="C308" s="4665"/>
      <c r="D308" s="4665"/>
      <c r="E308" s="4665"/>
      <c r="F308" s="4665"/>
      <c r="G308" s="4665"/>
      <c r="H308" s="4665"/>
      <c r="I308" s="4665"/>
      <c r="J308" s="4665"/>
      <c r="K308" s="4665"/>
      <c r="L308" s="4665"/>
      <c r="M308" s="4665"/>
      <c r="N308" s="4665"/>
      <c r="O308" s="4665"/>
      <c r="P308" s="4665"/>
      <c r="Q308" s="4665"/>
      <c r="R308" s="4665"/>
      <c r="S308" s="4665"/>
      <c r="T308" s="4665"/>
      <c r="U308" s="4665"/>
      <c r="V308" s="4665"/>
      <c r="W308" s="4665"/>
      <c r="X308" s="4665"/>
      <c r="Y308" s="4665"/>
      <c r="Z308" s="4665"/>
      <c r="AA308" s="4665"/>
      <c r="AB308" s="4665"/>
      <c r="AC308" s="4665"/>
      <c r="AD308" s="4665"/>
      <c r="AE308" s="4665"/>
      <c r="AF308" s="4665"/>
      <c r="AG308" s="4665"/>
      <c r="AH308" s="4665"/>
      <c r="AI308" s="4665"/>
      <c r="AJ308" s="4665"/>
      <c r="AK308" s="4665"/>
    </row>
    <row r="309" spans="1:37">
      <c r="A309" s="4665"/>
      <c r="B309" s="4665"/>
      <c r="C309" s="4665"/>
      <c r="D309" s="4665"/>
      <c r="E309" s="4665"/>
      <c r="F309" s="4665"/>
      <c r="G309" s="4665"/>
      <c r="H309" s="4665"/>
      <c r="I309" s="4665"/>
      <c r="J309" s="4665"/>
      <c r="K309" s="4665"/>
      <c r="L309" s="4665"/>
      <c r="M309" s="4665"/>
      <c r="N309" s="4665"/>
      <c r="O309" s="4665"/>
      <c r="P309" s="4665"/>
      <c r="Q309" s="4665"/>
      <c r="R309" s="4665"/>
      <c r="S309" s="4665"/>
      <c r="T309" s="4665"/>
      <c r="U309" s="4665"/>
      <c r="V309" s="4665"/>
      <c r="W309" s="4665"/>
      <c r="X309" s="4665"/>
      <c r="Y309" s="4665"/>
      <c r="Z309" s="4665"/>
      <c r="AA309" s="4665"/>
      <c r="AB309" s="4665"/>
      <c r="AC309" s="4665"/>
      <c r="AD309" s="4665"/>
      <c r="AE309" s="4665"/>
      <c r="AF309" s="4665"/>
      <c r="AG309" s="4665"/>
      <c r="AH309" s="4665"/>
      <c r="AI309" s="4665"/>
      <c r="AJ309" s="4665"/>
      <c r="AK309" s="4665"/>
    </row>
    <row r="310" spans="1:37">
      <c r="A310" s="4665"/>
      <c r="B310" s="4665"/>
      <c r="C310" s="4665"/>
      <c r="D310" s="4665"/>
      <c r="E310" s="4665"/>
      <c r="F310" s="4665"/>
      <c r="G310" s="4665"/>
      <c r="H310" s="4665"/>
      <c r="I310" s="4665"/>
      <c r="J310" s="4665"/>
      <c r="K310" s="4665"/>
      <c r="L310" s="4665"/>
      <c r="M310" s="4665"/>
      <c r="N310" s="4665"/>
      <c r="O310" s="4665"/>
      <c r="P310" s="4665"/>
      <c r="Q310" s="4665"/>
      <c r="R310" s="4665"/>
      <c r="S310" s="4665"/>
      <c r="T310" s="4665"/>
      <c r="U310" s="4665"/>
      <c r="V310" s="4665"/>
      <c r="W310" s="4665"/>
      <c r="X310" s="4665"/>
      <c r="Y310" s="4665"/>
      <c r="Z310" s="4665"/>
      <c r="AA310" s="4665"/>
      <c r="AB310" s="4665"/>
      <c r="AC310" s="4665"/>
      <c r="AD310" s="4665"/>
      <c r="AE310" s="4665"/>
      <c r="AF310" s="4665"/>
      <c r="AG310" s="4665"/>
      <c r="AH310" s="4665"/>
      <c r="AI310" s="4665"/>
      <c r="AJ310" s="4665"/>
      <c r="AK310" s="4665"/>
    </row>
    <row r="311" spans="1:37">
      <c r="A311" s="4665"/>
      <c r="B311" s="4665"/>
      <c r="C311" s="4665"/>
      <c r="D311" s="4665"/>
      <c r="E311" s="4665"/>
      <c r="F311" s="4665"/>
      <c r="G311" s="4665"/>
      <c r="H311" s="4665"/>
      <c r="I311" s="4665"/>
      <c r="J311" s="4665"/>
      <c r="K311" s="4665"/>
      <c r="L311" s="4665"/>
      <c r="M311" s="4665"/>
      <c r="N311" s="4665"/>
      <c r="O311" s="4665"/>
      <c r="P311" s="4665"/>
      <c r="Q311" s="4665"/>
      <c r="R311" s="4665"/>
      <c r="S311" s="4665"/>
      <c r="T311" s="4665"/>
      <c r="U311" s="4665"/>
      <c r="V311" s="4665"/>
      <c r="W311" s="4665"/>
      <c r="X311" s="4665"/>
      <c r="Y311" s="4665"/>
      <c r="Z311" s="4665"/>
      <c r="AA311" s="4665"/>
      <c r="AB311" s="4665"/>
      <c r="AC311" s="4665"/>
      <c r="AD311" s="4665"/>
      <c r="AE311" s="4665"/>
      <c r="AF311" s="4665"/>
      <c r="AG311" s="4665"/>
      <c r="AH311" s="4665"/>
      <c r="AI311" s="4665"/>
      <c r="AJ311" s="4665"/>
      <c r="AK311" s="4665"/>
    </row>
    <row r="312" spans="1:37">
      <c r="A312" s="4665"/>
      <c r="B312" s="4665"/>
      <c r="C312" s="4665"/>
      <c r="D312" s="4665"/>
      <c r="E312" s="4665"/>
      <c r="F312" s="4665"/>
      <c r="G312" s="4665"/>
      <c r="H312" s="4665"/>
      <c r="I312" s="4665"/>
      <c r="J312" s="4665"/>
      <c r="K312" s="4665"/>
      <c r="L312" s="4665"/>
      <c r="M312" s="4665"/>
      <c r="N312" s="4665"/>
      <c r="O312" s="4665"/>
      <c r="P312" s="4665"/>
      <c r="Q312" s="4665"/>
      <c r="R312" s="4665"/>
      <c r="S312" s="4665"/>
      <c r="T312" s="4665"/>
      <c r="U312" s="4665"/>
      <c r="V312" s="4665"/>
      <c r="W312" s="4665"/>
      <c r="X312" s="4665"/>
      <c r="Y312" s="4665"/>
      <c r="Z312" s="4665"/>
      <c r="AA312" s="4665"/>
      <c r="AB312" s="4665"/>
      <c r="AC312" s="4665"/>
      <c r="AD312" s="4665"/>
      <c r="AE312" s="4665"/>
      <c r="AF312" s="4665"/>
      <c r="AG312" s="4665"/>
      <c r="AH312" s="4665"/>
      <c r="AI312" s="4665"/>
      <c r="AJ312" s="4665"/>
      <c r="AK312" s="4665"/>
    </row>
    <row r="313" spans="1:37">
      <c r="A313" s="4665"/>
      <c r="B313" s="4665"/>
      <c r="C313" s="4665"/>
      <c r="D313" s="4665"/>
      <c r="E313" s="4665"/>
      <c r="F313" s="4665"/>
      <c r="G313" s="4665"/>
      <c r="H313" s="4665"/>
      <c r="I313" s="4665"/>
      <c r="J313" s="4665"/>
      <c r="K313" s="4665"/>
      <c r="L313" s="4665"/>
      <c r="M313" s="4665"/>
      <c r="N313" s="4665"/>
      <c r="O313" s="4665"/>
      <c r="P313" s="4665"/>
      <c r="Q313" s="4665"/>
      <c r="R313" s="4665"/>
      <c r="S313" s="4665"/>
      <c r="T313" s="4665"/>
      <c r="U313" s="4665"/>
      <c r="V313" s="4665"/>
      <c r="W313" s="4665"/>
      <c r="X313" s="4665"/>
      <c r="Y313" s="4665"/>
      <c r="Z313" s="4665"/>
      <c r="AA313" s="4665"/>
      <c r="AB313" s="4665"/>
      <c r="AC313" s="4665"/>
      <c r="AD313" s="4665"/>
      <c r="AE313" s="4665"/>
      <c r="AF313" s="4665"/>
      <c r="AG313" s="4665"/>
      <c r="AH313" s="4665"/>
      <c r="AI313" s="4665"/>
      <c r="AJ313" s="4665"/>
      <c r="AK313" s="4665"/>
    </row>
    <row r="314" spans="1:37">
      <c r="A314" s="4665"/>
      <c r="B314" s="4665"/>
      <c r="C314" s="4665"/>
      <c r="D314" s="4665"/>
      <c r="E314" s="4665"/>
      <c r="F314" s="4665"/>
      <c r="G314" s="4665"/>
      <c r="H314" s="4665"/>
      <c r="I314" s="4665"/>
      <c r="J314" s="4665"/>
      <c r="K314" s="4665"/>
      <c r="L314" s="4665"/>
      <c r="M314" s="4665"/>
      <c r="N314" s="4665"/>
      <c r="O314" s="4665"/>
      <c r="P314" s="4665"/>
      <c r="Q314" s="4665"/>
      <c r="R314" s="4665"/>
      <c r="S314" s="4665"/>
      <c r="T314" s="4665"/>
      <c r="U314" s="4665"/>
      <c r="V314" s="4665"/>
      <c r="W314" s="4665"/>
      <c r="X314" s="4665"/>
      <c r="Y314" s="4665"/>
      <c r="Z314" s="4665"/>
      <c r="AA314" s="4665"/>
      <c r="AB314" s="4665"/>
      <c r="AC314" s="4665"/>
      <c r="AD314" s="4665"/>
      <c r="AE314" s="4665"/>
      <c r="AF314" s="4665"/>
      <c r="AG314" s="4665"/>
      <c r="AH314" s="4665"/>
      <c r="AI314" s="4665"/>
      <c r="AJ314" s="4665"/>
      <c r="AK314" s="4665"/>
    </row>
    <row r="315" spans="1:37">
      <c r="A315" s="4665"/>
      <c r="B315" s="4665"/>
      <c r="C315" s="4665"/>
      <c r="D315" s="4665"/>
      <c r="E315" s="4665"/>
      <c r="F315" s="4665"/>
      <c r="G315" s="4665"/>
      <c r="H315" s="4665"/>
      <c r="I315" s="4665"/>
      <c r="J315" s="4665"/>
      <c r="K315" s="4665"/>
      <c r="L315" s="4665"/>
      <c r="M315" s="4665"/>
      <c r="N315" s="4665"/>
      <c r="O315" s="4665"/>
      <c r="P315" s="4665"/>
      <c r="Q315" s="4665"/>
      <c r="R315" s="4665"/>
      <c r="S315" s="4665"/>
      <c r="T315" s="4665"/>
      <c r="U315" s="4665"/>
      <c r="V315" s="4665"/>
      <c r="W315" s="4665"/>
      <c r="X315" s="4665"/>
      <c r="Y315" s="4665"/>
      <c r="Z315" s="4665"/>
      <c r="AA315" s="4665"/>
      <c r="AB315" s="4665"/>
      <c r="AC315" s="4665"/>
      <c r="AD315" s="4665"/>
      <c r="AE315" s="4665"/>
      <c r="AF315" s="4665"/>
      <c r="AG315" s="4665"/>
      <c r="AH315" s="4665"/>
      <c r="AI315" s="4665"/>
      <c r="AJ315" s="4665"/>
      <c r="AK315" s="4665"/>
    </row>
    <row r="316" spans="1:37">
      <c r="A316" s="4665"/>
      <c r="B316" s="4665"/>
      <c r="C316" s="4665"/>
      <c r="D316" s="4665"/>
      <c r="E316" s="4665"/>
      <c r="F316" s="4665"/>
      <c r="G316" s="4665"/>
      <c r="H316" s="4665"/>
      <c r="I316" s="4665"/>
      <c r="J316" s="4665"/>
      <c r="K316" s="4665"/>
      <c r="L316" s="4665"/>
      <c r="M316" s="4665"/>
      <c r="N316" s="4665"/>
      <c r="O316" s="4665"/>
      <c r="P316" s="4665"/>
      <c r="Q316" s="4665"/>
      <c r="R316" s="4665"/>
      <c r="S316" s="4665"/>
      <c r="T316" s="4665"/>
      <c r="U316" s="4665"/>
      <c r="V316" s="4665"/>
      <c r="W316" s="4665"/>
      <c r="X316" s="4665"/>
      <c r="Y316" s="4665"/>
      <c r="Z316" s="4665"/>
      <c r="AA316" s="4665"/>
      <c r="AB316" s="4665"/>
      <c r="AC316" s="4665"/>
      <c r="AD316" s="4665"/>
      <c r="AE316" s="4665"/>
      <c r="AF316" s="4665"/>
      <c r="AG316" s="4665"/>
      <c r="AH316" s="4665"/>
      <c r="AI316" s="4665"/>
      <c r="AJ316" s="4665"/>
      <c r="AK316" s="4665"/>
    </row>
    <row r="317" spans="1:37">
      <c r="A317" s="4665"/>
      <c r="B317" s="4665"/>
      <c r="C317" s="4665"/>
      <c r="D317" s="4665"/>
      <c r="E317" s="4665"/>
      <c r="F317" s="4665"/>
      <c r="G317" s="4665"/>
      <c r="H317" s="4665"/>
      <c r="I317" s="4665"/>
      <c r="J317" s="4665"/>
      <c r="K317" s="4665"/>
      <c r="L317" s="4665"/>
      <c r="M317" s="4665"/>
      <c r="N317" s="4665"/>
      <c r="O317" s="4665"/>
      <c r="P317" s="4665"/>
      <c r="Q317" s="4665"/>
      <c r="R317" s="4665"/>
      <c r="S317" s="4665"/>
      <c r="T317" s="4665"/>
      <c r="U317" s="4665"/>
      <c r="V317" s="4665"/>
      <c r="W317" s="4665"/>
      <c r="X317" s="4665"/>
      <c r="Y317" s="4665"/>
      <c r="Z317" s="4665"/>
      <c r="AA317" s="4665"/>
      <c r="AB317" s="4665"/>
      <c r="AC317" s="4665"/>
      <c r="AD317" s="4665"/>
      <c r="AE317" s="4665"/>
      <c r="AF317" s="4665"/>
      <c r="AG317" s="4665"/>
      <c r="AH317" s="4665"/>
      <c r="AI317" s="4665"/>
      <c r="AJ317" s="4665"/>
      <c r="AK317" s="4665"/>
    </row>
    <row r="318" spans="1:37">
      <c r="A318" s="4665"/>
      <c r="B318" s="4665"/>
      <c r="C318" s="4665"/>
      <c r="D318" s="4665"/>
      <c r="E318" s="4665"/>
      <c r="F318" s="4665"/>
      <c r="G318" s="4665"/>
      <c r="H318" s="4665"/>
      <c r="I318" s="4665"/>
      <c r="J318" s="4665"/>
      <c r="K318" s="4665"/>
      <c r="L318" s="4665"/>
      <c r="M318" s="4665"/>
      <c r="N318" s="4665"/>
      <c r="O318" s="4665"/>
      <c r="P318" s="4665"/>
      <c r="Q318" s="4665"/>
      <c r="R318" s="4665"/>
      <c r="S318" s="4665"/>
      <c r="T318" s="4665"/>
      <c r="U318" s="4665"/>
      <c r="V318" s="4665"/>
      <c r="W318" s="4665"/>
      <c r="X318" s="4665"/>
      <c r="Y318" s="4665"/>
      <c r="Z318" s="4665"/>
      <c r="AA318" s="4665"/>
      <c r="AB318" s="4665"/>
      <c r="AC318" s="4665"/>
      <c r="AD318" s="4665"/>
      <c r="AE318" s="4665"/>
      <c r="AF318" s="4665"/>
      <c r="AG318" s="4665"/>
      <c r="AH318" s="4665"/>
      <c r="AI318" s="4665"/>
      <c r="AJ318" s="4665"/>
      <c r="AK318" s="4665"/>
    </row>
    <row r="319" spans="1:37">
      <c r="A319" s="4665"/>
      <c r="B319" s="4665"/>
      <c r="C319" s="4665"/>
      <c r="D319" s="4665"/>
      <c r="E319" s="4665"/>
      <c r="F319" s="4665"/>
      <c r="G319" s="4665"/>
      <c r="H319" s="4665"/>
      <c r="I319" s="4665"/>
      <c r="J319" s="4665"/>
      <c r="K319" s="4665"/>
      <c r="L319" s="4665"/>
      <c r="M319" s="4665"/>
      <c r="N319" s="4665"/>
      <c r="O319" s="4665"/>
      <c r="P319" s="4665"/>
      <c r="Q319" s="4665"/>
      <c r="R319" s="4665"/>
      <c r="S319" s="4665"/>
      <c r="T319" s="4665"/>
      <c r="U319" s="4665"/>
      <c r="V319" s="4665"/>
      <c r="W319" s="4665"/>
      <c r="X319" s="4665"/>
      <c r="Y319" s="4665"/>
      <c r="Z319" s="4665"/>
      <c r="AA319" s="4665"/>
      <c r="AB319" s="4665"/>
      <c r="AC319" s="4665"/>
      <c r="AD319" s="4665"/>
      <c r="AE319" s="4665"/>
      <c r="AF319" s="4665"/>
      <c r="AG319" s="4665"/>
      <c r="AH319" s="4665"/>
      <c r="AI319" s="4665"/>
      <c r="AJ319" s="4665"/>
      <c r="AK319" s="4665"/>
    </row>
    <row r="320" spans="1:37">
      <c r="A320" s="4665"/>
      <c r="B320" s="4665"/>
      <c r="C320" s="4665"/>
      <c r="D320" s="4665"/>
      <c r="E320" s="4665"/>
      <c r="F320" s="4665"/>
      <c r="G320" s="4665"/>
      <c r="H320" s="4665"/>
      <c r="I320" s="4665"/>
      <c r="J320" s="4665"/>
      <c r="K320" s="4665"/>
      <c r="L320" s="4665"/>
      <c r="M320" s="4665"/>
      <c r="N320" s="4665"/>
      <c r="O320" s="4665"/>
      <c r="P320" s="4665"/>
      <c r="Q320" s="4665"/>
      <c r="R320" s="4665"/>
      <c r="S320" s="4665"/>
      <c r="T320" s="4665"/>
      <c r="U320" s="4665"/>
      <c r="V320" s="4665"/>
      <c r="W320" s="4665"/>
      <c r="X320" s="4665"/>
      <c r="Y320" s="4665"/>
      <c r="Z320" s="4665"/>
      <c r="AA320" s="4665"/>
      <c r="AB320" s="4665"/>
      <c r="AC320" s="4665"/>
      <c r="AD320" s="4665"/>
      <c r="AE320" s="4665"/>
      <c r="AF320" s="4665"/>
      <c r="AG320" s="4665"/>
      <c r="AH320" s="4665"/>
      <c r="AI320" s="4665"/>
      <c r="AJ320" s="4665"/>
      <c r="AK320" s="4665"/>
    </row>
    <row r="321" spans="1:37">
      <c r="A321" s="4665"/>
      <c r="B321" s="4665"/>
      <c r="C321" s="4665"/>
      <c r="D321" s="4665"/>
      <c r="E321" s="4665"/>
      <c r="F321" s="4665"/>
      <c r="G321" s="4665"/>
      <c r="H321" s="4665"/>
      <c r="I321" s="4665"/>
      <c r="J321" s="4665"/>
      <c r="K321" s="4665"/>
      <c r="L321" s="4665"/>
      <c r="M321" s="4665"/>
      <c r="N321" s="4665"/>
      <c r="O321" s="4665"/>
      <c r="P321" s="4665"/>
      <c r="Q321" s="4665"/>
      <c r="R321" s="4665"/>
      <c r="S321" s="4665"/>
      <c r="T321" s="4665"/>
      <c r="U321" s="4665"/>
      <c r="V321" s="4665"/>
      <c r="W321" s="4665"/>
      <c r="X321" s="4665"/>
      <c r="Y321" s="4665"/>
      <c r="Z321" s="4665"/>
      <c r="AA321" s="4665"/>
      <c r="AB321" s="4665"/>
      <c r="AC321" s="4665"/>
      <c r="AD321" s="4665"/>
      <c r="AE321" s="4665"/>
      <c r="AF321" s="4665"/>
      <c r="AG321" s="4665"/>
      <c r="AH321" s="4665"/>
      <c r="AI321" s="4665"/>
      <c r="AJ321" s="4665"/>
      <c r="AK321" s="4665"/>
    </row>
    <row r="322" spans="1:37">
      <c r="A322" s="4665"/>
      <c r="B322" s="4665"/>
      <c r="C322" s="4665"/>
      <c r="D322" s="4665"/>
      <c r="E322" s="4665"/>
      <c r="F322" s="4665"/>
      <c r="G322" s="4665"/>
      <c r="H322" s="4665"/>
      <c r="I322" s="4665"/>
      <c r="J322" s="4665"/>
      <c r="K322" s="4665"/>
      <c r="L322" s="4665"/>
      <c r="M322" s="4665"/>
      <c r="N322" s="4665"/>
      <c r="O322" s="4665"/>
      <c r="P322" s="4665"/>
      <c r="Q322" s="4665"/>
      <c r="R322" s="4665"/>
      <c r="S322" s="4665"/>
      <c r="T322" s="4665"/>
      <c r="U322" s="4665"/>
      <c r="V322" s="4665"/>
      <c r="W322" s="4665"/>
      <c r="X322" s="4665"/>
      <c r="Y322" s="4665"/>
      <c r="Z322" s="4665"/>
      <c r="AA322" s="4665"/>
      <c r="AB322" s="4665"/>
      <c r="AC322" s="4665"/>
      <c r="AD322" s="4665"/>
      <c r="AE322" s="4665"/>
      <c r="AF322" s="4665"/>
      <c r="AG322" s="4665"/>
      <c r="AH322" s="4665"/>
      <c r="AI322" s="4665"/>
      <c r="AJ322" s="4665"/>
      <c r="AK322" s="4665"/>
    </row>
    <row r="323" spans="1:37">
      <c r="A323" s="4665"/>
      <c r="B323" s="4665"/>
      <c r="C323" s="4665"/>
      <c r="D323" s="4665"/>
      <c r="E323" s="4665"/>
      <c r="F323" s="4665"/>
      <c r="G323" s="4665"/>
      <c r="H323" s="4665"/>
      <c r="I323" s="4665"/>
      <c r="J323" s="4665"/>
      <c r="K323" s="4665"/>
      <c r="L323" s="4665"/>
      <c r="M323" s="4665"/>
      <c r="N323" s="4665"/>
      <c r="O323" s="4665"/>
      <c r="P323" s="4665"/>
      <c r="Q323" s="4665"/>
      <c r="R323" s="4665"/>
      <c r="S323" s="4665"/>
      <c r="T323" s="4665"/>
      <c r="U323" s="4665"/>
      <c r="V323" s="4665"/>
      <c r="W323" s="4665"/>
      <c r="X323" s="4665"/>
      <c r="Y323" s="4665"/>
      <c r="Z323" s="4665"/>
      <c r="AA323" s="4665"/>
      <c r="AB323" s="4665"/>
      <c r="AC323" s="4665"/>
      <c r="AD323" s="4665"/>
      <c r="AE323" s="4665"/>
      <c r="AF323" s="4665"/>
      <c r="AG323" s="4665"/>
      <c r="AH323" s="4665"/>
      <c r="AI323" s="4665"/>
      <c r="AJ323" s="4665"/>
      <c r="AK323" s="4665"/>
    </row>
    <row r="324" spans="1:37">
      <c r="A324" s="4665"/>
      <c r="B324" s="4665"/>
      <c r="C324" s="4665"/>
      <c r="D324" s="4665"/>
      <c r="E324" s="4665"/>
      <c r="F324" s="4665"/>
      <c r="G324" s="4665"/>
      <c r="H324" s="4665"/>
      <c r="I324" s="4665"/>
      <c r="J324" s="4665"/>
      <c r="K324" s="4665"/>
      <c r="L324" s="4665"/>
      <c r="M324" s="4665"/>
      <c r="N324" s="4665"/>
      <c r="O324" s="4665"/>
      <c r="P324" s="4665"/>
      <c r="Q324" s="4665"/>
      <c r="R324" s="4665"/>
      <c r="S324" s="4665"/>
      <c r="T324" s="4665"/>
      <c r="U324" s="4665"/>
      <c r="V324" s="4665"/>
      <c r="W324" s="4665"/>
      <c r="X324" s="4665"/>
      <c r="Y324" s="4665"/>
      <c r="Z324" s="4665"/>
      <c r="AA324" s="4665"/>
      <c r="AB324" s="4665"/>
      <c r="AC324" s="4665"/>
      <c r="AD324" s="4665"/>
      <c r="AE324" s="4665"/>
      <c r="AF324" s="4665"/>
      <c r="AG324" s="4665"/>
      <c r="AH324" s="4665"/>
      <c r="AI324" s="4665"/>
      <c r="AJ324" s="4665"/>
      <c r="AK324" s="4665"/>
    </row>
    <row r="325" spans="1:37">
      <c r="A325" s="4665"/>
      <c r="B325" s="4665"/>
      <c r="C325" s="4665"/>
      <c r="D325" s="4665"/>
      <c r="E325" s="4665"/>
      <c r="F325" s="4665"/>
      <c r="G325" s="4665"/>
      <c r="H325" s="4665"/>
      <c r="I325" s="4665"/>
      <c r="J325" s="4665"/>
      <c r="K325" s="4665"/>
      <c r="L325" s="4665"/>
      <c r="M325" s="4665"/>
      <c r="N325" s="4665"/>
      <c r="O325" s="4665"/>
      <c r="P325" s="4665"/>
      <c r="Q325" s="4665"/>
      <c r="R325" s="4665"/>
      <c r="S325" s="4665"/>
      <c r="T325" s="4665"/>
      <c r="U325" s="4665"/>
      <c r="V325" s="4665"/>
      <c r="W325" s="4665"/>
      <c r="X325" s="4665"/>
      <c r="Y325" s="4665"/>
      <c r="Z325" s="4665"/>
      <c r="AA325" s="4665"/>
      <c r="AB325" s="4665"/>
      <c r="AC325" s="4665"/>
      <c r="AD325" s="4665"/>
      <c r="AE325" s="4665"/>
      <c r="AF325" s="4665"/>
      <c r="AG325" s="4665"/>
      <c r="AH325" s="4665"/>
      <c r="AI325" s="4665"/>
      <c r="AJ325" s="4665"/>
      <c r="AK325" s="4665"/>
    </row>
    <row r="326" spans="1:37">
      <c r="A326" s="4665"/>
      <c r="B326" s="4665"/>
      <c r="C326" s="4665"/>
      <c r="D326" s="4665"/>
      <c r="E326" s="4665"/>
      <c r="F326" s="4665"/>
      <c r="G326" s="4665"/>
      <c r="H326" s="4665"/>
      <c r="I326" s="4665"/>
      <c r="J326" s="4665"/>
      <c r="K326" s="4665"/>
      <c r="L326" s="4665"/>
      <c r="M326" s="4665"/>
      <c r="N326" s="4665"/>
      <c r="O326" s="4665"/>
      <c r="P326" s="4665"/>
      <c r="Q326" s="4665"/>
      <c r="R326" s="4665"/>
      <c r="S326" s="4665"/>
      <c r="T326" s="4665"/>
      <c r="U326" s="4665"/>
      <c r="V326" s="4665"/>
      <c r="W326" s="4665"/>
      <c r="X326" s="4665"/>
      <c r="Y326" s="4665"/>
      <c r="Z326" s="4665"/>
      <c r="AA326" s="4665"/>
      <c r="AB326" s="4665"/>
      <c r="AC326" s="4665"/>
      <c r="AD326" s="4665"/>
      <c r="AE326" s="4665"/>
      <c r="AF326" s="4665"/>
      <c r="AG326" s="4665"/>
      <c r="AH326" s="4665"/>
      <c r="AI326" s="4665"/>
      <c r="AJ326" s="4665"/>
      <c r="AK326" s="4665"/>
    </row>
    <row r="327" spans="1:37">
      <c r="A327" s="4665"/>
      <c r="B327" s="4665"/>
      <c r="C327" s="4665"/>
      <c r="D327" s="4665"/>
      <c r="E327" s="4665"/>
      <c r="F327" s="4665"/>
      <c r="G327" s="4665"/>
      <c r="H327" s="4665"/>
      <c r="I327" s="4665"/>
      <c r="J327" s="4665"/>
      <c r="K327" s="4665"/>
      <c r="L327" s="4665"/>
      <c r="M327" s="4665"/>
      <c r="N327" s="4665"/>
      <c r="O327" s="4665"/>
      <c r="P327" s="4665"/>
      <c r="Q327" s="4665"/>
      <c r="R327" s="4665"/>
      <c r="S327" s="4665"/>
      <c r="T327" s="4665"/>
      <c r="U327" s="4665"/>
      <c r="V327" s="4665"/>
      <c r="W327" s="4665"/>
      <c r="X327" s="4665"/>
      <c r="Y327" s="4665"/>
      <c r="Z327" s="4665"/>
      <c r="AA327" s="4665"/>
      <c r="AB327" s="4665"/>
      <c r="AC327" s="4665"/>
      <c r="AD327" s="4665"/>
      <c r="AE327" s="4665"/>
      <c r="AF327" s="4665"/>
      <c r="AG327" s="4665"/>
      <c r="AH327" s="4665"/>
      <c r="AI327" s="4665"/>
      <c r="AJ327" s="4665"/>
      <c r="AK327" s="4665"/>
    </row>
    <row r="328" spans="1:37">
      <c r="A328" s="4665"/>
      <c r="B328" s="4665"/>
      <c r="C328" s="4665"/>
      <c r="D328" s="4665"/>
      <c r="E328" s="4665"/>
      <c r="F328" s="4665"/>
      <c r="G328" s="4665"/>
      <c r="H328" s="4665"/>
      <c r="I328" s="4665"/>
      <c r="J328" s="4665"/>
      <c r="K328" s="4665"/>
      <c r="L328" s="4665"/>
      <c r="M328" s="4665"/>
      <c r="N328" s="4665"/>
      <c r="O328" s="4665"/>
      <c r="P328" s="4665"/>
      <c r="Q328" s="4665"/>
      <c r="R328" s="4665"/>
      <c r="S328" s="4665"/>
      <c r="T328" s="4665"/>
      <c r="U328" s="4665"/>
      <c r="V328" s="4665"/>
      <c r="W328" s="4665"/>
      <c r="X328" s="4665"/>
      <c r="Y328" s="4665"/>
      <c r="Z328" s="4665"/>
      <c r="AA328" s="4665"/>
      <c r="AB328" s="4665"/>
      <c r="AC328" s="4665"/>
      <c r="AD328" s="4665"/>
      <c r="AE328" s="4665"/>
      <c r="AF328" s="4665"/>
      <c r="AG328" s="4665"/>
      <c r="AH328" s="4665"/>
      <c r="AI328" s="4665"/>
      <c r="AJ328" s="4665"/>
      <c r="AK328" s="4665"/>
    </row>
    <row r="329" spans="1:37">
      <c r="A329" s="4665"/>
      <c r="B329" s="4665"/>
      <c r="C329" s="4665"/>
      <c r="D329" s="4665"/>
      <c r="E329" s="4665"/>
      <c r="F329" s="4665"/>
      <c r="G329" s="4665"/>
      <c r="H329" s="4665"/>
      <c r="I329" s="4665"/>
      <c r="J329" s="4665"/>
      <c r="K329" s="4665"/>
      <c r="L329" s="4665"/>
      <c r="M329" s="4665"/>
      <c r="N329" s="4665"/>
      <c r="O329" s="4665"/>
      <c r="P329" s="4665"/>
      <c r="Q329" s="4665"/>
      <c r="R329" s="4665"/>
      <c r="S329" s="4665"/>
      <c r="T329" s="4665"/>
      <c r="U329" s="4665"/>
      <c r="V329" s="4665"/>
      <c r="W329" s="4665"/>
      <c r="X329" s="4665"/>
      <c r="Y329" s="4665"/>
      <c r="Z329" s="4665"/>
      <c r="AA329" s="4665"/>
      <c r="AB329" s="4665"/>
      <c r="AC329" s="4665"/>
      <c r="AD329" s="4665"/>
      <c r="AE329" s="4665"/>
      <c r="AF329" s="4665"/>
      <c r="AG329" s="4665"/>
      <c r="AH329" s="4665"/>
      <c r="AI329" s="4665"/>
      <c r="AJ329" s="4665"/>
      <c r="AK329" s="4665"/>
    </row>
    <row r="330" spans="1:37">
      <c r="A330" s="4665"/>
      <c r="B330" s="4665"/>
      <c r="C330" s="4665"/>
      <c r="D330" s="4665"/>
      <c r="E330" s="4665"/>
      <c r="F330" s="4665"/>
      <c r="G330" s="4665"/>
      <c r="H330" s="4665"/>
      <c r="I330" s="4665"/>
      <c r="J330" s="4665"/>
      <c r="K330" s="4665"/>
      <c r="L330" s="4665"/>
      <c r="M330" s="4665"/>
      <c r="N330" s="4665"/>
      <c r="O330" s="4665"/>
      <c r="P330" s="4665"/>
      <c r="Q330" s="4665"/>
      <c r="R330" s="4665"/>
      <c r="S330" s="4665"/>
      <c r="T330" s="4665"/>
      <c r="U330" s="4665"/>
      <c r="V330" s="4665"/>
      <c r="W330" s="4665"/>
      <c r="X330" s="4665"/>
      <c r="Y330" s="4665"/>
      <c r="Z330" s="4665"/>
      <c r="AA330" s="4665"/>
      <c r="AB330" s="4665"/>
      <c r="AC330" s="4665"/>
      <c r="AD330" s="4665"/>
      <c r="AE330" s="4665"/>
      <c r="AF330" s="4665"/>
      <c r="AG330" s="4665"/>
      <c r="AH330" s="4665"/>
      <c r="AI330" s="4665"/>
      <c r="AJ330" s="4665"/>
      <c r="AK330" s="4665"/>
    </row>
    <row r="331" spans="1:37">
      <c r="A331" s="4665"/>
      <c r="B331" s="4665"/>
      <c r="C331" s="4665"/>
      <c r="D331" s="4665"/>
      <c r="E331" s="4665"/>
      <c r="F331" s="4665"/>
      <c r="G331" s="4665"/>
      <c r="H331" s="4665"/>
      <c r="I331" s="4665"/>
      <c r="J331" s="4665"/>
      <c r="K331" s="4665"/>
      <c r="L331" s="4665"/>
      <c r="M331" s="4665"/>
      <c r="N331" s="4665"/>
      <c r="O331" s="4665"/>
      <c r="P331" s="4665"/>
      <c r="Q331" s="4665"/>
      <c r="R331" s="4665"/>
      <c r="S331" s="4665"/>
      <c r="T331" s="4665"/>
      <c r="U331" s="4665"/>
      <c r="V331" s="4665"/>
      <c r="W331" s="4665"/>
      <c r="X331" s="4665"/>
      <c r="Y331" s="4665"/>
      <c r="Z331" s="4665"/>
      <c r="AA331" s="4665"/>
      <c r="AB331" s="4665"/>
      <c r="AC331" s="4665"/>
      <c r="AD331" s="4665"/>
      <c r="AE331" s="4665"/>
      <c r="AF331" s="4665"/>
      <c r="AG331" s="4665"/>
      <c r="AH331" s="4665"/>
      <c r="AI331" s="4665"/>
      <c r="AJ331" s="4665"/>
      <c r="AK331" s="4665"/>
    </row>
    <row r="332" spans="1:37">
      <c r="A332" s="4665"/>
      <c r="B332" s="4665"/>
      <c r="C332" s="4665"/>
      <c r="D332" s="4665"/>
      <c r="E332" s="4665"/>
      <c r="F332" s="4665"/>
      <c r="G332" s="4665"/>
      <c r="H332" s="4665"/>
      <c r="I332" s="4665"/>
      <c r="J332" s="4665"/>
      <c r="K332" s="4665"/>
      <c r="L332" s="4665"/>
      <c r="M332" s="4665"/>
      <c r="N332" s="4665"/>
      <c r="O332" s="4665"/>
      <c r="P332" s="4665"/>
      <c r="Q332" s="4665"/>
      <c r="R332" s="4665"/>
      <c r="S332" s="4665"/>
      <c r="T332" s="4665"/>
      <c r="U332" s="4665"/>
      <c r="V332" s="4665"/>
      <c r="W332" s="4665"/>
      <c r="X332" s="4665"/>
      <c r="Y332" s="4665"/>
      <c r="Z332" s="4665"/>
      <c r="AA332" s="4665"/>
      <c r="AB332" s="4665"/>
      <c r="AC332" s="4665"/>
      <c r="AD332" s="4665"/>
      <c r="AE332" s="4665"/>
      <c r="AF332" s="4665"/>
      <c r="AG332" s="4665"/>
      <c r="AH332" s="4665"/>
      <c r="AI332" s="4665"/>
      <c r="AJ332" s="4665"/>
      <c r="AK332" s="4665"/>
    </row>
    <row r="333" spans="1:37">
      <c r="A333" s="4665"/>
      <c r="B333" s="4665"/>
      <c r="C333" s="4665"/>
      <c r="D333" s="4665"/>
      <c r="E333" s="4665"/>
      <c r="F333" s="4665"/>
      <c r="G333" s="4665"/>
      <c r="H333" s="4665"/>
      <c r="I333" s="4665"/>
      <c r="J333" s="4665"/>
      <c r="K333" s="4665"/>
      <c r="L333" s="4665"/>
      <c r="M333" s="4665"/>
      <c r="N333" s="4665"/>
      <c r="O333" s="4665"/>
      <c r="P333" s="4665"/>
      <c r="Q333" s="4665"/>
      <c r="R333" s="4665"/>
      <c r="S333" s="4665"/>
      <c r="T333" s="4665"/>
      <c r="U333" s="4665"/>
      <c r="V333" s="4665"/>
      <c r="W333" s="4665"/>
      <c r="X333" s="4665"/>
      <c r="Y333" s="4665"/>
      <c r="Z333" s="4665"/>
      <c r="AA333" s="4665"/>
      <c r="AB333" s="4665"/>
      <c r="AC333" s="4665"/>
      <c r="AD333" s="4665"/>
      <c r="AE333" s="4665"/>
      <c r="AF333" s="4665"/>
      <c r="AG333" s="4665"/>
      <c r="AH333" s="4665"/>
      <c r="AI333" s="4665"/>
      <c r="AJ333" s="4665"/>
      <c r="AK333" s="4665"/>
    </row>
    <row r="334" spans="1:37">
      <c r="A334" s="4665"/>
      <c r="B334" s="4665"/>
      <c r="C334" s="4665"/>
      <c r="D334" s="4665"/>
      <c r="E334" s="4665"/>
      <c r="F334" s="4665"/>
      <c r="G334" s="4665"/>
      <c r="H334" s="4665"/>
      <c r="I334" s="4665"/>
      <c r="J334" s="4665"/>
      <c r="K334" s="4665"/>
      <c r="L334" s="4665"/>
      <c r="M334" s="4665"/>
      <c r="N334" s="4665"/>
      <c r="O334" s="4665"/>
      <c r="P334" s="4665"/>
      <c r="Q334" s="4665"/>
      <c r="R334" s="4665"/>
      <c r="S334" s="4665"/>
      <c r="T334" s="4665"/>
      <c r="U334" s="4665"/>
      <c r="V334" s="4665"/>
      <c r="W334" s="4665"/>
      <c r="X334" s="4665"/>
      <c r="Y334" s="4665"/>
      <c r="Z334" s="4665"/>
      <c r="AA334" s="4665"/>
      <c r="AB334" s="4665"/>
      <c r="AC334" s="4665"/>
      <c r="AD334" s="4665"/>
      <c r="AE334" s="4665"/>
      <c r="AF334" s="4665"/>
      <c r="AG334" s="4665"/>
      <c r="AH334" s="4665"/>
      <c r="AI334" s="4665"/>
      <c r="AJ334" s="4665"/>
      <c r="AK334" s="4665"/>
    </row>
    <row r="335" spans="1:37">
      <c r="A335" s="4665"/>
      <c r="B335" s="4665"/>
      <c r="C335" s="4665"/>
      <c r="D335" s="4665"/>
      <c r="E335" s="4665"/>
      <c r="F335" s="4665"/>
      <c r="G335" s="4665"/>
      <c r="H335" s="4665"/>
      <c r="I335" s="4665"/>
      <c r="J335" s="4665"/>
      <c r="K335" s="4665"/>
      <c r="L335" s="4665"/>
      <c r="M335" s="4665"/>
      <c r="N335" s="4665"/>
      <c r="O335" s="4665"/>
      <c r="P335" s="4665"/>
      <c r="Q335" s="4665"/>
      <c r="R335" s="4665"/>
      <c r="S335" s="4665"/>
      <c r="T335" s="4665"/>
      <c r="U335" s="4665"/>
      <c r="V335" s="4665"/>
      <c r="W335" s="4665"/>
      <c r="X335" s="4665"/>
      <c r="Y335" s="4665"/>
      <c r="Z335" s="4665"/>
      <c r="AA335" s="4665"/>
      <c r="AB335" s="4665"/>
      <c r="AC335" s="4665"/>
      <c r="AD335" s="4665"/>
      <c r="AE335" s="4665"/>
      <c r="AF335" s="4665"/>
      <c r="AG335" s="4665"/>
      <c r="AH335" s="4665"/>
      <c r="AI335" s="4665"/>
      <c r="AJ335" s="4665"/>
      <c r="AK335" s="4665"/>
    </row>
    <row r="336" spans="1:37">
      <c r="A336" s="4665"/>
      <c r="B336" s="4665"/>
      <c r="C336" s="4665"/>
      <c r="D336" s="4665"/>
      <c r="E336" s="4665"/>
      <c r="F336" s="4665"/>
      <c r="G336" s="4665"/>
      <c r="H336" s="4665"/>
      <c r="I336" s="4665"/>
      <c r="J336" s="4665"/>
      <c r="K336" s="4665"/>
      <c r="L336" s="4665"/>
      <c r="M336" s="4665"/>
      <c r="N336" s="4665"/>
      <c r="O336" s="4665"/>
      <c r="P336" s="4665"/>
      <c r="Q336" s="4665"/>
      <c r="R336" s="4665"/>
      <c r="S336" s="4665"/>
      <c r="T336" s="4665"/>
      <c r="U336" s="4665"/>
      <c r="V336" s="4665"/>
      <c r="W336" s="4665"/>
      <c r="X336" s="4665"/>
      <c r="Y336" s="4665"/>
      <c r="Z336" s="4665"/>
      <c r="AA336" s="4665"/>
      <c r="AB336" s="4665"/>
      <c r="AC336" s="4665"/>
      <c r="AD336" s="4665"/>
      <c r="AE336" s="4665"/>
      <c r="AF336" s="4665"/>
      <c r="AG336" s="4665"/>
      <c r="AH336" s="4665"/>
      <c r="AI336" s="4665"/>
      <c r="AJ336" s="4665"/>
      <c r="AK336" s="4665"/>
    </row>
    <row r="337" spans="1:37">
      <c r="A337" s="4665"/>
      <c r="B337" s="4665"/>
      <c r="C337" s="4665"/>
      <c r="D337" s="4665"/>
      <c r="E337" s="4665"/>
      <c r="F337" s="4665"/>
      <c r="G337" s="4665"/>
      <c r="H337" s="4665"/>
      <c r="I337" s="4665"/>
      <c r="J337" s="4665"/>
      <c r="K337" s="4665"/>
      <c r="L337" s="4665"/>
      <c r="M337" s="4665"/>
      <c r="N337" s="4665"/>
      <c r="O337" s="4665"/>
      <c r="P337" s="4665"/>
      <c r="Q337" s="4665"/>
      <c r="R337" s="4665"/>
      <c r="S337" s="4665"/>
      <c r="T337" s="4665"/>
      <c r="U337" s="4665"/>
      <c r="V337" s="4665"/>
      <c r="W337" s="4665"/>
      <c r="X337" s="4665"/>
      <c r="Y337" s="4665"/>
      <c r="Z337" s="4665"/>
      <c r="AA337" s="4665"/>
      <c r="AB337" s="4665"/>
      <c r="AC337" s="4665"/>
      <c r="AD337" s="4665"/>
      <c r="AE337" s="4665"/>
      <c r="AF337" s="4665"/>
      <c r="AG337" s="4665"/>
      <c r="AH337" s="4665"/>
      <c r="AI337" s="4665"/>
      <c r="AJ337" s="4665"/>
      <c r="AK337" s="4665"/>
    </row>
    <row r="338" spans="1:37">
      <c r="A338" s="4665"/>
      <c r="B338" s="4665"/>
      <c r="C338" s="4665"/>
      <c r="D338" s="4665"/>
      <c r="E338" s="4665"/>
      <c r="F338" s="4665"/>
      <c r="G338" s="4665"/>
      <c r="H338" s="4665"/>
      <c r="I338" s="4665"/>
      <c r="J338" s="4665"/>
      <c r="K338" s="4665"/>
      <c r="L338" s="4665"/>
      <c r="M338" s="4665"/>
      <c r="N338" s="4665"/>
      <c r="O338" s="4665"/>
      <c r="P338" s="4665"/>
      <c r="Q338" s="4665"/>
      <c r="R338" s="4665"/>
      <c r="S338" s="4665"/>
      <c r="T338" s="4665"/>
      <c r="U338" s="4665"/>
      <c r="V338" s="4665"/>
      <c r="W338" s="4665"/>
      <c r="X338" s="4665"/>
      <c r="Y338" s="4665"/>
      <c r="Z338" s="4665"/>
      <c r="AA338" s="4665"/>
      <c r="AB338" s="4665"/>
      <c r="AC338" s="4665"/>
      <c r="AD338" s="4665"/>
      <c r="AE338" s="4665"/>
      <c r="AF338" s="4665"/>
      <c r="AG338" s="4665"/>
      <c r="AH338" s="4665"/>
      <c r="AI338" s="4665"/>
      <c r="AJ338" s="4665"/>
      <c r="AK338" s="4665"/>
    </row>
    <row r="339" spans="1:37">
      <c r="A339" s="4665"/>
      <c r="B339" s="4665"/>
      <c r="C339" s="4665"/>
      <c r="D339" s="4665"/>
      <c r="E339" s="4665"/>
      <c r="F339" s="4665"/>
      <c r="G339" s="4665"/>
      <c r="H339" s="4665"/>
      <c r="I339" s="4665"/>
      <c r="J339" s="4665"/>
      <c r="K339" s="4665"/>
      <c r="L339" s="4665"/>
      <c r="M339" s="4665"/>
      <c r="N339" s="4665"/>
      <c r="O339" s="4665"/>
      <c r="P339" s="4665"/>
      <c r="Q339" s="4665"/>
      <c r="R339" s="4665"/>
      <c r="S339" s="4665"/>
      <c r="T339" s="4665"/>
      <c r="U339" s="4665"/>
      <c r="V339" s="4665"/>
      <c r="W339" s="4665"/>
      <c r="X339" s="4665"/>
      <c r="Y339" s="4665"/>
      <c r="Z339" s="4665"/>
      <c r="AA339" s="4665"/>
      <c r="AB339" s="4665"/>
      <c r="AC339" s="4665"/>
      <c r="AD339" s="4665"/>
      <c r="AE339" s="4665"/>
      <c r="AF339" s="4665"/>
      <c r="AG339" s="4665"/>
      <c r="AH339" s="4665"/>
      <c r="AI339" s="4665"/>
      <c r="AJ339" s="4665"/>
      <c r="AK339" s="4665"/>
    </row>
    <row r="340" spans="1:37">
      <c r="A340" s="4665"/>
      <c r="B340" s="4665"/>
      <c r="C340" s="4665"/>
      <c r="D340" s="4665"/>
      <c r="E340" s="4665"/>
      <c r="F340" s="4665"/>
      <c r="G340" s="4665"/>
      <c r="H340" s="4665"/>
      <c r="I340" s="4665"/>
      <c r="J340" s="4665"/>
      <c r="K340" s="4665"/>
      <c r="L340" s="4665"/>
      <c r="M340" s="4665"/>
      <c r="N340" s="4665"/>
      <c r="O340" s="4665"/>
      <c r="P340" s="4665"/>
      <c r="Q340" s="4665"/>
      <c r="R340" s="4665"/>
      <c r="S340" s="4665"/>
      <c r="T340" s="4665"/>
      <c r="U340" s="4665"/>
      <c r="V340" s="4665"/>
      <c r="W340" s="4665"/>
      <c r="X340" s="4665"/>
      <c r="Y340" s="4665"/>
      <c r="Z340" s="4665"/>
      <c r="AA340" s="4665"/>
      <c r="AB340" s="4665"/>
      <c r="AC340" s="4665"/>
      <c r="AD340" s="4665"/>
      <c r="AE340" s="4665"/>
      <c r="AF340" s="4665"/>
      <c r="AG340" s="4665"/>
      <c r="AH340" s="4665"/>
      <c r="AI340" s="4665"/>
      <c r="AJ340" s="4665"/>
      <c r="AK340" s="4665"/>
    </row>
    <row r="341" spans="1:37">
      <c r="A341" s="4665"/>
      <c r="B341" s="4665"/>
      <c r="C341" s="4665"/>
      <c r="D341" s="4665"/>
      <c r="E341" s="4665"/>
      <c r="F341" s="4665"/>
      <c r="G341" s="4665"/>
      <c r="H341" s="4665"/>
      <c r="I341" s="4665"/>
      <c r="J341" s="4665"/>
      <c r="K341" s="4665"/>
      <c r="L341" s="4665"/>
      <c r="M341" s="4665"/>
      <c r="N341" s="4665"/>
      <c r="O341" s="4665"/>
      <c r="P341" s="4665"/>
      <c r="Q341" s="4665"/>
      <c r="R341" s="4665"/>
      <c r="S341" s="4665"/>
      <c r="T341" s="4665"/>
      <c r="U341" s="4665"/>
      <c r="V341" s="4665"/>
      <c r="W341" s="4665"/>
      <c r="X341" s="4665"/>
      <c r="Y341" s="4665"/>
      <c r="Z341" s="4665"/>
      <c r="AA341" s="4665"/>
      <c r="AB341" s="4665"/>
      <c r="AC341" s="4665"/>
      <c r="AD341" s="4665"/>
      <c r="AE341" s="4665"/>
      <c r="AF341" s="4665"/>
      <c r="AG341" s="4665"/>
      <c r="AH341" s="4665"/>
      <c r="AI341" s="4665"/>
      <c r="AJ341" s="4665"/>
      <c r="AK341" s="4665"/>
    </row>
    <row r="342" spans="1:37">
      <c r="A342" s="4665"/>
      <c r="B342" s="4665"/>
      <c r="C342" s="4665"/>
      <c r="D342" s="4665"/>
      <c r="E342" s="4665"/>
      <c r="F342" s="4665"/>
      <c r="G342" s="4665"/>
      <c r="H342" s="4665"/>
      <c r="I342" s="4665"/>
      <c r="J342" s="4665"/>
      <c r="K342" s="4665"/>
      <c r="L342" s="4665"/>
      <c r="M342" s="4665"/>
      <c r="N342" s="4665"/>
      <c r="O342" s="4665"/>
      <c r="P342" s="4665"/>
      <c r="Q342" s="4665"/>
      <c r="R342" s="4665"/>
      <c r="S342" s="4665"/>
      <c r="T342" s="4665"/>
      <c r="U342" s="4665"/>
      <c r="V342" s="4665"/>
      <c r="W342" s="4665"/>
      <c r="X342" s="4665"/>
      <c r="Y342" s="4665"/>
      <c r="Z342" s="4665"/>
      <c r="AA342" s="4665"/>
      <c r="AB342" s="4665"/>
      <c r="AC342" s="4665"/>
      <c r="AD342" s="4665"/>
      <c r="AE342" s="4665"/>
      <c r="AF342" s="4665"/>
      <c r="AG342" s="4665"/>
      <c r="AH342" s="4665"/>
      <c r="AI342" s="4665"/>
      <c r="AJ342" s="4665"/>
      <c r="AK342" s="4665"/>
    </row>
    <row r="343" spans="1:37">
      <c r="A343" s="4665"/>
      <c r="B343" s="4665"/>
      <c r="C343" s="4665"/>
      <c r="D343" s="4665"/>
      <c r="E343" s="4665"/>
      <c r="F343" s="4665"/>
      <c r="G343" s="4665"/>
      <c r="H343" s="4665"/>
      <c r="I343" s="4665"/>
      <c r="J343" s="4665"/>
      <c r="K343" s="4665"/>
      <c r="L343" s="4665"/>
      <c r="M343" s="4665"/>
      <c r="N343" s="4665"/>
      <c r="O343" s="4665"/>
      <c r="P343" s="4665"/>
      <c r="Q343" s="4665"/>
      <c r="R343" s="4665"/>
      <c r="S343" s="4665"/>
      <c r="T343" s="4665"/>
      <c r="U343" s="4665"/>
      <c r="V343" s="4665"/>
      <c r="W343" s="4665"/>
      <c r="X343" s="4665"/>
      <c r="Y343" s="4665"/>
      <c r="Z343" s="4665"/>
      <c r="AA343" s="4665"/>
      <c r="AB343" s="4665"/>
      <c r="AC343" s="4665"/>
      <c r="AD343" s="4665"/>
      <c r="AE343" s="4665"/>
      <c r="AF343" s="4665"/>
      <c r="AG343" s="4665"/>
      <c r="AH343" s="4665"/>
      <c r="AI343" s="4665"/>
      <c r="AJ343" s="4665"/>
      <c r="AK343" s="4665"/>
    </row>
    <row r="344" spans="1:37">
      <c r="A344" s="4665"/>
      <c r="B344" s="4665"/>
      <c r="C344" s="4665"/>
      <c r="D344" s="4665"/>
      <c r="E344" s="4665"/>
      <c r="F344" s="4665"/>
      <c r="G344" s="4665"/>
      <c r="H344" s="4665"/>
      <c r="I344" s="4665"/>
      <c r="J344" s="4665"/>
      <c r="K344" s="4665"/>
      <c r="L344" s="4665"/>
      <c r="M344" s="4665"/>
      <c r="N344" s="4665"/>
      <c r="O344" s="4665"/>
      <c r="P344" s="4665"/>
      <c r="Q344" s="4665"/>
      <c r="R344" s="4665"/>
      <c r="S344" s="4665"/>
      <c r="T344" s="4665"/>
      <c r="U344" s="4665"/>
      <c r="V344" s="4665"/>
      <c r="W344" s="4665"/>
      <c r="X344" s="4665"/>
      <c r="Y344" s="4665"/>
      <c r="Z344" s="4665"/>
      <c r="AA344" s="4665"/>
      <c r="AB344" s="4665"/>
      <c r="AC344" s="4665"/>
      <c r="AD344" s="4665"/>
      <c r="AE344" s="4665"/>
      <c r="AF344" s="4665"/>
      <c r="AG344" s="4665"/>
      <c r="AH344" s="4665"/>
      <c r="AI344" s="4665"/>
      <c r="AJ344" s="4665"/>
      <c r="AK344" s="4665"/>
    </row>
    <row r="345" spans="1:37">
      <c r="A345" s="4665"/>
      <c r="B345" s="4665"/>
      <c r="C345" s="4665"/>
      <c r="D345" s="4665"/>
      <c r="E345" s="4665"/>
      <c r="F345" s="4665"/>
      <c r="G345" s="4665"/>
      <c r="H345" s="4665"/>
      <c r="I345" s="4665"/>
      <c r="J345" s="4665"/>
      <c r="K345" s="4665"/>
      <c r="L345" s="4665"/>
      <c r="M345" s="4665"/>
      <c r="N345" s="4665"/>
      <c r="O345" s="4665"/>
      <c r="P345" s="4665"/>
      <c r="Q345" s="4665"/>
      <c r="R345" s="4665"/>
      <c r="S345" s="4665"/>
      <c r="T345" s="4665"/>
      <c r="U345" s="4665"/>
      <c r="V345" s="4665"/>
      <c r="W345" s="4665"/>
      <c r="X345" s="4665"/>
      <c r="Y345" s="4665"/>
      <c r="Z345" s="4665"/>
      <c r="AA345" s="4665"/>
      <c r="AB345" s="4665"/>
      <c r="AC345" s="4665"/>
      <c r="AD345" s="4665"/>
      <c r="AE345" s="4665"/>
      <c r="AF345" s="4665"/>
      <c r="AG345" s="4665"/>
      <c r="AH345" s="4665"/>
      <c r="AI345" s="4665"/>
      <c r="AJ345" s="4665"/>
      <c r="AK345" s="4665"/>
    </row>
    <row r="346" spans="1:37">
      <c r="A346" s="4665"/>
      <c r="B346" s="4665"/>
      <c r="C346" s="4665"/>
      <c r="D346" s="4665"/>
      <c r="E346" s="4665"/>
      <c r="F346" s="4665"/>
      <c r="G346" s="4665"/>
      <c r="H346" s="4665"/>
      <c r="I346" s="4665"/>
      <c r="J346" s="4665"/>
      <c r="K346" s="4665"/>
      <c r="L346" s="4665"/>
      <c r="M346" s="4665"/>
      <c r="N346" s="4665"/>
      <c r="O346" s="4665"/>
      <c r="P346" s="4665"/>
      <c r="Q346" s="4665"/>
      <c r="R346" s="4665"/>
      <c r="S346" s="4665"/>
      <c r="T346" s="4665"/>
      <c r="U346" s="4665"/>
      <c r="V346" s="4665"/>
      <c r="W346" s="4665"/>
      <c r="X346" s="4665"/>
      <c r="Y346" s="4665"/>
      <c r="Z346" s="4665"/>
      <c r="AA346" s="4665"/>
      <c r="AB346" s="4665"/>
      <c r="AC346" s="4665"/>
      <c r="AD346" s="4665"/>
      <c r="AE346" s="4665"/>
      <c r="AF346" s="4665"/>
      <c r="AG346" s="4665"/>
      <c r="AH346" s="4665"/>
      <c r="AI346" s="4665"/>
      <c r="AJ346" s="4665"/>
      <c r="AK346" s="4665"/>
    </row>
    <row r="347" spans="1:37">
      <c r="A347" s="4665"/>
      <c r="B347" s="4665"/>
      <c r="C347" s="4665"/>
      <c r="D347" s="4665"/>
      <c r="E347" s="4665"/>
      <c r="F347" s="4665"/>
      <c r="G347" s="4665"/>
      <c r="H347" s="4665"/>
      <c r="I347" s="4665"/>
      <c r="J347" s="4665"/>
      <c r="K347" s="4665"/>
      <c r="L347" s="4665"/>
      <c r="M347" s="4665"/>
      <c r="N347" s="4665"/>
      <c r="O347" s="4665"/>
      <c r="P347" s="4665"/>
      <c r="Q347" s="4665"/>
      <c r="R347" s="4665"/>
      <c r="S347" s="4665"/>
      <c r="T347" s="4665"/>
      <c r="U347" s="4665"/>
      <c r="V347" s="4665"/>
      <c r="W347" s="4665"/>
      <c r="X347" s="4665"/>
      <c r="Y347" s="4665"/>
      <c r="Z347" s="4665"/>
      <c r="AA347" s="4665"/>
      <c r="AB347" s="4665"/>
      <c r="AC347" s="4665"/>
      <c r="AD347" s="4665"/>
      <c r="AE347" s="4665"/>
      <c r="AF347" s="4665"/>
      <c r="AG347" s="4665"/>
      <c r="AH347" s="4665"/>
      <c r="AI347" s="4665"/>
      <c r="AJ347" s="4665"/>
      <c r="AK347" s="4665"/>
    </row>
    <row r="348" spans="1:37">
      <c r="A348" s="4665"/>
      <c r="B348" s="4665"/>
      <c r="C348" s="4665"/>
      <c r="D348" s="4665"/>
      <c r="E348" s="4665"/>
      <c r="F348" s="4665"/>
      <c r="G348" s="4665"/>
      <c r="H348" s="4665"/>
      <c r="I348" s="4665"/>
      <c r="J348" s="4665"/>
      <c r="K348" s="4665"/>
      <c r="L348" s="4665"/>
      <c r="M348" s="4665"/>
      <c r="N348" s="4665"/>
      <c r="O348" s="4665"/>
      <c r="P348" s="4665"/>
      <c r="Q348" s="4665"/>
      <c r="R348" s="4665"/>
      <c r="S348" s="4665"/>
      <c r="T348" s="4665"/>
      <c r="U348" s="4665"/>
      <c r="V348" s="4665"/>
      <c r="W348" s="4665"/>
      <c r="X348" s="4665"/>
      <c r="Y348" s="4665"/>
      <c r="Z348" s="4665"/>
      <c r="AA348" s="4665"/>
      <c r="AB348" s="4665"/>
      <c r="AC348" s="4665"/>
      <c r="AD348" s="4665"/>
      <c r="AE348" s="4665"/>
      <c r="AF348" s="4665"/>
      <c r="AG348" s="4665"/>
      <c r="AH348" s="4665"/>
      <c r="AI348" s="4665"/>
      <c r="AJ348" s="4665"/>
      <c r="AK348" s="4665"/>
    </row>
    <row r="349" spans="1:37">
      <c r="A349" s="4665"/>
      <c r="B349" s="4665"/>
      <c r="C349" s="4665"/>
      <c r="D349" s="4665"/>
      <c r="E349" s="4665"/>
      <c r="F349" s="4665"/>
      <c r="G349" s="4665"/>
      <c r="H349" s="4665"/>
      <c r="I349" s="4665"/>
      <c r="J349" s="4665"/>
      <c r="K349" s="4665"/>
      <c r="L349" s="4665"/>
      <c r="M349" s="4665"/>
      <c r="N349" s="4665"/>
      <c r="O349" s="4665"/>
      <c r="P349" s="4665"/>
      <c r="Q349" s="4665"/>
      <c r="R349" s="4665"/>
      <c r="S349" s="4665"/>
      <c r="T349" s="4665"/>
      <c r="U349" s="4665"/>
      <c r="V349" s="4665"/>
      <c r="W349" s="4665"/>
      <c r="X349" s="4665"/>
      <c r="Y349" s="4665"/>
      <c r="Z349" s="4665"/>
      <c r="AA349" s="4665"/>
      <c r="AB349" s="4665"/>
      <c r="AC349" s="4665"/>
      <c r="AD349" s="4665"/>
      <c r="AE349" s="4665"/>
      <c r="AF349" s="4665"/>
      <c r="AG349" s="4665"/>
      <c r="AH349" s="4665"/>
      <c r="AI349" s="4665"/>
      <c r="AJ349" s="4665"/>
      <c r="AK349" s="4665"/>
    </row>
    <row r="350" spans="1:37">
      <c r="A350" s="4665"/>
      <c r="B350" s="4665"/>
      <c r="C350" s="4665"/>
      <c r="D350" s="4665"/>
      <c r="E350" s="4665"/>
      <c r="F350" s="4665"/>
      <c r="G350" s="4665"/>
      <c r="H350" s="4665"/>
      <c r="I350" s="4665"/>
      <c r="J350" s="4665"/>
      <c r="K350" s="4665"/>
      <c r="L350" s="4665"/>
      <c r="M350" s="4665"/>
      <c r="N350" s="4665"/>
      <c r="O350" s="4665"/>
      <c r="P350" s="4665"/>
      <c r="Q350" s="4665"/>
      <c r="R350" s="4665"/>
      <c r="S350" s="4665"/>
      <c r="T350" s="4665"/>
      <c r="U350" s="4665"/>
      <c r="V350" s="4665"/>
      <c r="W350" s="4665"/>
      <c r="X350" s="4665"/>
      <c r="Y350" s="4665"/>
      <c r="Z350" s="4665"/>
      <c r="AA350" s="4665"/>
      <c r="AB350" s="4665"/>
      <c r="AC350" s="4665"/>
      <c r="AD350" s="4665"/>
      <c r="AE350" s="4665"/>
      <c r="AF350" s="4665"/>
      <c r="AG350" s="4665"/>
      <c r="AH350" s="4665"/>
      <c r="AI350" s="4665"/>
      <c r="AJ350" s="4665"/>
      <c r="AK350" s="4665"/>
    </row>
    <row r="351" spans="1:37">
      <c r="A351" s="4665"/>
      <c r="B351" s="4665"/>
      <c r="C351" s="4665"/>
      <c r="D351" s="4665"/>
      <c r="E351" s="4665"/>
      <c r="F351" s="4665"/>
      <c r="G351" s="4665"/>
      <c r="H351" s="4665"/>
      <c r="I351" s="4665"/>
      <c r="J351" s="4665"/>
      <c r="K351" s="4665"/>
      <c r="L351" s="4665"/>
      <c r="M351" s="4665"/>
      <c r="N351" s="4665"/>
      <c r="O351" s="4665"/>
      <c r="P351" s="4665"/>
      <c r="Q351" s="4665"/>
      <c r="R351" s="4665"/>
      <c r="S351" s="4665"/>
      <c r="T351" s="4665"/>
      <c r="U351" s="4665"/>
      <c r="V351" s="4665"/>
      <c r="W351" s="4665"/>
      <c r="X351" s="4665"/>
      <c r="Y351" s="4665"/>
      <c r="Z351" s="4665"/>
      <c r="AA351" s="4665"/>
      <c r="AB351" s="4665"/>
      <c r="AC351" s="4665"/>
      <c r="AD351" s="4665"/>
      <c r="AE351" s="4665"/>
      <c r="AF351" s="4665"/>
      <c r="AG351" s="4665"/>
      <c r="AH351" s="4665"/>
      <c r="AI351" s="4665"/>
      <c r="AJ351" s="4665"/>
      <c r="AK351" s="4665"/>
    </row>
    <row r="352" spans="1:37">
      <c r="A352" s="4665"/>
      <c r="B352" s="4665"/>
      <c r="C352" s="4665"/>
      <c r="D352" s="4665"/>
      <c r="E352" s="4665"/>
      <c r="F352" s="4665"/>
      <c r="G352" s="4665"/>
      <c r="H352" s="4665"/>
      <c r="I352" s="4665"/>
      <c r="J352" s="4665"/>
      <c r="K352" s="4665"/>
      <c r="L352" s="4665"/>
      <c r="M352" s="4665"/>
      <c r="N352" s="4665"/>
      <c r="O352" s="4665"/>
      <c r="P352" s="4665"/>
      <c r="Q352" s="4665"/>
      <c r="R352" s="4665"/>
      <c r="S352" s="4665"/>
      <c r="T352" s="4665"/>
      <c r="U352" s="4665"/>
      <c r="V352" s="4665"/>
      <c r="W352" s="4665"/>
      <c r="X352" s="4665"/>
      <c r="Y352" s="4665"/>
      <c r="Z352" s="4665"/>
      <c r="AA352" s="4665"/>
      <c r="AB352" s="4665"/>
      <c r="AC352" s="4665"/>
      <c r="AD352" s="4665"/>
      <c r="AE352" s="4665"/>
      <c r="AF352" s="4665"/>
      <c r="AG352" s="4665"/>
      <c r="AH352" s="4665"/>
      <c r="AI352" s="4665"/>
      <c r="AJ352" s="4665"/>
      <c r="AK352" s="4665"/>
    </row>
    <row r="353" spans="1:37">
      <c r="A353" s="4665"/>
      <c r="B353" s="4665"/>
      <c r="C353" s="4665"/>
      <c r="D353" s="4665"/>
      <c r="E353" s="4665"/>
      <c r="F353" s="4665"/>
      <c r="G353" s="4665"/>
      <c r="H353" s="4665"/>
      <c r="I353" s="4665"/>
      <c r="J353" s="4665"/>
      <c r="K353" s="4665"/>
      <c r="L353" s="4665"/>
      <c r="M353" s="4665"/>
      <c r="N353" s="4665"/>
      <c r="O353" s="4665"/>
      <c r="P353" s="4665"/>
      <c r="Q353" s="4665"/>
      <c r="R353" s="4665"/>
      <c r="S353" s="4665"/>
      <c r="T353" s="4665"/>
      <c r="U353" s="4665"/>
      <c r="V353" s="4665"/>
      <c r="W353" s="4665"/>
      <c r="X353" s="4665"/>
      <c r="Y353" s="4665"/>
      <c r="Z353" s="4665"/>
      <c r="AA353" s="4665"/>
      <c r="AB353" s="4665"/>
      <c r="AC353" s="4665"/>
      <c r="AD353" s="4665"/>
      <c r="AE353" s="4665"/>
      <c r="AF353" s="4665"/>
      <c r="AG353" s="4665"/>
      <c r="AH353" s="4665"/>
      <c r="AI353" s="4665"/>
      <c r="AJ353" s="4665"/>
      <c r="AK353" s="4665"/>
    </row>
    <row r="354" spans="1:37">
      <c r="A354" s="4665"/>
      <c r="B354" s="4665"/>
      <c r="C354" s="4665"/>
      <c r="D354" s="4665"/>
      <c r="E354" s="4665"/>
      <c r="F354" s="4665"/>
      <c r="G354" s="4665"/>
      <c r="H354" s="4665"/>
      <c r="I354" s="4665"/>
      <c r="J354" s="4665"/>
      <c r="K354" s="4665"/>
      <c r="L354" s="4665"/>
      <c r="M354" s="4665"/>
      <c r="N354" s="4665"/>
      <c r="O354" s="4665"/>
      <c r="P354" s="4665"/>
      <c r="Q354" s="4665"/>
      <c r="R354" s="4665"/>
      <c r="S354" s="4665"/>
      <c r="T354" s="4665"/>
      <c r="U354" s="4665"/>
      <c r="V354" s="4665"/>
      <c r="W354" s="4665"/>
      <c r="X354" s="4665"/>
      <c r="Y354" s="4665"/>
      <c r="Z354" s="4665"/>
      <c r="AA354" s="4665"/>
      <c r="AB354" s="4665"/>
      <c r="AC354" s="4665"/>
      <c r="AD354" s="4665"/>
      <c r="AE354" s="4665"/>
      <c r="AF354" s="4665"/>
      <c r="AG354" s="4665"/>
      <c r="AH354" s="4665"/>
      <c r="AI354" s="4665"/>
      <c r="AJ354" s="4665"/>
      <c r="AK354" s="4665"/>
    </row>
    <row r="355" spans="1:37">
      <c r="A355" s="4665"/>
      <c r="B355" s="4665"/>
      <c r="C355" s="4665"/>
      <c r="D355" s="4665"/>
      <c r="E355" s="4665"/>
      <c r="F355" s="4665"/>
      <c r="G355" s="4665"/>
      <c r="H355" s="4665"/>
      <c r="I355" s="4665"/>
      <c r="J355" s="4665"/>
      <c r="K355" s="4665"/>
      <c r="L355" s="4665"/>
      <c r="M355" s="4665"/>
      <c r="N355" s="4665"/>
      <c r="O355" s="4665"/>
      <c r="P355" s="4665"/>
      <c r="Q355" s="4665"/>
      <c r="R355" s="4665"/>
      <c r="S355" s="4665"/>
      <c r="T355" s="4665"/>
      <c r="U355" s="4665"/>
      <c r="V355" s="4665"/>
      <c r="W355" s="4665"/>
      <c r="X355" s="4665"/>
      <c r="Y355" s="4665"/>
      <c r="Z355" s="4665"/>
      <c r="AA355" s="4665"/>
      <c r="AB355" s="4665"/>
      <c r="AC355" s="4665"/>
      <c r="AD355" s="4665"/>
      <c r="AE355" s="4665"/>
      <c r="AF355" s="4665"/>
      <c r="AG355" s="4665"/>
      <c r="AH355" s="4665"/>
      <c r="AI355" s="4665"/>
      <c r="AJ355" s="4665"/>
      <c r="AK355" s="4665"/>
    </row>
    <row r="356" spans="1:37">
      <c r="A356" s="4665"/>
      <c r="B356" s="4665"/>
      <c r="C356" s="4665"/>
      <c r="D356" s="4665"/>
      <c r="E356" s="4665"/>
      <c r="F356" s="4665"/>
      <c r="G356" s="4665"/>
      <c r="H356" s="4665"/>
      <c r="I356" s="4665"/>
      <c r="J356" s="4665"/>
      <c r="K356" s="4665"/>
      <c r="L356" s="4665"/>
      <c r="M356" s="4665"/>
      <c r="N356" s="4665"/>
      <c r="O356" s="4665"/>
      <c r="P356" s="4665"/>
      <c r="Q356" s="4665"/>
      <c r="R356" s="4665"/>
      <c r="S356" s="4665"/>
      <c r="T356" s="4665"/>
      <c r="U356" s="4665"/>
      <c r="V356" s="4665"/>
      <c r="W356" s="4665"/>
      <c r="X356" s="4665"/>
      <c r="Y356" s="4665"/>
      <c r="Z356" s="4665"/>
      <c r="AA356" s="4665"/>
      <c r="AB356" s="4665"/>
      <c r="AC356" s="4665"/>
      <c r="AD356" s="4665"/>
      <c r="AE356" s="4665"/>
      <c r="AF356" s="4665"/>
      <c r="AG356" s="4665"/>
      <c r="AH356" s="4665"/>
      <c r="AI356" s="4665"/>
      <c r="AJ356" s="4665"/>
      <c r="AK356" s="4665"/>
    </row>
    <row r="357" spans="1:37">
      <c r="A357" s="4665"/>
      <c r="B357" s="4665"/>
      <c r="C357" s="4665"/>
      <c r="D357" s="4665"/>
      <c r="E357" s="4665"/>
      <c r="F357" s="4665"/>
      <c r="G357" s="4665"/>
      <c r="H357" s="4665"/>
      <c r="I357" s="4665"/>
      <c r="J357" s="4665"/>
      <c r="K357" s="4665"/>
      <c r="L357" s="4665"/>
      <c r="M357" s="4665"/>
      <c r="N357" s="4665"/>
      <c r="O357" s="4665"/>
      <c r="P357" s="4665"/>
      <c r="Q357" s="4665"/>
      <c r="R357" s="4665"/>
      <c r="S357" s="4665"/>
      <c r="T357" s="4665"/>
      <c r="U357" s="4665"/>
      <c r="V357" s="4665"/>
      <c r="W357" s="4665"/>
      <c r="X357" s="4665"/>
      <c r="Y357" s="4665"/>
      <c r="Z357" s="4665"/>
      <c r="AA357" s="4665"/>
      <c r="AB357" s="4665"/>
      <c r="AC357" s="4665"/>
      <c r="AD357" s="4665"/>
      <c r="AE357" s="4665"/>
      <c r="AF357" s="4665"/>
      <c r="AG357" s="4665"/>
      <c r="AH357" s="4665"/>
      <c r="AI357" s="4665"/>
      <c r="AJ357" s="4665"/>
      <c r="AK357" s="4665"/>
    </row>
    <row r="358" spans="1:37">
      <c r="A358" s="4665"/>
      <c r="B358" s="4665"/>
      <c r="C358" s="4665"/>
      <c r="D358" s="4665"/>
      <c r="E358" s="4665"/>
      <c r="F358" s="4665"/>
      <c r="G358" s="4665"/>
      <c r="H358" s="4665"/>
      <c r="I358" s="4665"/>
      <c r="J358" s="4665"/>
      <c r="K358" s="4665"/>
      <c r="L358" s="4665"/>
      <c r="M358" s="4665"/>
      <c r="N358" s="4665"/>
      <c r="O358" s="4665"/>
      <c r="P358" s="4665"/>
      <c r="Q358" s="4665"/>
      <c r="R358" s="4665"/>
      <c r="S358" s="4665"/>
      <c r="T358" s="4665"/>
      <c r="U358" s="4665"/>
      <c r="V358" s="4665"/>
      <c r="W358" s="4665"/>
      <c r="X358" s="4665"/>
      <c r="Y358" s="4665"/>
      <c r="Z358" s="4665"/>
      <c r="AA358" s="4665"/>
      <c r="AB358" s="4665"/>
      <c r="AC358" s="4665"/>
      <c r="AD358" s="4665"/>
      <c r="AE358" s="4665"/>
      <c r="AF358" s="4665"/>
      <c r="AG358" s="4665"/>
      <c r="AH358" s="4665"/>
      <c r="AI358" s="4665"/>
      <c r="AJ358" s="4665"/>
      <c r="AK358" s="4665"/>
    </row>
    <row r="359" spans="1:37">
      <c r="A359" s="4665"/>
      <c r="B359" s="4665"/>
      <c r="C359" s="4665"/>
      <c r="D359" s="4665"/>
      <c r="E359" s="4665"/>
      <c r="F359" s="4665"/>
      <c r="G359" s="4665"/>
      <c r="H359" s="4665"/>
      <c r="I359" s="4665"/>
      <c r="J359" s="4665"/>
      <c r="K359" s="4665"/>
      <c r="L359" s="4665"/>
      <c r="M359" s="4665"/>
      <c r="N359" s="4665"/>
      <c r="O359" s="4665"/>
      <c r="P359" s="4665"/>
      <c r="Q359" s="4665"/>
      <c r="R359" s="4665"/>
      <c r="S359" s="4665"/>
      <c r="T359" s="4665"/>
      <c r="U359" s="4665"/>
      <c r="V359" s="4665"/>
      <c r="W359" s="4665"/>
      <c r="X359" s="4665"/>
      <c r="Y359" s="4665"/>
      <c r="Z359" s="4665"/>
      <c r="AA359" s="4665"/>
      <c r="AB359" s="4665"/>
      <c r="AC359" s="4665"/>
      <c r="AD359" s="4665"/>
      <c r="AE359" s="4665"/>
      <c r="AF359" s="4665"/>
      <c r="AG359" s="4665"/>
      <c r="AH359" s="4665"/>
      <c r="AI359" s="4665"/>
      <c r="AJ359" s="4665"/>
      <c r="AK359" s="4665"/>
    </row>
    <row r="360" spans="1:37">
      <c r="A360" s="4665"/>
      <c r="B360" s="4665"/>
      <c r="C360" s="4665"/>
      <c r="D360" s="4665"/>
      <c r="E360" s="4665"/>
      <c r="F360" s="4665"/>
      <c r="G360" s="4665"/>
      <c r="H360" s="4665"/>
      <c r="I360" s="4665"/>
      <c r="J360" s="4665"/>
      <c r="K360" s="4665"/>
      <c r="L360" s="4665"/>
      <c r="M360" s="4665"/>
      <c r="N360" s="4665"/>
      <c r="O360" s="4665"/>
      <c r="P360" s="4665"/>
      <c r="Q360" s="4665"/>
      <c r="R360" s="4665"/>
      <c r="S360" s="4665"/>
      <c r="T360" s="4665"/>
      <c r="U360" s="4665"/>
      <c r="V360" s="4665"/>
      <c r="W360" s="4665"/>
      <c r="X360" s="4665"/>
      <c r="Y360" s="4665"/>
      <c r="Z360" s="4665"/>
      <c r="AA360" s="4665"/>
      <c r="AB360" s="4665"/>
      <c r="AC360" s="4665"/>
      <c r="AD360" s="4665"/>
      <c r="AE360" s="4665"/>
      <c r="AF360" s="4665"/>
      <c r="AG360" s="4665"/>
      <c r="AH360" s="4665"/>
      <c r="AI360" s="4665"/>
      <c r="AJ360" s="4665"/>
      <c r="AK360" s="4665"/>
    </row>
    <row r="361" spans="1:37">
      <c r="A361" s="4665"/>
      <c r="B361" s="4665"/>
      <c r="C361" s="4665"/>
      <c r="D361" s="4665"/>
      <c r="E361" s="4665"/>
      <c r="F361" s="4665"/>
      <c r="G361" s="4665"/>
      <c r="H361" s="4665"/>
      <c r="I361" s="4665"/>
      <c r="J361" s="4665"/>
      <c r="K361" s="4665"/>
      <c r="L361" s="4665"/>
      <c r="M361" s="4665"/>
      <c r="N361" s="4665"/>
      <c r="O361" s="4665"/>
      <c r="P361" s="4665"/>
      <c r="Q361" s="4665"/>
      <c r="R361" s="4665"/>
      <c r="S361" s="4665"/>
      <c r="T361" s="4665"/>
      <c r="U361" s="4665"/>
      <c r="V361" s="4665"/>
      <c r="W361" s="4665"/>
      <c r="X361" s="4665"/>
      <c r="Y361" s="4665"/>
      <c r="Z361" s="4665"/>
      <c r="AA361" s="4665"/>
      <c r="AB361" s="4665"/>
      <c r="AC361" s="4665"/>
      <c r="AD361" s="4665"/>
      <c r="AE361" s="4665"/>
      <c r="AF361" s="4665"/>
      <c r="AG361" s="4665"/>
      <c r="AH361" s="4665"/>
      <c r="AI361" s="4665"/>
      <c r="AJ361" s="4665"/>
      <c r="AK361" s="4665"/>
    </row>
    <row r="362" spans="1:37">
      <c r="A362" s="4665"/>
      <c r="B362" s="4665"/>
      <c r="C362" s="4665"/>
      <c r="D362" s="4665"/>
      <c r="E362" s="4665"/>
      <c r="F362" s="4665"/>
      <c r="G362" s="4665"/>
      <c r="H362" s="4665"/>
      <c r="I362" s="4665"/>
      <c r="J362" s="4665"/>
      <c r="K362" s="4665"/>
      <c r="L362" s="4665"/>
      <c r="M362" s="4665"/>
      <c r="N362" s="4665"/>
      <c r="O362" s="4665"/>
      <c r="P362" s="4665"/>
      <c r="Q362" s="4665"/>
      <c r="R362" s="4665"/>
      <c r="S362" s="4665"/>
      <c r="T362" s="4665"/>
      <c r="U362" s="4665"/>
      <c r="V362" s="4665"/>
      <c r="W362" s="4665"/>
      <c r="X362" s="4665"/>
      <c r="Y362" s="4665"/>
      <c r="Z362" s="4665"/>
      <c r="AA362" s="4665"/>
      <c r="AB362" s="4665"/>
      <c r="AC362" s="4665"/>
      <c r="AD362" s="4665"/>
      <c r="AE362" s="4665"/>
      <c r="AF362" s="4665"/>
      <c r="AG362" s="4665"/>
      <c r="AH362" s="4665"/>
      <c r="AI362" s="4665"/>
      <c r="AJ362" s="4665"/>
      <c r="AK362" s="4665"/>
    </row>
    <row r="363" spans="1:37">
      <c r="A363" s="4665"/>
      <c r="B363" s="4665"/>
      <c r="C363" s="4665"/>
      <c r="D363" s="4665"/>
      <c r="E363" s="4665"/>
      <c r="F363" s="4665"/>
      <c r="G363" s="4665"/>
      <c r="H363" s="4665"/>
      <c r="I363" s="4665"/>
      <c r="J363" s="4665"/>
      <c r="K363" s="4665"/>
      <c r="L363" s="4665"/>
      <c r="M363" s="4665"/>
      <c r="N363" s="4665"/>
      <c r="O363" s="4665"/>
      <c r="P363" s="4665"/>
      <c r="Q363" s="4665"/>
      <c r="R363" s="4665"/>
      <c r="S363" s="4665"/>
      <c r="T363" s="4665"/>
      <c r="U363" s="4665"/>
      <c r="V363" s="4665"/>
      <c r="W363" s="4665"/>
      <c r="X363" s="4665"/>
      <c r="Y363" s="4665"/>
      <c r="Z363" s="4665"/>
      <c r="AA363" s="4665"/>
      <c r="AB363" s="4665"/>
      <c r="AC363" s="4665"/>
      <c r="AD363" s="4665"/>
      <c r="AE363" s="4665"/>
      <c r="AF363" s="4665"/>
      <c r="AG363" s="4665"/>
      <c r="AH363" s="4665"/>
      <c r="AI363" s="4665"/>
      <c r="AJ363" s="4665"/>
      <c r="AK363" s="4665"/>
    </row>
    <row r="364" spans="1:37">
      <c r="A364" s="4665"/>
      <c r="B364" s="4665"/>
      <c r="C364" s="4665"/>
      <c r="D364" s="4665"/>
      <c r="E364" s="4665"/>
      <c r="F364" s="4665"/>
      <c r="G364" s="4665"/>
      <c r="H364" s="4665"/>
      <c r="I364" s="4665"/>
      <c r="J364" s="4665"/>
      <c r="K364" s="4665"/>
      <c r="L364" s="4665"/>
      <c r="M364" s="4665"/>
      <c r="N364" s="4665"/>
      <c r="O364" s="4665"/>
      <c r="P364" s="4665"/>
      <c r="Q364" s="4665"/>
      <c r="R364" s="4665"/>
      <c r="S364" s="4665"/>
      <c r="T364" s="4665"/>
      <c r="U364" s="4665"/>
      <c r="V364" s="4665"/>
      <c r="W364" s="4665"/>
      <c r="X364" s="4665"/>
      <c r="Y364" s="4665"/>
      <c r="Z364" s="4665"/>
      <c r="AA364" s="4665"/>
      <c r="AB364" s="4665"/>
      <c r="AC364" s="4665"/>
      <c r="AD364" s="4665"/>
      <c r="AE364" s="4665"/>
      <c r="AF364" s="4665"/>
      <c r="AG364" s="4665"/>
      <c r="AH364" s="4665"/>
      <c r="AI364" s="4665"/>
      <c r="AJ364" s="4665"/>
      <c r="AK364" s="4665"/>
    </row>
    <row r="365" spans="1:37">
      <c r="A365" s="4665"/>
      <c r="B365" s="4665"/>
      <c r="C365" s="4665"/>
      <c r="D365" s="4665"/>
      <c r="E365" s="4665"/>
      <c r="F365" s="4665"/>
      <c r="G365" s="4665"/>
      <c r="H365" s="4665"/>
      <c r="I365" s="4665"/>
      <c r="J365" s="4665"/>
      <c r="K365" s="4665"/>
      <c r="L365" s="4665"/>
      <c r="M365" s="4665"/>
      <c r="N365" s="4665"/>
      <c r="O365" s="4665"/>
      <c r="P365" s="4665"/>
      <c r="Q365" s="4665"/>
      <c r="R365" s="4665"/>
      <c r="S365" s="4665"/>
      <c r="T365" s="4665"/>
      <c r="U365" s="4665"/>
      <c r="V365" s="4665"/>
      <c r="W365" s="4665"/>
      <c r="X365" s="4665"/>
      <c r="Y365" s="4665"/>
      <c r="Z365" s="4665"/>
      <c r="AA365" s="4665"/>
      <c r="AB365" s="4665"/>
      <c r="AC365" s="4665"/>
      <c r="AD365" s="4665"/>
      <c r="AE365" s="4665"/>
      <c r="AF365" s="4665"/>
      <c r="AG365" s="4665"/>
      <c r="AH365" s="4665"/>
      <c r="AI365" s="4665"/>
      <c r="AJ365" s="4665"/>
      <c r="AK365" s="4665"/>
    </row>
    <row r="366" spans="1:37">
      <c r="A366" s="4665"/>
      <c r="B366" s="4665"/>
      <c r="C366" s="4665"/>
      <c r="D366" s="4665"/>
      <c r="E366" s="4665"/>
      <c r="F366" s="4665"/>
      <c r="G366" s="4665"/>
      <c r="H366" s="4665"/>
      <c r="I366" s="4665"/>
      <c r="J366" s="4665"/>
      <c r="K366" s="4665"/>
      <c r="L366" s="4665"/>
      <c r="M366" s="4665"/>
      <c r="N366" s="4665"/>
      <c r="O366" s="4665"/>
      <c r="P366" s="4665"/>
      <c r="Q366" s="4665"/>
      <c r="R366" s="4665"/>
      <c r="S366" s="4665"/>
      <c r="T366" s="4665"/>
      <c r="U366" s="4665"/>
      <c r="V366" s="4665"/>
      <c r="W366" s="4665"/>
      <c r="X366" s="4665"/>
      <c r="Y366" s="4665"/>
      <c r="Z366" s="4665"/>
      <c r="AA366" s="4665"/>
      <c r="AB366" s="4665"/>
      <c r="AC366" s="4665"/>
      <c r="AD366" s="4665"/>
      <c r="AE366" s="4665"/>
      <c r="AF366" s="4665"/>
      <c r="AG366" s="4665"/>
      <c r="AH366" s="4665"/>
      <c r="AI366" s="4665"/>
      <c r="AJ366" s="4665"/>
      <c r="AK366" s="4665"/>
    </row>
    <row r="367" spans="1:37">
      <c r="A367" s="4665"/>
      <c r="B367" s="4665"/>
      <c r="C367" s="4665"/>
      <c r="D367" s="4665"/>
      <c r="E367" s="4665"/>
      <c r="F367" s="4665"/>
      <c r="G367" s="4665"/>
      <c r="H367" s="4665"/>
      <c r="I367" s="4665"/>
      <c r="J367" s="4665"/>
      <c r="K367" s="4665"/>
      <c r="L367" s="4665"/>
      <c r="M367" s="4665"/>
      <c r="N367" s="4665"/>
      <c r="O367" s="4665"/>
      <c r="P367" s="4665"/>
      <c r="Q367" s="4665"/>
      <c r="R367" s="4665"/>
      <c r="S367" s="4665"/>
      <c r="T367" s="4665"/>
      <c r="U367" s="4665"/>
      <c r="V367" s="4665"/>
      <c r="W367" s="4665"/>
      <c r="X367" s="4665"/>
      <c r="Y367" s="4665"/>
      <c r="Z367" s="4665"/>
      <c r="AA367" s="4665"/>
      <c r="AB367" s="4665"/>
      <c r="AC367" s="4665"/>
      <c r="AD367" s="4665"/>
      <c r="AE367" s="4665"/>
      <c r="AF367" s="4665"/>
      <c r="AG367" s="4665"/>
      <c r="AH367" s="4665"/>
      <c r="AI367" s="4665"/>
      <c r="AJ367" s="4665"/>
      <c r="AK367" s="4665"/>
    </row>
    <row r="368" spans="1:37">
      <c r="A368" s="4665"/>
      <c r="B368" s="4665"/>
      <c r="C368" s="4665"/>
      <c r="D368" s="4665"/>
      <c r="E368" s="4665"/>
      <c r="F368" s="4665"/>
      <c r="G368" s="4665"/>
      <c r="H368" s="4665"/>
      <c r="I368" s="4665"/>
      <c r="J368" s="4665"/>
      <c r="K368" s="4665"/>
      <c r="L368" s="4665"/>
      <c r="M368" s="4665"/>
      <c r="N368" s="4665"/>
      <c r="O368" s="4665"/>
      <c r="P368" s="4665"/>
      <c r="Q368" s="4665"/>
      <c r="R368" s="4665"/>
      <c r="S368" s="4665"/>
      <c r="T368" s="4665"/>
      <c r="U368" s="4665"/>
      <c r="V368" s="4665"/>
      <c r="W368" s="4665"/>
      <c r="X368" s="4665"/>
      <c r="Y368" s="4665"/>
      <c r="Z368" s="4665"/>
      <c r="AA368" s="4665"/>
      <c r="AB368" s="4665"/>
      <c r="AC368" s="4665"/>
      <c r="AD368" s="4665"/>
      <c r="AE368" s="4665"/>
      <c r="AF368" s="4665"/>
      <c r="AG368" s="4665"/>
      <c r="AH368" s="4665"/>
      <c r="AI368" s="4665"/>
      <c r="AJ368" s="4665"/>
      <c r="AK368" s="4665"/>
    </row>
    <row r="369" spans="1:37">
      <c r="A369" s="4665"/>
      <c r="B369" s="4665"/>
      <c r="C369" s="4665"/>
      <c r="D369" s="4665"/>
      <c r="E369" s="4665"/>
      <c r="F369" s="4665"/>
      <c r="G369" s="4665"/>
      <c r="H369" s="4665"/>
      <c r="I369" s="4665"/>
      <c r="J369" s="4665"/>
      <c r="K369" s="4665"/>
      <c r="L369" s="4665"/>
      <c r="M369" s="4665"/>
      <c r="N369" s="4665"/>
      <c r="O369" s="4665"/>
      <c r="P369" s="4665"/>
      <c r="Q369" s="4665"/>
      <c r="R369" s="4665"/>
      <c r="S369" s="4665"/>
      <c r="T369" s="4665"/>
      <c r="U369" s="4665"/>
      <c r="V369" s="4665"/>
      <c r="W369" s="4665"/>
      <c r="X369" s="4665"/>
      <c r="Y369" s="4665"/>
      <c r="Z369" s="4665"/>
      <c r="AA369" s="4665"/>
      <c r="AB369" s="4665"/>
      <c r="AC369" s="4665"/>
      <c r="AD369" s="4665"/>
      <c r="AE369" s="4665"/>
      <c r="AF369" s="4665"/>
      <c r="AG369" s="4665"/>
      <c r="AH369" s="4665"/>
      <c r="AI369" s="4665"/>
      <c r="AJ369" s="4665"/>
      <c r="AK369" s="4665"/>
    </row>
    <row r="370" spans="1:37">
      <c r="A370" s="4665"/>
      <c r="B370" s="4665"/>
      <c r="C370" s="4665"/>
      <c r="D370" s="4665"/>
      <c r="E370" s="4665"/>
      <c r="F370" s="4665"/>
      <c r="G370" s="4665"/>
      <c r="H370" s="4665"/>
      <c r="I370" s="4665"/>
      <c r="J370" s="4665"/>
      <c r="K370" s="4665"/>
      <c r="L370" s="4665"/>
      <c r="M370" s="4665"/>
      <c r="N370" s="4665"/>
      <c r="O370" s="4665"/>
      <c r="P370" s="4665"/>
      <c r="Q370" s="4665"/>
      <c r="R370" s="4665"/>
      <c r="S370" s="4665"/>
      <c r="T370" s="4665"/>
      <c r="U370" s="4665"/>
      <c r="V370" s="4665"/>
      <c r="W370" s="4665"/>
      <c r="X370" s="4665"/>
      <c r="Y370" s="4665"/>
      <c r="Z370" s="4665"/>
      <c r="AA370" s="4665"/>
      <c r="AB370" s="4665"/>
      <c r="AC370" s="4665"/>
      <c r="AD370" s="4665"/>
      <c r="AE370" s="4665"/>
      <c r="AF370" s="4665"/>
      <c r="AG370" s="4665"/>
      <c r="AH370" s="4665"/>
      <c r="AI370" s="4665"/>
      <c r="AJ370" s="4665"/>
      <c r="AK370" s="4665"/>
    </row>
    <row r="371" spans="1:37">
      <c r="A371" s="4665"/>
      <c r="B371" s="4665"/>
      <c r="C371" s="4665"/>
      <c r="D371" s="4665"/>
      <c r="E371" s="4665"/>
      <c r="F371" s="4665"/>
      <c r="G371" s="4665"/>
      <c r="H371" s="4665"/>
      <c r="I371" s="4665"/>
      <c r="J371" s="4665"/>
      <c r="K371" s="4665"/>
      <c r="L371" s="4665"/>
      <c r="M371" s="4665"/>
      <c r="N371" s="4665"/>
      <c r="O371" s="4665"/>
      <c r="P371" s="4665"/>
      <c r="Q371" s="4665"/>
      <c r="R371" s="4665"/>
      <c r="S371" s="4665"/>
      <c r="T371" s="4665"/>
      <c r="U371" s="4665"/>
      <c r="V371" s="4665"/>
      <c r="W371" s="4665"/>
      <c r="X371" s="4665"/>
      <c r="Y371" s="4665"/>
      <c r="Z371" s="4665"/>
      <c r="AA371" s="4665"/>
      <c r="AB371" s="4665"/>
      <c r="AC371" s="4665"/>
      <c r="AD371" s="4665"/>
      <c r="AE371" s="4665"/>
      <c r="AF371" s="4665"/>
      <c r="AG371" s="4665"/>
      <c r="AH371" s="4665"/>
      <c r="AI371" s="4665"/>
      <c r="AJ371" s="4665"/>
      <c r="AK371" s="4665"/>
    </row>
    <row r="372" spans="1:37">
      <c r="A372" s="4665"/>
      <c r="B372" s="4665"/>
      <c r="C372" s="4665"/>
      <c r="D372" s="4665"/>
      <c r="E372" s="4665"/>
      <c r="F372" s="4665"/>
      <c r="G372" s="4665"/>
      <c r="H372" s="4665"/>
      <c r="I372" s="4665"/>
      <c r="J372" s="4665"/>
      <c r="K372" s="4665"/>
      <c r="L372" s="4665"/>
      <c r="M372" s="4665"/>
      <c r="N372" s="4665"/>
      <c r="O372" s="4665"/>
      <c r="P372" s="4665"/>
      <c r="Q372" s="4665"/>
      <c r="R372" s="4665"/>
      <c r="S372" s="4665"/>
      <c r="T372" s="4665"/>
      <c r="U372" s="4665"/>
      <c r="V372" s="4665"/>
      <c r="W372" s="4665"/>
      <c r="X372" s="4665"/>
      <c r="Y372" s="4665"/>
      <c r="Z372" s="4665"/>
      <c r="AA372" s="4665"/>
      <c r="AB372" s="4665"/>
      <c r="AC372" s="4665"/>
      <c r="AD372" s="4665"/>
      <c r="AE372" s="4665"/>
      <c r="AF372" s="4665"/>
      <c r="AG372" s="4665"/>
      <c r="AH372" s="4665"/>
      <c r="AI372" s="4665"/>
      <c r="AJ372" s="4665"/>
      <c r="AK372" s="4665"/>
    </row>
    <row r="373" spans="1:37">
      <c r="A373" s="4665"/>
      <c r="B373" s="4665"/>
      <c r="C373" s="4665"/>
      <c r="D373" s="4665"/>
      <c r="E373" s="4665"/>
      <c r="F373" s="4665"/>
      <c r="G373" s="4665"/>
      <c r="H373" s="4665"/>
      <c r="I373" s="4665"/>
      <c r="J373" s="4665"/>
      <c r="K373" s="4665"/>
      <c r="L373" s="4665"/>
      <c r="M373" s="4665"/>
      <c r="N373" s="4665"/>
      <c r="O373" s="4665"/>
      <c r="P373" s="4665"/>
      <c r="Q373" s="4665"/>
      <c r="R373" s="4665"/>
      <c r="S373" s="4665"/>
      <c r="T373" s="4665"/>
      <c r="U373" s="4665"/>
      <c r="V373" s="4665"/>
      <c r="W373" s="4665"/>
      <c r="X373" s="4665"/>
      <c r="Y373" s="4665"/>
      <c r="Z373" s="4665"/>
      <c r="AA373" s="4665"/>
      <c r="AB373" s="4665"/>
      <c r="AC373" s="4665"/>
      <c r="AD373" s="4665"/>
      <c r="AE373" s="4665"/>
      <c r="AF373" s="4665"/>
      <c r="AG373" s="4665"/>
      <c r="AH373" s="4665"/>
      <c r="AI373" s="4665"/>
      <c r="AJ373" s="4665"/>
      <c r="AK373" s="4665"/>
    </row>
    <row r="374" spans="1:37">
      <c r="A374" s="4665"/>
      <c r="B374" s="4665"/>
      <c r="C374" s="4665"/>
      <c r="D374" s="4665"/>
      <c r="E374" s="4665"/>
      <c r="F374" s="4665"/>
      <c r="G374" s="4665"/>
      <c r="H374" s="4665"/>
      <c r="I374" s="4665"/>
      <c r="J374" s="4665"/>
      <c r="K374" s="4665"/>
      <c r="L374" s="4665"/>
      <c r="M374" s="4665"/>
      <c r="N374" s="4665"/>
      <c r="O374" s="4665"/>
      <c r="P374" s="4665"/>
      <c r="Q374" s="4665"/>
      <c r="R374" s="4665"/>
      <c r="S374" s="4665"/>
      <c r="T374" s="4665"/>
      <c r="U374" s="4665"/>
      <c r="V374" s="4665"/>
      <c r="W374" s="4665"/>
      <c r="X374" s="4665"/>
      <c r="Y374" s="4665"/>
      <c r="Z374" s="4665"/>
      <c r="AA374" s="4665"/>
      <c r="AB374" s="4665"/>
      <c r="AC374" s="4665"/>
      <c r="AD374" s="4665"/>
      <c r="AE374" s="4665"/>
      <c r="AF374" s="4665"/>
      <c r="AG374" s="4665"/>
      <c r="AH374" s="4665"/>
      <c r="AI374" s="4665"/>
      <c r="AJ374" s="4665"/>
      <c r="AK374" s="4665"/>
    </row>
    <row r="375" spans="1:37">
      <c r="A375" s="4665"/>
      <c r="B375" s="4665"/>
      <c r="C375" s="4665"/>
      <c r="D375" s="4665"/>
      <c r="E375" s="4665"/>
      <c r="F375" s="4665"/>
      <c r="G375" s="4665"/>
      <c r="H375" s="4665"/>
      <c r="I375" s="4665"/>
      <c r="J375" s="4665"/>
      <c r="K375" s="4665"/>
      <c r="L375" s="4665"/>
      <c r="M375" s="4665"/>
      <c r="N375" s="4665"/>
      <c r="O375" s="4665"/>
      <c r="P375" s="4665"/>
      <c r="Q375" s="4665"/>
      <c r="R375" s="4665"/>
      <c r="S375" s="4665"/>
      <c r="T375" s="4665"/>
      <c r="U375" s="4665"/>
      <c r="V375" s="4665"/>
      <c r="W375" s="4665"/>
      <c r="X375" s="4665"/>
      <c r="Y375" s="4665"/>
      <c r="Z375" s="4665"/>
      <c r="AA375" s="4665"/>
      <c r="AB375" s="4665"/>
      <c r="AC375" s="4665"/>
      <c r="AD375" s="4665"/>
      <c r="AE375" s="4665"/>
      <c r="AF375" s="4665"/>
      <c r="AG375" s="4665"/>
      <c r="AH375" s="4665"/>
      <c r="AI375" s="4665"/>
      <c r="AJ375" s="4665"/>
      <c r="AK375" s="4665"/>
    </row>
    <row r="376" spans="1:37">
      <c r="A376" s="4665"/>
      <c r="B376" s="4665"/>
      <c r="C376" s="4665"/>
      <c r="D376" s="4665"/>
      <c r="E376" s="4665"/>
      <c r="F376" s="4665"/>
      <c r="G376" s="4665"/>
      <c r="H376" s="4665"/>
      <c r="I376" s="4665"/>
      <c r="J376" s="4665"/>
      <c r="K376" s="4665"/>
      <c r="L376" s="4665"/>
      <c r="M376" s="4665"/>
      <c r="N376" s="4665"/>
      <c r="O376" s="4665"/>
      <c r="P376" s="4665"/>
      <c r="Q376" s="4665"/>
      <c r="R376" s="4665"/>
      <c r="S376" s="4665"/>
      <c r="T376" s="4665"/>
      <c r="U376" s="4665"/>
      <c r="V376" s="4665"/>
      <c r="W376" s="4665"/>
      <c r="X376" s="4665"/>
      <c r="Y376" s="4665"/>
      <c r="Z376" s="4665"/>
      <c r="AA376" s="4665"/>
      <c r="AB376" s="4665"/>
      <c r="AC376" s="4665"/>
      <c r="AD376" s="4665"/>
      <c r="AE376" s="4665"/>
      <c r="AF376" s="4665"/>
      <c r="AG376" s="4665"/>
      <c r="AH376" s="4665"/>
      <c r="AI376" s="4665"/>
      <c r="AJ376" s="4665"/>
      <c r="AK376" s="4665"/>
    </row>
    <row r="377" spans="1:37">
      <c r="A377" s="4665"/>
      <c r="B377" s="4665"/>
      <c r="C377" s="4665"/>
      <c r="D377" s="4665"/>
      <c r="E377" s="4665"/>
      <c r="F377" s="4665"/>
      <c r="G377" s="4665"/>
      <c r="H377" s="4665"/>
      <c r="I377" s="4665"/>
      <c r="J377" s="4665"/>
      <c r="K377" s="4665"/>
      <c r="L377" s="4665"/>
      <c r="M377" s="4665"/>
      <c r="N377" s="4665"/>
      <c r="O377" s="4665"/>
      <c r="P377" s="4665"/>
      <c r="Q377" s="4665"/>
      <c r="R377" s="4665"/>
      <c r="S377" s="4665"/>
      <c r="T377" s="4665"/>
      <c r="U377" s="4665"/>
      <c r="V377" s="4665"/>
      <c r="W377" s="4665"/>
      <c r="X377" s="4665"/>
      <c r="Y377" s="4665"/>
      <c r="Z377" s="4665"/>
      <c r="AA377" s="4665"/>
      <c r="AB377" s="4665"/>
      <c r="AC377" s="4665"/>
      <c r="AD377" s="4665"/>
      <c r="AE377" s="4665"/>
      <c r="AF377" s="4665"/>
      <c r="AG377" s="4665"/>
      <c r="AH377" s="4665"/>
      <c r="AI377" s="4665"/>
      <c r="AJ377" s="4665"/>
      <c r="AK377" s="4665"/>
    </row>
    <row r="378" spans="1:37">
      <c r="A378" s="4665"/>
      <c r="B378" s="4665"/>
      <c r="C378" s="4665"/>
      <c r="D378" s="4665"/>
      <c r="E378" s="4665"/>
      <c r="F378" s="4665"/>
      <c r="G378" s="4665"/>
      <c r="H378" s="4665"/>
      <c r="I378" s="4665"/>
      <c r="J378" s="4665"/>
      <c r="K378" s="4665"/>
      <c r="L378" s="4665"/>
      <c r="M378" s="4665"/>
      <c r="N378" s="4665"/>
      <c r="O378" s="4665"/>
      <c r="P378" s="4665"/>
      <c r="Q378" s="4665"/>
      <c r="R378" s="4665"/>
      <c r="S378" s="4665"/>
      <c r="T378" s="4665"/>
      <c r="U378" s="4665"/>
      <c r="V378" s="4665"/>
      <c r="W378" s="4665"/>
      <c r="X378" s="4665"/>
      <c r="Y378" s="4665"/>
      <c r="Z378" s="4665"/>
      <c r="AA378" s="4665"/>
      <c r="AB378" s="4665"/>
      <c r="AC378" s="4665"/>
      <c r="AD378" s="4665"/>
      <c r="AE378" s="4665"/>
      <c r="AF378" s="4665"/>
      <c r="AG378" s="4665"/>
      <c r="AH378" s="4665"/>
      <c r="AI378" s="4665"/>
      <c r="AJ378" s="4665"/>
      <c r="AK378" s="4665"/>
    </row>
    <row r="379" spans="1:37">
      <c r="A379" s="4665"/>
      <c r="B379" s="4665"/>
      <c r="C379" s="4665"/>
      <c r="D379" s="4665"/>
      <c r="E379" s="4665"/>
      <c r="F379" s="4665"/>
      <c r="G379" s="4665"/>
      <c r="H379" s="4665"/>
      <c r="I379" s="4665"/>
      <c r="J379" s="4665"/>
      <c r="K379" s="4665"/>
      <c r="L379" s="4665"/>
      <c r="M379" s="4665"/>
      <c r="N379" s="4665"/>
      <c r="O379" s="4665"/>
      <c r="P379" s="4665"/>
      <c r="Q379" s="4665"/>
      <c r="R379" s="4665"/>
      <c r="S379" s="4665"/>
      <c r="T379" s="4665"/>
      <c r="U379" s="4665"/>
      <c r="V379" s="4665"/>
      <c r="W379" s="4665"/>
      <c r="X379" s="4665"/>
      <c r="Y379" s="4665"/>
      <c r="Z379" s="4665"/>
      <c r="AA379" s="4665"/>
      <c r="AB379" s="4665"/>
      <c r="AC379" s="4665"/>
      <c r="AD379" s="4665"/>
      <c r="AE379" s="4665"/>
      <c r="AF379" s="4665"/>
      <c r="AG379" s="4665"/>
      <c r="AH379" s="4665"/>
      <c r="AI379" s="4665"/>
      <c r="AJ379" s="4665"/>
      <c r="AK379" s="4665"/>
    </row>
    <row r="380" spans="1:37">
      <c r="A380" s="4665"/>
      <c r="B380" s="4665"/>
      <c r="C380" s="4665"/>
      <c r="D380" s="4665"/>
      <c r="E380" s="4665"/>
      <c r="F380" s="4665"/>
      <c r="G380" s="4665"/>
      <c r="H380" s="4665"/>
      <c r="I380" s="4665"/>
      <c r="J380" s="4665"/>
      <c r="K380" s="4665"/>
      <c r="L380" s="4665"/>
      <c r="M380" s="4665"/>
      <c r="N380" s="4665"/>
      <c r="O380" s="4665"/>
      <c r="P380" s="4665"/>
      <c r="Q380" s="4665"/>
      <c r="R380" s="4665"/>
      <c r="S380" s="4665"/>
      <c r="T380" s="4665"/>
      <c r="U380" s="4665"/>
      <c r="V380" s="4665"/>
      <c r="W380" s="4665"/>
      <c r="X380" s="4665"/>
      <c r="Y380" s="4665"/>
      <c r="Z380" s="4665"/>
      <c r="AA380" s="4665"/>
      <c r="AB380" s="4665"/>
      <c r="AC380" s="4665"/>
      <c r="AD380" s="4665"/>
      <c r="AE380" s="4665"/>
      <c r="AF380" s="4665"/>
      <c r="AG380" s="4665"/>
      <c r="AH380" s="4665"/>
      <c r="AI380" s="4665"/>
      <c r="AJ380" s="4665"/>
      <c r="AK380" s="4665"/>
    </row>
    <row r="381" spans="1:37">
      <c r="A381" s="4665"/>
      <c r="B381" s="4665"/>
      <c r="C381" s="4665"/>
      <c r="D381" s="4665"/>
      <c r="E381" s="4665"/>
      <c r="F381" s="4665"/>
      <c r="G381" s="4665"/>
      <c r="H381" s="4665"/>
      <c r="I381" s="4665"/>
      <c r="J381" s="4665"/>
      <c r="K381" s="4665"/>
      <c r="L381" s="4665"/>
      <c r="M381" s="4665"/>
      <c r="N381" s="4665"/>
      <c r="O381" s="4665"/>
      <c r="P381" s="4665"/>
      <c r="Q381" s="4665"/>
      <c r="R381" s="4665"/>
      <c r="S381" s="4665"/>
      <c r="T381" s="4665"/>
      <c r="U381" s="4665"/>
      <c r="V381" s="4665"/>
      <c r="W381" s="4665"/>
      <c r="X381" s="4665"/>
      <c r="Y381" s="4665"/>
      <c r="Z381" s="4665"/>
      <c r="AA381" s="4665"/>
      <c r="AB381" s="4665"/>
      <c r="AC381" s="4665"/>
      <c r="AD381" s="4665"/>
      <c r="AE381" s="4665"/>
      <c r="AF381" s="4665"/>
      <c r="AG381" s="4665"/>
      <c r="AH381" s="4665"/>
      <c r="AI381" s="4665"/>
      <c r="AJ381" s="4665"/>
      <c r="AK381" s="4665"/>
    </row>
    <row r="382" spans="1:37">
      <c r="A382" s="4665"/>
      <c r="B382" s="4665"/>
      <c r="C382" s="4665"/>
      <c r="D382" s="4665"/>
      <c r="E382" s="4665"/>
      <c r="F382" s="4665"/>
      <c r="G382" s="4665"/>
      <c r="H382" s="4665"/>
      <c r="I382" s="4665"/>
      <c r="J382" s="4665"/>
      <c r="K382" s="4665"/>
      <c r="L382" s="4665"/>
      <c r="M382" s="4665"/>
      <c r="N382" s="4665"/>
      <c r="O382" s="4665"/>
      <c r="P382" s="4665"/>
      <c r="Q382" s="4665"/>
      <c r="R382" s="4665"/>
      <c r="S382" s="4665"/>
      <c r="T382" s="4665"/>
      <c r="U382" s="4665"/>
      <c r="V382" s="4665"/>
      <c r="W382" s="4665"/>
      <c r="X382" s="4665"/>
      <c r="Y382" s="4665"/>
      <c r="Z382" s="4665"/>
      <c r="AA382" s="4665"/>
      <c r="AB382" s="4665"/>
      <c r="AC382" s="4665"/>
      <c r="AD382" s="4665"/>
      <c r="AE382" s="4665"/>
      <c r="AF382" s="4665"/>
      <c r="AG382" s="4665"/>
      <c r="AH382" s="4665"/>
      <c r="AI382" s="4665"/>
      <c r="AJ382" s="4665"/>
      <c r="AK382" s="4665"/>
    </row>
    <row r="383" spans="1:37">
      <c r="A383" s="4665"/>
      <c r="B383" s="4665"/>
      <c r="C383" s="4665"/>
      <c r="D383" s="4665"/>
      <c r="E383" s="4665"/>
      <c r="F383" s="4665"/>
      <c r="G383" s="4665"/>
      <c r="H383" s="4665"/>
      <c r="I383" s="4665"/>
      <c r="J383" s="4665"/>
      <c r="K383" s="4665"/>
      <c r="L383" s="4665"/>
      <c r="M383" s="4665"/>
      <c r="N383" s="4665"/>
      <c r="O383" s="4665"/>
      <c r="P383" s="4665"/>
      <c r="Q383" s="4665"/>
      <c r="R383" s="4665"/>
      <c r="S383" s="4665"/>
      <c r="T383" s="4665"/>
      <c r="U383" s="4665"/>
      <c r="V383" s="4665"/>
      <c r="W383" s="4665"/>
      <c r="X383" s="4665"/>
      <c r="Y383" s="4665"/>
      <c r="Z383" s="4665"/>
      <c r="AA383" s="4665"/>
      <c r="AB383" s="4665"/>
      <c r="AC383" s="4665"/>
      <c r="AD383" s="4665"/>
      <c r="AE383" s="4665"/>
      <c r="AF383" s="4665"/>
      <c r="AG383" s="4665"/>
      <c r="AH383" s="4665"/>
      <c r="AI383" s="4665"/>
      <c r="AJ383" s="4665"/>
      <c r="AK383" s="4665"/>
    </row>
    <row r="384" spans="1:37">
      <c r="A384" s="4665"/>
      <c r="B384" s="4665"/>
      <c r="C384" s="4665"/>
      <c r="D384" s="4665"/>
      <c r="E384" s="4665"/>
      <c r="F384" s="4665"/>
      <c r="G384" s="4665"/>
      <c r="H384" s="4665"/>
      <c r="I384" s="4665"/>
      <c r="J384" s="4665"/>
      <c r="K384" s="4665"/>
      <c r="L384" s="4665"/>
      <c r="M384" s="4665"/>
      <c r="N384" s="4665"/>
      <c r="O384" s="4665"/>
      <c r="P384" s="4665"/>
      <c r="Q384" s="4665"/>
      <c r="R384" s="4665"/>
      <c r="S384" s="4665"/>
      <c r="T384" s="4665"/>
      <c r="U384" s="4665"/>
      <c r="V384" s="4665"/>
      <c r="W384" s="4665"/>
      <c r="X384" s="4665"/>
      <c r="Y384" s="4665"/>
      <c r="Z384" s="4665"/>
      <c r="AA384" s="4665"/>
      <c r="AB384" s="4665"/>
      <c r="AC384" s="4665"/>
      <c r="AD384" s="4665"/>
      <c r="AE384" s="4665"/>
      <c r="AF384" s="4665"/>
      <c r="AG384" s="4665"/>
      <c r="AH384" s="4665"/>
      <c r="AI384" s="4665"/>
      <c r="AJ384" s="4665"/>
      <c r="AK384" s="4665"/>
    </row>
    <row r="385" spans="1:37">
      <c r="A385" s="4665"/>
      <c r="B385" s="4665"/>
      <c r="C385" s="4665"/>
      <c r="D385" s="4665"/>
      <c r="E385" s="4665"/>
      <c r="F385" s="4665"/>
      <c r="G385" s="4665"/>
      <c r="H385" s="4665"/>
      <c r="I385" s="4665"/>
      <c r="J385" s="4665"/>
      <c r="K385" s="4665"/>
      <c r="L385" s="4665"/>
      <c r="M385" s="4665"/>
      <c r="N385" s="4665"/>
      <c r="O385" s="4665"/>
      <c r="P385" s="4665"/>
      <c r="Q385" s="4665"/>
      <c r="R385" s="4665"/>
      <c r="S385" s="4665"/>
      <c r="T385" s="4665"/>
      <c r="U385" s="4665"/>
      <c r="V385" s="4665"/>
      <c r="W385" s="4665"/>
      <c r="X385" s="4665"/>
      <c r="Y385" s="4665"/>
      <c r="Z385" s="4665"/>
      <c r="AA385" s="4665"/>
      <c r="AB385" s="4665"/>
      <c r="AC385" s="4665"/>
      <c r="AD385" s="4665"/>
      <c r="AE385" s="4665"/>
      <c r="AF385" s="4665"/>
      <c r="AG385" s="4665"/>
      <c r="AH385" s="4665"/>
      <c r="AI385" s="4665"/>
      <c r="AJ385" s="4665"/>
      <c r="AK385" s="4665"/>
    </row>
    <row r="386" spans="1:37">
      <c r="A386" s="4665"/>
      <c r="B386" s="4665"/>
      <c r="C386" s="4665"/>
      <c r="D386" s="4665"/>
      <c r="E386" s="4665"/>
      <c r="F386" s="4665"/>
      <c r="G386" s="4665"/>
      <c r="H386" s="4665"/>
      <c r="I386" s="4665"/>
      <c r="J386" s="4665"/>
      <c r="K386" s="4665"/>
      <c r="L386" s="4665"/>
      <c r="M386" s="4665"/>
      <c r="N386" s="4665"/>
      <c r="O386" s="4665"/>
      <c r="P386" s="4665"/>
      <c r="Q386" s="4665"/>
      <c r="R386" s="4665"/>
      <c r="S386" s="4665"/>
      <c r="T386" s="4665"/>
      <c r="U386" s="4665"/>
      <c r="V386" s="4665"/>
      <c r="W386" s="4665"/>
      <c r="X386" s="4665"/>
      <c r="Y386" s="4665"/>
      <c r="Z386" s="4665"/>
      <c r="AA386" s="4665"/>
      <c r="AB386" s="4665"/>
      <c r="AC386" s="4665"/>
      <c r="AD386" s="4665"/>
      <c r="AE386" s="4665"/>
      <c r="AF386" s="4665"/>
      <c r="AG386" s="4665"/>
      <c r="AH386" s="4665"/>
      <c r="AI386" s="4665"/>
      <c r="AJ386" s="4665"/>
      <c r="AK386" s="4665"/>
    </row>
    <row r="387" spans="1:37">
      <c r="A387" s="4665"/>
      <c r="B387" s="4665"/>
      <c r="C387" s="4665"/>
      <c r="D387" s="4665"/>
      <c r="E387" s="4665"/>
      <c r="F387" s="4665"/>
      <c r="G387" s="4665"/>
      <c r="H387" s="4665"/>
      <c r="I387" s="4665"/>
      <c r="J387" s="4665"/>
      <c r="K387" s="4665"/>
      <c r="L387" s="4665"/>
      <c r="M387" s="4665"/>
      <c r="N387" s="4665"/>
      <c r="O387" s="4665"/>
      <c r="P387" s="4665"/>
      <c r="Q387" s="4665"/>
      <c r="R387" s="4665"/>
      <c r="S387" s="4665"/>
      <c r="T387" s="4665"/>
      <c r="U387" s="4665"/>
      <c r="V387" s="4665"/>
      <c r="W387" s="4665"/>
      <c r="X387" s="4665"/>
      <c r="Y387" s="4665"/>
      <c r="Z387" s="4665"/>
      <c r="AA387" s="4665"/>
      <c r="AB387" s="4665"/>
      <c r="AC387" s="4665"/>
      <c r="AD387" s="4665"/>
      <c r="AE387" s="4665"/>
      <c r="AF387" s="4665"/>
      <c r="AG387" s="4665"/>
      <c r="AH387" s="4665"/>
      <c r="AI387" s="4665"/>
      <c r="AJ387" s="4665"/>
      <c r="AK387" s="4665"/>
    </row>
    <row r="388" spans="1:37">
      <c r="A388" s="4665"/>
      <c r="B388" s="4665"/>
      <c r="C388" s="4665"/>
      <c r="D388" s="4665"/>
      <c r="E388" s="4665"/>
      <c r="F388" s="4665"/>
      <c r="G388" s="4665"/>
      <c r="H388" s="4665"/>
      <c r="I388" s="4665"/>
      <c r="J388" s="4665"/>
      <c r="K388" s="4665"/>
      <c r="L388" s="4665"/>
      <c r="M388" s="4665"/>
      <c r="N388" s="4665"/>
      <c r="O388" s="4665"/>
      <c r="P388" s="4665"/>
      <c r="Q388" s="4665"/>
      <c r="R388" s="4665"/>
      <c r="S388" s="4665"/>
      <c r="T388" s="4665"/>
      <c r="U388" s="4665"/>
      <c r="V388" s="4665"/>
      <c r="W388" s="4665"/>
      <c r="X388" s="4665"/>
      <c r="Y388" s="4665"/>
      <c r="Z388" s="4665"/>
      <c r="AA388" s="4665"/>
      <c r="AB388" s="4665"/>
      <c r="AC388" s="4665"/>
      <c r="AD388" s="4665"/>
      <c r="AE388" s="4665"/>
      <c r="AF388" s="4665"/>
      <c r="AG388" s="4665"/>
      <c r="AH388" s="4665"/>
      <c r="AI388" s="4665"/>
      <c r="AJ388" s="4665"/>
      <c r="AK388" s="4665"/>
    </row>
    <row r="389" spans="1:37">
      <c r="A389" s="4665"/>
      <c r="B389" s="4665"/>
      <c r="C389" s="4665"/>
      <c r="D389" s="4665"/>
      <c r="E389" s="4665"/>
      <c r="F389" s="4665"/>
      <c r="G389" s="4665"/>
      <c r="H389" s="4665"/>
      <c r="I389" s="4665"/>
      <c r="J389" s="4665"/>
      <c r="K389" s="4665"/>
      <c r="L389" s="4665"/>
      <c r="M389" s="4665"/>
      <c r="N389" s="4665"/>
      <c r="O389" s="4665"/>
      <c r="P389" s="4665"/>
      <c r="Q389" s="4665"/>
      <c r="R389" s="4665"/>
      <c r="S389" s="4665"/>
      <c r="T389" s="4665"/>
      <c r="U389" s="4665"/>
      <c r="V389" s="4665"/>
      <c r="W389" s="4665"/>
      <c r="X389" s="4665"/>
      <c r="Y389" s="4665"/>
      <c r="Z389" s="4665"/>
      <c r="AA389" s="4665"/>
      <c r="AB389" s="4665"/>
      <c r="AC389" s="4665"/>
      <c r="AD389" s="4665"/>
      <c r="AE389" s="4665"/>
      <c r="AF389" s="4665"/>
      <c r="AG389" s="4665"/>
      <c r="AH389" s="4665"/>
      <c r="AI389" s="4665"/>
      <c r="AJ389" s="4665"/>
      <c r="AK389" s="4665"/>
    </row>
    <row r="390" spans="1:37">
      <c r="A390" s="4665"/>
      <c r="B390" s="4665"/>
      <c r="C390" s="4665"/>
      <c r="D390" s="4665"/>
      <c r="E390" s="4665"/>
      <c r="F390" s="4665"/>
      <c r="G390" s="4665"/>
      <c r="H390" s="4665"/>
      <c r="I390" s="4665"/>
      <c r="J390" s="4665"/>
      <c r="K390" s="4665"/>
      <c r="L390" s="4665"/>
      <c r="M390" s="4665"/>
      <c r="N390" s="4665"/>
      <c r="O390" s="4665"/>
      <c r="P390" s="4665"/>
      <c r="Q390" s="4665"/>
      <c r="R390" s="4665"/>
      <c r="S390" s="4665"/>
      <c r="T390" s="4665"/>
      <c r="U390" s="4665"/>
      <c r="V390" s="4665"/>
      <c r="W390" s="4665"/>
      <c r="X390" s="4665"/>
      <c r="Y390" s="4665"/>
      <c r="Z390" s="4665"/>
      <c r="AA390" s="4665"/>
      <c r="AB390" s="4665"/>
      <c r="AC390" s="4665"/>
      <c r="AD390" s="4665"/>
      <c r="AE390" s="4665"/>
      <c r="AF390" s="4665"/>
      <c r="AG390" s="4665"/>
      <c r="AH390" s="4665"/>
      <c r="AI390" s="4665"/>
      <c r="AJ390" s="4665"/>
      <c r="AK390" s="4665"/>
    </row>
    <row r="391" spans="1:37">
      <c r="A391" s="4665"/>
      <c r="B391" s="4665"/>
      <c r="C391" s="4665"/>
      <c r="D391" s="4665"/>
      <c r="E391" s="4665"/>
      <c r="F391" s="4665"/>
      <c r="G391" s="4665"/>
      <c r="H391" s="4665"/>
      <c r="I391" s="4665"/>
      <c r="J391" s="4665"/>
      <c r="K391" s="4665"/>
      <c r="L391" s="4665"/>
      <c r="M391" s="4665"/>
      <c r="N391" s="4665"/>
      <c r="O391" s="4665"/>
      <c r="P391" s="4665"/>
      <c r="Q391" s="4665"/>
      <c r="R391" s="4665"/>
      <c r="S391" s="4665"/>
      <c r="T391" s="4665"/>
      <c r="U391" s="4665"/>
      <c r="V391" s="4665"/>
      <c r="W391" s="4665"/>
      <c r="X391" s="4665"/>
      <c r="Y391" s="4665"/>
      <c r="Z391" s="4665"/>
      <c r="AA391" s="4665"/>
      <c r="AB391" s="4665"/>
      <c r="AC391" s="4665"/>
      <c r="AD391" s="4665"/>
      <c r="AE391" s="4665"/>
      <c r="AF391" s="4665"/>
      <c r="AG391" s="4665"/>
      <c r="AH391" s="4665"/>
      <c r="AI391" s="4665"/>
      <c r="AJ391" s="4665"/>
      <c r="AK391" s="4665"/>
    </row>
    <row r="392" spans="1:37">
      <c r="A392" s="4665"/>
      <c r="B392" s="4665"/>
      <c r="C392" s="4665"/>
      <c r="D392" s="4665"/>
      <c r="E392" s="4665"/>
      <c r="F392" s="4665"/>
      <c r="G392" s="4665"/>
      <c r="H392" s="4665"/>
      <c r="I392" s="4665"/>
      <c r="J392" s="4665"/>
      <c r="K392" s="4665"/>
      <c r="L392" s="4665"/>
      <c r="M392" s="4665"/>
      <c r="N392" s="4665"/>
      <c r="O392" s="4665"/>
      <c r="P392" s="4665"/>
      <c r="Q392" s="4665"/>
      <c r="R392" s="4665"/>
      <c r="S392" s="4665"/>
      <c r="T392" s="4665"/>
      <c r="U392" s="4665"/>
      <c r="V392" s="4665"/>
      <c r="W392" s="4665"/>
      <c r="X392" s="4665"/>
      <c r="Y392" s="4665"/>
      <c r="Z392" s="4665"/>
      <c r="AA392" s="4665"/>
      <c r="AB392" s="4665"/>
      <c r="AC392" s="4665"/>
      <c r="AD392" s="4665"/>
      <c r="AE392" s="4665"/>
      <c r="AF392" s="4665"/>
      <c r="AG392" s="4665"/>
      <c r="AH392" s="4665"/>
      <c r="AI392" s="4665"/>
      <c r="AJ392" s="4665"/>
      <c r="AK392" s="4665"/>
    </row>
    <row r="393" spans="1:37">
      <c r="A393" s="4665"/>
      <c r="B393" s="4665"/>
      <c r="C393" s="4665"/>
      <c r="D393" s="4665"/>
      <c r="E393" s="4665"/>
      <c r="F393" s="4665"/>
      <c r="G393" s="4665"/>
      <c r="H393" s="4665"/>
      <c r="I393" s="4665"/>
      <c r="J393" s="4665"/>
      <c r="K393" s="4665"/>
      <c r="L393" s="4665"/>
      <c r="M393" s="4665"/>
      <c r="N393" s="4665"/>
      <c r="O393" s="4665"/>
      <c r="P393" s="4665"/>
      <c r="Q393" s="4665"/>
      <c r="R393" s="4665"/>
      <c r="S393" s="4665"/>
      <c r="T393" s="4665"/>
      <c r="U393" s="4665"/>
      <c r="V393" s="4665"/>
      <c r="W393" s="4665"/>
      <c r="X393" s="4665"/>
      <c r="Y393" s="4665"/>
      <c r="Z393" s="4665"/>
      <c r="AA393" s="4665"/>
      <c r="AB393" s="4665"/>
      <c r="AC393" s="4665"/>
      <c r="AD393" s="4665"/>
      <c r="AE393" s="4665"/>
      <c r="AF393" s="4665"/>
      <c r="AG393" s="4665"/>
      <c r="AH393" s="4665"/>
      <c r="AI393" s="4665"/>
      <c r="AJ393" s="4665"/>
      <c r="AK393" s="4665"/>
    </row>
    <row r="394" spans="1:37">
      <c r="A394" s="4665"/>
      <c r="B394" s="4665"/>
      <c r="C394" s="4665"/>
      <c r="D394" s="4665"/>
      <c r="E394" s="4665"/>
      <c r="F394" s="4665"/>
      <c r="G394" s="4665"/>
      <c r="H394" s="4665"/>
      <c r="I394" s="4665"/>
      <c r="J394" s="4665"/>
      <c r="K394" s="4665"/>
      <c r="L394" s="4665"/>
      <c r="M394" s="4665"/>
      <c r="N394" s="4665"/>
      <c r="O394" s="4665"/>
      <c r="P394" s="4665"/>
      <c r="Q394" s="4665"/>
      <c r="R394" s="4665"/>
      <c r="S394" s="4665"/>
      <c r="T394" s="4665"/>
      <c r="U394" s="4665"/>
      <c r="V394" s="4665"/>
      <c r="W394" s="4665"/>
      <c r="X394" s="4665"/>
      <c r="Y394" s="4665"/>
      <c r="Z394" s="4665"/>
      <c r="AA394" s="4665"/>
      <c r="AB394" s="4665"/>
      <c r="AC394" s="4665"/>
      <c r="AD394" s="4665"/>
      <c r="AE394" s="4665"/>
      <c r="AF394" s="4665"/>
      <c r="AG394" s="4665"/>
      <c r="AH394" s="4665"/>
      <c r="AI394" s="4665"/>
      <c r="AJ394" s="4665"/>
      <c r="AK394" s="4665"/>
    </row>
    <row r="395" spans="1:37">
      <c r="A395" s="4665"/>
      <c r="B395" s="4665"/>
      <c r="C395" s="4665"/>
      <c r="D395" s="4665"/>
      <c r="E395" s="4665"/>
      <c r="F395" s="4665"/>
      <c r="G395" s="4665"/>
      <c r="H395" s="4665"/>
      <c r="I395" s="4665"/>
      <c r="J395" s="4665"/>
      <c r="K395" s="4665"/>
      <c r="L395" s="4665"/>
      <c r="M395" s="4665"/>
      <c r="N395" s="4665"/>
      <c r="O395" s="4665"/>
      <c r="P395" s="4665"/>
      <c r="Q395" s="4665"/>
      <c r="R395" s="4665"/>
      <c r="S395" s="4665"/>
      <c r="T395" s="4665"/>
      <c r="U395" s="4665"/>
      <c r="V395" s="4665"/>
      <c r="W395" s="4665"/>
      <c r="X395" s="4665"/>
      <c r="Y395" s="4665"/>
      <c r="Z395" s="4665"/>
      <c r="AA395" s="4665"/>
      <c r="AB395" s="4665"/>
      <c r="AC395" s="4665"/>
      <c r="AD395" s="4665"/>
      <c r="AE395" s="4665"/>
      <c r="AF395" s="4665"/>
      <c r="AG395" s="4665"/>
      <c r="AH395" s="4665"/>
      <c r="AI395" s="4665"/>
      <c r="AJ395" s="4665"/>
      <c r="AK395" s="4665"/>
    </row>
    <row r="396" spans="1:37">
      <c r="A396" s="4665"/>
      <c r="B396" s="4665"/>
      <c r="C396" s="4665"/>
      <c r="D396" s="4665"/>
      <c r="E396" s="4665"/>
      <c r="F396" s="4665"/>
      <c r="G396" s="4665"/>
      <c r="H396" s="4665"/>
      <c r="I396" s="4665"/>
      <c r="J396" s="4665"/>
      <c r="K396" s="4665"/>
      <c r="L396" s="4665"/>
      <c r="M396" s="4665"/>
      <c r="N396" s="4665"/>
      <c r="O396" s="4665"/>
      <c r="P396" s="4665"/>
      <c r="Q396" s="4665"/>
      <c r="R396" s="4665"/>
      <c r="S396" s="4665"/>
      <c r="T396" s="4665"/>
      <c r="U396" s="4665"/>
      <c r="V396" s="4665"/>
      <c r="W396" s="4665"/>
      <c r="X396" s="4665"/>
      <c r="Y396" s="4665"/>
      <c r="Z396" s="4665"/>
      <c r="AA396" s="4665"/>
      <c r="AB396" s="4665"/>
      <c r="AC396" s="4665"/>
      <c r="AD396" s="4665"/>
      <c r="AE396" s="4665"/>
      <c r="AF396" s="4665"/>
      <c r="AG396" s="4665"/>
      <c r="AH396" s="4665"/>
      <c r="AI396" s="4665"/>
      <c r="AJ396" s="4665"/>
      <c r="AK396" s="4665"/>
    </row>
    <row r="397" spans="1:37">
      <c r="A397" s="4665"/>
      <c r="B397" s="4665"/>
      <c r="C397" s="4665"/>
      <c r="D397" s="4665"/>
      <c r="E397" s="4665"/>
      <c r="F397" s="4665"/>
      <c r="G397" s="4665"/>
      <c r="H397" s="4665"/>
      <c r="I397" s="4665"/>
      <c r="J397" s="4665"/>
      <c r="K397" s="4665"/>
      <c r="L397" s="4665"/>
      <c r="M397" s="4665"/>
      <c r="N397" s="4665"/>
      <c r="O397" s="4665"/>
      <c r="P397" s="4665"/>
      <c r="Q397" s="4665"/>
      <c r="R397" s="4665"/>
      <c r="S397" s="4665"/>
      <c r="T397" s="4665"/>
      <c r="U397" s="4665"/>
      <c r="V397" s="4665"/>
      <c r="W397" s="4665"/>
      <c r="X397" s="4665"/>
      <c r="Y397" s="4665"/>
      <c r="Z397" s="4665"/>
      <c r="AA397" s="4665"/>
      <c r="AB397" s="4665"/>
      <c r="AC397" s="4665"/>
      <c r="AD397" s="4665"/>
      <c r="AE397" s="4665"/>
      <c r="AF397" s="4665"/>
      <c r="AG397" s="4665"/>
      <c r="AH397" s="4665"/>
      <c r="AI397" s="4665"/>
      <c r="AJ397" s="4665"/>
      <c r="AK397" s="4665"/>
    </row>
    <row r="398" spans="1:37">
      <c r="A398" s="4665"/>
      <c r="B398" s="4665"/>
      <c r="C398" s="4665"/>
      <c r="D398" s="4665"/>
      <c r="E398" s="4665"/>
      <c r="F398" s="4665"/>
      <c r="G398" s="4665"/>
      <c r="H398" s="4665"/>
      <c r="I398" s="4665"/>
      <c r="J398" s="4665"/>
      <c r="K398" s="4665"/>
      <c r="L398" s="4665"/>
      <c r="M398" s="4665"/>
      <c r="N398" s="4665"/>
      <c r="O398" s="4665"/>
      <c r="P398" s="4665"/>
      <c r="Q398" s="4665"/>
      <c r="R398" s="4665"/>
      <c r="S398" s="4665"/>
      <c r="T398" s="4665"/>
      <c r="U398" s="4665"/>
      <c r="V398" s="4665"/>
      <c r="W398" s="4665"/>
      <c r="X398" s="4665"/>
      <c r="Y398" s="4665"/>
      <c r="Z398" s="4665"/>
      <c r="AA398" s="4665"/>
      <c r="AB398" s="4665"/>
      <c r="AC398" s="4665"/>
      <c r="AD398" s="4665"/>
      <c r="AE398" s="4665"/>
      <c r="AF398" s="4665"/>
      <c r="AG398" s="4665"/>
      <c r="AH398" s="4665"/>
      <c r="AI398" s="4665"/>
      <c r="AJ398" s="4665"/>
      <c r="AK398" s="4665"/>
    </row>
    <row r="399" spans="1:37">
      <c r="A399" s="4665"/>
      <c r="B399" s="4665"/>
      <c r="C399" s="4665"/>
      <c r="D399" s="4665"/>
      <c r="E399" s="4665"/>
      <c r="F399" s="4665"/>
      <c r="G399" s="4665"/>
      <c r="H399" s="4665"/>
      <c r="I399" s="4665"/>
      <c r="J399" s="4665"/>
      <c r="K399" s="4665"/>
      <c r="L399" s="4665"/>
      <c r="M399" s="4665"/>
      <c r="N399" s="4665"/>
      <c r="O399" s="4665"/>
      <c r="P399" s="4665"/>
      <c r="Q399" s="4665"/>
      <c r="R399" s="4665"/>
      <c r="S399" s="4665"/>
      <c r="T399" s="4665"/>
      <c r="U399" s="4665"/>
      <c r="V399" s="4665"/>
      <c r="W399" s="4665"/>
      <c r="X399" s="4665"/>
      <c r="Y399" s="4665"/>
      <c r="Z399" s="4665"/>
      <c r="AA399" s="4665"/>
      <c r="AB399" s="4665"/>
      <c r="AC399" s="4665"/>
      <c r="AD399" s="4665"/>
      <c r="AE399" s="4665"/>
      <c r="AF399" s="4665"/>
      <c r="AG399" s="4665"/>
      <c r="AH399" s="4665"/>
      <c r="AI399" s="4665"/>
      <c r="AJ399" s="4665"/>
      <c r="AK399" s="4665"/>
    </row>
    <row r="400" spans="1:37">
      <c r="A400" s="4665"/>
      <c r="B400" s="4665"/>
      <c r="C400" s="4665"/>
      <c r="D400" s="4665"/>
      <c r="E400" s="4665"/>
      <c r="F400" s="4665"/>
      <c r="G400" s="4665"/>
      <c r="H400" s="4665"/>
      <c r="I400" s="4665"/>
      <c r="J400" s="4665"/>
      <c r="K400" s="4665"/>
      <c r="L400" s="4665"/>
      <c r="M400" s="4665"/>
      <c r="N400" s="4665"/>
      <c r="O400" s="4665"/>
      <c r="P400" s="4665"/>
      <c r="Q400" s="4665"/>
      <c r="R400" s="4665"/>
      <c r="S400" s="4665"/>
      <c r="T400" s="4665"/>
      <c r="U400" s="4665"/>
      <c r="V400" s="4665"/>
      <c r="W400" s="4665"/>
      <c r="X400" s="4665"/>
      <c r="Y400" s="4665"/>
      <c r="Z400" s="4665"/>
      <c r="AA400" s="4665"/>
      <c r="AB400" s="4665"/>
      <c r="AC400" s="4665"/>
      <c r="AD400" s="4665"/>
      <c r="AE400" s="4665"/>
      <c r="AF400" s="4665"/>
      <c r="AG400" s="4665"/>
      <c r="AH400" s="4665"/>
      <c r="AI400" s="4665"/>
      <c r="AJ400" s="4665"/>
      <c r="AK400" s="4665"/>
    </row>
    <row r="401" spans="1:37">
      <c r="A401" s="4665"/>
      <c r="B401" s="4665"/>
      <c r="C401" s="4665"/>
      <c r="D401" s="4665"/>
      <c r="E401" s="4665"/>
      <c r="F401" s="4665"/>
      <c r="G401" s="4665"/>
      <c r="H401" s="4665"/>
      <c r="I401" s="4665"/>
      <c r="J401" s="4665"/>
      <c r="K401" s="4665"/>
      <c r="L401" s="4665"/>
      <c r="M401" s="4665"/>
      <c r="N401" s="4665"/>
      <c r="O401" s="4665"/>
      <c r="P401" s="4665"/>
      <c r="Q401" s="4665"/>
      <c r="R401" s="4665"/>
      <c r="S401" s="4665"/>
      <c r="T401" s="4665"/>
      <c r="U401" s="4665"/>
      <c r="V401" s="4665"/>
      <c r="W401" s="4665"/>
      <c r="X401" s="4665"/>
      <c r="Y401" s="4665"/>
      <c r="Z401" s="4665"/>
      <c r="AA401" s="4665"/>
      <c r="AB401" s="4665"/>
      <c r="AC401" s="4665"/>
      <c r="AD401" s="4665"/>
      <c r="AE401" s="4665"/>
      <c r="AF401" s="4665"/>
      <c r="AG401" s="4665"/>
      <c r="AH401" s="4665"/>
      <c r="AI401" s="4665"/>
      <c r="AJ401" s="4665"/>
      <c r="AK401" s="4665"/>
    </row>
    <row r="402" spans="1:37">
      <c r="A402" s="4665"/>
      <c r="B402" s="4665"/>
      <c r="C402" s="4665"/>
      <c r="D402" s="4665"/>
      <c r="E402" s="4665"/>
      <c r="F402" s="4665"/>
      <c r="G402" s="4665"/>
      <c r="H402" s="4665"/>
      <c r="I402" s="4665"/>
      <c r="J402" s="4665"/>
      <c r="K402" s="4665"/>
      <c r="L402" s="4665"/>
      <c r="M402" s="4665"/>
      <c r="N402" s="4665"/>
      <c r="O402" s="4665"/>
      <c r="P402" s="4665"/>
      <c r="Q402" s="4665"/>
      <c r="R402" s="4665"/>
      <c r="S402" s="4665"/>
      <c r="T402" s="4665"/>
      <c r="U402" s="4665"/>
      <c r="V402" s="4665"/>
      <c r="W402" s="4665"/>
      <c r="X402" s="4665"/>
      <c r="Y402" s="4665"/>
      <c r="Z402" s="4665"/>
      <c r="AA402" s="4665"/>
      <c r="AB402" s="4665"/>
      <c r="AC402" s="4665"/>
      <c r="AD402" s="4665"/>
      <c r="AE402" s="4665"/>
      <c r="AF402" s="4665"/>
      <c r="AG402" s="4665"/>
      <c r="AH402" s="4665"/>
      <c r="AI402" s="4665"/>
      <c r="AJ402" s="4665"/>
      <c r="AK402" s="4665"/>
    </row>
    <row r="403" spans="1:37">
      <c r="A403" s="4665"/>
      <c r="B403" s="4665"/>
      <c r="C403" s="4665"/>
      <c r="D403" s="4665"/>
      <c r="E403" s="4665"/>
      <c r="F403" s="4665"/>
      <c r="G403" s="4665"/>
      <c r="H403" s="4665"/>
      <c r="I403" s="4665"/>
      <c r="J403" s="4665"/>
      <c r="K403" s="4665"/>
      <c r="L403" s="4665"/>
      <c r="M403" s="4665"/>
      <c r="N403" s="4665"/>
      <c r="O403" s="4665"/>
      <c r="P403" s="4665"/>
      <c r="Q403" s="4665"/>
      <c r="R403" s="4665"/>
      <c r="S403" s="4665"/>
      <c r="T403" s="4665"/>
      <c r="U403" s="4665"/>
      <c r="V403" s="4665"/>
      <c r="W403" s="4665"/>
      <c r="X403" s="4665"/>
      <c r="Y403" s="4665"/>
      <c r="Z403" s="4665"/>
      <c r="AA403" s="4665"/>
      <c r="AB403" s="4665"/>
      <c r="AC403" s="4665"/>
      <c r="AD403" s="4665"/>
      <c r="AE403" s="4665"/>
      <c r="AF403" s="4665"/>
      <c r="AG403" s="4665"/>
      <c r="AH403" s="4665"/>
      <c r="AI403" s="4665"/>
      <c r="AJ403" s="4665"/>
      <c r="AK403" s="4665"/>
    </row>
    <row r="404" spans="1:37">
      <c r="A404" s="4665"/>
      <c r="B404" s="4665"/>
      <c r="C404" s="4665"/>
      <c r="D404" s="4665"/>
      <c r="E404" s="4665"/>
      <c r="F404" s="4665"/>
      <c r="G404" s="4665"/>
      <c r="H404" s="4665"/>
      <c r="I404" s="4665"/>
      <c r="J404" s="4665"/>
      <c r="K404" s="4665"/>
      <c r="L404" s="4665"/>
      <c r="M404" s="4665"/>
      <c r="N404" s="4665"/>
      <c r="O404" s="4665"/>
      <c r="P404" s="4665"/>
      <c r="Q404" s="4665"/>
      <c r="R404" s="4665"/>
      <c r="S404" s="4665"/>
      <c r="T404" s="4665"/>
      <c r="U404" s="4665"/>
      <c r="V404" s="4665"/>
      <c r="W404" s="4665"/>
      <c r="X404" s="4665"/>
      <c r="Y404" s="4665"/>
      <c r="Z404" s="4665"/>
      <c r="AA404" s="4665"/>
      <c r="AB404" s="4665"/>
      <c r="AC404" s="4665"/>
      <c r="AD404" s="4665"/>
      <c r="AE404" s="4665"/>
      <c r="AF404" s="4665"/>
      <c r="AG404" s="4665"/>
      <c r="AH404" s="4665"/>
      <c r="AI404" s="4665"/>
      <c r="AJ404" s="4665"/>
      <c r="AK404" s="4665"/>
    </row>
    <row r="405" spans="1:37">
      <c r="A405" s="4665"/>
      <c r="B405" s="4665"/>
      <c r="C405" s="4665"/>
      <c r="D405" s="4665"/>
      <c r="E405" s="4665"/>
      <c r="F405" s="4665"/>
      <c r="G405" s="4665"/>
      <c r="H405" s="4665"/>
      <c r="I405" s="4665"/>
      <c r="J405" s="4665"/>
      <c r="K405" s="4665"/>
      <c r="L405" s="4665"/>
      <c r="M405" s="4665"/>
      <c r="N405" s="4665"/>
      <c r="O405" s="4665"/>
      <c r="P405" s="4665"/>
      <c r="Q405" s="4665"/>
      <c r="R405" s="4665"/>
      <c r="S405" s="4665"/>
      <c r="T405" s="4665"/>
      <c r="U405" s="4665"/>
      <c r="V405" s="4665"/>
      <c r="W405" s="4665"/>
      <c r="X405" s="4665"/>
      <c r="Y405" s="4665"/>
      <c r="Z405" s="4665"/>
      <c r="AA405" s="4665"/>
      <c r="AB405" s="4665"/>
      <c r="AC405" s="4665"/>
      <c r="AD405" s="4665"/>
      <c r="AE405" s="4665"/>
      <c r="AF405" s="4665"/>
      <c r="AG405" s="4665"/>
      <c r="AH405" s="4665"/>
      <c r="AI405" s="4665"/>
      <c r="AJ405" s="4665"/>
      <c r="AK405" s="4665"/>
    </row>
    <row r="406" spans="1:37">
      <c r="A406" s="4665"/>
      <c r="B406" s="4665"/>
      <c r="C406" s="4665"/>
      <c r="D406" s="4665"/>
      <c r="E406" s="4665"/>
      <c r="F406" s="4665"/>
      <c r="G406" s="4665"/>
      <c r="H406" s="4665"/>
      <c r="I406" s="4665"/>
      <c r="J406" s="4665"/>
      <c r="K406" s="4665"/>
      <c r="L406" s="4665"/>
      <c r="M406" s="4665"/>
      <c r="N406" s="4665"/>
      <c r="O406" s="4665"/>
      <c r="P406" s="4665"/>
      <c r="Q406" s="4665"/>
      <c r="R406" s="4665"/>
      <c r="S406" s="4665"/>
      <c r="T406" s="4665"/>
      <c r="U406" s="4665"/>
      <c r="V406" s="4665"/>
      <c r="W406" s="4665"/>
      <c r="X406" s="4665"/>
      <c r="Y406" s="4665"/>
      <c r="Z406" s="4665"/>
      <c r="AA406" s="4665"/>
      <c r="AB406" s="4665"/>
      <c r="AC406" s="4665"/>
      <c r="AD406" s="4665"/>
      <c r="AE406" s="4665"/>
      <c r="AF406" s="4665"/>
      <c r="AG406" s="4665"/>
      <c r="AH406" s="4665"/>
      <c r="AI406" s="4665"/>
      <c r="AJ406" s="4665"/>
      <c r="AK406" s="4665"/>
    </row>
    <row r="407" spans="1:37">
      <c r="A407" s="4665"/>
      <c r="B407" s="4665"/>
      <c r="C407" s="4665"/>
      <c r="D407" s="4665"/>
      <c r="E407" s="4665"/>
      <c r="F407" s="4665"/>
      <c r="G407" s="4665"/>
      <c r="H407" s="4665"/>
      <c r="I407" s="4665"/>
      <c r="J407" s="4665"/>
      <c r="K407" s="4665"/>
      <c r="L407" s="4665"/>
      <c r="M407" s="4665"/>
      <c r="N407" s="4665"/>
      <c r="O407" s="4665"/>
      <c r="P407" s="4665"/>
      <c r="Q407" s="4665"/>
      <c r="R407" s="4665"/>
      <c r="S407" s="4665"/>
      <c r="T407" s="4665"/>
      <c r="U407" s="4665"/>
      <c r="V407" s="4665"/>
      <c r="W407" s="4665"/>
      <c r="X407" s="4665"/>
      <c r="Y407" s="4665"/>
      <c r="Z407" s="4665"/>
      <c r="AA407" s="4665"/>
      <c r="AB407" s="4665"/>
      <c r="AC407" s="4665"/>
      <c r="AD407" s="4665"/>
      <c r="AE407" s="4665"/>
      <c r="AF407" s="4665"/>
      <c r="AG407" s="4665"/>
      <c r="AH407" s="4665"/>
      <c r="AI407" s="4665"/>
      <c r="AJ407" s="4665"/>
      <c r="AK407" s="4665"/>
    </row>
    <row r="408" spans="1:37">
      <c r="A408" s="4665"/>
      <c r="B408" s="4665"/>
      <c r="C408" s="4665"/>
      <c r="D408" s="4665"/>
      <c r="E408" s="4665"/>
      <c r="F408" s="4665"/>
      <c r="G408" s="4665"/>
      <c r="H408" s="4665"/>
      <c r="I408" s="4665"/>
      <c r="J408" s="4665"/>
      <c r="K408" s="4665"/>
      <c r="L408" s="4665"/>
      <c r="M408" s="4665"/>
      <c r="N408" s="4665"/>
      <c r="O408" s="4665"/>
      <c r="P408" s="4665"/>
      <c r="Q408" s="4665"/>
      <c r="R408" s="4665"/>
      <c r="S408" s="4665"/>
      <c r="T408" s="4665"/>
      <c r="U408" s="4665"/>
      <c r="V408" s="4665"/>
      <c r="W408" s="4665"/>
      <c r="X408" s="4665"/>
      <c r="Y408" s="4665"/>
      <c r="Z408" s="4665"/>
      <c r="AA408" s="4665"/>
      <c r="AB408" s="4665"/>
      <c r="AC408" s="4665"/>
      <c r="AD408" s="4665"/>
      <c r="AE408" s="4665"/>
      <c r="AF408" s="4665"/>
      <c r="AG408" s="4665"/>
      <c r="AH408" s="4665"/>
      <c r="AI408" s="4665"/>
      <c r="AJ408" s="4665"/>
      <c r="AK408" s="4665"/>
    </row>
    <row r="409" spans="1:37">
      <c r="A409" s="4665"/>
      <c r="B409" s="4665"/>
      <c r="C409" s="4665"/>
      <c r="D409" s="4665"/>
      <c r="E409" s="4665"/>
      <c r="F409" s="4665"/>
      <c r="G409" s="4665"/>
      <c r="H409" s="4665"/>
      <c r="I409" s="4665"/>
      <c r="J409" s="4665"/>
      <c r="K409" s="4665"/>
      <c r="L409" s="4665"/>
      <c r="M409" s="4665"/>
      <c r="N409" s="4665"/>
      <c r="O409" s="4665"/>
      <c r="P409" s="4665"/>
      <c r="Q409" s="4665"/>
      <c r="R409" s="4665"/>
      <c r="S409" s="4665"/>
      <c r="T409" s="4665"/>
      <c r="U409" s="4665"/>
      <c r="V409" s="4665"/>
      <c r="W409" s="4665"/>
      <c r="X409" s="4665"/>
      <c r="Y409" s="4665"/>
      <c r="Z409" s="4665"/>
      <c r="AA409" s="4665"/>
      <c r="AB409" s="4665"/>
      <c r="AC409" s="4665"/>
      <c r="AD409" s="4665"/>
      <c r="AE409" s="4665"/>
      <c r="AF409" s="4665"/>
      <c r="AG409" s="4665"/>
      <c r="AH409" s="4665"/>
      <c r="AI409" s="4665"/>
      <c r="AJ409" s="4665"/>
      <c r="AK409" s="4665"/>
    </row>
    <row r="410" spans="1:37">
      <c r="A410" s="4665"/>
      <c r="B410" s="4665"/>
      <c r="C410" s="4665"/>
      <c r="D410" s="4665"/>
      <c r="E410" s="4665"/>
      <c r="F410" s="4665"/>
      <c r="G410" s="4665"/>
      <c r="H410" s="4665"/>
      <c r="I410" s="4665"/>
      <c r="J410" s="4665"/>
      <c r="K410" s="4665"/>
      <c r="L410" s="4665"/>
      <c r="M410" s="4665"/>
      <c r="N410" s="4665"/>
      <c r="O410" s="4665"/>
      <c r="P410" s="4665"/>
      <c r="Q410" s="4665"/>
      <c r="R410" s="4665"/>
      <c r="S410" s="4665"/>
      <c r="T410" s="4665"/>
      <c r="U410" s="4665"/>
      <c r="V410" s="4665"/>
      <c r="W410" s="4665"/>
      <c r="X410" s="4665"/>
      <c r="Y410" s="4665"/>
      <c r="Z410" s="4665"/>
      <c r="AA410" s="4665"/>
      <c r="AB410" s="4665"/>
      <c r="AC410" s="4665"/>
      <c r="AD410" s="4665"/>
      <c r="AE410" s="4665"/>
      <c r="AF410" s="4665"/>
      <c r="AG410" s="4665"/>
      <c r="AH410" s="4665"/>
      <c r="AI410" s="4665"/>
      <c r="AJ410" s="4665"/>
      <c r="AK410" s="4665"/>
    </row>
    <row r="411" spans="1:37">
      <c r="A411" s="4665"/>
      <c r="B411" s="4665"/>
      <c r="C411" s="4665"/>
      <c r="D411" s="4665"/>
      <c r="E411" s="4665"/>
      <c r="F411" s="4665"/>
      <c r="G411" s="4665"/>
      <c r="H411" s="4665"/>
      <c r="I411" s="4665"/>
      <c r="J411" s="4665"/>
      <c r="K411" s="4665"/>
      <c r="L411" s="4665"/>
      <c r="M411" s="4665"/>
      <c r="N411" s="4665"/>
      <c r="O411" s="4665"/>
      <c r="P411" s="4665"/>
      <c r="Q411" s="4665"/>
      <c r="R411" s="4665"/>
      <c r="S411" s="4665"/>
      <c r="T411" s="4665"/>
      <c r="U411" s="4665"/>
      <c r="V411" s="4665"/>
      <c r="W411" s="4665"/>
      <c r="X411" s="4665"/>
      <c r="Y411" s="4665"/>
      <c r="Z411" s="4665"/>
      <c r="AA411" s="4665"/>
      <c r="AB411" s="4665"/>
      <c r="AC411" s="4665"/>
      <c r="AD411" s="4665"/>
      <c r="AE411" s="4665"/>
      <c r="AF411" s="4665"/>
      <c r="AG411" s="4665"/>
      <c r="AH411" s="4665"/>
      <c r="AI411" s="4665"/>
      <c r="AJ411" s="4665"/>
      <c r="AK411" s="4665"/>
    </row>
  </sheetData>
  <sheetProtection formatCells="0" formatColumns="0" formatRows="0" insertColumns="0" insertRows="0" insertHyperlinks="0" deleteColumns="0" deleteRows="0" sort="0" autoFilter="0" pivotTables="0"/>
  <mergeCells count="185">
    <mergeCell ref="Z215:Z216"/>
    <mergeCell ref="AA215:AA216"/>
    <mergeCell ref="AB215:AB216"/>
    <mergeCell ref="AC215:AC216"/>
    <mergeCell ref="AD215:AD216"/>
    <mergeCell ref="T215:T216"/>
    <mergeCell ref="U215:U216"/>
    <mergeCell ref="V215:V216"/>
    <mergeCell ref="W215:W216"/>
    <mergeCell ref="X215:X216"/>
    <mergeCell ref="Y215:Y216"/>
    <mergeCell ref="N215:N216"/>
    <mergeCell ref="O215:O216"/>
    <mergeCell ref="P215:P216"/>
    <mergeCell ref="Q215:Q216"/>
    <mergeCell ref="R215:R216"/>
    <mergeCell ref="S215:S216"/>
    <mergeCell ref="H215:H216"/>
    <mergeCell ref="I215:I216"/>
    <mergeCell ref="J215:J216"/>
    <mergeCell ref="K215:K216"/>
    <mergeCell ref="L215:L216"/>
    <mergeCell ref="M215:M216"/>
    <mergeCell ref="B215:B216"/>
    <mergeCell ref="C215:C216"/>
    <mergeCell ref="D215:D216"/>
    <mergeCell ref="E215:E216"/>
    <mergeCell ref="F215:F216"/>
    <mergeCell ref="G215:G216"/>
    <mergeCell ref="AC175:AC176"/>
    <mergeCell ref="AD175:AD176"/>
    <mergeCell ref="A214:A216"/>
    <mergeCell ref="B214:F214"/>
    <mergeCell ref="G214:K214"/>
    <mergeCell ref="L214:N214"/>
    <mergeCell ref="O214:S214"/>
    <mergeCell ref="T214:V214"/>
    <mergeCell ref="W214:AA214"/>
    <mergeCell ref="AB214:AD214"/>
    <mergeCell ref="W175:W176"/>
    <mergeCell ref="X175:X176"/>
    <mergeCell ref="Y175:Y176"/>
    <mergeCell ref="Z175:Z176"/>
    <mergeCell ref="AA175:AA176"/>
    <mergeCell ref="AB175:AB176"/>
    <mergeCell ref="Q175:Q176"/>
    <mergeCell ref="R175:R176"/>
    <mergeCell ref="AB174:AD174"/>
    <mergeCell ref="B175:B176"/>
    <mergeCell ref="C175:C176"/>
    <mergeCell ref="D175:D176"/>
    <mergeCell ref="E175:E176"/>
    <mergeCell ref="F175:F176"/>
    <mergeCell ref="G175:G176"/>
    <mergeCell ref="H175:H176"/>
    <mergeCell ref="I175:I176"/>
    <mergeCell ref="J175:J176"/>
    <mergeCell ref="S175:S176"/>
    <mergeCell ref="T175:T176"/>
    <mergeCell ref="U175:U176"/>
    <mergeCell ref="V175:V176"/>
    <mergeCell ref="K175:K176"/>
    <mergeCell ref="L175:L176"/>
    <mergeCell ref="M175:M176"/>
    <mergeCell ref="N175:N176"/>
    <mergeCell ref="O175:O176"/>
    <mergeCell ref="P175:P176"/>
    <mergeCell ref="A174:A176"/>
    <mergeCell ref="B174:F174"/>
    <mergeCell ref="G174:K174"/>
    <mergeCell ref="L174:N174"/>
    <mergeCell ref="O174:S174"/>
    <mergeCell ref="T174:V174"/>
    <mergeCell ref="W174:AA174"/>
    <mergeCell ref="V158:V159"/>
    <mergeCell ref="W158:W159"/>
    <mergeCell ref="X158:X159"/>
    <mergeCell ref="Y158:Y159"/>
    <mergeCell ref="Z158:Z159"/>
    <mergeCell ref="AA158:AA159"/>
    <mergeCell ref="P158:P159"/>
    <mergeCell ref="Q158:Q159"/>
    <mergeCell ref="R158:R159"/>
    <mergeCell ref="S158:S159"/>
    <mergeCell ref="T158:T159"/>
    <mergeCell ref="U158:U159"/>
    <mergeCell ref="J158:J159"/>
    <mergeCell ref="K158:K159"/>
    <mergeCell ref="A157:A159"/>
    <mergeCell ref="W23:W24"/>
    <mergeCell ref="O23:O24"/>
    <mergeCell ref="P23:P24"/>
    <mergeCell ref="Q23:Q24"/>
    <mergeCell ref="R23:R24"/>
    <mergeCell ref="S23:S24"/>
    <mergeCell ref="T23:T24"/>
    <mergeCell ref="AB157:AD157"/>
    <mergeCell ref="B158:B159"/>
    <mergeCell ref="C158:C159"/>
    <mergeCell ref="D158:D159"/>
    <mergeCell ref="E158:E159"/>
    <mergeCell ref="F158:F159"/>
    <mergeCell ref="G158:G159"/>
    <mergeCell ref="H158:H159"/>
    <mergeCell ref="I158:I159"/>
    <mergeCell ref="AB158:AB159"/>
    <mergeCell ref="AC158:AC159"/>
    <mergeCell ref="AD158:AD159"/>
    <mergeCell ref="B157:F157"/>
    <mergeCell ref="G157:K157"/>
    <mergeCell ref="L157:N157"/>
    <mergeCell ref="O157:S157"/>
    <mergeCell ref="T157:V157"/>
    <mergeCell ref="I23:I24"/>
    <mergeCell ref="J23:J24"/>
    <mergeCell ref="L158:L159"/>
    <mergeCell ref="M158:M159"/>
    <mergeCell ref="N158:N159"/>
    <mergeCell ref="O158:O159"/>
    <mergeCell ref="W157:AA157"/>
    <mergeCell ref="AB22:AD22"/>
    <mergeCell ref="B23:B24"/>
    <mergeCell ref="C23:C24"/>
    <mergeCell ref="D23:D24"/>
    <mergeCell ref="E23:E24"/>
    <mergeCell ref="F23:F24"/>
    <mergeCell ref="G23:G24"/>
    <mergeCell ref="H23:H24"/>
    <mergeCell ref="AA23:AA24"/>
    <mergeCell ref="AB23:AB24"/>
    <mergeCell ref="AC23:AC24"/>
    <mergeCell ref="AD23:AD24"/>
    <mergeCell ref="X23:X24"/>
    <mergeCell ref="Y23:Y24"/>
    <mergeCell ref="Z23:Z24"/>
    <mergeCell ref="U23:U24"/>
    <mergeCell ref="V23:V24"/>
    <mergeCell ref="A22:A24"/>
    <mergeCell ref="B22:F22"/>
    <mergeCell ref="G22:K22"/>
    <mergeCell ref="L22:N22"/>
    <mergeCell ref="O22:S22"/>
    <mergeCell ref="T6:T7"/>
    <mergeCell ref="U6:U7"/>
    <mergeCell ref="V6:V7"/>
    <mergeCell ref="W6:W7"/>
    <mergeCell ref="K23:K24"/>
    <mergeCell ref="L23:L24"/>
    <mergeCell ref="M23:M24"/>
    <mergeCell ref="N23:N24"/>
    <mergeCell ref="T22:V22"/>
    <mergeCell ref="W22:AA22"/>
    <mergeCell ref="X6:X7"/>
    <mergeCell ref="Y6:Y7"/>
    <mergeCell ref="N6:N7"/>
    <mergeCell ref="O6:O7"/>
    <mergeCell ref="P6:P7"/>
    <mergeCell ref="Q6:Q7"/>
    <mergeCell ref="R6:R7"/>
    <mergeCell ref="S6:S7"/>
    <mergeCell ref="A5:A7"/>
    <mergeCell ref="AB5:AD5"/>
    <mergeCell ref="B6:B7"/>
    <mergeCell ref="C6:C7"/>
    <mergeCell ref="D6:D7"/>
    <mergeCell ref="E6:E7"/>
    <mergeCell ref="F6:F7"/>
    <mergeCell ref="G6:G7"/>
    <mergeCell ref="H6:H7"/>
    <mergeCell ref="I6:I7"/>
    <mergeCell ref="B5:F5"/>
    <mergeCell ref="G5:K5"/>
    <mergeCell ref="L5:N5"/>
    <mergeCell ref="O5:S5"/>
    <mergeCell ref="T5:V5"/>
    <mergeCell ref="J6:J7"/>
    <mergeCell ref="K6:K7"/>
    <mergeCell ref="L6:L7"/>
    <mergeCell ref="M6:M7"/>
    <mergeCell ref="Z6:Z7"/>
    <mergeCell ref="AA6:AA7"/>
    <mergeCell ref="AB6:AB7"/>
    <mergeCell ref="AC6:AC7"/>
    <mergeCell ref="AD6:AD7"/>
    <mergeCell ref="W5:AA5"/>
  </mergeCells>
  <printOptions horizontalCentered="1"/>
  <pageMargins left="0.59055118110236227" right="0.19685039370078741" top="0.78740157480314965" bottom="0.39370078740157483" header="0" footer="0"/>
  <pageSetup paperSize="9" scale="65" orientation="landscape" verticalDpi="0" r:id="rId1"/>
</worksheet>
</file>

<file path=xl/worksheets/sheet50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V98"/>
  <sheetViews>
    <sheetView topLeftCell="F4" workbookViewId="0">
      <selection activeCell="K101" sqref="K101"/>
    </sheetView>
  </sheetViews>
  <sheetFormatPr defaultRowHeight="12.75"/>
  <cols>
    <col min="2" max="2" width="18.85546875" customWidth="1"/>
    <col min="3" max="3" width="43.7109375" customWidth="1"/>
    <col min="9" max="9" width="31.85546875" bestFit="1" customWidth="1"/>
    <col min="11" max="11" width="10.28515625" bestFit="1" customWidth="1"/>
  </cols>
  <sheetData>
    <row r="1" spans="1:11" ht="13.5" thickBot="1">
      <c r="I1" t="s">
        <v>1537</v>
      </c>
    </row>
    <row r="2" spans="1:11" ht="18.75">
      <c r="A2" s="6425" t="s">
        <v>806</v>
      </c>
      <c r="B2" s="6426"/>
      <c r="C2" s="6426"/>
      <c r="D2" s="6426"/>
      <c r="E2" s="6426"/>
      <c r="F2" s="6426"/>
      <c r="G2" s="6426"/>
      <c r="H2" s="6426"/>
      <c r="I2" s="6426"/>
      <c r="J2" s="6426"/>
      <c r="K2" s="6427"/>
    </row>
    <row r="3" spans="1:11" ht="13.5">
      <c r="A3" s="6428" t="s">
        <v>667</v>
      </c>
      <c r="B3" s="6419"/>
      <c r="C3" s="6419"/>
      <c r="D3" s="6419"/>
      <c r="E3" s="6419"/>
      <c r="F3" s="6419"/>
      <c r="G3" s="6419"/>
      <c r="H3" s="6419"/>
      <c r="I3" s="6419"/>
      <c r="J3" s="6419"/>
      <c r="K3" s="6429"/>
    </row>
    <row r="4" spans="1:11" ht="18.75">
      <c r="A4" s="823"/>
      <c r="B4" s="292"/>
      <c r="C4" s="292"/>
      <c r="D4" s="292"/>
      <c r="E4" s="292"/>
      <c r="F4" s="292"/>
      <c r="G4" s="292"/>
      <c r="H4" s="292"/>
      <c r="I4" s="292"/>
      <c r="J4" s="292"/>
      <c r="K4" s="824"/>
    </row>
    <row r="5" spans="1:11" ht="18.75">
      <c r="A5" s="6430" t="s">
        <v>807</v>
      </c>
      <c r="B5" s="6419"/>
      <c r="C5" s="6419"/>
      <c r="D5" s="6419"/>
      <c r="E5" s="6419"/>
      <c r="F5" s="6419"/>
      <c r="G5" s="6419"/>
      <c r="H5" s="6419"/>
      <c r="I5" s="6419"/>
      <c r="J5" s="6419"/>
      <c r="K5" s="6429"/>
    </row>
    <row r="6" spans="1:11" ht="18">
      <c r="A6" s="825" t="s">
        <v>669</v>
      </c>
      <c r="B6" s="292"/>
      <c r="C6" s="292"/>
      <c r="D6" s="292"/>
      <c r="E6" s="292"/>
      <c r="F6" s="292"/>
      <c r="G6" s="292"/>
      <c r="H6" s="292"/>
      <c r="I6" s="292"/>
      <c r="J6" s="292"/>
      <c r="K6" s="824"/>
    </row>
    <row r="7" spans="1:11" ht="15">
      <c r="A7" s="6431" t="s">
        <v>507</v>
      </c>
      <c r="B7" s="6419"/>
      <c r="C7" s="6419"/>
      <c r="D7" s="6419"/>
      <c r="E7" s="6419"/>
      <c r="F7" s="6419"/>
      <c r="G7" s="6419"/>
      <c r="H7" s="6419"/>
      <c r="I7" s="6419"/>
      <c r="J7" s="6419"/>
      <c r="K7" s="6429"/>
    </row>
    <row r="8" spans="1:11" ht="18.75">
      <c r="A8" s="1552"/>
      <c r="B8" s="292"/>
      <c r="C8" s="292"/>
      <c r="D8" s="292"/>
      <c r="E8" s="292"/>
      <c r="F8" s="292"/>
      <c r="G8" s="292"/>
      <c r="H8" s="292"/>
      <c r="I8" s="292"/>
      <c r="J8" s="292"/>
      <c r="K8" s="824"/>
    </row>
    <row r="9" spans="1:11">
      <c r="A9" s="6422" t="s">
        <v>670</v>
      </c>
      <c r="B9" s="6419"/>
      <c r="C9" s="6419"/>
      <c r="D9" s="6419"/>
      <c r="E9" s="6419"/>
      <c r="F9" s="6419"/>
      <c r="G9" s="6419"/>
      <c r="H9" s="6419"/>
      <c r="I9" s="6419"/>
      <c r="J9" s="6419"/>
      <c r="K9" s="6429"/>
    </row>
    <row r="10" spans="1:11" ht="13.5">
      <c r="A10" s="1554"/>
      <c r="B10" s="839"/>
      <c r="C10" s="292"/>
      <c r="D10" s="292"/>
      <c r="E10" s="292"/>
      <c r="F10" s="292"/>
      <c r="G10" s="292"/>
      <c r="H10" s="292"/>
      <c r="I10" s="292"/>
      <c r="J10" s="292"/>
      <c r="K10" s="824"/>
    </row>
    <row r="11" spans="1:11">
      <c r="A11" s="6422" t="s">
        <v>671</v>
      </c>
      <c r="B11" s="6419"/>
      <c r="C11" s="6419"/>
      <c r="D11" s="6424" t="s">
        <v>808</v>
      </c>
      <c r="E11" s="6419"/>
      <c r="F11" s="6419"/>
      <c r="G11" s="6419"/>
      <c r="H11" s="6419"/>
      <c r="I11" s="6419"/>
      <c r="J11" s="6419"/>
      <c r="K11" s="6429"/>
    </row>
    <row r="12" spans="1:11" ht="18.75">
      <c r="A12" s="1552"/>
      <c r="B12" s="292"/>
      <c r="C12" s="292"/>
      <c r="D12" s="292"/>
      <c r="E12" s="292"/>
      <c r="F12" s="292"/>
      <c r="G12" s="292"/>
      <c r="H12" s="292"/>
      <c r="I12" s="292"/>
      <c r="J12" s="292"/>
      <c r="K12" s="824"/>
    </row>
    <row r="13" spans="1:11" ht="12.75" customHeight="1">
      <c r="A13" s="6418" t="s">
        <v>673</v>
      </c>
      <c r="B13" s="6419"/>
      <c r="C13" s="6419"/>
      <c r="D13" s="6419"/>
      <c r="E13" s="6419"/>
      <c r="F13" s="6419"/>
      <c r="G13" s="6420" t="s">
        <v>809</v>
      </c>
      <c r="H13" s="6421" t="s">
        <v>675</v>
      </c>
      <c r="I13" s="292"/>
      <c r="J13" s="292"/>
      <c r="K13" s="824"/>
    </row>
    <row r="14" spans="1:11">
      <c r="A14" s="6418"/>
      <c r="B14" s="6419"/>
      <c r="C14" s="6419"/>
      <c r="D14" s="6419"/>
      <c r="E14" s="6419"/>
      <c r="F14" s="6419"/>
      <c r="G14" s="6420"/>
      <c r="H14" s="6421"/>
      <c r="I14" s="292"/>
      <c r="J14" s="292"/>
      <c r="K14" s="824"/>
    </row>
    <row r="15" spans="1:11" ht="15" customHeight="1">
      <c r="A15" s="6422" t="s">
        <v>676</v>
      </c>
      <c r="B15" s="6419"/>
      <c r="C15" s="6419"/>
      <c r="D15" s="6419"/>
      <c r="E15" s="6419"/>
      <c r="F15" s="6419"/>
      <c r="G15" s="6423">
        <v>854</v>
      </c>
      <c r="H15" s="6424" t="s">
        <v>677</v>
      </c>
      <c r="I15" s="292"/>
      <c r="J15" s="292"/>
      <c r="K15" s="824"/>
    </row>
    <row r="16" spans="1:11">
      <c r="A16" s="6422"/>
      <c r="B16" s="6419"/>
      <c r="C16" s="6419"/>
      <c r="D16" s="6419"/>
      <c r="E16" s="6419"/>
      <c r="F16" s="6419"/>
      <c r="G16" s="6423"/>
      <c r="H16" s="6424"/>
      <c r="I16" s="292"/>
      <c r="J16" s="292"/>
      <c r="K16" s="824"/>
    </row>
    <row r="17" spans="1:11" ht="13.5" customHeight="1">
      <c r="A17" s="6422" t="s">
        <v>678</v>
      </c>
      <c r="B17" s="6419"/>
      <c r="C17" s="6419"/>
      <c r="D17" s="6419"/>
      <c r="E17" s="6419"/>
      <c r="F17" s="6419"/>
      <c r="G17" s="6423" t="s">
        <v>810</v>
      </c>
      <c r="H17" s="6424" t="s">
        <v>675</v>
      </c>
      <c r="I17" s="292"/>
      <c r="J17" s="292"/>
      <c r="K17" s="824"/>
    </row>
    <row r="18" spans="1:11" ht="3.75" customHeight="1">
      <c r="A18" s="6422"/>
      <c r="B18" s="6419"/>
      <c r="C18" s="6419"/>
      <c r="D18" s="6419"/>
      <c r="E18" s="6419"/>
      <c r="F18" s="6419"/>
      <c r="G18" s="6423"/>
      <c r="H18" s="6424"/>
      <c r="I18" s="292"/>
      <c r="J18" s="292"/>
      <c r="K18" s="824"/>
    </row>
    <row r="19" spans="1:11" ht="19.5" thickBot="1">
      <c r="A19" s="846" t="s">
        <v>250</v>
      </c>
      <c r="B19" s="292"/>
      <c r="C19" s="292"/>
      <c r="D19" s="292"/>
      <c r="E19" s="292"/>
      <c r="F19" s="292"/>
      <c r="G19" s="292"/>
      <c r="H19" s="292"/>
      <c r="I19" s="292"/>
      <c r="J19" s="292"/>
      <c r="K19" s="824"/>
    </row>
    <row r="20" spans="1:11" ht="13.5" thickBot="1">
      <c r="A20" s="1546" t="s">
        <v>175</v>
      </c>
      <c r="B20" s="1546" t="s">
        <v>457</v>
      </c>
      <c r="C20" s="1546" t="s">
        <v>373</v>
      </c>
      <c r="D20" s="351"/>
      <c r="E20" s="6445" t="s">
        <v>458</v>
      </c>
      <c r="F20" s="6446"/>
      <c r="G20" s="6445" t="s">
        <v>459</v>
      </c>
      <c r="H20" s="6447"/>
      <c r="I20" s="6446"/>
      <c r="J20" s="6448" t="s">
        <v>460</v>
      </c>
      <c r="K20" s="6449"/>
    </row>
    <row r="21" spans="1:11" ht="13.5" thickBot="1">
      <c r="A21" s="354" t="s">
        <v>461</v>
      </c>
      <c r="B21" s="354" t="s">
        <v>462</v>
      </c>
      <c r="C21" s="354" t="s">
        <v>463</v>
      </c>
      <c r="D21" s="355" t="s">
        <v>464</v>
      </c>
      <c r="E21" s="1545" t="s">
        <v>465</v>
      </c>
      <c r="F21" s="1548" t="s">
        <v>466</v>
      </c>
      <c r="G21" s="354" t="s">
        <v>465</v>
      </c>
      <c r="H21" s="355" t="s">
        <v>467</v>
      </c>
      <c r="I21" s="357" t="s">
        <v>466</v>
      </c>
      <c r="J21" s="6433" t="s">
        <v>468</v>
      </c>
      <c r="K21" s="6434"/>
    </row>
    <row r="22" spans="1:11" ht="13.5" thickBot="1">
      <c r="A22" s="1544"/>
      <c r="B22" s="1544" t="s">
        <v>469</v>
      </c>
      <c r="C22" s="1544"/>
      <c r="D22" s="359"/>
      <c r="E22" s="1545" t="s">
        <v>467</v>
      </c>
      <c r="F22" s="357" t="s">
        <v>470</v>
      </c>
      <c r="G22" s="1547"/>
      <c r="H22" s="360"/>
      <c r="I22" s="357" t="s">
        <v>470</v>
      </c>
      <c r="J22" s="1544" t="s">
        <v>471</v>
      </c>
      <c r="K22" s="359" t="s">
        <v>465</v>
      </c>
    </row>
    <row r="23" spans="1:11" ht="13.5" thickBot="1">
      <c r="A23" s="830"/>
      <c r="B23" s="292"/>
      <c r="C23" s="292"/>
      <c r="D23" s="292"/>
      <c r="E23" s="292"/>
      <c r="F23" s="292"/>
      <c r="G23" s="292"/>
      <c r="H23" s="292"/>
      <c r="I23" s="292"/>
      <c r="J23" s="292"/>
      <c r="K23" s="824"/>
    </row>
    <row r="24" spans="1:11" ht="13.5" thickBot="1">
      <c r="A24" s="362">
        <v>1</v>
      </c>
      <c r="B24" s="363">
        <v>2</v>
      </c>
      <c r="C24" s="363">
        <v>3</v>
      </c>
      <c r="D24" s="363">
        <v>4</v>
      </c>
      <c r="E24" s="363">
        <v>5</v>
      </c>
      <c r="F24" s="363">
        <v>6</v>
      </c>
      <c r="G24" s="363">
        <v>7</v>
      </c>
      <c r="H24" s="363">
        <v>8</v>
      </c>
      <c r="I24" s="363">
        <v>9</v>
      </c>
      <c r="J24" s="363">
        <v>10</v>
      </c>
      <c r="K24" s="363">
        <v>11</v>
      </c>
    </row>
    <row r="25" spans="1:11" ht="13.5" thickBot="1">
      <c r="A25" s="816"/>
      <c r="B25" s="817"/>
      <c r="C25" s="817"/>
      <c r="D25" s="817"/>
      <c r="E25" s="817"/>
      <c r="F25" s="817"/>
      <c r="G25" s="817"/>
      <c r="H25" s="817"/>
      <c r="I25" s="817"/>
      <c r="J25" s="817"/>
      <c r="K25" s="817"/>
    </row>
    <row r="26" spans="1:11" ht="13.5" thickBot="1">
      <c r="A26" s="6435"/>
      <c r="B26" s="6436"/>
      <c r="C26" s="6436"/>
      <c r="D26" s="6436"/>
      <c r="E26" s="6436"/>
      <c r="F26" s="6436"/>
      <c r="G26" s="6436"/>
      <c r="H26" s="6436"/>
      <c r="I26" s="6436"/>
      <c r="J26" s="6436"/>
      <c r="K26" s="6437"/>
    </row>
    <row r="27" spans="1:11" ht="13.5" thickBot="1">
      <c r="A27" s="6438" t="s">
        <v>811</v>
      </c>
      <c r="B27" s="6439"/>
      <c r="C27" s="6439"/>
      <c r="D27" s="6439"/>
      <c r="E27" s="6439"/>
      <c r="F27" s="6439"/>
      <c r="G27" s="6439"/>
      <c r="H27" s="6439"/>
      <c r="I27" s="6439"/>
      <c r="J27" s="6439"/>
      <c r="K27" s="6440"/>
    </row>
    <row r="28" spans="1:11" ht="13.5" thickBot="1">
      <c r="A28" s="6435"/>
      <c r="B28" s="6436"/>
      <c r="C28" s="6436"/>
      <c r="D28" s="6436"/>
      <c r="E28" s="6436"/>
      <c r="F28" s="6436"/>
      <c r="G28" s="6436"/>
      <c r="H28" s="6436"/>
      <c r="I28" s="6436"/>
      <c r="J28" s="6436"/>
      <c r="K28" s="6437"/>
    </row>
    <row r="29" spans="1:11">
      <c r="A29" s="6441">
        <v>1</v>
      </c>
      <c r="B29" s="6443" t="s">
        <v>688</v>
      </c>
      <c r="C29" s="369" t="s">
        <v>752</v>
      </c>
      <c r="D29" s="370">
        <v>0.8</v>
      </c>
      <c r="E29" s="371">
        <v>21330.04</v>
      </c>
      <c r="F29" s="371">
        <v>21330.04</v>
      </c>
      <c r="G29" s="6441">
        <v>17064</v>
      </c>
      <c r="H29" s="6441">
        <v>0</v>
      </c>
      <c r="I29" s="371">
        <v>17064</v>
      </c>
      <c r="J29" s="371">
        <v>0</v>
      </c>
      <c r="K29" s="371">
        <v>0</v>
      </c>
    </row>
    <row r="30" spans="1:11" ht="34.5" customHeight="1" thickBot="1">
      <c r="A30" s="6442"/>
      <c r="B30" s="6444"/>
      <c r="C30" s="367" t="s">
        <v>812</v>
      </c>
      <c r="D30" s="368" t="s">
        <v>690</v>
      </c>
      <c r="E30" s="368">
        <v>0</v>
      </c>
      <c r="F30" s="368">
        <v>24389.57</v>
      </c>
      <c r="G30" s="6442"/>
      <c r="H30" s="6442"/>
      <c r="I30" s="368">
        <v>19512</v>
      </c>
      <c r="J30" s="368">
        <v>97.21</v>
      </c>
      <c r="K30" s="368">
        <v>77.77</v>
      </c>
    </row>
    <row r="31" spans="1:11" ht="22.5" customHeight="1">
      <c r="A31" s="6441">
        <v>2</v>
      </c>
      <c r="B31" s="6443" t="s">
        <v>762</v>
      </c>
      <c r="C31" s="369" t="s">
        <v>763</v>
      </c>
      <c r="D31" s="370">
        <v>20</v>
      </c>
      <c r="E31" s="371">
        <v>1300.8599999999999</v>
      </c>
      <c r="F31" s="371">
        <v>30.67</v>
      </c>
      <c r="G31" s="6441">
        <v>26017</v>
      </c>
      <c r="H31" s="6441">
        <v>25404</v>
      </c>
      <c r="I31" s="371">
        <v>613</v>
      </c>
      <c r="J31" s="371">
        <v>6.58</v>
      </c>
      <c r="K31" s="371">
        <v>131.6</v>
      </c>
    </row>
    <row r="32" spans="1:11" ht="33" customHeight="1" thickBot="1">
      <c r="A32" s="6442"/>
      <c r="B32" s="6444"/>
      <c r="C32" s="367" t="s">
        <v>812</v>
      </c>
      <c r="D32" s="368" t="s">
        <v>764</v>
      </c>
      <c r="E32" s="368">
        <v>1270.19</v>
      </c>
      <c r="F32" s="368">
        <v>0</v>
      </c>
      <c r="G32" s="6442"/>
      <c r="H32" s="6442"/>
      <c r="I32" s="368">
        <v>0</v>
      </c>
      <c r="J32" s="368">
        <v>0</v>
      </c>
      <c r="K32" s="368">
        <v>0</v>
      </c>
    </row>
    <row r="33" spans="1:11" ht="22.5" customHeight="1">
      <c r="A33" s="6441">
        <v>3</v>
      </c>
      <c r="B33" s="6443" t="s">
        <v>753</v>
      </c>
      <c r="C33" s="369" t="s">
        <v>754</v>
      </c>
      <c r="D33" s="370">
        <v>0.2</v>
      </c>
      <c r="E33" s="371">
        <v>115674.66</v>
      </c>
      <c r="F33" s="371">
        <v>55153.06</v>
      </c>
      <c r="G33" s="6441">
        <v>23135</v>
      </c>
      <c r="H33" s="6441">
        <v>12104</v>
      </c>
      <c r="I33" s="371">
        <v>11031</v>
      </c>
      <c r="J33" s="371">
        <v>292.02</v>
      </c>
      <c r="K33" s="371">
        <v>58.4</v>
      </c>
    </row>
    <row r="34" spans="1:11" ht="33.75" customHeight="1">
      <c r="A34" s="6466"/>
      <c r="B34" s="6467"/>
      <c r="C34" s="369" t="s">
        <v>511</v>
      </c>
      <c r="D34" s="371" t="s">
        <v>756</v>
      </c>
      <c r="E34" s="371">
        <v>60521.599999999999</v>
      </c>
      <c r="F34" s="371">
        <v>12684.38</v>
      </c>
      <c r="G34" s="6466"/>
      <c r="H34" s="6466"/>
      <c r="I34" s="371">
        <v>2537</v>
      </c>
      <c r="J34" s="371">
        <v>49.67</v>
      </c>
      <c r="K34" s="371">
        <v>9.93</v>
      </c>
    </row>
    <row r="35" spans="1:11" ht="33.75" customHeight="1" thickBot="1">
      <c r="A35" s="6442"/>
      <c r="B35" s="6444"/>
      <c r="C35" s="367" t="s">
        <v>813</v>
      </c>
      <c r="D35" s="372"/>
      <c r="E35" s="372"/>
      <c r="F35" s="372"/>
      <c r="G35" s="6442"/>
      <c r="H35" s="6442"/>
      <c r="I35" s="372"/>
      <c r="J35" s="372"/>
      <c r="K35" s="372"/>
    </row>
    <row r="36" spans="1:11" ht="10.5" customHeight="1">
      <c r="A36" s="6441">
        <v>4</v>
      </c>
      <c r="B36" s="6443" t="s">
        <v>757</v>
      </c>
      <c r="C36" s="369" t="s">
        <v>758</v>
      </c>
      <c r="D36" s="370">
        <v>20</v>
      </c>
      <c r="E36" s="371">
        <v>534.51</v>
      </c>
      <c r="F36" s="371">
        <v>0</v>
      </c>
      <c r="G36" s="6441">
        <v>10690</v>
      </c>
      <c r="H36" s="6441">
        <v>10690</v>
      </c>
      <c r="I36" s="371">
        <v>0</v>
      </c>
      <c r="J36" s="371">
        <v>2.72</v>
      </c>
      <c r="K36" s="371">
        <v>54.48</v>
      </c>
    </row>
    <row r="37" spans="1:11" ht="10.5" customHeight="1">
      <c r="A37" s="6466"/>
      <c r="B37" s="6467"/>
      <c r="C37" s="369" t="s">
        <v>511</v>
      </c>
      <c r="D37" s="371" t="s">
        <v>475</v>
      </c>
      <c r="E37" s="371">
        <v>534.51</v>
      </c>
      <c r="F37" s="371">
        <v>0</v>
      </c>
      <c r="G37" s="6466"/>
      <c r="H37" s="6466"/>
      <c r="I37" s="371">
        <v>0</v>
      </c>
      <c r="J37" s="371">
        <v>0</v>
      </c>
      <c r="K37" s="371">
        <v>0</v>
      </c>
    </row>
    <row r="38" spans="1:11" ht="33.75" customHeight="1" thickBot="1">
      <c r="A38" s="6442"/>
      <c r="B38" s="6444"/>
      <c r="C38" s="367" t="s">
        <v>813</v>
      </c>
      <c r="D38" s="372"/>
      <c r="E38" s="372"/>
      <c r="F38" s="372"/>
      <c r="G38" s="6442"/>
      <c r="H38" s="6442"/>
      <c r="I38" s="372"/>
      <c r="J38" s="372"/>
      <c r="K38" s="372"/>
    </row>
    <row r="39" spans="1:11" ht="10.5" customHeight="1">
      <c r="A39" s="6441">
        <v>5</v>
      </c>
      <c r="B39" s="6443" t="s">
        <v>759</v>
      </c>
      <c r="C39" s="369" t="s">
        <v>760</v>
      </c>
      <c r="D39" s="370">
        <v>12</v>
      </c>
      <c r="E39" s="371">
        <v>352.65</v>
      </c>
      <c r="F39" s="371">
        <v>70.33</v>
      </c>
      <c r="G39" s="6441">
        <v>4232</v>
      </c>
      <c r="H39" s="6441">
        <v>3388</v>
      </c>
      <c r="I39" s="371">
        <v>844</v>
      </c>
      <c r="J39" s="371">
        <v>1.31</v>
      </c>
      <c r="K39" s="371">
        <v>15.72</v>
      </c>
    </row>
    <row r="40" spans="1:11" ht="33" customHeight="1" thickBot="1">
      <c r="A40" s="6442"/>
      <c r="B40" s="6444"/>
      <c r="C40" s="367" t="s">
        <v>812</v>
      </c>
      <c r="D40" s="368" t="s">
        <v>761</v>
      </c>
      <c r="E40" s="368">
        <v>282.32</v>
      </c>
      <c r="F40" s="368">
        <v>0</v>
      </c>
      <c r="G40" s="6442"/>
      <c r="H40" s="6442"/>
      <c r="I40" s="368">
        <v>0</v>
      </c>
      <c r="J40" s="368">
        <v>7.0000000000000007E-2</v>
      </c>
      <c r="K40" s="368">
        <v>0.84</v>
      </c>
    </row>
    <row r="41" spans="1:11" ht="9.75" customHeight="1">
      <c r="A41" s="6441">
        <v>6</v>
      </c>
      <c r="B41" s="6443" t="s">
        <v>472</v>
      </c>
      <c r="C41" s="369" t="s">
        <v>473</v>
      </c>
      <c r="D41" s="370">
        <v>8</v>
      </c>
      <c r="E41" s="371">
        <v>7190.9</v>
      </c>
      <c r="F41" s="371">
        <v>100.54</v>
      </c>
      <c r="G41" s="6441">
        <v>57527</v>
      </c>
      <c r="H41" s="6441">
        <v>7709</v>
      </c>
      <c r="I41" s="371">
        <v>804</v>
      </c>
      <c r="J41" s="371">
        <v>4.53</v>
      </c>
      <c r="K41" s="371">
        <v>36.24</v>
      </c>
    </row>
    <row r="42" spans="1:11" ht="34.5" customHeight="1" thickBot="1">
      <c r="A42" s="6442"/>
      <c r="B42" s="6444"/>
      <c r="C42" s="367" t="s">
        <v>812</v>
      </c>
      <c r="D42" s="368" t="s">
        <v>475</v>
      </c>
      <c r="E42" s="368">
        <v>963.68</v>
      </c>
      <c r="F42" s="368">
        <v>0</v>
      </c>
      <c r="G42" s="6442"/>
      <c r="H42" s="6442"/>
      <c r="I42" s="368">
        <v>0</v>
      </c>
      <c r="J42" s="368">
        <v>0.1</v>
      </c>
      <c r="K42" s="368">
        <v>0.8</v>
      </c>
    </row>
    <row r="43" spans="1:11" ht="23.25" customHeight="1">
      <c r="A43" s="6441">
        <v>7</v>
      </c>
      <c r="B43" s="6443" t="s">
        <v>509</v>
      </c>
      <c r="C43" s="369" t="s">
        <v>510</v>
      </c>
      <c r="D43" s="370">
        <v>0.5</v>
      </c>
      <c r="E43" s="371">
        <v>87722.08</v>
      </c>
      <c r="F43" s="371">
        <v>9577.9699999999993</v>
      </c>
      <c r="G43" s="6441">
        <v>43861</v>
      </c>
      <c r="H43" s="6441">
        <v>9936</v>
      </c>
      <c r="I43" s="371">
        <v>4789</v>
      </c>
      <c r="J43" s="371">
        <v>95.88</v>
      </c>
      <c r="K43" s="371">
        <v>47.94</v>
      </c>
    </row>
    <row r="44" spans="1:11" ht="10.5" customHeight="1">
      <c r="A44" s="6466"/>
      <c r="B44" s="6467"/>
      <c r="C44" s="369" t="s">
        <v>511</v>
      </c>
      <c r="D44" s="371" t="s">
        <v>512</v>
      </c>
      <c r="E44" s="371">
        <v>19871.29</v>
      </c>
      <c r="F44" s="371">
        <v>2421.77</v>
      </c>
      <c r="G44" s="6466"/>
      <c r="H44" s="6466"/>
      <c r="I44" s="371">
        <v>1211</v>
      </c>
      <c r="J44" s="371">
        <v>7.81</v>
      </c>
      <c r="K44" s="371">
        <v>3.91</v>
      </c>
    </row>
    <row r="45" spans="1:11" ht="32.25" customHeight="1" thickBot="1">
      <c r="A45" s="6442"/>
      <c r="B45" s="6444"/>
      <c r="C45" s="367" t="s">
        <v>813</v>
      </c>
      <c r="D45" s="372"/>
      <c r="E45" s="372"/>
      <c r="F45" s="372"/>
      <c r="G45" s="6442"/>
      <c r="H45" s="6442"/>
      <c r="I45" s="372"/>
      <c r="J45" s="372"/>
      <c r="K45" s="372"/>
    </row>
    <row r="46" spans="1:11" ht="10.5" customHeight="1">
      <c r="A46" s="6441">
        <v>8</v>
      </c>
      <c r="B46" s="6443" t="s">
        <v>514</v>
      </c>
      <c r="C46" s="369" t="s">
        <v>515</v>
      </c>
      <c r="D46" s="370">
        <v>3.5</v>
      </c>
      <c r="E46" s="371">
        <v>14398.96</v>
      </c>
      <c r="F46" s="371">
        <v>341.17</v>
      </c>
      <c r="G46" s="6441">
        <v>50396</v>
      </c>
      <c r="H46" s="6441">
        <v>27253</v>
      </c>
      <c r="I46" s="371">
        <v>1194</v>
      </c>
      <c r="J46" s="371">
        <v>38.93</v>
      </c>
      <c r="K46" s="371">
        <v>136.25</v>
      </c>
    </row>
    <row r="47" spans="1:11" ht="12.75" customHeight="1">
      <c r="A47" s="6466"/>
      <c r="B47" s="6467"/>
      <c r="C47" s="369" t="s">
        <v>516</v>
      </c>
      <c r="D47" s="371" t="s">
        <v>517</v>
      </c>
      <c r="E47" s="371">
        <v>7786.59</v>
      </c>
      <c r="F47" s="371">
        <v>133.93</v>
      </c>
      <c r="G47" s="6466"/>
      <c r="H47" s="6466"/>
      <c r="I47" s="371">
        <v>469</v>
      </c>
      <c r="J47" s="371">
        <v>0.43</v>
      </c>
      <c r="K47" s="371">
        <v>1.51</v>
      </c>
    </row>
    <row r="48" spans="1:11" ht="32.25" customHeight="1" thickBot="1">
      <c r="A48" s="6442"/>
      <c r="B48" s="6444"/>
      <c r="C48" s="367" t="s">
        <v>813</v>
      </c>
      <c r="D48" s="372"/>
      <c r="E48" s="372"/>
      <c r="F48" s="372"/>
      <c r="G48" s="6442"/>
      <c r="H48" s="6442"/>
      <c r="I48" s="372"/>
      <c r="J48" s="372"/>
      <c r="K48" s="372"/>
    </row>
    <row r="49" spans="1:11" ht="11.25" customHeight="1">
      <c r="A49" s="6441">
        <v>9</v>
      </c>
      <c r="B49" s="6443" t="s">
        <v>518</v>
      </c>
      <c r="C49" s="369" t="s">
        <v>519</v>
      </c>
      <c r="D49" s="370">
        <v>2.5</v>
      </c>
      <c r="E49" s="371">
        <v>17601.82</v>
      </c>
      <c r="F49" s="371">
        <v>60.3</v>
      </c>
      <c r="G49" s="6441">
        <v>44005</v>
      </c>
      <c r="H49" s="6441">
        <v>18429</v>
      </c>
      <c r="I49" s="371">
        <v>151</v>
      </c>
      <c r="J49" s="371">
        <v>34.65</v>
      </c>
      <c r="K49" s="371">
        <v>86.63</v>
      </c>
    </row>
    <row r="50" spans="1:11" ht="12.75" customHeight="1">
      <c r="A50" s="6466"/>
      <c r="B50" s="6467"/>
      <c r="C50" s="369" t="s">
        <v>516</v>
      </c>
      <c r="D50" s="371" t="s">
        <v>512</v>
      </c>
      <c r="E50" s="371">
        <v>7371.52</v>
      </c>
      <c r="F50" s="371">
        <v>0</v>
      </c>
      <c r="G50" s="6466"/>
      <c r="H50" s="6466"/>
      <c r="I50" s="371">
        <v>0</v>
      </c>
      <c r="J50" s="371">
        <v>0.06</v>
      </c>
      <c r="K50" s="371">
        <v>0.15</v>
      </c>
    </row>
    <row r="51" spans="1:11" ht="33.75" customHeight="1" thickBot="1">
      <c r="A51" s="6442"/>
      <c r="B51" s="6444"/>
      <c r="C51" s="367" t="s">
        <v>813</v>
      </c>
      <c r="D51" s="372"/>
      <c r="E51" s="372"/>
      <c r="F51" s="372"/>
      <c r="G51" s="6442"/>
      <c r="H51" s="6442"/>
      <c r="I51" s="372"/>
      <c r="J51" s="372"/>
      <c r="K51" s="372"/>
    </row>
    <row r="52" spans="1:11" ht="24.75" customHeight="1">
      <c r="A52" s="6441">
        <v>10</v>
      </c>
      <c r="B52" s="6443" t="s">
        <v>520</v>
      </c>
      <c r="C52" s="369" t="s">
        <v>521</v>
      </c>
      <c r="D52" s="370">
        <v>2.2000000000000002</v>
      </c>
      <c r="E52" s="371">
        <v>182869.16</v>
      </c>
      <c r="F52" s="371">
        <v>149723.85</v>
      </c>
      <c r="G52" s="6441">
        <v>402312</v>
      </c>
      <c r="H52" s="6441">
        <v>69900</v>
      </c>
      <c r="I52" s="371">
        <v>329392</v>
      </c>
      <c r="J52" s="371">
        <v>130.53</v>
      </c>
      <c r="K52" s="371">
        <v>287.17</v>
      </c>
    </row>
    <row r="53" spans="1:11" ht="33.75" customHeight="1" thickBot="1">
      <c r="A53" s="6442"/>
      <c r="B53" s="6444"/>
      <c r="C53" s="367" t="s">
        <v>812</v>
      </c>
      <c r="D53" s="368" t="s">
        <v>522</v>
      </c>
      <c r="E53" s="368">
        <v>31772.81</v>
      </c>
      <c r="F53" s="368">
        <v>10028.870000000001</v>
      </c>
      <c r="G53" s="6442"/>
      <c r="H53" s="6442"/>
      <c r="I53" s="368">
        <v>22064</v>
      </c>
      <c r="J53" s="368">
        <v>47.81</v>
      </c>
      <c r="K53" s="368">
        <v>105.18</v>
      </c>
    </row>
    <row r="54" spans="1:11" ht="13.5" thickBot="1">
      <c r="A54" s="6435"/>
      <c r="B54" s="6436"/>
      <c r="C54" s="6436"/>
      <c r="D54" s="6436"/>
      <c r="E54" s="6436"/>
      <c r="F54" s="6436"/>
      <c r="G54" s="6436"/>
      <c r="H54" s="6436"/>
      <c r="I54" s="6436"/>
      <c r="J54" s="6436"/>
      <c r="K54" s="6437"/>
    </row>
    <row r="55" spans="1:11">
      <c r="A55" s="6450" t="s">
        <v>708</v>
      </c>
      <c r="B55" s="6451"/>
      <c r="C55" s="6451"/>
      <c r="D55" s="6451"/>
      <c r="E55" s="6451"/>
      <c r="F55" s="6454"/>
      <c r="G55" s="6454">
        <v>679239</v>
      </c>
      <c r="H55" s="6454">
        <v>184813</v>
      </c>
      <c r="I55" s="831">
        <v>365882</v>
      </c>
      <c r="J55" s="6454"/>
      <c r="K55" s="371">
        <v>854.43</v>
      </c>
    </row>
    <row r="56" spans="1:11" ht="13.5" thickBot="1">
      <c r="A56" s="6452"/>
      <c r="B56" s="6453"/>
      <c r="C56" s="6453"/>
      <c r="D56" s="6453"/>
      <c r="E56" s="6453"/>
      <c r="F56" s="6455"/>
      <c r="G56" s="6455"/>
      <c r="H56" s="6455"/>
      <c r="I56" s="1549">
        <v>45793</v>
      </c>
      <c r="J56" s="6455"/>
      <c r="K56" s="368">
        <v>200.08</v>
      </c>
    </row>
    <row r="57" spans="1:11" ht="13.5" thickBot="1">
      <c r="A57" s="6435"/>
      <c r="B57" s="6436"/>
      <c r="C57" s="6436"/>
      <c r="D57" s="6436"/>
      <c r="E57" s="6436"/>
      <c r="F57" s="6436"/>
      <c r="G57" s="6436"/>
      <c r="H57" s="6436"/>
      <c r="I57" s="6436"/>
      <c r="J57" s="6436"/>
      <c r="K57" s="6437"/>
    </row>
    <row r="58" spans="1:11" hidden="1">
      <c r="A58" s="6450" t="s">
        <v>709</v>
      </c>
      <c r="B58" s="6451"/>
      <c r="C58" s="6451"/>
      <c r="D58" s="6451"/>
      <c r="E58" s="6451"/>
      <c r="F58" s="6454"/>
      <c r="G58" s="6454">
        <v>679239</v>
      </c>
      <c r="H58" s="6454">
        <v>184813</v>
      </c>
      <c r="I58" s="831">
        <v>365882</v>
      </c>
      <c r="J58" s="6454"/>
      <c r="K58" s="371">
        <v>854.43</v>
      </c>
    </row>
    <row r="59" spans="1:11" ht="13.5" hidden="1" thickBot="1">
      <c r="A59" s="6452"/>
      <c r="B59" s="6453"/>
      <c r="C59" s="6453"/>
      <c r="D59" s="6453"/>
      <c r="E59" s="6453"/>
      <c r="F59" s="6455"/>
      <c r="G59" s="6455"/>
      <c r="H59" s="6455"/>
      <c r="I59" s="1549">
        <v>45793</v>
      </c>
      <c r="J59" s="6455"/>
      <c r="K59" s="368">
        <v>200.08</v>
      </c>
    </row>
    <row r="60" spans="1:11" ht="13.5" hidden="1" thickBot="1">
      <c r="A60" s="816"/>
      <c r="B60" s="817"/>
      <c r="C60" s="817"/>
      <c r="D60" s="817"/>
      <c r="E60" s="817"/>
      <c r="F60" s="817"/>
      <c r="G60" s="817"/>
      <c r="H60" s="817"/>
      <c r="I60" s="817"/>
      <c r="J60" s="817"/>
      <c r="K60" s="817"/>
    </row>
    <row r="61" spans="1:11" hidden="1">
      <c r="A61" s="847"/>
      <c r="B61" s="292"/>
      <c r="C61" s="292"/>
      <c r="D61" s="292"/>
      <c r="E61" s="292"/>
      <c r="F61" s="292"/>
      <c r="G61" s="292"/>
      <c r="H61" s="292"/>
      <c r="I61" s="292"/>
      <c r="J61" s="292"/>
      <c r="K61" s="824"/>
    </row>
    <row r="62" spans="1:11" hidden="1">
      <c r="A62" s="833"/>
      <c r="B62" s="292"/>
      <c r="C62" s="292"/>
      <c r="D62" s="292"/>
      <c r="E62" s="292"/>
      <c r="F62" s="292"/>
      <c r="G62" s="292"/>
      <c r="H62" s="292"/>
      <c r="I62" s="292"/>
      <c r="J62" s="292"/>
      <c r="K62" s="824"/>
    </row>
    <row r="63" spans="1:11" hidden="1">
      <c r="A63" s="833"/>
      <c r="B63" s="292"/>
      <c r="C63" s="6458" t="s">
        <v>710</v>
      </c>
      <c r="D63" s="6419"/>
      <c r="E63" s="6419"/>
      <c r="F63" s="6419"/>
      <c r="G63" s="6419"/>
      <c r="H63" s="6419"/>
      <c r="I63" s="6458" t="s">
        <v>711</v>
      </c>
      <c r="J63" s="6458" t="s">
        <v>712</v>
      </c>
      <c r="K63" s="369" t="s">
        <v>577</v>
      </c>
    </row>
    <row r="64" spans="1:11" hidden="1">
      <c r="A64" s="833"/>
      <c r="B64" s="292"/>
      <c r="C64" s="6458"/>
      <c r="D64" s="6419"/>
      <c r="E64" s="6419"/>
      <c r="F64" s="6419"/>
      <c r="G64" s="6419"/>
      <c r="H64" s="6419"/>
      <c r="I64" s="6458"/>
      <c r="J64" s="6458"/>
      <c r="K64" s="369" t="s">
        <v>713</v>
      </c>
    </row>
    <row r="65" spans="1:11" ht="13.5" hidden="1" thickBot="1">
      <c r="A65" s="833"/>
      <c r="B65" s="292"/>
      <c r="C65" s="1555"/>
      <c r="D65" s="1555"/>
      <c r="E65" s="1555"/>
      <c r="F65" s="1555"/>
      <c r="G65" s="292"/>
      <c r="H65" s="292"/>
      <c r="I65" s="1555"/>
      <c r="J65" s="1555"/>
      <c r="K65" s="367"/>
    </row>
    <row r="66" spans="1:11" ht="13.5" hidden="1" thickBot="1">
      <c r="A66" s="833"/>
      <c r="B66" s="292"/>
      <c r="C66" s="6458" t="s">
        <v>54</v>
      </c>
      <c r="D66" s="6419"/>
      <c r="E66" s="6419"/>
      <c r="F66" s="6419"/>
      <c r="G66" s="6419"/>
      <c r="H66" s="6419"/>
      <c r="I66" s="1549"/>
      <c r="J66" s="1549"/>
      <c r="K66" s="368" t="s">
        <v>814</v>
      </c>
    </row>
    <row r="67" spans="1:11" ht="13.5" hidden="1" thickBot="1">
      <c r="A67" s="833"/>
      <c r="B67" s="292"/>
      <c r="C67" s="6458" t="s">
        <v>719</v>
      </c>
      <c r="D67" s="6419"/>
      <c r="E67" s="6419"/>
      <c r="F67" s="6419"/>
      <c r="G67" s="6419"/>
      <c r="H67" s="6419"/>
      <c r="I67" s="1549">
        <v>0.6</v>
      </c>
      <c r="J67" s="1549">
        <v>71</v>
      </c>
      <c r="K67" s="368" t="s">
        <v>773</v>
      </c>
    </row>
    <row r="68" spans="1:11" ht="13.5" hidden="1" thickBot="1">
      <c r="A68" s="833"/>
      <c r="B68" s="292"/>
      <c r="C68" s="6458" t="s">
        <v>782</v>
      </c>
      <c r="D68" s="6419"/>
      <c r="E68" s="6419"/>
      <c r="F68" s="6419"/>
      <c r="G68" s="6419"/>
      <c r="H68" s="6419"/>
      <c r="I68" s="1549">
        <v>0.7</v>
      </c>
      <c r="J68" s="1549">
        <v>66</v>
      </c>
      <c r="K68" s="368" t="s">
        <v>783</v>
      </c>
    </row>
    <row r="69" spans="1:11" ht="13.5" hidden="1" thickBot="1">
      <c r="A69" s="833"/>
      <c r="B69" s="292"/>
      <c r="C69" s="6458" t="s">
        <v>774</v>
      </c>
      <c r="D69" s="6419"/>
      <c r="E69" s="6419"/>
      <c r="F69" s="6419"/>
      <c r="G69" s="6419"/>
      <c r="H69" s="6419"/>
      <c r="I69" s="1549">
        <v>0.6</v>
      </c>
      <c r="J69" s="1549">
        <v>93</v>
      </c>
      <c r="K69" s="368" t="s">
        <v>815</v>
      </c>
    </row>
    <row r="70" spans="1:11" ht="13.5" hidden="1" thickBot="1">
      <c r="A70" s="833"/>
      <c r="B70" s="292"/>
      <c r="C70" s="6458" t="s">
        <v>723</v>
      </c>
      <c r="D70" s="6419"/>
      <c r="E70" s="6419"/>
      <c r="F70" s="6419"/>
      <c r="G70" s="6419"/>
      <c r="H70" s="6419"/>
      <c r="I70" s="1549">
        <v>0.6</v>
      </c>
      <c r="J70" s="1549">
        <v>92</v>
      </c>
      <c r="K70" s="368" t="s">
        <v>816</v>
      </c>
    </row>
    <row r="71" spans="1:11" ht="13.5" hidden="1" thickBot="1">
      <c r="A71" s="833"/>
      <c r="B71" s="292"/>
      <c r="C71" s="6458" t="s">
        <v>721</v>
      </c>
      <c r="D71" s="6419"/>
      <c r="E71" s="6419"/>
      <c r="F71" s="6419"/>
      <c r="G71" s="6419"/>
      <c r="H71" s="6419"/>
      <c r="I71" s="1549">
        <v>0.6</v>
      </c>
      <c r="J71" s="1549">
        <v>116</v>
      </c>
      <c r="K71" s="368" t="s">
        <v>817</v>
      </c>
    </row>
    <row r="72" spans="1:11" ht="13.5" hidden="1" thickBot="1">
      <c r="A72" s="833"/>
      <c r="B72" s="292"/>
      <c r="C72" s="6458" t="s">
        <v>778</v>
      </c>
      <c r="D72" s="6419"/>
      <c r="E72" s="6419"/>
      <c r="F72" s="6419"/>
      <c r="G72" s="6419"/>
      <c r="H72" s="6419"/>
      <c r="I72" s="1549">
        <v>0.6</v>
      </c>
      <c r="J72" s="1549">
        <v>77</v>
      </c>
      <c r="K72" s="368" t="s">
        <v>818</v>
      </c>
    </row>
    <row r="73" spans="1:11" ht="13.5" hidden="1" thickBot="1">
      <c r="A73" s="833"/>
      <c r="B73" s="292"/>
      <c r="C73" s="6458" t="s">
        <v>780</v>
      </c>
      <c r="D73" s="6419"/>
      <c r="E73" s="6419"/>
      <c r="F73" s="6419"/>
      <c r="G73" s="6419"/>
      <c r="H73" s="6419"/>
      <c r="I73" s="1549">
        <v>0.6</v>
      </c>
      <c r="J73" s="1549">
        <v>83</v>
      </c>
      <c r="K73" s="368" t="s">
        <v>819</v>
      </c>
    </row>
    <row r="74" spans="1:11" ht="13.5" hidden="1" thickBot="1">
      <c r="A74" s="833"/>
      <c r="B74" s="292"/>
      <c r="C74" s="6458" t="s">
        <v>725</v>
      </c>
      <c r="D74" s="6419"/>
      <c r="E74" s="6419"/>
      <c r="F74" s="6419"/>
      <c r="G74" s="6419"/>
      <c r="H74" s="6419"/>
      <c r="I74" s="1549"/>
      <c r="J74" s="1549"/>
      <c r="K74" s="368" t="s">
        <v>820</v>
      </c>
    </row>
    <row r="75" spans="1:11" ht="13.5" hidden="1" thickBot="1">
      <c r="A75" s="833"/>
      <c r="B75" s="292"/>
      <c r="C75" s="6458" t="s">
        <v>54</v>
      </c>
      <c r="D75" s="6419"/>
      <c r="E75" s="6419"/>
      <c r="F75" s="6419"/>
      <c r="G75" s="6419"/>
      <c r="H75" s="6419"/>
      <c r="I75" s="1549"/>
      <c r="J75" s="1549"/>
      <c r="K75" s="368" t="s">
        <v>821</v>
      </c>
    </row>
    <row r="76" spans="1:11" ht="13.5" hidden="1" thickBot="1">
      <c r="A76" s="833"/>
      <c r="B76" s="292"/>
      <c r="C76" s="6458" t="s">
        <v>732</v>
      </c>
      <c r="D76" s="6419"/>
      <c r="E76" s="6419"/>
      <c r="F76" s="6419"/>
      <c r="G76" s="6419"/>
      <c r="H76" s="6419"/>
      <c r="I76" s="1549"/>
      <c r="J76" s="1549">
        <v>36</v>
      </c>
      <c r="K76" s="368" t="s">
        <v>788</v>
      </c>
    </row>
    <row r="77" spans="1:11" ht="13.5" hidden="1" thickBot="1">
      <c r="A77" s="833"/>
      <c r="B77" s="292"/>
      <c r="C77" s="6458" t="s">
        <v>797</v>
      </c>
      <c r="D77" s="6419"/>
      <c r="E77" s="6419"/>
      <c r="F77" s="6419"/>
      <c r="G77" s="6419"/>
      <c r="H77" s="6419"/>
      <c r="I77" s="1549"/>
      <c r="J77" s="1549">
        <v>40</v>
      </c>
      <c r="K77" s="368" t="s">
        <v>798</v>
      </c>
    </row>
    <row r="78" spans="1:11" ht="13.5" hidden="1" thickBot="1">
      <c r="A78" s="833"/>
      <c r="B78" s="292"/>
      <c r="C78" s="6458" t="s">
        <v>789</v>
      </c>
      <c r="D78" s="6419"/>
      <c r="E78" s="6419"/>
      <c r="F78" s="6419"/>
      <c r="G78" s="6419"/>
      <c r="H78" s="6419"/>
      <c r="I78" s="1549"/>
      <c r="J78" s="1549">
        <v>48</v>
      </c>
      <c r="K78" s="368" t="s">
        <v>822</v>
      </c>
    </row>
    <row r="79" spans="1:11" ht="13.5" hidden="1" thickBot="1">
      <c r="A79" s="833"/>
      <c r="B79" s="292"/>
      <c r="C79" s="6458" t="s">
        <v>736</v>
      </c>
      <c r="D79" s="6419"/>
      <c r="E79" s="6419"/>
      <c r="F79" s="6419"/>
      <c r="G79" s="6419"/>
      <c r="H79" s="6419"/>
      <c r="I79" s="1549"/>
      <c r="J79" s="1549">
        <v>54</v>
      </c>
      <c r="K79" s="368" t="s">
        <v>823</v>
      </c>
    </row>
    <row r="80" spans="1:11" ht="13.5" hidden="1" thickBot="1">
      <c r="A80" s="833"/>
      <c r="B80" s="292"/>
      <c r="C80" s="6458" t="s">
        <v>734</v>
      </c>
      <c r="D80" s="6419"/>
      <c r="E80" s="6419"/>
      <c r="F80" s="6419"/>
      <c r="G80" s="6419"/>
      <c r="H80" s="6419"/>
      <c r="I80" s="1549"/>
      <c r="J80" s="1549">
        <v>61</v>
      </c>
      <c r="K80" s="368" t="s">
        <v>824</v>
      </c>
    </row>
    <row r="81" spans="1:22" ht="13.5" hidden="1" thickBot="1">
      <c r="A81" s="833"/>
      <c r="B81" s="292"/>
      <c r="C81" s="6458" t="s">
        <v>793</v>
      </c>
      <c r="D81" s="6419"/>
      <c r="E81" s="6419"/>
      <c r="F81" s="6419"/>
      <c r="G81" s="6419"/>
      <c r="H81" s="6419"/>
      <c r="I81" s="1549"/>
      <c r="J81" s="1549">
        <v>56</v>
      </c>
      <c r="K81" s="368" t="s">
        <v>825</v>
      </c>
    </row>
    <row r="82" spans="1:22" ht="13.5" hidden="1" thickBot="1">
      <c r="A82" s="833"/>
      <c r="B82" s="292"/>
      <c r="C82" s="6458" t="s">
        <v>795</v>
      </c>
      <c r="D82" s="6419"/>
      <c r="E82" s="6419"/>
      <c r="F82" s="6419"/>
      <c r="G82" s="6419"/>
      <c r="H82" s="6419"/>
      <c r="I82" s="1549"/>
      <c r="J82" s="1549">
        <v>60</v>
      </c>
      <c r="K82" s="368" t="s">
        <v>826</v>
      </c>
    </row>
    <row r="83" spans="1:22" ht="13.5" hidden="1" thickBot="1">
      <c r="A83" s="833"/>
      <c r="B83" s="292"/>
      <c r="C83" s="6458" t="s">
        <v>738</v>
      </c>
      <c r="D83" s="6419"/>
      <c r="E83" s="6419"/>
      <c r="F83" s="6419"/>
      <c r="G83" s="6419"/>
      <c r="H83" s="6419"/>
      <c r="I83" s="1549"/>
      <c r="J83" s="1549"/>
      <c r="K83" s="368" t="s">
        <v>827</v>
      </c>
    </row>
    <row r="84" spans="1:22" ht="13.5" hidden="1" thickBot="1">
      <c r="A84" s="833"/>
      <c r="B84" s="292"/>
      <c r="C84" s="6458" t="s">
        <v>54</v>
      </c>
      <c r="D84" s="6419"/>
      <c r="E84" s="6419"/>
      <c r="F84" s="6419"/>
      <c r="G84" s="6419"/>
      <c r="H84" s="6419"/>
      <c r="I84" s="1549"/>
      <c r="J84" s="1549"/>
      <c r="K84" s="368" t="s">
        <v>828</v>
      </c>
    </row>
    <row r="85" spans="1:22" ht="13.5" hidden="1" thickBot="1">
      <c r="A85" s="833"/>
      <c r="B85" s="292"/>
      <c r="C85" s="6458" t="s">
        <v>293</v>
      </c>
      <c r="D85" s="6419"/>
      <c r="E85" s="6419"/>
      <c r="F85" s="6419"/>
      <c r="G85" s="6419"/>
      <c r="H85" s="6419"/>
      <c r="I85" s="1549"/>
      <c r="J85" s="1549"/>
      <c r="K85" s="368" t="s">
        <v>828</v>
      </c>
    </row>
    <row r="86" spans="1:22" ht="13.5" hidden="1" thickBot="1">
      <c r="A86" s="833"/>
      <c r="B86" s="292"/>
      <c r="C86" s="6458" t="s">
        <v>741</v>
      </c>
      <c r="D86" s="6419"/>
      <c r="E86" s="6419"/>
      <c r="F86" s="6419"/>
      <c r="G86" s="6419"/>
      <c r="H86" s="6419"/>
      <c r="I86" s="1549"/>
      <c r="J86" s="1549">
        <v>18</v>
      </c>
      <c r="K86" s="368" t="s">
        <v>829</v>
      </c>
    </row>
    <row r="87" spans="1:22" ht="13.5" hidden="1" thickBot="1">
      <c r="A87" s="833"/>
      <c r="B87" s="292"/>
      <c r="C87" s="6458" t="s">
        <v>293</v>
      </c>
      <c r="D87" s="6419"/>
      <c r="E87" s="6419"/>
      <c r="F87" s="6419"/>
      <c r="G87" s="6419"/>
      <c r="H87" s="6419"/>
      <c r="I87" s="1549"/>
      <c r="J87" s="1549"/>
      <c r="K87" s="368" t="s">
        <v>809</v>
      </c>
    </row>
    <row r="88" spans="1:22" ht="13.5" hidden="1" thickBot="1">
      <c r="A88" s="820"/>
      <c r="B88" s="819"/>
      <c r="C88" s="6453" t="s">
        <v>743</v>
      </c>
      <c r="D88" s="6459"/>
      <c r="E88" s="6459"/>
      <c r="F88" s="6459"/>
      <c r="G88" s="6459"/>
      <c r="H88" s="6459"/>
      <c r="I88" s="1549"/>
      <c r="J88" s="1549"/>
      <c r="K88" s="368" t="s">
        <v>809</v>
      </c>
    </row>
    <row r="89" spans="1:22" ht="12.75" customHeight="1">
      <c r="A89" s="848" t="s">
        <v>830</v>
      </c>
      <c r="B89" s="423"/>
      <c r="C89" s="423"/>
      <c r="D89" s="423"/>
      <c r="E89" s="423"/>
      <c r="F89" s="423"/>
      <c r="G89" s="423"/>
      <c r="H89" s="423"/>
      <c r="I89" s="6472">
        <v>1081767</v>
      </c>
      <c r="J89" s="6472"/>
      <c r="K89" s="6472"/>
    </row>
    <row r="90" spans="1:22" ht="13.5" thickBot="1"/>
    <row r="91" spans="1:22" ht="24" thickBot="1">
      <c r="A91" s="6473" t="s">
        <v>890</v>
      </c>
      <c r="B91" s="6474"/>
      <c r="C91" s="6474"/>
      <c r="D91" s="6474"/>
      <c r="E91" s="6474"/>
      <c r="F91" s="6474"/>
      <c r="G91" s="2208"/>
      <c r="H91" s="2208"/>
      <c r="I91" s="2215">
        <f>57527-7709+43861-9936+50396-27253+44005-18429</f>
        <v>132462</v>
      </c>
    </row>
    <row r="94" spans="1:22" ht="20.25">
      <c r="I94" s="2210">
        <f>SUM(I91)</f>
        <v>132462</v>
      </c>
      <c r="J94" s="2209"/>
      <c r="K94" s="2209"/>
      <c r="L94" s="2209"/>
    </row>
    <row r="96" spans="1:22">
      <c r="I96" s="423"/>
      <c r="J96" s="423" t="s">
        <v>267</v>
      </c>
      <c r="K96" s="423" t="s">
        <v>268</v>
      </c>
      <c r="L96" s="423" t="s">
        <v>269</v>
      </c>
      <c r="M96" s="423" t="s">
        <v>270</v>
      </c>
      <c r="N96" s="423" t="s">
        <v>271</v>
      </c>
      <c r="O96" s="423" t="s">
        <v>272</v>
      </c>
      <c r="P96" s="423" t="s">
        <v>1226</v>
      </c>
      <c r="Q96" s="423" t="s">
        <v>273</v>
      </c>
      <c r="R96" s="423" t="s">
        <v>1244</v>
      </c>
      <c r="S96" s="423" t="s">
        <v>274</v>
      </c>
      <c r="T96" s="423" t="s">
        <v>275</v>
      </c>
      <c r="U96" s="423" t="s">
        <v>1335</v>
      </c>
      <c r="V96" s="423" t="s">
        <v>1588</v>
      </c>
    </row>
    <row r="97" spans="9:22">
      <c r="I97" s="2470">
        <f>SUM(I94/1000)</f>
        <v>132.46199999999999</v>
      </c>
      <c r="J97" s="2471">
        <v>0</v>
      </c>
      <c r="K97" s="2471">
        <v>0</v>
      </c>
      <c r="L97" s="2471">
        <v>0</v>
      </c>
      <c r="M97" s="2471">
        <v>0</v>
      </c>
      <c r="N97" s="2471">
        <v>0.1</v>
      </c>
      <c r="O97" s="2471">
        <v>0.15</v>
      </c>
      <c r="P97" s="2471">
        <v>0.2</v>
      </c>
      <c r="Q97" s="2471">
        <v>0.2</v>
      </c>
      <c r="R97" s="2471">
        <v>0.2</v>
      </c>
      <c r="S97" s="2471">
        <v>0.15</v>
      </c>
      <c r="T97" s="2471">
        <v>0</v>
      </c>
      <c r="U97" s="2471">
        <v>0</v>
      </c>
      <c r="V97" s="2471">
        <f>SUM(J97:U97)</f>
        <v>1</v>
      </c>
    </row>
    <row r="98" spans="9:22">
      <c r="I98" s="423"/>
      <c r="J98" s="2472">
        <f>SUM(I97*J97)</f>
        <v>0</v>
      </c>
      <c r="K98" s="2472">
        <f>SUM(I97*K97)</f>
        <v>0</v>
      </c>
      <c r="L98" s="2472">
        <f>SUM(I97*L97)</f>
        <v>0</v>
      </c>
      <c r="M98" s="2472">
        <f>SUM(I97*M97)</f>
        <v>0</v>
      </c>
      <c r="N98" s="2472">
        <f>SUM(I97*N97)</f>
        <v>13.2462</v>
      </c>
      <c r="O98" s="2472">
        <f>SUM(I97*O97)</f>
        <v>19.869299999999999</v>
      </c>
      <c r="P98" s="2472">
        <f>SUM(I97*P97)</f>
        <v>26.4924</v>
      </c>
      <c r="Q98" s="2472">
        <f>SUM(I97*Q97)</f>
        <v>26.4924</v>
      </c>
      <c r="R98" s="2472">
        <f>SUM(I97*R97)</f>
        <v>26.4924</v>
      </c>
      <c r="S98" s="2472">
        <f>SUM(I97*S97)</f>
        <v>19.869299999999999</v>
      </c>
      <c r="T98" s="2472">
        <f>SUM(I97*T97)</f>
        <v>0</v>
      </c>
      <c r="U98" s="2472">
        <f>SUM(I97*U97)</f>
        <v>0</v>
      </c>
      <c r="V98" s="2472">
        <f>SUM(I97*V97)</f>
        <v>132.46199999999999</v>
      </c>
    </row>
  </sheetData>
  <mergeCells count="103">
    <mergeCell ref="I89:K89"/>
    <mergeCell ref="C87:H87"/>
    <mergeCell ref="C88:H88"/>
    <mergeCell ref="A91:F91"/>
    <mergeCell ref="C81:H81"/>
    <mergeCell ref="C82:H82"/>
    <mergeCell ref="C83:H83"/>
    <mergeCell ref="C84:H84"/>
    <mergeCell ref="C85:H85"/>
    <mergeCell ref="C86:H86"/>
    <mergeCell ref="C75:H75"/>
    <mergeCell ref="C76:H76"/>
    <mergeCell ref="C77:H77"/>
    <mergeCell ref="C78:H78"/>
    <mergeCell ref="C79:H79"/>
    <mergeCell ref="C80:H80"/>
    <mergeCell ref="C69:H69"/>
    <mergeCell ref="C70:H70"/>
    <mergeCell ref="C71:H71"/>
    <mergeCell ref="C72:H72"/>
    <mergeCell ref="C73:H73"/>
    <mergeCell ref="C74:H74"/>
    <mergeCell ref="C63:H64"/>
    <mergeCell ref="I63:I64"/>
    <mergeCell ref="J63:J64"/>
    <mergeCell ref="C66:H66"/>
    <mergeCell ref="C67:H67"/>
    <mergeCell ref="C68:H68"/>
    <mergeCell ref="A57:K57"/>
    <mergeCell ref="A58:E59"/>
    <mergeCell ref="F58:F59"/>
    <mergeCell ref="G58:G59"/>
    <mergeCell ref="H58:H59"/>
    <mergeCell ref="J58:J59"/>
    <mergeCell ref="A52:A53"/>
    <mergeCell ref="B52:B53"/>
    <mergeCell ref="G52:G53"/>
    <mergeCell ref="H52:H53"/>
    <mergeCell ref="A54:K54"/>
    <mergeCell ref="A55:E56"/>
    <mergeCell ref="F55:F56"/>
    <mergeCell ref="G55:G56"/>
    <mergeCell ref="H55:H56"/>
    <mergeCell ref="J55:J56"/>
    <mergeCell ref="A46:A48"/>
    <mergeCell ref="B46:B48"/>
    <mergeCell ref="G46:G48"/>
    <mergeCell ref="H46:H48"/>
    <mergeCell ref="A49:A51"/>
    <mergeCell ref="B49:B51"/>
    <mergeCell ref="G49:G51"/>
    <mergeCell ref="H49:H51"/>
    <mergeCell ref="A41:A42"/>
    <mergeCell ref="B41:B42"/>
    <mergeCell ref="G41:G42"/>
    <mergeCell ref="H41:H42"/>
    <mergeCell ref="A43:A45"/>
    <mergeCell ref="B43:B45"/>
    <mergeCell ref="G43:G45"/>
    <mergeCell ref="H43:H45"/>
    <mergeCell ref="A36:A38"/>
    <mergeCell ref="B36:B38"/>
    <mergeCell ref="G36:G38"/>
    <mergeCell ref="H36:H38"/>
    <mergeCell ref="A39:A40"/>
    <mergeCell ref="B39:B40"/>
    <mergeCell ref="G39:G40"/>
    <mergeCell ref="H39:H40"/>
    <mergeCell ref="A31:A32"/>
    <mergeCell ref="B31:B32"/>
    <mergeCell ref="G31:G32"/>
    <mergeCell ref="H31:H32"/>
    <mergeCell ref="A33:A35"/>
    <mergeCell ref="B33:B35"/>
    <mergeCell ref="G33:G35"/>
    <mergeCell ref="H33:H35"/>
    <mergeCell ref="J21:K21"/>
    <mergeCell ref="A26:K26"/>
    <mergeCell ref="A27:K27"/>
    <mergeCell ref="A28:K28"/>
    <mergeCell ref="A29:A30"/>
    <mergeCell ref="B29:B30"/>
    <mergeCell ref="G29:G30"/>
    <mergeCell ref="H29:H30"/>
    <mergeCell ref="A17:F18"/>
    <mergeCell ref="G17:G18"/>
    <mergeCell ref="H17:H18"/>
    <mergeCell ref="E20:F20"/>
    <mergeCell ref="G20:I20"/>
    <mergeCell ref="J20:K20"/>
    <mergeCell ref="A13:F14"/>
    <mergeCell ref="G13:G14"/>
    <mergeCell ref="H13:H14"/>
    <mergeCell ref="A15:F16"/>
    <mergeCell ref="G15:G16"/>
    <mergeCell ref="H15:H16"/>
    <mergeCell ref="A2:K2"/>
    <mergeCell ref="A3:K3"/>
    <mergeCell ref="A5:K5"/>
    <mergeCell ref="A7:K7"/>
    <mergeCell ref="A9:K9"/>
    <mergeCell ref="A11:C11"/>
    <mergeCell ref="D11:K11"/>
  </mergeCells>
  <pageMargins left="0.70866141732283472" right="0.70866141732283472" top="0.74803149606299213" bottom="0.74803149606299213" header="0.31496062992125984" footer="0.31496062992125984"/>
  <pageSetup paperSize="9" scale="46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>
  <sheetPr>
    <tabColor rgb="FFFF0000"/>
  </sheetPr>
  <dimension ref="A1:J18"/>
  <sheetViews>
    <sheetView view="pageBreakPreview" zoomScale="75" zoomScaleSheetLayoutView="75" workbookViewId="0">
      <selection activeCell="F13" sqref="F13"/>
    </sheetView>
  </sheetViews>
  <sheetFormatPr defaultRowHeight="12.75"/>
  <cols>
    <col min="1" max="1" width="30.7109375" customWidth="1"/>
    <col min="2" max="2" width="10.42578125" customWidth="1"/>
    <col min="3" max="3" width="10.28515625" customWidth="1"/>
    <col min="10" max="10" width="29.7109375" customWidth="1"/>
  </cols>
  <sheetData>
    <row r="1" spans="1:10">
      <c r="I1" t="s">
        <v>1538</v>
      </c>
    </row>
    <row r="2" spans="1:10" ht="25.5" customHeight="1">
      <c r="A2" s="5582" t="s">
        <v>974</v>
      </c>
      <c r="B2" s="5582"/>
      <c r="C2" s="5582"/>
      <c r="D2" s="5582"/>
      <c r="E2" s="5582"/>
      <c r="F2" s="5582"/>
      <c r="G2" s="5582"/>
      <c r="H2" s="5582"/>
      <c r="I2" s="5582"/>
      <c r="J2" s="5582"/>
    </row>
    <row r="3" spans="1:10" ht="22.5" customHeight="1"/>
    <row r="4" spans="1:10">
      <c r="A4" s="6477" t="s">
        <v>970</v>
      </c>
      <c r="B4" s="6476" t="s">
        <v>283</v>
      </c>
      <c r="C4" s="6476"/>
      <c r="D4" s="6476"/>
      <c r="E4" s="6476"/>
      <c r="F4" s="6476" t="s">
        <v>392</v>
      </c>
      <c r="G4" s="6476"/>
      <c r="H4" s="6476"/>
      <c r="I4" s="6476"/>
      <c r="J4" s="6476"/>
    </row>
    <row r="5" spans="1:10" ht="25.5">
      <c r="A5" s="6379"/>
      <c r="B5" s="1911" t="s">
        <v>969</v>
      </c>
      <c r="C5" s="1912">
        <v>2016</v>
      </c>
      <c r="D5" s="1912">
        <v>2017</v>
      </c>
      <c r="E5" s="1912">
        <v>2018</v>
      </c>
      <c r="F5" s="1911" t="s">
        <v>969</v>
      </c>
      <c r="G5" s="1912">
        <v>2016</v>
      </c>
      <c r="H5" s="1912">
        <v>2017</v>
      </c>
      <c r="I5" s="1912">
        <v>2018</v>
      </c>
      <c r="J5" s="1912" t="s">
        <v>246</v>
      </c>
    </row>
    <row r="6" spans="1:10" ht="18">
      <c r="A6" s="6475" t="s">
        <v>361</v>
      </c>
      <c r="B6" s="6475"/>
      <c r="C6" s="6475"/>
      <c r="D6" s="6475"/>
      <c r="E6" s="6475"/>
      <c r="F6" s="6475"/>
      <c r="G6" s="6475"/>
      <c r="H6" s="6475"/>
      <c r="I6" s="6475"/>
      <c r="J6" s="6475"/>
    </row>
    <row r="7" spans="1:10" ht="57.75" customHeight="1">
      <c r="A7" s="1805" t="s">
        <v>966</v>
      </c>
      <c r="B7" s="1803">
        <f>10407.5/1.18</f>
        <v>8819.9152542372885</v>
      </c>
      <c r="C7" s="1803">
        <f>2316.1/1.18</f>
        <v>1962.7966101694915</v>
      </c>
      <c r="D7" s="1803">
        <f>4045.7/1.18</f>
        <v>3428.5593220338983</v>
      </c>
      <c r="E7" s="1803">
        <f>4045.7/1.18</f>
        <v>3428.5593220338983</v>
      </c>
      <c r="F7" s="1803">
        <f>G7+H7+I7</f>
        <v>0</v>
      </c>
      <c r="G7" s="1803">
        <v>0</v>
      </c>
      <c r="H7" s="1803">
        <v>0</v>
      </c>
      <c r="I7" s="1803">
        <v>0</v>
      </c>
      <c r="J7" s="1805" t="s">
        <v>971</v>
      </c>
    </row>
    <row r="8" spans="1:10" ht="26.25" customHeight="1">
      <c r="A8" s="1805" t="s">
        <v>967</v>
      </c>
      <c r="B8" s="1803">
        <f>835.7/1.18</f>
        <v>708.22033898305096</v>
      </c>
      <c r="C8" s="1803">
        <f>278.5/1.18</f>
        <v>236.0169491525424</v>
      </c>
      <c r="D8" s="1803">
        <f>278.6/1.18</f>
        <v>236.10169491525426</v>
      </c>
      <c r="E8" s="1803">
        <f>278.6/1.18</f>
        <v>236.10169491525426</v>
      </c>
      <c r="F8" s="1803">
        <f t="shared" ref="F8:F9" si="0">G8+H8+I8</f>
        <v>0</v>
      </c>
      <c r="G8" s="1803">
        <v>0</v>
      </c>
      <c r="H8" s="1803">
        <v>0</v>
      </c>
      <c r="I8" s="1803">
        <v>0</v>
      </c>
      <c r="J8" s="1805" t="s">
        <v>972</v>
      </c>
    </row>
    <row r="9" spans="1:10" ht="24.75" customHeight="1">
      <c r="A9" s="1805" t="s">
        <v>968</v>
      </c>
      <c r="B9" s="1803">
        <f>865.4/1.18</f>
        <v>733.38983050847457</v>
      </c>
      <c r="C9" s="1803">
        <f>288.4/1.18</f>
        <v>244.40677966101694</v>
      </c>
      <c r="D9" s="1803">
        <f>288.5/1.18</f>
        <v>244.49152542372883</v>
      </c>
      <c r="E9" s="1803">
        <f>288.5/1.18</f>
        <v>244.49152542372883</v>
      </c>
      <c r="F9" s="1803">
        <f t="shared" si="0"/>
        <v>733.38983050847457</v>
      </c>
      <c r="G9" s="1803">
        <f>C9</f>
        <v>244.40677966101694</v>
      </c>
      <c r="H9" s="1803">
        <f t="shared" ref="H9:I9" si="1">D9</f>
        <v>244.49152542372883</v>
      </c>
      <c r="I9" s="1803">
        <f t="shared" si="1"/>
        <v>244.49152542372883</v>
      </c>
      <c r="J9" s="1805" t="s">
        <v>297</v>
      </c>
    </row>
    <row r="10" spans="1:10">
      <c r="A10" s="1805" t="s">
        <v>973</v>
      </c>
      <c r="B10" s="1803">
        <f>SUM(B7:B9)</f>
        <v>10261.525423728814</v>
      </c>
      <c r="C10" s="1803">
        <f t="shared" ref="C10:I10" si="2">SUM(C7:C9)</f>
        <v>2443.2203389830511</v>
      </c>
      <c r="D10" s="1803">
        <f t="shared" si="2"/>
        <v>3909.1525423728813</v>
      </c>
      <c r="E10" s="1803">
        <f t="shared" si="2"/>
        <v>3909.1525423728813</v>
      </c>
      <c r="F10" s="1803">
        <f t="shared" si="2"/>
        <v>733.38983050847457</v>
      </c>
      <c r="G10" s="1803">
        <f t="shared" si="2"/>
        <v>244.40677966101694</v>
      </c>
      <c r="H10" s="1803">
        <f t="shared" si="2"/>
        <v>244.49152542372883</v>
      </c>
      <c r="I10" s="1803">
        <f t="shared" si="2"/>
        <v>244.49152542372883</v>
      </c>
      <c r="J10" s="1802"/>
    </row>
    <row r="11" spans="1:10" ht="18">
      <c r="A11" s="6475" t="s">
        <v>351</v>
      </c>
      <c r="B11" s="6475"/>
      <c r="C11" s="6475"/>
      <c r="D11" s="6475"/>
      <c r="E11" s="6475"/>
      <c r="F11" s="6475"/>
      <c r="G11" s="6475"/>
      <c r="H11" s="6475"/>
      <c r="I11" s="6475"/>
      <c r="J11" s="6475"/>
    </row>
    <row r="12" spans="1:10" ht="25.5">
      <c r="A12" s="1805" t="s">
        <v>1003</v>
      </c>
      <c r="B12" s="1803">
        <f>1286.5/1.18</f>
        <v>1090.2542372881358</v>
      </c>
      <c r="C12" s="1803">
        <f>428.8/1.18</f>
        <v>363.38983050847463</v>
      </c>
      <c r="D12" s="1803">
        <f t="shared" ref="D12" si="3">428.8/1.18</f>
        <v>363.38983050847463</v>
      </c>
      <c r="E12" s="1803">
        <f>428.9/1.18</f>
        <v>363.47457627118644</v>
      </c>
      <c r="F12" s="1803">
        <f t="shared" ref="F12:F15" si="4">G12+H12+I12</f>
        <v>0</v>
      </c>
      <c r="G12" s="1803">
        <v>0</v>
      </c>
      <c r="H12" s="1803">
        <v>0</v>
      </c>
      <c r="I12" s="1803">
        <v>0</v>
      </c>
      <c r="J12" s="1805" t="s">
        <v>972</v>
      </c>
    </row>
    <row r="13" spans="1:10" ht="38.25">
      <c r="A13" s="1805" t="s">
        <v>975</v>
      </c>
      <c r="B13" s="1803">
        <f>597.7/1.18</f>
        <v>506.52542372881362</v>
      </c>
      <c r="C13" s="1803">
        <f>199.2/1.18</f>
        <v>168.81355932203391</v>
      </c>
      <c r="D13" s="1803">
        <f t="shared" ref="D13" si="5">199.2/1.18</f>
        <v>168.81355932203391</v>
      </c>
      <c r="E13" s="1803">
        <f>199.3/1.18</f>
        <v>168.89830508474577</v>
      </c>
      <c r="F13" s="1803">
        <f t="shared" si="4"/>
        <v>506.52542372881362</v>
      </c>
      <c r="G13" s="1803">
        <f>C13</f>
        <v>168.81355932203391</v>
      </c>
      <c r="H13" s="1803">
        <f t="shared" ref="H13:I13" si="6">D13</f>
        <v>168.81355932203391</v>
      </c>
      <c r="I13" s="1803">
        <f t="shared" si="6"/>
        <v>168.89830508474577</v>
      </c>
      <c r="J13" s="1802" t="s">
        <v>297</v>
      </c>
    </row>
    <row r="14" spans="1:10" ht="38.25">
      <c r="A14" s="1805" t="s">
        <v>976</v>
      </c>
      <c r="B14" s="1803">
        <f>2278/1.18</f>
        <v>1930.5084745762713</v>
      </c>
      <c r="C14" s="1803">
        <f>759.3/1.18</f>
        <v>643.47457627118649</v>
      </c>
      <c r="D14" s="1803">
        <f t="shared" ref="D14" si="7">759.3/1.18</f>
        <v>643.47457627118649</v>
      </c>
      <c r="E14" s="1803">
        <f>759.4/1.18</f>
        <v>643.5593220338983</v>
      </c>
      <c r="F14" s="1803">
        <f t="shared" si="4"/>
        <v>0</v>
      </c>
      <c r="G14" s="1803">
        <v>0</v>
      </c>
      <c r="H14" s="1803">
        <v>0</v>
      </c>
      <c r="I14" s="1803">
        <v>0</v>
      </c>
      <c r="J14" s="1805" t="s">
        <v>979</v>
      </c>
    </row>
    <row r="15" spans="1:10" ht="38.25">
      <c r="A15" s="1805" t="s">
        <v>977</v>
      </c>
      <c r="B15" s="1803">
        <f>9697/1.18</f>
        <v>8217.7966101694929</v>
      </c>
      <c r="C15" s="1803">
        <f>3232.3/1.18</f>
        <v>2739.2372881355936</v>
      </c>
      <c r="D15" s="1803">
        <f t="shared" ref="D15:E15" si="8">3232.3/1.18</f>
        <v>2739.2372881355936</v>
      </c>
      <c r="E15" s="1803">
        <f t="shared" si="8"/>
        <v>2739.2372881355936</v>
      </c>
      <c r="F15" s="1803">
        <f t="shared" si="4"/>
        <v>0</v>
      </c>
      <c r="G15" s="1803">
        <v>0</v>
      </c>
      <c r="H15" s="1803">
        <v>0</v>
      </c>
      <c r="I15" s="1803">
        <v>0</v>
      </c>
      <c r="J15" s="1805" t="s">
        <v>979</v>
      </c>
    </row>
    <row r="16" spans="1:10">
      <c r="A16" s="1805" t="s">
        <v>978</v>
      </c>
      <c r="B16" s="1803">
        <f>SUM(B12:B15)</f>
        <v>11745.084745762713</v>
      </c>
      <c r="C16" s="1803">
        <f t="shared" ref="C16:I16" si="9">SUM(C12:C15)</f>
        <v>3914.9152542372885</v>
      </c>
      <c r="D16" s="1803">
        <f t="shared" si="9"/>
        <v>3914.9152542372885</v>
      </c>
      <c r="E16" s="1803">
        <f t="shared" si="9"/>
        <v>3915.1694915254243</v>
      </c>
      <c r="F16" s="1803">
        <f t="shared" si="9"/>
        <v>506.52542372881362</v>
      </c>
      <c r="G16" s="1803">
        <f t="shared" si="9"/>
        <v>168.81355932203391</v>
      </c>
      <c r="H16" s="1803">
        <f t="shared" si="9"/>
        <v>168.81355932203391</v>
      </c>
      <c r="I16" s="1803">
        <f t="shared" si="9"/>
        <v>168.89830508474577</v>
      </c>
      <c r="J16" s="1802"/>
    </row>
    <row r="17" spans="1:10">
      <c r="A17" s="1805"/>
      <c r="B17" s="1802"/>
      <c r="C17" s="1802"/>
      <c r="D17" s="1802"/>
      <c r="E17" s="1802"/>
      <c r="F17" s="1802"/>
      <c r="G17" s="1802"/>
      <c r="H17" s="1802"/>
      <c r="I17" s="1802"/>
      <c r="J17" s="1802"/>
    </row>
    <row r="18" spans="1:10">
      <c r="A18" s="1805"/>
      <c r="B18" s="1802"/>
      <c r="C18" s="1802"/>
      <c r="D18" s="1802"/>
      <c r="E18" s="1802"/>
      <c r="F18" s="1802"/>
      <c r="G18" s="1802"/>
      <c r="H18" s="1802"/>
      <c r="I18" s="1802"/>
      <c r="J18" s="1802"/>
    </row>
  </sheetData>
  <mergeCells count="6">
    <mergeCell ref="A11:J11"/>
    <mergeCell ref="A2:J2"/>
    <mergeCell ref="B4:E4"/>
    <mergeCell ref="A4:A5"/>
    <mergeCell ref="A6:J6"/>
    <mergeCell ref="F4:J4"/>
  </mergeCells>
  <pageMargins left="0.7" right="0.7" top="0.75" bottom="0.75" header="0.3" footer="0.3"/>
  <pageSetup paperSize="9" scale="98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>
  <sheetPr>
    <tabColor rgb="FFFF0000"/>
  </sheetPr>
  <dimension ref="A1:W25"/>
  <sheetViews>
    <sheetView view="pageBreakPreview" topLeftCell="A6" zoomScale="60" workbookViewId="0">
      <selection activeCell="AB14" sqref="AB14"/>
    </sheetView>
  </sheetViews>
  <sheetFormatPr defaultRowHeight="15"/>
  <cols>
    <col min="1" max="1" width="50.85546875" style="2101" customWidth="1"/>
    <col min="2" max="7" width="0" style="2101" hidden="1" customWidth="1"/>
    <col min="8" max="8" width="10.28515625" style="2101" customWidth="1"/>
    <col min="9" max="9" width="9.42578125" style="2101" customWidth="1"/>
    <col min="10" max="10" width="9.140625" style="2101"/>
    <col min="11" max="11" width="11.140625" style="2101" customWidth="1"/>
    <col min="12" max="12" width="11.42578125" style="2101" customWidth="1"/>
    <col min="13" max="13" width="10.42578125" style="2101" customWidth="1"/>
    <col min="14" max="14" width="10.85546875" style="2101" customWidth="1"/>
    <col min="15" max="15" width="10" style="2101" customWidth="1"/>
    <col min="16" max="16" width="9.140625" style="2101"/>
    <col min="17" max="17" width="11.140625" style="2101" customWidth="1"/>
    <col min="18" max="18" width="10.42578125" style="2101" customWidth="1"/>
    <col min="19" max="19" width="9.140625" style="2101"/>
    <col min="20" max="20" width="11" style="2101" customWidth="1"/>
    <col min="21" max="21" width="11.85546875" style="2101" customWidth="1"/>
    <col min="22" max="22" width="14.85546875" style="2101" customWidth="1"/>
    <col min="23" max="23" width="14.28515625" style="2101" customWidth="1"/>
    <col min="24" max="16384" width="9.140625" style="2101"/>
  </cols>
  <sheetData>
    <row r="1" spans="1:23">
      <c r="U1" s="2207" t="s">
        <v>1539</v>
      </c>
    </row>
    <row r="3" spans="1:23" ht="28.5">
      <c r="A3" s="6481" t="s">
        <v>1490</v>
      </c>
      <c r="B3" s="6481"/>
      <c r="C3" s="6481"/>
      <c r="D3" s="6481"/>
      <c r="E3" s="6481"/>
      <c r="F3" s="6481"/>
      <c r="G3" s="6481"/>
      <c r="H3" s="6481"/>
      <c r="I3" s="6481"/>
      <c r="J3" s="6481"/>
      <c r="K3" s="6481"/>
      <c r="L3" s="6481"/>
      <c r="M3" s="6481"/>
      <c r="N3" s="6481"/>
      <c r="O3" s="6481"/>
      <c r="P3" s="6481"/>
      <c r="Q3" s="6481"/>
      <c r="R3" s="6481"/>
      <c r="S3" s="6481"/>
      <c r="T3" s="6481"/>
      <c r="U3" s="6481"/>
      <c r="V3" s="6481"/>
    </row>
    <row r="5" spans="1:23">
      <c r="A5" s="2100"/>
      <c r="B5" s="6480" t="s">
        <v>67</v>
      </c>
      <c r="C5" s="6480"/>
      <c r="D5" s="6480"/>
      <c r="E5" s="6480" t="s">
        <v>95</v>
      </c>
      <c r="F5" s="6480"/>
      <c r="G5" s="6480"/>
      <c r="H5" s="6480" t="s">
        <v>124</v>
      </c>
      <c r="I5" s="6480"/>
      <c r="J5" s="6480"/>
      <c r="K5" s="6480" t="s">
        <v>163</v>
      </c>
      <c r="L5" s="6480"/>
      <c r="M5" s="6480"/>
      <c r="N5" s="6480" t="s">
        <v>238</v>
      </c>
      <c r="O5" s="6480"/>
      <c r="P5" s="6480"/>
      <c r="Q5" s="6480" t="s">
        <v>379</v>
      </c>
      <c r="R5" s="6480"/>
      <c r="S5" s="6480"/>
      <c r="T5" s="6480" t="s">
        <v>832</v>
      </c>
      <c r="U5" s="6480"/>
      <c r="V5" s="6490"/>
      <c r="W5" s="6478" t="s">
        <v>1492</v>
      </c>
    </row>
    <row r="6" spans="1:23">
      <c r="A6" s="2100"/>
      <c r="B6" s="2102" t="s">
        <v>299</v>
      </c>
      <c r="C6" s="2102" t="s">
        <v>330</v>
      </c>
      <c r="D6" s="2102" t="s">
        <v>300</v>
      </c>
      <c r="E6" s="2102" t="s">
        <v>299</v>
      </c>
      <c r="F6" s="2102" t="s">
        <v>330</v>
      </c>
      <c r="G6" s="2102" t="s">
        <v>300</v>
      </c>
      <c r="H6" s="2102" t="s">
        <v>299</v>
      </c>
      <c r="I6" s="2102" t="s">
        <v>330</v>
      </c>
      <c r="J6" s="2102" t="s">
        <v>300</v>
      </c>
      <c r="K6" s="2102" t="s">
        <v>299</v>
      </c>
      <c r="L6" s="2102" t="s">
        <v>330</v>
      </c>
      <c r="M6" s="2102" t="s">
        <v>300</v>
      </c>
      <c r="N6" s="2102" t="s">
        <v>299</v>
      </c>
      <c r="O6" s="2102" t="s">
        <v>330</v>
      </c>
      <c r="P6" s="2102" t="s">
        <v>300</v>
      </c>
      <c r="Q6" s="2102" t="s">
        <v>299</v>
      </c>
      <c r="R6" s="2102" t="s">
        <v>330</v>
      </c>
      <c r="S6" s="2102" t="s">
        <v>300</v>
      </c>
      <c r="T6" s="2102" t="s">
        <v>299</v>
      </c>
      <c r="U6" s="2102" t="s">
        <v>330</v>
      </c>
      <c r="V6" s="2106" t="s">
        <v>300</v>
      </c>
      <c r="W6" s="6478"/>
    </row>
    <row r="7" spans="1:23">
      <c r="A7" s="6478" t="s">
        <v>1479</v>
      </c>
      <c r="B7" s="6478"/>
      <c r="C7" s="6478"/>
      <c r="D7" s="6478"/>
      <c r="E7" s="6478"/>
      <c r="F7" s="6478"/>
      <c r="G7" s="6478"/>
      <c r="H7" s="6478"/>
      <c r="I7" s="6478"/>
      <c r="J7" s="6478"/>
      <c r="K7" s="6478"/>
      <c r="L7" s="6478"/>
      <c r="M7" s="6478"/>
      <c r="N7" s="6478"/>
      <c r="O7" s="6478"/>
      <c r="P7" s="6478"/>
      <c r="Q7" s="6478"/>
      <c r="R7" s="6478"/>
      <c r="S7" s="6478"/>
      <c r="T7" s="6478"/>
      <c r="U7" s="6478"/>
      <c r="V7" s="6479"/>
      <c r="W7" s="2104"/>
    </row>
    <row r="8" spans="1:23" ht="37.5" customHeight="1">
      <c r="A8" s="2100" t="s">
        <v>1488</v>
      </c>
      <c r="B8" s="2103"/>
      <c r="C8" s="2103"/>
      <c r="D8" s="2103"/>
      <c r="E8" s="2103"/>
      <c r="F8" s="2103"/>
      <c r="G8" s="2103"/>
      <c r="H8" s="2103">
        <v>4099</v>
      </c>
      <c r="I8" s="2103">
        <v>3507.9</v>
      </c>
      <c r="J8" s="2103">
        <v>299.7</v>
      </c>
      <c r="K8" s="2103">
        <v>7199</v>
      </c>
      <c r="L8" s="2103">
        <v>3538.9</v>
      </c>
      <c r="M8" s="2103">
        <v>216.9</v>
      </c>
      <c r="N8" s="2103">
        <f>7295.1</f>
        <v>7295.1</v>
      </c>
      <c r="O8" s="2103">
        <f>4787.73</f>
        <v>4787.7299999999996</v>
      </c>
      <c r="P8" s="2103">
        <f>'ОХР '!W23+'ОХР '!X23</f>
        <v>189.15722480612965</v>
      </c>
      <c r="Q8" s="2103">
        <f>7550.3+1287.3</f>
        <v>8837.6</v>
      </c>
      <c r="R8" s="2103">
        <f>4822.1+1355.2</f>
        <v>6177.3</v>
      </c>
      <c r="S8" s="2103">
        <v>192.15</v>
      </c>
      <c r="T8" s="2103">
        <f>7550.3+1785.8</f>
        <v>9336.1</v>
      </c>
      <c r="U8" s="2103">
        <v>4822.1000000000004</v>
      </c>
      <c r="V8" s="2107">
        <v>192.66</v>
      </c>
      <c r="W8" s="2103">
        <f>SUM(H8:V8)</f>
        <v>60691.297224806134</v>
      </c>
    </row>
    <row r="9" spans="1:23" s="2114" customFormat="1" ht="30">
      <c r="A9" s="2110" t="s">
        <v>1493</v>
      </c>
      <c r="B9" s="2111">
        <f>2944</f>
        <v>2944</v>
      </c>
      <c r="C9" s="2111">
        <v>2430.6999999999998</v>
      </c>
      <c r="D9" s="2111"/>
      <c r="E9" s="2111">
        <v>5065.2</v>
      </c>
      <c r="F9" s="2111">
        <v>4702.8</v>
      </c>
      <c r="G9" s="2111"/>
      <c r="H9" s="2111">
        <v>7172.1</v>
      </c>
      <c r="I9" s="2111">
        <v>4863.1000000000004</v>
      </c>
      <c r="J9" s="2111">
        <v>206.6</v>
      </c>
      <c r="K9" s="2111">
        <v>7355</v>
      </c>
      <c r="L9" s="2111">
        <v>4787.7299999999996</v>
      </c>
      <c r="M9" s="2111">
        <v>192.4</v>
      </c>
      <c r="N9" s="2111">
        <v>7609.8</v>
      </c>
      <c r="O9" s="2111">
        <v>4702.5</v>
      </c>
      <c r="P9" s="2111">
        <f>'ОХР '!AA23</f>
        <v>182.16</v>
      </c>
      <c r="Q9" s="2111">
        <v>6102.07</v>
      </c>
      <c r="R9" s="2111">
        <v>3628.35</v>
      </c>
      <c r="S9" s="2111">
        <v>112.52</v>
      </c>
      <c r="T9" s="2111"/>
      <c r="U9" s="2111"/>
      <c r="V9" s="2112"/>
      <c r="W9" s="2113"/>
    </row>
    <row r="10" spans="1:23" ht="30">
      <c r="A10" s="2100" t="s">
        <v>1480</v>
      </c>
      <c r="B10" s="2103"/>
      <c r="C10" s="2103"/>
      <c r="D10" s="2103"/>
      <c r="E10" s="2103"/>
      <c r="F10" s="2103"/>
      <c r="G10" s="2103"/>
      <c r="H10" s="2103">
        <f>477.1+864.8+583.2+1667.9</f>
        <v>3593</v>
      </c>
      <c r="I10" s="2103">
        <f>430+841.5+196.9+735.9</f>
        <v>2204.3000000000002</v>
      </c>
      <c r="J10" s="2103"/>
      <c r="K10" s="2103">
        <f>124.5+300</f>
        <v>424.5</v>
      </c>
      <c r="L10" s="2103">
        <f>451+882.7+206.7+771.96</f>
        <v>2312.36</v>
      </c>
      <c r="M10" s="2103"/>
      <c r="N10" s="2103">
        <f>780</f>
        <v>780</v>
      </c>
      <c r="O10" s="2103">
        <f>стоки!Z12+стоки!Y22+стоки!Y28+стоки!Y37</f>
        <v>699.72213333333343</v>
      </c>
      <c r="P10" s="2103"/>
      <c r="Q10" s="2103">
        <v>215.85</v>
      </c>
      <c r="R10" s="2103">
        <f>стоки!AI12+стоки!AI22+стоки!AI28+стоки!AI37</f>
        <v>361.53</v>
      </c>
      <c r="S10" s="2103"/>
      <c r="T10" s="2103">
        <f>вода!BG12+вода!BG22+вода!BG28+вода!BG38</f>
        <v>500.53977966101695</v>
      </c>
      <c r="U10" s="2103">
        <f>стоки!BC12+стоки!BC22+стоки!BC28+стоки!BC37</f>
        <v>301.27555932203393</v>
      </c>
      <c r="V10" s="2107"/>
      <c r="W10" s="2103">
        <f>SUM(H10:V10)</f>
        <v>11393.077472316385</v>
      </c>
    </row>
    <row r="11" spans="1:23">
      <c r="A11" s="2100" t="s">
        <v>1486</v>
      </c>
      <c r="B11" s="2103"/>
      <c r="C11" s="2103"/>
      <c r="D11" s="2103"/>
      <c r="E11" s="2103"/>
      <c r="F11" s="2103"/>
      <c r="G11" s="2103"/>
      <c r="H11" s="2103"/>
      <c r="I11" s="2103"/>
      <c r="J11" s="2103"/>
      <c r="K11" s="2103"/>
      <c r="L11" s="2103"/>
      <c r="M11" s="2103"/>
      <c r="N11" s="2103">
        <f>вода!AA61</f>
        <v>4665</v>
      </c>
      <c r="O11" s="2103">
        <f>стоки!Y65</f>
        <v>4947</v>
      </c>
      <c r="P11" s="2103"/>
      <c r="Q11" s="2103">
        <f>вода!AN61</f>
        <v>4444</v>
      </c>
      <c r="R11" s="2103">
        <f>стоки!AI65</f>
        <v>3568.1</v>
      </c>
      <c r="S11" s="2103"/>
      <c r="T11" s="2103">
        <f>вода!BG61</f>
        <v>3976</v>
      </c>
      <c r="U11" s="2103">
        <f>стоки!BC65</f>
        <v>0.9</v>
      </c>
      <c r="V11" s="2107"/>
      <c r="W11" s="2103">
        <f t="shared" ref="W11:W12" si="0">SUM(H11:V11)</f>
        <v>21601</v>
      </c>
    </row>
    <row r="12" spans="1:23">
      <c r="A12" s="2100" t="s">
        <v>1483</v>
      </c>
      <c r="B12" s="2103">
        <f t="shared" ref="B12:G12" si="1">B8+B10</f>
        <v>0</v>
      </c>
      <c r="C12" s="2103">
        <f t="shared" si="1"/>
        <v>0</v>
      </c>
      <c r="D12" s="2103">
        <f t="shared" si="1"/>
        <v>0</v>
      </c>
      <c r="E12" s="2103">
        <f t="shared" si="1"/>
        <v>0</v>
      </c>
      <c r="F12" s="2103">
        <f t="shared" si="1"/>
        <v>0</v>
      </c>
      <c r="G12" s="2103">
        <f t="shared" si="1"/>
        <v>0</v>
      </c>
      <c r="H12" s="2103">
        <f t="shared" ref="H12:V12" si="2">H8+H10+H11</f>
        <v>7692</v>
      </c>
      <c r="I12" s="2103">
        <f t="shared" si="2"/>
        <v>5712.2000000000007</v>
      </c>
      <c r="J12" s="2103">
        <f t="shared" si="2"/>
        <v>299.7</v>
      </c>
      <c r="K12" s="2103">
        <f t="shared" si="2"/>
        <v>7623.5</v>
      </c>
      <c r="L12" s="2103">
        <f t="shared" si="2"/>
        <v>5851.26</v>
      </c>
      <c r="M12" s="2103">
        <f t="shared" si="2"/>
        <v>216.9</v>
      </c>
      <c r="N12" s="2103">
        <f t="shared" si="2"/>
        <v>12740.1</v>
      </c>
      <c r="O12" s="2103">
        <f t="shared" si="2"/>
        <v>10434.452133333332</v>
      </c>
      <c r="P12" s="2103">
        <f t="shared" si="2"/>
        <v>189.15722480612965</v>
      </c>
      <c r="Q12" s="2103">
        <f t="shared" si="2"/>
        <v>13497.45</v>
      </c>
      <c r="R12" s="2103">
        <f t="shared" si="2"/>
        <v>10106.93</v>
      </c>
      <c r="S12" s="2103">
        <f t="shared" si="2"/>
        <v>192.15</v>
      </c>
      <c r="T12" s="2103">
        <f t="shared" si="2"/>
        <v>13812.639779661018</v>
      </c>
      <c r="U12" s="2103">
        <f t="shared" si="2"/>
        <v>5124.2755593220336</v>
      </c>
      <c r="V12" s="2107">
        <f t="shared" si="2"/>
        <v>192.66</v>
      </c>
      <c r="W12" s="2103">
        <f t="shared" si="0"/>
        <v>93685.374697122519</v>
      </c>
    </row>
    <row r="13" spans="1:23">
      <c r="A13" s="6482"/>
      <c r="B13" s="6483"/>
      <c r="C13" s="6483"/>
      <c r="D13" s="6483"/>
      <c r="E13" s="6483"/>
      <c r="F13" s="6483"/>
      <c r="G13" s="6483"/>
      <c r="H13" s="6483"/>
      <c r="I13" s="6483"/>
      <c r="J13" s="6483"/>
      <c r="K13" s="6483"/>
      <c r="L13" s="6483"/>
      <c r="M13" s="6483"/>
      <c r="N13" s="6483"/>
      <c r="O13" s="6483"/>
      <c r="P13" s="6483"/>
      <c r="Q13" s="6483"/>
      <c r="R13" s="6483"/>
      <c r="S13" s="6483"/>
      <c r="T13" s="6483"/>
      <c r="U13" s="6483"/>
      <c r="V13" s="6483"/>
      <c r="W13" s="6484"/>
    </row>
    <row r="14" spans="1:23" ht="30">
      <c r="A14" s="2100" t="s">
        <v>1481</v>
      </c>
      <c r="B14" s="2103"/>
      <c r="C14" s="2103"/>
      <c r="D14" s="2103"/>
      <c r="E14" s="2103"/>
      <c r="F14" s="2103"/>
      <c r="G14" s="2103"/>
      <c r="H14" s="6487">
        <f>3801.4</f>
        <v>3801.4</v>
      </c>
      <c r="I14" s="6488"/>
      <c r="J14" s="6489"/>
      <c r="K14" s="6487">
        <v>3970.2</v>
      </c>
      <c r="L14" s="6488"/>
      <c r="M14" s="6489"/>
      <c r="N14" s="6487">
        <v>3057.9</v>
      </c>
      <c r="O14" s="6488"/>
      <c r="P14" s="6489"/>
      <c r="Q14" s="2103"/>
      <c r="R14" s="2103"/>
      <c r="S14" s="2103"/>
      <c r="T14" s="2103"/>
      <c r="U14" s="2103"/>
      <c r="V14" s="2107"/>
      <c r="W14" s="2103">
        <f>SUM(H14:V14)</f>
        <v>10829.5</v>
      </c>
    </row>
    <row r="15" spans="1:23">
      <c r="A15" s="2100" t="s">
        <v>1482</v>
      </c>
      <c r="B15" s="2103">
        <f>196.7+1504.8+562.4+1300.3</f>
        <v>3564.2</v>
      </c>
      <c r="C15" s="2103"/>
      <c r="D15" s="2103"/>
      <c r="E15" s="2103">
        <f>430.7+822.8+623.8+3074.9</f>
        <v>4952.2</v>
      </c>
      <c r="F15" s="2103"/>
      <c r="G15" s="2103"/>
      <c r="H15" s="2103">
        <f>94.7+1076.6+710+2187.1</f>
        <v>4068.3999999999996</v>
      </c>
      <c r="I15" s="2103">
        <f>427+279.7+300.6+250.9</f>
        <v>1258.2</v>
      </c>
      <c r="J15" s="2103"/>
      <c r="K15" s="2103">
        <f>20+1500+300+1238.7</f>
        <v>3058.7</v>
      </c>
      <c r="L15" s="2103"/>
      <c r="M15" s="2103"/>
      <c r="N15" s="2103">
        <v>2797.4</v>
      </c>
      <c r="O15" s="2103">
        <f>стоки!AB12+стоки!AB22+стоки!AB28+стоки!AB37</f>
        <v>658.1</v>
      </c>
      <c r="P15" s="2103"/>
      <c r="Q15" s="2103">
        <v>2859.9</v>
      </c>
      <c r="R15" s="2103">
        <f>стоки!AS12+стоки!AS22+стоки!AS28+стоки!AS37</f>
        <v>0</v>
      </c>
      <c r="S15" s="2103"/>
      <c r="T15" s="2103"/>
      <c r="U15" s="2103"/>
      <c r="V15" s="2107"/>
      <c r="W15" s="2103">
        <f>SUM(H15:V15)</f>
        <v>14700.699999999999</v>
      </c>
    </row>
    <row r="16" spans="1:23">
      <c r="A16" s="2100" t="s">
        <v>1487</v>
      </c>
      <c r="B16" s="2103"/>
      <c r="C16" s="2103"/>
      <c r="D16" s="2103"/>
      <c r="E16" s="2103"/>
      <c r="F16" s="2103"/>
      <c r="G16" s="2103"/>
      <c r="H16" s="2103"/>
      <c r="I16" s="2103"/>
      <c r="J16" s="2103"/>
      <c r="K16" s="2103"/>
      <c r="L16" s="2103"/>
      <c r="M16" s="2103"/>
      <c r="N16" s="2103">
        <v>824.7</v>
      </c>
      <c r="O16" s="2103">
        <v>1044.8800000000001</v>
      </c>
      <c r="P16" s="2103"/>
      <c r="Q16" s="2103"/>
      <c r="R16" s="2103"/>
      <c r="S16" s="2103"/>
      <c r="T16" s="2103"/>
      <c r="U16" s="2103"/>
      <c r="V16" s="2107"/>
      <c r="W16" s="2103">
        <f>SUM(H16:V16)</f>
        <v>1869.5800000000002</v>
      </c>
    </row>
    <row r="17" spans="1:23">
      <c r="A17" s="6485"/>
      <c r="B17" s="6485"/>
      <c r="C17" s="6485"/>
      <c r="D17" s="6485"/>
      <c r="E17" s="6485"/>
      <c r="F17" s="6485"/>
      <c r="G17" s="6485"/>
      <c r="H17" s="6485"/>
      <c r="I17" s="6485"/>
      <c r="J17" s="6485"/>
      <c r="K17" s="6485"/>
      <c r="L17" s="6485"/>
      <c r="M17" s="6485"/>
      <c r="N17" s="6485"/>
      <c r="O17" s="6485"/>
      <c r="P17" s="6485"/>
      <c r="Q17" s="6485"/>
      <c r="R17" s="6485"/>
      <c r="S17" s="6485"/>
      <c r="T17" s="6485"/>
      <c r="U17" s="6485"/>
      <c r="V17" s="6485"/>
      <c r="W17" s="6486"/>
    </row>
    <row r="18" spans="1:23">
      <c r="A18" s="2100"/>
      <c r="B18" s="2103"/>
      <c r="C18" s="2103"/>
      <c r="D18" s="2103"/>
      <c r="E18" s="2103"/>
      <c r="F18" s="2103"/>
      <c r="G18" s="2103"/>
      <c r="H18" s="2103"/>
      <c r="I18" s="2103"/>
      <c r="J18" s="2103"/>
      <c r="K18" s="2103"/>
      <c r="L18" s="2103"/>
      <c r="M18" s="2103"/>
      <c r="N18" s="2103"/>
      <c r="O18" s="2103"/>
      <c r="P18" s="2103"/>
      <c r="Q18" s="2103"/>
      <c r="R18" s="2103"/>
      <c r="S18" s="2103"/>
      <c r="T18" s="2103"/>
      <c r="U18" s="2103"/>
      <c r="V18" s="2107"/>
      <c r="W18" s="2104"/>
    </row>
    <row r="19" spans="1:23" ht="30">
      <c r="A19" s="2100" t="s">
        <v>1484</v>
      </c>
      <c r="B19" s="2103">
        <f t="shared" ref="B19:G19" si="3">B14+B15</f>
        <v>3564.2</v>
      </c>
      <c r="C19" s="2103">
        <f t="shared" si="3"/>
        <v>0</v>
      </c>
      <c r="D19" s="2103">
        <f t="shared" si="3"/>
        <v>0</v>
      </c>
      <c r="E19" s="2103">
        <f t="shared" si="3"/>
        <v>4952.2</v>
      </c>
      <c r="F19" s="2103">
        <f t="shared" si="3"/>
        <v>0</v>
      </c>
      <c r="G19" s="2103">
        <f t="shared" si="3"/>
        <v>0</v>
      </c>
      <c r="H19" s="2103">
        <f>H14+H15+H16</f>
        <v>7869.7999999999993</v>
      </c>
      <c r="I19" s="2103">
        <f t="shared" ref="I19:V19" si="4">I14+I15+I16</f>
        <v>1258.2</v>
      </c>
      <c r="J19" s="2103">
        <f t="shared" si="4"/>
        <v>0</v>
      </c>
      <c r="K19" s="2103">
        <f t="shared" si="4"/>
        <v>7028.9</v>
      </c>
      <c r="L19" s="2103">
        <f t="shared" si="4"/>
        <v>0</v>
      </c>
      <c r="M19" s="2103">
        <f t="shared" si="4"/>
        <v>0</v>
      </c>
      <c r="N19" s="2103">
        <f t="shared" si="4"/>
        <v>6680</v>
      </c>
      <c r="O19" s="2103">
        <f t="shared" si="4"/>
        <v>1702.98</v>
      </c>
      <c r="P19" s="2103">
        <f t="shared" si="4"/>
        <v>0</v>
      </c>
      <c r="Q19" s="2103">
        <f t="shared" si="4"/>
        <v>2859.9</v>
      </c>
      <c r="R19" s="2103">
        <f t="shared" si="4"/>
        <v>0</v>
      </c>
      <c r="S19" s="2103">
        <f t="shared" si="4"/>
        <v>0</v>
      </c>
      <c r="T19" s="2103">
        <f t="shared" si="4"/>
        <v>0</v>
      </c>
      <c r="U19" s="2103">
        <f t="shared" si="4"/>
        <v>0</v>
      </c>
      <c r="V19" s="2107">
        <f t="shared" si="4"/>
        <v>0</v>
      </c>
      <c r="W19" s="2103">
        <f>SUM(H19:V19)</f>
        <v>27399.780000000002</v>
      </c>
    </row>
    <row r="20" spans="1:23">
      <c r="A20" s="2100" t="s">
        <v>1485</v>
      </c>
      <c r="B20" s="2104"/>
      <c r="C20" s="2104"/>
      <c r="D20" s="2104"/>
      <c r="E20" s="2104"/>
      <c r="F20" s="2104"/>
      <c r="G20" s="2104"/>
      <c r="H20" s="2103">
        <f t="shared" ref="H20:V20" si="5">H12-H19</f>
        <v>-177.79999999999927</v>
      </c>
      <c r="I20" s="2103">
        <f t="shared" si="5"/>
        <v>4454.0000000000009</v>
      </c>
      <c r="J20" s="2103">
        <f t="shared" si="5"/>
        <v>299.7</v>
      </c>
      <c r="K20" s="2103">
        <f t="shared" si="5"/>
        <v>594.60000000000036</v>
      </c>
      <c r="L20" s="2103">
        <f t="shared" si="5"/>
        <v>5851.26</v>
      </c>
      <c r="M20" s="2103">
        <f t="shared" si="5"/>
        <v>216.9</v>
      </c>
      <c r="N20" s="2103">
        <f t="shared" si="5"/>
        <v>6060.1</v>
      </c>
      <c r="O20" s="2103">
        <f t="shared" si="5"/>
        <v>8731.4721333333327</v>
      </c>
      <c r="P20" s="2103">
        <f t="shared" si="5"/>
        <v>189.15722480612965</v>
      </c>
      <c r="Q20" s="2103">
        <f t="shared" si="5"/>
        <v>10637.550000000001</v>
      </c>
      <c r="R20" s="2103">
        <f t="shared" si="5"/>
        <v>10106.93</v>
      </c>
      <c r="S20" s="2103">
        <f t="shared" si="5"/>
        <v>192.15</v>
      </c>
      <c r="T20" s="2103">
        <f t="shared" si="5"/>
        <v>13812.639779661018</v>
      </c>
      <c r="U20" s="2103">
        <f t="shared" si="5"/>
        <v>5124.2755593220336</v>
      </c>
      <c r="V20" s="2107">
        <f t="shared" si="5"/>
        <v>192.66</v>
      </c>
      <c r="W20" s="2105">
        <f>SUM(H20:V20)</f>
        <v>66285.59469712252</v>
      </c>
    </row>
    <row r="21" spans="1:23" ht="30" customHeight="1">
      <c r="A21" s="6491" t="s">
        <v>1491</v>
      </c>
      <c r="B21" s="6492"/>
      <c r="C21" s="6492"/>
      <c r="D21" s="6492"/>
      <c r="E21" s="6492"/>
      <c r="F21" s="6492"/>
      <c r="G21" s="6492"/>
      <c r="H21" s="6492"/>
      <c r="I21" s="6492"/>
      <c r="J21" s="6492"/>
      <c r="K21" s="6492"/>
      <c r="L21" s="6492"/>
      <c r="M21" s="6492"/>
      <c r="N21" s="6492"/>
      <c r="O21" s="6492"/>
      <c r="P21" s="6492"/>
      <c r="Q21" s="6492"/>
      <c r="R21" s="6492"/>
      <c r="S21" s="6492"/>
      <c r="T21" s="6492"/>
      <c r="U21" s="6493"/>
      <c r="V21" s="2108">
        <f>SUM(H20:V20)</f>
        <v>66285.59469712252</v>
      </c>
      <c r="W21" s="2104"/>
    </row>
    <row r="22" spans="1:23">
      <c r="A22" s="6483"/>
      <c r="B22" s="6483"/>
      <c r="C22" s="6483"/>
      <c r="D22" s="6483"/>
      <c r="E22" s="6483"/>
      <c r="F22" s="6483"/>
      <c r="G22" s="6483"/>
      <c r="H22" s="6483"/>
      <c r="I22" s="6483"/>
      <c r="J22" s="6483"/>
      <c r="K22" s="6483"/>
      <c r="L22" s="6483"/>
      <c r="M22" s="6483"/>
      <c r="N22" s="6483"/>
      <c r="O22" s="6483"/>
      <c r="P22" s="6483"/>
      <c r="Q22" s="6483"/>
      <c r="R22" s="6483"/>
      <c r="S22" s="6483"/>
      <c r="T22" s="6483"/>
      <c r="U22" s="6483"/>
      <c r="V22" s="6483"/>
      <c r="W22" s="6484"/>
    </row>
    <row r="23" spans="1:23">
      <c r="A23" s="6478" t="s">
        <v>1489</v>
      </c>
      <c r="B23" s="6478"/>
      <c r="C23" s="6478"/>
      <c r="D23" s="6478"/>
      <c r="E23" s="6478"/>
      <c r="F23" s="6478"/>
      <c r="G23" s="6478"/>
      <c r="H23" s="6478"/>
      <c r="I23" s="6478"/>
      <c r="J23" s="6478"/>
      <c r="K23" s="6478"/>
      <c r="L23" s="6478"/>
      <c r="M23" s="6478"/>
      <c r="N23" s="6478"/>
      <c r="O23" s="6478"/>
      <c r="P23" s="6478"/>
      <c r="Q23" s="6478"/>
      <c r="R23" s="6478"/>
      <c r="S23" s="6478"/>
      <c r="T23" s="6478"/>
      <c r="U23" s="6478"/>
      <c r="V23" s="6479"/>
      <c r="W23" s="2104"/>
    </row>
    <row r="24" spans="1:23" ht="30">
      <c r="A24" s="2100" t="s">
        <v>1494</v>
      </c>
      <c r="B24" s="2104"/>
      <c r="C24" s="2104"/>
      <c r="D24" s="2104"/>
      <c r="E24" s="2104"/>
      <c r="F24" s="2104"/>
      <c r="G24" s="2104"/>
      <c r="H24" s="2104"/>
      <c r="I24" s="2104"/>
      <c r="J24" s="2104"/>
      <c r="K24" s="2104"/>
      <c r="L24" s="2104"/>
      <c r="M24" s="2104"/>
      <c r="N24" s="2104"/>
      <c r="O24" s="2104"/>
      <c r="P24" s="2104"/>
      <c r="Q24" s="2104"/>
      <c r="R24" s="2104"/>
      <c r="S24" s="2104"/>
      <c r="T24" s="2103">
        <f>10+15+4100.22+5000+5000</f>
        <v>14125.220000000001</v>
      </c>
      <c r="U24" s="2103">
        <f>1497.7+1500+1500</f>
        <v>4497.7</v>
      </c>
      <c r="V24" s="2109"/>
      <c r="W24" s="2103">
        <f>SUM(H24:V24)</f>
        <v>18622.920000000002</v>
      </c>
    </row>
    <row r="25" spans="1:23" ht="30">
      <c r="A25" s="2100" t="s">
        <v>1495</v>
      </c>
      <c r="B25" s="2104"/>
      <c r="C25" s="2104"/>
      <c r="D25" s="2104"/>
      <c r="E25" s="2104"/>
      <c r="F25" s="2104"/>
      <c r="G25" s="2104"/>
      <c r="H25" s="2104"/>
      <c r="I25" s="2104"/>
      <c r="J25" s="2104"/>
      <c r="K25" s="2104"/>
      <c r="L25" s="2104"/>
      <c r="M25" s="2104"/>
      <c r="N25" s="2104"/>
      <c r="O25" s="2104"/>
      <c r="P25" s="2104"/>
      <c r="Q25" s="2104"/>
      <c r="R25" s="2104"/>
      <c r="S25" s="2104"/>
      <c r="T25" s="2104">
        <v>4735.2</v>
      </c>
      <c r="U25" s="2104">
        <v>4491.5</v>
      </c>
      <c r="V25" s="2109"/>
      <c r="W25" s="2103">
        <f>SUM(H25:V25)</f>
        <v>9226.7000000000007</v>
      </c>
    </row>
  </sheetData>
  <mergeCells count="18">
    <mergeCell ref="A3:V3"/>
    <mergeCell ref="W5:W6"/>
    <mergeCell ref="A13:W13"/>
    <mergeCell ref="A17:W17"/>
    <mergeCell ref="A22:W22"/>
    <mergeCell ref="H14:J14"/>
    <mergeCell ref="K14:M14"/>
    <mergeCell ref="N14:P14"/>
    <mergeCell ref="T5:V5"/>
    <mergeCell ref="A7:V7"/>
    <mergeCell ref="A21:U21"/>
    <mergeCell ref="A23:V23"/>
    <mergeCell ref="B5:D5"/>
    <mergeCell ref="E5:G5"/>
    <mergeCell ref="H5:J5"/>
    <mergeCell ref="K5:M5"/>
    <mergeCell ref="N5:P5"/>
    <mergeCell ref="Q5:S5"/>
  </mergeCells>
  <pageMargins left="0.7" right="0.7" top="0.75" bottom="0.75" header="0.3" footer="0.3"/>
  <pageSetup paperSize="9" scale="57" orientation="landscape" r:id="rId1"/>
</worksheet>
</file>

<file path=xl/worksheets/sheet53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L191"/>
  <sheetViews>
    <sheetView topLeftCell="A136" workbookViewId="0">
      <selection activeCell="A163" sqref="A163:L191"/>
    </sheetView>
  </sheetViews>
  <sheetFormatPr defaultRowHeight="12.75"/>
  <cols>
    <col min="1" max="1" width="8.42578125" customWidth="1"/>
    <col min="2" max="2" width="16.7109375" customWidth="1"/>
    <col min="3" max="3" width="42" customWidth="1"/>
    <col min="11" max="11" width="10.140625" customWidth="1"/>
  </cols>
  <sheetData>
    <row r="1" spans="1:11" ht="18.75">
      <c r="A1" s="6425" t="s">
        <v>666</v>
      </c>
      <c r="B1" s="6426"/>
      <c r="C1" s="6426"/>
      <c r="D1" s="6426"/>
      <c r="E1" s="6426"/>
      <c r="F1" s="6426"/>
      <c r="G1" s="6426"/>
      <c r="H1" s="6426"/>
      <c r="I1" s="6426"/>
      <c r="J1" s="6426"/>
      <c r="K1" s="6427"/>
    </row>
    <row r="2" spans="1:11" ht="13.5">
      <c r="A2" s="6428" t="s">
        <v>667</v>
      </c>
      <c r="B2" s="6419"/>
      <c r="C2" s="6419"/>
      <c r="D2" s="6419"/>
      <c r="E2" s="6419"/>
      <c r="F2" s="6419"/>
      <c r="G2" s="6419"/>
      <c r="H2" s="6419"/>
      <c r="I2" s="6419"/>
      <c r="J2" s="6419"/>
      <c r="K2" s="6429"/>
    </row>
    <row r="3" spans="1:11" ht="18.75">
      <c r="A3" s="823"/>
      <c r="B3" s="292"/>
      <c r="C3" s="292"/>
      <c r="D3" s="292"/>
      <c r="E3" s="292"/>
      <c r="F3" s="292"/>
      <c r="G3" s="292"/>
      <c r="H3" s="292"/>
      <c r="I3" s="292"/>
      <c r="J3" s="292"/>
      <c r="K3" s="824"/>
    </row>
    <row r="4" spans="1:11" ht="18.75">
      <c r="A4" s="6430" t="s">
        <v>668</v>
      </c>
      <c r="B4" s="6419"/>
      <c r="C4" s="6419"/>
      <c r="D4" s="6419"/>
      <c r="E4" s="6419"/>
      <c r="F4" s="6419"/>
      <c r="G4" s="6419"/>
      <c r="H4" s="6419"/>
      <c r="I4" s="6419"/>
      <c r="J4" s="6419"/>
      <c r="K4" s="6429"/>
    </row>
    <row r="5" spans="1:11" ht="18">
      <c r="A5" s="825" t="s">
        <v>669</v>
      </c>
      <c r="B5" s="292"/>
      <c r="C5" s="292"/>
      <c r="D5" s="292"/>
      <c r="E5" s="292"/>
      <c r="F5" s="292"/>
      <c r="G5" s="292"/>
      <c r="H5" s="292"/>
      <c r="I5" s="292"/>
      <c r="J5" s="292"/>
      <c r="K5" s="824"/>
    </row>
    <row r="6" spans="1:11" ht="15">
      <c r="A6" s="6431" t="s">
        <v>495</v>
      </c>
      <c r="B6" s="6419"/>
      <c r="C6" s="6419"/>
      <c r="D6" s="6419"/>
      <c r="E6" s="6419"/>
      <c r="F6" s="6419"/>
      <c r="G6" s="6419"/>
      <c r="H6" s="6419"/>
      <c r="I6" s="6419"/>
      <c r="J6" s="6419"/>
      <c r="K6" s="6429"/>
    </row>
    <row r="7" spans="1:11" ht="18.75">
      <c r="A7" s="826"/>
      <c r="B7" s="292"/>
      <c r="C7" s="292"/>
      <c r="D7" s="292"/>
      <c r="E7" s="292"/>
      <c r="F7" s="292"/>
      <c r="G7" s="292"/>
      <c r="H7" s="292"/>
      <c r="I7" s="292"/>
      <c r="J7" s="292"/>
      <c r="K7" s="824"/>
    </row>
    <row r="8" spans="1:11">
      <c r="A8" s="6432" t="s">
        <v>670</v>
      </c>
      <c r="B8" s="6419"/>
      <c r="C8" s="6419"/>
      <c r="D8" s="6419"/>
      <c r="E8" s="6419"/>
      <c r="F8" s="6419"/>
      <c r="G8" s="6419"/>
      <c r="H8" s="6419"/>
      <c r="I8" s="6419"/>
      <c r="J8" s="6419"/>
      <c r="K8" s="6429"/>
    </row>
    <row r="9" spans="1:11" ht="15" customHeight="1">
      <c r="A9" s="6422" t="s">
        <v>671</v>
      </c>
      <c r="B9" s="6419"/>
      <c r="C9" s="6419"/>
      <c r="D9" s="827" t="s">
        <v>672</v>
      </c>
      <c r="E9" s="828"/>
      <c r="F9" s="828"/>
      <c r="G9" s="828"/>
      <c r="H9" s="828"/>
      <c r="I9" s="828"/>
      <c r="J9" s="828"/>
      <c r="K9" s="829"/>
    </row>
    <row r="10" spans="1:11" ht="15" customHeight="1">
      <c r="A10" s="6418" t="s">
        <v>673</v>
      </c>
      <c r="B10" s="6419"/>
      <c r="C10" s="6419"/>
      <c r="D10" s="6419"/>
      <c r="E10" s="6419"/>
      <c r="F10" s="6419"/>
      <c r="G10" s="6420" t="s">
        <v>674</v>
      </c>
      <c r="H10" s="6421" t="s">
        <v>675</v>
      </c>
      <c r="I10" s="292"/>
      <c r="J10" s="292"/>
      <c r="K10" s="824"/>
    </row>
    <row r="11" spans="1:11" ht="5.25" customHeight="1">
      <c r="A11" s="6418"/>
      <c r="B11" s="6419"/>
      <c r="C11" s="6419"/>
      <c r="D11" s="6419"/>
      <c r="E11" s="6419"/>
      <c r="F11" s="6419"/>
      <c r="G11" s="6420"/>
      <c r="H11" s="6421"/>
      <c r="I11" s="292"/>
      <c r="J11" s="292"/>
      <c r="K11" s="824"/>
    </row>
    <row r="12" spans="1:11" ht="11.25" customHeight="1">
      <c r="A12" s="6422" t="s">
        <v>676</v>
      </c>
      <c r="B12" s="6419"/>
      <c r="C12" s="6419"/>
      <c r="D12" s="6419"/>
      <c r="E12" s="6419"/>
      <c r="F12" s="6419"/>
      <c r="G12" s="6423">
        <v>584</v>
      </c>
      <c r="H12" s="6424" t="s">
        <v>677</v>
      </c>
      <c r="I12" s="292"/>
      <c r="J12" s="292"/>
      <c r="K12" s="824"/>
    </row>
    <row r="13" spans="1:11" ht="6.75" customHeight="1">
      <c r="A13" s="6422"/>
      <c r="B13" s="6419"/>
      <c r="C13" s="6419"/>
      <c r="D13" s="6419"/>
      <c r="E13" s="6419"/>
      <c r="F13" s="6419"/>
      <c r="G13" s="6423"/>
      <c r="H13" s="6424"/>
      <c r="I13" s="292"/>
      <c r="J13" s="292"/>
      <c r="K13" s="824"/>
    </row>
    <row r="14" spans="1:11" ht="15.75" customHeight="1">
      <c r="A14" s="6422" t="s">
        <v>678</v>
      </c>
      <c r="B14" s="6419"/>
      <c r="C14" s="6419"/>
      <c r="D14" s="6419"/>
      <c r="E14" s="6419"/>
      <c r="F14" s="6419"/>
      <c r="G14" s="6423" t="s">
        <v>679</v>
      </c>
      <c r="H14" s="6424" t="s">
        <v>675</v>
      </c>
      <c r="I14" s="292"/>
      <c r="J14" s="292"/>
      <c r="K14" s="824"/>
    </row>
    <row r="15" spans="1:11" ht="13.5" thickBot="1">
      <c r="A15" s="6422"/>
      <c r="B15" s="6419"/>
      <c r="C15" s="6419"/>
      <c r="D15" s="6419"/>
      <c r="E15" s="6419"/>
      <c r="F15" s="6419"/>
      <c r="G15" s="6423"/>
      <c r="H15" s="6424"/>
      <c r="I15" s="292"/>
      <c r="J15" s="292"/>
      <c r="K15" s="824"/>
    </row>
    <row r="16" spans="1:11" ht="23.25" customHeight="1" thickBot="1">
      <c r="A16" s="681" t="s">
        <v>175</v>
      </c>
      <c r="B16" s="681" t="s">
        <v>457</v>
      </c>
      <c r="C16" s="681" t="s">
        <v>373</v>
      </c>
      <c r="D16" s="351"/>
      <c r="E16" s="6445" t="s">
        <v>458</v>
      </c>
      <c r="F16" s="6446"/>
      <c r="G16" s="6445" t="s">
        <v>459</v>
      </c>
      <c r="H16" s="6447"/>
      <c r="I16" s="6446"/>
      <c r="J16" s="6448" t="s">
        <v>460</v>
      </c>
      <c r="K16" s="6449"/>
    </row>
    <row r="17" spans="1:11" ht="23.25" customHeight="1" thickBot="1">
      <c r="A17" s="354" t="s">
        <v>461</v>
      </c>
      <c r="B17" s="354" t="s">
        <v>462</v>
      </c>
      <c r="C17" s="354" t="s">
        <v>463</v>
      </c>
      <c r="D17" s="355" t="s">
        <v>464</v>
      </c>
      <c r="E17" s="683" t="s">
        <v>465</v>
      </c>
      <c r="F17" s="680" t="s">
        <v>466</v>
      </c>
      <c r="G17" s="354" t="s">
        <v>465</v>
      </c>
      <c r="H17" s="355" t="s">
        <v>467</v>
      </c>
      <c r="I17" s="357" t="s">
        <v>466</v>
      </c>
      <c r="J17" s="6433" t="s">
        <v>468</v>
      </c>
      <c r="K17" s="6434"/>
    </row>
    <row r="18" spans="1:11" ht="13.5" thickBot="1">
      <c r="A18" s="682"/>
      <c r="B18" s="682" t="s">
        <v>469</v>
      </c>
      <c r="C18" s="682"/>
      <c r="D18" s="359"/>
      <c r="E18" s="683" t="s">
        <v>467</v>
      </c>
      <c r="F18" s="357" t="s">
        <v>470</v>
      </c>
      <c r="G18" s="679"/>
      <c r="H18" s="360"/>
      <c r="I18" s="357" t="s">
        <v>470</v>
      </c>
      <c r="J18" s="682" t="s">
        <v>471</v>
      </c>
      <c r="K18" s="359" t="s">
        <v>465</v>
      </c>
    </row>
    <row r="19" spans="1:11" ht="13.5" thickBot="1">
      <c r="A19" s="830"/>
      <c r="B19" s="292"/>
      <c r="C19" s="292"/>
      <c r="D19" s="292"/>
      <c r="E19" s="292"/>
      <c r="F19" s="292"/>
      <c r="G19" s="292"/>
      <c r="H19" s="292"/>
      <c r="I19" s="292"/>
      <c r="J19" s="292"/>
      <c r="K19" s="824"/>
    </row>
    <row r="20" spans="1:11" ht="13.5" thickBot="1">
      <c r="A20" s="362">
        <v>1</v>
      </c>
      <c r="B20" s="363">
        <v>2</v>
      </c>
      <c r="C20" s="363">
        <v>3</v>
      </c>
      <c r="D20" s="363">
        <v>4</v>
      </c>
      <c r="E20" s="363">
        <v>5</v>
      </c>
      <c r="F20" s="363">
        <v>6</v>
      </c>
      <c r="G20" s="363">
        <v>7</v>
      </c>
      <c r="H20" s="363">
        <v>8</v>
      </c>
      <c r="I20" s="363">
        <v>9</v>
      </c>
      <c r="J20" s="363">
        <v>10</v>
      </c>
      <c r="K20" s="363">
        <v>11</v>
      </c>
    </row>
    <row r="21" spans="1:11" ht="13.5" thickBot="1">
      <c r="A21" s="816"/>
      <c r="B21" s="817"/>
      <c r="C21" s="817"/>
      <c r="D21" s="817"/>
      <c r="E21" s="817"/>
      <c r="F21" s="817"/>
      <c r="G21" s="817"/>
      <c r="H21" s="817"/>
      <c r="I21" s="817"/>
      <c r="J21" s="817"/>
      <c r="K21" s="817"/>
    </row>
    <row r="22" spans="1:11" ht="13.5" thickBot="1">
      <c r="A22" s="6435"/>
      <c r="B22" s="6436"/>
      <c r="C22" s="6436"/>
      <c r="D22" s="6436"/>
      <c r="E22" s="6436"/>
      <c r="F22" s="6436"/>
      <c r="G22" s="6436"/>
      <c r="H22" s="6436"/>
      <c r="I22" s="6436"/>
      <c r="J22" s="6436"/>
      <c r="K22" s="6437"/>
    </row>
    <row r="23" spans="1:11" ht="13.5" thickBot="1">
      <c r="A23" s="6438" t="s">
        <v>680</v>
      </c>
      <c r="B23" s="6439"/>
      <c r="C23" s="6439"/>
      <c r="D23" s="6439"/>
      <c r="E23" s="6439"/>
      <c r="F23" s="6439"/>
      <c r="G23" s="6439"/>
      <c r="H23" s="6439"/>
      <c r="I23" s="6439"/>
      <c r="J23" s="6439"/>
      <c r="K23" s="6440"/>
    </row>
    <row r="24" spans="1:11" ht="13.5" thickBot="1">
      <c r="A24" s="6435"/>
      <c r="B24" s="6436"/>
      <c r="C24" s="6436"/>
      <c r="D24" s="6436"/>
      <c r="E24" s="6436"/>
      <c r="F24" s="6436"/>
      <c r="G24" s="6436"/>
      <c r="H24" s="6436"/>
      <c r="I24" s="6436"/>
      <c r="J24" s="6436"/>
      <c r="K24" s="6437"/>
    </row>
    <row r="25" spans="1:11" ht="34.5" customHeight="1">
      <c r="A25" s="6441">
        <v>1</v>
      </c>
      <c r="B25" s="6443" t="s">
        <v>681</v>
      </c>
      <c r="C25" s="369" t="s">
        <v>682</v>
      </c>
      <c r="D25" s="370">
        <v>0.26</v>
      </c>
      <c r="E25" s="371">
        <v>40328.97</v>
      </c>
      <c r="F25" s="371">
        <v>37757.160000000003</v>
      </c>
      <c r="G25" s="6441">
        <v>10486</v>
      </c>
      <c r="H25" s="6441">
        <v>669</v>
      </c>
      <c r="I25" s="371">
        <v>9817</v>
      </c>
      <c r="J25" s="371">
        <v>13.22</v>
      </c>
      <c r="K25" s="371">
        <v>3.44</v>
      </c>
    </row>
    <row r="26" spans="1:11" ht="35.25" customHeight="1" thickBot="1">
      <c r="A26" s="6442"/>
      <c r="B26" s="6444"/>
      <c r="C26" s="367" t="s">
        <v>683</v>
      </c>
      <c r="D26" s="368" t="s">
        <v>684</v>
      </c>
      <c r="E26" s="368">
        <v>2571.81</v>
      </c>
      <c r="F26" s="368">
        <v>9733.83</v>
      </c>
      <c r="G26" s="6442"/>
      <c r="H26" s="6442"/>
      <c r="I26" s="368">
        <v>2531</v>
      </c>
      <c r="J26" s="368">
        <v>28.91</v>
      </c>
      <c r="K26" s="368">
        <v>7.52</v>
      </c>
    </row>
    <row r="27" spans="1:11" ht="24" customHeight="1">
      <c r="A27" s="6441">
        <v>2</v>
      </c>
      <c r="B27" s="6443" t="s">
        <v>685</v>
      </c>
      <c r="C27" s="369" t="s">
        <v>686</v>
      </c>
      <c r="D27" s="370">
        <v>0.16</v>
      </c>
      <c r="E27" s="371">
        <v>79627.929999999993</v>
      </c>
      <c r="F27" s="371">
        <v>0</v>
      </c>
      <c r="G27" s="6441">
        <v>12740</v>
      </c>
      <c r="H27" s="6441">
        <v>12740</v>
      </c>
      <c r="I27" s="371">
        <v>0</v>
      </c>
      <c r="J27" s="371">
        <v>381</v>
      </c>
      <c r="K27" s="371">
        <v>60.96</v>
      </c>
    </row>
    <row r="28" spans="1:11" ht="34.5" customHeight="1" thickBot="1">
      <c r="A28" s="6442"/>
      <c r="B28" s="6444"/>
      <c r="C28" s="367" t="s">
        <v>683</v>
      </c>
      <c r="D28" s="368" t="s">
        <v>687</v>
      </c>
      <c r="E28" s="368">
        <v>79627.929999999993</v>
      </c>
      <c r="F28" s="368">
        <v>0</v>
      </c>
      <c r="G28" s="6442"/>
      <c r="H28" s="6442"/>
      <c r="I28" s="368">
        <v>0</v>
      </c>
      <c r="J28" s="368">
        <v>0</v>
      </c>
      <c r="K28" s="368">
        <v>0</v>
      </c>
    </row>
    <row r="29" spans="1:11" ht="12" customHeight="1">
      <c r="A29" s="6441">
        <v>3</v>
      </c>
      <c r="B29" s="6443" t="s">
        <v>688</v>
      </c>
      <c r="C29" s="369" t="s">
        <v>689</v>
      </c>
      <c r="D29" s="370">
        <v>0.5</v>
      </c>
      <c r="E29" s="371">
        <v>19221.080000000002</v>
      </c>
      <c r="F29" s="371">
        <v>19221.080000000002</v>
      </c>
      <c r="G29" s="6441">
        <v>9611</v>
      </c>
      <c r="H29" s="6441">
        <v>0</v>
      </c>
      <c r="I29" s="371">
        <v>9611</v>
      </c>
      <c r="J29" s="371">
        <v>0</v>
      </c>
      <c r="K29" s="371">
        <v>0</v>
      </c>
    </row>
    <row r="30" spans="1:11" ht="34.5" customHeight="1" thickBot="1">
      <c r="A30" s="6442"/>
      <c r="B30" s="6444"/>
      <c r="C30" s="367" t="s">
        <v>683</v>
      </c>
      <c r="D30" s="368" t="s">
        <v>690</v>
      </c>
      <c r="E30" s="368">
        <v>0</v>
      </c>
      <c r="F30" s="368">
        <v>24389.57</v>
      </c>
      <c r="G30" s="6442"/>
      <c r="H30" s="6442"/>
      <c r="I30" s="368">
        <v>12195</v>
      </c>
      <c r="J30" s="368">
        <v>97.21</v>
      </c>
      <c r="K30" s="368">
        <v>48.61</v>
      </c>
    </row>
    <row r="31" spans="1:11" ht="21" customHeight="1">
      <c r="A31" s="6441">
        <v>4</v>
      </c>
      <c r="B31" s="6443" t="s">
        <v>691</v>
      </c>
      <c r="C31" s="369" t="s">
        <v>692</v>
      </c>
      <c r="D31" s="370">
        <v>1</v>
      </c>
      <c r="E31" s="371">
        <v>12431.39</v>
      </c>
      <c r="F31" s="371">
        <v>726.88</v>
      </c>
      <c r="G31" s="6441">
        <v>12431</v>
      </c>
      <c r="H31" s="6441">
        <v>5531</v>
      </c>
      <c r="I31" s="371">
        <v>727</v>
      </c>
      <c r="J31" s="371">
        <v>26</v>
      </c>
      <c r="K31" s="371">
        <v>26</v>
      </c>
    </row>
    <row r="32" spans="1:11" ht="33" customHeight="1" thickBot="1">
      <c r="A32" s="6442"/>
      <c r="B32" s="6444"/>
      <c r="C32" s="367" t="s">
        <v>683</v>
      </c>
      <c r="D32" s="368" t="s">
        <v>693</v>
      </c>
      <c r="E32" s="368">
        <v>5531.19</v>
      </c>
      <c r="F32" s="368">
        <v>97.76</v>
      </c>
      <c r="G32" s="6442"/>
      <c r="H32" s="6442"/>
      <c r="I32" s="368">
        <v>98</v>
      </c>
      <c r="J32" s="368">
        <v>0.72</v>
      </c>
      <c r="K32" s="368">
        <v>0.72</v>
      </c>
    </row>
    <row r="33" spans="1:11" ht="11.25" customHeight="1">
      <c r="A33" s="6441">
        <v>5</v>
      </c>
      <c r="B33" s="6443" t="s">
        <v>694</v>
      </c>
      <c r="C33" s="369" t="s">
        <v>695</v>
      </c>
      <c r="D33" s="370">
        <v>2</v>
      </c>
      <c r="E33" s="371">
        <v>5195.62</v>
      </c>
      <c r="F33" s="371">
        <v>327.29000000000002</v>
      </c>
      <c r="G33" s="6441">
        <v>10391</v>
      </c>
      <c r="H33" s="6441">
        <v>4156</v>
      </c>
      <c r="I33" s="371">
        <v>655</v>
      </c>
      <c r="J33" s="371">
        <v>10.199999999999999</v>
      </c>
      <c r="K33" s="371">
        <v>20.399999999999999</v>
      </c>
    </row>
    <row r="34" spans="1:11" ht="32.25" customHeight="1" thickBot="1">
      <c r="A34" s="6442"/>
      <c r="B34" s="6444"/>
      <c r="C34" s="367" t="s">
        <v>683</v>
      </c>
      <c r="D34" s="368" t="s">
        <v>696</v>
      </c>
      <c r="E34" s="368">
        <v>2078.25</v>
      </c>
      <c r="F34" s="368">
        <v>87.79</v>
      </c>
      <c r="G34" s="6442"/>
      <c r="H34" s="6442"/>
      <c r="I34" s="368">
        <v>176</v>
      </c>
      <c r="J34" s="368">
        <v>0.35</v>
      </c>
      <c r="K34" s="368">
        <v>0.7</v>
      </c>
    </row>
    <row r="35" spans="1:11" ht="32.25" customHeight="1">
      <c r="A35" s="6441">
        <v>6</v>
      </c>
      <c r="B35" s="6443" t="s">
        <v>697</v>
      </c>
      <c r="C35" s="369" t="s">
        <v>698</v>
      </c>
      <c r="D35" s="370">
        <v>6</v>
      </c>
      <c r="E35" s="371">
        <v>904.33</v>
      </c>
      <c r="F35" s="371">
        <v>310.14</v>
      </c>
      <c r="G35" s="6441">
        <v>5426</v>
      </c>
      <c r="H35" s="6441">
        <v>1634</v>
      </c>
      <c r="I35" s="371">
        <v>1861</v>
      </c>
      <c r="J35" s="371">
        <v>1.28</v>
      </c>
      <c r="K35" s="371">
        <v>7.68</v>
      </c>
    </row>
    <row r="36" spans="1:11" ht="34.5" customHeight="1" thickBot="1">
      <c r="A36" s="6442"/>
      <c r="B36" s="6444"/>
      <c r="C36" s="367" t="s">
        <v>683</v>
      </c>
      <c r="D36" s="368" t="s">
        <v>699</v>
      </c>
      <c r="E36" s="368">
        <v>272.33999999999997</v>
      </c>
      <c r="F36" s="368">
        <v>39.409999999999997</v>
      </c>
      <c r="G36" s="6442"/>
      <c r="H36" s="6442"/>
      <c r="I36" s="368">
        <v>236</v>
      </c>
      <c r="J36" s="368">
        <v>0.26</v>
      </c>
      <c r="K36" s="368">
        <v>1.56</v>
      </c>
    </row>
    <row r="37" spans="1:11" ht="33" customHeight="1">
      <c r="A37" s="6441">
        <v>7</v>
      </c>
      <c r="B37" s="6443" t="s">
        <v>700</v>
      </c>
      <c r="C37" s="369" t="s">
        <v>701</v>
      </c>
      <c r="D37" s="370">
        <v>0.27</v>
      </c>
      <c r="E37" s="371">
        <v>7223.86</v>
      </c>
      <c r="F37" s="371">
        <v>7223.86</v>
      </c>
      <c r="G37" s="6441">
        <v>1950</v>
      </c>
      <c r="H37" s="6441">
        <v>0</v>
      </c>
      <c r="I37" s="371">
        <v>1950</v>
      </c>
      <c r="J37" s="371">
        <v>0</v>
      </c>
      <c r="K37" s="371">
        <v>0</v>
      </c>
    </row>
    <row r="38" spans="1:11" ht="33.75" customHeight="1" thickBot="1">
      <c r="A38" s="6442"/>
      <c r="B38" s="6444"/>
      <c r="C38" s="367" t="s">
        <v>683</v>
      </c>
      <c r="D38" s="368" t="s">
        <v>684</v>
      </c>
      <c r="E38" s="368">
        <v>0</v>
      </c>
      <c r="F38" s="368">
        <v>2650.37</v>
      </c>
      <c r="G38" s="6442"/>
      <c r="H38" s="6442"/>
      <c r="I38" s="368">
        <v>716</v>
      </c>
      <c r="J38" s="368">
        <v>7.38</v>
      </c>
      <c r="K38" s="368">
        <v>1.99</v>
      </c>
    </row>
    <row r="39" spans="1:11" ht="24" customHeight="1">
      <c r="A39" s="6441">
        <v>8</v>
      </c>
      <c r="B39" s="6443" t="s">
        <v>702</v>
      </c>
      <c r="C39" s="369" t="s">
        <v>703</v>
      </c>
      <c r="D39" s="370">
        <v>0.16500000000000001</v>
      </c>
      <c r="E39" s="371">
        <v>22633.05</v>
      </c>
      <c r="F39" s="371">
        <v>0</v>
      </c>
      <c r="G39" s="6441">
        <v>3734</v>
      </c>
      <c r="H39" s="6441">
        <v>3734</v>
      </c>
      <c r="I39" s="371">
        <v>0</v>
      </c>
      <c r="J39" s="371">
        <v>121</v>
      </c>
      <c r="K39" s="371">
        <v>19.97</v>
      </c>
    </row>
    <row r="40" spans="1:11" ht="34.5" customHeight="1" thickBot="1">
      <c r="A40" s="6442"/>
      <c r="B40" s="6444"/>
      <c r="C40" s="367" t="s">
        <v>683</v>
      </c>
      <c r="D40" s="368" t="s">
        <v>687</v>
      </c>
      <c r="E40" s="368">
        <v>22633.05</v>
      </c>
      <c r="F40" s="368">
        <v>0</v>
      </c>
      <c r="G40" s="6442"/>
      <c r="H40" s="6442"/>
      <c r="I40" s="368">
        <v>0</v>
      </c>
      <c r="J40" s="368">
        <v>0</v>
      </c>
      <c r="K40" s="368">
        <v>0</v>
      </c>
    </row>
    <row r="41" spans="1:11" ht="12" customHeight="1">
      <c r="A41" s="6441">
        <v>9</v>
      </c>
      <c r="B41" s="6443" t="s">
        <v>496</v>
      </c>
      <c r="C41" s="369" t="s">
        <v>497</v>
      </c>
      <c r="D41" s="370">
        <v>15</v>
      </c>
      <c r="E41" s="371">
        <v>4006.63</v>
      </c>
      <c r="F41" s="371">
        <v>751.4</v>
      </c>
      <c r="G41" s="6441">
        <v>60099</v>
      </c>
      <c r="H41" s="6441">
        <v>20123</v>
      </c>
      <c r="I41" s="371">
        <v>11271</v>
      </c>
      <c r="J41" s="371">
        <v>5.86</v>
      </c>
      <c r="K41" s="371">
        <v>87.9</v>
      </c>
    </row>
    <row r="42" spans="1:11" ht="33.75" customHeight="1" thickBot="1">
      <c r="A42" s="6442"/>
      <c r="B42" s="6444"/>
      <c r="C42" s="367" t="s">
        <v>683</v>
      </c>
      <c r="D42" s="368" t="s">
        <v>498</v>
      </c>
      <c r="E42" s="368">
        <v>1341.52</v>
      </c>
      <c r="F42" s="368">
        <v>138.16999999999999</v>
      </c>
      <c r="G42" s="6442"/>
      <c r="H42" s="6442"/>
      <c r="I42" s="368">
        <v>2073</v>
      </c>
      <c r="J42" s="368">
        <v>0.55000000000000004</v>
      </c>
      <c r="K42" s="368">
        <v>8.25</v>
      </c>
    </row>
    <row r="43" spans="1:11" ht="10.5" customHeight="1">
      <c r="A43" s="6441">
        <v>10</v>
      </c>
      <c r="B43" s="6443" t="s">
        <v>499</v>
      </c>
      <c r="C43" s="369" t="s">
        <v>500</v>
      </c>
      <c r="D43" s="370">
        <v>12</v>
      </c>
      <c r="E43" s="371">
        <v>8765.59</v>
      </c>
      <c r="F43" s="371">
        <v>936.14</v>
      </c>
      <c r="G43" s="6441">
        <v>105187</v>
      </c>
      <c r="H43" s="6441">
        <v>26923</v>
      </c>
      <c r="I43" s="371">
        <v>11234</v>
      </c>
      <c r="J43" s="371">
        <v>9.8000000000000007</v>
      </c>
      <c r="K43" s="371">
        <v>117.6</v>
      </c>
    </row>
    <row r="44" spans="1:11" ht="35.25" customHeight="1" thickBot="1">
      <c r="A44" s="6442"/>
      <c r="B44" s="6444"/>
      <c r="C44" s="367" t="s">
        <v>683</v>
      </c>
      <c r="D44" s="368" t="s">
        <v>498</v>
      </c>
      <c r="E44" s="368">
        <v>2243.6</v>
      </c>
      <c r="F44" s="368">
        <v>138.16999999999999</v>
      </c>
      <c r="G44" s="6442"/>
      <c r="H44" s="6442"/>
      <c r="I44" s="368">
        <v>1658</v>
      </c>
      <c r="J44" s="368">
        <v>0.55000000000000004</v>
      </c>
      <c r="K44" s="368">
        <v>6.6</v>
      </c>
    </row>
    <row r="45" spans="1:11" ht="12" customHeight="1">
      <c r="A45" s="6441">
        <v>11</v>
      </c>
      <c r="B45" s="6443" t="s">
        <v>501</v>
      </c>
      <c r="C45" s="369" t="s">
        <v>502</v>
      </c>
      <c r="D45" s="370">
        <v>3</v>
      </c>
      <c r="E45" s="371">
        <v>14254.95</v>
      </c>
      <c r="F45" s="371">
        <v>1157.76</v>
      </c>
      <c r="G45" s="6441">
        <v>42765</v>
      </c>
      <c r="H45" s="6441">
        <v>9272</v>
      </c>
      <c r="I45" s="371">
        <v>3473</v>
      </c>
      <c r="J45" s="371">
        <v>13.5</v>
      </c>
      <c r="K45" s="371">
        <v>40.5</v>
      </c>
    </row>
    <row r="46" spans="1:11" ht="34.5" customHeight="1" thickBot="1">
      <c r="A46" s="6442"/>
      <c r="B46" s="6444"/>
      <c r="C46" s="367" t="s">
        <v>683</v>
      </c>
      <c r="D46" s="368" t="s">
        <v>498</v>
      </c>
      <c r="E46" s="368">
        <v>3090.81</v>
      </c>
      <c r="F46" s="368">
        <v>138.16999999999999</v>
      </c>
      <c r="G46" s="6442"/>
      <c r="H46" s="6442"/>
      <c r="I46" s="368">
        <v>415</v>
      </c>
      <c r="J46" s="368">
        <v>0.55000000000000004</v>
      </c>
      <c r="K46" s="368">
        <v>1.65</v>
      </c>
    </row>
    <row r="47" spans="1:11" ht="10.5" customHeight="1">
      <c r="A47" s="6441">
        <v>12</v>
      </c>
      <c r="B47" s="6443" t="s">
        <v>704</v>
      </c>
      <c r="C47" s="369" t="s">
        <v>705</v>
      </c>
      <c r="D47" s="370">
        <v>0.6</v>
      </c>
      <c r="E47" s="371">
        <v>145994.18</v>
      </c>
      <c r="F47" s="371">
        <v>103149.95</v>
      </c>
      <c r="G47" s="6441">
        <v>87597</v>
      </c>
      <c r="H47" s="6441">
        <v>24932</v>
      </c>
      <c r="I47" s="371">
        <v>61890</v>
      </c>
      <c r="J47" s="371">
        <v>128.96</v>
      </c>
      <c r="K47" s="371">
        <v>77.38</v>
      </c>
    </row>
    <row r="48" spans="1:11" ht="36" customHeight="1" thickBot="1">
      <c r="A48" s="6442"/>
      <c r="B48" s="6444"/>
      <c r="C48" s="367" t="s">
        <v>683</v>
      </c>
      <c r="D48" s="368" t="s">
        <v>522</v>
      </c>
      <c r="E48" s="368">
        <v>41554.03</v>
      </c>
      <c r="F48" s="368">
        <v>12446.06</v>
      </c>
      <c r="G48" s="6442"/>
      <c r="H48" s="6442"/>
      <c r="I48" s="368">
        <v>7468</v>
      </c>
      <c r="J48" s="368">
        <v>55.8</v>
      </c>
      <c r="K48" s="368">
        <v>33.479999999999997</v>
      </c>
    </row>
    <row r="49" spans="1:11" ht="12.75" customHeight="1">
      <c r="A49" s="6441">
        <v>13</v>
      </c>
      <c r="B49" s="6443" t="s">
        <v>706</v>
      </c>
      <c r="C49" s="369" t="s">
        <v>707</v>
      </c>
      <c r="D49" s="370">
        <v>0.72</v>
      </c>
      <c r="E49" s="371">
        <v>190490.87</v>
      </c>
      <c r="F49" s="371">
        <v>134224.35999999999</v>
      </c>
      <c r="G49" s="6441">
        <v>137153</v>
      </c>
      <c r="H49" s="6441">
        <v>39273</v>
      </c>
      <c r="I49" s="371">
        <v>96642</v>
      </c>
      <c r="J49" s="371">
        <v>169.28</v>
      </c>
      <c r="K49" s="371">
        <v>121.88</v>
      </c>
    </row>
    <row r="50" spans="1:11" ht="33.75" customHeight="1" thickBot="1">
      <c r="A50" s="6442"/>
      <c r="B50" s="6444"/>
      <c r="C50" s="367" t="s">
        <v>683</v>
      </c>
      <c r="D50" s="368" t="s">
        <v>522</v>
      </c>
      <c r="E50" s="368">
        <v>54546.27</v>
      </c>
      <c r="F50" s="368">
        <v>16418</v>
      </c>
      <c r="G50" s="6442"/>
      <c r="H50" s="6442"/>
      <c r="I50" s="368">
        <v>11821</v>
      </c>
      <c r="J50" s="368">
        <v>73.400000000000006</v>
      </c>
      <c r="K50" s="368">
        <v>52.85</v>
      </c>
    </row>
    <row r="51" spans="1:11" ht="13.5" thickBot="1">
      <c r="A51" s="6435"/>
      <c r="B51" s="6436"/>
      <c r="C51" s="6436"/>
      <c r="D51" s="6436"/>
      <c r="E51" s="6436"/>
      <c r="F51" s="6436"/>
      <c r="G51" s="6436"/>
      <c r="H51" s="6436"/>
      <c r="I51" s="6436"/>
      <c r="J51" s="6436"/>
      <c r="K51" s="6437"/>
    </row>
    <row r="52" spans="1:11">
      <c r="A52" s="6450" t="s">
        <v>708</v>
      </c>
      <c r="B52" s="6451"/>
      <c r="C52" s="6451"/>
      <c r="D52" s="6451"/>
      <c r="E52" s="6451"/>
      <c r="F52" s="6454"/>
      <c r="G52" s="6454">
        <v>499570</v>
      </c>
      <c r="H52" s="6454">
        <v>148987</v>
      </c>
      <c r="I52" s="831">
        <v>209131</v>
      </c>
      <c r="J52" s="6454"/>
      <c r="K52" s="371">
        <v>583.70000000000005</v>
      </c>
    </row>
    <row r="53" spans="1:11" ht="13.5" thickBot="1">
      <c r="A53" s="6452"/>
      <c r="B53" s="6453"/>
      <c r="C53" s="6453"/>
      <c r="D53" s="6453"/>
      <c r="E53" s="6453"/>
      <c r="F53" s="6455"/>
      <c r="G53" s="6455"/>
      <c r="H53" s="6455"/>
      <c r="I53" s="821">
        <v>39387</v>
      </c>
      <c r="J53" s="6455"/>
      <c r="K53" s="368">
        <v>163.92</v>
      </c>
    </row>
    <row r="54" spans="1:11" ht="13.5" thickBot="1">
      <c r="A54" s="6435"/>
      <c r="B54" s="6436"/>
      <c r="C54" s="6436"/>
      <c r="D54" s="6436"/>
      <c r="E54" s="6436"/>
      <c r="F54" s="6436"/>
      <c r="G54" s="6436"/>
      <c r="H54" s="6436"/>
      <c r="I54" s="6436"/>
      <c r="J54" s="6436"/>
      <c r="K54" s="6437"/>
    </row>
    <row r="55" spans="1:11">
      <c r="A55" s="6450" t="s">
        <v>709</v>
      </c>
      <c r="B55" s="6451"/>
      <c r="C55" s="6451"/>
      <c r="D55" s="6451"/>
      <c r="E55" s="6451"/>
      <c r="F55" s="6454"/>
      <c r="G55" s="6454">
        <v>499570</v>
      </c>
      <c r="H55" s="6454">
        <v>148987</v>
      </c>
      <c r="I55" s="831">
        <v>209131</v>
      </c>
      <c r="J55" s="6454"/>
      <c r="K55" s="371">
        <v>583.70000000000005</v>
      </c>
    </row>
    <row r="56" spans="1:11" ht="13.5" thickBot="1">
      <c r="A56" s="6452"/>
      <c r="B56" s="6453"/>
      <c r="C56" s="6453"/>
      <c r="D56" s="6453"/>
      <c r="E56" s="6453"/>
      <c r="F56" s="6455"/>
      <c r="G56" s="6455"/>
      <c r="H56" s="6455"/>
      <c r="I56" s="821">
        <v>39387</v>
      </c>
      <c r="J56" s="6455"/>
      <c r="K56" s="368">
        <v>163.92</v>
      </c>
    </row>
    <row r="57" spans="1:11" ht="13.5" thickBot="1">
      <c r="A57" s="816"/>
      <c r="B57" s="817"/>
      <c r="C57" s="817"/>
      <c r="D57" s="817"/>
      <c r="E57" s="817"/>
      <c r="F57" s="817"/>
      <c r="G57" s="817"/>
      <c r="H57" s="817"/>
      <c r="I57" s="817"/>
      <c r="J57" s="817"/>
      <c r="K57" s="817"/>
    </row>
    <row r="58" spans="1:11">
      <c r="A58" s="832"/>
      <c r="B58" s="292"/>
      <c r="C58" s="292"/>
      <c r="D58" s="292"/>
      <c r="E58" s="292"/>
      <c r="F58" s="292"/>
      <c r="G58" s="292"/>
      <c r="H58" s="292"/>
      <c r="I58" s="292"/>
      <c r="J58" s="292"/>
      <c r="K58" s="824"/>
    </row>
    <row r="59" spans="1:11">
      <c r="A59" s="833"/>
      <c r="B59" s="292"/>
      <c r="C59" s="292"/>
      <c r="D59" s="292"/>
      <c r="E59" s="292"/>
      <c r="F59" s="292"/>
      <c r="G59" s="292"/>
      <c r="H59" s="292"/>
      <c r="I59" s="292"/>
      <c r="J59" s="292"/>
      <c r="K59" s="824"/>
    </row>
    <row r="60" spans="1:11">
      <c r="A60" s="833"/>
      <c r="B60" s="292"/>
      <c r="C60" s="6458" t="s">
        <v>710</v>
      </c>
      <c r="D60" s="6419"/>
      <c r="E60" s="6419"/>
      <c r="F60" s="6419"/>
      <c r="G60" s="6419"/>
      <c r="H60" s="6419"/>
      <c r="I60" s="6458" t="s">
        <v>711</v>
      </c>
      <c r="J60" s="6458" t="s">
        <v>712</v>
      </c>
      <c r="K60" s="369" t="s">
        <v>577</v>
      </c>
    </row>
    <row r="61" spans="1:11">
      <c r="A61" s="833"/>
      <c r="B61" s="292"/>
      <c r="C61" s="6458"/>
      <c r="D61" s="6419"/>
      <c r="E61" s="6419"/>
      <c r="F61" s="6419"/>
      <c r="G61" s="6419"/>
      <c r="H61" s="6419"/>
      <c r="I61" s="6458"/>
      <c r="J61" s="6458"/>
      <c r="K61" s="369" t="s">
        <v>713</v>
      </c>
    </row>
    <row r="62" spans="1:11" ht="13.5" thickBot="1">
      <c r="A62" s="833"/>
      <c r="B62" s="292"/>
      <c r="C62" s="6458" t="s">
        <v>54</v>
      </c>
      <c r="D62" s="6419"/>
      <c r="E62" s="6419"/>
      <c r="F62" s="6419"/>
      <c r="G62" s="6419"/>
      <c r="H62" s="6419"/>
      <c r="I62" s="821"/>
      <c r="J62" s="821"/>
      <c r="K62" s="368" t="s">
        <v>714</v>
      </c>
    </row>
    <row r="63" spans="1:11" ht="13.5" thickBot="1">
      <c r="A63" s="833"/>
      <c r="B63" s="292"/>
      <c r="C63" s="6458" t="s">
        <v>715</v>
      </c>
      <c r="D63" s="6419"/>
      <c r="E63" s="6419"/>
      <c r="F63" s="6419"/>
      <c r="G63" s="6419"/>
      <c r="H63" s="6419"/>
      <c r="I63" s="821">
        <v>0.6</v>
      </c>
      <c r="J63" s="821">
        <v>85</v>
      </c>
      <c r="K63" s="368" t="s">
        <v>716</v>
      </c>
    </row>
    <row r="64" spans="1:11" ht="13.5" thickBot="1">
      <c r="A64" s="833"/>
      <c r="B64" s="292"/>
      <c r="C64" s="6458" t="s">
        <v>717</v>
      </c>
      <c r="D64" s="6419"/>
      <c r="E64" s="6419"/>
      <c r="F64" s="6419"/>
      <c r="G64" s="6419"/>
      <c r="H64" s="6419"/>
      <c r="I64" s="821">
        <v>0.6</v>
      </c>
      <c r="J64" s="821">
        <v>71</v>
      </c>
      <c r="K64" s="368" t="s">
        <v>718</v>
      </c>
    </row>
    <row r="65" spans="1:11" ht="13.5" thickBot="1">
      <c r="A65" s="833"/>
      <c r="B65" s="292"/>
      <c r="C65" s="6458" t="s">
        <v>719</v>
      </c>
      <c r="D65" s="6419"/>
      <c r="E65" s="6419"/>
      <c r="F65" s="6419"/>
      <c r="G65" s="6419"/>
      <c r="H65" s="6419"/>
      <c r="I65" s="821">
        <v>0.6</v>
      </c>
      <c r="J65" s="821">
        <v>71</v>
      </c>
      <c r="K65" s="368" t="s">
        <v>720</v>
      </c>
    </row>
    <row r="66" spans="1:11" ht="13.5" thickBot="1">
      <c r="A66" s="833"/>
      <c r="B66" s="292"/>
      <c r="C66" s="6458" t="s">
        <v>721</v>
      </c>
      <c r="D66" s="6419"/>
      <c r="E66" s="6419"/>
      <c r="F66" s="6419"/>
      <c r="G66" s="6419"/>
      <c r="H66" s="6419"/>
      <c r="I66" s="821">
        <v>0.6</v>
      </c>
      <c r="J66" s="821">
        <v>116</v>
      </c>
      <c r="K66" s="368" t="s">
        <v>722</v>
      </c>
    </row>
    <row r="67" spans="1:11" ht="13.5" thickBot="1">
      <c r="A67" s="833"/>
      <c r="B67" s="292"/>
      <c r="C67" s="6458" t="s">
        <v>723</v>
      </c>
      <c r="D67" s="6419"/>
      <c r="E67" s="6419"/>
      <c r="F67" s="6419"/>
      <c r="G67" s="6419"/>
      <c r="H67" s="6419"/>
      <c r="I67" s="821">
        <v>0.6</v>
      </c>
      <c r="J67" s="821">
        <v>92</v>
      </c>
      <c r="K67" s="368" t="s">
        <v>724</v>
      </c>
    </row>
    <row r="68" spans="1:11" ht="13.5" thickBot="1">
      <c r="A68" s="833"/>
      <c r="B68" s="292"/>
      <c r="C68" s="6458" t="s">
        <v>725</v>
      </c>
      <c r="D68" s="6419"/>
      <c r="E68" s="6419"/>
      <c r="F68" s="6419"/>
      <c r="G68" s="6419"/>
      <c r="H68" s="6419"/>
      <c r="I68" s="821"/>
      <c r="J68" s="821"/>
      <c r="K68" s="368" t="s">
        <v>726</v>
      </c>
    </row>
    <row r="69" spans="1:11" ht="13.5" thickBot="1">
      <c r="A69" s="833"/>
      <c r="B69" s="292"/>
      <c r="C69" s="6458" t="s">
        <v>54</v>
      </c>
      <c r="D69" s="6419"/>
      <c r="E69" s="6419"/>
      <c r="F69" s="6419"/>
      <c r="G69" s="6419"/>
      <c r="H69" s="6419"/>
      <c r="I69" s="821"/>
      <c r="J69" s="821"/>
      <c r="K69" s="368" t="s">
        <v>727</v>
      </c>
    </row>
    <row r="70" spans="1:11" ht="13.5" thickBot="1">
      <c r="A70" s="833"/>
      <c r="B70" s="292"/>
      <c r="C70" s="6458" t="s">
        <v>728</v>
      </c>
      <c r="D70" s="6419"/>
      <c r="E70" s="6419"/>
      <c r="F70" s="6419"/>
      <c r="G70" s="6419"/>
      <c r="H70" s="6419"/>
      <c r="I70" s="821"/>
      <c r="J70" s="821">
        <v>40</v>
      </c>
      <c r="K70" s="368" t="s">
        <v>729</v>
      </c>
    </row>
    <row r="71" spans="1:11" ht="13.5" thickBot="1">
      <c r="A71" s="833"/>
      <c r="B71" s="292"/>
      <c r="C71" s="6458" t="s">
        <v>730</v>
      </c>
      <c r="D71" s="6419"/>
      <c r="E71" s="6419"/>
      <c r="F71" s="6419"/>
      <c r="G71" s="6419"/>
      <c r="H71" s="6419"/>
      <c r="I71" s="821"/>
      <c r="J71" s="821">
        <v>36</v>
      </c>
      <c r="K71" s="368" t="s">
        <v>731</v>
      </c>
    </row>
    <row r="72" spans="1:11" ht="13.5" thickBot="1">
      <c r="A72" s="833"/>
      <c r="B72" s="292"/>
      <c r="C72" s="6458" t="s">
        <v>732</v>
      </c>
      <c r="D72" s="6419"/>
      <c r="E72" s="6419"/>
      <c r="F72" s="6419"/>
      <c r="G72" s="6419"/>
      <c r="H72" s="6419"/>
      <c r="I72" s="821"/>
      <c r="J72" s="821">
        <v>36</v>
      </c>
      <c r="K72" s="368" t="s">
        <v>733</v>
      </c>
    </row>
    <row r="73" spans="1:11" ht="13.5" thickBot="1">
      <c r="A73" s="833"/>
      <c r="B73" s="292"/>
      <c r="C73" s="6458" t="s">
        <v>734</v>
      </c>
      <c r="D73" s="6419"/>
      <c r="E73" s="6419"/>
      <c r="F73" s="6419"/>
      <c r="G73" s="6419"/>
      <c r="H73" s="6419"/>
      <c r="I73" s="821"/>
      <c r="J73" s="821">
        <v>71</v>
      </c>
      <c r="K73" s="368" t="s">
        <v>735</v>
      </c>
    </row>
    <row r="74" spans="1:11" ht="13.5" thickBot="1">
      <c r="A74" s="833"/>
      <c r="B74" s="292"/>
      <c r="C74" s="6458" t="s">
        <v>736</v>
      </c>
      <c r="D74" s="6419"/>
      <c r="E74" s="6419"/>
      <c r="F74" s="6419"/>
      <c r="G74" s="6419"/>
      <c r="H74" s="6419"/>
      <c r="I74" s="821"/>
      <c r="J74" s="821">
        <v>54</v>
      </c>
      <c r="K74" s="368" t="s">
        <v>737</v>
      </c>
    </row>
    <row r="75" spans="1:11" ht="13.5" thickBot="1">
      <c r="A75" s="833"/>
      <c r="B75" s="292"/>
      <c r="C75" s="6458" t="s">
        <v>738</v>
      </c>
      <c r="D75" s="6419"/>
      <c r="E75" s="6419"/>
      <c r="F75" s="6419"/>
      <c r="G75" s="6419"/>
      <c r="H75" s="6419"/>
      <c r="I75" s="821"/>
      <c r="J75" s="821"/>
      <c r="K75" s="368" t="s">
        <v>739</v>
      </c>
    </row>
    <row r="76" spans="1:11" ht="13.5" thickBot="1">
      <c r="A76" s="833"/>
      <c r="B76" s="292"/>
      <c r="C76" s="6458" t="s">
        <v>54</v>
      </c>
      <c r="D76" s="6419"/>
      <c r="E76" s="6419"/>
      <c r="F76" s="6419"/>
      <c r="G76" s="6419"/>
      <c r="H76" s="6419"/>
      <c r="I76" s="821"/>
      <c r="J76" s="821"/>
      <c r="K76" s="368" t="s">
        <v>740</v>
      </c>
    </row>
    <row r="77" spans="1:11" ht="13.5" thickBot="1">
      <c r="A77" s="833"/>
      <c r="B77" s="292"/>
      <c r="C77" s="6458" t="s">
        <v>741</v>
      </c>
      <c r="D77" s="6419"/>
      <c r="E77" s="6419"/>
      <c r="F77" s="6419"/>
      <c r="G77" s="6419"/>
      <c r="H77" s="6419"/>
      <c r="I77" s="821"/>
      <c r="J77" s="821">
        <v>18</v>
      </c>
      <c r="K77" s="368" t="s">
        <v>742</v>
      </c>
    </row>
    <row r="78" spans="1:11" ht="13.5" thickBot="1">
      <c r="A78" s="833"/>
      <c r="B78" s="292"/>
      <c r="C78" s="6458" t="s">
        <v>293</v>
      </c>
      <c r="D78" s="6419"/>
      <c r="E78" s="6419"/>
      <c r="F78" s="6419"/>
      <c r="G78" s="6419"/>
      <c r="H78" s="6419"/>
      <c r="I78" s="821"/>
      <c r="J78" s="821"/>
      <c r="K78" s="368" t="s">
        <v>674</v>
      </c>
    </row>
    <row r="79" spans="1:11" ht="13.5" thickBot="1">
      <c r="A79" s="820"/>
      <c r="B79" s="819"/>
      <c r="C79" s="6453" t="s">
        <v>743</v>
      </c>
      <c r="D79" s="6459"/>
      <c r="E79" s="6459"/>
      <c r="F79" s="6459"/>
      <c r="G79" s="6459"/>
      <c r="H79" s="6459"/>
      <c r="I79" s="821"/>
      <c r="J79" s="821"/>
      <c r="K79" s="368" t="s">
        <v>674</v>
      </c>
    </row>
    <row r="80" spans="1:11" ht="15.75">
      <c r="K80" s="843">
        <v>821297</v>
      </c>
    </row>
    <row r="81" spans="1:12" ht="13.5" thickBot="1"/>
    <row r="82" spans="1:12" ht="18.75">
      <c r="A82" s="6425" t="s">
        <v>744</v>
      </c>
      <c r="B82" s="6426"/>
      <c r="C82" s="6426"/>
      <c r="D82" s="6426"/>
      <c r="E82" s="6426"/>
      <c r="F82" s="6426"/>
      <c r="G82" s="6426"/>
      <c r="H82" s="6426"/>
      <c r="I82" s="6426"/>
      <c r="J82" s="6426"/>
      <c r="K82" s="6426"/>
      <c r="L82" s="834"/>
    </row>
    <row r="83" spans="1:12" ht="13.5">
      <c r="A83" s="6428" t="s">
        <v>667</v>
      </c>
      <c r="B83" s="6460"/>
      <c r="C83" s="6460"/>
      <c r="D83" s="6460"/>
      <c r="E83" s="6460"/>
      <c r="F83" s="6460"/>
      <c r="G83" s="6460"/>
      <c r="H83" s="6460"/>
      <c r="I83" s="6460"/>
      <c r="J83" s="6460"/>
      <c r="K83" s="6460"/>
      <c r="L83" s="835"/>
    </row>
    <row r="84" spans="1:12" ht="18.75">
      <c r="A84" s="836"/>
      <c r="B84" s="837"/>
      <c r="C84" s="837"/>
      <c r="D84" s="837"/>
      <c r="E84" s="837"/>
      <c r="F84" s="837"/>
      <c r="G84" s="837"/>
      <c r="H84" s="837"/>
      <c r="I84" s="837"/>
      <c r="J84" s="837"/>
      <c r="K84" s="837"/>
      <c r="L84" s="835"/>
    </row>
    <row r="85" spans="1:12" ht="18.75">
      <c r="A85" s="6430" t="s">
        <v>745</v>
      </c>
      <c r="B85" s="6460"/>
      <c r="C85" s="6460"/>
      <c r="D85" s="6460"/>
      <c r="E85" s="6460"/>
      <c r="F85" s="6460"/>
      <c r="G85" s="6460"/>
      <c r="H85" s="6460"/>
      <c r="I85" s="6460"/>
      <c r="J85" s="6460"/>
      <c r="K85" s="6460"/>
      <c r="L85" s="6461"/>
    </row>
    <row r="86" spans="1:12" ht="18">
      <c r="A86" s="825" t="s">
        <v>669</v>
      </c>
      <c r="B86" s="837"/>
      <c r="C86" s="837"/>
      <c r="D86" s="837"/>
      <c r="E86" s="837"/>
      <c r="F86" s="837"/>
      <c r="G86" s="837"/>
      <c r="H86" s="837"/>
      <c r="I86" s="837"/>
      <c r="J86" s="837"/>
      <c r="K86" s="837"/>
      <c r="L86" s="835"/>
    </row>
    <row r="87" spans="1:12">
      <c r="A87" s="6431" t="s">
        <v>746</v>
      </c>
      <c r="B87" s="6460"/>
      <c r="C87" s="6460"/>
      <c r="D87" s="6460"/>
      <c r="E87" s="6460"/>
      <c r="F87" s="6460"/>
      <c r="G87" s="6460"/>
      <c r="H87" s="6460"/>
      <c r="I87" s="6460"/>
      <c r="J87" s="6460"/>
      <c r="K87" s="6460"/>
      <c r="L87" s="6461"/>
    </row>
    <row r="88" spans="1:12">
      <c r="A88" s="6462"/>
      <c r="B88" s="6460"/>
      <c r="C88" s="6460"/>
      <c r="D88" s="6460"/>
      <c r="E88" s="6460"/>
      <c r="F88" s="6460"/>
      <c r="G88" s="6460"/>
      <c r="H88" s="6460"/>
      <c r="I88" s="6460"/>
      <c r="J88" s="6460"/>
      <c r="K88" s="6460"/>
      <c r="L88" s="6461"/>
    </row>
    <row r="89" spans="1:12">
      <c r="A89" s="6463" t="s">
        <v>670</v>
      </c>
      <c r="B89" s="6464"/>
      <c r="C89" s="837"/>
      <c r="D89" s="837"/>
      <c r="E89" s="837"/>
      <c r="F89" s="837"/>
      <c r="G89" s="837"/>
      <c r="H89" s="837"/>
      <c r="I89" s="837"/>
      <c r="J89" s="837"/>
      <c r="K89" s="837"/>
      <c r="L89" s="835"/>
    </row>
    <row r="90" spans="1:12" ht="13.5">
      <c r="A90" s="838"/>
      <c r="B90" s="839"/>
      <c r="C90" s="837"/>
      <c r="D90" s="837"/>
      <c r="E90" s="837"/>
      <c r="F90" s="837"/>
      <c r="G90" s="837"/>
      <c r="H90" s="837"/>
      <c r="I90" s="837"/>
      <c r="J90" s="837"/>
      <c r="K90" s="837"/>
      <c r="L90" s="835"/>
    </row>
    <row r="91" spans="1:12">
      <c r="A91" s="6463" t="s">
        <v>671</v>
      </c>
      <c r="B91" s="6460"/>
      <c r="C91" s="6460"/>
      <c r="D91" s="6465" t="s">
        <v>747</v>
      </c>
      <c r="E91" s="6460"/>
      <c r="F91" s="6460"/>
      <c r="G91" s="6460"/>
      <c r="H91" s="6460"/>
      <c r="I91" s="6460"/>
      <c r="J91" s="6460"/>
      <c r="K91" s="6460"/>
      <c r="L91" s="6461"/>
    </row>
    <row r="92" spans="1:12" ht="18.75">
      <c r="A92" s="826"/>
      <c r="B92" s="292"/>
      <c r="C92" s="292"/>
      <c r="D92" s="292"/>
      <c r="E92" s="292"/>
      <c r="F92" s="292"/>
      <c r="G92" s="292"/>
      <c r="H92" s="292"/>
      <c r="I92" s="292"/>
      <c r="J92" s="292"/>
      <c r="K92" s="292"/>
      <c r="L92" s="824"/>
    </row>
    <row r="93" spans="1:12" ht="12.75" customHeight="1">
      <c r="A93" s="6418" t="s">
        <v>673</v>
      </c>
      <c r="B93" s="6419"/>
      <c r="C93" s="6419"/>
      <c r="D93" s="6419"/>
      <c r="E93" s="6419"/>
      <c r="F93" s="6420" t="s">
        <v>748</v>
      </c>
      <c r="G93" s="6421" t="s">
        <v>675</v>
      </c>
      <c r="H93" s="292"/>
      <c r="I93" s="292"/>
      <c r="J93" s="292"/>
      <c r="K93" s="292"/>
      <c r="L93" s="824"/>
    </row>
    <row r="94" spans="1:12">
      <c r="A94" s="6418"/>
      <c r="B94" s="6419"/>
      <c r="C94" s="6419"/>
      <c r="D94" s="6419"/>
      <c r="E94" s="6419"/>
      <c r="F94" s="6420"/>
      <c r="G94" s="6421"/>
      <c r="H94" s="292"/>
      <c r="I94" s="292"/>
      <c r="J94" s="292"/>
      <c r="K94" s="292"/>
      <c r="L94" s="824"/>
    </row>
    <row r="95" spans="1:12" ht="13.5" customHeight="1">
      <c r="A95" s="6422" t="s">
        <v>676</v>
      </c>
      <c r="B95" s="6419"/>
      <c r="C95" s="6419"/>
      <c r="D95" s="6419"/>
      <c r="E95" s="6419"/>
      <c r="F95" s="6423">
        <v>951</v>
      </c>
      <c r="G95" s="6424" t="s">
        <v>677</v>
      </c>
      <c r="H95" s="292"/>
      <c r="I95" s="292"/>
      <c r="J95" s="292"/>
      <c r="K95" s="292"/>
      <c r="L95" s="824"/>
    </row>
    <row r="96" spans="1:12">
      <c r="A96" s="6422"/>
      <c r="B96" s="6419"/>
      <c r="C96" s="6419"/>
      <c r="D96" s="6419"/>
      <c r="E96" s="6419"/>
      <c r="F96" s="6423"/>
      <c r="G96" s="6424"/>
      <c r="H96" s="292"/>
      <c r="I96" s="292"/>
      <c r="J96" s="292"/>
      <c r="K96" s="292"/>
      <c r="L96" s="824"/>
    </row>
    <row r="97" spans="1:12" ht="13.5" customHeight="1">
      <c r="A97" s="6422" t="s">
        <v>678</v>
      </c>
      <c r="B97" s="6419"/>
      <c r="C97" s="6419"/>
      <c r="D97" s="6419"/>
      <c r="E97" s="6419"/>
      <c r="F97" s="6423" t="s">
        <v>749</v>
      </c>
      <c r="G97" s="6424" t="s">
        <v>675</v>
      </c>
      <c r="H97" s="292"/>
      <c r="I97" s="292"/>
      <c r="J97" s="292"/>
      <c r="K97" s="292"/>
      <c r="L97" s="824"/>
    </row>
    <row r="98" spans="1:12" ht="13.5" thickBot="1">
      <c r="A98" s="6422"/>
      <c r="B98" s="6419"/>
      <c r="C98" s="6419"/>
      <c r="D98" s="6419"/>
      <c r="E98" s="6419"/>
      <c r="F98" s="6423"/>
      <c r="G98" s="6424"/>
      <c r="H98" s="292"/>
      <c r="I98" s="292"/>
      <c r="J98" s="292"/>
      <c r="K98" s="292"/>
      <c r="L98" s="824"/>
    </row>
    <row r="99" spans="1:12" ht="13.5" thickBot="1">
      <c r="A99" s="681" t="s">
        <v>175</v>
      </c>
      <c r="B99" s="681" t="s">
        <v>457</v>
      </c>
      <c r="C99" s="681" t="s">
        <v>373</v>
      </c>
      <c r="D99" s="351"/>
      <c r="E99" s="6445" t="s">
        <v>458</v>
      </c>
      <c r="F99" s="6446"/>
      <c r="G99" s="6445" t="s">
        <v>459</v>
      </c>
      <c r="H99" s="6447"/>
      <c r="I99" s="6446"/>
      <c r="J99" s="6448" t="s">
        <v>460</v>
      </c>
      <c r="K99" s="6449"/>
      <c r="L99" s="824"/>
    </row>
    <row r="100" spans="1:12" ht="13.5" thickBot="1">
      <c r="A100" s="354" t="s">
        <v>461</v>
      </c>
      <c r="B100" s="354" t="s">
        <v>462</v>
      </c>
      <c r="C100" s="354" t="s">
        <v>463</v>
      </c>
      <c r="D100" s="355" t="s">
        <v>464</v>
      </c>
      <c r="E100" s="683" t="s">
        <v>465</v>
      </c>
      <c r="F100" s="680" t="s">
        <v>466</v>
      </c>
      <c r="G100" s="354" t="s">
        <v>465</v>
      </c>
      <c r="H100" s="355" t="s">
        <v>467</v>
      </c>
      <c r="I100" s="357" t="s">
        <v>466</v>
      </c>
      <c r="J100" s="6433" t="s">
        <v>468</v>
      </c>
      <c r="K100" s="6434"/>
      <c r="L100" s="824"/>
    </row>
    <row r="101" spans="1:12" ht="13.5" thickBot="1">
      <c r="A101" s="682"/>
      <c r="B101" s="682" t="s">
        <v>469</v>
      </c>
      <c r="C101" s="682"/>
      <c r="D101" s="359"/>
      <c r="E101" s="683" t="s">
        <v>467</v>
      </c>
      <c r="F101" s="357" t="s">
        <v>470</v>
      </c>
      <c r="G101" s="679"/>
      <c r="H101" s="360"/>
      <c r="I101" s="357" t="s">
        <v>470</v>
      </c>
      <c r="J101" s="682" t="s">
        <v>471</v>
      </c>
      <c r="K101" s="359" t="s">
        <v>465</v>
      </c>
      <c r="L101" s="824"/>
    </row>
    <row r="102" spans="1:12" ht="13.5" thickBot="1">
      <c r="A102" s="830"/>
      <c r="B102" s="292"/>
      <c r="C102" s="292"/>
      <c r="D102" s="292"/>
      <c r="E102" s="292"/>
      <c r="F102" s="292"/>
      <c r="G102" s="292"/>
      <c r="H102" s="292"/>
      <c r="I102" s="292"/>
      <c r="J102" s="292"/>
      <c r="K102" s="292"/>
      <c r="L102" s="824"/>
    </row>
    <row r="103" spans="1:12" ht="13.5" thickBot="1">
      <c r="A103" s="362">
        <v>1</v>
      </c>
      <c r="B103" s="363">
        <v>2</v>
      </c>
      <c r="C103" s="363">
        <v>3</v>
      </c>
      <c r="D103" s="363">
        <v>4</v>
      </c>
      <c r="E103" s="363">
        <v>5</v>
      </c>
      <c r="F103" s="363">
        <v>6</v>
      </c>
      <c r="G103" s="363">
        <v>7</v>
      </c>
      <c r="H103" s="363">
        <v>8</v>
      </c>
      <c r="I103" s="363">
        <v>9</v>
      </c>
      <c r="J103" s="363">
        <v>10</v>
      </c>
      <c r="K103" s="363">
        <v>11</v>
      </c>
      <c r="L103" s="840"/>
    </row>
    <row r="104" spans="1:12" ht="13.5" thickBot="1">
      <c r="A104" s="816"/>
      <c r="B104" s="817"/>
      <c r="C104" s="817"/>
      <c r="D104" s="817"/>
      <c r="E104" s="817"/>
      <c r="F104" s="817"/>
      <c r="G104" s="817"/>
      <c r="H104" s="817"/>
      <c r="I104" s="817"/>
      <c r="J104" s="817"/>
      <c r="K104" s="817"/>
      <c r="L104" s="840"/>
    </row>
    <row r="105" spans="1:12" ht="13.5" thickBot="1">
      <c r="A105" s="6435"/>
      <c r="B105" s="6436"/>
      <c r="C105" s="6436"/>
      <c r="D105" s="6436"/>
      <c r="E105" s="6436"/>
      <c r="F105" s="6436"/>
      <c r="G105" s="6436"/>
      <c r="H105" s="6436"/>
      <c r="I105" s="6436"/>
      <c r="J105" s="6436"/>
      <c r="K105" s="6437"/>
      <c r="L105" s="840"/>
    </row>
    <row r="106" spans="1:12" ht="13.5" thickBot="1">
      <c r="A106" s="6438" t="s">
        <v>750</v>
      </c>
      <c r="B106" s="6439"/>
      <c r="C106" s="6439"/>
      <c r="D106" s="6439"/>
      <c r="E106" s="6439"/>
      <c r="F106" s="6439"/>
      <c r="G106" s="6439"/>
      <c r="H106" s="6439"/>
      <c r="I106" s="6439"/>
      <c r="J106" s="6439"/>
      <c r="K106" s="6440"/>
      <c r="L106" s="840"/>
    </row>
    <row r="107" spans="1:12" ht="13.5" thickBot="1">
      <c r="A107" s="6435"/>
      <c r="B107" s="6436"/>
      <c r="C107" s="6436"/>
      <c r="D107" s="6436"/>
      <c r="E107" s="6436"/>
      <c r="F107" s="6436"/>
      <c r="G107" s="6436"/>
      <c r="H107" s="6436"/>
      <c r="I107" s="6436"/>
      <c r="J107" s="6436"/>
      <c r="K107" s="6437"/>
      <c r="L107" s="841"/>
    </row>
    <row r="108" spans="1:12" ht="33.75">
      <c r="A108" s="6441">
        <v>1</v>
      </c>
      <c r="B108" s="6443" t="s">
        <v>751</v>
      </c>
      <c r="C108" s="6443" t="s">
        <v>688</v>
      </c>
      <c r="D108" s="369" t="s">
        <v>752</v>
      </c>
      <c r="E108" s="370">
        <v>0.8</v>
      </c>
      <c r="F108" s="371">
        <v>19221.080000000002</v>
      </c>
      <c r="G108" s="371">
        <v>19221.080000000002</v>
      </c>
      <c r="H108" s="6441">
        <v>15377</v>
      </c>
      <c r="I108" s="6441">
        <v>0</v>
      </c>
      <c r="J108" s="371">
        <v>15377</v>
      </c>
      <c r="K108" s="371">
        <v>0</v>
      </c>
      <c r="L108" s="371">
        <v>0</v>
      </c>
    </row>
    <row r="109" spans="1:12" ht="169.5" thickBot="1">
      <c r="A109" s="6442"/>
      <c r="B109" s="6444"/>
      <c r="C109" s="6444"/>
      <c r="D109" s="367" t="s">
        <v>683</v>
      </c>
      <c r="E109" s="368" t="s">
        <v>690</v>
      </c>
      <c r="F109" s="368">
        <v>0</v>
      </c>
      <c r="G109" s="368">
        <v>24389.57</v>
      </c>
      <c r="H109" s="6442"/>
      <c r="I109" s="6442"/>
      <c r="J109" s="368">
        <v>19512</v>
      </c>
      <c r="K109" s="368">
        <v>97.21</v>
      </c>
      <c r="L109" s="368">
        <v>77.77</v>
      </c>
    </row>
    <row r="110" spans="1:12" ht="22.5">
      <c r="A110" s="6441">
        <v>2</v>
      </c>
      <c r="B110" s="6443" t="s">
        <v>753</v>
      </c>
      <c r="C110" s="369" t="s">
        <v>754</v>
      </c>
      <c r="D110" s="370">
        <v>0.2</v>
      </c>
      <c r="E110" s="371">
        <v>110221.54</v>
      </c>
      <c r="F110" s="371">
        <v>49699.94</v>
      </c>
      <c r="G110" s="6441">
        <v>22044</v>
      </c>
      <c r="H110" s="6441">
        <v>12104</v>
      </c>
      <c r="I110" s="371">
        <v>9940</v>
      </c>
      <c r="J110" s="371">
        <v>292.02</v>
      </c>
      <c r="K110" s="371">
        <v>58.4</v>
      </c>
      <c r="L110" s="6468"/>
    </row>
    <row r="111" spans="1:12" ht="33.75">
      <c r="A111" s="6466"/>
      <c r="B111" s="6467"/>
      <c r="C111" s="369" t="s">
        <v>511</v>
      </c>
      <c r="D111" s="371" t="s">
        <v>756</v>
      </c>
      <c r="E111" s="371">
        <v>60521.599999999999</v>
      </c>
      <c r="F111" s="371">
        <v>12684.38</v>
      </c>
      <c r="G111" s="6466"/>
      <c r="H111" s="6466"/>
      <c r="I111" s="371">
        <v>2537</v>
      </c>
      <c r="J111" s="371">
        <v>49.67</v>
      </c>
      <c r="K111" s="371">
        <v>9.93</v>
      </c>
      <c r="L111" s="6469"/>
    </row>
    <row r="112" spans="1:12" ht="34.5" thickBot="1">
      <c r="A112" s="6442"/>
      <c r="B112" s="6444"/>
      <c r="C112" s="367" t="s">
        <v>755</v>
      </c>
      <c r="D112" s="372"/>
      <c r="E112" s="372"/>
      <c r="F112" s="372"/>
      <c r="G112" s="6442"/>
      <c r="H112" s="6442"/>
      <c r="I112" s="372"/>
      <c r="J112" s="372"/>
      <c r="K112" s="372"/>
      <c r="L112" s="6469"/>
    </row>
    <row r="113" spans="1:12">
      <c r="A113" s="6441">
        <v>3</v>
      </c>
      <c r="B113" s="6443" t="s">
        <v>757</v>
      </c>
      <c r="C113" s="369" t="s">
        <v>758</v>
      </c>
      <c r="D113" s="370">
        <v>20</v>
      </c>
      <c r="E113" s="371">
        <v>534.51</v>
      </c>
      <c r="F113" s="371">
        <v>0</v>
      </c>
      <c r="G113" s="6441">
        <v>10690</v>
      </c>
      <c r="H113" s="6441">
        <v>10690</v>
      </c>
      <c r="I113" s="371">
        <v>0</v>
      </c>
      <c r="J113" s="371">
        <v>2.72</v>
      </c>
      <c r="K113" s="371">
        <v>54.48</v>
      </c>
      <c r="L113" s="6469"/>
    </row>
    <row r="114" spans="1:12">
      <c r="A114" s="6466"/>
      <c r="B114" s="6467"/>
      <c r="C114" s="369" t="s">
        <v>511</v>
      </c>
      <c r="D114" s="371" t="s">
        <v>475</v>
      </c>
      <c r="E114" s="371">
        <v>534.51</v>
      </c>
      <c r="F114" s="371">
        <v>0</v>
      </c>
      <c r="G114" s="6466"/>
      <c r="H114" s="6466"/>
      <c r="I114" s="371">
        <v>0</v>
      </c>
      <c r="J114" s="371">
        <v>0</v>
      </c>
      <c r="K114" s="371">
        <v>0</v>
      </c>
      <c r="L114" s="6469"/>
    </row>
    <row r="115" spans="1:12" ht="34.5" thickBot="1">
      <c r="A115" s="6442"/>
      <c r="B115" s="6444"/>
      <c r="C115" s="367" t="s">
        <v>755</v>
      </c>
      <c r="D115" s="372"/>
      <c r="E115" s="372"/>
      <c r="F115" s="372"/>
      <c r="G115" s="6442"/>
      <c r="H115" s="6442"/>
      <c r="I115" s="372"/>
      <c r="J115" s="372"/>
      <c r="K115" s="372"/>
      <c r="L115" s="6469"/>
    </row>
    <row r="116" spans="1:12">
      <c r="A116" s="6441">
        <v>4</v>
      </c>
      <c r="B116" s="6443" t="s">
        <v>759</v>
      </c>
      <c r="C116" s="369" t="s">
        <v>760</v>
      </c>
      <c r="D116" s="370">
        <v>10</v>
      </c>
      <c r="E116" s="371">
        <v>345.7</v>
      </c>
      <c r="F116" s="371">
        <v>63.38</v>
      </c>
      <c r="G116" s="6441">
        <v>3457</v>
      </c>
      <c r="H116" s="6441">
        <v>2823</v>
      </c>
      <c r="I116" s="371">
        <v>634</v>
      </c>
      <c r="J116" s="371">
        <v>1.31</v>
      </c>
      <c r="K116" s="371">
        <v>13.1</v>
      </c>
      <c r="L116" s="6469"/>
    </row>
    <row r="117" spans="1:12" ht="34.5" thickBot="1">
      <c r="A117" s="6442"/>
      <c r="B117" s="6444"/>
      <c r="C117" s="367" t="s">
        <v>683</v>
      </c>
      <c r="D117" s="368" t="s">
        <v>761</v>
      </c>
      <c r="E117" s="368">
        <v>282.32</v>
      </c>
      <c r="F117" s="368">
        <v>0</v>
      </c>
      <c r="G117" s="6442"/>
      <c r="H117" s="6442"/>
      <c r="I117" s="368">
        <v>0</v>
      </c>
      <c r="J117" s="368">
        <v>7.0000000000000007E-2</v>
      </c>
      <c r="K117" s="368">
        <v>0.7</v>
      </c>
      <c r="L117" s="6469"/>
    </row>
    <row r="118" spans="1:12" ht="33.75">
      <c r="A118" s="6441">
        <v>5</v>
      </c>
      <c r="B118" s="6443" t="s">
        <v>509</v>
      </c>
      <c r="C118" s="369" t="s">
        <v>510</v>
      </c>
      <c r="D118" s="370">
        <v>0.8</v>
      </c>
      <c r="E118" s="371">
        <v>64165.23</v>
      </c>
      <c r="F118" s="371">
        <v>8630.9699999999993</v>
      </c>
      <c r="G118" s="6441">
        <v>51332</v>
      </c>
      <c r="H118" s="6441">
        <v>15897</v>
      </c>
      <c r="I118" s="371">
        <v>6905</v>
      </c>
      <c r="J118" s="371">
        <v>95.88</v>
      </c>
      <c r="K118" s="371">
        <v>76.7</v>
      </c>
      <c r="L118" s="6469"/>
    </row>
    <row r="119" spans="1:12">
      <c r="A119" s="6466"/>
      <c r="B119" s="6467"/>
      <c r="C119" s="369" t="s">
        <v>511</v>
      </c>
      <c r="D119" s="371" t="s">
        <v>512</v>
      </c>
      <c r="E119" s="371">
        <v>19871.29</v>
      </c>
      <c r="F119" s="371">
        <v>2421.77</v>
      </c>
      <c r="G119" s="6466"/>
      <c r="H119" s="6466"/>
      <c r="I119" s="371">
        <v>1937</v>
      </c>
      <c r="J119" s="371">
        <v>7.81</v>
      </c>
      <c r="K119" s="371">
        <v>6.25</v>
      </c>
      <c r="L119" s="6469"/>
    </row>
    <row r="120" spans="1:12" ht="34.5" thickBot="1">
      <c r="A120" s="6442"/>
      <c r="B120" s="6444"/>
      <c r="C120" s="367" t="s">
        <v>755</v>
      </c>
      <c r="D120" s="372"/>
      <c r="E120" s="372"/>
      <c r="F120" s="372"/>
      <c r="G120" s="6442"/>
      <c r="H120" s="6442"/>
      <c r="I120" s="372"/>
      <c r="J120" s="372"/>
      <c r="K120" s="372"/>
      <c r="L120" s="6469"/>
    </row>
    <row r="121" spans="1:12">
      <c r="A121" s="6441">
        <v>6</v>
      </c>
      <c r="B121" s="6443" t="s">
        <v>514</v>
      </c>
      <c r="C121" s="369" t="s">
        <v>515</v>
      </c>
      <c r="D121" s="370">
        <v>4.5</v>
      </c>
      <c r="E121" s="371">
        <v>11932</v>
      </c>
      <c r="F121" s="371">
        <v>307.44</v>
      </c>
      <c r="G121" s="6441">
        <v>53694</v>
      </c>
      <c r="H121" s="6441">
        <v>35040</v>
      </c>
      <c r="I121" s="371">
        <v>1383</v>
      </c>
      <c r="J121" s="371">
        <v>38.93</v>
      </c>
      <c r="K121" s="371">
        <v>175.18</v>
      </c>
      <c r="L121" s="6469"/>
    </row>
    <row r="122" spans="1:12">
      <c r="A122" s="6466"/>
      <c r="B122" s="6467"/>
      <c r="C122" s="369" t="s">
        <v>516</v>
      </c>
      <c r="D122" s="371" t="s">
        <v>517</v>
      </c>
      <c r="E122" s="371">
        <v>7786.59</v>
      </c>
      <c r="F122" s="371">
        <v>133.93</v>
      </c>
      <c r="G122" s="6466"/>
      <c r="H122" s="6466"/>
      <c r="I122" s="371">
        <v>603</v>
      </c>
      <c r="J122" s="371">
        <v>0.43</v>
      </c>
      <c r="K122" s="371">
        <v>1.94</v>
      </c>
      <c r="L122" s="6469"/>
    </row>
    <row r="123" spans="1:12" ht="34.5" thickBot="1">
      <c r="A123" s="6442"/>
      <c r="B123" s="6444"/>
      <c r="C123" s="367" t="s">
        <v>755</v>
      </c>
      <c r="D123" s="372"/>
      <c r="E123" s="372"/>
      <c r="F123" s="372"/>
      <c r="G123" s="6442"/>
      <c r="H123" s="6442"/>
      <c r="I123" s="372"/>
      <c r="J123" s="372"/>
      <c r="K123" s="372"/>
      <c r="L123" s="6469"/>
    </row>
    <row r="124" spans="1:12">
      <c r="A124" s="6441">
        <v>7</v>
      </c>
      <c r="B124" s="6443" t="s">
        <v>518</v>
      </c>
      <c r="C124" s="369" t="s">
        <v>519</v>
      </c>
      <c r="D124" s="370">
        <v>3.4</v>
      </c>
      <c r="E124" s="371">
        <v>13649.9</v>
      </c>
      <c r="F124" s="371">
        <v>54.34</v>
      </c>
      <c r="G124" s="6441">
        <v>46410</v>
      </c>
      <c r="H124" s="6441">
        <v>25063</v>
      </c>
      <c r="I124" s="371">
        <v>185</v>
      </c>
      <c r="J124" s="371">
        <v>34.65</v>
      </c>
      <c r="K124" s="371">
        <v>117.81</v>
      </c>
      <c r="L124" s="6469"/>
    </row>
    <row r="125" spans="1:12">
      <c r="A125" s="6466"/>
      <c r="B125" s="6467"/>
      <c r="C125" s="369" t="s">
        <v>516</v>
      </c>
      <c r="D125" s="371" t="s">
        <v>512</v>
      </c>
      <c r="E125" s="371">
        <v>7371.52</v>
      </c>
      <c r="F125" s="371">
        <v>0</v>
      </c>
      <c r="G125" s="6466"/>
      <c r="H125" s="6466"/>
      <c r="I125" s="371">
        <v>0</v>
      </c>
      <c r="J125" s="371">
        <v>0.06</v>
      </c>
      <c r="K125" s="371">
        <v>0.2</v>
      </c>
      <c r="L125" s="6469"/>
    </row>
    <row r="126" spans="1:12" ht="34.5" thickBot="1">
      <c r="A126" s="6442"/>
      <c r="B126" s="6444"/>
      <c r="C126" s="367" t="s">
        <v>755</v>
      </c>
      <c r="D126" s="372"/>
      <c r="E126" s="372"/>
      <c r="F126" s="372"/>
      <c r="G126" s="6442"/>
      <c r="H126" s="6442"/>
      <c r="I126" s="372"/>
      <c r="J126" s="372"/>
      <c r="K126" s="372"/>
      <c r="L126" s="6469"/>
    </row>
    <row r="127" spans="1:12" ht="22.5">
      <c r="A127" s="6441">
        <v>8</v>
      </c>
      <c r="B127" s="6443" t="s">
        <v>762</v>
      </c>
      <c r="C127" s="369" t="s">
        <v>763</v>
      </c>
      <c r="D127" s="370">
        <v>20</v>
      </c>
      <c r="E127" s="371">
        <v>1297.83</v>
      </c>
      <c r="F127" s="371">
        <v>27.64</v>
      </c>
      <c r="G127" s="6441">
        <v>25957</v>
      </c>
      <c r="H127" s="6441">
        <v>25404</v>
      </c>
      <c r="I127" s="371">
        <v>553</v>
      </c>
      <c r="J127" s="371">
        <v>6.58</v>
      </c>
      <c r="K127" s="371">
        <v>131.6</v>
      </c>
      <c r="L127" s="6469"/>
    </row>
    <row r="128" spans="1:12" ht="34.5" thickBot="1">
      <c r="A128" s="6442"/>
      <c r="B128" s="6444"/>
      <c r="C128" s="367" t="s">
        <v>683</v>
      </c>
      <c r="D128" s="368" t="s">
        <v>764</v>
      </c>
      <c r="E128" s="368">
        <v>1270.19</v>
      </c>
      <c r="F128" s="368">
        <v>0</v>
      </c>
      <c r="G128" s="6442"/>
      <c r="H128" s="6442"/>
      <c r="I128" s="368">
        <v>0</v>
      </c>
      <c r="J128" s="368">
        <v>0</v>
      </c>
      <c r="K128" s="368">
        <v>0</v>
      </c>
      <c r="L128" s="6469"/>
    </row>
    <row r="129" spans="1:12">
      <c r="A129" s="6441">
        <v>9</v>
      </c>
      <c r="B129" s="6443" t="s">
        <v>765</v>
      </c>
      <c r="C129" s="369" t="s">
        <v>766</v>
      </c>
      <c r="D129" s="370">
        <v>25</v>
      </c>
      <c r="E129" s="371">
        <v>336.26</v>
      </c>
      <c r="F129" s="371">
        <v>90.6</v>
      </c>
      <c r="G129" s="6441">
        <v>8406</v>
      </c>
      <c r="H129" s="6441">
        <v>6142</v>
      </c>
      <c r="I129" s="371">
        <v>2265</v>
      </c>
      <c r="J129" s="371">
        <v>1.1399999999999999</v>
      </c>
      <c r="K129" s="371">
        <v>28.5</v>
      </c>
      <c r="L129" s="6469"/>
    </row>
    <row r="130" spans="1:12" ht="34.5" thickBot="1">
      <c r="A130" s="6442"/>
      <c r="B130" s="6444"/>
      <c r="C130" s="367" t="s">
        <v>683</v>
      </c>
      <c r="D130" s="368" t="s">
        <v>767</v>
      </c>
      <c r="E130" s="368">
        <v>245.66</v>
      </c>
      <c r="F130" s="368">
        <v>0</v>
      </c>
      <c r="G130" s="6442"/>
      <c r="H130" s="6442"/>
      <c r="I130" s="368">
        <v>0</v>
      </c>
      <c r="J130" s="368">
        <v>0.1</v>
      </c>
      <c r="K130" s="368">
        <v>2.5</v>
      </c>
      <c r="L130" s="6469"/>
    </row>
    <row r="131" spans="1:12">
      <c r="A131" s="6441">
        <v>10</v>
      </c>
      <c r="B131" s="6443" t="s">
        <v>768</v>
      </c>
      <c r="C131" s="369" t="s">
        <v>769</v>
      </c>
      <c r="D131" s="370">
        <v>10</v>
      </c>
      <c r="E131" s="371">
        <v>491.39</v>
      </c>
      <c r="F131" s="371">
        <v>90.6</v>
      </c>
      <c r="G131" s="6441">
        <v>4914</v>
      </c>
      <c r="H131" s="6441">
        <v>4008</v>
      </c>
      <c r="I131" s="371">
        <v>906</v>
      </c>
      <c r="J131" s="371">
        <v>1.86</v>
      </c>
      <c r="K131" s="371">
        <v>18.600000000000001</v>
      </c>
      <c r="L131" s="6469"/>
    </row>
    <row r="132" spans="1:12" ht="34.5" thickBot="1">
      <c r="A132" s="6442"/>
      <c r="B132" s="6444"/>
      <c r="C132" s="367" t="s">
        <v>683</v>
      </c>
      <c r="D132" s="368" t="s">
        <v>767</v>
      </c>
      <c r="E132" s="368">
        <v>400.79</v>
      </c>
      <c r="F132" s="368">
        <v>0</v>
      </c>
      <c r="G132" s="6442"/>
      <c r="H132" s="6442"/>
      <c r="I132" s="368">
        <v>0</v>
      </c>
      <c r="J132" s="368">
        <v>0.1</v>
      </c>
      <c r="K132" s="368">
        <v>1</v>
      </c>
      <c r="L132" s="6469"/>
    </row>
    <row r="133" spans="1:12">
      <c r="A133" s="6441">
        <v>11</v>
      </c>
      <c r="B133" s="6443" t="s">
        <v>770</v>
      </c>
      <c r="C133" s="369" t="s">
        <v>771</v>
      </c>
      <c r="D133" s="370">
        <v>10</v>
      </c>
      <c r="E133" s="371">
        <v>1049.04</v>
      </c>
      <c r="F133" s="371">
        <v>521.05999999999995</v>
      </c>
      <c r="G133" s="6441">
        <v>10490</v>
      </c>
      <c r="H133" s="6441">
        <v>5280</v>
      </c>
      <c r="I133" s="371">
        <v>5211</v>
      </c>
      <c r="J133" s="371">
        <v>2.4500000000000002</v>
      </c>
      <c r="K133" s="371">
        <v>24.5</v>
      </c>
      <c r="L133" s="6469"/>
    </row>
    <row r="134" spans="1:12" ht="34.5" thickBot="1">
      <c r="A134" s="6442"/>
      <c r="B134" s="6444"/>
      <c r="C134" s="367" t="s">
        <v>683</v>
      </c>
      <c r="D134" s="368" t="s">
        <v>767</v>
      </c>
      <c r="E134" s="368">
        <v>527.98</v>
      </c>
      <c r="F134" s="368">
        <v>124.7</v>
      </c>
      <c r="G134" s="6442"/>
      <c r="H134" s="6442"/>
      <c r="I134" s="368">
        <v>1247</v>
      </c>
      <c r="J134" s="368">
        <v>0.47</v>
      </c>
      <c r="K134" s="368">
        <v>4.7</v>
      </c>
      <c r="L134" s="6469"/>
    </row>
    <row r="135" spans="1:12" ht="22.5">
      <c r="A135" s="6441">
        <v>12</v>
      </c>
      <c r="B135" s="6443" t="s">
        <v>472</v>
      </c>
      <c r="C135" s="369" t="s">
        <v>473</v>
      </c>
      <c r="D135" s="370">
        <v>10</v>
      </c>
      <c r="E135" s="371">
        <v>4803.8100000000004</v>
      </c>
      <c r="F135" s="371">
        <v>90.6</v>
      </c>
      <c r="G135" s="6441">
        <v>48038</v>
      </c>
      <c r="H135" s="6441">
        <v>9637</v>
      </c>
      <c r="I135" s="371">
        <v>906</v>
      </c>
      <c r="J135" s="371">
        <v>4.53</v>
      </c>
      <c r="K135" s="371">
        <v>45.3</v>
      </c>
      <c r="L135" s="6469"/>
    </row>
    <row r="136" spans="1:12" ht="34.5" thickBot="1">
      <c r="A136" s="6442"/>
      <c r="B136" s="6444"/>
      <c r="C136" s="367" t="s">
        <v>683</v>
      </c>
      <c r="D136" s="368" t="s">
        <v>475</v>
      </c>
      <c r="E136" s="368">
        <v>963.68</v>
      </c>
      <c r="F136" s="368">
        <v>0</v>
      </c>
      <c r="G136" s="6442"/>
      <c r="H136" s="6442"/>
      <c r="I136" s="368">
        <v>0</v>
      </c>
      <c r="J136" s="368">
        <v>0.1</v>
      </c>
      <c r="K136" s="368">
        <v>1</v>
      </c>
      <c r="L136" s="6469"/>
    </row>
    <row r="137" spans="1:12" ht="22.5">
      <c r="A137" s="6441">
        <v>13</v>
      </c>
      <c r="B137" s="6443" t="s">
        <v>476</v>
      </c>
      <c r="C137" s="369" t="s">
        <v>477</v>
      </c>
      <c r="D137" s="370">
        <v>6</v>
      </c>
      <c r="E137" s="371">
        <v>1472.01</v>
      </c>
      <c r="F137" s="371">
        <v>9.0399999999999991</v>
      </c>
      <c r="G137" s="6441">
        <v>8832</v>
      </c>
      <c r="H137" s="6441">
        <v>1339</v>
      </c>
      <c r="I137" s="371">
        <v>54</v>
      </c>
      <c r="J137" s="371">
        <v>1.01</v>
      </c>
      <c r="K137" s="371">
        <v>6.06</v>
      </c>
      <c r="L137" s="6469"/>
    </row>
    <row r="138" spans="1:12" ht="57" thickBot="1">
      <c r="A138" s="6442"/>
      <c r="B138" s="6444"/>
      <c r="C138" s="367" t="s">
        <v>683</v>
      </c>
      <c r="D138" s="368" t="s">
        <v>478</v>
      </c>
      <c r="E138" s="368">
        <v>223.21</v>
      </c>
      <c r="F138" s="368">
        <v>0</v>
      </c>
      <c r="G138" s="6442"/>
      <c r="H138" s="6442"/>
      <c r="I138" s="368">
        <v>0</v>
      </c>
      <c r="J138" s="368">
        <v>0.01</v>
      </c>
      <c r="K138" s="368">
        <v>0.06</v>
      </c>
      <c r="L138" s="6469"/>
    </row>
    <row r="139" spans="1:12" ht="22.5">
      <c r="A139" s="6441">
        <v>14</v>
      </c>
      <c r="B139" s="6443" t="s">
        <v>479</v>
      </c>
      <c r="C139" s="369" t="s">
        <v>480</v>
      </c>
      <c r="D139" s="370">
        <v>6</v>
      </c>
      <c r="E139" s="371">
        <v>2364.29</v>
      </c>
      <c r="F139" s="371">
        <v>27.22</v>
      </c>
      <c r="G139" s="6441">
        <v>14186</v>
      </c>
      <c r="H139" s="6441">
        <v>2215</v>
      </c>
      <c r="I139" s="371">
        <v>163</v>
      </c>
      <c r="J139" s="371">
        <v>1.67</v>
      </c>
      <c r="K139" s="371">
        <v>10.02</v>
      </c>
      <c r="L139" s="6469"/>
    </row>
    <row r="140" spans="1:12" ht="57" thickBot="1">
      <c r="A140" s="6442"/>
      <c r="B140" s="6444"/>
      <c r="C140" s="367" t="s">
        <v>683</v>
      </c>
      <c r="D140" s="368" t="s">
        <v>478</v>
      </c>
      <c r="E140" s="368">
        <v>369.11</v>
      </c>
      <c r="F140" s="368">
        <v>0</v>
      </c>
      <c r="G140" s="6442"/>
      <c r="H140" s="6442"/>
      <c r="I140" s="368">
        <v>0</v>
      </c>
      <c r="J140" s="368">
        <v>0.03</v>
      </c>
      <c r="K140" s="368">
        <v>0.18</v>
      </c>
      <c r="L140" s="6469"/>
    </row>
    <row r="141" spans="1:12" ht="22.5">
      <c r="A141" s="6441">
        <v>15</v>
      </c>
      <c r="B141" s="6443" t="s">
        <v>481</v>
      </c>
      <c r="C141" s="369" t="s">
        <v>482</v>
      </c>
      <c r="D141" s="370">
        <v>5</v>
      </c>
      <c r="E141" s="371">
        <v>2703.56</v>
      </c>
      <c r="F141" s="371">
        <v>27.22</v>
      </c>
      <c r="G141" s="6441">
        <v>13518</v>
      </c>
      <c r="H141" s="6441">
        <v>1878</v>
      </c>
      <c r="I141" s="371">
        <v>136</v>
      </c>
      <c r="J141" s="371">
        <v>1.7</v>
      </c>
      <c r="K141" s="371">
        <v>8.5</v>
      </c>
      <c r="L141" s="6469"/>
    </row>
    <row r="142" spans="1:12" ht="57" thickBot="1">
      <c r="A142" s="6442"/>
      <c r="B142" s="6444"/>
      <c r="C142" s="367" t="s">
        <v>683</v>
      </c>
      <c r="D142" s="368" t="s">
        <v>478</v>
      </c>
      <c r="E142" s="368">
        <v>375.6</v>
      </c>
      <c r="F142" s="368">
        <v>0</v>
      </c>
      <c r="G142" s="6442"/>
      <c r="H142" s="6442"/>
      <c r="I142" s="368">
        <v>0</v>
      </c>
      <c r="J142" s="368">
        <v>0.03</v>
      </c>
      <c r="K142" s="368">
        <v>0.15</v>
      </c>
      <c r="L142" s="6469"/>
    </row>
    <row r="143" spans="1:12" ht="22.5">
      <c r="A143" s="6441">
        <v>16</v>
      </c>
      <c r="B143" s="6443" t="s">
        <v>483</v>
      </c>
      <c r="C143" s="369" t="s">
        <v>484</v>
      </c>
      <c r="D143" s="370">
        <v>4</v>
      </c>
      <c r="E143" s="371">
        <v>4736.55</v>
      </c>
      <c r="F143" s="371">
        <v>63.38</v>
      </c>
      <c r="G143" s="6441">
        <v>18946</v>
      </c>
      <c r="H143" s="6441">
        <v>2515</v>
      </c>
      <c r="I143" s="371">
        <v>254</v>
      </c>
      <c r="J143" s="371">
        <v>2.78</v>
      </c>
      <c r="K143" s="371">
        <v>11.12</v>
      </c>
      <c r="L143" s="6469"/>
    </row>
    <row r="144" spans="1:12" ht="57" thickBot="1">
      <c r="A144" s="6442"/>
      <c r="B144" s="6444"/>
      <c r="C144" s="367" t="s">
        <v>683</v>
      </c>
      <c r="D144" s="368" t="s">
        <v>478</v>
      </c>
      <c r="E144" s="368">
        <v>628.74</v>
      </c>
      <c r="F144" s="368">
        <v>0</v>
      </c>
      <c r="G144" s="6442"/>
      <c r="H144" s="6442"/>
      <c r="I144" s="368">
        <v>0</v>
      </c>
      <c r="J144" s="368">
        <v>7.0000000000000007E-2</v>
      </c>
      <c r="K144" s="368">
        <v>0.28000000000000003</v>
      </c>
      <c r="L144" s="6469"/>
    </row>
    <row r="145" spans="1:12" ht="22.5">
      <c r="A145" s="6441">
        <v>17</v>
      </c>
      <c r="B145" s="6443" t="s">
        <v>485</v>
      </c>
      <c r="C145" s="369" t="s">
        <v>486</v>
      </c>
      <c r="D145" s="370">
        <v>4</v>
      </c>
      <c r="E145" s="371">
        <v>7296.17</v>
      </c>
      <c r="F145" s="371">
        <v>500.38</v>
      </c>
      <c r="G145" s="6441">
        <v>29185</v>
      </c>
      <c r="H145" s="6441">
        <v>3599</v>
      </c>
      <c r="I145" s="371">
        <v>2002</v>
      </c>
      <c r="J145" s="371">
        <v>3.93</v>
      </c>
      <c r="K145" s="371">
        <v>15.72</v>
      </c>
      <c r="L145" s="6469"/>
    </row>
    <row r="146" spans="1:12" ht="57" thickBot="1">
      <c r="A146" s="6442"/>
      <c r="B146" s="6444"/>
      <c r="C146" s="367" t="s">
        <v>683</v>
      </c>
      <c r="D146" s="368" t="s">
        <v>478</v>
      </c>
      <c r="E146" s="368">
        <v>899.84</v>
      </c>
      <c r="F146" s="368">
        <v>89.04</v>
      </c>
      <c r="G146" s="6442"/>
      <c r="H146" s="6442"/>
      <c r="I146" s="368">
        <v>356</v>
      </c>
      <c r="J146" s="368">
        <v>0.36</v>
      </c>
      <c r="K146" s="368">
        <v>1.44</v>
      </c>
      <c r="L146" s="6469"/>
    </row>
    <row r="147" spans="1:12" ht="22.5">
      <c r="A147" s="6441">
        <v>18</v>
      </c>
      <c r="B147" s="6443" t="s">
        <v>487</v>
      </c>
      <c r="C147" s="369" t="s">
        <v>488</v>
      </c>
      <c r="D147" s="370">
        <v>0.1</v>
      </c>
      <c r="E147" s="371">
        <v>127224.66</v>
      </c>
      <c r="F147" s="371">
        <v>36.26</v>
      </c>
      <c r="G147" s="6441">
        <v>12722</v>
      </c>
      <c r="H147" s="6441">
        <v>11222</v>
      </c>
      <c r="I147" s="371">
        <v>4</v>
      </c>
      <c r="J147" s="371">
        <v>520.79999999999995</v>
      </c>
      <c r="K147" s="371">
        <v>52.08</v>
      </c>
      <c r="L147" s="6469"/>
    </row>
    <row r="148" spans="1:12" ht="34.5" thickBot="1">
      <c r="A148" s="6442"/>
      <c r="B148" s="6444"/>
      <c r="C148" s="367" t="s">
        <v>683</v>
      </c>
      <c r="D148" s="368" t="s">
        <v>489</v>
      </c>
      <c r="E148" s="368">
        <v>112222.52</v>
      </c>
      <c r="F148" s="368">
        <v>0</v>
      </c>
      <c r="G148" s="6442"/>
      <c r="H148" s="6442"/>
      <c r="I148" s="368">
        <v>0</v>
      </c>
      <c r="J148" s="368">
        <v>0.04</v>
      </c>
      <c r="K148" s="368">
        <v>0</v>
      </c>
      <c r="L148" s="6469"/>
    </row>
    <row r="149" spans="1:12" ht="22.5">
      <c r="A149" s="6441">
        <v>19</v>
      </c>
      <c r="B149" s="6443" t="s">
        <v>490</v>
      </c>
      <c r="C149" s="369" t="s">
        <v>491</v>
      </c>
      <c r="D149" s="370">
        <v>0.06</v>
      </c>
      <c r="E149" s="371">
        <v>184530.95</v>
      </c>
      <c r="F149" s="371">
        <v>63.38</v>
      </c>
      <c r="G149" s="6441">
        <v>11072</v>
      </c>
      <c r="H149" s="6441">
        <v>9479</v>
      </c>
      <c r="I149" s="371">
        <v>4</v>
      </c>
      <c r="J149" s="371">
        <v>733.2</v>
      </c>
      <c r="K149" s="371">
        <v>43.99</v>
      </c>
      <c r="L149" s="6469"/>
    </row>
    <row r="150" spans="1:12" ht="34.5" thickBot="1">
      <c r="A150" s="6442"/>
      <c r="B150" s="6444"/>
      <c r="C150" s="367" t="s">
        <v>683</v>
      </c>
      <c r="D150" s="368" t="s">
        <v>489</v>
      </c>
      <c r="E150" s="368">
        <v>157991.16</v>
      </c>
      <c r="F150" s="368">
        <v>0</v>
      </c>
      <c r="G150" s="6442"/>
      <c r="H150" s="6442"/>
      <c r="I150" s="368">
        <v>0</v>
      </c>
      <c r="J150" s="368">
        <v>7.0000000000000007E-2</v>
      </c>
      <c r="K150" s="368">
        <v>0</v>
      </c>
      <c r="L150" s="6469"/>
    </row>
    <row r="151" spans="1:12" ht="22.5">
      <c r="A151" s="6441">
        <v>20</v>
      </c>
      <c r="B151" s="6443" t="s">
        <v>492</v>
      </c>
      <c r="C151" s="369" t="s">
        <v>493</v>
      </c>
      <c r="D151" s="370">
        <v>0.06</v>
      </c>
      <c r="E151" s="371">
        <v>249630.38</v>
      </c>
      <c r="F151" s="371">
        <v>81.56</v>
      </c>
      <c r="G151" s="6441">
        <v>14978</v>
      </c>
      <c r="H151" s="6441">
        <v>12766</v>
      </c>
      <c r="I151" s="371">
        <v>5</v>
      </c>
      <c r="J151" s="371">
        <v>987.4</v>
      </c>
      <c r="K151" s="371">
        <v>59.24</v>
      </c>
      <c r="L151" s="6469"/>
    </row>
    <row r="152" spans="1:12" ht="34.5" thickBot="1">
      <c r="A152" s="6442"/>
      <c r="B152" s="6444"/>
      <c r="C152" s="367" t="s">
        <v>683</v>
      </c>
      <c r="D152" s="368" t="s">
        <v>489</v>
      </c>
      <c r="E152" s="368">
        <v>212766.63</v>
      </c>
      <c r="F152" s="368">
        <v>0</v>
      </c>
      <c r="G152" s="6442"/>
      <c r="H152" s="6442"/>
      <c r="I152" s="368">
        <v>0</v>
      </c>
      <c r="J152" s="368">
        <v>0.09</v>
      </c>
      <c r="K152" s="368">
        <v>0.01</v>
      </c>
      <c r="L152" s="6469"/>
    </row>
    <row r="153" spans="1:12" ht="13.5" thickBot="1">
      <c r="A153" s="6435"/>
      <c r="B153" s="6436"/>
      <c r="C153" s="6436"/>
      <c r="D153" s="6436"/>
      <c r="E153" s="6436"/>
      <c r="F153" s="6436"/>
      <c r="G153" s="6436"/>
      <c r="H153" s="6436"/>
      <c r="I153" s="6436"/>
      <c r="J153" s="6436"/>
      <c r="K153" s="6437"/>
      <c r="L153" s="840"/>
    </row>
    <row r="154" spans="1:12">
      <c r="A154" s="6450" t="s">
        <v>708</v>
      </c>
      <c r="B154" s="6451"/>
      <c r="C154" s="6451"/>
      <c r="D154" s="6451"/>
      <c r="E154" s="6451"/>
      <c r="F154" s="6454"/>
      <c r="G154" s="6454">
        <v>424248</v>
      </c>
      <c r="H154" s="6454">
        <v>197101</v>
      </c>
      <c r="I154" s="831">
        <v>46887</v>
      </c>
      <c r="J154" s="6454"/>
      <c r="K154" s="371">
        <v>950.91</v>
      </c>
      <c r="L154" s="6469"/>
    </row>
    <row r="155" spans="1:12" ht="13.5" thickBot="1">
      <c r="A155" s="6452"/>
      <c r="B155" s="6453"/>
      <c r="C155" s="6453"/>
      <c r="D155" s="6453"/>
      <c r="E155" s="6453"/>
      <c r="F155" s="6455"/>
      <c r="G155" s="6455"/>
      <c r="H155" s="6455"/>
      <c r="I155" s="821">
        <v>26192</v>
      </c>
      <c r="J155" s="6455"/>
      <c r="K155" s="368">
        <v>108.11</v>
      </c>
      <c r="L155" s="6469"/>
    </row>
    <row r="156" spans="1:12" ht="13.5" thickBot="1">
      <c r="A156" s="6435"/>
      <c r="B156" s="6436"/>
      <c r="C156" s="6436"/>
      <c r="D156" s="6436"/>
      <c r="E156" s="6436"/>
      <c r="F156" s="6436"/>
      <c r="G156" s="6436"/>
      <c r="H156" s="6436"/>
      <c r="I156" s="6436"/>
      <c r="J156" s="6436"/>
      <c r="K156" s="6437"/>
      <c r="L156" s="840"/>
    </row>
    <row r="157" spans="1:12">
      <c r="A157" s="6450" t="s">
        <v>709</v>
      </c>
      <c r="B157" s="6451"/>
      <c r="C157" s="6451"/>
      <c r="D157" s="6451"/>
      <c r="E157" s="6451"/>
      <c r="F157" s="6454"/>
      <c r="G157" s="6454">
        <v>424248</v>
      </c>
      <c r="H157" s="6454">
        <v>197101</v>
      </c>
      <c r="I157" s="831">
        <v>46887</v>
      </c>
      <c r="J157" s="6454"/>
      <c r="K157" s="371">
        <v>950.91</v>
      </c>
      <c r="L157" s="6469"/>
    </row>
    <row r="158" spans="1:12" ht="13.5" thickBot="1">
      <c r="A158" s="6452"/>
      <c r="B158" s="6453"/>
      <c r="C158" s="6453"/>
      <c r="D158" s="6453"/>
      <c r="E158" s="6453"/>
      <c r="F158" s="6455"/>
      <c r="G158" s="6455"/>
      <c r="H158" s="6455"/>
      <c r="I158" s="821">
        <v>26192</v>
      </c>
      <c r="J158" s="6455"/>
      <c r="K158" s="368">
        <v>108.11</v>
      </c>
      <c r="L158" s="6469"/>
    </row>
    <row r="159" spans="1:12" ht="13.5" thickBot="1">
      <c r="A159" s="816"/>
      <c r="B159" s="817"/>
      <c r="C159" s="817"/>
      <c r="D159" s="817"/>
      <c r="E159" s="817"/>
      <c r="F159" s="817"/>
      <c r="G159" s="817"/>
      <c r="H159" s="817"/>
      <c r="I159" s="817"/>
      <c r="J159" s="817"/>
      <c r="K159" s="817"/>
      <c r="L159" s="840"/>
    </row>
    <row r="160" spans="1:12">
      <c r="A160" s="833"/>
      <c r="B160" s="292"/>
      <c r="C160" s="292"/>
      <c r="D160" s="292"/>
      <c r="E160" s="292"/>
      <c r="F160" s="292"/>
      <c r="G160" s="292"/>
      <c r="H160" s="292"/>
      <c r="I160" s="292"/>
      <c r="J160" s="292"/>
      <c r="K160" s="292"/>
      <c r="L160" s="824"/>
    </row>
    <row r="161" spans="1:12">
      <c r="A161" s="833"/>
      <c r="B161" s="292"/>
      <c r="C161" s="6458" t="s">
        <v>710</v>
      </c>
      <c r="D161" s="6419"/>
      <c r="E161" s="6419"/>
      <c r="F161" s="6419"/>
      <c r="G161" s="6419"/>
      <c r="H161" s="6419"/>
      <c r="I161" s="6458" t="s">
        <v>711</v>
      </c>
      <c r="J161" s="6458" t="s">
        <v>712</v>
      </c>
      <c r="K161" s="842" t="s">
        <v>577</v>
      </c>
      <c r="L161" s="824"/>
    </row>
    <row r="162" spans="1:12">
      <c r="A162" s="833"/>
      <c r="B162" s="292"/>
      <c r="C162" s="6458"/>
      <c r="D162" s="6419"/>
      <c r="E162" s="6419"/>
      <c r="F162" s="6419"/>
      <c r="G162" s="6419"/>
      <c r="H162" s="6419"/>
      <c r="I162" s="6458"/>
      <c r="J162" s="6458"/>
      <c r="K162" s="842" t="s">
        <v>713</v>
      </c>
      <c r="L162" s="824"/>
    </row>
    <row r="163" spans="1:12" ht="13.5" thickBot="1">
      <c r="A163" s="833"/>
      <c r="B163" s="292"/>
      <c r="C163" s="822"/>
      <c r="D163" s="822"/>
      <c r="E163" s="822"/>
      <c r="F163" s="822"/>
      <c r="G163" s="292"/>
      <c r="H163" s="292"/>
      <c r="I163" s="822"/>
      <c r="J163" s="822"/>
      <c r="K163" s="822"/>
      <c r="L163" s="824"/>
    </row>
    <row r="164" spans="1:12" ht="13.5" thickBot="1">
      <c r="A164" s="833"/>
      <c r="B164" s="292"/>
      <c r="C164" s="6458" t="s">
        <v>54</v>
      </c>
      <c r="D164" s="6419"/>
      <c r="E164" s="6419"/>
      <c r="F164" s="6419"/>
      <c r="G164" s="6419"/>
      <c r="H164" s="6419"/>
      <c r="I164" s="821"/>
      <c r="J164" s="821"/>
      <c r="K164" s="821" t="s">
        <v>772</v>
      </c>
      <c r="L164" s="824"/>
    </row>
    <row r="165" spans="1:12" ht="13.5" thickBot="1">
      <c r="A165" s="833"/>
      <c r="B165" s="292"/>
      <c r="C165" s="6458" t="s">
        <v>719</v>
      </c>
      <c r="D165" s="6419"/>
      <c r="E165" s="6419"/>
      <c r="F165" s="6419"/>
      <c r="G165" s="6419"/>
      <c r="H165" s="6419"/>
      <c r="I165" s="821">
        <v>0.6</v>
      </c>
      <c r="J165" s="821">
        <v>71</v>
      </c>
      <c r="K165" s="821" t="s">
        <v>773</v>
      </c>
      <c r="L165" s="824"/>
    </row>
    <row r="166" spans="1:12" ht="13.5" thickBot="1">
      <c r="A166" s="833"/>
      <c r="B166" s="292"/>
      <c r="C166" s="6458" t="s">
        <v>774</v>
      </c>
      <c r="D166" s="6419"/>
      <c r="E166" s="6419"/>
      <c r="F166" s="6419"/>
      <c r="G166" s="6419"/>
      <c r="H166" s="6419"/>
      <c r="I166" s="821">
        <v>0.6</v>
      </c>
      <c r="J166" s="821">
        <v>93</v>
      </c>
      <c r="K166" s="821" t="s">
        <v>775</v>
      </c>
      <c r="L166" s="824"/>
    </row>
    <row r="167" spans="1:12" ht="13.5" thickBot="1">
      <c r="A167" s="833"/>
      <c r="B167" s="292"/>
      <c r="C167" s="6458" t="s">
        <v>723</v>
      </c>
      <c r="D167" s="6419"/>
      <c r="E167" s="6419"/>
      <c r="F167" s="6419"/>
      <c r="G167" s="6419"/>
      <c r="H167" s="6419"/>
      <c r="I167" s="821">
        <v>0.6</v>
      </c>
      <c r="J167" s="821">
        <v>92</v>
      </c>
      <c r="K167" s="821" t="s">
        <v>776</v>
      </c>
      <c r="L167" s="824"/>
    </row>
    <row r="168" spans="1:12" ht="13.5" thickBot="1">
      <c r="A168" s="833"/>
      <c r="B168" s="292"/>
      <c r="C168" s="6458" t="s">
        <v>721</v>
      </c>
      <c r="D168" s="6419"/>
      <c r="E168" s="6419"/>
      <c r="F168" s="6419"/>
      <c r="G168" s="6419"/>
      <c r="H168" s="6419"/>
      <c r="I168" s="821">
        <v>0.6</v>
      </c>
      <c r="J168" s="821">
        <v>116</v>
      </c>
      <c r="K168" s="821" t="s">
        <v>777</v>
      </c>
      <c r="L168" s="824"/>
    </row>
    <row r="169" spans="1:12" ht="13.5" thickBot="1">
      <c r="A169" s="833"/>
      <c r="B169" s="292"/>
      <c r="C169" s="6458" t="s">
        <v>778</v>
      </c>
      <c r="D169" s="6419"/>
      <c r="E169" s="6419"/>
      <c r="F169" s="6419"/>
      <c r="G169" s="6419"/>
      <c r="H169" s="6419"/>
      <c r="I169" s="821">
        <v>0.6</v>
      </c>
      <c r="J169" s="821">
        <v>77</v>
      </c>
      <c r="K169" s="821" t="s">
        <v>779</v>
      </c>
      <c r="L169" s="824"/>
    </row>
    <row r="170" spans="1:12" ht="13.5" thickBot="1">
      <c r="A170" s="833"/>
      <c r="B170" s="292"/>
      <c r="C170" s="6458" t="s">
        <v>780</v>
      </c>
      <c r="D170" s="6419"/>
      <c r="E170" s="6419"/>
      <c r="F170" s="6419"/>
      <c r="G170" s="6419"/>
      <c r="H170" s="6419"/>
      <c r="I170" s="821">
        <v>0.6</v>
      </c>
      <c r="J170" s="821">
        <v>83</v>
      </c>
      <c r="K170" s="821" t="s">
        <v>781</v>
      </c>
      <c r="L170" s="824"/>
    </row>
    <row r="171" spans="1:12" ht="13.5" thickBot="1">
      <c r="A171" s="833"/>
      <c r="B171" s="292"/>
      <c r="C171" s="6458" t="s">
        <v>782</v>
      </c>
      <c r="D171" s="6419"/>
      <c r="E171" s="6419"/>
      <c r="F171" s="6419"/>
      <c r="G171" s="6419"/>
      <c r="H171" s="6419"/>
      <c r="I171" s="821">
        <v>0.7</v>
      </c>
      <c r="J171" s="821">
        <v>66</v>
      </c>
      <c r="K171" s="821" t="s">
        <v>783</v>
      </c>
      <c r="L171" s="824"/>
    </row>
    <row r="172" spans="1:12" ht="13.5" thickBot="1">
      <c r="A172" s="833"/>
      <c r="B172" s="292"/>
      <c r="C172" s="6458" t="s">
        <v>784</v>
      </c>
      <c r="D172" s="6419"/>
      <c r="E172" s="6419"/>
      <c r="F172" s="6419"/>
      <c r="G172" s="6419"/>
      <c r="H172" s="6419"/>
      <c r="I172" s="821">
        <v>0.6</v>
      </c>
      <c r="J172" s="821">
        <v>92</v>
      </c>
      <c r="K172" s="821" t="s">
        <v>785</v>
      </c>
      <c r="L172" s="824"/>
    </row>
    <row r="173" spans="1:12" ht="13.5" thickBot="1">
      <c r="A173" s="833"/>
      <c r="B173" s="292"/>
      <c r="C173" s="6458" t="s">
        <v>725</v>
      </c>
      <c r="D173" s="6419"/>
      <c r="E173" s="6419"/>
      <c r="F173" s="6419"/>
      <c r="G173" s="6419"/>
      <c r="H173" s="6419"/>
      <c r="I173" s="821"/>
      <c r="J173" s="821"/>
      <c r="K173" s="821" t="s">
        <v>786</v>
      </c>
      <c r="L173" s="824"/>
    </row>
    <row r="174" spans="1:12" ht="13.5" thickBot="1">
      <c r="A174" s="833"/>
      <c r="B174" s="292"/>
      <c r="C174" s="6458" t="s">
        <v>54</v>
      </c>
      <c r="D174" s="6419"/>
      <c r="E174" s="6419"/>
      <c r="F174" s="6419"/>
      <c r="G174" s="6419"/>
      <c r="H174" s="6419"/>
      <c r="I174" s="821"/>
      <c r="J174" s="821"/>
      <c r="K174" s="821" t="s">
        <v>787</v>
      </c>
      <c r="L174" s="824"/>
    </row>
    <row r="175" spans="1:12" ht="13.5" thickBot="1">
      <c r="A175" s="833"/>
      <c r="B175" s="292"/>
      <c r="C175" s="6458" t="s">
        <v>732</v>
      </c>
      <c r="D175" s="6419"/>
      <c r="E175" s="6419"/>
      <c r="F175" s="6419"/>
      <c r="G175" s="6419"/>
      <c r="H175" s="6419"/>
      <c r="I175" s="821"/>
      <c r="J175" s="821">
        <v>36</v>
      </c>
      <c r="K175" s="821" t="s">
        <v>788</v>
      </c>
      <c r="L175" s="824"/>
    </row>
    <row r="176" spans="1:12" ht="13.5" thickBot="1">
      <c r="A176" s="833"/>
      <c r="B176" s="292"/>
      <c r="C176" s="6458" t="s">
        <v>789</v>
      </c>
      <c r="D176" s="6419"/>
      <c r="E176" s="6419"/>
      <c r="F176" s="6419"/>
      <c r="G176" s="6419"/>
      <c r="H176" s="6419"/>
      <c r="I176" s="821"/>
      <c r="J176" s="821">
        <v>48</v>
      </c>
      <c r="K176" s="821" t="s">
        <v>790</v>
      </c>
      <c r="L176" s="824"/>
    </row>
    <row r="177" spans="1:12" ht="13.5" thickBot="1">
      <c r="A177" s="833"/>
      <c r="B177" s="292"/>
      <c r="C177" s="6458" t="s">
        <v>736</v>
      </c>
      <c r="D177" s="6419"/>
      <c r="E177" s="6419"/>
      <c r="F177" s="6419"/>
      <c r="G177" s="6419"/>
      <c r="H177" s="6419"/>
      <c r="I177" s="821"/>
      <c r="J177" s="821">
        <v>54</v>
      </c>
      <c r="K177" s="821" t="s">
        <v>791</v>
      </c>
      <c r="L177" s="824"/>
    </row>
    <row r="178" spans="1:12" ht="13.5" thickBot="1">
      <c r="A178" s="833"/>
      <c r="B178" s="292"/>
      <c r="C178" s="6458" t="s">
        <v>734</v>
      </c>
      <c r="D178" s="6419"/>
      <c r="E178" s="6419"/>
      <c r="F178" s="6419"/>
      <c r="G178" s="6419"/>
      <c r="H178" s="6419"/>
      <c r="I178" s="821"/>
      <c r="J178" s="821">
        <v>61</v>
      </c>
      <c r="K178" s="821" t="s">
        <v>792</v>
      </c>
      <c r="L178" s="824"/>
    </row>
    <row r="179" spans="1:12" ht="13.5" thickBot="1">
      <c r="A179" s="833"/>
      <c r="B179" s="292"/>
      <c r="C179" s="6458" t="s">
        <v>793</v>
      </c>
      <c r="D179" s="6419"/>
      <c r="E179" s="6419"/>
      <c r="F179" s="6419"/>
      <c r="G179" s="6419"/>
      <c r="H179" s="6419"/>
      <c r="I179" s="821"/>
      <c r="J179" s="821">
        <v>56</v>
      </c>
      <c r="K179" s="821" t="s">
        <v>794</v>
      </c>
      <c r="L179" s="824"/>
    </row>
    <row r="180" spans="1:12" ht="13.5" thickBot="1">
      <c r="A180" s="833"/>
      <c r="B180" s="292"/>
      <c r="C180" s="6458" t="s">
        <v>795</v>
      </c>
      <c r="D180" s="6419"/>
      <c r="E180" s="6419"/>
      <c r="F180" s="6419"/>
      <c r="G180" s="6419"/>
      <c r="H180" s="6419"/>
      <c r="I180" s="821"/>
      <c r="J180" s="821">
        <v>60</v>
      </c>
      <c r="K180" s="821" t="s">
        <v>796</v>
      </c>
      <c r="L180" s="824"/>
    </row>
    <row r="181" spans="1:12" ht="13.5" thickBot="1">
      <c r="A181" s="833"/>
      <c r="B181" s="292"/>
      <c r="C181" s="6458" t="s">
        <v>797</v>
      </c>
      <c r="D181" s="6419"/>
      <c r="E181" s="6419"/>
      <c r="F181" s="6419"/>
      <c r="G181" s="6419"/>
      <c r="H181" s="6419"/>
      <c r="I181" s="821"/>
      <c r="J181" s="821">
        <v>40</v>
      </c>
      <c r="K181" s="821" t="s">
        <v>798</v>
      </c>
      <c r="L181" s="824"/>
    </row>
    <row r="182" spans="1:12" ht="13.5" thickBot="1">
      <c r="A182" s="833"/>
      <c r="B182" s="292"/>
      <c r="C182" s="6458" t="s">
        <v>734</v>
      </c>
      <c r="D182" s="6419"/>
      <c r="E182" s="6419"/>
      <c r="F182" s="6419"/>
      <c r="G182" s="6419"/>
      <c r="H182" s="6419"/>
      <c r="I182" s="821"/>
      <c r="J182" s="821">
        <v>71</v>
      </c>
      <c r="K182" s="821" t="s">
        <v>799</v>
      </c>
      <c r="L182" s="824"/>
    </row>
    <row r="183" spans="1:12" ht="13.5" thickBot="1">
      <c r="A183" s="833"/>
      <c r="B183" s="292"/>
      <c r="C183" s="6458" t="s">
        <v>800</v>
      </c>
      <c r="D183" s="6419"/>
      <c r="E183" s="6419"/>
      <c r="F183" s="6419"/>
      <c r="G183" s="6419"/>
      <c r="H183" s="6419"/>
      <c r="I183" s="821"/>
      <c r="J183" s="821">
        <v>48</v>
      </c>
      <c r="K183" s="821" t="s">
        <v>801</v>
      </c>
      <c r="L183" s="824"/>
    </row>
    <row r="184" spans="1:12" ht="13.5" thickBot="1">
      <c r="A184" s="833"/>
      <c r="B184" s="292"/>
      <c r="C184" s="6458" t="s">
        <v>738</v>
      </c>
      <c r="D184" s="6419"/>
      <c r="E184" s="6419"/>
      <c r="F184" s="6419"/>
      <c r="G184" s="6419"/>
      <c r="H184" s="6419"/>
      <c r="I184" s="821"/>
      <c r="J184" s="821"/>
      <c r="K184" s="821" t="s">
        <v>802</v>
      </c>
      <c r="L184" s="824"/>
    </row>
    <row r="185" spans="1:12" ht="13.5" thickBot="1">
      <c r="A185" s="833"/>
      <c r="B185" s="292"/>
      <c r="C185" s="6458" t="s">
        <v>54</v>
      </c>
      <c r="D185" s="6419"/>
      <c r="E185" s="6419"/>
      <c r="F185" s="6419"/>
      <c r="G185" s="6419"/>
      <c r="H185" s="6419"/>
      <c r="I185" s="821"/>
      <c r="J185" s="821"/>
      <c r="K185" s="821" t="s">
        <v>803</v>
      </c>
      <c r="L185" s="824"/>
    </row>
    <row r="186" spans="1:12" ht="13.5" thickBot="1">
      <c r="A186" s="833"/>
      <c r="B186" s="292"/>
      <c r="C186" s="6458" t="s">
        <v>293</v>
      </c>
      <c r="D186" s="6419"/>
      <c r="E186" s="6419"/>
      <c r="F186" s="6419"/>
      <c r="G186" s="6419"/>
      <c r="H186" s="6419"/>
      <c r="I186" s="821"/>
      <c r="J186" s="821"/>
      <c r="K186" s="821" t="s">
        <v>803</v>
      </c>
      <c r="L186" s="824"/>
    </row>
    <row r="187" spans="1:12" ht="13.5" thickBot="1">
      <c r="A187" s="833"/>
      <c r="B187" s="292"/>
      <c r="C187" s="6458" t="s">
        <v>741</v>
      </c>
      <c r="D187" s="6419"/>
      <c r="E187" s="6419"/>
      <c r="F187" s="6419"/>
      <c r="G187" s="6419"/>
      <c r="H187" s="6419"/>
      <c r="I187" s="821"/>
      <c r="J187" s="821">
        <v>18</v>
      </c>
      <c r="K187" s="821" t="s">
        <v>804</v>
      </c>
      <c r="L187" s="824"/>
    </row>
    <row r="188" spans="1:12" ht="13.5" thickBot="1">
      <c r="A188" s="833"/>
      <c r="B188" s="292"/>
      <c r="C188" s="6458" t="s">
        <v>293</v>
      </c>
      <c r="D188" s="6419"/>
      <c r="E188" s="6419"/>
      <c r="F188" s="6419"/>
      <c r="G188" s="6419"/>
      <c r="H188" s="6419"/>
      <c r="I188" s="821"/>
      <c r="J188" s="821"/>
      <c r="K188" s="821" t="s">
        <v>748</v>
      </c>
      <c r="L188" s="824"/>
    </row>
    <row r="189" spans="1:12" ht="13.5" thickBot="1">
      <c r="A189" s="820"/>
      <c r="B189" s="819"/>
      <c r="C189" s="6453" t="s">
        <v>743</v>
      </c>
      <c r="D189" s="6459"/>
      <c r="E189" s="6459"/>
      <c r="F189" s="6459"/>
      <c r="G189" s="6459"/>
      <c r="H189" s="6459"/>
      <c r="I189" s="821"/>
      <c r="J189" s="821"/>
      <c r="K189" s="821" t="s">
        <v>748</v>
      </c>
      <c r="L189" s="815"/>
    </row>
    <row r="190" spans="1:12" ht="15.75">
      <c r="C190" s="818"/>
      <c r="D190" s="818"/>
      <c r="E190" s="818"/>
      <c r="F190" s="818"/>
      <c r="K190" s="843">
        <v>772319</v>
      </c>
    </row>
    <row r="191" spans="1:12" ht="15.75">
      <c r="A191" s="844" t="s">
        <v>805</v>
      </c>
      <c r="B191" s="844"/>
      <c r="C191" s="844"/>
      <c r="D191" s="844"/>
      <c r="E191" s="844"/>
      <c r="F191" s="844"/>
      <c r="G191" s="844"/>
      <c r="H191" s="844"/>
      <c r="I191" s="844"/>
      <c r="J191" s="844"/>
      <c r="K191" s="844">
        <f>SUM(K80+K190)</f>
        <v>1593616</v>
      </c>
      <c r="L191" s="844"/>
    </row>
  </sheetData>
  <mergeCells count="273">
    <mergeCell ref="E16:F16"/>
    <mergeCell ref="G16:I16"/>
    <mergeCell ref="J16:K16"/>
    <mergeCell ref="A27:A28"/>
    <mergeCell ref="B27:B28"/>
    <mergeCell ref="G27:G28"/>
    <mergeCell ref="H27:H28"/>
    <mergeCell ref="A29:A30"/>
    <mergeCell ref="B29:B30"/>
    <mergeCell ref="G29:G30"/>
    <mergeCell ref="H29:H30"/>
    <mergeCell ref="J17:K17"/>
    <mergeCell ref="A22:K22"/>
    <mergeCell ref="A23:K23"/>
    <mergeCell ref="A24:K24"/>
    <mergeCell ref="A25:A26"/>
    <mergeCell ref="B25:B26"/>
    <mergeCell ref="G25:G26"/>
    <mergeCell ref="H25:H26"/>
    <mergeCell ref="A35:A36"/>
    <mergeCell ref="B35:B36"/>
    <mergeCell ref="G35:G36"/>
    <mergeCell ref="H35:H36"/>
    <mergeCell ref="A37:A38"/>
    <mergeCell ref="B37:B38"/>
    <mergeCell ref="G37:G38"/>
    <mergeCell ref="H37:H38"/>
    <mergeCell ref="A31:A32"/>
    <mergeCell ref="B31:B32"/>
    <mergeCell ref="G31:G32"/>
    <mergeCell ref="H31:H32"/>
    <mergeCell ref="A33:A34"/>
    <mergeCell ref="B33:B34"/>
    <mergeCell ref="G33:G34"/>
    <mergeCell ref="H33:H34"/>
    <mergeCell ref="H45:H46"/>
    <mergeCell ref="A39:A40"/>
    <mergeCell ref="B39:B40"/>
    <mergeCell ref="G39:G40"/>
    <mergeCell ref="H39:H40"/>
    <mergeCell ref="A41:A42"/>
    <mergeCell ref="B41:B42"/>
    <mergeCell ref="G41:G42"/>
    <mergeCell ref="H41:H42"/>
    <mergeCell ref="A55:E56"/>
    <mergeCell ref="F55:F56"/>
    <mergeCell ref="G55:G56"/>
    <mergeCell ref="H55:H56"/>
    <mergeCell ref="J55:J56"/>
    <mergeCell ref="A51:K51"/>
    <mergeCell ref="A52:E53"/>
    <mergeCell ref="F52:F53"/>
    <mergeCell ref="G52:G53"/>
    <mergeCell ref="H52:H53"/>
    <mergeCell ref="J52:J53"/>
    <mergeCell ref="A4:K4"/>
    <mergeCell ref="A1:K1"/>
    <mergeCell ref="A2:K2"/>
    <mergeCell ref="A6:K6"/>
    <mergeCell ref="A8:K8"/>
    <mergeCell ref="G10:G11"/>
    <mergeCell ref="H10:H11"/>
    <mergeCell ref="G12:G13"/>
    <mergeCell ref="A54:K54"/>
    <mergeCell ref="A47:A48"/>
    <mergeCell ref="B47:B48"/>
    <mergeCell ref="G47:G48"/>
    <mergeCell ref="H47:H48"/>
    <mergeCell ref="A49:A50"/>
    <mergeCell ref="B49:B50"/>
    <mergeCell ref="G49:G50"/>
    <mergeCell ref="H49:H50"/>
    <mergeCell ref="A43:A44"/>
    <mergeCell ref="B43:B44"/>
    <mergeCell ref="G43:G44"/>
    <mergeCell ref="H43:H44"/>
    <mergeCell ref="A45:A46"/>
    <mergeCell ref="B45:B46"/>
    <mergeCell ref="G45:G46"/>
    <mergeCell ref="C67:H67"/>
    <mergeCell ref="C68:H68"/>
    <mergeCell ref="C69:H69"/>
    <mergeCell ref="C70:H70"/>
    <mergeCell ref="C71:H71"/>
    <mergeCell ref="I60:I61"/>
    <mergeCell ref="J60:J61"/>
    <mergeCell ref="C60:H61"/>
    <mergeCell ref="C62:H62"/>
    <mergeCell ref="C63:H63"/>
    <mergeCell ref="C64:H64"/>
    <mergeCell ref="C65:H65"/>
    <mergeCell ref="E99:F99"/>
    <mergeCell ref="G99:I99"/>
    <mergeCell ref="J99:K99"/>
    <mergeCell ref="F97:F98"/>
    <mergeCell ref="G97:G98"/>
    <mergeCell ref="A9:C9"/>
    <mergeCell ref="A82:K82"/>
    <mergeCell ref="A83:K83"/>
    <mergeCell ref="A93:E94"/>
    <mergeCell ref="H12:H13"/>
    <mergeCell ref="G14:G15"/>
    <mergeCell ref="H14:H15"/>
    <mergeCell ref="A10:F11"/>
    <mergeCell ref="A12:F13"/>
    <mergeCell ref="A14:F15"/>
    <mergeCell ref="C78:H78"/>
    <mergeCell ref="C79:H79"/>
    <mergeCell ref="C72:H72"/>
    <mergeCell ref="C73:H73"/>
    <mergeCell ref="C74:H74"/>
    <mergeCell ref="C75:H75"/>
    <mergeCell ref="C76:H76"/>
    <mergeCell ref="C77:H77"/>
    <mergeCell ref="C66:H66"/>
    <mergeCell ref="J100:K100"/>
    <mergeCell ref="A105:K105"/>
    <mergeCell ref="A106:K106"/>
    <mergeCell ref="A107:K107"/>
    <mergeCell ref="A108:A109"/>
    <mergeCell ref="B108:B109"/>
    <mergeCell ref="C108:C109"/>
    <mergeCell ref="H108:H109"/>
    <mergeCell ref="I108:I109"/>
    <mergeCell ref="A110:A112"/>
    <mergeCell ref="B110:B112"/>
    <mergeCell ref="G110:G112"/>
    <mergeCell ref="H110:H112"/>
    <mergeCell ref="L110:L112"/>
    <mergeCell ref="A113:A115"/>
    <mergeCell ref="B113:B115"/>
    <mergeCell ref="G113:G115"/>
    <mergeCell ref="H113:H115"/>
    <mergeCell ref="L113:L115"/>
    <mergeCell ref="B116:B117"/>
    <mergeCell ref="G116:G117"/>
    <mergeCell ref="H116:H117"/>
    <mergeCell ref="L116:L117"/>
    <mergeCell ref="A118:A120"/>
    <mergeCell ref="B118:B120"/>
    <mergeCell ref="G118:G120"/>
    <mergeCell ref="H118:H120"/>
    <mergeCell ref="L118:L120"/>
    <mergeCell ref="L127:L128"/>
    <mergeCell ref="A129:A130"/>
    <mergeCell ref="B129:B130"/>
    <mergeCell ref="G129:G130"/>
    <mergeCell ref="H129:H130"/>
    <mergeCell ref="L129:L130"/>
    <mergeCell ref="A121:A123"/>
    <mergeCell ref="B121:B123"/>
    <mergeCell ref="G121:G123"/>
    <mergeCell ref="H121:H123"/>
    <mergeCell ref="L121:L123"/>
    <mergeCell ref="A124:A126"/>
    <mergeCell ref="B124:B126"/>
    <mergeCell ref="G124:G126"/>
    <mergeCell ref="H124:H126"/>
    <mergeCell ref="L124:L126"/>
    <mergeCell ref="L135:L136"/>
    <mergeCell ref="A137:A138"/>
    <mergeCell ref="B137:B138"/>
    <mergeCell ref="G137:G138"/>
    <mergeCell ref="H137:H138"/>
    <mergeCell ref="L137:L138"/>
    <mergeCell ref="A131:A132"/>
    <mergeCell ref="B131:B132"/>
    <mergeCell ref="G131:G132"/>
    <mergeCell ref="H131:H132"/>
    <mergeCell ref="L131:L132"/>
    <mergeCell ref="A133:A134"/>
    <mergeCell ref="B133:B134"/>
    <mergeCell ref="G133:G134"/>
    <mergeCell ref="H133:H134"/>
    <mergeCell ref="L133:L134"/>
    <mergeCell ref="L143:L144"/>
    <mergeCell ref="A145:A146"/>
    <mergeCell ref="B145:B146"/>
    <mergeCell ref="G145:G146"/>
    <mergeCell ref="H145:H146"/>
    <mergeCell ref="L145:L146"/>
    <mergeCell ref="A139:A140"/>
    <mergeCell ref="B139:B140"/>
    <mergeCell ref="G139:G140"/>
    <mergeCell ref="H139:H140"/>
    <mergeCell ref="L139:L140"/>
    <mergeCell ref="A141:A142"/>
    <mergeCell ref="B141:B142"/>
    <mergeCell ref="G141:G142"/>
    <mergeCell ref="H141:H142"/>
    <mergeCell ref="L141:L142"/>
    <mergeCell ref="L151:L152"/>
    <mergeCell ref="A153:K153"/>
    <mergeCell ref="A147:A148"/>
    <mergeCell ref="B147:B148"/>
    <mergeCell ref="G147:G148"/>
    <mergeCell ref="H147:H148"/>
    <mergeCell ref="L147:L148"/>
    <mergeCell ref="A149:A150"/>
    <mergeCell ref="B149:B150"/>
    <mergeCell ref="G149:G150"/>
    <mergeCell ref="H149:H150"/>
    <mergeCell ref="L149:L150"/>
    <mergeCell ref="L157:L158"/>
    <mergeCell ref="D91:L91"/>
    <mergeCell ref="A91:C91"/>
    <mergeCell ref="A89:B89"/>
    <mergeCell ref="A87:L88"/>
    <mergeCell ref="A85:L85"/>
    <mergeCell ref="F93:F94"/>
    <mergeCell ref="G93:G94"/>
    <mergeCell ref="F95:F96"/>
    <mergeCell ref="G95:G96"/>
    <mergeCell ref="A156:K156"/>
    <mergeCell ref="A157:E158"/>
    <mergeCell ref="F157:F158"/>
    <mergeCell ref="G157:G158"/>
    <mergeCell ref="H157:H158"/>
    <mergeCell ref="J157:J158"/>
    <mergeCell ref="A154:E155"/>
    <mergeCell ref="F154:F155"/>
    <mergeCell ref="G154:G155"/>
    <mergeCell ref="H154:H155"/>
    <mergeCell ref="J154:J155"/>
    <mergeCell ref="L154:L155"/>
    <mergeCell ref="A151:A152"/>
    <mergeCell ref="B151:B152"/>
    <mergeCell ref="J161:J162"/>
    <mergeCell ref="C161:H162"/>
    <mergeCell ref="C164:H164"/>
    <mergeCell ref="C165:H165"/>
    <mergeCell ref="C166:H166"/>
    <mergeCell ref="C167:H167"/>
    <mergeCell ref="A95:E96"/>
    <mergeCell ref="A97:E98"/>
    <mergeCell ref="I161:I162"/>
    <mergeCell ref="G151:G152"/>
    <mergeCell ref="H151:H152"/>
    <mergeCell ref="A143:A144"/>
    <mergeCell ref="B143:B144"/>
    <mergeCell ref="G143:G144"/>
    <mergeCell ref="H143:H144"/>
    <mergeCell ref="A135:A136"/>
    <mergeCell ref="B135:B136"/>
    <mergeCell ref="G135:G136"/>
    <mergeCell ref="H135:H136"/>
    <mergeCell ref="A127:A128"/>
    <mergeCell ref="B127:B128"/>
    <mergeCell ref="G127:G128"/>
    <mergeCell ref="H127:H128"/>
    <mergeCell ref="A116:A117"/>
    <mergeCell ref="C174:H174"/>
    <mergeCell ref="C175:H175"/>
    <mergeCell ref="C176:H176"/>
    <mergeCell ref="C177:H177"/>
    <mergeCell ref="C178:H178"/>
    <mergeCell ref="C179:H179"/>
    <mergeCell ref="C168:H168"/>
    <mergeCell ref="C169:H169"/>
    <mergeCell ref="C170:H170"/>
    <mergeCell ref="C171:H171"/>
    <mergeCell ref="C172:H172"/>
    <mergeCell ref="C173:H173"/>
    <mergeCell ref="C186:H186"/>
    <mergeCell ref="C187:H187"/>
    <mergeCell ref="C188:H188"/>
    <mergeCell ref="C189:H189"/>
    <mergeCell ref="C180:H180"/>
    <mergeCell ref="C181:H181"/>
    <mergeCell ref="C182:H182"/>
    <mergeCell ref="C183:H183"/>
    <mergeCell ref="C184:H184"/>
    <mergeCell ref="C185:H185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K88"/>
  <sheetViews>
    <sheetView topLeftCell="A55" workbookViewId="0">
      <selection activeCell="C75" sqref="C75:H75"/>
    </sheetView>
  </sheetViews>
  <sheetFormatPr defaultRowHeight="12.75"/>
  <cols>
    <col min="2" max="2" width="18.85546875" customWidth="1"/>
    <col min="3" max="3" width="43.7109375" customWidth="1"/>
    <col min="11" max="11" width="10.28515625" bestFit="1" customWidth="1"/>
  </cols>
  <sheetData>
    <row r="1" spans="1:11" ht="18.75">
      <c r="A1" s="6425" t="s">
        <v>806</v>
      </c>
      <c r="B1" s="6426"/>
      <c r="C1" s="6426"/>
      <c r="D1" s="6426"/>
      <c r="E1" s="6426"/>
      <c r="F1" s="6426"/>
      <c r="G1" s="6426"/>
      <c r="H1" s="6426"/>
      <c r="I1" s="6426"/>
      <c r="J1" s="6426"/>
      <c r="K1" s="6427"/>
    </row>
    <row r="2" spans="1:11" ht="13.5">
      <c r="A2" s="6428" t="s">
        <v>667</v>
      </c>
      <c r="B2" s="6419"/>
      <c r="C2" s="6419"/>
      <c r="D2" s="6419"/>
      <c r="E2" s="6419"/>
      <c r="F2" s="6419"/>
      <c r="G2" s="6419"/>
      <c r="H2" s="6419"/>
      <c r="I2" s="6419"/>
      <c r="J2" s="6419"/>
      <c r="K2" s="6429"/>
    </row>
    <row r="3" spans="1:11" ht="18.75">
      <c r="A3" s="823"/>
      <c r="B3" s="292"/>
      <c r="C3" s="292"/>
      <c r="D3" s="292"/>
      <c r="E3" s="292"/>
      <c r="F3" s="292"/>
      <c r="G3" s="292"/>
      <c r="H3" s="292"/>
      <c r="I3" s="292"/>
      <c r="J3" s="292"/>
      <c r="K3" s="824"/>
    </row>
    <row r="4" spans="1:11" ht="18.75">
      <c r="A4" s="6430" t="s">
        <v>807</v>
      </c>
      <c r="B4" s="6419"/>
      <c r="C4" s="6419"/>
      <c r="D4" s="6419"/>
      <c r="E4" s="6419"/>
      <c r="F4" s="6419"/>
      <c r="G4" s="6419"/>
      <c r="H4" s="6419"/>
      <c r="I4" s="6419"/>
      <c r="J4" s="6419"/>
      <c r="K4" s="6429"/>
    </row>
    <row r="5" spans="1:11" ht="18">
      <c r="A5" s="825" t="s">
        <v>669</v>
      </c>
      <c r="B5" s="292"/>
      <c r="C5" s="292"/>
      <c r="D5" s="292"/>
      <c r="E5" s="292"/>
      <c r="F5" s="292"/>
      <c r="G5" s="292"/>
      <c r="H5" s="292"/>
      <c r="I5" s="292"/>
      <c r="J5" s="292"/>
      <c r="K5" s="824"/>
    </row>
    <row r="6" spans="1:11" ht="15">
      <c r="A6" s="6431" t="s">
        <v>507</v>
      </c>
      <c r="B6" s="6419"/>
      <c r="C6" s="6419"/>
      <c r="D6" s="6419"/>
      <c r="E6" s="6419"/>
      <c r="F6" s="6419"/>
      <c r="G6" s="6419"/>
      <c r="H6" s="6419"/>
      <c r="I6" s="6419"/>
      <c r="J6" s="6419"/>
      <c r="K6" s="6429"/>
    </row>
    <row r="7" spans="1:11" ht="18.75">
      <c r="A7" s="826"/>
      <c r="B7" s="292"/>
      <c r="C7" s="292"/>
      <c r="D7" s="292"/>
      <c r="E7" s="292"/>
      <c r="F7" s="292"/>
      <c r="G7" s="292"/>
      <c r="H7" s="292"/>
      <c r="I7" s="292"/>
      <c r="J7" s="292"/>
      <c r="K7" s="824"/>
    </row>
    <row r="8" spans="1:11">
      <c r="A8" s="6422" t="s">
        <v>670</v>
      </c>
      <c r="B8" s="6419"/>
      <c r="C8" s="6419"/>
      <c r="D8" s="6419"/>
      <c r="E8" s="6419"/>
      <c r="F8" s="6419"/>
      <c r="G8" s="6419"/>
      <c r="H8" s="6419"/>
      <c r="I8" s="6419"/>
      <c r="J8" s="6419"/>
      <c r="K8" s="6429"/>
    </row>
    <row r="9" spans="1:11" ht="13.5">
      <c r="A9" s="845"/>
      <c r="B9" s="839"/>
      <c r="C9" s="292"/>
      <c r="D9" s="292"/>
      <c r="E9" s="292"/>
      <c r="F9" s="292"/>
      <c r="G9" s="292"/>
      <c r="H9" s="292"/>
      <c r="I9" s="292"/>
      <c r="J9" s="292"/>
      <c r="K9" s="824"/>
    </row>
    <row r="10" spans="1:11">
      <c r="A10" s="6422" t="s">
        <v>671</v>
      </c>
      <c r="B10" s="6419"/>
      <c r="C10" s="6419"/>
      <c r="D10" s="6424" t="s">
        <v>808</v>
      </c>
      <c r="E10" s="6419"/>
      <c r="F10" s="6419"/>
      <c r="G10" s="6419"/>
      <c r="H10" s="6419"/>
      <c r="I10" s="6419"/>
      <c r="J10" s="6419"/>
      <c r="K10" s="6429"/>
    </row>
    <row r="11" spans="1:11" ht="18.75">
      <c r="A11" s="826"/>
      <c r="B11" s="292"/>
      <c r="C11" s="292"/>
      <c r="D11" s="292"/>
      <c r="E11" s="292"/>
      <c r="F11" s="292"/>
      <c r="G11" s="292"/>
      <c r="H11" s="292"/>
      <c r="I11" s="292"/>
      <c r="J11" s="292"/>
      <c r="K11" s="824"/>
    </row>
    <row r="12" spans="1:11" ht="12.75" customHeight="1">
      <c r="A12" s="6418" t="s">
        <v>673</v>
      </c>
      <c r="B12" s="6419"/>
      <c r="C12" s="6419"/>
      <c r="D12" s="6419"/>
      <c r="E12" s="6419"/>
      <c r="F12" s="6419"/>
      <c r="G12" s="6420" t="s">
        <v>809</v>
      </c>
      <c r="H12" s="6421" t="s">
        <v>675</v>
      </c>
      <c r="I12" s="292"/>
      <c r="J12" s="292"/>
      <c r="K12" s="824"/>
    </row>
    <row r="13" spans="1:11">
      <c r="A13" s="6418"/>
      <c r="B13" s="6419"/>
      <c r="C13" s="6419"/>
      <c r="D13" s="6419"/>
      <c r="E13" s="6419"/>
      <c r="F13" s="6419"/>
      <c r="G13" s="6420"/>
      <c r="H13" s="6421"/>
      <c r="I13" s="292"/>
      <c r="J13" s="292"/>
      <c r="K13" s="824"/>
    </row>
    <row r="14" spans="1:11" ht="15" customHeight="1">
      <c r="A14" s="6422" t="s">
        <v>676</v>
      </c>
      <c r="B14" s="6419"/>
      <c r="C14" s="6419"/>
      <c r="D14" s="6419"/>
      <c r="E14" s="6419"/>
      <c r="F14" s="6419"/>
      <c r="G14" s="6423">
        <v>854</v>
      </c>
      <c r="H14" s="6424" t="s">
        <v>677</v>
      </c>
      <c r="I14" s="292"/>
      <c r="J14" s="292"/>
      <c r="K14" s="824"/>
    </row>
    <row r="15" spans="1:11">
      <c r="A15" s="6422"/>
      <c r="B15" s="6419"/>
      <c r="C15" s="6419"/>
      <c r="D15" s="6419"/>
      <c r="E15" s="6419"/>
      <c r="F15" s="6419"/>
      <c r="G15" s="6423"/>
      <c r="H15" s="6424"/>
      <c r="I15" s="292"/>
      <c r="J15" s="292"/>
      <c r="K15" s="824"/>
    </row>
    <row r="16" spans="1:11" ht="13.5" customHeight="1">
      <c r="A16" s="6422" t="s">
        <v>678</v>
      </c>
      <c r="B16" s="6419"/>
      <c r="C16" s="6419"/>
      <c r="D16" s="6419"/>
      <c r="E16" s="6419"/>
      <c r="F16" s="6419"/>
      <c r="G16" s="6423" t="s">
        <v>810</v>
      </c>
      <c r="H16" s="6424" t="s">
        <v>675</v>
      </c>
      <c r="I16" s="292"/>
      <c r="J16" s="292"/>
      <c r="K16" s="824"/>
    </row>
    <row r="17" spans="1:11" ht="3.75" customHeight="1">
      <c r="A17" s="6422"/>
      <c r="B17" s="6419"/>
      <c r="C17" s="6419"/>
      <c r="D17" s="6419"/>
      <c r="E17" s="6419"/>
      <c r="F17" s="6419"/>
      <c r="G17" s="6423"/>
      <c r="H17" s="6424"/>
      <c r="I17" s="292"/>
      <c r="J17" s="292"/>
      <c r="K17" s="824"/>
    </row>
    <row r="18" spans="1:11" ht="19.5" thickBot="1">
      <c r="A18" s="846" t="s">
        <v>250</v>
      </c>
      <c r="B18" s="292"/>
      <c r="C18" s="292"/>
      <c r="D18" s="292"/>
      <c r="E18" s="292"/>
      <c r="F18" s="292"/>
      <c r="G18" s="292"/>
      <c r="H18" s="292"/>
      <c r="I18" s="292"/>
      <c r="J18" s="292"/>
      <c r="K18" s="824"/>
    </row>
    <row r="19" spans="1:11" ht="13.5" thickBot="1">
      <c r="A19" s="681" t="s">
        <v>175</v>
      </c>
      <c r="B19" s="681" t="s">
        <v>457</v>
      </c>
      <c r="C19" s="681" t="s">
        <v>373</v>
      </c>
      <c r="D19" s="351"/>
      <c r="E19" s="6445" t="s">
        <v>458</v>
      </c>
      <c r="F19" s="6446"/>
      <c r="G19" s="6445" t="s">
        <v>459</v>
      </c>
      <c r="H19" s="6447"/>
      <c r="I19" s="6446"/>
      <c r="J19" s="6448" t="s">
        <v>460</v>
      </c>
      <c r="K19" s="6449"/>
    </row>
    <row r="20" spans="1:11" ht="13.5" thickBot="1">
      <c r="A20" s="354" t="s">
        <v>461</v>
      </c>
      <c r="B20" s="354" t="s">
        <v>462</v>
      </c>
      <c r="C20" s="354" t="s">
        <v>463</v>
      </c>
      <c r="D20" s="355" t="s">
        <v>464</v>
      </c>
      <c r="E20" s="683" t="s">
        <v>465</v>
      </c>
      <c r="F20" s="680" t="s">
        <v>466</v>
      </c>
      <c r="G20" s="354" t="s">
        <v>465</v>
      </c>
      <c r="H20" s="355" t="s">
        <v>467</v>
      </c>
      <c r="I20" s="357" t="s">
        <v>466</v>
      </c>
      <c r="J20" s="6433" t="s">
        <v>468</v>
      </c>
      <c r="K20" s="6434"/>
    </row>
    <row r="21" spans="1:11" ht="13.5" thickBot="1">
      <c r="A21" s="682"/>
      <c r="B21" s="682" t="s">
        <v>469</v>
      </c>
      <c r="C21" s="682"/>
      <c r="D21" s="359"/>
      <c r="E21" s="683" t="s">
        <v>467</v>
      </c>
      <c r="F21" s="357" t="s">
        <v>470</v>
      </c>
      <c r="G21" s="679"/>
      <c r="H21" s="360"/>
      <c r="I21" s="357" t="s">
        <v>470</v>
      </c>
      <c r="J21" s="682" t="s">
        <v>471</v>
      </c>
      <c r="K21" s="359" t="s">
        <v>465</v>
      </c>
    </row>
    <row r="22" spans="1:11" ht="13.5" thickBot="1">
      <c r="A22" s="830"/>
      <c r="B22" s="292"/>
      <c r="C22" s="292"/>
      <c r="D22" s="292"/>
      <c r="E22" s="292"/>
      <c r="F22" s="292"/>
      <c r="G22" s="292"/>
      <c r="H22" s="292"/>
      <c r="I22" s="292"/>
      <c r="J22" s="292"/>
      <c r="K22" s="824"/>
    </row>
    <row r="23" spans="1:11" ht="13.5" thickBot="1">
      <c r="A23" s="362">
        <v>1</v>
      </c>
      <c r="B23" s="363">
        <v>2</v>
      </c>
      <c r="C23" s="363">
        <v>3</v>
      </c>
      <c r="D23" s="363">
        <v>4</v>
      </c>
      <c r="E23" s="363">
        <v>5</v>
      </c>
      <c r="F23" s="363">
        <v>6</v>
      </c>
      <c r="G23" s="363">
        <v>7</v>
      </c>
      <c r="H23" s="363">
        <v>8</v>
      </c>
      <c r="I23" s="363">
        <v>9</v>
      </c>
      <c r="J23" s="363">
        <v>10</v>
      </c>
      <c r="K23" s="363">
        <v>11</v>
      </c>
    </row>
    <row r="24" spans="1:11" ht="13.5" thickBot="1">
      <c r="A24" s="816"/>
      <c r="B24" s="817"/>
      <c r="C24" s="817"/>
      <c r="D24" s="817"/>
      <c r="E24" s="817"/>
      <c r="F24" s="817"/>
      <c r="G24" s="817"/>
      <c r="H24" s="817"/>
      <c r="I24" s="817"/>
      <c r="J24" s="817"/>
      <c r="K24" s="817"/>
    </row>
    <row r="25" spans="1:11" ht="13.5" thickBot="1">
      <c r="A25" s="6435"/>
      <c r="B25" s="6436"/>
      <c r="C25" s="6436"/>
      <c r="D25" s="6436"/>
      <c r="E25" s="6436"/>
      <c r="F25" s="6436"/>
      <c r="G25" s="6436"/>
      <c r="H25" s="6436"/>
      <c r="I25" s="6436"/>
      <c r="J25" s="6436"/>
      <c r="K25" s="6437"/>
    </row>
    <row r="26" spans="1:11" ht="13.5" thickBot="1">
      <c r="A26" s="6438" t="s">
        <v>811</v>
      </c>
      <c r="B26" s="6439"/>
      <c r="C26" s="6439"/>
      <c r="D26" s="6439"/>
      <c r="E26" s="6439"/>
      <c r="F26" s="6439"/>
      <c r="G26" s="6439"/>
      <c r="H26" s="6439"/>
      <c r="I26" s="6439"/>
      <c r="J26" s="6439"/>
      <c r="K26" s="6440"/>
    </row>
    <row r="27" spans="1:11" ht="13.5" thickBot="1">
      <c r="A27" s="6435"/>
      <c r="B27" s="6436"/>
      <c r="C27" s="6436"/>
      <c r="D27" s="6436"/>
      <c r="E27" s="6436"/>
      <c r="F27" s="6436"/>
      <c r="G27" s="6436"/>
      <c r="H27" s="6436"/>
      <c r="I27" s="6436"/>
      <c r="J27" s="6436"/>
      <c r="K27" s="6437"/>
    </row>
    <row r="28" spans="1:11">
      <c r="A28" s="6441">
        <v>1</v>
      </c>
      <c r="B28" s="6443" t="s">
        <v>688</v>
      </c>
      <c r="C28" s="369" t="s">
        <v>752</v>
      </c>
      <c r="D28" s="370">
        <v>0.8</v>
      </c>
      <c r="E28" s="371">
        <v>21330.04</v>
      </c>
      <c r="F28" s="371">
        <v>21330.04</v>
      </c>
      <c r="G28" s="6441">
        <v>17064</v>
      </c>
      <c r="H28" s="6441">
        <v>0</v>
      </c>
      <c r="I28" s="371">
        <v>17064</v>
      </c>
      <c r="J28" s="371">
        <v>0</v>
      </c>
      <c r="K28" s="371">
        <v>0</v>
      </c>
    </row>
    <row r="29" spans="1:11" ht="34.5" customHeight="1" thickBot="1">
      <c r="A29" s="6442"/>
      <c r="B29" s="6444"/>
      <c r="C29" s="367" t="s">
        <v>812</v>
      </c>
      <c r="D29" s="368" t="s">
        <v>690</v>
      </c>
      <c r="E29" s="368">
        <v>0</v>
      </c>
      <c r="F29" s="368">
        <v>24389.57</v>
      </c>
      <c r="G29" s="6442"/>
      <c r="H29" s="6442"/>
      <c r="I29" s="368">
        <v>19512</v>
      </c>
      <c r="J29" s="368">
        <v>97.21</v>
      </c>
      <c r="K29" s="368">
        <v>77.77</v>
      </c>
    </row>
    <row r="30" spans="1:11" ht="22.5" customHeight="1">
      <c r="A30" s="6441">
        <v>2</v>
      </c>
      <c r="B30" s="6443" t="s">
        <v>762</v>
      </c>
      <c r="C30" s="369" t="s">
        <v>763</v>
      </c>
      <c r="D30" s="370">
        <v>20</v>
      </c>
      <c r="E30" s="371">
        <v>1300.8599999999999</v>
      </c>
      <c r="F30" s="371">
        <v>30.67</v>
      </c>
      <c r="G30" s="6441">
        <v>26017</v>
      </c>
      <c r="H30" s="6441">
        <v>25404</v>
      </c>
      <c r="I30" s="371">
        <v>613</v>
      </c>
      <c r="J30" s="371">
        <v>6.58</v>
      </c>
      <c r="K30" s="371">
        <v>131.6</v>
      </c>
    </row>
    <row r="31" spans="1:11" ht="33" customHeight="1" thickBot="1">
      <c r="A31" s="6442"/>
      <c r="B31" s="6444"/>
      <c r="C31" s="367" t="s">
        <v>812</v>
      </c>
      <c r="D31" s="368" t="s">
        <v>764</v>
      </c>
      <c r="E31" s="368">
        <v>1270.19</v>
      </c>
      <c r="F31" s="368">
        <v>0</v>
      </c>
      <c r="G31" s="6442"/>
      <c r="H31" s="6442"/>
      <c r="I31" s="368">
        <v>0</v>
      </c>
      <c r="J31" s="368">
        <v>0</v>
      </c>
      <c r="K31" s="368">
        <v>0</v>
      </c>
    </row>
    <row r="32" spans="1:11" ht="22.5" customHeight="1">
      <c r="A32" s="6441">
        <v>3</v>
      </c>
      <c r="B32" s="6443" t="s">
        <v>753</v>
      </c>
      <c r="C32" s="369" t="s">
        <v>754</v>
      </c>
      <c r="D32" s="370">
        <v>0.2</v>
      </c>
      <c r="E32" s="371">
        <v>115674.66</v>
      </c>
      <c r="F32" s="371">
        <v>55153.06</v>
      </c>
      <c r="G32" s="6441">
        <v>23135</v>
      </c>
      <c r="H32" s="6441">
        <v>12104</v>
      </c>
      <c r="I32" s="371">
        <v>11031</v>
      </c>
      <c r="J32" s="371">
        <v>292.02</v>
      </c>
      <c r="K32" s="371">
        <v>58.4</v>
      </c>
    </row>
    <row r="33" spans="1:11" ht="33.75" customHeight="1">
      <c r="A33" s="6466"/>
      <c r="B33" s="6467"/>
      <c r="C33" s="369" t="s">
        <v>511</v>
      </c>
      <c r="D33" s="371" t="s">
        <v>756</v>
      </c>
      <c r="E33" s="371">
        <v>60521.599999999999</v>
      </c>
      <c r="F33" s="371">
        <v>12684.38</v>
      </c>
      <c r="G33" s="6466"/>
      <c r="H33" s="6466"/>
      <c r="I33" s="371">
        <v>2537</v>
      </c>
      <c r="J33" s="371">
        <v>49.67</v>
      </c>
      <c r="K33" s="371">
        <v>9.93</v>
      </c>
    </row>
    <row r="34" spans="1:11" ht="33.75" customHeight="1" thickBot="1">
      <c r="A34" s="6442"/>
      <c r="B34" s="6444"/>
      <c r="C34" s="367" t="s">
        <v>813</v>
      </c>
      <c r="D34" s="372"/>
      <c r="E34" s="372"/>
      <c r="F34" s="372"/>
      <c r="G34" s="6442"/>
      <c r="H34" s="6442"/>
      <c r="I34" s="372"/>
      <c r="J34" s="372"/>
      <c r="K34" s="372"/>
    </row>
    <row r="35" spans="1:11" ht="10.5" customHeight="1">
      <c r="A35" s="6441">
        <v>4</v>
      </c>
      <c r="B35" s="6443" t="s">
        <v>757</v>
      </c>
      <c r="C35" s="369" t="s">
        <v>758</v>
      </c>
      <c r="D35" s="370">
        <v>20</v>
      </c>
      <c r="E35" s="371">
        <v>534.51</v>
      </c>
      <c r="F35" s="371">
        <v>0</v>
      </c>
      <c r="G35" s="6441">
        <v>10690</v>
      </c>
      <c r="H35" s="6441">
        <v>10690</v>
      </c>
      <c r="I35" s="371">
        <v>0</v>
      </c>
      <c r="J35" s="371">
        <v>2.72</v>
      </c>
      <c r="K35" s="371">
        <v>54.48</v>
      </c>
    </row>
    <row r="36" spans="1:11" ht="10.5" customHeight="1">
      <c r="A36" s="6466"/>
      <c r="B36" s="6467"/>
      <c r="C36" s="369" t="s">
        <v>511</v>
      </c>
      <c r="D36" s="371" t="s">
        <v>475</v>
      </c>
      <c r="E36" s="371">
        <v>534.51</v>
      </c>
      <c r="F36" s="371">
        <v>0</v>
      </c>
      <c r="G36" s="6466"/>
      <c r="H36" s="6466"/>
      <c r="I36" s="371">
        <v>0</v>
      </c>
      <c r="J36" s="371">
        <v>0</v>
      </c>
      <c r="K36" s="371">
        <v>0</v>
      </c>
    </row>
    <row r="37" spans="1:11" ht="33.75" customHeight="1" thickBot="1">
      <c r="A37" s="6442"/>
      <c r="B37" s="6444"/>
      <c r="C37" s="367" t="s">
        <v>813</v>
      </c>
      <c r="D37" s="372"/>
      <c r="E37" s="372"/>
      <c r="F37" s="372"/>
      <c r="G37" s="6442"/>
      <c r="H37" s="6442"/>
      <c r="I37" s="372"/>
      <c r="J37" s="372"/>
      <c r="K37" s="372"/>
    </row>
    <row r="38" spans="1:11" ht="10.5" customHeight="1">
      <c r="A38" s="6441">
        <v>5</v>
      </c>
      <c r="B38" s="6443" t="s">
        <v>759</v>
      </c>
      <c r="C38" s="369" t="s">
        <v>760</v>
      </c>
      <c r="D38" s="370">
        <v>12</v>
      </c>
      <c r="E38" s="371">
        <v>352.65</v>
      </c>
      <c r="F38" s="371">
        <v>70.33</v>
      </c>
      <c r="G38" s="6441">
        <v>4232</v>
      </c>
      <c r="H38" s="6441">
        <v>3388</v>
      </c>
      <c r="I38" s="371">
        <v>844</v>
      </c>
      <c r="J38" s="371">
        <v>1.31</v>
      </c>
      <c r="K38" s="371">
        <v>15.72</v>
      </c>
    </row>
    <row r="39" spans="1:11" ht="33" customHeight="1" thickBot="1">
      <c r="A39" s="6442"/>
      <c r="B39" s="6444"/>
      <c r="C39" s="367" t="s">
        <v>812</v>
      </c>
      <c r="D39" s="368" t="s">
        <v>761</v>
      </c>
      <c r="E39" s="368">
        <v>282.32</v>
      </c>
      <c r="F39" s="368">
        <v>0</v>
      </c>
      <c r="G39" s="6442"/>
      <c r="H39" s="6442"/>
      <c r="I39" s="368">
        <v>0</v>
      </c>
      <c r="J39" s="368">
        <v>7.0000000000000007E-2</v>
      </c>
      <c r="K39" s="368">
        <v>0.84</v>
      </c>
    </row>
    <row r="40" spans="1:11" ht="9.75" customHeight="1">
      <c r="A40" s="6441">
        <v>6</v>
      </c>
      <c r="B40" s="6443" t="s">
        <v>472</v>
      </c>
      <c r="C40" s="369" t="s">
        <v>473</v>
      </c>
      <c r="D40" s="370">
        <v>8</v>
      </c>
      <c r="E40" s="371">
        <v>7190.9</v>
      </c>
      <c r="F40" s="371">
        <v>100.54</v>
      </c>
      <c r="G40" s="6441">
        <v>57527</v>
      </c>
      <c r="H40" s="6441">
        <v>7709</v>
      </c>
      <c r="I40" s="371">
        <v>804</v>
      </c>
      <c r="J40" s="371">
        <v>4.53</v>
      </c>
      <c r="K40" s="371">
        <v>36.24</v>
      </c>
    </row>
    <row r="41" spans="1:11" ht="34.5" customHeight="1" thickBot="1">
      <c r="A41" s="6442"/>
      <c r="B41" s="6444"/>
      <c r="C41" s="367" t="s">
        <v>812</v>
      </c>
      <c r="D41" s="368" t="s">
        <v>475</v>
      </c>
      <c r="E41" s="368">
        <v>963.68</v>
      </c>
      <c r="F41" s="368">
        <v>0</v>
      </c>
      <c r="G41" s="6442"/>
      <c r="H41" s="6442"/>
      <c r="I41" s="368">
        <v>0</v>
      </c>
      <c r="J41" s="368">
        <v>0.1</v>
      </c>
      <c r="K41" s="368">
        <v>0.8</v>
      </c>
    </row>
    <row r="42" spans="1:11" ht="23.25" customHeight="1">
      <c r="A42" s="6441">
        <v>7</v>
      </c>
      <c r="B42" s="6443" t="s">
        <v>509</v>
      </c>
      <c r="C42" s="369" t="s">
        <v>510</v>
      </c>
      <c r="D42" s="370">
        <v>0.5</v>
      </c>
      <c r="E42" s="371">
        <v>87722.08</v>
      </c>
      <c r="F42" s="371">
        <v>9577.9699999999993</v>
      </c>
      <c r="G42" s="6441">
        <v>43861</v>
      </c>
      <c r="H42" s="6441">
        <v>9936</v>
      </c>
      <c r="I42" s="371">
        <v>4789</v>
      </c>
      <c r="J42" s="371">
        <v>95.88</v>
      </c>
      <c r="K42" s="371">
        <v>47.94</v>
      </c>
    </row>
    <row r="43" spans="1:11" ht="10.5" customHeight="1">
      <c r="A43" s="6466"/>
      <c r="B43" s="6467"/>
      <c r="C43" s="369" t="s">
        <v>511</v>
      </c>
      <c r="D43" s="371" t="s">
        <v>512</v>
      </c>
      <c r="E43" s="371">
        <v>19871.29</v>
      </c>
      <c r="F43" s="371">
        <v>2421.77</v>
      </c>
      <c r="G43" s="6466"/>
      <c r="H43" s="6466"/>
      <c r="I43" s="371">
        <v>1211</v>
      </c>
      <c r="J43" s="371">
        <v>7.81</v>
      </c>
      <c r="K43" s="371">
        <v>3.91</v>
      </c>
    </row>
    <row r="44" spans="1:11" ht="32.25" customHeight="1" thickBot="1">
      <c r="A44" s="6442"/>
      <c r="B44" s="6444"/>
      <c r="C44" s="367" t="s">
        <v>813</v>
      </c>
      <c r="D44" s="372"/>
      <c r="E44" s="372"/>
      <c r="F44" s="372"/>
      <c r="G44" s="6442"/>
      <c r="H44" s="6442"/>
      <c r="I44" s="372"/>
      <c r="J44" s="372"/>
      <c r="K44" s="372"/>
    </row>
    <row r="45" spans="1:11" ht="10.5" customHeight="1">
      <c r="A45" s="6441">
        <v>8</v>
      </c>
      <c r="B45" s="6443" t="s">
        <v>514</v>
      </c>
      <c r="C45" s="369" t="s">
        <v>515</v>
      </c>
      <c r="D45" s="370">
        <v>3.5</v>
      </c>
      <c r="E45" s="371">
        <v>14398.96</v>
      </c>
      <c r="F45" s="371">
        <v>341.17</v>
      </c>
      <c r="G45" s="6441">
        <v>50396</v>
      </c>
      <c r="H45" s="6441">
        <v>27253</v>
      </c>
      <c r="I45" s="371">
        <v>1194</v>
      </c>
      <c r="J45" s="371">
        <v>38.93</v>
      </c>
      <c r="K45" s="371">
        <v>136.25</v>
      </c>
    </row>
    <row r="46" spans="1:11" ht="12.75" customHeight="1">
      <c r="A46" s="6466"/>
      <c r="B46" s="6467"/>
      <c r="C46" s="369" t="s">
        <v>516</v>
      </c>
      <c r="D46" s="371" t="s">
        <v>517</v>
      </c>
      <c r="E46" s="371">
        <v>7786.59</v>
      </c>
      <c r="F46" s="371">
        <v>133.93</v>
      </c>
      <c r="G46" s="6466"/>
      <c r="H46" s="6466"/>
      <c r="I46" s="371">
        <v>469</v>
      </c>
      <c r="J46" s="371">
        <v>0.43</v>
      </c>
      <c r="K46" s="371">
        <v>1.51</v>
      </c>
    </row>
    <row r="47" spans="1:11" ht="32.25" customHeight="1" thickBot="1">
      <c r="A47" s="6442"/>
      <c r="B47" s="6444"/>
      <c r="C47" s="367" t="s">
        <v>813</v>
      </c>
      <c r="D47" s="372"/>
      <c r="E47" s="372"/>
      <c r="F47" s="372"/>
      <c r="G47" s="6442"/>
      <c r="H47" s="6442"/>
      <c r="I47" s="372"/>
      <c r="J47" s="372"/>
      <c r="K47" s="372"/>
    </row>
    <row r="48" spans="1:11" ht="11.25" customHeight="1">
      <c r="A48" s="6441">
        <v>9</v>
      </c>
      <c r="B48" s="6443" t="s">
        <v>518</v>
      </c>
      <c r="C48" s="369" t="s">
        <v>519</v>
      </c>
      <c r="D48" s="370">
        <v>2.5</v>
      </c>
      <c r="E48" s="371">
        <v>17601.82</v>
      </c>
      <c r="F48" s="371">
        <v>60.3</v>
      </c>
      <c r="G48" s="6441">
        <v>44005</v>
      </c>
      <c r="H48" s="6441">
        <v>18429</v>
      </c>
      <c r="I48" s="371">
        <v>151</v>
      </c>
      <c r="J48" s="371">
        <v>34.65</v>
      </c>
      <c r="K48" s="371">
        <v>86.63</v>
      </c>
    </row>
    <row r="49" spans="1:11" ht="12.75" customHeight="1">
      <c r="A49" s="6466"/>
      <c r="B49" s="6467"/>
      <c r="C49" s="369" t="s">
        <v>516</v>
      </c>
      <c r="D49" s="371" t="s">
        <v>512</v>
      </c>
      <c r="E49" s="371">
        <v>7371.52</v>
      </c>
      <c r="F49" s="371">
        <v>0</v>
      </c>
      <c r="G49" s="6466"/>
      <c r="H49" s="6466"/>
      <c r="I49" s="371">
        <v>0</v>
      </c>
      <c r="J49" s="371">
        <v>0.06</v>
      </c>
      <c r="K49" s="371">
        <v>0.15</v>
      </c>
    </row>
    <row r="50" spans="1:11" ht="33.75" customHeight="1" thickBot="1">
      <c r="A50" s="6442"/>
      <c r="B50" s="6444"/>
      <c r="C50" s="367" t="s">
        <v>813</v>
      </c>
      <c r="D50" s="372"/>
      <c r="E50" s="372"/>
      <c r="F50" s="372"/>
      <c r="G50" s="6442"/>
      <c r="H50" s="6442"/>
      <c r="I50" s="372"/>
      <c r="J50" s="372"/>
      <c r="K50" s="372"/>
    </row>
    <row r="51" spans="1:11" ht="24.75" customHeight="1">
      <c r="A51" s="6441">
        <v>10</v>
      </c>
      <c r="B51" s="6443" t="s">
        <v>520</v>
      </c>
      <c r="C51" s="369" t="s">
        <v>521</v>
      </c>
      <c r="D51" s="370">
        <v>2.2000000000000002</v>
      </c>
      <c r="E51" s="371">
        <v>182869.16</v>
      </c>
      <c r="F51" s="371">
        <v>149723.85</v>
      </c>
      <c r="G51" s="6441">
        <v>402312</v>
      </c>
      <c r="H51" s="6441">
        <v>69900</v>
      </c>
      <c r="I51" s="371">
        <v>329392</v>
      </c>
      <c r="J51" s="371">
        <v>130.53</v>
      </c>
      <c r="K51" s="371">
        <v>287.17</v>
      </c>
    </row>
    <row r="52" spans="1:11" ht="33.75" customHeight="1" thickBot="1">
      <c r="A52" s="6442"/>
      <c r="B52" s="6444"/>
      <c r="C52" s="367" t="s">
        <v>812</v>
      </c>
      <c r="D52" s="368" t="s">
        <v>522</v>
      </c>
      <c r="E52" s="368">
        <v>31772.81</v>
      </c>
      <c r="F52" s="368">
        <v>10028.870000000001</v>
      </c>
      <c r="G52" s="6442"/>
      <c r="H52" s="6442"/>
      <c r="I52" s="368">
        <v>22064</v>
      </c>
      <c r="J52" s="368">
        <v>47.81</v>
      </c>
      <c r="K52" s="368">
        <v>105.18</v>
      </c>
    </row>
    <row r="53" spans="1:11" ht="13.5" thickBot="1">
      <c r="A53" s="6435"/>
      <c r="B53" s="6436"/>
      <c r="C53" s="6436"/>
      <c r="D53" s="6436"/>
      <c r="E53" s="6436"/>
      <c r="F53" s="6436"/>
      <c r="G53" s="6436"/>
      <c r="H53" s="6436"/>
      <c r="I53" s="6436"/>
      <c r="J53" s="6436"/>
      <c r="K53" s="6437"/>
    </row>
    <row r="54" spans="1:11">
      <c r="A54" s="6450" t="s">
        <v>708</v>
      </c>
      <c r="B54" s="6451"/>
      <c r="C54" s="6451"/>
      <c r="D54" s="6451"/>
      <c r="E54" s="6451"/>
      <c r="F54" s="6454"/>
      <c r="G54" s="6454">
        <v>679239</v>
      </c>
      <c r="H54" s="6454">
        <v>184813</v>
      </c>
      <c r="I54" s="831">
        <v>365882</v>
      </c>
      <c r="J54" s="6454"/>
      <c r="K54" s="371">
        <v>854.43</v>
      </c>
    </row>
    <row r="55" spans="1:11" ht="13.5" thickBot="1">
      <c r="A55" s="6452"/>
      <c r="B55" s="6453"/>
      <c r="C55" s="6453"/>
      <c r="D55" s="6453"/>
      <c r="E55" s="6453"/>
      <c r="F55" s="6455"/>
      <c r="G55" s="6455"/>
      <c r="H55" s="6455"/>
      <c r="I55" s="821">
        <v>45793</v>
      </c>
      <c r="J55" s="6455"/>
      <c r="K55" s="368">
        <v>200.08</v>
      </c>
    </row>
    <row r="56" spans="1:11" ht="13.5" thickBot="1">
      <c r="A56" s="6435"/>
      <c r="B56" s="6436"/>
      <c r="C56" s="6436"/>
      <c r="D56" s="6436"/>
      <c r="E56" s="6436"/>
      <c r="F56" s="6436"/>
      <c r="G56" s="6436"/>
      <c r="H56" s="6436"/>
      <c r="I56" s="6436"/>
      <c r="J56" s="6436"/>
      <c r="K56" s="6437"/>
    </row>
    <row r="57" spans="1:11">
      <c r="A57" s="6450" t="s">
        <v>709</v>
      </c>
      <c r="B57" s="6451"/>
      <c r="C57" s="6451"/>
      <c r="D57" s="6451"/>
      <c r="E57" s="6451"/>
      <c r="F57" s="6454"/>
      <c r="G57" s="6454">
        <v>679239</v>
      </c>
      <c r="H57" s="6454">
        <v>184813</v>
      </c>
      <c r="I57" s="831">
        <v>365882</v>
      </c>
      <c r="J57" s="6454"/>
      <c r="K57" s="371">
        <v>854.43</v>
      </c>
    </row>
    <row r="58" spans="1:11" ht="13.5" thickBot="1">
      <c r="A58" s="6452"/>
      <c r="B58" s="6453"/>
      <c r="C58" s="6453"/>
      <c r="D58" s="6453"/>
      <c r="E58" s="6453"/>
      <c r="F58" s="6455"/>
      <c r="G58" s="6455"/>
      <c r="H58" s="6455"/>
      <c r="I58" s="821">
        <v>45793</v>
      </c>
      <c r="J58" s="6455"/>
      <c r="K58" s="368">
        <v>200.08</v>
      </c>
    </row>
    <row r="59" spans="1:11" ht="13.5" thickBot="1">
      <c r="A59" s="816"/>
      <c r="B59" s="817"/>
      <c r="C59" s="817"/>
      <c r="D59" s="817"/>
      <c r="E59" s="817"/>
      <c r="F59" s="817"/>
      <c r="G59" s="817"/>
      <c r="H59" s="817"/>
      <c r="I59" s="817"/>
      <c r="J59" s="817"/>
      <c r="K59" s="817"/>
    </row>
    <row r="60" spans="1:11">
      <c r="A60" s="847"/>
      <c r="B60" s="292"/>
      <c r="C60" s="292"/>
      <c r="D60" s="292"/>
      <c r="E60" s="292"/>
      <c r="F60" s="292"/>
      <c r="G60" s="292"/>
      <c r="H60" s="292"/>
      <c r="I60" s="292"/>
      <c r="J60" s="292"/>
      <c r="K60" s="824"/>
    </row>
    <row r="61" spans="1:11">
      <c r="A61" s="833"/>
      <c r="B61" s="292"/>
      <c r="C61" s="292"/>
      <c r="D61" s="292"/>
      <c r="E61" s="292"/>
      <c r="F61" s="292"/>
      <c r="G61" s="292"/>
      <c r="H61" s="292"/>
      <c r="I61" s="292"/>
      <c r="J61" s="292"/>
      <c r="K61" s="824"/>
    </row>
    <row r="62" spans="1:11">
      <c r="A62" s="833"/>
      <c r="B62" s="292"/>
      <c r="C62" s="6458" t="s">
        <v>710</v>
      </c>
      <c r="D62" s="6419"/>
      <c r="E62" s="6419"/>
      <c r="F62" s="6419"/>
      <c r="G62" s="6419"/>
      <c r="H62" s="6419"/>
      <c r="I62" s="6458" t="s">
        <v>711</v>
      </c>
      <c r="J62" s="6458" t="s">
        <v>712</v>
      </c>
      <c r="K62" s="369" t="s">
        <v>577</v>
      </c>
    </row>
    <row r="63" spans="1:11">
      <c r="A63" s="833"/>
      <c r="B63" s="292"/>
      <c r="C63" s="6458"/>
      <c r="D63" s="6419"/>
      <c r="E63" s="6419"/>
      <c r="F63" s="6419"/>
      <c r="G63" s="6419"/>
      <c r="H63" s="6419"/>
      <c r="I63" s="6458"/>
      <c r="J63" s="6458"/>
      <c r="K63" s="369" t="s">
        <v>713</v>
      </c>
    </row>
    <row r="64" spans="1:11" ht="13.5" thickBot="1">
      <c r="A64" s="833"/>
      <c r="B64" s="292"/>
      <c r="C64" s="822"/>
      <c r="D64" s="822"/>
      <c r="E64" s="822"/>
      <c r="F64" s="822"/>
      <c r="G64" s="292"/>
      <c r="H64" s="292"/>
      <c r="I64" s="822"/>
      <c r="J64" s="822"/>
      <c r="K64" s="367"/>
    </row>
    <row r="65" spans="1:11" ht="13.5" thickBot="1">
      <c r="A65" s="833"/>
      <c r="B65" s="292"/>
      <c r="C65" s="6458" t="s">
        <v>54</v>
      </c>
      <c r="D65" s="6419"/>
      <c r="E65" s="6419"/>
      <c r="F65" s="6419"/>
      <c r="G65" s="6419"/>
      <c r="H65" s="6419"/>
      <c r="I65" s="821"/>
      <c r="J65" s="821"/>
      <c r="K65" s="368" t="s">
        <v>814</v>
      </c>
    </row>
    <row r="66" spans="1:11" ht="13.5" thickBot="1">
      <c r="A66" s="833"/>
      <c r="B66" s="292"/>
      <c r="C66" s="6458" t="s">
        <v>719</v>
      </c>
      <c r="D66" s="6419"/>
      <c r="E66" s="6419"/>
      <c r="F66" s="6419"/>
      <c r="G66" s="6419"/>
      <c r="H66" s="6419"/>
      <c r="I66" s="821">
        <v>0.6</v>
      </c>
      <c r="J66" s="821">
        <v>71</v>
      </c>
      <c r="K66" s="368" t="s">
        <v>773</v>
      </c>
    </row>
    <row r="67" spans="1:11" ht="13.5" thickBot="1">
      <c r="A67" s="833"/>
      <c r="B67" s="292"/>
      <c r="C67" s="6458" t="s">
        <v>782</v>
      </c>
      <c r="D67" s="6419"/>
      <c r="E67" s="6419"/>
      <c r="F67" s="6419"/>
      <c r="G67" s="6419"/>
      <c r="H67" s="6419"/>
      <c r="I67" s="821">
        <v>0.7</v>
      </c>
      <c r="J67" s="821">
        <v>66</v>
      </c>
      <c r="K67" s="368" t="s">
        <v>783</v>
      </c>
    </row>
    <row r="68" spans="1:11" ht="13.5" thickBot="1">
      <c r="A68" s="833"/>
      <c r="B68" s="292"/>
      <c r="C68" s="6458" t="s">
        <v>774</v>
      </c>
      <c r="D68" s="6419"/>
      <c r="E68" s="6419"/>
      <c r="F68" s="6419"/>
      <c r="G68" s="6419"/>
      <c r="H68" s="6419"/>
      <c r="I68" s="821">
        <v>0.6</v>
      </c>
      <c r="J68" s="821">
        <v>93</v>
      </c>
      <c r="K68" s="368" t="s">
        <v>815</v>
      </c>
    </row>
    <row r="69" spans="1:11" ht="13.5" thickBot="1">
      <c r="A69" s="833"/>
      <c r="B69" s="292"/>
      <c r="C69" s="6458" t="s">
        <v>723</v>
      </c>
      <c r="D69" s="6419"/>
      <c r="E69" s="6419"/>
      <c r="F69" s="6419"/>
      <c r="G69" s="6419"/>
      <c r="H69" s="6419"/>
      <c r="I69" s="821">
        <v>0.6</v>
      </c>
      <c r="J69" s="821">
        <v>92</v>
      </c>
      <c r="K69" s="368" t="s">
        <v>816</v>
      </c>
    </row>
    <row r="70" spans="1:11" ht="13.5" thickBot="1">
      <c r="A70" s="833"/>
      <c r="B70" s="292"/>
      <c r="C70" s="6458" t="s">
        <v>721</v>
      </c>
      <c r="D70" s="6419"/>
      <c r="E70" s="6419"/>
      <c r="F70" s="6419"/>
      <c r="G70" s="6419"/>
      <c r="H70" s="6419"/>
      <c r="I70" s="821">
        <v>0.6</v>
      </c>
      <c r="J70" s="821">
        <v>116</v>
      </c>
      <c r="K70" s="368" t="s">
        <v>817</v>
      </c>
    </row>
    <row r="71" spans="1:11" ht="13.5" thickBot="1">
      <c r="A71" s="833"/>
      <c r="B71" s="292"/>
      <c r="C71" s="6458" t="s">
        <v>778</v>
      </c>
      <c r="D71" s="6419"/>
      <c r="E71" s="6419"/>
      <c r="F71" s="6419"/>
      <c r="G71" s="6419"/>
      <c r="H71" s="6419"/>
      <c r="I71" s="821">
        <v>0.6</v>
      </c>
      <c r="J71" s="821">
        <v>77</v>
      </c>
      <c r="K71" s="368" t="s">
        <v>818</v>
      </c>
    </row>
    <row r="72" spans="1:11" ht="13.5" thickBot="1">
      <c r="A72" s="833"/>
      <c r="B72" s="292"/>
      <c r="C72" s="6458" t="s">
        <v>780</v>
      </c>
      <c r="D72" s="6419"/>
      <c r="E72" s="6419"/>
      <c r="F72" s="6419"/>
      <c r="G72" s="6419"/>
      <c r="H72" s="6419"/>
      <c r="I72" s="821">
        <v>0.6</v>
      </c>
      <c r="J72" s="821">
        <v>83</v>
      </c>
      <c r="K72" s="368" t="s">
        <v>819</v>
      </c>
    </row>
    <row r="73" spans="1:11" ht="13.5" thickBot="1">
      <c r="A73" s="833"/>
      <c r="B73" s="292"/>
      <c r="C73" s="6458" t="s">
        <v>725</v>
      </c>
      <c r="D73" s="6419"/>
      <c r="E73" s="6419"/>
      <c r="F73" s="6419"/>
      <c r="G73" s="6419"/>
      <c r="H73" s="6419"/>
      <c r="I73" s="821"/>
      <c r="J73" s="821"/>
      <c r="K73" s="368" t="s">
        <v>820</v>
      </c>
    </row>
    <row r="74" spans="1:11" ht="13.5" thickBot="1">
      <c r="A74" s="833"/>
      <c r="B74" s="292"/>
      <c r="C74" s="6458" t="s">
        <v>54</v>
      </c>
      <c r="D74" s="6419"/>
      <c r="E74" s="6419"/>
      <c r="F74" s="6419"/>
      <c r="G74" s="6419"/>
      <c r="H74" s="6419"/>
      <c r="I74" s="821"/>
      <c r="J74" s="821"/>
      <c r="K74" s="368" t="s">
        <v>821</v>
      </c>
    </row>
    <row r="75" spans="1:11" ht="13.5" thickBot="1">
      <c r="A75" s="833"/>
      <c r="B75" s="292"/>
      <c r="C75" s="6458" t="s">
        <v>732</v>
      </c>
      <c r="D75" s="6419"/>
      <c r="E75" s="6419"/>
      <c r="F75" s="6419"/>
      <c r="G75" s="6419"/>
      <c r="H75" s="6419"/>
      <c r="I75" s="821"/>
      <c r="J75" s="821">
        <v>36</v>
      </c>
      <c r="K75" s="368" t="s">
        <v>788</v>
      </c>
    </row>
    <row r="76" spans="1:11" ht="13.5" thickBot="1">
      <c r="A76" s="833"/>
      <c r="B76" s="292"/>
      <c r="C76" s="6458" t="s">
        <v>797</v>
      </c>
      <c r="D76" s="6419"/>
      <c r="E76" s="6419"/>
      <c r="F76" s="6419"/>
      <c r="G76" s="6419"/>
      <c r="H76" s="6419"/>
      <c r="I76" s="821"/>
      <c r="J76" s="821">
        <v>40</v>
      </c>
      <c r="K76" s="368" t="s">
        <v>798</v>
      </c>
    </row>
    <row r="77" spans="1:11" ht="13.5" thickBot="1">
      <c r="A77" s="833"/>
      <c r="B77" s="292"/>
      <c r="C77" s="6458" t="s">
        <v>789</v>
      </c>
      <c r="D77" s="6419"/>
      <c r="E77" s="6419"/>
      <c r="F77" s="6419"/>
      <c r="G77" s="6419"/>
      <c r="H77" s="6419"/>
      <c r="I77" s="821"/>
      <c r="J77" s="821">
        <v>48</v>
      </c>
      <c r="K77" s="368" t="s">
        <v>822</v>
      </c>
    </row>
    <row r="78" spans="1:11" ht="13.5" thickBot="1">
      <c r="A78" s="833"/>
      <c r="B78" s="292"/>
      <c r="C78" s="6458" t="s">
        <v>736</v>
      </c>
      <c r="D78" s="6419"/>
      <c r="E78" s="6419"/>
      <c r="F78" s="6419"/>
      <c r="G78" s="6419"/>
      <c r="H78" s="6419"/>
      <c r="I78" s="821"/>
      <c r="J78" s="821">
        <v>54</v>
      </c>
      <c r="K78" s="368" t="s">
        <v>823</v>
      </c>
    </row>
    <row r="79" spans="1:11" ht="13.5" thickBot="1">
      <c r="A79" s="833"/>
      <c r="B79" s="292"/>
      <c r="C79" s="6458" t="s">
        <v>734</v>
      </c>
      <c r="D79" s="6419"/>
      <c r="E79" s="6419"/>
      <c r="F79" s="6419"/>
      <c r="G79" s="6419"/>
      <c r="H79" s="6419"/>
      <c r="I79" s="821"/>
      <c r="J79" s="821">
        <v>61</v>
      </c>
      <c r="K79" s="368" t="s">
        <v>824</v>
      </c>
    </row>
    <row r="80" spans="1:11" ht="13.5" thickBot="1">
      <c r="A80" s="833"/>
      <c r="B80" s="292"/>
      <c r="C80" s="6458" t="s">
        <v>793</v>
      </c>
      <c r="D80" s="6419"/>
      <c r="E80" s="6419"/>
      <c r="F80" s="6419"/>
      <c r="G80" s="6419"/>
      <c r="H80" s="6419"/>
      <c r="I80" s="821"/>
      <c r="J80" s="821">
        <v>56</v>
      </c>
      <c r="K80" s="368" t="s">
        <v>825</v>
      </c>
    </row>
    <row r="81" spans="1:11" ht="13.5" thickBot="1">
      <c r="A81" s="833"/>
      <c r="B81" s="292"/>
      <c r="C81" s="6458" t="s">
        <v>795</v>
      </c>
      <c r="D81" s="6419"/>
      <c r="E81" s="6419"/>
      <c r="F81" s="6419"/>
      <c r="G81" s="6419"/>
      <c r="H81" s="6419"/>
      <c r="I81" s="821"/>
      <c r="J81" s="821">
        <v>60</v>
      </c>
      <c r="K81" s="368" t="s">
        <v>826</v>
      </c>
    </row>
    <row r="82" spans="1:11" ht="13.5" thickBot="1">
      <c r="A82" s="833"/>
      <c r="B82" s="292"/>
      <c r="C82" s="6458" t="s">
        <v>738</v>
      </c>
      <c r="D82" s="6419"/>
      <c r="E82" s="6419"/>
      <c r="F82" s="6419"/>
      <c r="G82" s="6419"/>
      <c r="H82" s="6419"/>
      <c r="I82" s="821"/>
      <c r="J82" s="821"/>
      <c r="K82" s="368" t="s">
        <v>827</v>
      </c>
    </row>
    <row r="83" spans="1:11" ht="13.5" thickBot="1">
      <c r="A83" s="833"/>
      <c r="B83" s="292"/>
      <c r="C83" s="6458" t="s">
        <v>54</v>
      </c>
      <c r="D83" s="6419"/>
      <c r="E83" s="6419"/>
      <c r="F83" s="6419"/>
      <c r="G83" s="6419"/>
      <c r="H83" s="6419"/>
      <c r="I83" s="821"/>
      <c r="J83" s="821"/>
      <c r="K83" s="368" t="s">
        <v>828</v>
      </c>
    </row>
    <row r="84" spans="1:11" ht="13.5" thickBot="1">
      <c r="A84" s="833"/>
      <c r="B84" s="292"/>
      <c r="C84" s="6458" t="s">
        <v>293</v>
      </c>
      <c r="D84" s="6419"/>
      <c r="E84" s="6419"/>
      <c r="F84" s="6419"/>
      <c r="G84" s="6419"/>
      <c r="H84" s="6419"/>
      <c r="I84" s="821"/>
      <c r="J84" s="821"/>
      <c r="K84" s="368" t="s">
        <v>828</v>
      </c>
    </row>
    <row r="85" spans="1:11" ht="13.5" thickBot="1">
      <c r="A85" s="833"/>
      <c r="B85" s="292"/>
      <c r="C85" s="6458" t="s">
        <v>741</v>
      </c>
      <c r="D85" s="6419"/>
      <c r="E85" s="6419"/>
      <c r="F85" s="6419"/>
      <c r="G85" s="6419"/>
      <c r="H85" s="6419"/>
      <c r="I85" s="821"/>
      <c r="J85" s="821">
        <v>18</v>
      </c>
      <c r="K85" s="368" t="s">
        <v>829</v>
      </c>
    </row>
    <row r="86" spans="1:11" ht="13.5" thickBot="1">
      <c r="A86" s="833"/>
      <c r="B86" s="292"/>
      <c r="C86" s="6458" t="s">
        <v>293</v>
      </c>
      <c r="D86" s="6419"/>
      <c r="E86" s="6419"/>
      <c r="F86" s="6419"/>
      <c r="G86" s="6419"/>
      <c r="H86" s="6419"/>
      <c r="I86" s="821"/>
      <c r="J86" s="821"/>
      <c r="K86" s="368" t="s">
        <v>809</v>
      </c>
    </row>
    <row r="87" spans="1:11" ht="13.5" thickBot="1">
      <c r="A87" s="820"/>
      <c r="B87" s="819"/>
      <c r="C87" s="6453" t="s">
        <v>743</v>
      </c>
      <c r="D87" s="6459"/>
      <c r="E87" s="6459"/>
      <c r="F87" s="6459"/>
      <c r="G87" s="6459"/>
      <c r="H87" s="6459"/>
      <c r="I87" s="821"/>
      <c r="J87" s="821"/>
      <c r="K87" s="368" t="s">
        <v>809</v>
      </c>
    </row>
    <row r="88" spans="1:11" ht="15.75">
      <c r="A88" s="848" t="s">
        <v>830</v>
      </c>
      <c r="B88" s="423"/>
      <c r="C88" s="423"/>
      <c r="D88" s="423"/>
      <c r="E88" s="423"/>
      <c r="F88" s="423"/>
      <c r="G88" s="423"/>
      <c r="H88" s="423"/>
      <c r="I88" s="423"/>
      <c r="J88" s="423"/>
      <c r="K88" s="844">
        <v>1081767</v>
      </c>
    </row>
  </sheetData>
  <mergeCells count="101">
    <mergeCell ref="E19:F19"/>
    <mergeCell ref="G19:I19"/>
    <mergeCell ref="J19:K19"/>
    <mergeCell ref="A30:A31"/>
    <mergeCell ref="B30:B31"/>
    <mergeCell ref="G30:G31"/>
    <mergeCell ref="H30:H31"/>
    <mergeCell ref="A32:A34"/>
    <mergeCell ref="B32:B34"/>
    <mergeCell ref="G32:G34"/>
    <mergeCell ref="H32:H34"/>
    <mergeCell ref="J20:K20"/>
    <mergeCell ref="A25:K25"/>
    <mergeCell ref="A26:K26"/>
    <mergeCell ref="A27:K27"/>
    <mergeCell ref="A28:A29"/>
    <mergeCell ref="B28:B29"/>
    <mergeCell ref="G28:G29"/>
    <mergeCell ref="H28:H29"/>
    <mergeCell ref="A40:A41"/>
    <mergeCell ref="B40:B41"/>
    <mergeCell ref="G40:G41"/>
    <mergeCell ref="H40:H41"/>
    <mergeCell ref="A42:A44"/>
    <mergeCell ref="B42:B44"/>
    <mergeCell ref="G42:G44"/>
    <mergeCell ref="H42:H44"/>
    <mergeCell ref="A35:A37"/>
    <mergeCell ref="B35:B37"/>
    <mergeCell ref="G35:G37"/>
    <mergeCell ref="H35:H37"/>
    <mergeCell ref="A38:A39"/>
    <mergeCell ref="B38:B39"/>
    <mergeCell ref="G38:G39"/>
    <mergeCell ref="H38:H39"/>
    <mergeCell ref="H54:H55"/>
    <mergeCell ref="J54:J55"/>
    <mergeCell ref="A45:A47"/>
    <mergeCell ref="B45:B47"/>
    <mergeCell ref="G45:G47"/>
    <mergeCell ref="H45:H47"/>
    <mergeCell ref="A48:A50"/>
    <mergeCell ref="B48:B50"/>
    <mergeCell ref="G48:G50"/>
    <mergeCell ref="H48:H50"/>
    <mergeCell ref="A1:K1"/>
    <mergeCell ref="A2:K2"/>
    <mergeCell ref="A4:K4"/>
    <mergeCell ref="A6:K6"/>
    <mergeCell ref="A8:K8"/>
    <mergeCell ref="G12:G13"/>
    <mergeCell ref="H12:H13"/>
    <mergeCell ref="D10:K10"/>
    <mergeCell ref="A10:C10"/>
    <mergeCell ref="I62:I63"/>
    <mergeCell ref="J62:J63"/>
    <mergeCell ref="C62:H63"/>
    <mergeCell ref="G14:G15"/>
    <mergeCell ref="H14:H15"/>
    <mergeCell ref="G16:G17"/>
    <mergeCell ref="H16:H17"/>
    <mergeCell ref="A12:F13"/>
    <mergeCell ref="A14:F15"/>
    <mergeCell ref="A16:F17"/>
    <mergeCell ref="A56:K56"/>
    <mergeCell ref="A57:E58"/>
    <mergeCell ref="F57:F58"/>
    <mergeCell ref="G57:G58"/>
    <mergeCell ref="H57:H58"/>
    <mergeCell ref="J57:J58"/>
    <mergeCell ref="A51:A52"/>
    <mergeCell ref="B51:B52"/>
    <mergeCell ref="G51:G52"/>
    <mergeCell ref="H51:H52"/>
    <mergeCell ref="A53:K53"/>
    <mergeCell ref="A54:E55"/>
    <mergeCell ref="F54:F55"/>
    <mergeCell ref="G54:G55"/>
    <mergeCell ref="C71:H71"/>
    <mergeCell ref="C72:H72"/>
    <mergeCell ref="C73:H73"/>
    <mergeCell ref="C74:H74"/>
    <mergeCell ref="C75:H75"/>
    <mergeCell ref="C76:H76"/>
    <mergeCell ref="C65:H65"/>
    <mergeCell ref="C66:H66"/>
    <mergeCell ref="C67:H67"/>
    <mergeCell ref="C68:H68"/>
    <mergeCell ref="C69:H69"/>
    <mergeCell ref="C70:H70"/>
    <mergeCell ref="C83:H83"/>
    <mergeCell ref="C84:H84"/>
    <mergeCell ref="C85:H85"/>
    <mergeCell ref="C86:H86"/>
    <mergeCell ref="C87:H87"/>
    <mergeCell ref="C77:H77"/>
    <mergeCell ref="C78:H78"/>
    <mergeCell ref="C79:H79"/>
    <mergeCell ref="C80:H80"/>
    <mergeCell ref="C81:H81"/>
    <mergeCell ref="C82:H82"/>
  </mergeCells>
  <pageMargins left="0.70866141732283472" right="0.70866141732283472" top="0.74803149606299213" bottom="0.74803149606299213" header="0.31496062992125984" footer="0.31496062992125984"/>
  <pageSetup paperSize="9" scale="91" orientation="landscape" r:id="rId1"/>
</worksheet>
</file>

<file path=xl/worksheets/sheet55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H338"/>
  <sheetViews>
    <sheetView topLeftCell="A292" workbookViewId="0">
      <selection activeCell="J321" sqref="J321"/>
    </sheetView>
  </sheetViews>
  <sheetFormatPr defaultRowHeight="15"/>
  <cols>
    <col min="1" max="1" width="25.5703125" style="1966" customWidth="1"/>
    <col min="2" max="2" width="24.140625" style="1966" customWidth="1"/>
    <col min="3" max="3" width="43.7109375" style="1966" customWidth="1"/>
    <col min="4" max="4" width="9" style="1966" customWidth="1"/>
    <col min="5" max="5" width="11.85546875" style="1966" customWidth="1"/>
    <col min="6" max="16384" width="9.140625" style="1966"/>
  </cols>
  <sheetData>
    <row r="1" spans="1:5" hidden="1"/>
    <row r="2" spans="1:5" hidden="1">
      <c r="A2" s="2019"/>
      <c r="B2" s="2020" t="s">
        <v>1041</v>
      </c>
      <c r="C2" s="2019"/>
      <c r="D2" s="2021"/>
      <c r="E2" s="2021"/>
    </row>
    <row r="3" spans="1:5" hidden="1">
      <c r="A3" s="2021"/>
      <c r="B3" s="2020" t="s">
        <v>1042</v>
      </c>
      <c r="C3" s="2021"/>
      <c r="D3" s="2021"/>
      <c r="E3" s="2021"/>
    </row>
    <row r="4" spans="1:5" hidden="1">
      <c r="A4" s="2022" t="s">
        <v>1043</v>
      </c>
      <c r="B4" s="2022" t="s">
        <v>1044</v>
      </c>
      <c r="C4" s="2022" t="s">
        <v>1045</v>
      </c>
      <c r="D4" s="2022" t="s">
        <v>1046</v>
      </c>
      <c r="E4" s="2022" t="s">
        <v>45</v>
      </c>
    </row>
    <row r="5" spans="1:5" hidden="1">
      <c r="A5" s="2023" t="s">
        <v>1047</v>
      </c>
      <c r="B5" s="2023" t="s">
        <v>1048</v>
      </c>
      <c r="C5" s="2023"/>
      <c r="D5" s="2023"/>
      <c r="E5" s="2023" t="s">
        <v>190</v>
      </c>
    </row>
    <row r="6" spans="1:5" hidden="1">
      <c r="A6" s="2024"/>
      <c r="B6" s="2024"/>
      <c r="C6" s="2024"/>
      <c r="D6" s="2024"/>
      <c r="E6" s="2024"/>
    </row>
    <row r="7" spans="1:5" hidden="1">
      <c r="A7" s="2024" t="s">
        <v>1049</v>
      </c>
      <c r="B7" s="2024" t="s">
        <v>1050</v>
      </c>
      <c r="C7" s="2024" t="s">
        <v>1051</v>
      </c>
      <c r="D7" s="2024">
        <v>3.5</v>
      </c>
      <c r="E7" s="2024">
        <v>5655</v>
      </c>
    </row>
    <row r="8" spans="1:5" hidden="1">
      <c r="A8" s="2024" t="s">
        <v>1052</v>
      </c>
      <c r="B8" s="2024" t="s">
        <v>1053</v>
      </c>
      <c r="C8" s="2025" t="s">
        <v>1054</v>
      </c>
      <c r="D8" s="2024">
        <v>4</v>
      </c>
      <c r="E8" s="2024">
        <v>10800</v>
      </c>
    </row>
    <row r="9" spans="1:5" hidden="1">
      <c r="A9" s="2024" t="s">
        <v>1052</v>
      </c>
      <c r="B9" s="2024" t="s">
        <v>1055</v>
      </c>
      <c r="C9" s="2025" t="s">
        <v>1054</v>
      </c>
      <c r="D9" s="2024">
        <v>27</v>
      </c>
      <c r="E9" s="2024">
        <v>24300</v>
      </c>
    </row>
    <row r="10" spans="1:5" hidden="1">
      <c r="A10" s="2024" t="s">
        <v>1052</v>
      </c>
      <c r="B10" s="2024" t="s">
        <v>1056</v>
      </c>
      <c r="C10" s="2025" t="s">
        <v>1054</v>
      </c>
      <c r="D10" s="2024">
        <v>24</v>
      </c>
      <c r="E10" s="2024">
        <v>21600</v>
      </c>
    </row>
    <row r="11" spans="1:5" hidden="1">
      <c r="A11" s="2024" t="s">
        <v>1052</v>
      </c>
      <c r="B11" s="2024" t="s">
        <v>1057</v>
      </c>
      <c r="C11" s="2025" t="s">
        <v>1058</v>
      </c>
      <c r="D11" s="2024">
        <v>8</v>
      </c>
      <c r="E11" s="2024">
        <v>7200</v>
      </c>
    </row>
    <row r="12" spans="1:5" hidden="1">
      <c r="A12" s="2024" t="s">
        <v>1052</v>
      </c>
      <c r="B12" s="2024" t="s">
        <v>1057</v>
      </c>
      <c r="C12" s="2025"/>
      <c r="D12" s="2024">
        <v>5</v>
      </c>
      <c r="E12" s="2024">
        <v>4500</v>
      </c>
    </row>
    <row r="13" spans="1:5" hidden="1">
      <c r="A13" s="2024" t="s">
        <v>1052</v>
      </c>
      <c r="B13" s="2024" t="s">
        <v>1059</v>
      </c>
      <c r="C13" s="2025"/>
      <c r="D13" s="2024">
        <v>7</v>
      </c>
      <c r="E13" s="2024">
        <v>6300</v>
      </c>
    </row>
    <row r="14" spans="1:5" hidden="1">
      <c r="A14" s="2024" t="s">
        <v>1060</v>
      </c>
      <c r="B14" s="2024" t="s">
        <v>1061</v>
      </c>
      <c r="C14" s="2025"/>
      <c r="D14" s="2024">
        <v>0.5</v>
      </c>
      <c r="E14" s="2024">
        <v>627.12</v>
      </c>
    </row>
    <row r="15" spans="1:5" hidden="1">
      <c r="A15" s="2024" t="s">
        <v>1062</v>
      </c>
      <c r="B15" s="2024" t="s">
        <v>1063</v>
      </c>
      <c r="C15" s="2025"/>
      <c r="D15" s="2024">
        <v>7</v>
      </c>
      <c r="E15" s="2024">
        <v>11186</v>
      </c>
    </row>
    <row r="16" spans="1:5" hidden="1">
      <c r="A16" s="2024" t="s">
        <v>1062</v>
      </c>
      <c r="B16" s="2024" t="s">
        <v>1064</v>
      </c>
      <c r="C16" s="2025"/>
      <c r="D16" s="2024">
        <v>13</v>
      </c>
      <c r="E16" s="2024">
        <v>20774</v>
      </c>
    </row>
    <row r="17" spans="1:5" hidden="1">
      <c r="A17" s="2024" t="s">
        <v>1065</v>
      </c>
      <c r="B17" s="2024" t="s">
        <v>1066</v>
      </c>
      <c r="C17" s="2025"/>
      <c r="D17" s="2024">
        <v>3</v>
      </c>
      <c r="E17" s="2024">
        <v>1779.66</v>
      </c>
    </row>
    <row r="18" spans="1:5" hidden="1">
      <c r="A18" s="2024" t="s">
        <v>1060</v>
      </c>
      <c r="B18" s="2024" t="s">
        <v>1067</v>
      </c>
      <c r="C18" s="2025"/>
      <c r="D18" s="2024">
        <v>0.5</v>
      </c>
      <c r="E18" s="2024">
        <v>711.86</v>
      </c>
    </row>
    <row r="19" spans="1:5" hidden="1">
      <c r="A19" s="2024" t="s">
        <v>1062</v>
      </c>
      <c r="B19" s="2024" t="s">
        <v>1068</v>
      </c>
      <c r="C19" s="2025"/>
      <c r="D19" s="2024">
        <v>8</v>
      </c>
      <c r="E19" s="2024">
        <v>12784</v>
      </c>
    </row>
    <row r="20" spans="1:5" hidden="1">
      <c r="A20" s="2024" t="s">
        <v>1065</v>
      </c>
      <c r="B20" s="2024" t="s">
        <v>1069</v>
      </c>
      <c r="C20" s="2025"/>
      <c r="D20" s="2024">
        <v>0.3</v>
      </c>
      <c r="E20" s="2024">
        <v>395.48</v>
      </c>
    </row>
    <row r="21" spans="1:5" hidden="1">
      <c r="A21" s="2024" t="s">
        <v>1052</v>
      </c>
      <c r="B21" s="2024" t="s">
        <v>1070</v>
      </c>
      <c r="C21" s="2025"/>
      <c r="D21" s="2024">
        <v>18</v>
      </c>
      <c r="E21" s="2024">
        <v>16200</v>
      </c>
    </row>
    <row r="22" spans="1:5" hidden="1">
      <c r="A22" s="2024" t="s">
        <v>1052</v>
      </c>
      <c r="B22" s="2024" t="s">
        <v>1071</v>
      </c>
      <c r="C22" s="2025"/>
      <c r="D22" s="2024">
        <v>23</v>
      </c>
      <c r="E22" s="2024">
        <v>20700</v>
      </c>
    </row>
    <row r="23" spans="1:5" hidden="1">
      <c r="A23" s="2024" t="s">
        <v>1052</v>
      </c>
      <c r="B23" s="2024" t="s">
        <v>1072</v>
      </c>
      <c r="C23" s="2025"/>
      <c r="D23" s="2024">
        <v>17</v>
      </c>
      <c r="E23" s="2024">
        <v>15300</v>
      </c>
    </row>
    <row r="24" spans="1:5" hidden="1">
      <c r="A24" s="2024" t="s">
        <v>1073</v>
      </c>
      <c r="B24" s="2024" t="s">
        <v>1074</v>
      </c>
      <c r="C24" s="2025"/>
      <c r="D24" s="2024"/>
      <c r="E24" s="2024">
        <v>120.13</v>
      </c>
    </row>
    <row r="25" spans="1:5" hidden="1">
      <c r="A25" s="2024" t="s">
        <v>1075</v>
      </c>
      <c r="B25" s="2024" t="s">
        <v>1076</v>
      </c>
      <c r="C25" s="2025"/>
      <c r="D25" s="2024">
        <v>3</v>
      </c>
      <c r="E25" s="2024">
        <v>4237.29</v>
      </c>
    </row>
    <row r="26" spans="1:5" hidden="1">
      <c r="A26" s="2024" t="s">
        <v>1062</v>
      </c>
      <c r="B26" s="2024" t="s">
        <v>1077</v>
      </c>
      <c r="C26" s="2025"/>
      <c r="D26" s="2024">
        <v>6</v>
      </c>
      <c r="E26" s="2024">
        <v>9588</v>
      </c>
    </row>
    <row r="27" spans="1:5" hidden="1">
      <c r="A27" s="2024" t="s">
        <v>1062</v>
      </c>
      <c r="B27" s="2024" t="s">
        <v>1078</v>
      </c>
      <c r="C27" s="2025"/>
      <c r="D27" s="2024">
        <v>4</v>
      </c>
      <c r="E27" s="2024">
        <v>6392</v>
      </c>
    </row>
    <row r="28" spans="1:5" hidden="1">
      <c r="A28" s="2024" t="s">
        <v>1062</v>
      </c>
      <c r="B28" s="2024" t="s">
        <v>1079</v>
      </c>
      <c r="C28" s="2025"/>
      <c r="D28" s="2024">
        <v>8.4</v>
      </c>
      <c r="E28" s="2024">
        <v>13448</v>
      </c>
    </row>
    <row r="29" spans="1:5" hidden="1">
      <c r="A29" s="2024" t="s">
        <v>1062</v>
      </c>
      <c r="B29" s="2024" t="s">
        <v>1080</v>
      </c>
      <c r="C29" s="2025"/>
      <c r="D29" s="2024">
        <v>6</v>
      </c>
      <c r="E29" s="2024">
        <v>9588</v>
      </c>
    </row>
    <row r="30" spans="1:5" hidden="1">
      <c r="A30" s="2024" t="s">
        <v>1052</v>
      </c>
      <c r="B30" s="2024" t="s">
        <v>1081</v>
      </c>
      <c r="C30" s="2025"/>
      <c r="D30" s="2024">
        <v>7</v>
      </c>
      <c r="E30" s="2024">
        <v>6300</v>
      </c>
    </row>
    <row r="31" spans="1:5" hidden="1">
      <c r="A31" s="2024" t="s">
        <v>1052</v>
      </c>
      <c r="B31" s="2024" t="s">
        <v>1056</v>
      </c>
      <c r="C31" s="2025"/>
      <c r="D31" s="2024">
        <v>16</v>
      </c>
      <c r="E31" s="2024">
        <v>14400</v>
      </c>
    </row>
    <row r="32" spans="1:5" hidden="1">
      <c r="A32" s="2024" t="s">
        <v>1065</v>
      </c>
      <c r="B32" s="2024" t="s">
        <v>1082</v>
      </c>
      <c r="C32" s="2025"/>
      <c r="D32" s="2024">
        <v>0.25</v>
      </c>
      <c r="E32" s="2024">
        <v>296.61</v>
      </c>
    </row>
    <row r="33" spans="1:5" hidden="1">
      <c r="A33" s="2024" t="s">
        <v>1062</v>
      </c>
      <c r="B33" s="2024" t="s">
        <v>1083</v>
      </c>
      <c r="C33" s="2025"/>
      <c r="D33" s="2024">
        <v>3.5</v>
      </c>
      <c r="E33" s="2024">
        <v>5593</v>
      </c>
    </row>
    <row r="34" spans="1:5" hidden="1">
      <c r="A34" s="2024" t="s">
        <v>1065</v>
      </c>
      <c r="B34" s="2024" t="s">
        <v>1084</v>
      </c>
      <c r="C34" s="2025"/>
      <c r="D34" s="2024">
        <v>1</v>
      </c>
      <c r="E34" s="2024">
        <v>1186.44</v>
      </c>
    </row>
    <row r="35" spans="1:5" hidden="1">
      <c r="A35" s="2026" t="s">
        <v>1085</v>
      </c>
      <c r="B35" s="2026"/>
      <c r="C35" s="2027"/>
      <c r="D35" s="2026">
        <f>SUM(D7:D34)</f>
        <v>223.95000000000002</v>
      </c>
      <c r="E35" s="2026">
        <f>SUM(E7:E34)</f>
        <v>251962.59</v>
      </c>
    </row>
    <row r="36" spans="1:5" hidden="1">
      <c r="A36" s="2019"/>
      <c r="B36" s="2028" t="s">
        <v>1086</v>
      </c>
      <c r="C36" s="2029"/>
      <c r="D36" s="2021"/>
      <c r="E36" s="2021"/>
    </row>
    <row r="37" spans="1:5" hidden="1">
      <c r="A37" s="2022" t="s">
        <v>1043</v>
      </c>
      <c r="B37" s="2022" t="s">
        <v>1044</v>
      </c>
      <c r="C37" s="2022" t="s">
        <v>1045</v>
      </c>
      <c r="D37" s="2022" t="s">
        <v>45</v>
      </c>
      <c r="E37" s="2022" t="s">
        <v>45</v>
      </c>
    </row>
    <row r="38" spans="1:5" hidden="1">
      <c r="A38" s="2023" t="s">
        <v>1047</v>
      </c>
      <c r="B38" s="2023" t="s">
        <v>1048</v>
      </c>
      <c r="C38" s="2023"/>
      <c r="D38" s="2023" t="s">
        <v>190</v>
      </c>
      <c r="E38" s="2023" t="s">
        <v>190</v>
      </c>
    </row>
    <row r="39" spans="1:5" hidden="1">
      <c r="A39" s="2024" t="s">
        <v>1049</v>
      </c>
      <c r="B39" s="2024" t="s">
        <v>1087</v>
      </c>
      <c r="C39" s="2025" t="s">
        <v>1088</v>
      </c>
      <c r="D39" s="2024">
        <v>8</v>
      </c>
      <c r="E39" s="2024">
        <v>9048</v>
      </c>
    </row>
    <row r="40" spans="1:5" hidden="1">
      <c r="A40" s="2024" t="s">
        <v>1049</v>
      </c>
      <c r="B40" s="2024" t="s">
        <v>1089</v>
      </c>
      <c r="C40" s="2025" t="s">
        <v>1088</v>
      </c>
      <c r="D40" s="2024">
        <v>2.5</v>
      </c>
      <c r="E40" s="2024">
        <v>2827.5</v>
      </c>
    </row>
    <row r="41" spans="1:5" hidden="1">
      <c r="A41" s="2024" t="s">
        <v>1049</v>
      </c>
      <c r="B41" s="2024" t="s">
        <v>1090</v>
      </c>
      <c r="C41" s="2025" t="s">
        <v>1091</v>
      </c>
      <c r="D41" s="2024">
        <v>16</v>
      </c>
      <c r="E41" s="2024">
        <v>18096</v>
      </c>
    </row>
    <row r="42" spans="1:5" hidden="1">
      <c r="A42" s="2024" t="s">
        <v>1092</v>
      </c>
      <c r="B42" s="2024" t="s">
        <v>1093</v>
      </c>
      <c r="C42" s="2025" t="s">
        <v>1094</v>
      </c>
      <c r="D42" s="2024">
        <v>7</v>
      </c>
      <c r="E42" s="2024">
        <v>6300</v>
      </c>
    </row>
    <row r="43" spans="1:5" hidden="1">
      <c r="A43" s="2024" t="s">
        <v>1095</v>
      </c>
      <c r="B43" s="2024" t="s">
        <v>1096</v>
      </c>
      <c r="C43" s="2025" t="s">
        <v>1097</v>
      </c>
      <c r="D43" s="2024">
        <v>3</v>
      </c>
      <c r="E43" s="2024">
        <v>4200</v>
      </c>
    </row>
    <row r="44" spans="1:5" hidden="1">
      <c r="A44" s="2024" t="s">
        <v>1098</v>
      </c>
      <c r="B44" s="2024" t="s">
        <v>1099</v>
      </c>
      <c r="C44" s="2025" t="s">
        <v>1100</v>
      </c>
      <c r="D44" s="2024">
        <v>27</v>
      </c>
      <c r="E44" s="2024">
        <v>31872.15</v>
      </c>
    </row>
    <row r="45" spans="1:5" hidden="1">
      <c r="A45" s="2024" t="s">
        <v>1101</v>
      </c>
      <c r="B45" s="2024" t="s">
        <v>1102</v>
      </c>
      <c r="C45" s="2025" t="s">
        <v>1094</v>
      </c>
      <c r="D45" s="2024">
        <v>40</v>
      </c>
      <c r="E45" s="2024">
        <v>47218</v>
      </c>
    </row>
    <row r="46" spans="1:5" hidden="1">
      <c r="A46" s="2024" t="s">
        <v>1092</v>
      </c>
      <c r="B46" s="2024" t="s">
        <v>1103</v>
      </c>
      <c r="C46" s="2025" t="s">
        <v>1094</v>
      </c>
      <c r="D46" s="2024">
        <v>9</v>
      </c>
      <c r="E46" s="2024">
        <v>8100</v>
      </c>
    </row>
    <row r="47" spans="1:5" hidden="1">
      <c r="A47" s="2024" t="s">
        <v>1098</v>
      </c>
      <c r="B47" s="2024" t="s">
        <v>1104</v>
      </c>
      <c r="C47" s="2025" t="s">
        <v>1100</v>
      </c>
      <c r="D47" s="2024">
        <v>7</v>
      </c>
      <c r="E47" s="2024">
        <v>8400</v>
      </c>
    </row>
    <row r="48" spans="1:5" hidden="1">
      <c r="A48" s="2024" t="s">
        <v>1105</v>
      </c>
      <c r="B48" s="2024" t="s">
        <v>1106</v>
      </c>
      <c r="C48" s="2025" t="s">
        <v>1094</v>
      </c>
      <c r="D48" s="2024">
        <v>168</v>
      </c>
      <c r="E48" s="2024">
        <v>102656.4</v>
      </c>
    </row>
    <row r="49" spans="1:5" hidden="1">
      <c r="A49" s="2024" t="s">
        <v>1105</v>
      </c>
      <c r="B49" s="2024" t="s">
        <v>1107</v>
      </c>
      <c r="C49" s="2025" t="s">
        <v>1094</v>
      </c>
      <c r="D49" s="2024">
        <v>176</v>
      </c>
      <c r="E49" s="2024">
        <v>211200</v>
      </c>
    </row>
    <row r="50" spans="1:5" hidden="1">
      <c r="A50" s="2024" t="s">
        <v>1108</v>
      </c>
      <c r="B50" s="2024" t="s">
        <v>1109</v>
      </c>
      <c r="C50" s="2025" t="s">
        <v>1110</v>
      </c>
      <c r="D50" s="2024">
        <v>0.5</v>
      </c>
      <c r="E50" s="2024">
        <v>593.22</v>
      </c>
    </row>
    <row r="51" spans="1:5" hidden="1">
      <c r="A51" s="2024" t="s">
        <v>1111</v>
      </c>
      <c r="B51" s="2024" t="s">
        <v>1112</v>
      </c>
      <c r="C51" s="2025" t="s">
        <v>1113</v>
      </c>
      <c r="D51" s="2024">
        <v>2</v>
      </c>
      <c r="E51" s="2024">
        <v>465.76</v>
      </c>
    </row>
    <row r="52" spans="1:5" hidden="1">
      <c r="A52" s="2024" t="s">
        <v>1049</v>
      </c>
      <c r="B52" s="2024" t="s">
        <v>1114</v>
      </c>
      <c r="C52" s="2025" t="s">
        <v>1115</v>
      </c>
      <c r="D52" s="2024">
        <v>4</v>
      </c>
      <c r="E52" s="2024">
        <v>6392</v>
      </c>
    </row>
    <row r="53" spans="1:5" hidden="1">
      <c r="A53" s="2024" t="s">
        <v>1092</v>
      </c>
      <c r="B53" s="2024" t="s">
        <v>1116</v>
      </c>
      <c r="C53" s="2025" t="s">
        <v>1117</v>
      </c>
      <c r="D53" s="2024">
        <v>2</v>
      </c>
      <c r="E53" s="2024">
        <v>1800</v>
      </c>
    </row>
    <row r="54" spans="1:5" hidden="1">
      <c r="A54" s="2024" t="s">
        <v>1049</v>
      </c>
      <c r="B54" s="2024" t="s">
        <v>1118</v>
      </c>
      <c r="C54" s="2025" t="s">
        <v>1119</v>
      </c>
      <c r="D54" s="2024">
        <v>21</v>
      </c>
      <c r="E54" s="2024">
        <v>2262</v>
      </c>
    </row>
    <row r="55" spans="1:5" hidden="1">
      <c r="A55" s="2024" t="s">
        <v>1075</v>
      </c>
      <c r="B55" s="2024" t="s">
        <v>1120</v>
      </c>
      <c r="C55" s="2025" t="s">
        <v>1121</v>
      </c>
      <c r="D55" s="2024">
        <v>3</v>
      </c>
      <c r="E55" s="2024">
        <v>6355.93</v>
      </c>
    </row>
    <row r="56" spans="1:5" hidden="1">
      <c r="A56" s="2024" t="s">
        <v>1075</v>
      </c>
      <c r="B56" s="2024" t="s">
        <v>1120</v>
      </c>
      <c r="C56" s="2025" t="s">
        <v>1122</v>
      </c>
      <c r="D56" s="2024">
        <v>14</v>
      </c>
      <c r="E56" s="2024">
        <v>29661.02</v>
      </c>
    </row>
    <row r="57" spans="1:5" hidden="1">
      <c r="A57" s="2024" t="s">
        <v>1108</v>
      </c>
      <c r="B57" s="2024" t="s">
        <v>1123</v>
      </c>
      <c r="C57" s="2025" t="s">
        <v>1124</v>
      </c>
      <c r="D57" s="2024">
        <v>1</v>
      </c>
      <c r="E57" s="2024">
        <v>677.97</v>
      </c>
    </row>
    <row r="58" spans="1:5" hidden="1">
      <c r="A58" s="2024" t="s">
        <v>1049</v>
      </c>
      <c r="B58" s="2024" t="s">
        <v>1125</v>
      </c>
      <c r="C58" s="2025" t="s">
        <v>1126</v>
      </c>
      <c r="D58" s="2024">
        <v>1</v>
      </c>
      <c r="E58" s="2024">
        <v>1131</v>
      </c>
    </row>
    <row r="59" spans="1:5" hidden="1">
      <c r="A59" s="2024" t="s">
        <v>1092</v>
      </c>
      <c r="B59" s="2024" t="s">
        <v>1127</v>
      </c>
      <c r="C59" s="2025" t="s">
        <v>1126</v>
      </c>
      <c r="D59" s="2024">
        <v>12</v>
      </c>
      <c r="E59" s="2024">
        <v>10800</v>
      </c>
    </row>
    <row r="60" spans="1:5" hidden="1">
      <c r="A60" s="2024" t="s">
        <v>1092</v>
      </c>
      <c r="B60" s="2024" t="s">
        <v>1128</v>
      </c>
      <c r="C60" s="2025" t="s">
        <v>1126</v>
      </c>
      <c r="D60" s="2024">
        <v>3</v>
      </c>
      <c r="E60" s="2024">
        <v>2700</v>
      </c>
    </row>
    <row r="61" spans="1:5" hidden="1">
      <c r="A61" s="2024" t="s">
        <v>1098</v>
      </c>
      <c r="B61" s="2024" t="s">
        <v>1129</v>
      </c>
      <c r="C61" s="2025" t="s">
        <v>1124</v>
      </c>
      <c r="D61" s="2024">
        <v>8</v>
      </c>
      <c r="E61" s="2024">
        <v>9600</v>
      </c>
    </row>
    <row r="62" spans="1:5" hidden="1">
      <c r="A62" s="2024" t="s">
        <v>1108</v>
      </c>
      <c r="B62" s="2024" t="s">
        <v>1130</v>
      </c>
      <c r="C62" s="2025" t="s">
        <v>1131</v>
      </c>
      <c r="D62" s="2024">
        <v>3</v>
      </c>
      <c r="E62" s="2024">
        <v>2033.9</v>
      </c>
    </row>
    <row r="63" spans="1:5" hidden="1">
      <c r="A63" s="2024" t="s">
        <v>1049</v>
      </c>
      <c r="B63" s="2024" t="s">
        <v>1132</v>
      </c>
      <c r="C63" s="2025" t="s">
        <v>1133</v>
      </c>
      <c r="D63" s="2030">
        <v>2.5</v>
      </c>
      <c r="E63" s="2024">
        <v>2827.5</v>
      </c>
    </row>
    <row r="64" spans="1:5" hidden="1">
      <c r="A64" s="2026" t="s">
        <v>1134</v>
      </c>
      <c r="B64" s="2026"/>
      <c r="C64" s="2026"/>
      <c r="D64" s="2026">
        <f>SUM(D39:D63)</f>
        <v>540.5</v>
      </c>
      <c r="E64" s="2026">
        <f>SUM(E39:E63)</f>
        <v>527218.35</v>
      </c>
    </row>
    <row r="65" spans="1:5" hidden="1">
      <c r="A65" s="2031" t="s">
        <v>1135</v>
      </c>
      <c r="B65" s="2026"/>
      <c r="C65" s="2026"/>
      <c r="D65" s="2026">
        <f>D35+D64</f>
        <v>764.45</v>
      </c>
      <c r="E65" s="2026">
        <f>E35+E64</f>
        <v>779180.94</v>
      </c>
    </row>
    <row r="66" spans="1:5" hidden="1">
      <c r="B66" s="2028" t="s">
        <v>1136</v>
      </c>
    </row>
    <row r="67" spans="1:5" hidden="1">
      <c r="A67" s="2022" t="s">
        <v>1043</v>
      </c>
      <c r="B67" s="2022" t="s">
        <v>1044</v>
      </c>
      <c r="C67" s="2022" t="s">
        <v>1045</v>
      </c>
      <c r="D67" s="2022" t="s">
        <v>1046</v>
      </c>
      <c r="E67" s="2022" t="s">
        <v>45</v>
      </c>
    </row>
    <row r="68" spans="1:5" hidden="1">
      <c r="A68" s="2023" t="s">
        <v>1047</v>
      </c>
      <c r="B68" s="2023" t="s">
        <v>1048</v>
      </c>
      <c r="C68" s="2023"/>
      <c r="D68" s="2023"/>
      <c r="E68" s="2023" t="s">
        <v>190</v>
      </c>
    </row>
    <row r="69" spans="1:5" hidden="1">
      <c r="A69" s="2024"/>
      <c r="B69" s="2024"/>
      <c r="C69" s="2024"/>
      <c r="D69" s="2024"/>
      <c r="E69" s="2024"/>
    </row>
    <row r="70" spans="1:5" hidden="1">
      <c r="A70" s="2024" t="s">
        <v>1137</v>
      </c>
      <c r="B70" s="2024" t="s">
        <v>1138</v>
      </c>
      <c r="C70" s="2024" t="s">
        <v>1051</v>
      </c>
      <c r="D70" s="2024">
        <v>48</v>
      </c>
      <c r="E70" s="2024">
        <v>29330.400000000001</v>
      </c>
    </row>
    <row r="71" spans="1:5" hidden="1">
      <c r="A71" s="2024" t="s">
        <v>1098</v>
      </c>
      <c r="B71" s="2024" t="s">
        <v>1139</v>
      </c>
      <c r="C71" s="2025" t="s">
        <v>1054</v>
      </c>
      <c r="D71" s="2024">
        <v>7.5</v>
      </c>
      <c r="E71" s="2024">
        <v>9000</v>
      </c>
    </row>
    <row r="72" spans="1:5" hidden="1">
      <c r="A72" s="2024" t="s">
        <v>1098</v>
      </c>
      <c r="B72" s="2024" t="s">
        <v>1139</v>
      </c>
      <c r="C72" s="2025" t="s">
        <v>1054</v>
      </c>
      <c r="D72" s="2024">
        <v>2</v>
      </c>
      <c r="E72" s="2024">
        <v>2400</v>
      </c>
    </row>
    <row r="73" spans="1:5" hidden="1">
      <c r="A73" s="2024" t="s">
        <v>1140</v>
      </c>
      <c r="B73" s="2024" t="s">
        <v>1141</v>
      </c>
      <c r="C73" s="2025" t="s">
        <v>1054</v>
      </c>
      <c r="D73" s="2024">
        <v>2</v>
      </c>
      <c r="E73" s="2024">
        <v>1800</v>
      </c>
    </row>
    <row r="74" spans="1:5" hidden="1">
      <c r="A74" s="2024" t="s">
        <v>1142</v>
      </c>
      <c r="B74" s="2024" t="s">
        <v>1143</v>
      </c>
      <c r="C74" s="2025" t="s">
        <v>1144</v>
      </c>
      <c r="D74" s="2024">
        <v>15</v>
      </c>
      <c r="E74" s="2024">
        <v>30000</v>
      </c>
    </row>
    <row r="75" spans="1:5" hidden="1">
      <c r="A75" s="2024" t="s">
        <v>1145</v>
      </c>
      <c r="B75" s="2024" t="s">
        <v>1146</v>
      </c>
      <c r="C75" s="2025" t="s">
        <v>1147</v>
      </c>
      <c r="D75" s="2024">
        <v>8</v>
      </c>
      <c r="E75" s="2024">
        <v>12000</v>
      </c>
    </row>
    <row r="76" spans="1:5" hidden="1">
      <c r="A76" s="2024" t="s">
        <v>1111</v>
      </c>
      <c r="B76" s="2024" t="s">
        <v>1148</v>
      </c>
      <c r="C76" s="2025" t="s">
        <v>1149</v>
      </c>
      <c r="D76" s="2024">
        <v>2</v>
      </c>
      <c r="E76" s="2024">
        <v>550.79999999999995</v>
      </c>
    </row>
    <row r="77" spans="1:5" hidden="1">
      <c r="A77" s="2024" t="s">
        <v>1092</v>
      </c>
      <c r="B77" s="2024" t="s">
        <v>1150</v>
      </c>
      <c r="C77" s="2025" t="s">
        <v>1151</v>
      </c>
      <c r="D77" s="2024">
        <v>4</v>
      </c>
      <c r="E77" s="2024">
        <v>3600</v>
      </c>
    </row>
    <row r="78" spans="1:5" hidden="1">
      <c r="A78" s="2024" t="s">
        <v>1098</v>
      </c>
      <c r="B78" s="2024" t="s">
        <v>1139</v>
      </c>
      <c r="C78" s="2025" t="s">
        <v>1152</v>
      </c>
      <c r="D78" s="2024">
        <v>15.5</v>
      </c>
      <c r="E78" s="2024">
        <v>18600</v>
      </c>
    </row>
    <row r="79" spans="1:5" hidden="1">
      <c r="A79" s="2024" t="s">
        <v>1153</v>
      </c>
      <c r="B79" s="2024" t="s">
        <v>1141</v>
      </c>
      <c r="C79" s="2025" t="s">
        <v>1154</v>
      </c>
      <c r="D79" s="2024">
        <v>8</v>
      </c>
      <c r="E79" s="2024">
        <v>7200</v>
      </c>
    </row>
    <row r="80" spans="1:5" hidden="1">
      <c r="A80" s="2024" t="s">
        <v>1155</v>
      </c>
      <c r="B80" s="2024" t="s">
        <v>1156</v>
      </c>
      <c r="C80" s="2025" t="s">
        <v>1157</v>
      </c>
      <c r="D80" s="2024">
        <v>14</v>
      </c>
      <c r="E80" s="2024">
        <v>16572.849999999999</v>
      </c>
    </row>
    <row r="81" spans="1:5" hidden="1">
      <c r="A81" s="2024" t="s">
        <v>1153</v>
      </c>
      <c r="B81" s="2024" t="s">
        <v>1158</v>
      </c>
      <c r="C81" s="2025" t="s">
        <v>1152</v>
      </c>
      <c r="D81" s="2024">
        <v>2</v>
      </c>
      <c r="E81" s="2024">
        <v>1800</v>
      </c>
    </row>
    <row r="82" spans="1:5" hidden="1">
      <c r="A82" s="2024" t="s">
        <v>1049</v>
      </c>
      <c r="B82" s="2024" t="s">
        <v>1159</v>
      </c>
      <c r="C82" s="2025" t="s">
        <v>1160</v>
      </c>
      <c r="D82" s="2024">
        <v>29</v>
      </c>
      <c r="E82" s="2024">
        <v>32799</v>
      </c>
    </row>
    <row r="83" spans="1:5" hidden="1">
      <c r="A83" s="2024" t="s">
        <v>1153</v>
      </c>
      <c r="B83" s="2024" t="s">
        <v>1161</v>
      </c>
      <c r="C83" s="2025" t="s">
        <v>1152</v>
      </c>
      <c r="D83" s="2024">
        <v>11</v>
      </c>
      <c r="E83" s="2024">
        <v>9900</v>
      </c>
    </row>
    <row r="84" spans="1:5" hidden="1">
      <c r="A84" s="2024" t="s">
        <v>1049</v>
      </c>
      <c r="B84" s="2024" t="s">
        <v>1162</v>
      </c>
      <c r="C84" s="2025" t="s">
        <v>1163</v>
      </c>
      <c r="D84" s="2024">
        <v>3</v>
      </c>
      <c r="E84" s="2024">
        <v>3393</v>
      </c>
    </row>
    <row r="85" spans="1:5" hidden="1">
      <c r="A85" s="2024" t="s">
        <v>1153</v>
      </c>
      <c r="B85" s="2024" t="s">
        <v>1164</v>
      </c>
      <c r="C85" s="2025" t="s">
        <v>1152</v>
      </c>
      <c r="D85" s="2024">
        <v>15</v>
      </c>
      <c r="E85" s="2024">
        <v>13500</v>
      </c>
    </row>
    <row r="86" spans="1:5" hidden="1">
      <c r="A86" s="2024" t="s">
        <v>1153</v>
      </c>
      <c r="B86" s="2024" t="s">
        <v>1165</v>
      </c>
      <c r="C86" s="2025" t="s">
        <v>1152</v>
      </c>
      <c r="D86" s="2024">
        <v>9</v>
      </c>
      <c r="E86" s="2024">
        <v>8100</v>
      </c>
    </row>
    <row r="87" spans="1:5" hidden="1">
      <c r="A87" s="2024" t="s">
        <v>1153</v>
      </c>
      <c r="B87" s="2024" t="s">
        <v>1166</v>
      </c>
      <c r="C87" s="2025" t="s">
        <v>1152</v>
      </c>
      <c r="D87" s="2024">
        <v>2</v>
      </c>
      <c r="E87" s="2024">
        <v>1800</v>
      </c>
    </row>
    <row r="88" spans="1:5" hidden="1">
      <c r="A88" s="2024" t="s">
        <v>1145</v>
      </c>
      <c r="B88" s="2024" t="s">
        <v>1167</v>
      </c>
      <c r="C88" s="2025" t="s">
        <v>1157</v>
      </c>
      <c r="D88" s="2024">
        <v>3</v>
      </c>
      <c r="E88" s="2024">
        <v>5100</v>
      </c>
    </row>
    <row r="89" spans="1:5" hidden="1">
      <c r="A89" s="2026" t="s">
        <v>1168</v>
      </c>
      <c r="B89" s="2026"/>
      <c r="C89" s="2027"/>
      <c r="D89" s="2026">
        <f>SUM(D70:D88)</f>
        <v>200</v>
      </c>
      <c r="E89" s="2026">
        <f>SUM(E70:E88)</f>
        <v>207446.05</v>
      </c>
    </row>
    <row r="90" spans="1:5" hidden="1">
      <c r="A90" s="2031" t="s">
        <v>1169</v>
      </c>
      <c r="B90" s="2026"/>
      <c r="C90" s="2026"/>
      <c r="D90" s="2026">
        <f>D65+D89</f>
        <v>964.45</v>
      </c>
      <c r="E90" s="2026">
        <f>E65+E89</f>
        <v>986626.99</v>
      </c>
    </row>
    <row r="91" spans="1:5" hidden="1">
      <c r="A91" s="2032"/>
      <c r="B91" s="2031" t="s">
        <v>1170</v>
      </c>
      <c r="C91" s="2032"/>
      <c r="D91" s="2032"/>
      <c r="E91" s="2032"/>
    </row>
    <row r="92" spans="1:5" hidden="1">
      <c r="A92" s="2022" t="s">
        <v>1043</v>
      </c>
      <c r="B92" s="2022" t="s">
        <v>1044</v>
      </c>
      <c r="C92" s="2022" t="s">
        <v>1045</v>
      </c>
      <c r="D92" s="2022" t="s">
        <v>1046</v>
      </c>
      <c r="E92" s="2022" t="s">
        <v>45</v>
      </c>
    </row>
    <row r="93" spans="1:5" hidden="1">
      <c r="A93" s="2023" t="s">
        <v>1047</v>
      </c>
      <c r="B93" s="2023" t="s">
        <v>1048</v>
      </c>
      <c r="C93" s="2023"/>
      <c r="D93" s="2023"/>
      <c r="E93" s="2023" t="s">
        <v>190</v>
      </c>
    </row>
    <row r="94" spans="1:5" hidden="1">
      <c r="A94" s="2024"/>
      <c r="B94" s="2024"/>
      <c r="C94" s="2024"/>
      <c r="D94" s="2024"/>
      <c r="E94" s="2024"/>
    </row>
    <row r="95" spans="1:5" hidden="1">
      <c r="A95" s="2024" t="s">
        <v>1095</v>
      </c>
      <c r="B95" s="2024" t="s">
        <v>1171</v>
      </c>
      <c r="C95" s="2024" t="s">
        <v>1051</v>
      </c>
      <c r="D95" s="2024">
        <v>1</v>
      </c>
      <c r="E95" s="2024">
        <v>1400</v>
      </c>
    </row>
    <row r="96" spans="1:5" hidden="1">
      <c r="A96" s="2024" t="s">
        <v>1172</v>
      </c>
      <c r="B96" s="2024" t="s">
        <v>1173</v>
      </c>
      <c r="C96" s="2025" t="s">
        <v>1054</v>
      </c>
      <c r="D96" s="2024">
        <v>1</v>
      </c>
      <c r="E96" s="2024">
        <v>2118.64</v>
      </c>
    </row>
    <row r="97" spans="1:5" hidden="1">
      <c r="A97" s="2024" t="s">
        <v>1098</v>
      </c>
      <c r="B97" s="2024" t="s">
        <v>1174</v>
      </c>
      <c r="C97" s="2025" t="s">
        <v>1054</v>
      </c>
      <c r="D97" s="2024">
        <v>2</v>
      </c>
      <c r="E97" s="2024">
        <v>2400</v>
      </c>
    </row>
    <row r="98" spans="1:5" hidden="1">
      <c r="A98" s="2024" t="s">
        <v>1140</v>
      </c>
      <c r="B98" s="2024" t="s">
        <v>1175</v>
      </c>
      <c r="C98" s="2025"/>
      <c r="D98" s="2024">
        <v>18</v>
      </c>
      <c r="E98" s="2024">
        <v>16200</v>
      </c>
    </row>
    <row r="99" spans="1:5" hidden="1">
      <c r="A99" s="2024" t="s">
        <v>1140</v>
      </c>
      <c r="B99" s="2024" t="s">
        <v>1176</v>
      </c>
      <c r="C99" s="2025"/>
      <c r="D99" s="2024">
        <v>12</v>
      </c>
      <c r="E99" s="2024">
        <v>10800</v>
      </c>
    </row>
    <row r="100" spans="1:5" hidden="1">
      <c r="A100" s="2024" t="s">
        <v>1140</v>
      </c>
      <c r="B100" s="2024" t="s">
        <v>1177</v>
      </c>
      <c r="C100" s="2025"/>
      <c r="D100" s="2024">
        <v>4</v>
      </c>
      <c r="E100" s="2024">
        <v>3600</v>
      </c>
    </row>
    <row r="101" spans="1:5" hidden="1">
      <c r="A101" s="2024" t="s">
        <v>1140</v>
      </c>
      <c r="B101" s="2024" t="s">
        <v>1178</v>
      </c>
      <c r="C101" s="2025"/>
      <c r="D101" s="2024">
        <v>3</v>
      </c>
      <c r="E101" s="2024">
        <v>2700</v>
      </c>
    </row>
    <row r="102" spans="1:5" hidden="1">
      <c r="A102" s="2024" t="s">
        <v>1140</v>
      </c>
      <c r="B102" s="2024" t="s">
        <v>1179</v>
      </c>
      <c r="C102" s="2025"/>
      <c r="D102" s="2024">
        <v>3</v>
      </c>
      <c r="E102" s="2024">
        <v>2700</v>
      </c>
    </row>
    <row r="103" spans="1:5" hidden="1">
      <c r="A103" s="2024" t="s">
        <v>1140</v>
      </c>
      <c r="B103" s="2024" t="s">
        <v>1180</v>
      </c>
      <c r="C103" s="2025"/>
      <c r="D103" s="2024">
        <v>2</v>
      </c>
      <c r="E103" s="2024">
        <v>1800</v>
      </c>
    </row>
    <row r="104" spans="1:5" hidden="1">
      <c r="A104" s="2024" t="s">
        <v>1181</v>
      </c>
      <c r="B104" s="2024" t="s">
        <v>1182</v>
      </c>
      <c r="C104" s="2025"/>
      <c r="D104" s="2024">
        <v>5</v>
      </c>
      <c r="E104" s="2024">
        <v>7990</v>
      </c>
    </row>
    <row r="105" spans="1:5" hidden="1">
      <c r="A105" s="2024" t="s">
        <v>1108</v>
      </c>
      <c r="B105" s="2024" t="s">
        <v>1183</v>
      </c>
      <c r="C105" s="2025"/>
      <c r="D105" s="2024">
        <v>1.5</v>
      </c>
      <c r="E105" s="2024">
        <v>1779.66</v>
      </c>
    </row>
    <row r="106" spans="1:5" hidden="1">
      <c r="A106" s="2024" t="s">
        <v>1184</v>
      </c>
      <c r="B106" s="2024" t="s">
        <v>1185</v>
      </c>
      <c r="C106" s="2025"/>
      <c r="D106" s="2024">
        <v>0.5</v>
      </c>
      <c r="E106" s="2024">
        <v>550.79999999999995</v>
      </c>
    </row>
    <row r="107" spans="1:5" hidden="1">
      <c r="A107" s="2024" t="s">
        <v>1186</v>
      </c>
      <c r="B107" s="2024" t="s">
        <v>1187</v>
      </c>
      <c r="C107" s="2025"/>
      <c r="D107" s="2024">
        <v>3</v>
      </c>
      <c r="E107" s="2024">
        <v>3393</v>
      </c>
    </row>
    <row r="108" spans="1:5" hidden="1">
      <c r="A108" s="2024" t="s">
        <v>1108</v>
      </c>
      <c r="B108" s="2024" t="s">
        <v>1188</v>
      </c>
      <c r="C108" s="2025"/>
      <c r="D108" s="2024">
        <v>1.5</v>
      </c>
      <c r="E108" s="2024">
        <v>1779.66</v>
      </c>
    </row>
    <row r="109" spans="1:5" hidden="1">
      <c r="A109" s="2024" t="s">
        <v>1108</v>
      </c>
      <c r="B109" s="2024" t="s">
        <v>1189</v>
      </c>
      <c r="C109" s="2025"/>
      <c r="D109" s="2024">
        <v>3.5</v>
      </c>
      <c r="E109" s="2024">
        <v>4152.54</v>
      </c>
    </row>
    <row r="110" spans="1:5" hidden="1">
      <c r="A110" s="2024"/>
      <c r="B110" s="2024"/>
      <c r="C110" s="2025"/>
      <c r="D110" s="2024"/>
      <c r="E110" s="2024"/>
    </row>
    <row r="111" spans="1:5" hidden="1">
      <c r="A111" s="2026" t="s">
        <v>1190</v>
      </c>
      <c r="B111" s="2026"/>
      <c r="C111" s="2027"/>
      <c r="D111" s="2026">
        <f>SUM(D95:D109)</f>
        <v>61</v>
      </c>
      <c r="E111" s="2026">
        <f>SUM(E95:E109)</f>
        <v>63364.30000000001</v>
      </c>
    </row>
    <row r="112" spans="1:5" hidden="1">
      <c r="A112" s="2033" t="s">
        <v>1191</v>
      </c>
      <c r="B112" s="2026"/>
      <c r="C112" s="2026"/>
      <c r="D112" s="2026">
        <f>D90+D111</f>
        <v>1025.45</v>
      </c>
      <c r="E112" s="2026">
        <f>E90+E111</f>
        <v>1049991.29</v>
      </c>
    </row>
    <row r="113" spans="1:5" hidden="1"/>
    <row r="114" spans="1:5" hidden="1"/>
    <row r="115" spans="1:5" hidden="1">
      <c r="A115" s="2019"/>
      <c r="B115" s="2020" t="s">
        <v>1192</v>
      </c>
      <c r="C115" s="2019"/>
      <c r="D115" s="2021"/>
      <c r="E115" s="2021"/>
    </row>
    <row r="116" spans="1:5" hidden="1">
      <c r="A116" s="2021"/>
      <c r="B116" s="2021"/>
      <c r="C116" s="2021"/>
      <c r="D116" s="2021"/>
      <c r="E116" s="2021"/>
    </row>
    <row r="117" spans="1:5" hidden="1">
      <c r="A117" s="2022" t="s">
        <v>1043</v>
      </c>
      <c r="B117" s="2022" t="s">
        <v>1044</v>
      </c>
      <c r="C117" s="2022" t="s">
        <v>1045</v>
      </c>
      <c r="D117" s="2022" t="s">
        <v>1046</v>
      </c>
      <c r="E117" s="2022" t="s">
        <v>45</v>
      </c>
    </row>
    <row r="118" spans="1:5" hidden="1">
      <c r="A118" s="2023" t="s">
        <v>1047</v>
      </c>
      <c r="B118" s="2023" t="s">
        <v>1048</v>
      </c>
      <c r="C118" s="2023"/>
      <c r="D118" s="2023"/>
      <c r="E118" s="2023" t="s">
        <v>190</v>
      </c>
    </row>
    <row r="119" spans="1:5" hidden="1">
      <c r="A119" s="2024"/>
      <c r="B119" s="2020" t="s">
        <v>1193</v>
      </c>
      <c r="C119" s="2024"/>
      <c r="D119" s="2024"/>
      <c r="E119" s="2024"/>
    </row>
    <row r="120" spans="1:5" hidden="1">
      <c r="A120" s="2024" t="s">
        <v>1194</v>
      </c>
      <c r="B120" s="2024" t="s">
        <v>1195</v>
      </c>
      <c r="C120" s="2024" t="s">
        <v>1051</v>
      </c>
      <c r="D120" s="2024">
        <v>4</v>
      </c>
      <c r="E120" s="2024">
        <v>8474.57</v>
      </c>
    </row>
    <row r="121" spans="1:5" hidden="1">
      <c r="A121" s="2024" t="s">
        <v>1108</v>
      </c>
      <c r="B121" s="2024" t="s">
        <v>1196</v>
      </c>
      <c r="C121" s="2025" t="s">
        <v>1054</v>
      </c>
      <c r="D121" s="2024">
        <v>0.5</v>
      </c>
      <c r="E121" s="2024">
        <v>593.22</v>
      </c>
    </row>
    <row r="122" spans="1:5" hidden="1">
      <c r="A122" s="2024" t="s">
        <v>1108</v>
      </c>
      <c r="B122" s="2024" t="s">
        <v>1197</v>
      </c>
      <c r="C122" s="2025" t="s">
        <v>1054</v>
      </c>
      <c r="D122" s="2024">
        <v>1</v>
      </c>
      <c r="E122" s="2024">
        <v>1313.56</v>
      </c>
    </row>
    <row r="123" spans="1:5" hidden="1">
      <c r="A123" s="2024" t="s">
        <v>1198</v>
      </c>
      <c r="B123" s="2024" t="s">
        <v>1199</v>
      </c>
      <c r="C123" s="2025" t="s">
        <v>1054</v>
      </c>
      <c r="D123" s="2024">
        <v>1</v>
      </c>
      <c r="E123" s="2024">
        <v>1356.67</v>
      </c>
    </row>
    <row r="124" spans="1:5" hidden="1">
      <c r="A124" s="2024" t="s">
        <v>1153</v>
      </c>
      <c r="B124" s="2024" t="s">
        <v>1200</v>
      </c>
      <c r="C124" s="2025" t="s">
        <v>1058</v>
      </c>
      <c r="D124" s="2024">
        <v>28</v>
      </c>
      <c r="E124" s="2024">
        <v>30800</v>
      </c>
    </row>
    <row r="125" spans="1:5" hidden="1">
      <c r="A125" s="2024" t="s">
        <v>1201</v>
      </c>
      <c r="B125" s="2024" t="s">
        <v>1202</v>
      </c>
      <c r="C125" s="2025" t="s">
        <v>1054</v>
      </c>
      <c r="D125" s="2024">
        <v>27</v>
      </c>
      <c r="E125" s="2024">
        <v>35059.5</v>
      </c>
    </row>
    <row r="126" spans="1:5" hidden="1">
      <c r="A126" s="2024" t="s">
        <v>1203</v>
      </c>
      <c r="B126" s="2024" t="s">
        <v>1204</v>
      </c>
      <c r="C126" s="2025" t="s">
        <v>1205</v>
      </c>
      <c r="D126" s="2024">
        <v>2</v>
      </c>
      <c r="E126" s="2024">
        <v>1803.8</v>
      </c>
    </row>
    <row r="127" spans="1:5" hidden="1">
      <c r="A127" s="2024" t="s">
        <v>1140</v>
      </c>
      <c r="B127" s="2024" t="s">
        <v>1200</v>
      </c>
      <c r="C127" s="2025" t="s">
        <v>1094</v>
      </c>
      <c r="D127" s="2024">
        <v>7</v>
      </c>
      <c r="E127" s="2024">
        <v>7000</v>
      </c>
    </row>
    <row r="128" spans="1:5" hidden="1">
      <c r="A128" s="2024" t="s">
        <v>1098</v>
      </c>
      <c r="B128" s="2024" t="s">
        <v>1202</v>
      </c>
      <c r="C128" s="2025" t="s">
        <v>1054</v>
      </c>
      <c r="D128" s="2024">
        <v>4</v>
      </c>
      <c r="E128" s="2024">
        <v>5280</v>
      </c>
    </row>
    <row r="129" spans="1:5" hidden="1">
      <c r="A129" s="2024" t="s">
        <v>1206</v>
      </c>
      <c r="B129" s="2024" t="s">
        <v>1207</v>
      </c>
      <c r="C129" s="2025" t="s">
        <v>1054</v>
      </c>
      <c r="D129" s="2024">
        <v>0.5</v>
      </c>
      <c r="E129" s="2024">
        <v>550.79999999999995</v>
      </c>
    </row>
    <row r="130" spans="1:5" hidden="1">
      <c r="A130" s="2026" t="s">
        <v>1208</v>
      </c>
      <c r="B130" s="2026"/>
      <c r="C130" s="2027"/>
      <c r="D130" s="2026">
        <f>SUM(D120:D129)</f>
        <v>75</v>
      </c>
      <c r="E130" s="2026">
        <f>SUM(E120:E129)</f>
        <v>92232.12</v>
      </c>
    </row>
    <row r="131" spans="1:5" hidden="1">
      <c r="A131" s="2034"/>
      <c r="B131" s="2031" t="s">
        <v>1209</v>
      </c>
      <c r="C131" s="2025"/>
      <c r="D131" s="2024"/>
      <c r="E131" s="2024"/>
    </row>
    <row r="132" spans="1:5" hidden="1">
      <c r="A132" s="2022" t="s">
        <v>1043</v>
      </c>
      <c r="B132" s="2022" t="s">
        <v>1044</v>
      </c>
      <c r="C132" s="2022" t="s">
        <v>1045</v>
      </c>
      <c r="D132" s="2022" t="s">
        <v>45</v>
      </c>
      <c r="E132" s="2022" t="s">
        <v>45</v>
      </c>
    </row>
    <row r="133" spans="1:5" hidden="1">
      <c r="A133" s="2023" t="s">
        <v>1047</v>
      </c>
      <c r="B133" s="2023" t="s">
        <v>1048</v>
      </c>
      <c r="C133" s="2023"/>
      <c r="D133" s="2023" t="s">
        <v>190</v>
      </c>
      <c r="E133" s="2023" t="s">
        <v>190</v>
      </c>
    </row>
    <row r="134" spans="1:5" hidden="1">
      <c r="A134" s="2024" t="s">
        <v>1201</v>
      </c>
      <c r="B134" s="2024" t="s">
        <v>1210</v>
      </c>
      <c r="C134" s="2025" t="s">
        <v>1058</v>
      </c>
      <c r="D134" s="2024">
        <v>39</v>
      </c>
      <c r="E134" s="2024">
        <v>50641.5</v>
      </c>
    </row>
    <row r="135" spans="1:5" hidden="1">
      <c r="A135" s="2024" t="s">
        <v>1140</v>
      </c>
      <c r="B135" s="2024" t="s">
        <v>1211</v>
      </c>
      <c r="C135" s="2025" t="s">
        <v>1058</v>
      </c>
      <c r="D135" s="2024">
        <v>49</v>
      </c>
      <c r="E135" s="2024">
        <v>53900</v>
      </c>
    </row>
    <row r="136" spans="1:5" hidden="1">
      <c r="A136" s="2024" t="s">
        <v>1212</v>
      </c>
      <c r="B136" s="2024" t="s">
        <v>1213</v>
      </c>
      <c r="C136" s="2025" t="s">
        <v>1094</v>
      </c>
      <c r="D136" s="2024">
        <v>205</v>
      </c>
      <c r="E136" s="2024">
        <v>266192.5</v>
      </c>
    </row>
    <row r="137" spans="1:5" hidden="1">
      <c r="A137" s="2024" t="s">
        <v>1201</v>
      </c>
      <c r="B137" s="2024" t="s">
        <v>1214</v>
      </c>
      <c r="C137" s="2025" t="s">
        <v>1058</v>
      </c>
      <c r="D137" s="2024">
        <v>79</v>
      </c>
      <c r="E137" s="2024">
        <v>102581.5</v>
      </c>
    </row>
    <row r="138" spans="1:5" hidden="1">
      <c r="A138" s="2024" t="s">
        <v>1140</v>
      </c>
      <c r="B138" s="2024" t="s">
        <v>1102</v>
      </c>
      <c r="C138" s="2025" t="s">
        <v>1124</v>
      </c>
      <c r="D138" s="2024">
        <v>4</v>
      </c>
      <c r="E138" s="2024">
        <v>4000</v>
      </c>
    </row>
    <row r="139" spans="1:5" hidden="1">
      <c r="A139" s="2024" t="s">
        <v>1140</v>
      </c>
      <c r="B139" s="2024" t="s">
        <v>1215</v>
      </c>
      <c r="C139" s="2025" t="s">
        <v>1124</v>
      </c>
      <c r="D139" s="2024">
        <v>8</v>
      </c>
      <c r="E139" s="2024">
        <v>8000</v>
      </c>
    </row>
    <row r="140" spans="1:5" hidden="1">
      <c r="A140" s="2024" t="s">
        <v>1108</v>
      </c>
      <c r="B140" s="2024" t="s">
        <v>1216</v>
      </c>
      <c r="C140" s="2025" t="s">
        <v>1217</v>
      </c>
      <c r="D140" s="2024">
        <v>0.5</v>
      </c>
      <c r="E140" s="2024">
        <v>656.78</v>
      </c>
    </row>
    <row r="141" spans="1:5" hidden="1">
      <c r="A141" s="2024" t="s">
        <v>1108</v>
      </c>
      <c r="B141" s="2024" t="s">
        <v>1218</v>
      </c>
      <c r="C141" s="2025" t="s">
        <v>1217</v>
      </c>
      <c r="D141" s="2024">
        <v>0.5</v>
      </c>
      <c r="E141" s="2024">
        <v>656.78</v>
      </c>
    </row>
    <row r="142" spans="1:5" hidden="1">
      <c r="A142" s="2024" t="s">
        <v>1108</v>
      </c>
      <c r="B142" s="2024" t="s">
        <v>1219</v>
      </c>
      <c r="C142" s="2025" t="s">
        <v>1217</v>
      </c>
      <c r="D142" s="2024">
        <v>0.5</v>
      </c>
      <c r="E142" s="2024">
        <v>656.78</v>
      </c>
    </row>
    <row r="143" spans="1:5" hidden="1">
      <c r="A143" s="2024" t="s">
        <v>1186</v>
      </c>
      <c r="B143" s="2024" t="s">
        <v>1220</v>
      </c>
      <c r="C143" s="2025" t="s">
        <v>1217</v>
      </c>
      <c r="D143" s="2024">
        <v>6</v>
      </c>
      <c r="E143" s="2024">
        <v>6176</v>
      </c>
    </row>
    <row r="144" spans="1:5" hidden="1">
      <c r="A144" s="2024" t="s">
        <v>1221</v>
      </c>
      <c r="B144" s="2024" t="s">
        <v>1222</v>
      </c>
      <c r="C144" s="2025" t="s">
        <v>1217</v>
      </c>
      <c r="D144" s="2024">
        <v>0.5</v>
      </c>
      <c r="E144" s="2024">
        <v>550.79999999999995</v>
      </c>
    </row>
    <row r="145" spans="1:5" hidden="1">
      <c r="A145" s="2024" t="s">
        <v>1140</v>
      </c>
      <c r="B145" s="2024" t="s">
        <v>1223</v>
      </c>
      <c r="C145" s="2025" t="s">
        <v>1217</v>
      </c>
      <c r="D145" s="2024">
        <v>7</v>
      </c>
      <c r="E145" s="2024">
        <v>7000</v>
      </c>
    </row>
    <row r="146" spans="1:5" hidden="1">
      <c r="A146" s="2024" t="s">
        <v>1140</v>
      </c>
      <c r="B146" s="2024" t="s">
        <v>1102</v>
      </c>
      <c r="C146" s="2025" t="s">
        <v>1217</v>
      </c>
      <c r="D146" s="2024">
        <v>4</v>
      </c>
      <c r="E146" s="2024">
        <v>4000</v>
      </c>
    </row>
    <row r="147" spans="1:5" hidden="1">
      <c r="A147" s="2026" t="s">
        <v>1224</v>
      </c>
      <c r="B147" s="2026"/>
      <c r="C147" s="2026"/>
      <c r="D147" s="2026">
        <f>SUM(D134:D146)</f>
        <v>403</v>
      </c>
      <c r="E147" s="2026">
        <f>SUM(E134:E146)</f>
        <v>505012.64000000007</v>
      </c>
    </row>
    <row r="148" spans="1:5" hidden="1">
      <c r="A148" s="2031" t="s">
        <v>1225</v>
      </c>
      <c r="B148" s="2026"/>
      <c r="C148" s="2026"/>
      <c r="D148" s="2026">
        <f>D130+D147</f>
        <v>478</v>
      </c>
      <c r="E148" s="2026">
        <f>E130+E147</f>
        <v>597244.76</v>
      </c>
    </row>
    <row r="149" spans="1:5" hidden="1">
      <c r="A149" s="2035" t="s">
        <v>1226</v>
      </c>
      <c r="B149" s="2036"/>
      <c r="C149" s="2036"/>
      <c r="D149" s="2036"/>
      <c r="E149" s="2036"/>
    </row>
    <row r="150" spans="1:5" hidden="1">
      <c r="A150" s="2024" t="s">
        <v>1221</v>
      </c>
      <c r="B150" s="2024" t="s">
        <v>1227</v>
      </c>
      <c r="C150" s="2025" t="s">
        <v>1217</v>
      </c>
      <c r="D150" s="2024">
        <v>0.5</v>
      </c>
      <c r="E150" s="2024">
        <v>550.79999999999995</v>
      </c>
    </row>
    <row r="151" spans="1:5" hidden="1">
      <c r="A151" s="2037" t="s">
        <v>1228</v>
      </c>
      <c r="B151" s="2037" t="s">
        <v>1229</v>
      </c>
      <c r="C151" s="2025" t="s">
        <v>1217</v>
      </c>
      <c r="D151" s="2036">
        <v>1</v>
      </c>
      <c r="E151" s="2037">
        <v>1351.7</v>
      </c>
    </row>
    <row r="152" spans="1:5" hidden="1">
      <c r="A152" s="2037" t="s">
        <v>1230</v>
      </c>
      <c r="B152" s="2036" t="s">
        <v>1231</v>
      </c>
      <c r="C152" s="2038" t="s">
        <v>1094</v>
      </c>
      <c r="D152" s="2036">
        <v>89</v>
      </c>
      <c r="E152" s="2037">
        <v>115566.5</v>
      </c>
    </row>
    <row r="153" spans="1:5" hidden="1">
      <c r="A153" s="2037" t="s">
        <v>1232</v>
      </c>
      <c r="B153" s="2037" t="s">
        <v>1233</v>
      </c>
      <c r="C153" s="2038" t="s">
        <v>1058</v>
      </c>
      <c r="D153" s="2037">
        <v>70</v>
      </c>
      <c r="E153" s="2037">
        <v>90895</v>
      </c>
    </row>
    <row r="154" spans="1:5" hidden="1">
      <c r="A154" s="2024" t="s">
        <v>1234</v>
      </c>
      <c r="B154" s="2024" t="s">
        <v>1235</v>
      </c>
      <c r="C154" s="2025" t="s">
        <v>1124</v>
      </c>
      <c r="D154" s="2024">
        <v>1</v>
      </c>
      <c r="E154" s="2024">
        <v>1000</v>
      </c>
    </row>
    <row r="155" spans="1:5" hidden="1">
      <c r="A155" s="2035" t="s">
        <v>1236</v>
      </c>
      <c r="B155" s="2034"/>
      <c r="C155" s="2034"/>
      <c r="D155" s="2034">
        <f>D150+D151+D152+D153+D154</f>
        <v>161.5</v>
      </c>
      <c r="E155" s="2034">
        <f>E150+E151+E152+E153+E154</f>
        <v>209364</v>
      </c>
    </row>
    <row r="156" spans="1:5" hidden="1">
      <c r="A156" s="2035" t="s">
        <v>273</v>
      </c>
      <c r="B156" s="2024"/>
      <c r="C156" s="2024"/>
      <c r="D156" s="2024"/>
      <c r="E156" s="2024"/>
    </row>
    <row r="157" spans="1:5" hidden="1">
      <c r="A157" s="2024" t="s">
        <v>1234</v>
      </c>
      <c r="B157" s="2024" t="s">
        <v>1237</v>
      </c>
      <c r="C157" s="2025" t="s">
        <v>1217</v>
      </c>
      <c r="D157" s="2024">
        <v>2</v>
      </c>
      <c r="E157" s="2024">
        <v>2000</v>
      </c>
    </row>
    <row r="158" spans="1:5" hidden="1">
      <c r="A158" s="2024" t="s">
        <v>1234</v>
      </c>
      <c r="B158" s="2024" t="s">
        <v>1238</v>
      </c>
      <c r="C158" s="2025" t="s">
        <v>1124</v>
      </c>
      <c r="D158" s="2024">
        <v>12</v>
      </c>
      <c r="E158" s="2024">
        <v>12000</v>
      </c>
    </row>
    <row r="159" spans="1:5" hidden="1">
      <c r="A159" s="2036" t="s">
        <v>1239</v>
      </c>
      <c r="B159" s="2036" t="s">
        <v>1240</v>
      </c>
      <c r="C159" s="2025" t="s">
        <v>1217</v>
      </c>
      <c r="D159" s="2036">
        <v>4</v>
      </c>
      <c r="E159" s="2036">
        <v>8800</v>
      </c>
    </row>
    <row r="160" spans="1:5" hidden="1">
      <c r="A160" s="2024" t="s">
        <v>1206</v>
      </c>
      <c r="B160" s="2024" t="s">
        <v>1241</v>
      </c>
      <c r="C160" s="2025" t="s">
        <v>1217</v>
      </c>
      <c r="D160" s="2024">
        <v>0.5</v>
      </c>
      <c r="E160" s="2024">
        <v>550.79999999999995</v>
      </c>
    </row>
    <row r="161" spans="1:5" hidden="1">
      <c r="A161" s="2036" t="s">
        <v>1186</v>
      </c>
      <c r="B161" s="2036" t="s">
        <v>1242</v>
      </c>
      <c r="C161" s="2036" t="s">
        <v>1119</v>
      </c>
      <c r="D161" s="2036">
        <v>5</v>
      </c>
      <c r="E161" s="2036">
        <v>5655</v>
      </c>
    </row>
    <row r="162" spans="1:5" hidden="1">
      <c r="A162" s="2036" t="s">
        <v>1243</v>
      </c>
      <c r="B162" s="2036"/>
      <c r="C162" s="2036"/>
      <c r="D162" s="2036">
        <f>D157+D158+D159+D160+D161</f>
        <v>23.5</v>
      </c>
      <c r="E162" s="2036">
        <f>E157+E158+E159+E160+E161</f>
        <v>29005.8</v>
      </c>
    </row>
    <row r="163" spans="1:5" hidden="1">
      <c r="A163" s="2039" t="s">
        <v>1244</v>
      </c>
      <c r="B163" s="2040"/>
      <c r="C163" s="2040"/>
      <c r="D163" s="2040">
        <v>0</v>
      </c>
      <c r="E163" s="2039">
        <v>0</v>
      </c>
    </row>
    <row r="164" spans="1:5" hidden="1">
      <c r="A164" s="2039" t="s">
        <v>1245</v>
      </c>
      <c r="B164" s="2040"/>
      <c r="C164" s="2040"/>
      <c r="D164" s="2041">
        <f>D148+D155+D162+D163</f>
        <v>663</v>
      </c>
      <c r="E164" s="2040">
        <f>E148+E155+E162+E163</f>
        <v>835614.56</v>
      </c>
    </row>
    <row r="165" spans="1:5" hidden="1">
      <c r="A165" s="2040" t="s">
        <v>274</v>
      </c>
      <c r="B165" s="2036"/>
      <c r="C165" s="2036"/>
      <c r="D165" s="2040">
        <f>D166+D167</f>
        <v>1.5</v>
      </c>
      <c r="E165" s="2040">
        <f>E166+E167</f>
        <v>2078.9300000000003</v>
      </c>
    </row>
    <row r="166" spans="1:5" hidden="1">
      <c r="A166" s="2036" t="s">
        <v>1246</v>
      </c>
      <c r="B166" s="2036" t="s">
        <v>1247</v>
      </c>
      <c r="C166" s="2036" t="s">
        <v>1248</v>
      </c>
      <c r="D166" s="2036">
        <v>1</v>
      </c>
      <c r="E166" s="2036">
        <v>1528.13</v>
      </c>
    </row>
    <row r="167" spans="1:5" hidden="1">
      <c r="A167" s="2036" t="s">
        <v>1221</v>
      </c>
      <c r="B167" s="2036" t="s">
        <v>1249</v>
      </c>
      <c r="C167" s="2036" t="s">
        <v>1250</v>
      </c>
      <c r="D167" s="2036">
        <v>0.5</v>
      </c>
      <c r="E167" s="2036">
        <v>550.79999999999995</v>
      </c>
    </row>
    <row r="168" spans="1:5" hidden="1">
      <c r="A168" s="2040" t="s">
        <v>275</v>
      </c>
      <c r="B168" s="2036"/>
      <c r="C168" s="2036"/>
      <c r="D168" s="2040">
        <f>D169+D170</f>
        <v>9</v>
      </c>
      <c r="E168" s="2040">
        <f>E169+E170</f>
        <v>8791.41</v>
      </c>
    </row>
    <row r="169" spans="1:5" hidden="1">
      <c r="A169" s="2036" t="s">
        <v>1251</v>
      </c>
      <c r="B169" s="2036" t="s">
        <v>1252</v>
      </c>
      <c r="C169" s="2036" t="s">
        <v>1253</v>
      </c>
      <c r="D169" s="2036">
        <v>9</v>
      </c>
      <c r="E169" s="2036">
        <v>10179</v>
      </c>
    </row>
    <row r="170" spans="1:5" hidden="1">
      <c r="A170" s="2042" t="s">
        <v>1254</v>
      </c>
      <c r="B170" s="2032"/>
      <c r="C170" s="2032"/>
      <c r="D170" s="2032"/>
      <c r="E170" s="2042">
        <v>-1387.59</v>
      </c>
    </row>
    <row r="171" spans="1:5" hidden="1">
      <c r="A171" s="2039" t="s">
        <v>1255</v>
      </c>
      <c r="B171" s="2032"/>
      <c r="C171" s="2032"/>
      <c r="D171" s="2043">
        <f>D172</f>
        <v>22</v>
      </c>
      <c r="E171" s="2043">
        <f>E172</f>
        <v>22000</v>
      </c>
    </row>
    <row r="172" spans="1:5" hidden="1">
      <c r="A172" s="2042" t="s">
        <v>1153</v>
      </c>
      <c r="B172" s="2036" t="s">
        <v>1256</v>
      </c>
      <c r="C172" s="2036" t="s">
        <v>1257</v>
      </c>
      <c r="D172" s="2032">
        <v>22</v>
      </c>
      <c r="E172" s="2042">
        <v>22000</v>
      </c>
    </row>
    <row r="173" spans="1:5" hidden="1">
      <c r="A173" s="2039" t="s">
        <v>1258</v>
      </c>
      <c r="B173" s="2043"/>
      <c r="C173" s="2043"/>
      <c r="D173" s="2043">
        <f>D164+D165+D168+D171</f>
        <v>695.5</v>
      </c>
      <c r="E173" s="2043">
        <f>E164+E165+E168+E171</f>
        <v>868484.90000000014</v>
      </c>
    </row>
    <row r="174" spans="1:5" hidden="1"/>
    <row r="175" spans="1:5" hidden="1">
      <c r="A175" s="2019"/>
      <c r="B175" s="2020" t="s">
        <v>1259</v>
      </c>
      <c r="C175" s="2019"/>
      <c r="D175" s="2021"/>
      <c r="E175" s="2021"/>
    </row>
    <row r="176" spans="1:5" hidden="1">
      <c r="A176" s="2021"/>
      <c r="B176" s="2021"/>
      <c r="C176" s="2021"/>
      <c r="D176" s="2021"/>
      <c r="E176" s="2021"/>
    </row>
    <row r="177" spans="1:8" hidden="1">
      <c r="A177" s="2022" t="s">
        <v>1043</v>
      </c>
      <c r="B177" s="2022" t="s">
        <v>1044</v>
      </c>
      <c r="C177" s="2022" t="s">
        <v>1045</v>
      </c>
      <c r="D177" s="2022" t="s">
        <v>1046</v>
      </c>
      <c r="E177" s="2022" t="s">
        <v>45</v>
      </c>
    </row>
    <row r="178" spans="1:8" hidden="1">
      <c r="A178" s="2023" t="s">
        <v>1047</v>
      </c>
      <c r="B178" s="2023" t="s">
        <v>1048</v>
      </c>
      <c r="C178" s="2023"/>
      <c r="D178" s="2023"/>
      <c r="E178" s="2023" t="s">
        <v>190</v>
      </c>
    </row>
    <row r="179" spans="1:8" hidden="1">
      <c r="A179" s="2024"/>
      <c r="B179" s="2020" t="s">
        <v>1260</v>
      </c>
      <c r="C179" s="2024"/>
      <c r="D179" s="2024"/>
      <c r="E179" s="2024"/>
    </row>
    <row r="180" spans="1:8" hidden="1">
      <c r="A180" s="2024" t="s">
        <v>1261</v>
      </c>
      <c r="B180" s="2024" t="s">
        <v>1262</v>
      </c>
      <c r="C180" s="2044" t="s">
        <v>1126</v>
      </c>
      <c r="D180" s="2024">
        <v>44</v>
      </c>
      <c r="E180" s="2024">
        <v>57134</v>
      </c>
    </row>
    <row r="181" spans="1:8" hidden="1">
      <c r="A181" s="2024" t="s">
        <v>1261</v>
      </c>
      <c r="B181" s="2024" t="s">
        <v>1263</v>
      </c>
      <c r="C181" s="2044" t="s">
        <v>1126</v>
      </c>
      <c r="D181" s="2024">
        <v>82</v>
      </c>
      <c r="E181" s="2024">
        <v>106477</v>
      </c>
    </row>
    <row r="182" spans="1:8" hidden="1">
      <c r="A182" s="2024" t="s">
        <v>1108</v>
      </c>
      <c r="B182" s="2024" t="s">
        <v>1264</v>
      </c>
      <c r="C182" s="2044" t="s">
        <v>1265</v>
      </c>
      <c r="D182" s="2024">
        <v>3.2</v>
      </c>
      <c r="E182" s="2024">
        <v>4881.3599999999997</v>
      </c>
    </row>
    <row r="183" spans="1:8" hidden="1">
      <c r="A183" s="2024" t="s">
        <v>1206</v>
      </c>
      <c r="B183" s="2024" t="s">
        <v>1266</v>
      </c>
      <c r="C183" s="2044" t="s">
        <v>1267</v>
      </c>
      <c r="D183" s="2024">
        <v>0.5</v>
      </c>
      <c r="E183" s="2024">
        <v>556.5</v>
      </c>
    </row>
    <row r="184" spans="1:8" hidden="1">
      <c r="A184" s="2024" t="s">
        <v>1206</v>
      </c>
      <c r="B184" s="2024" t="s">
        <v>1268</v>
      </c>
      <c r="C184" s="2044" t="s">
        <v>1269</v>
      </c>
      <c r="D184" s="2024">
        <v>0.5</v>
      </c>
      <c r="E184" s="2024">
        <v>618.29999999999995</v>
      </c>
    </row>
    <row r="185" spans="1:8" hidden="1">
      <c r="A185" s="2024" t="s">
        <v>1153</v>
      </c>
      <c r="B185" s="2024" t="s">
        <v>1270</v>
      </c>
      <c r="C185" s="2044" t="s">
        <v>1271</v>
      </c>
      <c r="D185" s="2024">
        <v>4</v>
      </c>
      <c r="E185" s="2024">
        <v>4000</v>
      </c>
    </row>
    <row r="186" spans="1:8" hidden="1">
      <c r="A186" s="2024" t="s">
        <v>1272</v>
      </c>
      <c r="B186" s="2024" t="s">
        <v>1273</v>
      </c>
      <c r="C186" s="2044" t="s">
        <v>1274</v>
      </c>
      <c r="D186" s="2024">
        <v>37</v>
      </c>
      <c r="E186" s="2024">
        <v>48044.5</v>
      </c>
    </row>
    <row r="187" spans="1:8" hidden="1">
      <c r="A187" s="2024" t="s">
        <v>1153</v>
      </c>
      <c r="B187" s="2024" t="s">
        <v>1275</v>
      </c>
      <c r="C187" s="2044" t="s">
        <v>1271</v>
      </c>
      <c r="D187" s="2024">
        <v>4</v>
      </c>
      <c r="E187" s="2024">
        <v>4000</v>
      </c>
    </row>
    <row r="188" spans="1:8" hidden="1">
      <c r="A188" s="2024" t="s">
        <v>1276</v>
      </c>
      <c r="B188" s="2024" t="s">
        <v>1277</v>
      </c>
      <c r="C188" s="2044"/>
      <c r="D188" s="2024"/>
      <c r="E188" s="2024">
        <v>3573.08</v>
      </c>
    </row>
    <row r="189" spans="1:8" hidden="1">
      <c r="A189" s="2026" t="s">
        <v>1278</v>
      </c>
      <c r="B189" s="2026"/>
      <c r="C189" s="2045"/>
      <c r="D189" s="2026">
        <f>SUM(D180:D188)</f>
        <v>175.2</v>
      </c>
      <c r="E189" s="2026">
        <f>SUM(E180:E188)</f>
        <v>229284.73999999996</v>
      </c>
    </row>
    <row r="190" spans="1:8" hidden="1">
      <c r="A190" s="2035" t="s">
        <v>270</v>
      </c>
      <c r="B190" s="2032"/>
      <c r="C190" s="2046"/>
      <c r="D190" s="2032"/>
      <c r="E190" s="2032"/>
    </row>
    <row r="191" spans="1:8" hidden="1">
      <c r="A191" s="2037" t="s">
        <v>1232</v>
      </c>
      <c r="B191" s="2037" t="s">
        <v>1279</v>
      </c>
      <c r="C191" s="2047" t="s">
        <v>1280</v>
      </c>
      <c r="D191" s="2036">
        <v>118</v>
      </c>
      <c r="E191" s="2037">
        <v>153481</v>
      </c>
      <c r="G191" s="1966">
        <f>E191+E192+E193+E194+E199+E200+E201+E204+E211+E213+E214</f>
        <v>770253.5</v>
      </c>
      <c r="H191" s="1966" t="s">
        <v>1281</v>
      </c>
    </row>
    <row r="192" spans="1:8" hidden="1">
      <c r="A192" s="2037" t="s">
        <v>1261</v>
      </c>
      <c r="B192" s="2037" t="s">
        <v>1282</v>
      </c>
      <c r="C192" s="2047" t="s">
        <v>1280</v>
      </c>
      <c r="D192" s="2036">
        <v>65</v>
      </c>
      <c r="E192" s="2037">
        <v>84402.5</v>
      </c>
    </row>
    <row r="193" spans="1:5" hidden="1">
      <c r="A193" s="2037" t="s">
        <v>1261</v>
      </c>
      <c r="B193" s="2037" t="s">
        <v>1283</v>
      </c>
      <c r="C193" s="2047" t="s">
        <v>1280</v>
      </c>
      <c r="D193" s="2036">
        <v>63</v>
      </c>
      <c r="E193" s="2037">
        <v>81805.5</v>
      </c>
    </row>
    <row r="194" spans="1:5" hidden="1">
      <c r="A194" s="2037" t="s">
        <v>1232</v>
      </c>
      <c r="B194" s="2037" t="s">
        <v>1284</v>
      </c>
      <c r="C194" s="2047" t="s">
        <v>1280</v>
      </c>
      <c r="D194" s="2036">
        <v>48</v>
      </c>
      <c r="E194" s="2037">
        <v>63360</v>
      </c>
    </row>
    <row r="195" spans="1:5" hidden="1">
      <c r="A195" s="2036" t="s">
        <v>1108</v>
      </c>
      <c r="B195" s="2036" t="s">
        <v>1285</v>
      </c>
      <c r="C195" s="2047" t="s">
        <v>1286</v>
      </c>
      <c r="D195" s="2036">
        <v>4</v>
      </c>
      <c r="E195" s="2036">
        <v>3288.14</v>
      </c>
    </row>
    <row r="196" spans="1:5" hidden="1">
      <c r="A196" s="2036" t="s">
        <v>1108</v>
      </c>
      <c r="B196" s="2036" t="s">
        <v>1285</v>
      </c>
      <c r="C196" s="2047" t="s">
        <v>1287</v>
      </c>
      <c r="D196" s="2036">
        <v>2.67</v>
      </c>
      <c r="E196" s="2036">
        <v>4186.0200000000004</v>
      </c>
    </row>
    <row r="197" spans="1:5" hidden="1">
      <c r="A197" s="2036" t="s">
        <v>1108</v>
      </c>
      <c r="B197" s="2036" t="s">
        <v>1288</v>
      </c>
      <c r="C197" s="2047" t="s">
        <v>1287</v>
      </c>
      <c r="D197" s="2036">
        <v>1.25</v>
      </c>
      <c r="E197" s="2036">
        <v>1959.75</v>
      </c>
    </row>
    <row r="198" spans="1:5" hidden="1">
      <c r="A198" s="2036" t="s">
        <v>1108</v>
      </c>
      <c r="B198" s="2036" t="s">
        <v>1289</v>
      </c>
      <c r="C198" s="2047" t="s">
        <v>1290</v>
      </c>
      <c r="D198" s="2036">
        <v>1.5</v>
      </c>
      <c r="E198" s="2036">
        <v>2351.6999999999998</v>
      </c>
    </row>
    <row r="199" spans="1:5" hidden="1">
      <c r="A199" s="2024" t="s">
        <v>1291</v>
      </c>
      <c r="B199" s="2024" t="s">
        <v>1292</v>
      </c>
      <c r="C199" s="2044" t="s">
        <v>1293</v>
      </c>
      <c r="D199" s="2024">
        <v>22</v>
      </c>
      <c r="E199" s="2024">
        <v>24200</v>
      </c>
    </row>
    <row r="200" spans="1:5" hidden="1">
      <c r="A200" s="2024" t="s">
        <v>1291</v>
      </c>
      <c r="B200" s="2024" t="s">
        <v>1294</v>
      </c>
      <c r="C200" s="2044" t="s">
        <v>1293</v>
      </c>
      <c r="D200" s="2024">
        <v>32</v>
      </c>
      <c r="E200" s="2024">
        <v>32000</v>
      </c>
    </row>
    <row r="201" spans="1:5" hidden="1">
      <c r="A201" s="2024" t="s">
        <v>1291</v>
      </c>
      <c r="B201" s="2024" t="s">
        <v>1295</v>
      </c>
      <c r="C201" s="2044" t="s">
        <v>1293</v>
      </c>
      <c r="D201" s="2024">
        <v>18</v>
      </c>
      <c r="E201" s="2024">
        <v>18000</v>
      </c>
    </row>
    <row r="202" spans="1:5" hidden="1">
      <c r="A202" s="2040" t="s">
        <v>1296</v>
      </c>
      <c r="B202" s="2036"/>
      <c r="C202" s="2047"/>
      <c r="D202" s="2040">
        <f>D191+D192+D193+D194+D195+D196+D197+D198+D199+D200+D201</f>
        <v>375.42</v>
      </c>
      <c r="E202" s="2040">
        <f>E191+E192+E193+E194+E195+E196+E197+E198+E199+E200+E201</f>
        <v>469034.61000000004</v>
      </c>
    </row>
    <row r="203" spans="1:5" hidden="1">
      <c r="A203" s="2040" t="s">
        <v>271</v>
      </c>
      <c r="B203" s="2036"/>
      <c r="C203" s="2047"/>
      <c r="D203" s="2036"/>
      <c r="E203" s="2036"/>
    </row>
    <row r="204" spans="1:5" hidden="1">
      <c r="A204" s="2036" t="s">
        <v>1261</v>
      </c>
      <c r="B204" s="2036" t="s">
        <v>1297</v>
      </c>
      <c r="C204" s="2047" t="s">
        <v>1298</v>
      </c>
      <c r="D204" s="2036">
        <v>56</v>
      </c>
      <c r="E204" s="2036">
        <v>72716</v>
      </c>
    </row>
    <row r="205" spans="1:5" hidden="1">
      <c r="A205" s="2036" t="s">
        <v>1299</v>
      </c>
      <c r="B205" s="2036" t="s">
        <v>1300</v>
      </c>
      <c r="C205" s="2047" t="s">
        <v>1301</v>
      </c>
      <c r="D205" s="2036">
        <v>8</v>
      </c>
      <c r="E205" s="2036">
        <v>12000</v>
      </c>
    </row>
    <row r="206" spans="1:5" hidden="1">
      <c r="A206" s="2036" t="s">
        <v>1142</v>
      </c>
      <c r="B206" s="2036" t="s">
        <v>1302</v>
      </c>
      <c r="C206" s="2047" t="s">
        <v>1303</v>
      </c>
      <c r="D206" s="2036">
        <v>6</v>
      </c>
      <c r="E206" s="2036">
        <v>13200</v>
      </c>
    </row>
    <row r="207" spans="1:5" hidden="1">
      <c r="A207" s="2039" t="s">
        <v>1304</v>
      </c>
      <c r="B207" s="2040"/>
      <c r="C207" s="2048"/>
      <c r="D207" s="2040">
        <f>D204+D205+D206</f>
        <v>70</v>
      </c>
      <c r="E207" s="2040">
        <f>E204+E205+E206</f>
        <v>97916</v>
      </c>
    </row>
    <row r="208" spans="1:5" hidden="1">
      <c r="A208" s="2042" t="s">
        <v>272</v>
      </c>
      <c r="B208" s="2032"/>
      <c r="C208" s="2046"/>
      <c r="D208" s="2032"/>
      <c r="E208" s="2042">
        <v>0</v>
      </c>
    </row>
    <row r="209" spans="1:5" hidden="1">
      <c r="A209" s="2049" t="s">
        <v>1305</v>
      </c>
      <c r="B209" s="2032"/>
      <c r="C209" s="2046"/>
      <c r="D209" s="2050">
        <f>D189+D202+D207+D208</f>
        <v>620.62</v>
      </c>
      <c r="E209" s="2050">
        <f>E189+E202+E207+E208</f>
        <v>796235.35</v>
      </c>
    </row>
    <row r="210" spans="1:5" hidden="1">
      <c r="A210" s="2040" t="s">
        <v>1306</v>
      </c>
      <c r="B210" s="2036"/>
      <c r="C210" s="2047"/>
      <c r="D210" s="2036"/>
      <c r="E210" s="2036"/>
    </row>
    <row r="211" spans="1:5" hidden="1">
      <c r="A211" s="2036" t="s">
        <v>1232</v>
      </c>
      <c r="B211" s="2036" t="s">
        <v>1307</v>
      </c>
      <c r="C211" s="2047" t="s">
        <v>1280</v>
      </c>
      <c r="D211" s="2036">
        <v>71</v>
      </c>
      <c r="E211" s="2036">
        <v>92193.5</v>
      </c>
    </row>
    <row r="212" spans="1:5" hidden="1">
      <c r="A212" s="2036" t="s">
        <v>1291</v>
      </c>
      <c r="B212" s="2036" t="s">
        <v>1308</v>
      </c>
      <c r="C212" s="2047" t="s">
        <v>1309</v>
      </c>
      <c r="D212" s="2036">
        <v>29</v>
      </c>
      <c r="E212" s="2036">
        <v>29000</v>
      </c>
    </row>
    <row r="213" spans="1:5" hidden="1">
      <c r="A213" s="2036" t="s">
        <v>1291</v>
      </c>
      <c r="B213" s="2036" t="s">
        <v>1310</v>
      </c>
      <c r="C213" s="2047" t="s">
        <v>1280</v>
      </c>
      <c r="D213" s="2036">
        <v>52</v>
      </c>
      <c r="E213" s="2036">
        <v>57200</v>
      </c>
    </row>
    <row r="214" spans="1:5" hidden="1">
      <c r="A214" s="2036" t="s">
        <v>1232</v>
      </c>
      <c r="B214" s="2036" t="s">
        <v>1311</v>
      </c>
      <c r="C214" s="2047" t="s">
        <v>1280</v>
      </c>
      <c r="D214" s="2036">
        <v>70</v>
      </c>
      <c r="E214" s="2036">
        <v>90895</v>
      </c>
    </row>
    <row r="215" spans="1:5" hidden="1">
      <c r="A215" s="2036" t="s">
        <v>1184</v>
      </c>
      <c r="B215" s="2036" t="s">
        <v>1312</v>
      </c>
      <c r="C215" s="2047" t="s">
        <v>1313</v>
      </c>
      <c r="D215" s="2036">
        <v>0.5</v>
      </c>
      <c r="E215" s="2036">
        <v>618.29999999999995</v>
      </c>
    </row>
    <row r="216" spans="1:5" hidden="1">
      <c r="A216" s="2036" t="s">
        <v>1142</v>
      </c>
      <c r="B216" s="2036" t="s">
        <v>1314</v>
      </c>
      <c r="C216" s="2047" t="s">
        <v>1315</v>
      </c>
      <c r="D216" s="2036">
        <v>2</v>
      </c>
      <c r="E216" s="2036">
        <v>4400</v>
      </c>
    </row>
    <row r="217" spans="1:5" hidden="1">
      <c r="A217" s="2040" t="s">
        <v>1316</v>
      </c>
      <c r="B217" s="2040"/>
      <c r="C217" s="2048"/>
      <c r="D217" s="2040">
        <f>D211+D212+D213+D214+D215+D216</f>
        <v>224.5</v>
      </c>
      <c r="E217" s="2040">
        <f>E211+E212+E213+E214+E215+E216</f>
        <v>274306.8</v>
      </c>
    </row>
    <row r="218" spans="1:5" hidden="1">
      <c r="A218" s="2036" t="s">
        <v>273</v>
      </c>
      <c r="B218" s="2036"/>
      <c r="C218" s="2047"/>
      <c r="D218" s="2036"/>
      <c r="E218" s="2036"/>
    </row>
    <row r="219" spans="1:5" hidden="1">
      <c r="A219" s="2036" t="s">
        <v>1184</v>
      </c>
      <c r="B219" s="2036" t="s">
        <v>1317</v>
      </c>
      <c r="C219" s="2047" t="s">
        <v>1318</v>
      </c>
      <c r="D219" s="2036">
        <v>0.5</v>
      </c>
      <c r="E219" s="2036">
        <v>618.29999999999995</v>
      </c>
    </row>
    <row r="220" spans="1:5" hidden="1">
      <c r="A220" s="2036" t="s">
        <v>1232</v>
      </c>
      <c r="B220" s="2036" t="s">
        <v>1319</v>
      </c>
      <c r="C220" s="2047" t="s">
        <v>1320</v>
      </c>
      <c r="D220" s="2036">
        <v>47</v>
      </c>
      <c r="E220" s="2036">
        <v>61029.5</v>
      </c>
    </row>
    <row r="221" spans="1:5" hidden="1">
      <c r="A221" s="2036" t="s">
        <v>1321</v>
      </c>
      <c r="B221" s="2036" t="s">
        <v>1322</v>
      </c>
      <c r="C221" s="2047" t="s">
        <v>1323</v>
      </c>
      <c r="D221" s="2036">
        <v>4</v>
      </c>
      <c r="E221" s="2036">
        <v>6800</v>
      </c>
    </row>
    <row r="222" spans="1:5" hidden="1">
      <c r="A222" s="2036" t="s">
        <v>1108</v>
      </c>
      <c r="B222" s="2036" t="s">
        <v>1324</v>
      </c>
      <c r="C222" s="2047" t="s">
        <v>1325</v>
      </c>
      <c r="D222" s="2036">
        <v>5.09</v>
      </c>
      <c r="E222" s="2036">
        <v>8058.13</v>
      </c>
    </row>
    <row r="223" spans="1:5" hidden="1">
      <c r="A223" s="2040" t="s">
        <v>1326</v>
      </c>
      <c r="B223" s="2040"/>
      <c r="C223" s="2048"/>
      <c r="D223" s="2040">
        <f>D219+D220+D221+D222</f>
        <v>56.59</v>
      </c>
      <c r="E223" s="2040">
        <f>E219+E220+E221+E222</f>
        <v>76505.930000000008</v>
      </c>
    </row>
    <row r="224" spans="1:5" hidden="1">
      <c r="A224" s="2040" t="s">
        <v>1327</v>
      </c>
      <c r="B224" s="2036"/>
      <c r="C224" s="2047"/>
      <c r="D224" s="2036">
        <f>D223+D217+D209</f>
        <v>901.71</v>
      </c>
      <c r="E224" s="2040">
        <f>E223+E217+E209</f>
        <v>1147048.08</v>
      </c>
    </row>
    <row r="225" spans="1:5" hidden="1">
      <c r="A225" s="2040" t="s">
        <v>274</v>
      </c>
      <c r="B225" s="2036"/>
      <c r="C225" s="2047"/>
      <c r="D225" s="2036"/>
      <c r="E225" s="2040"/>
    </row>
    <row r="226" spans="1:5" hidden="1">
      <c r="A226" s="2036" t="s">
        <v>1184</v>
      </c>
      <c r="B226" s="2036" t="s">
        <v>1328</v>
      </c>
      <c r="C226" s="2047" t="s">
        <v>1313</v>
      </c>
      <c r="D226" s="2036">
        <v>0.5</v>
      </c>
      <c r="E226" s="2036">
        <v>618.29999999999995</v>
      </c>
    </row>
    <row r="227" spans="1:5" hidden="1">
      <c r="A227" s="2042" t="s">
        <v>1232</v>
      </c>
      <c r="B227" s="2042" t="s">
        <v>1329</v>
      </c>
      <c r="C227" s="2051" t="s">
        <v>1320</v>
      </c>
      <c r="D227" s="2042">
        <v>2</v>
      </c>
      <c r="E227" s="2042">
        <v>2640</v>
      </c>
    </row>
    <row r="228" spans="1:5" hidden="1">
      <c r="A228" s="2042" t="s">
        <v>1232</v>
      </c>
      <c r="B228" s="2042" t="s">
        <v>1329</v>
      </c>
      <c r="C228" s="2051" t="s">
        <v>1330</v>
      </c>
      <c r="D228" s="2042">
        <v>1</v>
      </c>
      <c r="E228" s="2042">
        <v>1320</v>
      </c>
    </row>
    <row r="229" spans="1:5" hidden="1">
      <c r="A229" s="2042" t="s">
        <v>1331</v>
      </c>
      <c r="B229" s="2042" t="s">
        <v>1332</v>
      </c>
      <c r="C229" s="2051" t="s">
        <v>1333</v>
      </c>
      <c r="D229" s="2042">
        <v>4</v>
      </c>
      <c r="E229" s="2042">
        <v>6800</v>
      </c>
    </row>
    <row r="230" spans="1:5" hidden="1">
      <c r="A230" s="2040" t="s">
        <v>1334</v>
      </c>
      <c r="B230" s="2040"/>
      <c r="C230" s="2048"/>
      <c r="D230" s="2040">
        <f>D226+D227+D228+D229</f>
        <v>7.5</v>
      </c>
      <c r="E230" s="2040">
        <f>E226+E227+E228+E229</f>
        <v>11378.3</v>
      </c>
    </row>
    <row r="231" spans="1:5" hidden="1">
      <c r="A231" s="2040" t="s">
        <v>1335</v>
      </c>
      <c r="B231" s="2036"/>
      <c r="C231" s="2047"/>
      <c r="D231" s="2036"/>
      <c r="E231" s="2036"/>
    </row>
    <row r="232" spans="1:5" hidden="1">
      <c r="A232" s="2036" t="s">
        <v>1184</v>
      </c>
      <c r="B232" s="2036" t="s">
        <v>1336</v>
      </c>
      <c r="C232" s="2047" t="s">
        <v>1313</v>
      </c>
      <c r="D232" s="2036">
        <v>0.5</v>
      </c>
      <c r="E232" s="2036">
        <v>618.29999999999995</v>
      </c>
    </row>
    <row r="233" spans="1:5" hidden="1">
      <c r="A233" s="2036" t="s">
        <v>1261</v>
      </c>
      <c r="B233" s="2036" t="s">
        <v>1337</v>
      </c>
      <c r="C233" s="2047" t="s">
        <v>1338</v>
      </c>
      <c r="D233" s="2036">
        <v>31</v>
      </c>
      <c r="E233" s="2036">
        <v>40253.5</v>
      </c>
    </row>
    <row r="234" spans="1:5" hidden="1">
      <c r="A234" s="2036" t="s">
        <v>1339</v>
      </c>
      <c r="B234" s="2036"/>
      <c r="C234" s="2047"/>
      <c r="D234" s="2036"/>
      <c r="E234" s="2036">
        <v>-10050.89</v>
      </c>
    </row>
    <row r="235" spans="1:5" hidden="1">
      <c r="A235" s="2036" t="s">
        <v>1340</v>
      </c>
      <c r="B235" s="2036"/>
      <c r="C235" s="2047"/>
      <c r="D235" s="2036">
        <f>D232+D233+D234</f>
        <v>31.5</v>
      </c>
      <c r="E235" s="2036">
        <f>E232+E233+E234</f>
        <v>30820.910000000003</v>
      </c>
    </row>
    <row r="236" spans="1:5" hidden="1">
      <c r="A236" s="2036" t="s">
        <v>1341</v>
      </c>
      <c r="B236" s="2036"/>
      <c r="C236" s="2047"/>
      <c r="D236" s="2036">
        <f>D224+D230+D235</f>
        <v>940.71</v>
      </c>
      <c r="E236" s="2040">
        <f>E224+E230+E235</f>
        <v>1189247.29</v>
      </c>
    </row>
    <row r="237" spans="1:5" hidden="1"/>
    <row r="238" spans="1:5" hidden="1"/>
    <row r="239" spans="1:5" hidden="1">
      <c r="A239" s="2019"/>
      <c r="B239" s="2020" t="s">
        <v>1342</v>
      </c>
      <c r="C239" s="2019"/>
      <c r="D239" s="2021"/>
      <c r="E239" s="2021"/>
    </row>
    <row r="240" spans="1:5" hidden="1">
      <c r="A240" s="2021"/>
      <c r="B240" s="2021"/>
      <c r="C240" s="2021"/>
      <c r="D240" s="2021"/>
      <c r="E240" s="2021"/>
    </row>
    <row r="241" spans="1:5" hidden="1">
      <c r="A241" s="2052" t="s">
        <v>1043</v>
      </c>
      <c r="B241" s="2052" t="s">
        <v>1044</v>
      </c>
      <c r="C241" s="2052" t="s">
        <v>1045</v>
      </c>
      <c r="D241" s="2052" t="s">
        <v>1046</v>
      </c>
      <c r="E241" s="2052" t="s">
        <v>45</v>
      </c>
    </row>
    <row r="242" spans="1:5" hidden="1">
      <c r="A242" s="2053" t="s">
        <v>1047</v>
      </c>
      <c r="B242" s="2053" t="s">
        <v>1048</v>
      </c>
      <c r="C242" s="2053"/>
      <c r="D242" s="2053"/>
      <c r="E242" s="2053" t="s">
        <v>190</v>
      </c>
    </row>
    <row r="243" spans="1:5" hidden="1">
      <c r="A243" s="2034" t="s">
        <v>1343</v>
      </c>
      <c r="B243" s="2020"/>
      <c r="C243" s="2024"/>
      <c r="D243" s="2024"/>
      <c r="E243" s="2024"/>
    </row>
    <row r="244" spans="1:5" hidden="1">
      <c r="A244" s="2024" t="s">
        <v>1344</v>
      </c>
      <c r="B244" s="2025" t="s">
        <v>1345</v>
      </c>
      <c r="C244" s="2025" t="s">
        <v>1346</v>
      </c>
      <c r="D244" s="2025">
        <v>0.83</v>
      </c>
      <c r="E244" s="2025">
        <v>1355.39</v>
      </c>
    </row>
    <row r="245" spans="1:5" hidden="1">
      <c r="A245" s="2035" t="s">
        <v>1347</v>
      </c>
      <c r="B245" s="2054"/>
      <c r="C245" s="2054"/>
      <c r="D245" s="2054"/>
      <c r="E245" s="2054"/>
    </row>
    <row r="246" spans="1:5" hidden="1">
      <c r="A246" s="2037" t="s">
        <v>1261</v>
      </c>
      <c r="B246" s="2038" t="s">
        <v>1348</v>
      </c>
      <c r="C246" s="2055" t="s">
        <v>1349</v>
      </c>
      <c r="D246" s="2055">
        <v>1</v>
      </c>
      <c r="E246" s="2055">
        <v>1500</v>
      </c>
    </row>
    <row r="247" spans="1:5" hidden="1">
      <c r="A247" s="2037" t="s">
        <v>1261</v>
      </c>
      <c r="B247" s="2038" t="s">
        <v>1350</v>
      </c>
      <c r="C247" s="2055" t="s">
        <v>1351</v>
      </c>
      <c r="D247" s="2055">
        <v>32</v>
      </c>
      <c r="E247" s="2055">
        <v>49492.480000000003</v>
      </c>
    </row>
    <row r="248" spans="1:5" hidden="1">
      <c r="A248" s="2035" t="s">
        <v>1352</v>
      </c>
      <c r="B248" s="2056"/>
      <c r="C248" s="2056"/>
      <c r="D248" s="2057">
        <f>D246+D247</f>
        <v>33</v>
      </c>
      <c r="E248" s="2057">
        <f>E246+E247</f>
        <v>50992.480000000003</v>
      </c>
    </row>
    <row r="249" spans="1:5" hidden="1">
      <c r="A249" s="2040" t="s">
        <v>269</v>
      </c>
      <c r="B249" s="2055"/>
      <c r="C249" s="2055"/>
      <c r="D249" s="2055"/>
      <c r="E249" s="2055"/>
    </row>
    <row r="250" spans="1:5" hidden="1">
      <c r="A250" s="2024" t="s">
        <v>1344</v>
      </c>
      <c r="B250" s="2055" t="s">
        <v>1353</v>
      </c>
      <c r="C250" s="2025" t="s">
        <v>1325</v>
      </c>
      <c r="D250" s="2055">
        <v>1</v>
      </c>
      <c r="E250" s="2055">
        <v>1627.12</v>
      </c>
    </row>
    <row r="251" spans="1:5" hidden="1">
      <c r="A251" s="2036" t="s">
        <v>1354</v>
      </c>
      <c r="B251" s="2055" t="s">
        <v>1355</v>
      </c>
      <c r="C251" s="2055" t="s">
        <v>1293</v>
      </c>
      <c r="D251" s="2055">
        <v>64</v>
      </c>
      <c r="E251" s="2055">
        <v>81355.929999999993</v>
      </c>
    </row>
    <row r="252" spans="1:5" hidden="1">
      <c r="A252" s="2035" t="s">
        <v>1356</v>
      </c>
      <c r="B252" s="2057"/>
      <c r="C252" s="2057"/>
      <c r="D252" s="2057">
        <f>D250+D251</f>
        <v>65</v>
      </c>
      <c r="E252" s="2057">
        <f>E250+E251</f>
        <v>82983.049999999988</v>
      </c>
    </row>
    <row r="253" spans="1:5" hidden="1">
      <c r="A253" s="2040" t="s">
        <v>1357</v>
      </c>
      <c r="B253" s="2057"/>
      <c r="C253" s="2057"/>
      <c r="D253" s="2057">
        <f>D244+D248+D252</f>
        <v>98.83</v>
      </c>
      <c r="E253" s="2057">
        <f>E244+E248+E252</f>
        <v>135330.91999999998</v>
      </c>
    </row>
    <row r="254" spans="1:5" hidden="1">
      <c r="A254" s="2040" t="s">
        <v>1358</v>
      </c>
      <c r="B254" s="2055"/>
      <c r="C254" s="2055"/>
      <c r="D254" s="2055"/>
      <c r="E254" s="2055"/>
    </row>
    <row r="255" spans="1:5" ht="24.75" hidden="1" customHeight="1">
      <c r="A255" s="2036" t="s">
        <v>1344</v>
      </c>
      <c r="B255" s="2055" t="s">
        <v>1359</v>
      </c>
      <c r="C255" s="2058" t="s">
        <v>1360</v>
      </c>
      <c r="D255" s="2055">
        <v>0.57999999999999996</v>
      </c>
      <c r="E255" s="2055">
        <v>949.15</v>
      </c>
    </row>
    <row r="256" spans="1:5" hidden="1">
      <c r="A256" s="2040" t="s">
        <v>1361</v>
      </c>
      <c r="B256" s="2055"/>
      <c r="C256" s="2055"/>
      <c r="D256" s="2055"/>
      <c r="E256" s="2055"/>
    </row>
    <row r="257" spans="1:5" ht="23.25" hidden="1">
      <c r="A257" s="2036" t="s">
        <v>1060</v>
      </c>
      <c r="B257" s="2055" t="s">
        <v>1362</v>
      </c>
      <c r="C257" s="2058" t="s">
        <v>1363</v>
      </c>
      <c r="D257" s="2055"/>
      <c r="E257" s="2055">
        <v>625</v>
      </c>
    </row>
    <row r="258" spans="1:5" hidden="1">
      <c r="A258" s="2036" t="s">
        <v>1299</v>
      </c>
      <c r="B258" s="2055" t="s">
        <v>1364</v>
      </c>
      <c r="C258" s="2055" t="s">
        <v>1365</v>
      </c>
      <c r="D258" s="2055">
        <v>1</v>
      </c>
      <c r="E258" s="2055">
        <v>1200</v>
      </c>
    </row>
    <row r="259" spans="1:5" hidden="1">
      <c r="A259" s="2040" t="s">
        <v>1366</v>
      </c>
      <c r="B259" s="2055"/>
      <c r="C259" s="2055"/>
      <c r="D259" s="2057">
        <f>D257+D258</f>
        <v>1</v>
      </c>
      <c r="E259" s="2057">
        <f>E257+E258</f>
        <v>1825</v>
      </c>
    </row>
    <row r="260" spans="1:5" hidden="1">
      <c r="A260" s="2040" t="s">
        <v>272</v>
      </c>
      <c r="B260" s="2055"/>
      <c r="C260" s="2055"/>
      <c r="D260" s="2055"/>
      <c r="E260" s="2055"/>
    </row>
    <row r="261" spans="1:5" hidden="1">
      <c r="A261" s="2036" t="s">
        <v>1367</v>
      </c>
      <c r="B261" s="2055" t="s">
        <v>1368</v>
      </c>
      <c r="C261" s="2055" t="s">
        <v>1318</v>
      </c>
      <c r="D261" s="2055"/>
      <c r="E261" s="2055">
        <v>699.3</v>
      </c>
    </row>
    <row r="262" spans="1:5" hidden="1">
      <c r="A262" s="2036" t="s">
        <v>1367</v>
      </c>
      <c r="B262" s="2055" t="s">
        <v>1369</v>
      </c>
      <c r="C262" s="2055" t="s">
        <v>1318</v>
      </c>
      <c r="D262" s="2055"/>
      <c r="E262" s="2055">
        <v>699.3</v>
      </c>
    </row>
    <row r="263" spans="1:5" hidden="1">
      <c r="A263" s="2036" t="s">
        <v>1261</v>
      </c>
      <c r="B263" s="2055" t="s">
        <v>1370</v>
      </c>
      <c r="C263" s="2055" t="s">
        <v>1371</v>
      </c>
      <c r="D263" s="2055">
        <v>10</v>
      </c>
      <c r="E263" s="2055">
        <v>10000</v>
      </c>
    </row>
    <row r="264" spans="1:5" hidden="1">
      <c r="A264" s="2036" t="s">
        <v>1108</v>
      </c>
      <c r="B264" s="2055" t="s">
        <v>1372</v>
      </c>
      <c r="C264" s="2055" t="s">
        <v>1373</v>
      </c>
      <c r="D264" s="2055">
        <v>0.5</v>
      </c>
      <c r="E264" s="2055">
        <v>813.56</v>
      </c>
    </row>
    <row r="265" spans="1:5" hidden="1">
      <c r="A265" s="2040" t="s">
        <v>1374</v>
      </c>
      <c r="B265" s="2057"/>
      <c r="C265" s="2057"/>
      <c r="D265" s="2057">
        <f>D261+D262+D263+D264</f>
        <v>10.5</v>
      </c>
      <c r="E265" s="2057">
        <f>E261+E264+E262+E263</f>
        <v>12212.16</v>
      </c>
    </row>
    <row r="266" spans="1:5" hidden="1">
      <c r="A266" s="2039" t="s">
        <v>1375</v>
      </c>
      <c r="B266" s="2054"/>
      <c r="C266" s="2054"/>
      <c r="D266" s="2057">
        <f>D253+D255+D259+D265</f>
        <v>110.91</v>
      </c>
      <c r="E266" s="2057">
        <f>E253+E255+E259+E265</f>
        <v>150317.22999999998</v>
      </c>
    </row>
    <row r="267" spans="1:5" hidden="1">
      <c r="A267" s="2059" t="s">
        <v>1376</v>
      </c>
      <c r="B267" s="2055"/>
      <c r="C267" s="2055"/>
      <c r="D267" s="2055"/>
      <c r="E267" s="2055"/>
    </row>
    <row r="268" spans="1:5" hidden="1">
      <c r="A268" s="2036" t="s">
        <v>1377</v>
      </c>
      <c r="B268" s="2055" t="s">
        <v>1378</v>
      </c>
      <c r="C268" s="2055" t="s">
        <v>1280</v>
      </c>
      <c r="D268" s="2055">
        <v>49</v>
      </c>
      <c r="E268" s="2055">
        <v>49000</v>
      </c>
    </row>
    <row r="269" spans="1:5" hidden="1">
      <c r="A269" s="2036" t="s">
        <v>1367</v>
      </c>
      <c r="B269" s="2055" t="s">
        <v>1379</v>
      </c>
      <c r="C269" s="2055" t="s">
        <v>1318</v>
      </c>
      <c r="D269" s="2055"/>
      <c r="E269" s="2055">
        <v>-618.29999999999995</v>
      </c>
    </row>
    <row r="270" spans="1:5" hidden="1">
      <c r="A270" s="2040" t="s">
        <v>1380</v>
      </c>
      <c r="B270" s="2057"/>
      <c r="C270" s="2057"/>
      <c r="D270" s="2057">
        <f>D268+D269</f>
        <v>49</v>
      </c>
      <c r="E270" s="2057">
        <f>E268+E269</f>
        <v>48381.7</v>
      </c>
    </row>
    <row r="271" spans="1:5" hidden="1">
      <c r="A271" s="2040" t="s">
        <v>273</v>
      </c>
      <c r="B271" s="2055"/>
      <c r="C271" s="2055"/>
      <c r="D271" s="2055"/>
      <c r="E271" s="2055"/>
    </row>
    <row r="272" spans="1:5" ht="23.25" hidden="1">
      <c r="A272" s="2036" t="s">
        <v>1239</v>
      </c>
      <c r="B272" s="2055" t="s">
        <v>1381</v>
      </c>
      <c r="C272" s="2058" t="s">
        <v>1382</v>
      </c>
      <c r="D272" s="2055">
        <v>3</v>
      </c>
      <c r="E272" s="2055">
        <v>8400</v>
      </c>
    </row>
    <row r="273" spans="1:5" ht="23.25" hidden="1">
      <c r="A273" s="2036" t="s">
        <v>1383</v>
      </c>
      <c r="B273" s="2055" t="s">
        <v>1384</v>
      </c>
      <c r="C273" s="2058" t="s">
        <v>1385</v>
      </c>
      <c r="D273" s="2055">
        <v>1</v>
      </c>
      <c r="E273" s="2055">
        <v>1500</v>
      </c>
    </row>
    <row r="274" spans="1:5" hidden="1">
      <c r="A274" s="2036" t="s">
        <v>1386</v>
      </c>
      <c r="B274" s="2055" t="s">
        <v>1387</v>
      </c>
      <c r="C274" s="2055" t="s">
        <v>1280</v>
      </c>
      <c r="D274" s="2055">
        <v>19</v>
      </c>
      <c r="E274" s="2055">
        <v>24152.54</v>
      </c>
    </row>
    <row r="275" spans="1:5" hidden="1">
      <c r="A275" s="2040" t="s">
        <v>1243</v>
      </c>
      <c r="B275" s="2055"/>
      <c r="C275" s="2055"/>
      <c r="D275" s="2057">
        <f>D272+D273+D274</f>
        <v>23</v>
      </c>
      <c r="E275" s="2057">
        <f>E272+E273+E274</f>
        <v>34052.54</v>
      </c>
    </row>
    <row r="276" spans="1:5" hidden="1">
      <c r="A276" s="2040" t="s">
        <v>1244</v>
      </c>
      <c r="B276" s="2055"/>
      <c r="C276" s="2055"/>
      <c r="D276" s="2055"/>
      <c r="E276" s="2055"/>
    </row>
    <row r="277" spans="1:5" hidden="1">
      <c r="A277" s="2036" t="s">
        <v>1388</v>
      </c>
      <c r="B277" s="2055" t="s">
        <v>1389</v>
      </c>
      <c r="C277" s="2055" t="s">
        <v>1390</v>
      </c>
      <c r="D277" s="2055">
        <v>2</v>
      </c>
      <c r="E277" s="2055">
        <v>2881.36</v>
      </c>
    </row>
    <row r="278" spans="1:5" hidden="1">
      <c r="A278" s="2040" t="s">
        <v>1391</v>
      </c>
      <c r="B278" s="2055"/>
      <c r="C278" s="2055"/>
      <c r="D278" s="2057">
        <f>SUM(D277)</f>
        <v>2</v>
      </c>
      <c r="E278" s="2057">
        <f>SUM(E277)</f>
        <v>2881.36</v>
      </c>
    </row>
    <row r="279" spans="1:5" hidden="1">
      <c r="A279" s="2040" t="s">
        <v>1392</v>
      </c>
      <c r="B279" s="2055"/>
      <c r="C279" s="2055"/>
      <c r="D279" s="2057">
        <f>D266+D270+D275+D278</f>
        <v>184.91</v>
      </c>
      <c r="E279" s="2057">
        <f>E266+E270+E275+E278</f>
        <v>235632.83</v>
      </c>
    </row>
    <row r="280" spans="1:5" hidden="1">
      <c r="A280" s="2040" t="s">
        <v>1393</v>
      </c>
      <c r="B280" s="2055"/>
      <c r="C280" s="2055"/>
      <c r="D280" s="2055"/>
      <c r="E280" s="2055"/>
    </row>
    <row r="281" spans="1:5" hidden="1">
      <c r="A281" s="2040" t="s">
        <v>275</v>
      </c>
      <c r="B281" s="2055" t="s">
        <v>1394</v>
      </c>
      <c r="C281" s="2055" t="s">
        <v>1395</v>
      </c>
      <c r="D281" s="2055"/>
      <c r="E281" s="2055">
        <v>699.3</v>
      </c>
    </row>
    <row r="282" spans="1:5" hidden="1">
      <c r="A282" s="2040" t="s">
        <v>1335</v>
      </c>
      <c r="B282" s="2055"/>
      <c r="C282" s="2055"/>
      <c r="D282" s="2055"/>
      <c r="E282" s="2055"/>
    </row>
    <row r="283" spans="1:5" hidden="1">
      <c r="A283" s="2036" t="s">
        <v>1261</v>
      </c>
      <c r="B283" s="2055" t="s">
        <v>1396</v>
      </c>
      <c r="C283" s="2055" t="s">
        <v>1397</v>
      </c>
      <c r="D283" s="2055">
        <v>2</v>
      </c>
      <c r="E283" s="2055">
        <v>2000</v>
      </c>
    </row>
    <row r="284" spans="1:5" hidden="1">
      <c r="A284" s="2036" t="s">
        <v>1060</v>
      </c>
      <c r="B284" s="2055" t="s">
        <v>1398</v>
      </c>
      <c r="C284" s="2055" t="s">
        <v>1399</v>
      </c>
      <c r="D284" s="2055"/>
      <c r="E284" s="2055">
        <v>279.66000000000003</v>
      </c>
    </row>
    <row r="285" spans="1:5" hidden="1">
      <c r="A285" s="2036" t="s">
        <v>1108</v>
      </c>
      <c r="B285" s="2055" t="s">
        <v>1400</v>
      </c>
      <c r="C285" s="2055" t="s">
        <v>1401</v>
      </c>
      <c r="D285" s="2055">
        <v>3</v>
      </c>
      <c r="E285" s="2055">
        <v>4881.3599999999997</v>
      </c>
    </row>
    <row r="286" spans="1:5" hidden="1">
      <c r="A286" s="2036" t="s">
        <v>1402</v>
      </c>
      <c r="B286" s="2055" t="s">
        <v>1403</v>
      </c>
      <c r="C286" s="2055" t="s">
        <v>1404</v>
      </c>
      <c r="D286" s="2055">
        <v>7</v>
      </c>
      <c r="E286" s="2055">
        <v>14830.51</v>
      </c>
    </row>
    <row r="287" spans="1:5" hidden="1">
      <c r="A287" s="2036" t="s">
        <v>1402</v>
      </c>
      <c r="B287" s="2055" t="s">
        <v>1403</v>
      </c>
      <c r="C287" s="2055" t="s">
        <v>1405</v>
      </c>
      <c r="D287" s="2055">
        <v>1</v>
      </c>
      <c r="E287" s="2055">
        <v>2400</v>
      </c>
    </row>
    <row r="288" spans="1:5" hidden="1">
      <c r="A288" s="2040" t="s">
        <v>1406</v>
      </c>
      <c r="B288" s="2057"/>
      <c r="C288" s="2057"/>
      <c r="D288" s="2057">
        <f>D283+D284+D285+D286+D287</f>
        <v>13</v>
      </c>
      <c r="E288" s="2057">
        <f>E283+E284+E285+E286+E287</f>
        <v>24391.53</v>
      </c>
    </row>
    <row r="289" spans="1:5" hidden="1">
      <c r="A289" s="2040" t="s">
        <v>1407</v>
      </c>
      <c r="B289" s="2057"/>
      <c r="C289" s="2057"/>
      <c r="D289" s="2057">
        <f>D244+D248+D252+D255+D259+D265+D270+D275+D278+D281+D288</f>
        <v>197.91</v>
      </c>
      <c r="E289" s="2057">
        <f>E244+E248+E252+E255+E259+E265+E270+E275+E278+E281+E288</f>
        <v>260723.65999999997</v>
      </c>
    </row>
    <row r="290" spans="1:5" hidden="1"/>
    <row r="291" spans="1:5" hidden="1">
      <c r="B291" s="1966" t="s">
        <v>1408</v>
      </c>
      <c r="D291" s="1966" t="s">
        <v>1409</v>
      </c>
    </row>
    <row r="292" spans="1:5">
      <c r="A292" s="6494" t="s">
        <v>1467</v>
      </c>
      <c r="B292" s="6495"/>
      <c r="C292" s="6495"/>
      <c r="D292" s="6495"/>
      <c r="E292" s="6495"/>
    </row>
    <row r="293" spans="1:5">
      <c r="A293" s="2022" t="s">
        <v>1043</v>
      </c>
      <c r="B293" s="2052" t="s">
        <v>1044</v>
      </c>
      <c r="C293" s="2052" t="s">
        <v>1045</v>
      </c>
      <c r="D293" s="2052" t="s">
        <v>1046</v>
      </c>
      <c r="E293" s="2052" t="s">
        <v>45</v>
      </c>
    </row>
    <row r="294" spans="1:5">
      <c r="A294" s="2023" t="s">
        <v>1047</v>
      </c>
      <c r="B294" s="2053" t="s">
        <v>1048</v>
      </c>
      <c r="C294" s="2053"/>
      <c r="D294" s="2053"/>
      <c r="E294" s="2053" t="s">
        <v>190</v>
      </c>
    </row>
    <row r="295" spans="1:5">
      <c r="A295" s="2034" t="s">
        <v>1343</v>
      </c>
      <c r="B295" s="2027"/>
      <c r="C295" s="2025"/>
      <c r="D295" s="2025"/>
      <c r="E295" s="2025"/>
    </row>
    <row r="296" spans="1:5">
      <c r="A296" s="2036" t="s">
        <v>1410</v>
      </c>
      <c r="B296" s="2055" t="s">
        <v>1411</v>
      </c>
      <c r="C296" s="2047" t="s">
        <v>1412</v>
      </c>
      <c r="D296" s="2055">
        <v>2.5</v>
      </c>
      <c r="E296" s="2055">
        <v>4067.8</v>
      </c>
    </row>
    <row r="297" spans="1:5">
      <c r="A297" s="2040" t="s">
        <v>268</v>
      </c>
      <c r="B297" s="2055"/>
      <c r="C297" s="2047"/>
      <c r="D297" s="2055"/>
      <c r="E297" s="2055"/>
    </row>
    <row r="298" spans="1:5">
      <c r="A298" s="2036" t="s">
        <v>1410</v>
      </c>
      <c r="B298" s="2055" t="s">
        <v>1413</v>
      </c>
      <c r="C298" s="2047" t="s">
        <v>1414</v>
      </c>
      <c r="D298" s="2055">
        <v>0.5</v>
      </c>
      <c r="E298" s="2055">
        <v>622.88</v>
      </c>
    </row>
    <row r="299" spans="1:5">
      <c r="A299" s="2040" t="s">
        <v>269</v>
      </c>
      <c r="B299" s="2055"/>
      <c r="C299" s="2047"/>
      <c r="D299" s="2055"/>
      <c r="E299" s="2055"/>
    </row>
    <row r="300" spans="1:5">
      <c r="A300" s="2040" t="s">
        <v>270</v>
      </c>
      <c r="B300" s="2055"/>
      <c r="C300" s="2047"/>
      <c r="D300" s="2055"/>
      <c r="E300" s="2055"/>
    </row>
    <row r="301" spans="1:5">
      <c r="A301" s="2036" t="s">
        <v>1415</v>
      </c>
      <c r="B301" s="2055" t="s">
        <v>1416</v>
      </c>
      <c r="C301" s="2047" t="s">
        <v>1417</v>
      </c>
      <c r="D301" s="2055">
        <v>9</v>
      </c>
      <c r="E301" s="2055">
        <v>9000</v>
      </c>
    </row>
    <row r="302" spans="1:5">
      <c r="A302" s="2036" t="s">
        <v>1184</v>
      </c>
      <c r="B302" s="2055" t="s">
        <v>1418</v>
      </c>
      <c r="C302" s="2047" t="s">
        <v>1419</v>
      </c>
      <c r="D302" s="2055"/>
      <c r="E302" s="2055">
        <v>792.5</v>
      </c>
    </row>
    <row r="303" spans="1:5">
      <c r="A303" s="2040" t="s">
        <v>271</v>
      </c>
      <c r="B303" s="2055"/>
      <c r="C303" s="2047"/>
      <c r="D303" s="2055"/>
      <c r="E303" s="2055"/>
    </row>
    <row r="304" spans="1:5">
      <c r="A304" s="2036" t="s">
        <v>1420</v>
      </c>
      <c r="B304" s="2055" t="s">
        <v>1421</v>
      </c>
      <c r="C304" s="2047" t="s">
        <v>1422</v>
      </c>
      <c r="D304" s="2055"/>
      <c r="E304" s="2055">
        <v>9000</v>
      </c>
    </row>
    <row r="305" spans="1:5">
      <c r="A305" s="2036" t="s">
        <v>1420</v>
      </c>
      <c r="B305" s="2055" t="s">
        <v>1423</v>
      </c>
      <c r="C305" s="2047" t="s">
        <v>1422</v>
      </c>
      <c r="D305" s="2055"/>
      <c r="E305" s="2055">
        <v>9000</v>
      </c>
    </row>
    <row r="306" spans="1:5">
      <c r="A306" s="2040" t="s">
        <v>272</v>
      </c>
      <c r="B306" s="2055"/>
      <c r="C306" s="2047"/>
      <c r="D306" s="2055"/>
      <c r="E306" s="2055"/>
    </row>
    <row r="307" spans="1:5">
      <c r="A307" s="2036" t="s">
        <v>1415</v>
      </c>
      <c r="B307" s="2055" t="s">
        <v>1424</v>
      </c>
      <c r="C307" s="2047" t="s">
        <v>1425</v>
      </c>
      <c r="D307" s="2055">
        <v>5</v>
      </c>
      <c r="E307" s="2055">
        <v>6000</v>
      </c>
    </row>
    <row r="308" spans="1:5">
      <c r="A308" s="2036" t="s">
        <v>1426</v>
      </c>
      <c r="B308" s="2055" t="s">
        <v>1427</v>
      </c>
      <c r="C308" s="2047" t="s">
        <v>1428</v>
      </c>
      <c r="D308" s="2055">
        <v>3</v>
      </c>
      <c r="E308" s="2055">
        <v>7200</v>
      </c>
    </row>
    <row r="309" spans="1:5">
      <c r="A309" s="2036" t="s">
        <v>1426</v>
      </c>
      <c r="B309" s="2055" t="s">
        <v>1427</v>
      </c>
      <c r="C309" s="2047" t="s">
        <v>1429</v>
      </c>
      <c r="D309" s="2055">
        <v>6</v>
      </c>
      <c r="E309" s="2055">
        <v>12711.86</v>
      </c>
    </row>
    <row r="310" spans="1:5" ht="23.25">
      <c r="A310" s="2036" t="s">
        <v>1155</v>
      </c>
      <c r="B310" s="2055" t="s">
        <v>1430</v>
      </c>
      <c r="C310" s="2060" t="s">
        <v>1431</v>
      </c>
      <c r="D310" s="2055">
        <v>1</v>
      </c>
      <c r="E310" s="2055">
        <v>1391.81</v>
      </c>
    </row>
    <row r="311" spans="1:5">
      <c r="A311" s="2040" t="s">
        <v>1432</v>
      </c>
      <c r="B311" s="2057"/>
      <c r="C311" s="2057"/>
      <c r="D311" s="2057">
        <f>D296+D298+D301+D304+D305+D307+D308+D309+D310+D302</f>
        <v>27</v>
      </c>
      <c r="E311" s="2057">
        <f>E296+E298+E301+E304+E305+E307+E308+E309+E310+E302</f>
        <v>59786.85</v>
      </c>
    </row>
    <row r="312" spans="1:5">
      <c r="A312" s="2040" t="s">
        <v>1306</v>
      </c>
      <c r="B312" s="2036"/>
      <c r="C312" s="2036"/>
      <c r="D312" s="2036"/>
      <c r="E312" s="2055"/>
    </row>
    <row r="313" spans="1:5">
      <c r="A313" s="2036" t="s">
        <v>1433</v>
      </c>
      <c r="B313" s="2036" t="s">
        <v>1434</v>
      </c>
      <c r="C313" s="2036" t="s">
        <v>1435</v>
      </c>
      <c r="D313" s="2036"/>
      <c r="E313" s="2055">
        <v>1697.03</v>
      </c>
    </row>
    <row r="314" spans="1:5">
      <c r="A314" s="2040" t="s">
        <v>273</v>
      </c>
      <c r="B314" s="2036"/>
      <c r="C314" s="2036"/>
      <c r="D314" s="2036"/>
      <c r="E314" s="2055"/>
    </row>
    <row r="315" spans="1:5" ht="23.25">
      <c r="A315" s="2036" t="s">
        <v>1436</v>
      </c>
      <c r="B315" s="2036" t="s">
        <v>1437</v>
      </c>
      <c r="C315" s="2061" t="s">
        <v>1438</v>
      </c>
      <c r="D315" s="2036">
        <v>1</v>
      </c>
      <c r="E315" s="2055">
        <v>4237.29</v>
      </c>
    </row>
    <row r="316" spans="1:5" ht="23.25">
      <c r="A316" s="2061" t="s">
        <v>1439</v>
      </c>
      <c r="B316" s="2036" t="s">
        <v>1440</v>
      </c>
      <c r="C316" s="2036" t="s">
        <v>1441</v>
      </c>
      <c r="D316" s="2036">
        <v>2</v>
      </c>
      <c r="E316" s="2055">
        <v>3000</v>
      </c>
    </row>
    <row r="317" spans="1:5" ht="23.25">
      <c r="A317" s="2061" t="s">
        <v>1439</v>
      </c>
      <c r="B317" s="2036" t="s">
        <v>1442</v>
      </c>
      <c r="C317" s="2036" t="s">
        <v>1443</v>
      </c>
      <c r="D317" s="2036">
        <v>3.5</v>
      </c>
      <c r="E317" s="2055">
        <v>5250</v>
      </c>
    </row>
    <row r="318" spans="1:5">
      <c r="A318" s="2039" t="s">
        <v>1444</v>
      </c>
      <c r="B318" s="2036"/>
      <c r="C318" s="2036"/>
      <c r="D318" s="2036"/>
      <c r="E318" s="2057">
        <f>E315+E316+E317</f>
        <v>12487.29</v>
      </c>
    </row>
    <row r="319" spans="1:5">
      <c r="A319" s="2042" t="s">
        <v>1445</v>
      </c>
      <c r="B319" s="2036" t="s">
        <v>1446</v>
      </c>
      <c r="C319" s="2036" t="s">
        <v>1447</v>
      </c>
      <c r="D319" s="2036">
        <v>40</v>
      </c>
      <c r="E319" s="2055">
        <v>40680</v>
      </c>
    </row>
    <row r="320" spans="1:5">
      <c r="A320" s="2042" t="s">
        <v>1445</v>
      </c>
      <c r="B320" s="2036" t="s">
        <v>1446</v>
      </c>
      <c r="C320" s="2036" t="s">
        <v>1448</v>
      </c>
      <c r="D320" s="2036">
        <v>40</v>
      </c>
      <c r="E320" s="2055">
        <v>40680</v>
      </c>
    </row>
    <row r="321" spans="1:5">
      <c r="A321" s="2036" t="s">
        <v>1449</v>
      </c>
      <c r="B321" s="2036" t="s">
        <v>1450</v>
      </c>
      <c r="C321" s="2036" t="s">
        <v>1451</v>
      </c>
      <c r="D321" s="2036">
        <v>2</v>
      </c>
      <c r="E321" s="2055">
        <v>2400</v>
      </c>
    </row>
    <row r="322" spans="1:5" ht="23.25">
      <c r="A322" s="2061" t="s">
        <v>1452</v>
      </c>
      <c r="B322" s="2036" t="s">
        <v>1453</v>
      </c>
      <c r="C322" s="2036" t="s">
        <v>1454</v>
      </c>
      <c r="D322" s="2036">
        <v>1</v>
      </c>
      <c r="E322" s="2055">
        <v>1500</v>
      </c>
    </row>
    <row r="323" spans="1:5">
      <c r="A323" s="2042" t="s">
        <v>1445</v>
      </c>
      <c r="B323" s="2036" t="s">
        <v>1455</v>
      </c>
      <c r="C323" s="2036" t="s">
        <v>1447</v>
      </c>
      <c r="D323" s="2036">
        <v>40</v>
      </c>
      <c r="E323" s="2055">
        <v>40680</v>
      </c>
    </row>
    <row r="324" spans="1:5">
      <c r="A324" s="2042" t="s">
        <v>1445</v>
      </c>
      <c r="B324" s="2036" t="s">
        <v>1455</v>
      </c>
      <c r="C324" s="2036" t="s">
        <v>1448</v>
      </c>
      <c r="D324" s="2036">
        <v>40</v>
      </c>
      <c r="E324" s="2055">
        <v>40680</v>
      </c>
    </row>
    <row r="325" spans="1:5">
      <c r="A325" s="2036" t="s">
        <v>1456</v>
      </c>
      <c r="B325" s="2036" t="s">
        <v>1457</v>
      </c>
      <c r="C325" s="2036" t="s">
        <v>1458</v>
      </c>
      <c r="D325" s="2036">
        <v>2</v>
      </c>
      <c r="E325" s="2055">
        <v>3000</v>
      </c>
    </row>
    <row r="326" spans="1:5">
      <c r="A326" s="2036" t="s">
        <v>1155</v>
      </c>
      <c r="B326" s="2036" t="s">
        <v>1459</v>
      </c>
      <c r="C326" s="2036" t="s">
        <v>1460</v>
      </c>
      <c r="D326" s="2036">
        <v>3</v>
      </c>
      <c r="E326" s="2055">
        <v>4034.16</v>
      </c>
    </row>
    <row r="327" spans="1:5" ht="23.25">
      <c r="A327" s="2061" t="s">
        <v>1452</v>
      </c>
      <c r="B327" s="2036" t="s">
        <v>1461</v>
      </c>
      <c r="C327" s="2036" t="s">
        <v>1462</v>
      </c>
      <c r="D327" s="2036">
        <v>2</v>
      </c>
      <c r="E327" s="2055">
        <v>3000</v>
      </c>
    </row>
    <row r="328" spans="1:5">
      <c r="A328" s="2040" t="s">
        <v>1444</v>
      </c>
      <c r="B328" s="2040"/>
      <c r="C328" s="2040"/>
      <c r="D328" s="2040">
        <f>SUM(D319:D327)</f>
        <v>170</v>
      </c>
      <c r="E328" s="2057">
        <f>SUM(E319:E327)</f>
        <v>176654.16</v>
      </c>
    </row>
    <row r="329" spans="1:5">
      <c r="A329" s="2040" t="s">
        <v>1463</v>
      </c>
      <c r="B329" s="2040"/>
      <c r="C329" s="2040"/>
      <c r="D329" s="2040">
        <f>D311+D313+D318+D328</f>
        <v>197</v>
      </c>
      <c r="E329" s="2057">
        <f>E311+E313+E318+E328</f>
        <v>250625.33000000002</v>
      </c>
    </row>
    <row r="330" spans="1:5">
      <c r="A330" s="2036" t="s">
        <v>46</v>
      </c>
      <c r="B330" s="6496"/>
      <c r="C330" s="6497"/>
      <c r="D330" s="6497"/>
      <c r="E330" s="2036">
        <f>SUM(E296+E298+E301+E302+E304+E305+E307+E308+E309+E310+E313+E315+E316+E325+E326)</f>
        <v>75755.33</v>
      </c>
    </row>
    <row r="331" spans="1:5">
      <c r="A331" s="2036" t="s">
        <v>47</v>
      </c>
      <c r="B331" s="6497"/>
      <c r="C331" s="6497"/>
      <c r="D331" s="6497"/>
      <c r="E331" s="2062">
        <f>SUM(E317+E319+E320+E321+E322+E323+E324+E327)</f>
        <v>174870</v>
      </c>
    </row>
    <row r="332" spans="1:5">
      <c r="A332" s="2040" t="s">
        <v>1464</v>
      </c>
      <c r="B332" s="6497"/>
      <c r="C332" s="6497"/>
      <c r="D332" s="6497"/>
      <c r="E332" s="2063">
        <f>SUM(E329/9*12)</f>
        <v>334167.10666666669</v>
      </c>
    </row>
    <row r="333" spans="1:5">
      <c r="A333" s="2039" t="s">
        <v>46</v>
      </c>
      <c r="B333" s="6497"/>
      <c r="C333" s="6497"/>
      <c r="D333" s="6497"/>
      <c r="E333" s="2062">
        <f>SUM(E330/E329)*E332</f>
        <v>101007.10666666666</v>
      </c>
    </row>
    <row r="334" spans="1:5">
      <c r="A334" s="2039" t="s">
        <v>47</v>
      </c>
      <c r="B334" s="6497"/>
      <c r="C334" s="6497"/>
      <c r="D334" s="6497"/>
      <c r="E334" s="2064">
        <f>SUM(E331/E329)*E332</f>
        <v>233160</v>
      </c>
    </row>
    <row r="335" spans="1:5">
      <c r="A335" s="6498" t="s">
        <v>1466</v>
      </c>
      <c r="B335" s="6499"/>
      <c r="C335" s="6499"/>
      <c r="D335" s="6499"/>
      <c r="E335" s="6499"/>
    </row>
    <row r="336" spans="1:5">
      <c r="A336" s="2039" t="s">
        <v>1465</v>
      </c>
      <c r="B336" s="6497"/>
      <c r="C336" s="6497"/>
      <c r="D336" s="6497"/>
      <c r="E336" s="2064">
        <v>0</v>
      </c>
    </row>
    <row r="337" spans="1:5">
      <c r="A337" s="2039" t="s">
        <v>46</v>
      </c>
      <c r="B337" s="6497"/>
      <c r="C337" s="6497"/>
      <c r="D337" s="6497"/>
      <c r="E337" s="2062">
        <v>0</v>
      </c>
    </row>
    <row r="338" spans="1:5">
      <c r="A338" s="2039" t="s">
        <v>47</v>
      </c>
      <c r="B338" s="6497"/>
      <c r="C338" s="6497"/>
      <c r="D338" s="6497"/>
      <c r="E338" s="2062">
        <v>0</v>
      </c>
    </row>
  </sheetData>
  <mergeCells count="4">
    <mergeCell ref="A292:E292"/>
    <mergeCell ref="B330:D334"/>
    <mergeCell ref="A335:E335"/>
    <mergeCell ref="B336:D338"/>
  </mergeCells>
  <printOptions horizontalCentered="1"/>
  <pageMargins left="0.31496062992125984" right="0.31496062992125984" top="0.74803149606299213" bottom="0.55118110236220474" header="0.31496062992125984" footer="0.31496062992125984"/>
  <pageSetup paperSize="9" scale="87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>
  <sheetPr>
    <tabColor rgb="FFFF0000"/>
  </sheetPr>
  <dimension ref="A1:J37"/>
  <sheetViews>
    <sheetView workbookViewId="0">
      <selection sqref="A1:J36"/>
    </sheetView>
  </sheetViews>
  <sheetFormatPr defaultRowHeight="12.75"/>
  <cols>
    <col min="1" max="1" width="29.140625" customWidth="1"/>
    <col min="2" max="2" width="12.28515625" customWidth="1"/>
    <col min="3" max="3" width="9.7109375" customWidth="1"/>
    <col min="4" max="4" width="15.85546875" customWidth="1"/>
    <col min="5" max="5" width="12.28515625" customWidth="1"/>
    <col min="6" max="6" width="9.7109375" customWidth="1"/>
    <col min="7" max="7" width="17.28515625" customWidth="1"/>
    <col min="8" max="8" width="11" customWidth="1"/>
    <col min="10" max="10" width="15.85546875" customWidth="1"/>
  </cols>
  <sheetData>
    <row r="1" spans="1:7" ht="13.5" thickBot="1">
      <c r="F1" t="s">
        <v>1540</v>
      </c>
    </row>
    <row r="2" spans="1:7" ht="18.75" thickBot="1">
      <c r="A2" s="6504" t="s">
        <v>843</v>
      </c>
      <c r="B2" s="6504"/>
      <c r="C2" s="6504"/>
      <c r="D2" s="6504"/>
      <c r="E2" s="6505"/>
      <c r="F2" s="6505"/>
      <c r="G2" s="6505"/>
    </row>
    <row r="3" spans="1:7" ht="13.5" thickBot="1">
      <c r="A3" s="6506" t="s">
        <v>297</v>
      </c>
      <c r="B3" s="6506"/>
      <c r="C3" s="6506"/>
      <c r="D3" s="6506"/>
      <c r="E3" s="6507"/>
      <c r="F3" s="6507"/>
      <c r="G3" s="6507"/>
    </row>
    <row r="4" spans="1:7" ht="16.5" thickBot="1">
      <c r="A4" s="6500" t="s">
        <v>656</v>
      </c>
      <c r="B4" s="6500"/>
      <c r="C4" s="6500"/>
      <c r="D4" s="6500"/>
      <c r="E4" s="6500" t="s">
        <v>663</v>
      </c>
      <c r="F4" s="6500"/>
      <c r="G4" s="6500"/>
    </row>
    <row r="5" spans="1:7" ht="38.25">
      <c r="A5" s="806" t="s">
        <v>373</v>
      </c>
      <c r="B5" s="807" t="s">
        <v>413</v>
      </c>
      <c r="C5" s="807" t="s">
        <v>664</v>
      </c>
      <c r="D5" s="808" t="s">
        <v>415</v>
      </c>
      <c r="E5" s="806" t="s">
        <v>413</v>
      </c>
      <c r="F5" s="807" t="s">
        <v>664</v>
      </c>
      <c r="G5" s="808" t="s">
        <v>415</v>
      </c>
    </row>
    <row r="6" spans="1:7" ht="15" customHeight="1">
      <c r="A6" s="787" t="s">
        <v>665</v>
      </c>
      <c r="B6" s="788">
        <f>объемы!J39</f>
        <v>5800.03</v>
      </c>
      <c r="C6" s="789"/>
      <c r="D6" s="790"/>
      <c r="E6" s="809">
        <f>SUM(объемы!T39)</f>
        <v>5757.92</v>
      </c>
      <c r="F6" s="789"/>
      <c r="G6" s="790"/>
    </row>
    <row r="7" spans="1:7" ht="15" customHeight="1">
      <c r="A7" s="787" t="s">
        <v>24</v>
      </c>
      <c r="B7" s="788">
        <f>объемы!J50</f>
        <v>2800</v>
      </c>
      <c r="C7" s="789">
        <v>70</v>
      </c>
      <c r="D7" s="792">
        <f>B7*C7/1000</f>
        <v>196</v>
      </c>
      <c r="E7" s="809">
        <f>SUM(объемы!T50)</f>
        <v>2428.56</v>
      </c>
      <c r="F7" s="789">
        <v>93</v>
      </c>
      <c r="G7" s="792">
        <f>E7*F7/1000</f>
        <v>225.85607999999999</v>
      </c>
    </row>
    <row r="8" spans="1:7" ht="15" customHeight="1">
      <c r="A8" s="787" t="s">
        <v>265</v>
      </c>
      <c r="B8" s="788">
        <f>объемы!J52</f>
        <v>1192</v>
      </c>
      <c r="C8" s="789">
        <v>306</v>
      </c>
      <c r="D8" s="792">
        <f>B8*C8/1000</f>
        <v>364.75200000000001</v>
      </c>
      <c r="E8" s="809">
        <f>SUM(объемы!T52+объемы!T51+объемы!T53)</f>
        <v>1582.077</v>
      </c>
      <c r="F8" s="789">
        <v>341</v>
      </c>
      <c r="G8" s="792">
        <f>E8*F8/1000</f>
        <v>539.48825699999998</v>
      </c>
    </row>
    <row r="9" spans="1:7" ht="15" customHeight="1">
      <c r="A9" s="787" t="s">
        <v>409</v>
      </c>
      <c r="B9" s="788">
        <f>объемы!J42</f>
        <v>754</v>
      </c>
      <c r="C9" s="789">
        <v>306</v>
      </c>
      <c r="D9" s="792">
        <f>B9*C9/1000</f>
        <v>230.72399999999999</v>
      </c>
      <c r="E9" s="809">
        <f>SUM(объемы!T42)</f>
        <v>750</v>
      </c>
      <c r="F9" s="789">
        <v>341</v>
      </c>
      <c r="G9" s="792">
        <f>E9*F9/1000</f>
        <v>255.75</v>
      </c>
    </row>
    <row r="10" spans="1:7" ht="15" customHeight="1">
      <c r="A10" s="787" t="s">
        <v>410</v>
      </c>
      <c r="B10" s="788">
        <f>объемы!J47</f>
        <v>1007.9</v>
      </c>
      <c r="C10" s="789"/>
      <c r="D10" s="792"/>
      <c r="E10" s="809">
        <f>SUM(объемы!T47)</f>
        <v>997.3</v>
      </c>
      <c r="F10" s="789"/>
      <c r="G10" s="792"/>
    </row>
    <row r="11" spans="1:7" ht="15" customHeight="1">
      <c r="A11" s="787" t="s">
        <v>411</v>
      </c>
      <c r="B11" s="791">
        <f>B10*B7/(B7+B8)</f>
        <v>706.94388777555105</v>
      </c>
      <c r="C11" s="789">
        <f>C7</f>
        <v>70</v>
      </c>
      <c r="D11" s="792">
        <f>B11*C11/1000</f>
        <v>49.48607214428857</v>
      </c>
      <c r="E11" s="787">
        <f>E10*E7/(E7+E8)</f>
        <v>603.89481471397187</v>
      </c>
      <c r="F11" s="789">
        <v>93</v>
      </c>
      <c r="G11" s="792">
        <f>E11*F11/1000</f>
        <v>56.162217768399387</v>
      </c>
    </row>
    <row r="12" spans="1:7" ht="15" customHeight="1">
      <c r="A12" s="787" t="s">
        <v>412</v>
      </c>
      <c r="B12" s="788">
        <f>B10-B11</f>
        <v>300.95611222444893</v>
      </c>
      <c r="C12" s="789">
        <v>306</v>
      </c>
      <c r="D12" s="792">
        <f>B12*C12/1000</f>
        <v>92.092570340681377</v>
      </c>
      <c r="E12" s="809">
        <f>E10-E11</f>
        <v>393.40518528602809</v>
      </c>
      <c r="F12" s="789">
        <v>341</v>
      </c>
      <c r="G12" s="792">
        <f>E12*F12/1000</f>
        <v>134.1511681825356</v>
      </c>
    </row>
    <row r="13" spans="1:7" ht="15" customHeight="1" thickBot="1">
      <c r="A13" s="810" t="s">
        <v>866</v>
      </c>
      <c r="B13" s="813"/>
      <c r="C13" s="811"/>
      <c r="D13" s="812">
        <f>SUM(D7:D12)</f>
        <v>933.0546424849698</v>
      </c>
      <c r="E13" s="810"/>
      <c r="F13" s="811"/>
      <c r="G13" s="812">
        <f>SUM(G7:G12)</f>
        <v>1211.4077229509351</v>
      </c>
    </row>
    <row r="14" spans="1:7" ht="58.5" customHeight="1">
      <c r="A14" s="1308" t="s">
        <v>867</v>
      </c>
      <c r="B14" s="1309"/>
      <c r="C14" s="1310"/>
      <c r="D14" s="1311"/>
      <c r="E14" s="1310"/>
      <c r="F14" s="1310"/>
      <c r="G14" s="1312">
        <v>1455.14</v>
      </c>
    </row>
    <row r="15" spans="1:7" ht="58.5" customHeight="1" thickBot="1">
      <c r="A15" s="1313" t="s">
        <v>867</v>
      </c>
      <c r="B15" s="1314"/>
      <c r="C15" s="1315"/>
      <c r="D15" s="1316"/>
      <c r="E15" s="1315"/>
      <c r="F15" s="1315"/>
      <c r="G15" s="1317">
        <v>60.06</v>
      </c>
    </row>
    <row r="16" spans="1:7" ht="58.5" customHeight="1" thickBot="1">
      <c r="A16" s="1580" t="s">
        <v>868</v>
      </c>
      <c r="B16" s="1581"/>
      <c r="C16" s="1582"/>
      <c r="D16" s="1583"/>
      <c r="E16" s="1582"/>
      <c r="F16" s="1582"/>
      <c r="G16" s="1584">
        <f>SUM(G14:G15)</f>
        <v>1515.2</v>
      </c>
    </row>
    <row r="17" spans="1:10" ht="15" customHeight="1" thickBot="1">
      <c r="A17" s="6501" t="s">
        <v>416</v>
      </c>
      <c r="B17" s="6502"/>
      <c r="C17" s="6502"/>
      <c r="D17" s="6502"/>
      <c r="E17" s="6502"/>
      <c r="F17" s="6502"/>
      <c r="G17" s="6502"/>
      <c r="H17" s="6502"/>
      <c r="I17" s="6502"/>
      <c r="J17" s="6503"/>
    </row>
    <row r="18" spans="1:10" ht="38.25" hidden="1" customHeight="1">
      <c r="A18" s="1585" t="s">
        <v>373</v>
      </c>
      <c r="B18" s="1586" t="s">
        <v>413</v>
      </c>
      <c r="C18" s="1586" t="s">
        <v>664</v>
      </c>
      <c r="D18" s="1587" t="s">
        <v>415</v>
      </c>
      <c r="E18" s="1585" t="s">
        <v>413</v>
      </c>
      <c r="F18" s="1586" t="s">
        <v>664</v>
      </c>
      <c r="G18" s="1587" t="s">
        <v>415</v>
      </c>
    </row>
    <row r="19" spans="1:10" ht="15" hidden="1" customHeight="1">
      <c r="A19" s="793" t="s">
        <v>665</v>
      </c>
      <c r="B19" s="794">
        <f>объемы!K39</f>
        <v>5561.39</v>
      </c>
      <c r="C19" s="795"/>
      <c r="D19" s="395"/>
      <c r="E19" s="803">
        <f>SUM(объемы!U39)</f>
        <v>5654.317</v>
      </c>
      <c r="F19" s="795"/>
      <c r="G19" s="395"/>
    </row>
    <row r="20" spans="1:10" ht="15" hidden="1" customHeight="1">
      <c r="A20" s="793" t="s">
        <v>24</v>
      </c>
      <c r="B20" s="794">
        <v>2800</v>
      </c>
      <c r="C20" s="795">
        <v>70</v>
      </c>
      <c r="D20" s="796">
        <f>B20*C20/1000</f>
        <v>196</v>
      </c>
      <c r="E20" s="803">
        <f>SUM(объемы!U50)</f>
        <v>2428.56</v>
      </c>
      <c r="F20" s="795">
        <v>93</v>
      </c>
      <c r="G20" s="796">
        <f>E20*F20/1000</f>
        <v>225.85607999999999</v>
      </c>
    </row>
    <row r="21" spans="1:10" ht="15" hidden="1" customHeight="1">
      <c r="A21" s="793" t="s">
        <v>265</v>
      </c>
      <c r="B21" s="794">
        <v>1206.27</v>
      </c>
      <c r="C21" s="795">
        <v>258</v>
      </c>
      <c r="D21" s="796">
        <f>B21*C21/1000</f>
        <v>311.21765999999997</v>
      </c>
      <c r="E21" s="803">
        <f>SUM(объемы!U52+объемы!U51+объемы!U53)</f>
        <v>1560.6570000000002</v>
      </c>
      <c r="F21" s="795">
        <v>341</v>
      </c>
      <c r="G21" s="796">
        <f>E21*F21/1000</f>
        <v>532.18403699999999</v>
      </c>
    </row>
    <row r="22" spans="1:10" ht="15" hidden="1" customHeight="1">
      <c r="A22" s="793" t="s">
        <v>409</v>
      </c>
      <c r="B22" s="794">
        <f>объемы!K42</f>
        <v>557.12</v>
      </c>
      <c r="C22" s="795">
        <v>258</v>
      </c>
      <c r="D22" s="796">
        <f>B22*C22/1000</f>
        <v>143.73695999999998</v>
      </c>
      <c r="E22" s="803">
        <f>SUM(объемы!U42)</f>
        <v>686.4</v>
      </c>
      <c r="F22" s="795">
        <v>341</v>
      </c>
      <c r="G22" s="796">
        <f>E22*F22/1000</f>
        <v>234.0624</v>
      </c>
    </row>
    <row r="23" spans="1:10" ht="15" hidden="1" customHeight="1">
      <c r="A23" s="793" t="s">
        <v>410</v>
      </c>
      <c r="B23" s="794">
        <f>объемы!K47</f>
        <v>998</v>
      </c>
      <c r="C23" s="795"/>
      <c r="D23" s="796"/>
      <c r="E23" s="803">
        <f>SUM(объемы!U47)</f>
        <v>978.7</v>
      </c>
      <c r="F23" s="795"/>
      <c r="G23" s="796"/>
    </row>
    <row r="24" spans="1:10" ht="15" hidden="1" customHeight="1">
      <c r="A24" s="793" t="s">
        <v>411</v>
      </c>
      <c r="B24" s="795">
        <f>B23*B20/(B20+B21)</f>
        <v>697.50665831309425</v>
      </c>
      <c r="C24" s="795">
        <f>C20</f>
        <v>70</v>
      </c>
      <c r="D24" s="796">
        <f>B24*C24/1000</f>
        <v>48.825466081916595</v>
      </c>
      <c r="E24" s="804">
        <f>E23*E20/(E20+E21)</f>
        <v>595.81408381644826</v>
      </c>
      <c r="F24" s="795">
        <f>F20</f>
        <v>93</v>
      </c>
      <c r="G24" s="796">
        <f>E24*F24/1000</f>
        <v>55.410709794929687</v>
      </c>
    </row>
    <row r="25" spans="1:10" ht="15" hidden="1" customHeight="1">
      <c r="A25" s="793" t="s">
        <v>412</v>
      </c>
      <c r="B25" s="794">
        <f>B23-B24</f>
        <v>300.49334168690575</v>
      </c>
      <c r="C25" s="795">
        <v>258</v>
      </c>
      <c r="D25" s="796">
        <f>B25*C25/1000</f>
        <v>77.527282155221684</v>
      </c>
      <c r="E25" s="803">
        <f>E23-E24</f>
        <v>382.88591618355179</v>
      </c>
      <c r="F25" s="795">
        <v>341</v>
      </c>
      <c r="G25" s="796">
        <f>E25*F25/1000</f>
        <v>130.56409741859116</v>
      </c>
    </row>
    <row r="26" spans="1:10" ht="15" hidden="1" customHeight="1" thickBot="1">
      <c r="A26" s="797" t="s">
        <v>414</v>
      </c>
      <c r="B26" s="798"/>
      <c r="C26" s="798"/>
      <c r="D26" s="799">
        <f>SUM(D20:D25)</f>
        <v>777.30736823713823</v>
      </c>
      <c r="E26" s="805"/>
      <c r="F26" s="798"/>
      <c r="G26" s="799">
        <f>SUM(G20:G25)</f>
        <v>1178.077324213521</v>
      </c>
    </row>
    <row r="27" spans="1:10" ht="16.5" thickBot="1">
      <c r="A27" s="6500" t="s">
        <v>663</v>
      </c>
      <c r="B27" s="6500"/>
      <c r="C27" s="6500"/>
      <c r="D27" s="6500"/>
      <c r="E27" s="6500" t="s">
        <v>886</v>
      </c>
      <c r="F27" s="6500"/>
      <c r="G27" s="6500"/>
      <c r="H27" s="6500" t="s">
        <v>887</v>
      </c>
      <c r="I27" s="6500"/>
      <c r="J27" s="6500"/>
    </row>
    <row r="28" spans="1:10" ht="38.25">
      <c r="A28" s="800" t="s">
        <v>373</v>
      </c>
      <c r="B28" s="801" t="s">
        <v>413</v>
      </c>
      <c r="C28" s="801" t="s">
        <v>664</v>
      </c>
      <c r="D28" s="802" t="s">
        <v>415</v>
      </c>
      <c r="E28" s="800" t="s">
        <v>413</v>
      </c>
      <c r="F28" s="801" t="s">
        <v>664</v>
      </c>
      <c r="G28" s="802" t="s">
        <v>415</v>
      </c>
      <c r="H28" s="800" t="s">
        <v>413</v>
      </c>
      <c r="I28" s="801" t="s">
        <v>664</v>
      </c>
      <c r="J28" s="802" t="s">
        <v>415</v>
      </c>
    </row>
    <row r="29" spans="1:10">
      <c r="A29" s="1588" t="s">
        <v>665</v>
      </c>
      <c r="B29" s="1589" t="e">
        <f>объемы!#REF!</f>
        <v>#REF!</v>
      </c>
      <c r="C29" s="1590"/>
      <c r="D29" s="1591"/>
      <c r="E29" s="1592" t="e">
        <f>SUM(объемы!#REF!)</f>
        <v>#REF!</v>
      </c>
      <c r="F29" s="1590"/>
      <c r="G29" s="1591"/>
      <c r="H29" s="1592" t="e">
        <f>SUM(объемы!#REF!)</f>
        <v>#REF!</v>
      </c>
      <c r="I29" s="1590"/>
      <c r="J29" s="1591"/>
    </row>
    <row r="30" spans="1:10">
      <c r="A30" s="1588" t="s">
        <v>24</v>
      </c>
      <c r="B30" s="1589">
        <f>объемы!U50</f>
        <v>2428.56</v>
      </c>
      <c r="C30" s="1590">
        <v>93</v>
      </c>
      <c r="D30" s="1593">
        <f>B30*C30/1000</f>
        <v>225.85607999999999</v>
      </c>
      <c r="E30" s="1592">
        <f>B30</f>
        <v>2428.56</v>
      </c>
      <c r="F30" s="1590">
        <f>107</f>
        <v>107</v>
      </c>
      <c r="G30" s="1593">
        <f>E30*F30/1000</f>
        <v>259.85591999999997</v>
      </c>
      <c r="H30" s="1592">
        <f>E30</f>
        <v>2428.56</v>
      </c>
      <c r="I30" s="1590">
        <v>122</v>
      </c>
      <c r="J30" s="1593">
        <f>H30*I30/1000</f>
        <v>296.28431999999998</v>
      </c>
    </row>
    <row r="31" spans="1:10">
      <c r="A31" s="1588" t="s">
        <v>265</v>
      </c>
      <c r="B31" s="1589">
        <f>объемы!U52+объемы!V51+объемы!U53</f>
        <v>1582.077</v>
      </c>
      <c r="C31" s="1590">
        <v>341</v>
      </c>
      <c r="D31" s="1593">
        <f>B31*C31/1000</f>
        <v>539.48825699999998</v>
      </c>
      <c r="E31" s="1592">
        <f t="shared" ref="E31:E35" si="0">B31</f>
        <v>1582.077</v>
      </c>
      <c r="F31" s="1590">
        <v>392</v>
      </c>
      <c r="G31" s="1593">
        <f>E31*F31/1000</f>
        <v>620.17418399999997</v>
      </c>
      <c r="H31" s="1592">
        <f t="shared" ref="H31:H35" si="1">E31</f>
        <v>1582.077</v>
      </c>
      <c r="I31" s="1590">
        <v>452</v>
      </c>
      <c r="J31" s="1593">
        <f>H31*I31/1000</f>
        <v>715.09880399999997</v>
      </c>
    </row>
    <row r="32" spans="1:10">
      <c r="A32" s="1588" t="s">
        <v>409</v>
      </c>
      <c r="B32" s="1589">
        <f>объемы!U42</f>
        <v>686.4</v>
      </c>
      <c r="C32" s="1590">
        <v>341</v>
      </c>
      <c r="D32" s="1593">
        <f>B32*C32/1000</f>
        <v>234.0624</v>
      </c>
      <c r="E32" s="1592">
        <f t="shared" si="0"/>
        <v>686.4</v>
      </c>
      <c r="F32" s="1590">
        <f>F31</f>
        <v>392</v>
      </c>
      <c r="G32" s="1593">
        <f>E32*F32/1000</f>
        <v>269.06880000000001</v>
      </c>
      <c r="H32" s="1592">
        <f t="shared" si="1"/>
        <v>686.4</v>
      </c>
      <c r="I32" s="1590">
        <f>I31</f>
        <v>452</v>
      </c>
      <c r="J32" s="1593">
        <f>H32*I32/1000</f>
        <v>310.25279999999998</v>
      </c>
    </row>
    <row r="33" spans="1:10">
      <c r="A33" s="1588" t="s">
        <v>410</v>
      </c>
      <c r="B33" s="1589">
        <f>объемы!U47</f>
        <v>978.7</v>
      </c>
      <c r="C33" s="1590"/>
      <c r="D33" s="1593"/>
      <c r="E33" s="1592">
        <f t="shared" si="0"/>
        <v>978.7</v>
      </c>
      <c r="F33" s="1590"/>
      <c r="G33" s="1593"/>
      <c r="H33" s="1592">
        <f t="shared" si="1"/>
        <v>978.7</v>
      </c>
      <c r="I33" s="1590"/>
      <c r="J33" s="1593"/>
    </row>
    <row r="34" spans="1:10">
      <c r="A34" s="1588" t="s">
        <v>411</v>
      </c>
      <c r="B34" s="1589">
        <f>B33*B30/(B30+B31)</f>
        <v>592.63196145649692</v>
      </c>
      <c r="C34" s="1590">
        <f>C30</f>
        <v>93</v>
      </c>
      <c r="D34" s="1593">
        <f>B34*C34/1000</f>
        <v>55.114772415454219</v>
      </c>
      <c r="E34" s="1592">
        <f t="shared" si="0"/>
        <v>592.63196145649692</v>
      </c>
      <c r="F34" s="1590">
        <f>F30</f>
        <v>107</v>
      </c>
      <c r="G34" s="1593">
        <f>E34*F34/1000</f>
        <v>63.411619875845169</v>
      </c>
      <c r="H34" s="1592">
        <f t="shared" si="1"/>
        <v>592.63196145649692</v>
      </c>
      <c r="I34" s="1590">
        <f>I30</f>
        <v>122</v>
      </c>
      <c r="J34" s="1593">
        <f>H34*I34/1000</f>
        <v>72.301099297692616</v>
      </c>
    </row>
    <row r="35" spans="1:10">
      <c r="A35" s="1588" t="s">
        <v>412</v>
      </c>
      <c r="B35" s="1589">
        <f>B33-B34</f>
        <v>386.06803854350312</v>
      </c>
      <c r="C35" s="1590">
        <v>341</v>
      </c>
      <c r="D35" s="1593">
        <f>B35*C35/1000</f>
        <v>131.64920114333455</v>
      </c>
      <c r="E35" s="1592">
        <f t="shared" si="0"/>
        <v>386.06803854350312</v>
      </c>
      <c r="F35" s="1590">
        <f>F32</f>
        <v>392</v>
      </c>
      <c r="G35" s="1593">
        <f>E35*F35/1000</f>
        <v>151.33867110905322</v>
      </c>
      <c r="H35" s="1592">
        <f t="shared" si="1"/>
        <v>386.06803854350312</v>
      </c>
      <c r="I35" s="1590">
        <f>I32</f>
        <v>452</v>
      </c>
      <c r="J35" s="1593">
        <f>H35*I35/1000</f>
        <v>174.50275342166341</v>
      </c>
    </row>
    <row r="36" spans="1:10" ht="13.5" thickBot="1">
      <c r="A36" s="797" t="s">
        <v>866</v>
      </c>
      <c r="B36" s="1594"/>
      <c r="C36" s="1595"/>
      <c r="D36" s="1596">
        <f>SUM(D30:D35)</f>
        <v>1186.1707105587886</v>
      </c>
      <c r="E36" s="797"/>
      <c r="F36" s="1595"/>
      <c r="G36" s="1596">
        <f>SUM(G30:G35)</f>
        <v>1363.8491949848983</v>
      </c>
      <c r="H36" s="797"/>
      <c r="I36" s="1595"/>
      <c r="J36" s="1596">
        <f>SUM(J30:J35)</f>
        <v>1568.4397767193559</v>
      </c>
    </row>
    <row r="37" spans="1:10">
      <c r="G37" s="1922">
        <f>G36/D36</f>
        <v>1.1497916639186005</v>
      </c>
      <c r="J37" s="1922">
        <f>J36/G36</f>
        <v>1.1500096803127291</v>
      </c>
    </row>
  </sheetData>
  <mergeCells count="8">
    <mergeCell ref="A27:D27"/>
    <mergeCell ref="E27:G27"/>
    <mergeCell ref="H27:J27"/>
    <mergeCell ref="A17:J17"/>
    <mergeCell ref="A2:G2"/>
    <mergeCell ref="A3:G3"/>
    <mergeCell ref="A4:D4"/>
    <mergeCell ref="E4:G4"/>
  </mergeCells>
  <phoneticPr fontId="9" type="noConversion"/>
  <printOptions horizontalCentered="1"/>
  <pageMargins left="0.35433070866141736" right="0.35433070866141736" top="0.74803149606299213" bottom="0.55118110236220474" header="0.51181102362204722" footer="0.51181102362204722"/>
  <pageSetup paperSize="9" scale="85" orientation="landscape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M15"/>
  <sheetViews>
    <sheetView topLeftCell="E1" zoomScaleSheetLayoutView="75" workbookViewId="0">
      <selection activeCell="I15" sqref="I15"/>
    </sheetView>
  </sheetViews>
  <sheetFormatPr defaultRowHeight="15"/>
  <cols>
    <col min="1" max="1" width="23.42578125" style="1966" customWidth="1"/>
    <col min="2" max="2" width="10.140625" style="1966" customWidth="1"/>
    <col min="3" max="3" width="16.5703125" style="1966" customWidth="1"/>
    <col min="4" max="4" width="15.85546875" style="1966" customWidth="1"/>
    <col min="5" max="5" width="14.85546875" style="1966" customWidth="1"/>
    <col min="6" max="6" width="16.5703125" style="1966" customWidth="1"/>
    <col min="7" max="7" width="21.42578125" style="1966" customWidth="1"/>
    <col min="8" max="8" width="9.140625" style="1966"/>
    <col min="9" max="11" width="14.7109375" style="1966" customWidth="1"/>
    <col min="12" max="12" width="17.5703125" style="1966" customWidth="1"/>
    <col min="13" max="13" width="31.5703125" style="1966" customWidth="1"/>
    <col min="14" max="16384" width="9.140625" style="1966"/>
  </cols>
  <sheetData>
    <row r="1" spans="1:13">
      <c r="E1" s="2206" t="s">
        <v>1541</v>
      </c>
    </row>
    <row r="2" spans="1:13" ht="33.75" customHeight="1">
      <c r="A2" s="6512" t="s">
        <v>1004</v>
      </c>
      <c r="B2" s="6512"/>
      <c r="C2" s="6512"/>
      <c r="D2" s="6512"/>
      <c r="E2" s="6512"/>
      <c r="F2" s="6512"/>
      <c r="G2" s="6513" t="s">
        <v>1686</v>
      </c>
      <c r="H2" s="6513"/>
      <c r="I2" s="6513"/>
      <c r="J2" s="6513"/>
      <c r="K2" s="6513"/>
      <c r="L2" s="6513"/>
      <c r="M2" s="6513"/>
    </row>
    <row r="3" spans="1:13">
      <c r="A3" s="6508" t="s">
        <v>1005</v>
      </c>
      <c r="B3" s="6508" t="s">
        <v>1006</v>
      </c>
      <c r="C3" s="2070" t="s">
        <v>361</v>
      </c>
      <c r="D3" s="2070" t="s">
        <v>351</v>
      </c>
      <c r="E3" s="2070" t="s">
        <v>1477</v>
      </c>
      <c r="F3" s="6510" t="s">
        <v>246</v>
      </c>
      <c r="G3" s="6514" t="s">
        <v>1005</v>
      </c>
      <c r="H3" s="6514" t="s">
        <v>1006</v>
      </c>
      <c r="I3" s="2937" t="s">
        <v>361</v>
      </c>
      <c r="J3" s="2937" t="s">
        <v>351</v>
      </c>
      <c r="K3" s="2937" t="s">
        <v>1477</v>
      </c>
      <c r="L3" s="6518" t="s">
        <v>1685</v>
      </c>
      <c r="M3" s="6516" t="s">
        <v>246</v>
      </c>
    </row>
    <row r="4" spans="1:13" ht="27" customHeight="1">
      <c r="A4" s="6509"/>
      <c r="B4" s="6509"/>
      <c r="C4" s="2070" t="s">
        <v>1007</v>
      </c>
      <c r="D4" s="2070" t="s">
        <v>1007</v>
      </c>
      <c r="E4" s="2070" t="s">
        <v>1007</v>
      </c>
      <c r="F4" s="6511"/>
      <c r="G4" s="6515"/>
      <c r="H4" s="6515"/>
      <c r="I4" s="2937" t="s">
        <v>1007</v>
      </c>
      <c r="J4" s="2937" t="s">
        <v>1007</v>
      </c>
      <c r="K4" s="2937" t="s">
        <v>1007</v>
      </c>
      <c r="L4" s="6519"/>
      <c r="M4" s="6517"/>
    </row>
    <row r="5" spans="1:13" ht="30">
      <c r="A5" s="1969" t="s">
        <v>1468</v>
      </c>
      <c r="B5" s="1967" t="s">
        <v>1008</v>
      </c>
      <c r="C5" s="1970">
        <v>94861.048999999999</v>
      </c>
      <c r="D5" s="2069">
        <v>71225.517999999996</v>
      </c>
      <c r="E5" s="2069">
        <v>3130.4870000000001</v>
      </c>
      <c r="F5" s="1967" t="s">
        <v>1475</v>
      </c>
      <c r="G5" s="2938" t="s">
        <v>1689</v>
      </c>
      <c r="H5" s="2939" t="s">
        <v>1008</v>
      </c>
      <c r="I5" s="2940">
        <f>94861.05+(L5/2)</f>
        <v>95000.930000000008</v>
      </c>
      <c r="J5" s="2941">
        <f>71225.52+(L5/2)</f>
        <v>71365.400000000009</v>
      </c>
      <c r="K5" s="2941">
        <v>3130.49</v>
      </c>
      <c r="L5" s="2942">
        <v>279.76</v>
      </c>
      <c r="M5" s="2943"/>
    </row>
    <row r="6" spans="1:13" ht="42.75" customHeight="1">
      <c r="A6" s="2067" t="s">
        <v>1474</v>
      </c>
      <c r="B6" s="1967" t="s">
        <v>1008</v>
      </c>
      <c r="C6" s="2069">
        <v>1106.2370000000001</v>
      </c>
      <c r="D6" s="2069">
        <v>1538.848</v>
      </c>
      <c r="E6" s="2069">
        <v>99.817999999999998</v>
      </c>
      <c r="F6" s="2068" t="s">
        <v>1475</v>
      </c>
      <c r="G6" s="2944" t="s">
        <v>1687</v>
      </c>
      <c r="H6" s="2939" t="s">
        <v>1008</v>
      </c>
      <c r="I6" s="2941">
        <f>SUM(106026.87-102197.89+90000)</f>
        <v>93828.98</v>
      </c>
      <c r="J6" s="2941">
        <f>118846.33-119658.42+1900</f>
        <v>1087.9100000000035</v>
      </c>
      <c r="K6" s="2941">
        <v>100</v>
      </c>
      <c r="L6" s="2942">
        <v>0</v>
      </c>
      <c r="M6" s="2945" t="s">
        <v>1688</v>
      </c>
    </row>
    <row r="7" spans="1:13" ht="45">
      <c r="A7" s="1969" t="s">
        <v>1476</v>
      </c>
      <c r="B7" s="1967" t="s">
        <v>1008</v>
      </c>
      <c r="C7" s="1970">
        <f>6102.07/3*4</f>
        <v>8136.0933333333332</v>
      </c>
      <c r="D7" s="2069">
        <f>3628.35/3*4</f>
        <v>4837.8</v>
      </c>
      <c r="E7" s="2069">
        <f>'ОХР '!AI23/3*4</f>
        <v>150.02666666666667</v>
      </c>
      <c r="F7" s="1967" t="s">
        <v>1478</v>
      </c>
      <c r="G7" s="2938" t="s">
        <v>1476</v>
      </c>
      <c r="H7" s="2939" t="s">
        <v>1008</v>
      </c>
      <c r="I7" s="2940">
        <f>8850.23+4473.91+ (L7/2)</f>
        <v>13334.654999999999</v>
      </c>
      <c r="J7" s="2941">
        <f>5124.24-4723.94+(L7/2)</f>
        <v>410.81500000000017</v>
      </c>
      <c r="K7" s="2941">
        <v>96.79</v>
      </c>
      <c r="L7" s="2942">
        <v>21.03</v>
      </c>
      <c r="M7" s="2943"/>
    </row>
    <row r="8" spans="1:13" ht="30">
      <c r="A8" s="1969" t="s">
        <v>1009</v>
      </c>
      <c r="B8" s="1967" t="s">
        <v>1008</v>
      </c>
      <c r="C8" s="1970">
        <f>C5+C6-C7</f>
        <v>87831.192666666655</v>
      </c>
      <c r="D8" s="1970">
        <f>D5+D6-D7</f>
        <v>67926.565999999992</v>
      </c>
      <c r="E8" s="1970">
        <f>E5+E6-E7</f>
        <v>3080.2783333333336</v>
      </c>
      <c r="F8" s="1968"/>
      <c r="G8" s="2938" t="s">
        <v>1690</v>
      </c>
      <c r="H8" s="2939" t="s">
        <v>1008</v>
      </c>
      <c r="I8" s="2940">
        <f>I5+I6-I7+(L8/2)</f>
        <v>175624.62</v>
      </c>
      <c r="J8" s="2940">
        <f>J5+J6-J7+(L8/2)</f>
        <v>72171.860000000015</v>
      </c>
      <c r="K8" s="2940">
        <f>K5+K6-K7</f>
        <v>3133.7</v>
      </c>
      <c r="L8" s="2940">
        <f>L5+L6-L7</f>
        <v>258.73</v>
      </c>
      <c r="M8" s="2946"/>
    </row>
    <row r="9" spans="1:13" ht="30">
      <c r="A9" s="1969" t="s">
        <v>1010</v>
      </c>
      <c r="B9" s="1967" t="s">
        <v>1008</v>
      </c>
      <c r="C9" s="1970">
        <f>C8</f>
        <v>87831.192666666655</v>
      </c>
      <c r="D9" s="1970">
        <f>D8</f>
        <v>67926.565999999992</v>
      </c>
      <c r="E9" s="1970">
        <f>E8</f>
        <v>3080.2783333333336</v>
      </c>
      <c r="F9" s="1968"/>
      <c r="G9" s="2938" t="s">
        <v>1012</v>
      </c>
      <c r="H9" s="2939" t="s">
        <v>44</v>
      </c>
      <c r="I9" s="2947">
        <v>2.2000000000000002</v>
      </c>
      <c r="J9" s="2947">
        <v>2.2000000000000002</v>
      </c>
      <c r="K9" s="2947">
        <v>2.2000000000000002</v>
      </c>
      <c r="L9" s="2947">
        <v>2.2000000000000002</v>
      </c>
      <c r="M9" s="2946"/>
    </row>
    <row r="10" spans="1:13" ht="45">
      <c r="A10" s="2067" t="s">
        <v>1474</v>
      </c>
      <c r="B10" s="2068"/>
      <c r="C10" s="2069">
        <v>0</v>
      </c>
      <c r="D10" s="2069">
        <v>0</v>
      </c>
      <c r="E10" s="2069">
        <v>0</v>
      </c>
      <c r="F10" s="2070"/>
      <c r="G10" s="2938" t="s">
        <v>1691</v>
      </c>
      <c r="H10" s="2939" t="s">
        <v>1008</v>
      </c>
      <c r="I10" s="2940">
        <f>SUM(I8*I9)/100</f>
        <v>3863.7416400000006</v>
      </c>
      <c r="J10" s="2940">
        <f t="shared" ref="J10:L10" si="0">SUM(J8*J9)/100</f>
        <v>1587.7809200000004</v>
      </c>
      <c r="K10" s="2940">
        <f t="shared" si="0"/>
        <v>68.941400000000002</v>
      </c>
      <c r="L10" s="2940">
        <f t="shared" si="0"/>
        <v>5.6920600000000015</v>
      </c>
      <c r="M10" s="2948"/>
    </row>
    <row r="11" spans="1:13" ht="45">
      <c r="A11" s="1969" t="s">
        <v>1476</v>
      </c>
      <c r="B11" s="1967" t="s">
        <v>1008</v>
      </c>
      <c r="C11" s="1970">
        <f>Аморт!V25</f>
        <v>8136.0933333333332</v>
      </c>
      <c r="D11" s="1970">
        <f>Аморт!V30</f>
        <v>4822.1000000000004</v>
      </c>
      <c r="E11" s="1970">
        <f>'ОХР '!AR23</f>
        <v>193.7</v>
      </c>
      <c r="F11" s="1967" t="s">
        <v>392</v>
      </c>
      <c r="G11" s="2938"/>
      <c r="H11" s="2939"/>
      <c r="I11" s="2940"/>
      <c r="J11" s="2940"/>
      <c r="K11" s="2940"/>
      <c r="L11" s="2940"/>
      <c r="M11" s="2943" t="s">
        <v>392</v>
      </c>
    </row>
    <row r="12" spans="1:13" ht="30">
      <c r="A12" s="1969" t="s">
        <v>1011</v>
      </c>
      <c r="B12" s="1967" t="s">
        <v>1008</v>
      </c>
      <c r="C12" s="1970">
        <f>C9-C11</f>
        <v>79695.099333333317</v>
      </c>
      <c r="D12" s="1970">
        <f>D9-D11</f>
        <v>63104.465999999993</v>
      </c>
      <c r="E12" s="1970">
        <f>E9-E11</f>
        <v>2886.5783333333338</v>
      </c>
      <c r="F12" s="1968"/>
      <c r="G12" s="2938"/>
      <c r="H12" s="2939"/>
      <c r="I12" s="2940"/>
      <c r="J12" s="2940"/>
      <c r="K12" s="2940"/>
      <c r="L12" s="2942"/>
      <c r="M12" s="2946"/>
    </row>
    <row r="13" spans="1:13" ht="45">
      <c r="A13" s="1969" t="s">
        <v>1469</v>
      </c>
      <c r="B13" s="1967" t="s">
        <v>1008</v>
      </c>
      <c r="C13" s="1970">
        <f>(C9+C12)/2</f>
        <v>83763.145999999979</v>
      </c>
      <c r="D13" s="1970">
        <f>(D9+D12)/2</f>
        <v>65515.515999999989</v>
      </c>
      <c r="E13" s="1970">
        <f>(E9+E12)/2</f>
        <v>2983.4283333333337</v>
      </c>
      <c r="F13" s="1968"/>
      <c r="G13" s="2938"/>
      <c r="H13" s="2939"/>
      <c r="I13" s="2940"/>
      <c r="J13" s="2940"/>
      <c r="K13" s="2940"/>
      <c r="L13" s="2942"/>
      <c r="M13" s="2949"/>
    </row>
    <row r="14" spans="1:13">
      <c r="A14" s="1969" t="s">
        <v>1012</v>
      </c>
      <c r="B14" s="1967" t="s">
        <v>44</v>
      </c>
      <c r="C14" s="1971">
        <v>2.2000000000000002</v>
      </c>
      <c r="D14" s="1971">
        <v>2.2000000000000002</v>
      </c>
      <c r="E14" s="1971">
        <v>2.2000000000000002</v>
      </c>
      <c r="F14" s="1968"/>
      <c r="G14" s="2938" t="s">
        <v>1012</v>
      </c>
      <c r="H14" s="2939" t="s">
        <v>44</v>
      </c>
      <c r="I14" s="2947">
        <v>2.2000000000000002</v>
      </c>
      <c r="J14" s="2947">
        <v>2.2000000000000002</v>
      </c>
      <c r="K14" s="2947">
        <v>2.2000000000000002</v>
      </c>
      <c r="L14" s="2947">
        <v>2.2000000000000002</v>
      </c>
      <c r="M14" s="2949"/>
    </row>
    <row r="15" spans="1:13" ht="45">
      <c r="A15" s="1969" t="s">
        <v>1470</v>
      </c>
      <c r="B15" s="1967" t="s">
        <v>1008</v>
      </c>
      <c r="C15" s="1970">
        <f>C13*C14/100</f>
        <v>1842.7892119999999</v>
      </c>
      <c r="D15" s="1970">
        <f>D13*D14/100</f>
        <v>1441.3413519999999</v>
      </c>
      <c r="E15" s="1970">
        <f>E13*E14/100</f>
        <v>65.63542333333335</v>
      </c>
      <c r="F15" s="1968"/>
      <c r="G15" s="2938" t="s">
        <v>1470</v>
      </c>
      <c r="H15" s="2939" t="s">
        <v>1008</v>
      </c>
      <c r="I15" s="2940">
        <f>SUM(I9*I14)/100</f>
        <v>4.8400000000000006E-2</v>
      </c>
      <c r="J15" s="2940">
        <f>SUM(J9*J14)/100</f>
        <v>4.8400000000000006E-2</v>
      </c>
      <c r="K15" s="2940">
        <f>SUM(K9*K14)/100</f>
        <v>4.8400000000000006E-2</v>
      </c>
      <c r="L15" s="2940">
        <f>SUM(L9*L14)/100</f>
        <v>4.8400000000000006E-2</v>
      </c>
      <c r="M15" s="2949"/>
    </row>
  </sheetData>
  <mergeCells count="9">
    <mergeCell ref="B3:B4"/>
    <mergeCell ref="A3:A4"/>
    <mergeCell ref="F3:F4"/>
    <mergeCell ref="A2:F2"/>
    <mergeCell ref="G2:M2"/>
    <mergeCell ref="G3:G4"/>
    <mergeCell ref="H3:H4"/>
    <mergeCell ref="M3:M4"/>
    <mergeCell ref="L3:L4"/>
  </mergeCells>
  <printOptions horizontalCentered="1"/>
  <pageMargins left="0.70866141732283472" right="0.70866141732283472" top="0.94488188976377963" bottom="0.74803149606299213" header="0.31496062992125984" footer="0.31496062992125984"/>
  <pageSetup paperSize="9" orientation="landscape" r:id="rId1"/>
</worksheet>
</file>

<file path=xl/worksheets/sheet58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F22"/>
  <sheetViews>
    <sheetView zoomScale="80" zoomScaleNormal="80" workbookViewId="0">
      <selection activeCell="J11" sqref="J11"/>
    </sheetView>
  </sheetViews>
  <sheetFormatPr defaultRowHeight="15"/>
  <cols>
    <col min="1" max="1" width="6.42578125" style="3927" customWidth="1"/>
    <col min="2" max="2" width="28.28515625" style="3927" customWidth="1"/>
    <col min="3" max="3" width="9.42578125" style="3927" customWidth="1"/>
    <col min="4" max="6" width="18.7109375" style="3927" customWidth="1"/>
    <col min="7" max="16384" width="9.140625" style="3927"/>
  </cols>
  <sheetData>
    <row r="1" spans="1:6" ht="29.25" customHeight="1">
      <c r="A1" s="6524" t="s">
        <v>1893</v>
      </c>
      <c r="B1" s="6524"/>
      <c r="C1" s="6524"/>
      <c r="D1" s="6524"/>
      <c r="E1" s="6524"/>
      <c r="F1" s="6524"/>
    </row>
    <row r="2" spans="1:6">
      <c r="A2" s="6520" t="s">
        <v>361</v>
      </c>
      <c r="B2" s="6521"/>
      <c r="C2" s="6521"/>
      <c r="D2" s="6521"/>
      <c r="E2" s="6521"/>
      <c r="F2" s="6522"/>
    </row>
    <row r="3" spans="1:6" ht="41.25" customHeight="1">
      <c r="A3" s="3931" t="s">
        <v>1883</v>
      </c>
      <c r="B3" s="3931" t="s">
        <v>1879</v>
      </c>
      <c r="C3" s="3931" t="s">
        <v>1861</v>
      </c>
      <c r="D3" s="3931" t="s">
        <v>1881</v>
      </c>
      <c r="E3" s="3931" t="s">
        <v>1880</v>
      </c>
      <c r="F3" s="3931" t="s">
        <v>1882</v>
      </c>
    </row>
    <row r="4" spans="1:6" ht="30" customHeight="1">
      <c r="A4" s="3934" t="s">
        <v>192</v>
      </c>
      <c r="B4" s="3935" t="s">
        <v>2</v>
      </c>
      <c r="C4" s="3935" t="s">
        <v>918</v>
      </c>
      <c r="D4" s="3935">
        <v>8206.25</v>
      </c>
      <c r="E4" s="3935">
        <v>8576.67</v>
      </c>
      <c r="F4" s="3935">
        <f>SUM(E4-D4)</f>
        <v>370.42000000000007</v>
      </c>
    </row>
    <row r="5" spans="1:6" ht="30" customHeight="1">
      <c r="A5" s="3934" t="s">
        <v>195</v>
      </c>
      <c r="B5" s="3935" t="s">
        <v>8</v>
      </c>
      <c r="C5" s="3935" t="s">
        <v>918</v>
      </c>
      <c r="D5" s="3935">
        <v>6985.43</v>
      </c>
      <c r="E5" s="3935">
        <v>8877.36</v>
      </c>
      <c r="F5" s="3935">
        <f t="shared" ref="F5:F12" si="0">SUM(E5-D5)</f>
        <v>1891.9300000000003</v>
      </c>
    </row>
    <row r="6" spans="1:6" ht="30" customHeight="1">
      <c r="A6" s="3934" t="s">
        <v>955</v>
      </c>
      <c r="B6" s="3935" t="s">
        <v>1887</v>
      </c>
      <c r="C6" s="3935" t="s">
        <v>918</v>
      </c>
      <c r="D6" s="3935">
        <f>SUM(D7:D9)</f>
        <v>1228.1999999999998</v>
      </c>
      <c r="E6" s="3935">
        <f>SUM(E7:E9)</f>
        <v>1818.6399999999999</v>
      </c>
      <c r="F6" s="3935">
        <f t="shared" si="0"/>
        <v>590.44000000000005</v>
      </c>
    </row>
    <row r="7" spans="1:6" ht="30" customHeight="1">
      <c r="A7" s="3934" t="s">
        <v>1604</v>
      </c>
      <c r="B7" s="3936" t="s">
        <v>1888</v>
      </c>
      <c r="C7" s="3936" t="s">
        <v>918</v>
      </c>
      <c r="D7" s="3936">
        <v>794.8</v>
      </c>
      <c r="E7" s="3936">
        <v>891.16</v>
      </c>
      <c r="F7" s="3936">
        <f t="shared" si="0"/>
        <v>96.360000000000014</v>
      </c>
    </row>
    <row r="8" spans="1:6" ht="30" customHeight="1">
      <c r="A8" s="3934" t="s">
        <v>1605</v>
      </c>
      <c r="B8" s="3937" t="s">
        <v>1889</v>
      </c>
      <c r="C8" s="3936" t="s">
        <v>918</v>
      </c>
      <c r="D8" s="3936">
        <v>132.88</v>
      </c>
      <c r="E8" s="3936">
        <v>386.93</v>
      </c>
      <c r="F8" s="3936">
        <f t="shared" si="0"/>
        <v>254.05</v>
      </c>
    </row>
    <row r="9" spans="1:6" ht="30" customHeight="1">
      <c r="A9" s="3934" t="s">
        <v>1890</v>
      </c>
      <c r="B9" s="3937" t="s">
        <v>1891</v>
      </c>
      <c r="C9" s="3936" t="s">
        <v>918</v>
      </c>
      <c r="D9" s="3936">
        <v>300.52</v>
      </c>
      <c r="E9" s="3936">
        <v>540.54999999999995</v>
      </c>
      <c r="F9" s="3936">
        <f t="shared" si="0"/>
        <v>240.02999999999997</v>
      </c>
    </row>
    <row r="10" spans="1:6" ht="30" customHeight="1">
      <c r="A10" s="3934" t="s">
        <v>961</v>
      </c>
      <c r="B10" s="3935" t="s">
        <v>1885</v>
      </c>
      <c r="C10" s="3935" t="s">
        <v>918</v>
      </c>
      <c r="D10" s="3935">
        <f>SUM(D11:D12)</f>
        <v>3036.26</v>
      </c>
      <c r="E10" s="3935">
        <f>SUM(E11:E12)</f>
        <v>4888.22</v>
      </c>
      <c r="F10" s="3935">
        <f>SUM(F11:F12)</f>
        <v>1851.96</v>
      </c>
    </row>
    <row r="11" spans="1:6" ht="30" customHeight="1">
      <c r="A11" s="3938" t="s">
        <v>1627</v>
      </c>
      <c r="B11" s="3936" t="s">
        <v>1886</v>
      </c>
      <c r="C11" s="3936" t="s">
        <v>918</v>
      </c>
      <c r="D11" s="3936">
        <v>1193.47</v>
      </c>
      <c r="E11" s="3936">
        <v>2891.98</v>
      </c>
      <c r="F11" s="3936">
        <f t="shared" si="0"/>
        <v>1698.51</v>
      </c>
    </row>
    <row r="12" spans="1:6" ht="30" customHeight="1">
      <c r="A12" s="3938" t="s">
        <v>1892</v>
      </c>
      <c r="B12" s="3936" t="s">
        <v>544</v>
      </c>
      <c r="C12" s="3936" t="s">
        <v>918</v>
      </c>
      <c r="D12" s="3936">
        <v>1842.79</v>
      </c>
      <c r="E12" s="3936">
        <v>1996.24</v>
      </c>
      <c r="F12" s="3936">
        <f t="shared" si="0"/>
        <v>153.45000000000005</v>
      </c>
    </row>
    <row r="13" spans="1:6" ht="30" customHeight="1">
      <c r="A13" s="3934"/>
      <c r="B13" s="3939" t="s">
        <v>631</v>
      </c>
      <c r="C13" s="3939" t="s">
        <v>918</v>
      </c>
      <c r="D13" s="3939">
        <f>SUM(D4:D6)+D10</f>
        <v>19456.14</v>
      </c>
      <c r="E13" s="3939">
        <f>SUM(E4:E6)+E10</f>
        <v>24160.89</v>
      </c>
      <c r="F13" s="3939">
        <f>SUM(F4:F6)+F10</f>
        <v>4704.75</v>
      </c>
    </row>
    <row r="14" spans="1:6">
      <c r="A14" s="6523" t="s">
        <v>351</v>
      </c>
      <c r="B14" s="6521"/>
      <c r="C14" s="6521"/>
      <c r="D14" s="6521"/>
      <c r="E14" s="6521"/>
      <c r="F14" s="6522"/>
    </row>
    <row r="15" spans="1:6" ht="41.25" customHeight="1">
      <c r="A15" s="3940" t="s">
        <v>1884</v>
      </c>
      <c r="B15" s="3940" t="s">
        <v>1879</v>
      </c>
      <c r="C15" s="3940" t="s">
        <v>1861</v>
      </c>
      <c r="D15" s="3940" t="s">
        <v>1881</v>
      </c>
      <c r="E15" s="3940" t="s">
        <v>1880</v>
      </c>
      <c r="F15" s="3940" t="s">
        <v>1882</v>
      </c>
    </row>
    <row r="16" spans="1:6" ht="30" customHeight="1">
      <c r="A16" s="3934" t="s">
        <v>192</v>
      </c>
      <c r="B16" s="3935" t="s">
        <v>2</v>
      </c>
      <c r="C16" s="3935" t="s">
        <v>918</v>
      </c>
      <c r="D16" s="3941">
        <v>4904.1000000000004</v>
      </c>
      <c r="E16" s="3935">
        <v>5089.3900000000003</v>
      </c>
      <c r="F16" s="3935">
        <f>SUM(E16-D16)</f>
        <v>185.28999999999996</v>
      </c>
    </row>
    <row r="17" spans="1:6" ht="30" customHeight="1">
      <c r="A17" s="3934" t="s">
        <v>195</v>
      </c>
      <c r="B17" s="3935" t="s">
        <v>8</v>
      </c>
      <c r="C17" s="3935" t="s">
        <v>918</v>
      </c>
      <c r="D17" s="3935">
        <v>229.76</v>
      </c>
      <c r="E17" s="3935">
        <v>652.05999999999995</v>
      </c>
      <c r="F17" s="3935">
        <f t="shared" ref="F17:F21" si="1">SUM(E17-D17)</f>
        <v>422.29999999999995</v>
      </c>
    </row>
    <row r="18" spans="1:6" ht="30" customHeight="1">
      <c r="A18" s="3934" t="s">
        <v>955</v>
      </c>
      <c r="B18" s="3935" t="s">
        <v>1887</v>
      </c>
      <c r="C18" s="3935" t="s">
        <v>918</v>
      </c>
      <c r="D18" s="3935">
        <f>SUM(D19:D21)</f>
        <v>951.03</v>
      </c>
      <c r="E18" s="3935">
        <f>SUM(E19:E21)</f>
        <v>1634.64</v>
      </c>
      <c r="F18" s="3935">
        <f t="shared" si="1"/>
        <v>683.61000000000013</v>
      </c>
    </row>
    <row r="19" spans="1:6" ht="30" customHeight="1">
      <c r="A19" s="3934" t="s">
        <v>1604</v>
      </c>
      <c r="B19" s="3936" t="s">
        <v>1888</v>
      </c>
      <c r="C19" s="3936" t="s">
        <v>918</v>
      </c>
      <c r="D19" s="3936">
        <v>710.16</v>
      </c>
      <c r="E19" s="3936">
        <v>783.85</v>
      </c>
      <c r="F19" s="3935">
        <f t="shared" si="1"/>
        <v>73.690000000000055</v>
      </c>
    </row>
    <row r="20" spans="1:6" ht="30" customHeight="1">
      <c r="A20" s="3934" t="s">
        <v>1605</v>
      </c>
      <c r="B20" s="3937" t="s">
        <v>1889</v>
      </c>
      <c r="C20" s="3936" t="s">
        <v>918</v>
      </c>
      <c r="D20" s="3936">
        <v>36.71</v>
      </c>
      <c r="E20" s="3936">
        <v>469.97</v>
      </c>
      <c r="F20" s="3936">
        <f t="shared" si="1"/>
        <v>433.26000000000005</v>
      </c>
    </row>
    <row r="21" spans="1:6" ht="30" customHeight="1">
      <c r="A21" s="3934" t="s">
        <v>1890</v>
      </c>
      <c r="B21" s="3937" t="s">
        <v>1891</v>
      </c>
      <c r="C21" s="3936" t="s">
        <v>918</v>
      </c>
      <c r="D21" s="3936">
        <v>204.16</v>
      </c>
      <c r="E21" s="3936">
        <v>380.82</v>
      </c>
      <c r="F21" s="3935">
        <f t="shared" si="1"/>
        <v>176.66</v>
      </c>
    </row>
    <row r="22" spans="1:6" ht="30" customHeight="1">
      <c r="A22" s="3934"/>
      <c r="B22" s="3939" t="s">
        <v>631</v>
      </c>
      <c r="C22" s="3939" t="s">
        <v>918</v>
      </c>
      <c r="D22" s="3942">
        <f>SUM(D16:D18)</f>
        <v>6084.89</v>
      </c>
      <c r="E22" s="3942">
        <f>SUM(E16:E18)</f>
        <v>7376.0900000000011</v>
      </c>
      <c r="F22" s="3942">
        <f>SUM(F16:F18)</f>
        <v>1291.2</v>
      </c>
    </row>
  </sheetData>
  <mergeCells count="3">
    <mergeCell ref="A2:F2"/>
    <mergeCell ref="A14:F14"/>
    <mergeCell ref="A1:F1"/>
  </mergeCells>
  <pageMargins left="0.51181102362204722" right="0.51181102362204722" top="0.74803149606299213" bottom="0.74803149606299213" header="0.31496062992125984" footer="0.31496062992125984"/>
  <pageSetup paperSize="9" scale="93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G42"/>
  <sheetViews>
    <sheetView view="pageBreakPreview" zoomScale="75" zoomScaleSheetLayoutView="75" workbookViewId="0">
      <selection activeCell="H21" sqref="H21"/>
    </sheetView>
  </sheetViews>
  <sheetFormatPr defaultColWidth="0.85546875" defaultRowHeight="15"/>
  <cols>
    <col min="1" max="1" width="9.85546875" style="1864" customWidth="1"/>
    <col min="2" max="2" width="81.85546875" style="1903" customWidth="1"/>
    <col min="3" max="3" width="12.7109375" style="1864" customWidth="1"/>
    <col min="4" max="4" width="12.42578125" style="1864" customWidth="1"/>
    <col min="5" max="5" width="14.5703125" style="1864" customWidth="1"/>
    <col min="6" max="6" width="12.28515625" style="1864" customWidth="1"/>
    <col min="7" max="7" width="38.140625" style="1864" customWidth="1"/>
    <col min="8" max="8" width="46.85546875" style="1864" customWidth="1"/>
    <col min="9" max="11" width="12.7109375" style="1864" customWidth="1"/>
    <col min="12" max="12" width="9.28515625" style="1864" customWidth="1"/>
    <col min="13" max="13" width="13.5703125" style="1864" customWidth="1"/>
    <col min="14" max="14" width="10.28515625" style="1864" customWidth="1"/>
    <col min="15" max="15" width="12.85546875" style="1864" customWidth="1"/>
    <col min="16" max="16" width="9.140625" style="1864" customWidth="1"/>
    <col min="17" max="17" width="9.7109375" style="1864" customWidth="1"/>
    <col min="18" max="18" width="9.28515625" style="1864" customWidth="1"/>
    <col min="19" max="19" width="9.42578125" style="1864" customWidth="1"/>
    <col min="20" max="20" width="10.5703125" style="1864" customWidth="1"/>
    <col min="21" max="21" width="12.42578125" style="1864" customWidth="1"/>
    <col min="22" max="22" width="14.5703125" style="1864" customWidth="1"/>
    <col min="23" max="23" width="12.28515625" style="1864" customWidth="1"/>
    <col min="24" max="24" width="25.85546875" style="1864" customWidth="1"/>
    <col min="25" max="256" width="0.85546875" style="1864"/>
    <col min="257" max="257" width="9.85546875" style="1864" customWidth="1"/>
    <col min="258" max="258" width="81.85546875" style="1864" customWidth="1"/>
    <col min="259" max="259" width="12.7109375" style="1864" customWidth="1"/>
    <col min="260" max="260" width="12.42578125" style="1864" customWidth="1"/>
    <col min="261" max="261" width="14.5703125" style="1864" customWidth="1"/>
    <col min="262" max="262" width="12.28515625" style="1864" customWidth="1"/>
    <col min="263" max="263" width="38.140625" style="1864" customWidth="1"/>
    <col min="264" max="264" width="46.85546875" style="1864" customWidth="1"/>
    <col min="265" max="267" width="12.7109375" style="1864" customWidth="1"/>
    <col min="268" max="268" width="9.28515625" style="1864" customWidth="1"/>
    <col min="269" max="269" width="13.5703125" style="1864" customWidth="1"/>
    <col min="270" max="270" width="10.28515625" style="1864" customWidth="1"/>
    <col min="271" max="271" width="12.85546875" style="1864" customWidth="1"/>
    <col min="272" max="272" width="9.140625" style="1864" customWidth="1"/>
    <col min="273" max="273" width="9.7109375" style="1864" customWidth="1"/>
    <col min="274" max="274" width="9.28515625" style="1864" customWidth="1"/>
    <col min="275" max="275" width="9.42578125" style="1864" customWidth="1"/>
    <col min="276" max="276" width="10.5703125" style="1864" customWidth="1"/>
    <col min="277" max="277" width="12.42578125" style="1864" customWidth="1"/>
    <col min="278" max="278" width="14.5703125" style="1864" customWidth="1"/>
    <col min="279" max="279" width="12.28515625" style="1864" customWidth="1"/>
    <col min="280" max="280" width="25.85546875" style="1864" customWidth="1"/>
    <col min="281" max="512" width="0.85546875" style="1864"/>
    <col min="513" max="513" width="9.85546875" style="1864" customWidth="1"/>
    <col min="514" max="514" width="81.85546875" style="1864" customWidth="1"/>
    <col min="515" max="515" width="12.7109375" style="1864" customWidth="1"/>
    <col min="516" max="516" width="12.42578125" style="1864" customWidth="1"/>
    <col min="517" max="517" width="14.5703125" style="1864" customWidth="1"/>
    <col min="518" max="518" width="12.28515625" style="1864" customWidth="1"/>
    <col min="519" max="519" width="38.140625" style="1864" customWidth="1"/>
    <col min="520" max="520" width="46.85546875" style="1864" customWidth="1"/>
    <col min="521" max="523" width="12.7109375" style="1864" customWidth="1"/>
    <col min="524" max="524" width="9.28515625" style="1864" customWidth="1"/>
    <col min="525" max="525" width="13.5703125" style="1864" customWidth="1"/>
    <col min="526" max="526" width="10.28515625" style="1864" customWidth="1"/>
    <col min="527" max="527" width="12.85546875" style="1864" customWidth="1"/>
    <col min="528" max="528" width="9.140625" style="1864" customWidth="1"/>
    <col min="529" max="529" width="9.7109375" style="1864" customWidth="1"/>
    <col min="530" max="530" width="9.28515625" style="1864" customWidth="1"/>
    <col min="531" max="531" width="9.42578125" style="1864" customWidth="1"/>
    <col min="532" max="532" width="10.5703125" style="1864" customWidth="1"/>
    <col min="533" max="533" width="12.42578125" style="1864" customWidth="1"/>
    <col min="534" max="534" width="14.5703125" style="1864" customWidth="1"/>
    <col min="535" max="535" width="12.28515625" style="1864" customWidth="1"/>
    <col min="536" max="536" width="25.85546875" style="1864" customWidth="1"/>
    <col min="537" max="768" width="0.85546875" style="1864"/>
    <col min="769" max="769" width="9.85546875" style="1864" customWidth="1"/>
    <col min="770" max="770" width="81.85546875" style="1864" customWidth="1"/>
    <col min="771" max="771" width="12.7109375" style="1864" customWidth="1"/>
    <col min="772" max="772" width="12.42578125" style="1864" customWidth="1"/>
    <col min="773" max="773" width="14.5703125" style="1864" customWidth="1"/>
    <col min="774" max="774" width="12.28515625" style="1864" customWidth="1"/>
    <col min="775" max="775" width="38.140625" style="1864" customWidth="1"/>
    <col min="776" max="776" width="46.85546875" style="1864" customWidth="1"/>
    <col min="777" max="779" width="12.7109375" style="1864" customWidth="1"/>
    <col min="780" max="780" width="9.28515625" style="1864" customWidth="1"/>
    <col min="781" max="781" width="13.5703125" style="1864" customWidth="1"/>
    <col min="782" max="782" width="10.28515625" style="1864" customWidth="1"/>
    <col min="783" max="783" width="12.85546875" style="1864" customWidth="1"/>
    <col min="784" max="784" width="9.140625" style="1864" customWidth="1"/>
    <col min="785" max="785" width="9.7109375" style="1864" customWidth="1"/>
    <col min="786" max="786" width="9.28515625" style="1864" customWidth="1"/>
    <col min="787" max="787" width="9.42578125" style="1864" customWidth="1"/>
    <col min="788" max="788" width="10.5703125" style="1864" customWidth="1"/>
    <col min="789" max="789" width="12.42578125" style="1864" customWidth="1"/>
    <col min="790" max="790" width="14.5703125" style="1864" customWidth="1"/>
    <col min="791" max="791" width="12.28515625" style="1864" customWidth="1"/>
    <col min="792" max="792" width="25.85546875" style="1864" customWidth="1"/>
    <col min="793" max="1024" width="0.85546875" style="1864"/>
    <col min="1025" max="1025" width="9.85546875" style="1864" customWidth="1"/>
    <col min="1026" max="1026" width="81.85546875" style="1864" customWidth="1"/>
    <col min="1027" max="1027" width="12.7109375" style="1864" customWidth="1"/>
    <col min="1028" max="1028" width="12.42578125" style="1864" customWidth="1"/>
    <col min="1029" max="1029" width="14.5703125" style="1864" customWidth="1"/>
    <col min="1030" max="1030" width="12.28515625" style="1864" customWidth="1"/>
    <col min="1031" max="1031" width="38.140625" style="1864" customWidth="1"/>
    <col min="1032" max="1032" width="46.85546875" style="1864" customWidth="1"/>
    <col min="1033" max="1035" width="12.7109375" style="1864" customWidth="1"/>
    <col min="1036" max="1036" width="9.28515625" style="1864" customWidth="1"/>
    <col min="1037" max="1037" width="13.5703125" style="1864" customWidth="1"/>
    <col min="1038" max="1038" width="10.28515625" style="1864" customWidth="1"/>
    <col min="1039" max="1039" width="12.85546875" style="1864" customWidth="1"/>
    <col min="1040" max="1040" width="9.140625" style="1864" customWidth="1"/>
    <col min="1041" max="1041" width="9.7109375" style="1864" customWidth="1"/>
    <col min="1042" max="1042" width="9.28515625" style="1864" customWidth="1"/>
    <col min="1043" max="1043" width="9.42578125" style="1864" customWidth="1"/>
    <col min="1044" max="1044" width="10.5703125" style="1864" customWidth="1"/>
    <col min="1045" max="1045" width="12.42578125" style="1864" customWidth="1"/>
    <col min="1046" max="1046" width="14.5703125" style="1864" customWidth="1"/>
    <col min="1047" max="1047" width="12.28515625" style="1864" customWidth="1"/>
    <col min="1048" max="1048" width="25.85546875" style="1864" customWidth="1"/>
    <col min="1049" max="1280" width="0.85546875" style="1864"/>
    <col min="1281" max="1281" width="9.85546875" style="1864" customWidth="1"/>
    <col min="1282" max="1282" width="81.85546875" style="1864" customWidth="1"/>
    <col min="1283" max="1283" width="12.7109375" style="1864" customWidth="1"/>
    <col min="1284" max="1284" width="12.42578125" style="1864" customWidth="1"/>
    <col min="1285" max="1285" width="14.5703125" style="1864" customWidth="1"/>
    <col min="1286" max="1286" width="12.28515625" style="1864" customWidth="1"/>
    <col min="1287" max="1287" width="38.140625" style="1864" customWidth="1"/>
    <col min="1288" max="1288" width="46.85546875" style="1864" customWidth="1"/>
    <col min="1289" max="1291" width="12.7109375" style="1864" customWidth="1"/>
    <col min="1292" max="1292" width="9.28515625" style="1864" customWidth="1"/>
    <col min="1293" max="1293" width="13.5703125" style="1864" customWidth="1"/>
    <col min="1294" max="1294" width="10.28515625" style="1864" customWidth="1"/>
    <col min="1295" max="1295" width="12.85546875" style="1864" customWidth="1"/>
    <col min="1296" max="1296" width="9.140625" style="1864" customWidth="1"/>
    <col min="1297" max="1297" width="9.7109375" style="1864" customWidth="1"/>
    <col min="1298" max="1298" width="9.28515625" style="1864" customWidth="1"/>
    <col min="1299" max="1299" width="9.42578125" style="1864" customWidth="1"/>
    <col min="1300" max="1300" width="10.5703125" style="1864" customWidth="1"/>
    <col min="1301" max="1301" width="12.42578125" style="1864" customWidth="1"/>
    <col min="1302" max="1302" width="14.5703125" style="1864" customWidth="1"/>
    <col min="1303" max="1303" width="12.28515625" style="1864" customWidth="1"/>
    <col min="1304" max="1304" width="25.85546875" style="1864" customWidth="1"/>
    <col min="1305" max="1536" width="0.85546875" style="1864"/>
    <col min="1537" max="1537" width="9.85546875" style="1864" customWidth="1"/>
    <col min="1538" max="1538" width="81.85546875" style="1864" customWidth="1"/>
    <col min="1539" max="1539" width="12.7109375" style="1864" customWidth="1"/>
    <col min="1540" max="1540" width="12.42578125" style="1864" customWidth="1"/>
    <col min="1541" max="1541" width="14.5703125" style="1864" customWidth="1"/>
    <col min="1542" max="1542" width="12.28515625" style="1864" customWidth="1"/>
    <col min="1543" max="1543" width="38.140625" style="1864" customWidth="1"/>
    <col min="1544" max="1544" width="46.85546875" style="1864" customWidth="1"/>
    <col min="1545" max="1547" width="12.7109375" style="1864" customWidth="1"/>
    <col min="1548" max="1548" width="9.28515625" style="1864" customWidth="1"/>
    <col min="1549" max="1549" width="13.5703125" style="1864" customWidth="1"/>
    <col min="1550" max="1550" width="10.28515625" style="1864" customWidth="1"/>
    <col min="1551" max="1551" width="12.85546875" style="1864" customWidth="1"/>
    <col min="1552" max="1552" width="9.140625" style="1864" customWidth="1"/>
    <col min="1553" max="1553" width="9.7109375" style="1864" customWidth="1"/>
    <col min="1554" max="1554" width="9.28515625" style="1864" customWidth="1"/>
    <col min="1555" max="1555" width="9.42578125" style="1864" customWidth="1"/>
    <col min="1556" max="1556" width="10.5703125" style="1864" customWidth="1"/>
    <col min="1557" max="1557" width="12.42578125" style="1864" customWidth="1"/>
    <col min="1558" max="1558" width="14.5703125" style="1864" customWidth="1"/>
    <col min="1559" max="1559" width="12.28515625" style="1864" customWidth="1"/>
    <col min="1560" max="1560" width="25.85546875" style="1864" customWidth="1"/>
    <col min="1561" max="1792" width="0.85546875" style="1864"/>
    <col min="1793" max="1793" width="9.85546875" style="1864" customWidth="1"/>
    <col min="1794" max="1794" width="81.85546875" style="1864" customWidth="1"/>
    <col min="1795" max="1795" width="12.7109375" style="1864" customWidth="1"/>
    <col min="1796" max="1796" width="12.42578125" style="1864" customWidth="1"/>
    <col min="1797" max="1797" width="14.5703125" style="1864" customWidth="1"/>
    <col min="1798" max="1798" width="12.28515625" style="1864" customWidth="1"/>
    <col min="1799" max="1799" width="38.140625" style="1864" customWidth="1"/>
    <col min="1800" max="1800" width="46.85546875" style="1864" customWidth="1"/>
    <col min="1801" max="1803" width="12.7109375" style="1864" customWidth="1"/>
    <col min="1804" max="1804" width="9.28515625" style="1864" customWidth="1"/>
    <col min="1805" max="1805" width="13.5703125" style="1864" customWidth="1"/>
    <col min="1806" max="1806" width="10.28515625" style="1864" customWidth="1"/>
    <col min="1807" max="1807" width="12.85546875" style="1864" customWidth="1"/>
    <col min="1808" max="1808" width="9.140625" style="1864" customWidth="1"/>
    <col min="1809" max="1809" width="9.7109375" style="1864" customWidth="1"/>
    <col min="1810" max="1810" width="9.28515625" style="1864" customWidth="1"/>
    <col min="1811" max="1811" width="9.42578125" style="1864" customWidth="1"/>
    <col min="1812" max="1812" width="10.5703125" style="1864" customWidth="1"/>
    <col min="1813" max="1813" width="12.42578125" style="1864" customWidth="1"/>
    <col min="1814" max="1814" width="14.5703125" style="1864" customWidth="1"/>
    <col min="1815" max="1815" width="12.28515625" style="1864" customWidth="1"/>
    <col min="1816" max="1816" width="25.85546875" style="1864" customWidth="1"/>
    <col min="1817" max="2048" width="0.85546875" style="1864"/>
    <col min="2049" max="2049" width="9.85546875" style="1864" customWidth="1"/>
    <col min="2050" max="2050" width="81.85546875" style="1864" customWidth="1"/>
    <col min="2051" max="2051" width="12.7109375" style="1864" customWidth="1"/>
    <col min="2052" max="2052" width="12.42578125" style="1864" customWidth="1"/>
    <col min="2053" max="2053" width="14.5703125" style="1864" customWidth="1"/>
    <col min="2054" max="2054" width="12.28515625" style="1864" customWidth="1"/>
    <col min="2055" max="2055" width="38.140625" style="1864" customWidth="1"/>
    <col min="2056" max="2056" width="46.85546875" style="1864" customWidth="1"/>
    <col min="2057" max="2059" width="12.7109375" style="1864" customWidth="1"/>
    <col min="2060" max="2060" width="9.28515625" style="1864" customWidth="1"/>
    <col min="2061" max="2061" width="13.5703125" style="1864" customWidth="1"/>
    <col min="2062" max="2062" width="10.28515625" style="1864" customWidth="1"/>
    <col min="2063" max="2063" width="12.85546875" style="1864" customWidth="1"/>
    <col min="2064" max="2064" width="9.140625" style="1864" customWidth="1"/>
    <col min="2065" max="2065" width="9.7109375" style="1864" customWidth="1"/>
    <col min="2066" max="2066" width="9.28515625" style="1864" customWidth="1"/>
    <col min="2067" max="2067" width="9.42578125" style="1864" customWidth="1"/>
    <col min="2068" max="2068" width="10.5703125" style="1864" customWidth="1"/>
    <col min="2069" max="2069" width="12.42578125" style="1864" customWidth="1"/>
    <col min="2070" max="2070" width="14.5703125" style="1864" customWidth="1"/>
    <col min="2071" max="2071" width="12.28515625" style="1864" customWidth="1"/>
    <col min="2072" max="2072" width="25.85546875" style="1864" customWidth="1"/>
    <col min="2073" max="2304" width="0.85546875" style="1864"/>
    <col min="2305" max="2305" width="9.85546875" style="1864" customWidth="1"/>
    <col min="2306" max="2306" width="81.85546875" style="1864" customWidth="1"/>
    <col min="2307" max="2307" width="12.7109375" style="1864" customWidth="1"/>
    <col min="2308" max="2308" width="12.42578125" style="1864" customWidth="1"/>
    <col min="2309" max="2309" width="14.5703125" style="1864" customWidth="1"/>
    <col min="2310" max="2310" width="12.28515625" style="1864" customWidth="1"/>
    <col min="2311" max="2311" width="38.140625" style="1864" customWidth="1"/>
    <col min="2312" max="2312" width="46.85546875" style="1864" customWidth="1"/>
    <col min="2313" max="2315" width="12.7109375" style="1864" customWidth="1"/>
    <col min="2316" max="2316" width="9.28515625" style="1864" customWidth="1"/>
    <col min="2317" max="2317" width="13.5703125" style="1864" customWidth="1"/>
    <col min="2318" max="2318" width="10.28515625" style="1864" customWidth="1"/>
    <col min="2319" max="2319" width="12.85546875" style="1864" customWidth="1"/>
    <col min="2320" max="2320" width="9.140625" style="1864" customWidth="1"/>
    <col min="2321" max="2321" width="9.7109375" style="1864" customWidth="1"/>
    <col min="2322" max="2322" width="9.28515625" style="1864" customWidth="1"/>
    <col min="2323" max="2323" width="9.42578125" style="1864" customWidth="1"/>
    <col min="2324" max="2324" width="10.5703125" style="1864" customWidth="1"/>
    <col min="2325" max="2325" width="12.42578125" style="1864" customWidth="1"/>
    <col min="2326" max="2326" width="14.5703125" style="1864" customWidth="1"/>
    <col min="2327" max="2327" width="12.28515625" style="1864" customWidth="1"/>
    <col min="2328" max="2328" width="25.85546875" style="1864" customWidth="1"/>
    <col min="2329" max="2560" width="0.85546875" style="1864"/>
    <col min="2561" max="2561" width="9.85546875" style="1864" customWidth="1"/>
    <col min="2562" max="2562" width="81.85546875" style="1864" customWidth="1"/>
    <col min="2563" max="2563" width="12.7109375" style="1864" customWidth="1"/>
    <col min="2564" max="2564" width="12.42578125" style="1864" customWidth="1"/>
    <col min="2565" max="2565" width="14.5703125" style="1864" customWidth="1"/>
    <col min="2566" max="2566" width="12.28515625" style="1864" customWidth="1"/>
    <col min="2567" max="2567" width="38.140625" style="1864" customWidth="1"/>
    <col min="2568" max="2568" width="46.85546875" style="1864" customWidth="1"/>
    <col min="2569" max="2571" width="12.7109375" style="1864" customWidth="1"/>
    <col min="2572" max="2572" width="9.28515625" style="1864" customWidth="1"/>
    <col min="2573" max="2573" width="13.5703125" style="1864" customWidth="1"/>
    <col min="2574" max="2574" width="10.28515625" style="1864" customWidth="1"/>
    <col min="2575" max="2575" width="12.85546875" style="1864" customWidth="1"/>
    <col min="2576" max="2576" width="9.140625" style="1864" customWidth="1"/>
    <col min="2577" max="2577" width="9.7109375" style="1864" customWidth="1"/>
    <col min="2578" max="2578" width="9.28515625" style="1864" customWidth="1"/>
    <col min="2579" max="2579" width="9.42578125" style="1864" customWidth="1"/>
    <col min="2580" max="2580" width="10.5703125" style="1864" customWidth="1"/>
    <col min="2581" max="2581" width="12.42578125" style="1864" customWidth="1"/>
    <col min="2582" max="2582" width="14.5703125" style="1864" customWidth="1"/>
    <col min="2583" max="2583" width="12.28515625" style="1864" customWidth="1"/>
    <col min="2584" max="2584" width="25.85546875" style="1864" customWidth="1"/>
    <col min="2585" max="2816" width="0.85546875" style="1864"/>
    <col min="2817" max="2817" width="9.85546875" style="1864" customWidth="1"/>
    <col min="2818" max="2818" width="81.85546875" style="1864" customWidth="1"/>
    <col min="2819" max="2819" width="12.7109375" style="1864" customWidth="1"/>
    <col min="2820" max="2820" width="12.42578125" style="1864" customWidth="1"/>
    <col min="2821" max="2821" width="14.5703125" style="1864" customWidth="1"/>
    <col min="2822" max="2822" width="12.28515625" style="1864" customWidth="1"/>
    <col min="2823" max="2823" width="38.140625" style="1864" customWidth="1"/>
    <col min="2824" max="2824" width="46.85546875" style="1864" customWidth="1"/>
    <col min="2825" max="2827" width="12.7109375" style="1864" customWidth="1"/>
    <col min="2828" max="2828" width="9.28515625" style="1864" customWidth="1"/>
    <col min="2829" max="2829" width="13.5703125" style="1864" customWidth="1"/>
    <col min="2830" max="2830" width="10.28515625" style="1864" customWidth="1"/>
    <col min="2831" max="2831" width="12.85546875" style="1864" customWidth="1"/>
    <col min="2832" max="2832" width="9.140625" style="1864" customWidth="1"/>
    <col min="2833" max="2833" width="9.7109375" style="1864" customWidth="1"/>
    <col min="2834" max="2834" width="9.28515625" style="1864" customWidth="1"/>
    <col min="2835" max="2835" width="9.42578125" style="1864" customWidth="1"/>
    <col min="2836" max="2836" width="10.5703125" style="1864" customWidth="1"/>
    <col min="2837" max="2837" width="12.42578125" style="1864" customWidth="1"/>
    <col min="2838" max="2838" width="14.5703125" style="1864" customWidth="1"/>
    <col min="2839" max="2839" width="12.28515625" style="1864" customWidth="1"/>
    <col min="2840" max="2840" width="25.85546875" style="1864" customWidth="1"/>
    <col min="2841" max="3072" width="0.85546875" style="1864"/>
    <col min="3073" max="3073" width="9.85546875" style="1864" customWidth="1"/>
    <col min="3074" max="3074" width="81.85546875" style="1864" customWidth="1"/>
    <col min="3075" max="3075" width="12.7109375" style="1864" customWidth="1"/>
    <col min="3076" max="3076" width="12.42578125" style="1864" customWidth="1"/>
    <col min="3077" max="3077" width="14.5703125" style="1864" customWidth="1"/>
    <col min="3078" max="3078" width="12.28515625" style="1864" customWidth="1"/>
    <col min="3079" max="3079" width="38.140625" style="1864" customWidth="1"/>
    <col min="3080" max="3080" width="46.85546875" style="1864" customWidth="1"/>
    <col min="3081" max="3083" width="12.7109375" style="1864" customWidth="1"/>
    <col min="3084" max="3084" width="9.28515625" style="1864" customWidth="1"/>
    <col min="3085" max="3085" width="13.5703125" style="1864" customWidth="1"/>
    <col min="3086" max="3086" width="10.28515625" style="1864" customWidth="1"/>
    <col min="3087" max="3087" width="12.85546875" style="1864" customWidth="1"/>
    <col min="3088" max="3088" width="9.140625" style="1864" customWidth="1"/>
    <col min="3089" max="3089" width="9.7109375" style="1864" customWidth="1"/>
    <col min="3090" max="3090" width="9.28515625" style="1864" customWidth="1"/>
    <col min="3091" max="3091" width="9.42578125" style="1864" customWidth="1"/>
    <col min="3092" max="3092" width="10.5703125" style="1864" customWidth="1"/>
    <col min="3093" max="3093" width="12.42578125" style="1864" customWidth="1"/>
    <col min="3094" max="3094" width="14.5703125" style="1864" customWidth="1"/>
    <col min="3095" max="3095" width="12.28515625" style="1864" customWidth="1"/>
    <col min="3096" max="3096" width="25.85546875" style="1864" customWidth="1"/>
    <col min="3097" max="3328" width="0.85546875" style="1864"/>
    <col min="3329" max="3329" width="9.85546875" style="1864" customWidth="1"/>
    <col min="3330" max="3330" width="81.85546875" style="1864" customWidth="1"/>
    <col min="3331" max="3331" width="12.7109375" style="1864" customWidth="1"/>
    <col min="3332" max="3332" width="12.42578125" style="1864" customWidth="1"/>
    <col min="3333" max="3333" width="14.5703125" style="1864" customWidth="1"/>
    <col min="3334" max="3334" width="12.28515625" style="1864" customWidth="1"/>
    <col min="3335" max="3335" width="38.140625" style="1864" customWidth="1"/>
    <col min="3336" max="3336" width="46.85546875" style="1864" customWidth="1"/>
    <col min="3337" max="3339" width="12.7109375" style="1864" customWidth="1"/>
    <col min="3340" max="3340" width="9.28515625" style="1864" customWidth="1"/>
    <col min="3341" max="3341" width="13.5703125" style="1864" customWidth="1"/>
    <col min="3342" max="3342" width="10.28515625" style="1864" customWidth="1"/>
    <col min="3343" max="3343" width="12.85546875" style="1864" customWidth="1"/>
    <col min="3344" max="3344" width="9.140625" style="1864" customWidth="1"/>
    <col min="3345" max="3345" width="9.7109375" style="1864" customWidth="1"/>
    <col min="3346" max="3346" width="9.28515625" style="1864" customWidth="1"/>
    <col min="3347" max="3347" width="9.42578125" style="1864" customWidth="1"/>
    <col min="3348" max="3348" width="10.5703125" style="1864" customWidth="1"/>
    <col min="3349" max="3349" width="12.42578125" style="1864" customWidth="1"/>
    <col min="3350" max="3350" width="14.5703125" style="1864" customWidth="1"/>
    <col min="3351" max="3351" width="12.28515625" style="1864" customWidth="1"/>
    <col min="3352" max="3352" width="25.85546875" style="1864" customWidth="1"/>
    <col min="3353" max="3584" width="0.85546875" style="1864"/>
    <col min="3585" max="3585" width="9.85546875" style="1864" customWidth="1"/>
    <col min="3586" max="3586" width="81.85546875" style="1864" customWidth="1"/>
    <col min="3587" max="3587" width="12.7109375" style="1864" customWidth="1"/>
    <col min="3588" max="3588" width="12.42578125" style="1864" customWidth="1"/>
    <col min="3589" max="3589" width="14.5703125" style="1864" customWidth="1"/>
    <col min="3590" max="3590" width="12.28515625" style="1864" customWidth="1"/>
    <col min="3591" max="3591" width="38.140625" style="1864" customWidth="1"/>
    <col min="3592" max="3592" width="46.85546875" style="1864" customWidth="1"/>
    <col min="3593" max="3595" width="12.7109375" style="1864" customWidth="1"/>
    <col min="3596" max="3596" width="9.28515625" style="1864" customWidth="1"/>
    <col min="3597" max="3597" width="13.5703125" style="1864" customWidth="1"/>
    <col min="3598" max="3598" width="10.28515625" style="1864" customWidth="1"/>
    <col min="3599" max="3599" width="12.85546875" style="1864" customWidth="1"/>
    <col min="3600" max="3600" width="9.140625" style="1864" customWidth="1"/>
    <col min="3601" max="3601" width="9.7109375" style="1864" customWidth="1"/>
    <col min="3602" max="3602" width="9.28515625" style="1864" customWidth="1"/>
    <col min="3603" max="3603" width="9.42578125" style="1864" customWidth="1"/>
    <col min="3604" max="3604" width="10.5703125" style="1864" customWidth="1"/>
    <col min="3605" max="3605" width="12.42578125" style="1864" customWidth="1"/>
    <col min="3606" max="3606" width="14.5703125" style="1864" customWidth="1"/>
    <col min="3607" max="3607" width="12.28515625" style="1864" customWidth="1"/>
    <col min="3608" max="3608" width="25.85546875" style="1864" customWidth="1"/>
    <col min="3609" max="3840" width="0.85546875" style="1864"/>
    <col min="3841" max="3841" width="9.85546875" style="1864" customWidth="1"/>
    <col min="3842" max="3842" width="81.85546875" style="1864" customWidth="1"/>
    <col min="3843" max="3843" width="12.7109375" style="1864" customWidth="1"/>
    <col min="3844" max="3844" width="12.42578125" style="1864" customWidth="1"/>
    <col min="3845" max="3845" width="14.5703125" style="1864" customWidth="1"/>
    <col min="3846" max="3846" width="12.28515625" style="1864" customWidth="1"/>
    <col min="3847" max="3847" width="38.140625" style="1864" customWidth="1"/>
    <col min="3848" max="3848" width="46.85546875" style="1864" customWidth="1"/>
    <col min="3849" max="3851" width="12.7109375" style="1864" customWidth="1"/>
    <col min="3852" max="3852" width="9.28515625" style="1864" customWidth="1"/>
    <col min="3853" max="3853" width="13.5703125" style="1864" customWidth="1"/>
    <col min="3854" max="3854" width="10.28515625" style="1864" customWidth="1"/>
    <col min="3855" max="3855" width="12.85546875" style="1864" customWidth="1"/>
    <col min="3856" max="3856" width="9.140625" style="1864" customWidth="1"/>
    <col min="3857" max="3857" width="9.7109375" style="1864" customWidth="1"/>
    <col min="3858" max="3858" width="9.28515625" style="1864" customWidth="1"/>
    <col min="3859" max="3859" width="9.42578125" style="1864" customWidth="1"/>
    <col min="3860" max="3860" width="10.5703125" style="1864" customWidth="1"/>
    <col min="3861" max="3861" width="12.42578125" style="1864" customWidth="1"/>
    <col min="3862" max="3862" width="14.5703125" style="1864" customWidth="1"/>
    <col min="3863" max="3863" width="12.28515625" style="1864" customWidth="1"/>
    <col min="3864" max="3864" width="25.85546875" style="1864" customWidth="1"/>
    <col min="3865" max="4096" width="0.85546875" style="1864"/>
    <col min="4097" max="4097" width="9.85546875" style="1864" customWidth="1"/>
    <col min="4098" max="4098" width="81.85546875" style="1864" customWidth="1"/>
    <col min="4099" max="4099" width="12.7109375" style="1864" customWidth="1"/>
    <col min="4100" max="4100" width="12.42578125" style="1864" customWidth="1"/>
    <col min="4101" max="4101" width="14.5703125" style="1864" customWidth="1"/>
    <col min="4102" max="4102" width="12.28515625" style="1864" customWidth="1"/>
    <col min="4103" max="4103" width="38.140625" style="1864" customWidth="1"/>
    <col min="4104" max="4104" width="46.85546875" style="1864" customWidth="1"/>
    <col min="4105" max="4107" width="12.7109375" style="1864" customWidth="1"/>
    <col min="4108" max="4108" width="9.28515625" style="1864" customWidth="1"/>
    <col min="4109" max="4109" width="13.5703125" style="1864" customWidth="1"/>
    <col min="4110" max="4110" width="10.28515625" style="1864" customWidth="1"/>
    <col min="4111" max="4111" width="12.85546875" style="1864" customWidth="1"/>
    <col min="4112" max="4112" width="9.140625" style="1864" customWidth="1"/>
    <col min="4113" max="4113" width="9.7109375" style="1864" customWidth="1"/>
    <col min="4114" max="4114" width="9.28515625" style="1864" customWidth="1"/>
    <col min="4115" max="4115" width="9.42578125" style="1864" customWidth="1"/>
    <col min="4116" max="4116" width="10.5703125" style="1864" customWidth="1"/>
    <col min="4117" max="4117" width="12.42578125" style="1864" customWidth="1"/>
    <col min="4118" max="4118" width="14.5703125" style="1864" customWidth="1"/>
    <col min="4119" max="4119" width="12.28515625" style="1864" customWidth="1"/>
    <col min="4120" max="4120" width="25.85546875" style="1864" customWidth="1"/>
    <col min="4121" max="4352" width="0.85546875" style="1864"/>
    <col min="4353" max="4353" width="9.85546875" style="1864" customWidth="1"/>
    <col min="4354" max="4354" width="81.85546875" style="1864" customWidth="1"/>
    <col min="4355" max="4355" width="12.7109375" style="1864" customWidth="1"/>
    <col min="4356" max="4356" width="12.42578125" style="1864" customWidth="1"/>
    <col min="4357" max="4357" width="14.5703125" style="1864" customWidth="1"/>
    <col min="4358" max="4358" width="12.28515625" style="1864" customWidth="1"/>
    <col min="4359" max="4359" width="38.140625" style="1864" customWidth="1"/>
    <col min="4360" max="4360" width="46.85546875" style="1864" customWidth="1"/>
    <col min="4361" max="4363" width="12.7109375" style="1864" customWidth="1"/>
    <col min="4364" max="4364" width="9.28515625" style="1864" customWidth="1"/>
    <col min="4365" max="4365" width="13.5703125" style="1864" customWidth="1"/>
    <col min="4366" max="4366" width="10.28515625" style="1864" customWidth="1"/>
    <col min="4367" max="4367" width="12.85546875" style="1864" customWidth="1"/>
    <col min="4368" max="4368" width="9.140625" style="1864" customWidth="1"/>
    <col min="4369" max="4369" width="9.7109375" style="1864" customWidth="1"/>
    <col min="4370" max="4370" width="9.28515625" style="1864" customWidth="1"/>
    <col min="4371" max="4371" width="9.42578125" style="1864" customWidth="1"/>
    <col min="4372" max="4372" width="10.5703125" style="1864" customWidth="1"/>
    <col min="4373" max="4373" width="12.42578125" style="1864" customWidth="1"/>
    <col min="4374" max="4374" width="14.5703125" style="1864" customWidth="1"/>
    <col min="4375" max="4375" width="12.28515625" style="1864" customWidth="1"/>
    <col min="4376" max="4376" width="25.85546875" style="1864" customWidth="1"/>
    <col min="4377" max="4608" width="0.85546875" style="1864"/>
    <col min="4609" max="4609" width="9.85546875" style="1864" customWidth="1"/>
    <col min="4610" max="4610" width="81.85546875" style="1864" customWidth="1"/>
    <col min="4611" max="4611" width="12.7109375" style="1864" customWidth="1"/>
    <col min="4612" max="4612" width="12.42578125" style="1864" customWidth="1"/>
    <col min="4613" max="4613" width="14.5703125" style="1864" customWidth="1"/>
    <col min="4614" max="4614" width="12.28515625" style="1864" customWidth="1"/>
    <col min="4615" max="4615" width="38.140625" style="1864" customWidth="1"/>
    <col min="4616" max="4616" width="46.85546875" style="1864" customWidth="1"/>
    <col min="4617" max="4619" width="12.7109375" style="1864" customWidth="1"/>
    <col min="4620" max="4620" width="9.28515625" style="1864" customWidth="1"/>
    <col min="4621" max="4621" width="13.5703125" style="1864" customWidth="1"/>
    <col min="4622" max="4622" width="10.28515625" style="1864" customWidth="1"/>
    <col min="4623" max="4623" width="12.85546875" style="1864" customWidth="1"/>
    <col min="4624" max="4624" width="9.140625" style="1864" customWidth="1"/>
    <col min="4625" max="4625" width="9.7109375" style="1864" customWidth="1"/>
    <col min="4626" max="4626" width="9.28515625" style="1864" customWidth="1"/>
    <col min="4627" max="4627" width="9.42578125" style="1864" customWidth="1"/>
    <col min="4628" max="4628" width="10.5703125" style="1864" customWidth="1"/>
    <col min="4629" max="4629" width="12.42578125" style="1864" customWidth="1"/>
    <col min="4630" max="4630" width="14.5703125" style="1864" customWidth="1"/>
    <col min="4631" max="4631" width="12.28515625" style="1864" customWidth="1"/>
    <col min="4632" max="4632" width="25.85546875" style="1864" customWidth="1"/>
    <col min="4633" max="4864" width="0.85546875" style="1864"/>
    <col min="4865" max="4865" width="9.85546875" style="1864" customWidth="1"/>
    <col min="4866" max="4866" width="81.85546875" style="1864" customWidth="1"/>
    <col min="4867" max="4867" width="12.7109375" style="1864" customWidth="1"/>
    <col min="4868" max="4868" width="12.42578125" style="1864" customWidth="1"/>
    <col min="4869" max="4869" width="14.5703125" style="1864" customWidth="1"/>
    <col min="4870" max="4870" width="12.28515625" style="1864" customWidth="1"/>
    <col min="4871" max="4871" width="38.140625" style="1864" customWidth="1"/>
    <col min="4872" max="4872" width="46.85546875" style="1864" customWidth="1"/>
    <col min="4873" max="4875" width="12.7109375" style="1864" customWidth="1"/>
    <col min="4876" max="4876" width="9.28515625" style="1864" customWidth="1"/>
    <col min="4877" max="4877" width="13.5703125" style="1864" customWidth="1"/>
    <col min="4878" max="4878" width="10.28515625" style="1864" customWidth="1"/>
    <col min="4879" max="4879" width="12.85546875" style="1864" customWidth="1"/>
    <col min="4880" max="4880" width="9.140625" style="1864" customWidth="1"/>
    <col min="4881" max="4881" width="9.7109375" style="1864" customWidth="1"/>
    <col min="4882" max="4882" width="9.28515625" style="1864" customWidth="1"/>
    <col min="4883" max="4883" width="9.42578125" style="1864" customWidth="1"/>
    <col min="4884" max="4884" width="10.5703125" style="1864" customWidth="1"/>
    <col min="4885" max="4885" width="12.42578125" style="1864" customWidth="1"/>
    <col min="4886" max="4886" width="14.5703125" style="1864" customWidth="1"/>
    <col min="4887" max="4887" width="12.28515625" style="1864" customWidth="1"/>
    <col min="4888" max="4888" width="25.85546875" style="1864" customWidth="1"/>
    <col min="4889" max="5120" width="0.85546875" style="1864"/>
    <col min="5121" max="5121" width="9.85546875" style="1864" customWidth="1"/>
    <col min="5122" max="5122" width="81.85546875" style="1864" customWidth="1"/>
    <col min="5123" max="5123" width="12.7109375" style="1864" customWidth="1"/>
    <col min="5124" max="5124" width="12.42578125" style="1864" customWidth="1"/>
    <col min="5125" max="5125" width="14.5703125" style="1864" customWidth="1"/>
    <col min="5126" max="5126" width="12.28515625" style="1864" customWidth="1"/>
    <col min="5127" max="5127" width="38.140625" style="1864" customWidth="1"/>
    <col min="5128" max="5128" width="46.85546875" style="1864" customWidth="1"/>
    <col min="5129" max="5131" width="12.7109375" style="1864" customWidth="1"/>
    <col min="5132" max="5132" width="9.28515625" style="1864" customWidth="1"/>
    <col min="5133" max="5133" width="13.5703125" style="1864" customWidth="1"/>
    <col min="5134" max="5134" width="10.28515625" style="1864" customWidth="1"/>
    <col min="5135" max="5135" width="12.85546875" style="1864" customWidth="1"/>
    <col min="5136" max="5136" width="9.140625" style="1864" customWidth="1"/>
    <col min="5137" max="5137" width="9.7109375" style="1864" customWidth="1"/>
    <col min="5138" max="5138" width="9.28515625" style="1864" customWidth="1"/>
    <col min="5139" max="5139" width="9.42578125" style="1864" customWidth="1"/>
    <col min="5140" max="5140" width="10.5703125" style="1864" customWidth="1"/>
    <col min="5141" max="5141" width="12.42578125" style="1864" customWidth="1"/>
    <col min="5142" max="5142" width="14.5703125" style="1864" customWidth="1"/>
    <col min="5143" max="5143" width="12.28515625" style="1864" customWidth="1"/>
    <col min="5144" max="5144" width="25.85546875" style="1864" customWidth="1"/>
    <col min="5145" max="5376" width="0.85546875" style="1864"/>
    <col min="5377" max="5377" width="9.85546875" style="1864" customWidth="1"/>
    <col min="5378" max="5378" width="81.85546875" style="1864" customWidth="1"/>
    <col min="5379" max="5379" width="12.7109375" style="1864" customWidth="1"/>
    <col min="5380" max="5380" width="12.42578125" style="1864" customWidth="1"/>
    <col min="5381" max="5381" width="14.5703125" style="1864" customWidth="1"/>
    <col min="5382" max="5382" width="12.28515625" style="1864" customWidth="1"/>
    <col min="5383" max="5383" width="38.140625" style="1864" customWidth="1"/>
    <col min="5384" max="5384" width="46.85546875" style="1864" customWidth="1"/>
    <col min="5385" max="5387" width="12.7109375" style="1864" customWidth="1"/>
    <col min="5388" max="5388" width="9.28515625" style="1864" customWidth="1"/>
    <col min="5389" max="5389" width="13.5703125" style="1864" customWidth="1"/>
    <col min="5390" max="5390" width="10.28515625" style="1864" customWidth="1"/>
    <col min="5391" max="5391" width="12.85546875" style="1864" customWidth="1"/>
    <col min="5392" max="5392" width="9.140625" style="1864" customWidth="1"/>
    <col min="5393" max="5393" width="9.7109375" style="1864" customWidth="1"/>
    <col min="5394" max="5394" width="9.28515625" style="1864" customWidth="1"/>
    <col min="5395" max="5395" width="9.42578125" style="1864" customWidth="1"/>
    <col min="5396" max="5396" width="10.5703125" style="1864" customWidth="1"/>
    <col min="5397" max="5397" width="12.42578125" style="1864" customWidth="1"/>
    <col min="5398" max="5398" width="14.5703125" style="1864" customWidth="1"/>
    <col min="5399" max="5399" width="12.28515625" style="1864" customWidth="1"/>
    <col min="5400" max="5400" width="25.85546875" style="1864" customWidth="1"/>
    <col min="5401" max="5632" width="0.85546875" style="1864"/>
    <col min="5633" max="5633" width="9.85546875" style="1864" customWidth="1"/>
    <col min="5634" max="5634" width="81.85546875" style="1864" customWidth="1"/>
    <col min="5635" max="5635" width="12.7109375" style="1864" customWidth="1"/>
    <col min="5636" max="5636" width="12.42578125" style="1864" customWidth="1"/>
    <col min="5637" max="5637" width="14.5703125" style="1864" customWidth="1"/>
    <col min="5638" max="5638" width="12.28515625" style="1864" customWidth="1"/>
    <col min="5639" max="5639" width="38.140625" style="1864" customWidth="1"/>
    <col min="5640" max="5640" width="46.85546875" style="1864" customWidth="1"/>
    <col min="5641" max="5643" width="12.7109375" style="1864" customWidth="1"/>
    <col min="5644" max="5644" width="9.28515625" style="1864" customWidth="1"/>
    <col min="5645" max="5645" width="13.5703125" style="1864" customWidth="1"/>
    <col min="5646" max="5646" width="10.28515625" style="1864" customWidth="1"/>
    <col min="5647" max="5647" width="12.85546875" style="1864" customWidth="1"/>
    <col min="5648" max="5648" width="9.140625" style="1864" customWidth="1"/>
    <col min="5649" max="5649" width="9.7109375" style="1864" customWidth="1"/>
    <col min="5650" max="5650" width="9.28515625" style="1864" customWidth="1"/>
    <col min="5651" max="5651" width="9.42578125" style="1864" customWidth="1"/>
    <col min="5652" max="5652" width="10.5703125" style="1864" customWidth="1"/>
    <col min="5653" max="5653" width="12.42578125" style="1864" customWidth="1"/>
    <col min="5654" max="5654" width="14.5703125" style="1864" customWidth="1"/>
    <col min="5655" max="5655" width="12.28515625" style="1864" customWidth="1"/>
    <col min="5656" max="5656" width="25.85546875" style="1864" customWidth="1"/>
    <col min="5657" max="5888" width="0.85546875" style="1864"/>
    <col min="5889" max="5889" width="9.85546875" style="1864" customWidth="1"/>
    <col min="5890" max="5890" width="81.85546875" style="1864" customWidth="1"/>
    <col min="5891" max="5891" width="12.7109375" style="1864" customWidth="1"/>
    <col min="5892" max="5892" width="12.42578125" style="1864" customWidth="1"/>
    <col min="5893" max="5893" width="14.5703125" style="1864" customWidth="1"/>
    <col min="5894" max="5894" width="12.28515625" style="1864" customWidth="1"/>
    <col min="5895" max="5895" width="38.140625" style="1864" customWidth="1"/>
    <col min="5896" max="5896" width="46.85546875" style="1864" customWidth="1"/>
    <col min="5897" max="5899" width="12.7109375" style="1864" customWidth="1"/>
    <col min="5900" max="5900" width="9.28515625" style="1864" customWidth="1"/>
    <col min="5901" max="5901" width="13.5703125" style="1864" customWidth="1"/>
    <col min="5902" max="5902" width="10.28515625" style="1864" customWidth="1"/>
    <col min="5903" max="5903" width="12.85546875" style="1864" customWidth="1"/>
    <col min="5904" max="5904" width="9.140625" style="1864" customWidth="1"/>
    <col min="5905" max="5905" width="9.7109375" style="1864" customWidth="1"/>
    <col min="5906" max="5906" width="9.28515625" style="1864" customWidth="1"/>
    <col min="5907" max="5907" width="9.42578125" style="1864" customWidth="1"/>
    <col min="5908" max="5908" width="10.5703125" style="1864" customWidth="1"/>
    <col min="5909" max="5909" width="12.42578125" style="1864" customWidth="1"/>
    <col min="5910" max="5910" width="14.5703125" style="1864" customWidth="1"/>
    <col min="5911" max="5911" width="12.28515625" style="1864" customWidth="1"/>
    <col min="5912" max="5912" width="25.85546875" style="1864" customWidth="1"/>
    <col min="5913" max="6144" width="0.85546875" style="1864"/>
    <col min="6145" max="6145" width="9.85546875" style="1864" customWidth="1"/>
    <col min="6146" max="6146" width="81.85546875" style="1864" customWidth="1"/>
    <col min="6147" max="6147" width="12.7109375" style="1864" customWidth="1"/>
    <col min="6148" max="6148" width="12.42578125" style="1864" customWidth="1"/>
    <col min="6149" max="6149" width="14.5703125" style="1864" customWidth="1"/>
    <col min="6150" max="6150" width="12.28515625" style="1864" customWidth="1"/>
    <col min="6151" max="6151" width="38.140625" style="1864" customWidth="1"/>
    <col min="6152" max="6152" width="46.85546875" style="1864" customWidth="1"/>
    <col min="6153" max="6155" width="12.7109375" style="1864" customWidth="1"/>
    <col min="6156" max="6156" width="9.28515625" style="1864" customWidth="1"/>
    <col min="6157" max="6157" width="13.5703125" style="1864" customWidth="1"/>
    <col min="6158" max="6158" width="10.28515625" style="1864" customWidth="1"/>
    <col min="6159" max="6159" width="12.85546875" style="1864" customWidth="1"/>
    <col min="6160" max="6160" width="9.140625" style="1864" customWidth="1"/>
    <col min="6161" max="6161" width="9.7109375" style="1864" customWidth="1"/>
    <col min="6162" max="6162" width="9.28515625" style="1864" customWidth="1"/>
    <col min="6163" max="6163" width="9.42578125" style="1864" customWidth="1"/>
    <col min="6164" max="6164" width="10.5703125" style="1864" customWidth="1"/>
    <col min="6165" max="6165" width="12.42578125" style="1864" customWidth="1"/>
    <col min="6166" max="6166" width="14.5703125" style="1864" customWidth="1"/>
    <col min="6167" max="6167" width="12.28515625" style="1864" customWidth="1"/>
    <col min="6168" max="6168" width="25.85546875" style="1864" customWidth="1"/>
    <col min="6169" max="6400" width="0.85546875" style="1864"/>
    <col min="6401" max="6401" width="9.85546875" style="1864" customWidth="1"/>
    <col min="6402" max="6402" width="81.85546875" style="1864" customWidth="1"/>
    <col min="6403" max="6403" width="12.7109375" style="1864" customWidth="1"/>
    <col min="6404" max="6404" width="12.42578125" style="1864" customWidth="1"/>
    <col min="6405" max="6405" width="14.5703125" style="1864" customWidth="1"/>
    <col min="6406" max="6406" width="12.28515625" style="1864" customWidth="1"/>
    <col min="6407" max="6407" width="38.140625" style="1864" customWidth="1"/>
    <col min="6408" max="6408" width="46.85546875" style="1864" customWidth="1"/>
    <col min="6409" max="6411" width="12.7109375" style="1864" customWidth="1"/>
    <col min="6412" max="6412" width="9.28515625" style="1864" customWidth="1"/>
    <col min="6413" max="6413" width="13.5703125" style="1864" customWidth="1"/>
    <col min="6414" max="6414" width="10.28515625" style="1864" customWidth="1"/>
    <col min="6415" max="6415" width="12.85546875" style="1864" customWidth="1"/>
    <col min="6416" max="6416" width="9.140625" style="1864" customWidth="1"/>
    <col min="6417" max="6417" width="9.7109375" style="1864" customWidth="1"/>
    <col min="6418" max="6418" width="9.28515625" style="1864" customWidth="1"/>
    <col min="6419" max="6419" width="9.42578125" style="1864" customWidth="1"/>
    <col min="6420" max="6420" width="10.5703125" style="1864" customWidth="1"/>
    <col min="6421" max="6421" width="12.42578125" style="1864" customWidth="1"/>
    <col min="6422" max="6422" width="14.5703125" style="1864" customWidth="1"/>
    <col min="6423" max="6423" width="12.28515625" style="1864" customWidth="1"/>
    <col min="6424" max="6424" width="25.85546875" style="1864" customWidth="1"/>
    <col min="6425" max="6656" width="0.85546875" style="1864"/>
    <col min="6657" max="6657" width="9.85546875" style="1864" customWidth="1"/>
    <col min="6658" max="6658" width="81.85546875" style="1864" customWidth="1"/>
    <col min="6659" max="6659" width="12.7109375" style="1864" customWidth="1"/>
    <col min="6660" max="6660" width="12.42578125" style="1864" customWidth="1"/>
    <col min="6661" max="6661" width="14.5703125" style="1864" customWidth="1"/>
    <col min="6662" max="6662" width="12.28515625" style="1864" customWidth="1"/>
    <col min="6663" max="6663" width="38.140625" style="1864" customWidth="1"/>
    <col min="6664" max="6664" width="46.85546875" style="1864" customWidth="1"/>
    <col min="6665" max="6667" width="12.7109375" style="1864" customWidth="1"/>
    <col min="6668" max="6668" width="9.28515625" style="1864" customWidth="1"/>
    <col min="6669" max="6669" width="13.5703125" style="1864" customWidth="1"/>
    <col min="6670" max="6670" width="10.28515625" style="1864" customWidth="1"/>
    <col min="6671" max="6671" width="12.85546875" style="1864" customWidth="1"/>
    <col min="6672" max="6672" width="9.140625" style="1864" customWidth="1"/>
    <col min="6673" max="6673" width="9.7109375" style="1864" customWidth="1"/>
    <col min="6674" max="6674" width="9.28515625" style="1864" customWidth="1"/>
    <col min="6675" max="6675" width="9.42578125" style="1864" customWidth="1"/>
    <col min="6676" max="6676" width="10.5703125" style="1864" customWidth="1"/>
    <col min="6677" max="6677" width="12.42578125" style="1864" customWidth="1"/>
    <col min="6678" max="6678" width="14.5703125" style="1864" customWidth="1"/>
    <col min="6679" max="6679" width="12.28515625" style="1864" customWidth="1"/>
    <col min="6680" max="6680" width="25.85546875" style="1864" customWidth="1"/>
    <col min="6681" max="6912" width="0.85546875" style="1864"/>
    <col min="6913" max="6913" width="9.85546875" style="1864" customWidth="1"/>
    <col min="6914" max="6914" width="81.85546875" style="1864" customWidth="1"/>
    <col min="6915" max="6915" width="12.7109375" style="1864" customWidth="1"/>
    <col min="6916" max="6916" width="12.42578125" style="1864" customWidth="1"/>
    <col min="6917" max="6917" width="14.5703125" style="1864" customWidth="1"/>
    <col min="6918" max="6918" width="12.28515625" style="1864" customWidth="1"/>
    <col min="6919" max="6919" width="38.140625" style="1864" customWidth="1"/>
    <col min="6920" max="6920" width="46.85546875" style="1864" customWidth="1"/>
    <col min="6921" max="6923" width="12.7109375" style="1864" customWidth="1"/>
    <col min="6924" max="6924" width="9.28515625" style="1864" customWidth="1"/>
    <col min="6925" max="6925" width="13.5703125" style="1864" customWidth="1"/>
    <col min="6926" max="6926" width="10.28515625" style="1864" customWidth="1"/>
    <col min="6927" max="6927" width="12.85546875" style="1864" customWidth="1"/>
    <col min="6928" max="6928" width="9.140625" style="1864" customWidth="1"/>
    <col min="6929" max="6929" width="9.7109375" style="1864" customWidth="1"/>
    <col min="6930" max="6930" width="9.28515625" style="1864" customWidth="1"/>
    <col min="6931" max="6931" width="9.42578125" style="1864" customWidth="1"/>
    <col min="6932" max="6932" width="10.5703125" style="1864" customWidth="1"/>
    <col min="6933" max="6933" width="12.42578125" style="1864" customWidth="1"/>
    <col min="6934" max="6934" width="14.5703125" style="1864" customWidth="1"/>
    <col min="6935" max="6935" width="12.28515625" style="1864" customWidth="1"/>
    <col min="6936" max="6936" width="25.85546875" style="1864" customWidth="1"/>
    <col min="6937" max="7168" width="0.85546875" style="1864"/>
    <col min="7169" max="7169" width="9.85546875" style="1864" customWidth="1"/>
    <col min="7170" max="7170" width="81.85546875" style="1864" customWidth="1"/>
    <col min="7171" max="7171" width="12.7109375" style="1864" customWidth="1"/>
    <col min="7172" max="7172" width="12.42578125" style="1864" customWidth="1"/>
    <col min="7173" max="7173" width="14.5703125" style="1864" customWidth="1"/>
    <col min="7174" max="7174" width="12.28515625" style="1864" customWidth="1"/>
    <col min="7175" max="7175" width="38.140625" style="1864" customWidth="1"/>
    <col min="7176" max="7176" width="46.85546875" style="1864" customWidth="1"/>
    <col min="7177" max="7179" width="12.7109375" style="1864" customWidth="1"/>
    <col min="7180" max="7180" width="9.28515625" style="1864" customWidth="1"/>
    <col min="7181" max="7181" width="13.5703125" style="1864" customWidth="1"/>
    <col min="7182" max="7182" width="10.28515625" style="1864" customWidth="1"/>
    <col min="7183" max="7183" width="12.85546875" style="1864" customWidth="1"/>
    <col min="7184" max="7184" width="9.140625" style="1864" customWidth="1"/>
    <col min="7185" max="7185" width="9.7109375" style="1864" customWidth="1"/>
    <col min="7186" max="7186" width="9.28515625" style="1864" customWidth="1"/>
    <col min="7187" max="7187" width="9.42578125" style="1864" customWidth="1"/>
    <col min="7188" max="7188" width="10.5703125" style="1864" customWidth="1"/>
    <col min="7189" max="7189" width="12.42578125" style="1864" customWidth="1"/>
    <col min="7190" max="7190" width="14.5703125" style="1864" customWidth="1"/>
    <col min="7191" max="7191" width="12.28515625" style="1864" customWidth="1"/>
    <col min="7192" max="7192" width="25.85546875" style="1864" customWidth="1"/>
    <col min="7193" max="7424" width="0.85546875" style="1864"/>
    <col min="7425" max="7425" width="9.85546875" style="1864" customWidth="1"/>
    <col min="7426" max="7426" width="81.85546875" style="1864" customWidth="1"/>
    <col min="7427" max="7427" width="12.7109375" style="1864" customWidth="1"/>
    <col min="7428" max="7428" width="12.42578125" style="1864" customWidth="1"/>
    <col min="7429" max="7429" width="14.5703125" style="1864" customWidth="1"/>
    <col min="7430" max="7430" width="12.28515625" style="1864" customWidth="1"/>
    <col min="7431" max="7431" width="38.140625" style="1864" customWidth="1"/>
    <col min="7432" max="7432" width="46.85546875" style="1864" customWidth="1"/>
    <col min="7433" max="7435" width="12.7109375" style="1864" customWidth="1"/>
    <col min="7436" max="7436" width="9.28515625" style="1864" customWidth="1"/>
    <col min="7437" max="7437" width="13.5703125" style="1864" customWidth="1"/>
    <col min="7438" max="7438" width="10.28515625" style="1864" customWidth="1"/>
    <col min="7439" max="7439" width="12.85546875" style="1864" customWidth="1"/>
    <col min="7440" max="7440" width="9.140625" style="1864" customWidth="1"/>
    <col min="7441" max="7441" width="9.7109375" style="1864" customWidth="1"/>
    <col min="7442" max="7442" width="9.28515625" style="1864" customWidth="1"/>
    <col min="7443" max="7443" width="9.42578125" style="1864" customWidth="1"/>
    <col min="7444" max="7444" width="10.5703125" style="1864" customWidth="1"/>
    <col min="7445" max="7445" width="12.42578125" style="1864" customWidth="1"/>
    <col min="7446" max="7446" width="14.5703125" style="1864" customWidth="1"/>
    <col min="7447" max="7447" width="12.28515625" style="1864" customWidth="1"/>
    <col min="7448" max="7448" width="25.85546875" style="1864" customWidth="1"/>
    <col min="7449" max="7680" width="0.85546875" style="1864"/>
    <col min="7681" max="7681" width="9.85546875" style="1864" customWidth="1"/>
    <col min="7682" max="7682" width="81.85546875" style="1864" customWidth="1"/>
    <col min="7683" max="7683" width="12.7109375" style="1864" customWidth="1"/>
    <col min="7684" max="7684" width="12.42578125" style="1864" customWidth="1"/>
    <col min="7685" max="7685" width="14.5703125" style="1864" customWidth="1"/>
    <col min="7686" max="7686" width="12.28515625" style="1864" customWidth="1"/>
    <col min="7687" max="7687" width="38.140625" style="1864" customWidth="1"/>
    <col min="7688" max="7688" width="46.85546875" style="1864" customWidth="1"/>
    <col min="7689" max="7691" width="12.7109375" style="1864" customWidth="1"/>
    <col min="7692" max="7692" width="9.28515625" style="1864" customWidth="1"/>
    <col min="7693" max="7693" width="13.5703125" style="1864" customWidth="1"/>
    <col min="7694" max="7694" width="10.28515625" style="1864" customWidth="1"/>
    <col min="7695" max="7695" width="12.85546875" style="1864" customWidth="1"/>
    <col min="7696" max="7696" width="9.140625" style="1864" customWidth="1"/>
    <col min="7697" max="7697" width="9.7109375" style="1864" customWidth="1"/>
    <col min="7698" max="7698" width="9.28515625" style="1864" customWidth="1"/>
    <col min="7699" max="7699" width="9.42578125" style="1864" customWidth="1"/>
    <col min="7700" max="7700" width="10.5703125" style="1864" customWidth="1"/>
    <col min="7701" max="7701" width="12.42578125" style="1864" customWidth="1"/>
    <col min="7702" max="7702" width="14.5703125" style="1864" customWidth="1"/>
    <col min="7703" max="7703" width="12.28515625" style="1864" customWidth="1"/>
    <col min="7704" max="7704" width="25.85546875" style="1864" customWidth="1"/>
    <col min="7705" max="7936" width="0.85546875" style="1864"/>
    <col min="7937" max="7937" width="9.85546875" style="1864" customWidth="1"/>
    <col min="7938" max="7938" width="81.85546875" style="1864" customWidth="1"/>
    <col min="7939" max="7939" width="12.7109375" style="1864" customWidth="1"/>
    <col min="7940" max="7940" width="12.42578125" style="1864" customWidth="1"/>
    <col min="7941" max="7941" width="14.5703125" style="1864" customWidth="1"/>
    <col min="7942" max="7942" width="12.28515625" style="1864" customWidth="1"/>
    <col min="7943" max="7943" width="38.140625" style="1864" customWidth="1"/>
    <col min="7944" max="7944" width="46.85546875" style="1864" customWidth="1"/>
    <col min="7945" max="7947" width="12.7109375" style="1864" customWidth="1"/>
    <col min="7948" max="7948" width="9.28515625" style="1864" customWidth="1"/>
    <col min="7949" max="7949" width="13.5703125" style="1864" customWidth="1"/>
    <col min="7950" max="7950" width="10.28515625" style="1864" customWidth="1"/>
    <col min="7951" max="7951" width="12.85546875" style="1864" customWidth="1"/>
    <col min="7952" max="7952" width="9.140625" style="1864" customWidth="1"/>
    <col min="7953" max="7953" width="9.7109375" style="1864" customWidth="1"/>
    <col min="7954" max="7954" width="9.28515625" style="1864" customWidth="1"/>
    <col min="7955" max="7955" width="9.42578125" style="1864" customWidth="1"/>
    <col min="7956" max="7956" width="10.5703125" style="1864" customWidth="1"/>
    <col min="7957" max="7957" width="12.42578125" style="1864" customWidth="1"/>
    <col min="7958" max="7958" width="14.5703125" style="1864" customWidth="1"/>
    <col min="7959" max="7959" width="12.28515625" style="1864" customWidth="1"/>
    <col min="7960" max="7960" width="25.85546875" style="1864" customWidth="1"/>
    <col min="7961" max="8192" width="0.85546875" style="1864"/>
    <col min="8193" max="8193" width="9.85546875" style="1864" customWidth="1"/>
    <col min="8194" max="8194" width="81.85546875" style="1864" customWidth="1"/>
    <col min="8195" max="8195" width="12.7109375" style="1864" customWidth="1"/>
    <col min="8196" max="8196" width="12.42578125" style="1864" customWidth="1"/>
    <col min="8197" max="8197" width="14.5703125" style="1864" customWidth="1"/>
    <col min="8198" max="8198" width="12.28515625" style="1864" customWidth="1"/>
    <col min="8199" max="8199" width="38.140625" style="1864" customWidth="1"/>
    <col min="8200" max="8200" width="46.85546875" style="1864" customWidth="1"/>
    <col min="8201" max="8203" width="12.7109375" style="1864" customWidth="1"/>
    <col min="8204" max="8204" width="9.28515625" style="1864" customWidth="1"/>
    <col min="8205" max="8205" width="13.5703125" style="1864" customWidth="1"/>
    <col min="8206" max="8206" width="10.28515625" style="1864" customWidth="1"/>
    <col min="8207" max="8207" width="12.85546875" style="1864" customWidth="1"/>
    <col min="8208" max="8208" width="9.140625" style="1864" customWidth="1"/>
    <col min="8209" max="8209" width="9.7109375" style="1864" customWidth="1"/>
    <col min="8210" max="8210" width="9.28515625" style="1864" customWidth="1"/>
    <col min="8211" max="8211" width="9.42578125" style="1864" customWidth="1"/>
    <col min="8212" max="8212" width="10.5703125" style="1864" customWidth="1"/>
    <col min="8213" max="8213" width="12.42578125" style="1864" customWidth="1"/>
    <col min="8214" max="8214" width="14.5703125" style="1864" customWidth="1"/>
    <col min="8215" max="8215" width="12.28515625" style="1864" customWidth="1"/>
    <col min="8216" max="8216" width="25.85546875" style="1864" customWidth="1"/>
    <col min="8217" max="8448" width="0.85546875" style="1864"/>
    <col min="8449" max="8449" width="9.85546875" style="1864" customWidth="1"/>
    <col min="8450" max="8450" width="81.85546875" style="1864" customWidth="1"/>
    <col min="8451" max="8451" width="12.7109375" style="1864" customWidth="1"/>
    <col min="8452" max="8452" width="12.42578125" style="1864" customWidth="1"/>
    <col min="8453" max="8453" width="14.5703125" style="1864" customWidth="1"/>
    <col min="8454" max="8454" width="12.28515625" style="1864" customWidth="1"/>
    <col min="8455" max="8455" width="38.140625" style="1864" customWidth="1"/>
    <col min="8456" max="8456" width="46.85546875" style="1864" customWidth="1"/>
    <col min="8457" max="8459" width="12.7109375" style="1864" customWidth="1"/>
    <col min="8460" max="8460" width="9.28515625" style="1864" customWidth="1"/>
    <col min="8461" max="8461" width="13.5703125" style="1864" customWidth="1"/>
    <col min="8462" max="8462" width="10.28515625" style="1864" customWidth="1"/>
    <col min="8463" max="8463" width="12.85546875" style="1864" customWidth="1"/>
    <col min="8464" max="8464" width="9.140625" style="1864" customWidth="1"/>
    <col min="8465" max="8465" width="9.7109375" style="1864" customWidth="1"/>
    <col min="8466" max="8466" width="9.28515625" style="1864" customWidth="1"/>
    <col min="8467" max="8467" width="9.42578125" style="1864" customWidth="1"/>
    <col min="8468" max="8468" width="10.5703125" style="1864" customWidth="1"/>
    <col min="8469" max="8469" width="12.42578125" style="1864" customWidth="1"/>
    <col min="8470" max="8470" width="14.5703125" style="1864" customWidth="1"/>
    <col min="8471" max="8471" width="12.28515625" style="1864" customWidth="1"/>
    <col min="8472" max="8472" width="25.85546875" style="1864" customWidth="1"/>
    <col min="8473" max="8704" width="0.85546875" style="1864"/>
    <col min="8705" max="8705" width="9.85546875" style="1864" customWidth="1"/>
    <col min="8706" max="8706" width="81.85546875" style="1864" customWidth="1"/>
    <col min="8707" max="8707" width="12.7109375" style="1864" customWidth="1"/>
    <col min="8708" max="8708" width="12.42578125" style="1864" customWidth="1"/>
    <col min="8709" max="8709" width="14.5703125" style="1864" customWidth="1"/>
    <col min="8710" max="8710" width="12.28515625" style="1864" customWidth="1"/>
    <col min="8711" max="8711" width="38.140625" style="1864" customWidth="1"/>
    <col min="8712" max="8712" width="46.85546875" style="1864" customWidth="1"/>
    <col min="8713" max="8715" width="12.7109375" style="1864" customWidth="1"/>
    <col min="8716" max="8716" width="9.28515625" style="1864" customWidth="1"/>
    <col min="8717" max="8717" width="13.5703125" style="1864" customWidth="1"/>
    <col min="8718" max="8718" width="10.28515625" style="1864" customWidth="1"/>
    <col min="8719" max="8719" width="12.85546875" style="1864" customWidth="1"/>
    <col min="8720" max="8720" width="9.140625" style="1864" customWidth="1"/>
    <col min="8721" max="8721" width="9.7109375" style="1864" customWidth="1"/>
    <col min="8722" max="8722" width="9.28515625" style="1864" customWidth="1"/>
    <col min="8723" max="8723" width="9.42578125" style="1864" customWidth="1"/>
    <col min="8724" max="8724" width="10.5703125" style="1864" customWidth="1"/>
    <col min="8725" max="8725" width="12.42578125" style="1864" customWidth="1"/>
    <col min="8726" max="8726" width="14.5703125" style="1864" customWidth="1"/>
    <col min="8727" max="8727" width="12.28515625" style="1864" customWidth="1"/>
    <col min="8728" max="8728" width="25.85546875" style="1864" customWidth="1"/>
    <col min="8729" max="8960" width="0.85546875" style="1864"/>
    <col min="8961" max="8961" width="9.85546875" style="1864" customWidth="1"/>
    <col min="8962" max="8962" width="81.85546875" style="1864" customWidth="1"/>
    <col min="8963" max="8963" width="12.7109375" style="1864" customWidth="1"/>
    <col min="8964" max="8964" width="12.42578125" style="1864" customWidth="1"/>
    <col min="8965" max="8965" width="14.5703125" style="1864" customWidth="1"/>
    <col min="8966" max="8966" width="12.28515625" style="1864" customWidth="1"/>
    <col min="8967" max="8967" width="38.140625" style="1864" customWidth="1"/>
    <col min="8968" max="8968" width="46.85546875" style="1864" customWidth="1"/>
    <col min="8969" max="8971" width="12.7109375" style="1864" customWidth="1"/>
    <col min="8972" max="8972" width="9.28515625" style="1864" customWidth="1"/>
    <col min="8973" max="8973" width="13.5703125" style="1864" customWidth="1"/>
    <col min="8974" max="8974" width="10.28515625" style="1864" customWidth="1"/>
    <col min="8975" max="8975" width="12.85546875" style="1864" customWidth="1"/>
    <col min="8976" max="8976" width="9.140625" style="1864" customWidth="1"/>
    <col min="8977" max="8977" width="9.7109375" style="1864" customWidth="1"/>
    <col min="8978" max="8978" width="9.28515625" style="1864" customWidth="1"/>
    <col min="8979" max="8979" width="9.42578125" style="1864" customWidth="1"/>
    <col min="8980" max="8980" width="10.5703125" style="1864" customWidth="1"/>
    <col min="8981" max="8981" width="12.42578125" style="1864" customWidth="1"/>
    <col min="8982" max="8982" width="14.5703125" style="1864" customWidth="1"/>
    <col min="8983" max="8983" width="12.28515625" style="1864" customWidth="1"/>
    <col min="8984" max="8984" width="25.85546875" style="1864" customWidth="1"/>
    <col min="8985" max="9216" width="0.85546875" style="1864"/>
    <col min="9217" max="9217" width="9.85546875" style="1864" customWidth="1"/>
    <col min="9218" max="9218" width="81.85546875" style="1864" customWidth="1"/>
    <col min="9219" max="9219" width="12.7109375" style="1864" customWidth="1"/>
    <col min="9220" max="9220" width="12.42578125" style="1864" customWidth="1"/>
    <col min="9221" max="9221" width="14.5703125" style="1864" customWidth="1"/>
    <col min="9222" max="9222" width="12.28515625" style="1864" customWidth="1"/>
    <col min="9223" max="9223" width="38.140625" style="1864" customWidth="1"/>
    <col min="9224" max="9224" width="46.85546875" style="1864" customWidth="1"/>
    <col min="9225" max="9227" width="12.7109375" style="1864" customWidth="1"/>
    <col min="9228" max="9228" width="9.28515625" style="1864" customWidth="1"/>
    <col min="9229" max="9229" width="13.5703125" style="1864" customWidth="1"/>
    <col min="9230" max="9230" width="10.28515625" style="1864" customWidth="1"/>
    <col min="9231" max="9231" width="12.85546875" style="1864" customWidth="1"/>
    <col min="9232" max="9232" width="9.140625" style="1864" customWidth="1"/>
    <col min="9233" max="9233" width="9.7109375" style="1864" customWidth="1"/>
    <col min="9234" max="9234" width="9.28515625" style="1864" customWidth="1"/>
    <col min="9235" max="9235" width="9.42578125" style="1864" customWidth="1"/>
    <col min="9236" max="9236" width="10.5703125" style="1864" customWidth="1"/>
    <col min="9237" max="9237" width="12.42578125" style="1864" customWidth="1"/>
    <col min="9238" max="9238" width="14.5703125" style="1864" customWidth="1"/>
    <col min="9239" max="9239" width="12.28515625" style="1864" customWidth="1"/>
    <col min="9240" max="9240" width="25.85546875" style="1864" customWidth="1"/>
    <col min="9241" max="9472" width="0.85546875" style="1864"/>
    <col min="9473" max="9473" width="9.85546875" style="1864" customWidth="1"/>
    <col min="9474" max="9474" width="81.85546875" style="1864" customWidth="1"/>
    <col min="9475" max="9475" width="12.7109375" style="1864" customWidth="1"/>
    <col min="9476" max="9476" width="12.42578125" style="1864" customWidth="1"/>
    <col min="9477" max="9477" width="14.5703125" style="1864" customWidth="1"/>
    <col min="9478" max="9478" width="12.28515625" style="1864" customWidth="1"/>
    <col min="9479" max="9479" width="38.140625" style="1864" customWidth="1"/>
    <col min="9480" max="9480" width="46.85546875" style="1864" customWidth="1"/>
    <col min="9481" max="9483" width="12.7109375" style="1864" customWidth="1"/>
    <col min="9484" max="9484" width="9.28515625" style="1864" customWidth="1"/>
    <col min="9485" max="9485" width="13.5703125" style="1864" customWidth="1"/>
    <col min="9486" max="9486" width="10.28515625" style="1864" customWidth="1"/>
    <col min="9487" max="9487" width="12.85546875" style="1864" customWidth="1"/>
    <col min="9488" max="9488" width="9.140625" style="1864" customWidth="1"/>
    <col min="9489" max="9489" width="9.7109375" style="1864" customWidth="1"/>
    <col min="9490" max="9490" width="9.28515625" style="1864" customWidth="1"/>
    <col min="9491" max="9491" width="9.42578125" style="1864" customWidth="1"/>
    <col min="9492" max="9492" width="10.5703125" style="1864" customWidth="1"/>
    <col min="9493" max="9493" width="12.42578125" style="1864" customWidth="1"/>
    <col min="9494" max="9494" width="14.5703125" style="1864" customWidth="1"/>
    <col min="9495" max="9495" width="12.28515625" style="1864" customWidth="1"/>
    <col min="9496" max="9496" width="25.85546875" style="1864" customWidth="1"/>
    <col min="9497" max="9728" width="0.85546875" style="1864"/>
    <col min="9729" max="9729" width="9.85546875" style="1864" customWidth="1"/>
    <col min="9730" max="9730" width="81.85546875" style="1864" customWidth="1"/>
    <col min="9731" max="9731" width="12.7109375" style="1864" customWidth="1"/>
    <col min="9732" max="9732" width="12.42578125" style="1864" customWidth="1"/>
    <col min="9733" max="9733" width="14.5703125" style="1864" customWidth="1"/>
    <col min="9734" max="9734" width="12.28515625" style="1864" customWidth="1"/>
    <col min="9735" max="9735" width="38.140625" style="1864" customWidth="1"/>
    <col min="9736" max="9736" width="46.85546875" style="1864" customWidth="1"/>
    <col min="9737" max="9739" width="12.7109375" style="1864" customWidth="1"/>
    <col min="9740" max="9740" width="9.28515625" style="1864" customWidth="1"/>
    <col min="9741" max="9741" width="13.5703125" style="1864" customWidth="1"/>
    <col min="9742" max="9742" width="10.28515625" style="1864" customWidth="1"/>
    <col min="9743" max="9743" width="12.85546875" style="1864" customWidth="1"/>
    <col min="9744" max="9744" width="9.140625" style="1864" customWidth="1"/>
    <col min="9745" max="9745" width="9.7109375" style="1864" customWidth="1"/>
    <col min="9746" max="9746" width="9.28515625" style="1864" customWidth="1"/>
    <col min="9747" max="9747" width="9.42578125" style="1864" customWidth="1"/>
    <col min="9748" max="9748" width="10.5703125" style="1864" customWidth="1"/>
    <col min="9749" max="9749" width="12.42578125" style="1864" customWidth="1"/>
    <col min="9750" max="9750" width="14.5703125" style="1864" customWidth="1"/>
    <col min="9751" max="9751" width="12.28515625" style="1864" customWidth="1"/>
    <col min="9752" max="9752" width="25.85546875" style="1864" customWidth="1"/>
    <col min="9753" max="9984" width="0.85546875" style="1864"/>
    <col min="9985" max="9985" width="9.85546875" style="1864" customWidth="1"/>
    <col min="9986" max="9986" width="81.85546875" style="1864" customWidth="1"/>
    <col min="9987" max="9987" width="12.7109375" style="1864" customWidth="1"/>
    <col min="9988" max="9988" width="12.42578125" style="1864" customWidth="1"/>
    <col min="9989" max="9989" width="14.5703125" style="1864" customWidth="1"/>
    <col min="9990" max="9990" width="12.28515625" style="1864" customWidth="1"/>
    <col min="9991" max="9991" width="38.140625" style="1864" customWidth="1"/>
    <col min="9992" max="9992" width="46.85546875" style="1864" customWidth="1"/>
    <col min="9993" max="9995" width="12.7109375" style="1864" customWidth="1"/>
    <col min="9996" max="9996" width="9.28515625" style="1864" customWidth="1"/>
    <col min="9997" max="9997" width="13.5703125" style="1864" customWidth="1"/>
    <col min="9998" max="9998" width="10.28515625" style="1864" customWidth="1"/>
    <col min="9999" max="9999" width="12.85546875" style="1864" customWidth="1"/>
    <col min="10000" max="10000" width="9.140625" style="1864" customWidth="1"/>
    <col min="10001" max="10001" width="9.7109375" style="1864" customWidth="1"/>
    <col min="10002" max="10002" width="9.28515625" style="1864" customWidth="1"/>
    <col min="10003" max="10003" width="9.42578125" style="1864" customWidth="1"/>
    <col min="10004" max="10004" width="10.5703125" style="1864" customWidth="1"/>
    <col min="10005" max="10005" width="12.42578125" style="1864" customWidth="1"/>
    <col min="10006" max="10006" width="14.5703125" style="1864" customWidth="1"/>
    <col min="10007" max="10007" width="12.28515625" style="1864" customWidth="1"/>
    <col min="10008" max="10008" width="25.85546875" style="1864" customWidth="1"/>
    <col min="10009" max="10240" width="0.85546875" style="1864"/>
    <col min="10241" max="10241" width="9.85546875" style="1864" customWidth="1"/>
    <col min="10242" max="10242" width="81.85546875" style="1864" customWidth="1"/>
    <col min="10243" max="10243" width="12.7109375" style="1864" customWidth="1"/>
    <col min="10244" max="10244" width="12.42578125" style="1864" customWidth="1"/>
    <col min="10245" max="10245" width="14.5703125" style="1864" customWidth="1"/>
    <col min="10246" max="10246" width="12.28515625" style="1864" customWidth="1"/>
    <col min="10247" max="10247" width="38.140625" style="1864" customWidth="1"/>
    <col min="10248" max="10248" width="46.85546875" style="1864" customWidth="1"/>
    <col min="10249" max="10251" width="12.7109375" style="1864" customWidth="1"/>
    <col min="10252" max="10252" width="9.28515625" style="1864" customWidth="1"/>
    <col min="10253" max="10253" width="13.5703125" style="1864" customWidth="1"/>
    <col min="10254" max="10254" width="10.28515625" style="1864" customWidth="1"/>
    <col min="10255" max="10255" width="12.85546875" style="1864" customWidth="1"/>
    <col min="10256" max="10256" width="9.140625" style="1864" customWidth="1"/>
    <col min="10257" max="10257" width="9.7109375" style="1864" customWidth="1"/>
    <col min="10258" max="10258" width="9.28515625" style="1864" customWidth="1"/>
    <col min="10259" max="10259" width="9.42578125" style="1864" customWidth="1"/>
    <col min="10260" max="10260" width="10.5703125" style="1864" customWidth="1"/>
    <col min="10261" max="10261" width="12.42578125" style="1864" customWidth="1"/>
    <col min="10262" max="10262" width="14.5703125" style="1864" customWidth="1"/>
    <col min="10263" max="10263" width="12.28515625" style="1864" customWidth="1"/>
    <col min="10264" max="10264" width="25.85546875" style="1864" customWidth="1"/>
    <col min="10265" max="10496" width="0.85546875" style="1864"/>
    <col min="10497" max="10497" width="9.85546875" style="1864" customWidth="1"/>
    <col min="10498" max="10498" width="81.85546875" style="1864" customWidth="1"/>
    <col min="10499" max="10499" width="12.7109375" style="1864" customWidth="1"/>
    <col min="10500" max="10500" width="12.42578125" style="1864" customWidth="1"/>
    <col min="10501" max="10501" width="14.5703125" style="1864" customWidth="1"/>
    <col min="10502" max="10502" width="12.28515625" style="1864" customWidth="1"/>
    <col min="10503" max="10503" width="38.140625" style="1864" customWidth="1"/>
    <col min="10504" max="10504" width="46.85546875" style="1864" customWidth="1"/>
    <col min="10505" max="10507" width="12.7109375" style="1864" customWidth="1"/>
    <col min="10508" max="10508" width="9.28515625" style="1864" customWidth="1"/>
    <col min="10509" max="10509" width="13.5703125" style="1864" customWidth="1"/>
    <col min="10510" max="10510" width="10.28515625" style="1864" customWidth="1"/>
    <col min="10511" max="10511" width="12.85546875" style="1864" customWidth="1"/>
    <col min="10512" max="10512" width="9.140625" style="1864" customWidth="1"/>
    <col min="10513" max="10513" width="9.7109375" style="1864" customWidth="1"/>
    <col min="10514" max="10514" width="9.28515625" style="1864" customWidth="1"/>
    <col min="10515" max="10515" width="9.42578125" style="1864" customWidth="1"/>
    <col min="10516" max="10516" width="10.5703125" style="1864" customWidth="1"/>
    <col min="10517" max="10517" width="12.42578125" style="1864" customWidth="1"/>
    <col min="10518" max="10518" width="14.5703125" style="1864" customWidth="1"/>
    <col min="10519" max="10519" width="12.28515625" style="1864" customWidth="1"/>
    <col min="10520" max="10520" width="25.85546875" style="1864" customWidth="1"/>
    <col min="10521" max="10752" width="0.85546875" style="1864"/>
    <col min="10753" max="10753" width="9.85546875" style="1864" customWidth="1"/>
    <col min="10754" max="10754" width="81.85546875" style="1864" customWidth="1"/>
    <col min="10755" max="10755" width="12.7109375" style="1864" customWidth="1"/>
    <col min="10756" max="10756" width="12.42578125" style="1864" customWidth="1"/>
    <col min="10757" max="10757" width="14.5703125" style="1864" customWidth="1"/>
    <col min="10758" max="10758" width="12.28515625" style="1864" customWidth="1"/>
    <col min="10759" max="10759" width="38.140625" style="1864" customWidth="1"/>
    <col min="10760" max="10760" width="46.85546875" style="1864" customWidth="1"/>
    <col min="10761" max="10763" width="12.7109375" style="1864" customWidth="1"/>
    <col min="10764" max="10764" width="9.28515625" style="1864" customWidth="1"/>
    <col min="10765" max="10765" width="13.5703125" style="1864" customWidth="1"/>
    <col min="10766" max="10766" width="10.28515625" style="1864" customWidth="1"/>
    <col min="10767" max="10767" width="12.85546875" style="1864" customWidth="1"/>
    <col min="10768" max="10768" width="9.140625" style="1864" customWidth="1"/>
    <col min="10769" max="10769" width="9.7109375" style="1864" customWidth="1"/>
    <col min="10770" max="10770" width="9.28515625" style="1864" customWidth="1"/>
    <col min="10771" max="10771" width="9.42578125" style="1864" customWidth="1"/>
    <col min="10772" max="10772" width="10.5703125" style="1864" customWidth="1"/>
    <col min="10773" max="10773" width="12.42578125" style="1864" customWidth="1"/>
    <col min="10774" max="10774" width="14.5703125" style="1864" customWidth="1"/>
    <col min="10775" max="10775" width="12.28515625" style="1864" customWidth="1"/>
    <col min="10776" max="10776" width="25.85546875" style="1864" customWidth="1"/>
    <col min="10777" max="11008" width="0.85546875" style="1864"/>
    <col min="11009" max="11009" width="9.85546875" style="1864" customWidth="1"/>
    <col min="11010" max="11010" width="81.85546875" style="1864" customWidth="1"/>
    <col min="11011" max="11011" width="12.7109375" style="1864" customWidth="1"/>
    <col min="11012" max="11012" width="12.42578125" style="1864" customWidth="1"/>
    <col min="11013" max="11013" width="14.5703125" style="1864" customWidth="1"/>
    <col min="11014" max="11014" width="12.28515625" style="1864" customWidth="1"/>
    <col min="11015" max="11015" width="38.140625" style="1864" customWidth="1"/>
    <col min="11016" max="11016" width="46.85546875" style="1864" customWidth="1"/>
    <col min="11017" max="11019" width="12.7109375" style="1864" customWidth="1"/>
    <col min="11020" max="11020" width="9.28515625" style="1864" customWidth="1"/>
    <col min="11021" max="11021" width="13.5703125" style="1864" customWidth="1"/>
    <col min="11022" max="11022" width="10.28515625" style="1864" customWidth="1"/>
    <col min="11023" max="11023" width="12.85546875" style="1864" customWidth="1"/>
    <col min="11024" max="11024" width="9.140625" style="1864" customWidth="1"/>
    <col min="11025" max="11025" width="9.7109375" style="1864" customWidth="1"/>
    <col min="11026" max="11026" width="9.28515625" style="1864" customWidth="1"/>
    <col min="11027" max="11027" width="9.42578125" style="1864" customWidth="1"/>
    <col min="11028" max="11028" width="10.5703125" style="1864" customWidth="1"/>
    <col min="11029" max="11029" width="12.42578125" style="1864" customWidth="1"/>
    <col min="11030" max="11030" width="14.5703125" style="1864" customWidth="1"/>
    <col min="11031" max="11031" width="12.28515625" style="1864" customWidth="1"/>
    <col min="11032" max="11032" width="25.85546875" style="1864" customWidth="1"/>
    <col min="11033" max="11264" width="0.85546875" style="1864"/>
    <col min="11265" max="11265" width="9.85546875" style="1864" customWidth="1"/>
    <col min="11266" max="11266" width="81.85546875" style="1864" customWidth="1"/>
    <col min="11267" max="11267" width="12.7109375" style="1864" customWidth="1"/>
    <col min="11268" max="11268" width="12.42578125" style="1864" customWidth="1"/>
    <col min="11269" max="11269" width="14.5703125" style="1864" customWidth="1"/>
    <col min="11270" max="11270" width="12.28515625" style="1864" customWidth="1"/>
    <col min="11271" max="11271" width="38.140625" style="1864" customWidth="1"/>
    <col min="11272" max="11272" width="46.85546875" style="1864" customWidth="1"/>
    <col min="11273" max="11275" width="12.7109375" style="1864" customWidth="1"/>
    <col min="11276" max="11276" width="9.28515625" style="1864" customWidth="1"/>
    <col min="11277" max="11277" width="13.5703125" style="1864" customWidth="1"/>
    <col min="11278" max="11278" width="10.28515625" style="1864" customWidth="1"/>
    <col min="11279" max="11279" width="12.85546875" style="1864" customWidth="1"/>
    <col min="11280" max="11280" width="9.140625" style="1864" customWidth="1"/>
    <col min="11281" max="11281" width="9.7109375" style="1864" customWidth="1"/>
    <col min="11282" max="11282" width="9.28515625" style="1864" customWidth="1"/>
    <col min="11283" max="11283" width="9.42578125" style="1864" customWidth="1"/>
    <col min="11284" max="11284" width="10.5703125" style="1864" customWidth="1"/>
    <col min="11285" max="11285" width="12.42578125" style="1864" customWidth="1"/>
    <col min="11286" max="11286" width="14.5703125" style="1864" customWidth="1"/>
    <col min="11287" max="11287" width="12.28515625" style="1864" customWidth="1"/>
    <col min="11288" max="11288" width="25.85546875" style="1864" customWidth="1"/>
    <col min="11289" max="11520" width="0.85546875" style="1864"/>
    <col min="11521" max="11521" width="9.85546875" style="1864" customWidth="1"/>
    <col min="11522" max="11522" width="81.85546875" style="1864" customWidth="1"/>
    <col min="11523" max="11523" width="12.7109375" style="1864" customWidth="1"/>
    <col min="11524" max="11524" width="12.42578125" style="1864" customWidth="1"/>
    <col min="11525" max="11525" width="14.5703125" style="1864" customWidth="1"/>
    <col min="11526" max="11526" width="12.28515625" style="1864" customWidth="1"/>
    <col min="11527" max="11527" width="38.140625" style="1864" customWidth="1"/>
    <col min="11528" max="11528" width="46.85546875" style="1864" customWidth="1"/>
    <col min="11529" max="11531" width="12.7109375" style="1864" customWidth="1"/>
    <col min="11532" max="11532" width="9.28515625" style="1864" customWidth="1"/>
    <col min="11533" max="11533" width="13.5703125" style="1864" customWidth="1"/>
    <col min="11534" max="11534" width="10.28515625" style="1864" customWidth="1"/>
    <col min="11535" max="11535" width="12.85546875" style="1864" customWidth="1"/>
    <col min="11536" max="11536" width="9.140625" style="1864" customWidth="1"/>
    <col min="11537" max="11537" width="9.7109375" style="1864" customWidth="1"/>
    <col min="11538" max="11538" width="9.28515625" style="1864" customWidth="1"/>
    <col min="11539" max="11539" width="9.42578125" style="1864" customWidth="1"/>
    <col min="11540" max="11540" width="10.5703125" style="1864" customWidth="1"/>
    <col min="11541" max="11541" width="12.42578125" style="1864" customWidth="1"/>
    <col min="11542" max="11542" width="14.5703125" style="1864" customWidth="1"/>
    <col min="11543" max="11543" width="12.28515625" style="1864" customWidth="1"/>
    <col min="11544" max="11544" width="25.85546875" style="1864" customWidth="1"/>
    <col min="11545" max="11776" width="0.85546875" style="1864"/>
    <col min="11777" max="11777" width="9.85546875" style="1864" customWidth="1"/>
    <col min="11778" max="11778" width="81.85546875" style="1864" customWidth="1"/>
    <col min="11779" max="11779" width="12.7109375" style="1864" customWidth="1"/>
    <col min="11780" max="11780" width="12.42578125" style="1864" customWidth="1"/>
    <col min="11781" max="11781" width="14.5703125" style="1864" customWidth="1"/>
    <col min="11782" max="11782" width="12.28515625" style="1864" customWidth="1"/>
    <col min="11783" max="11783" width="38.140625" style="1864" customWidth="1"/>
    <col min="11784" max="11784" width="46.85546875" style="1864" customWidth="1"/>
    <col min="11785" max="11787" width="12.7109375" style="1864" customWidth="1"/>
    <col min="11788" max="11788" width="9.28515625" style="1864" customWidth="1"/>
    <col min="11789" max="11789" width="13.5703125" style="1864" customWidth="1"/>
    <col min="11790" max="11790" width="10.28515625" style="1864" customWidth="1"/>
    <col min="11791" max="11791" width="12.85546875" style="1864" customWidth="1"/>
    <col min="11792" max="11792" width="9.140625" style="1864" customWidth="1"/>
    <col min="11793" max="11793" width="9.7109375" style="1864" customWidth="1"/>
    <col min="11794" max="11794" width="9.28515625" style="1864" customWidth="1"/>
    <col min="11795" max="11795" width="9.42578125" style="1864" customWidth="1"/>
    <col min="11796" max="11796" width="10.5703125" style="1864" customWidth="1"/>
    <col min="11797" max="11797" width="12.42578125" style="1864" customWidth="1"/>
    <col min="11798" max="11798" width="14.5703125" style="1864" customWidth="1"/>
    <col min="11799" max="11799" width="12.28515625" style="1864" customWidth="1"/>
    <col min="11800" max="11800" width="25.85546875" style="1864" customWidth="1"/>
    <col min="11801" max="12032" width="0.85546875" style="1864"/>
    <col min="12033" max="12033" width="9.85546875" style="1864" customWidth="1"/>
    <col min="12034" max="12034" width="81.85546875" style="1864" customWidth="1"/>
    <col min="12035" max="12035" width="12.7109375" style="1864" customWidth="1"/>
    <col min="12036" max="12036" width="12.42578125" style="1864" customWidth="1"/>
    <col min="12037" max="12037" width="14.5703125" style="1864" customWidth="1"/>
    <col min="12038" max="12038" width="12.28515625" style="1864" customWidth="1"/>
    <col min="12039" max="12039" width="38.140625" style="1864" customWidth="1"/>
    <col min="12040" max="12040" width="46.85546875" style="1864" customWidth="1"/>
    <col min="12041" max="12043" width="12.7109375" style="1864" customWidth="1"/>
    <col min="12044" max="12044" width="9.28515625" style="1864" customWidth="1"/>
    <col min="12045" max="12045" width="13.5703125" style="1864" customWidth="1"/>
    <col min="12046" max="12046" width="10.28515625" style="1864" customWidth="1"/>
    <col min="12047" max="12047" width="12.85546875" style="1864" customWidth="1"/>
    <col min="12048" max="12048" width="9.140625" style="1864" customWidth="1"/>
    <col min="12049" max="12049" width="9.7109375" style="1864" customWidth="1"/>
    <col min="12050" max="12050" width="9.28515625" style="1864" customWidth="1"/>
    <col min="12051" max="12051" width="9.42578125" style="1864" customWidth="1"/>
    <col min="12052" max="12052" width="10.5703125" style="1864" customWidth="1"/>
    <col min="12053" max="12053" width="12.42578125" style="1864" customWidth="1"/>
    <col min="12054" max="12054" width="14.5703125" style="1864" customWidth="1"/>
    <col min="12055" max="12055" width="12.28515625" style="1864" customWidth="1"/>
    <col min="12056" max="12056" width="25.85546875" style="1864" customWidth="1"/>
    <col min="12057" max="12288" width="0.85546875" style="1864"/>
    <col min="12289" max="12289" width="9.85546875" style="1864" customWidth="1"/>
    <col min="12290" max="12290" width="81.85546875" style="1864" customWidth="1"/>
    <col min="12291" max="12291" width="12.7109375" style="1864" customWidth="1"/>
    <col min="12292" max="12292" width="12.42578125" style="1864" customWidth="1"/>
    <col min="12293" max="12293" width="14.5703125" style="1864" customWidth="1"/>
    <col min="12294" max="12294" width="12.28515625" style="1864" customWidth="1"/>
    <col min="12295" max="12295" width="38.140625" style="1864" customWidth="1"/>
    <col min="12296" max="12296" width="46.85546875" style="1864" customWidth="1"/>
    <col min="12297" max="12299" width="12.7109375" style="1864" customWidth="1"/>
    <col min="12300" max="12300" width="9.28515625" style="1864" customWidth="1"/>
    <col min="12301" max="12301" width="13.5703125" style="1864" customWidth="1"/>
    <col min="12302" max="12302" width="10.28515625" style="1864" customWidth="1"/>
    <col min="12303" max="12303" width="12.85546875" style="1864" customWidth="1"/>
    <col min="12304" max="12304" width="9.140625" style="1864" customWidth="1"/>
    <col min="12305" max="12305" width="9.7109375" style="1864" customWidth="1"/>
    <col min="12306" max="12306" width="9.28515625" style="1864" customWidth="1"/>
    <col min="12307" max="12307" width="9.42578125" style="1864" customWidth="1"/>
    <col min="12308" max="12308" width="10.5703125" style="1864" customWidth="1"/>
    <col min="12309" max="12309" width="12.42578125" style="1864" customWidth="1"/>
    <col min="12310" max="12310" width="14.5703125" style="1864" customWidth="1"/>
    <col min="12311" max="12311" width="12.28515625" style="1864" customWidth="1"/>
    <col min="12312" max="12312" width="25.85546875" style="1864" customWidth="1"/>
    <col min="12313" max="12544" width="0.85546875" style="1864"/>
    <col min="12545" max="12545" width="9.85546875" style="1864" customWidth="1"/>
    <col min="12546" max="12546" width="81.85546875" style="1864" customWidth="1"/>
    <col min="12547" max="12547" width="12.7109375" style="1864" customWidth="1"/>
    <col min="12548" max="12548" width="12.42578125" style="1864" customWidth="1"/>
    <col min="12549" max="12549" width="14.5703125" style="1864" customWidth="1"/>
    <col min="12550" max="12550" width="12.28515625" style="1864" customWidth="1"/>
    <col min="12551" max="12551" width="38.140625" style="1864" customWidth="1"/>
    <col min="12552" max="12552" width="46.85546875" style="1864" customWidth="1"/>
    <col min="12553" max="12555" width="12.7109375" style="1864" customWidth="1"/>
    <col min="12556" max="12556" width="9.28515625" style="1864" customWidth="1"/>
    <col min="12557" max="12557" width="13.5703125" style="1864" customWidth="1"/>
    <col min="12558" max="12558" width="10.28515625" style="1864" customWidth="1"/>
    <col min="12559" max="12559" width="12.85546875" style="1864" customWidth="1"/>
    <col min="12560" max="12560" width="9.140625" style="1864" customWidth="1"/>
    <col min="12561" max="12561" width="9.7109375" style="1864" customWidth="1"/>
    <col min="12562" max="12562" width="9.28515625" style="1864" customWidth="1"/>
    <col min="12563" max="12563" width="9.42578125" style="1864" customWidth="1"/>
    <col min="12564" max="12564" width="10.5703125" style="1864" customWidth="1"/>
    <col min="12565" max="12565" width="12.42578125" style="1864" customWidth="1"/>
    <col min="12566" max="12566" width="14.5703125" style="1864" customWidth="1"/>
    <col min="12567" max="12567" width="12.28515625" style="1864" customWidth="1"/>
    <col min="12568" max="12568" width="25.85546875" style="1864" customWidth="1"/>
    <col min="12569" max="12800" width="0.85546875" style="1864"/>
    <col min="12801" max="12801" width="9.85546875" style="1864" customWidth="1"/>
    <col min="12802" max="12802" width="81.85546875" style="1864" customWidth="1"/>
    <col min="12803" max="12803" width="12.7109375" style="1864" customWidth="1"/>
    <col min="12804" max="12804" width="12.42578125" style="1864" customWidth="1"/>
    <col min="12805" max="12805" width="14.5703125" style="1864" customWidth="1"/>
    <col min="12806" max="12806" width="12.28515625" style="1864" customWidth="1"/>
    <col min="12807" max="12807" width="38.140625" style="1864" customWidth="1"/>
    <col min="12808" max="12808" width="46.85546875" style="1864" customWidth="1"/>
    <col min="12809" max="12811" width="12.7109375" style="1864" customWidth="1"/>
    <col min="12812" max="12812" width="9.28515625" style="1864" customWidth="1"/>
    <col min="12813" max="12813" width="13.5703125" style="1864" customWidth="1"/>
    <col min="12814" max="12814" width="10.28515625" style="1864" customWidth="1"/>
    <col min="12815" max="12815" width="12.85546875" style="1864" customWidth="1"/>
    <col min="12816" max="12816" width="9.140625" style="1864" customWidth="1"/>
    <col min="12817" max="12817" width="9.7109375" style="1864" customWidth="1"/>
    <col min="12818" max="12818" width="9.28515625" style="1864" customWidth="1"/>
    <col min="12819" max="12819" width="9.42578125" style="1864" customWidth="1"/>
    <col min="12820" max="12820" width="10.5703125" style="1864" customWidth="1"/>
    <col min="12821" max="12821" width="12.42578125" style="1864" customWidth="1"/>
    <col min="12822" max="12822" width="14.5703125" style="1864" customWidth="1"/>
    <col min="12823" max="12823" width="12.28515625" style="1864" customWidth="1"/>
    <col min="12824" max="12824" width="25.85546875" style="1864" customWidth="1"/>
    <col min="12825" max="13056" width="0.85546875" style="1864"/>
    <col min="13057" max="13057" width="9.85546875" style="1864" customWidth="1"/>
    <col min="13058" max="13058" width="81.85546875" style="1864" customWidth="1"/>
    <col min="13059" max="13059" width="12.7109375" style="1864" customWidth="1"/>
    <col min="13060" max="13060" width="12.42578125" style="1864" customWidth="1"/>
    <col min="13061" max="13061" width="14.5703125" style="1864" customWidth="1"/>
    <col min="13062" max="13062" width="12.28515625" style="1864" customWidth="1"/>
    <col min="13063" max="13063" width="38.140625" style="1864" customWidth="1"/>
    <col min="13064" max="13064" width="46.85546875" style="1864" customWidth="1"/>
    <col min="13065" max="13067" width="12.7109375" style="1864" customWidth="1"/>
    <col min="13068" max="13068" width="9.28515625" style="1864" customWidth="1"/>
    <col min="13069" max="13069" width="13.5703125" style="1864" customWidth="1"/>
    <col min="13070" max="13070" width="10.28515625" style="1864" customWidth="1"/>
    <col min="13071" max="13071" width="12.85546875" style="1864" customWidth="1"/>
    <col min="13072" max="13072" width="9.140625" style="1864" customWidth="1"/>
    <col min="13073" max="13073" width="9.7109375" style="1864" customWidth="1"/>
    <col min="13074" max="13074" width="9.28515625" style="1864" customWidth="1"/>
    <col min="13075" max="13075" width="9.42578125" style="1864" customWidth="1"/>
    <col min="13076" max="13076" width="10.5703125" style="1864" customWidth="1"/>
    <col min="13077" max="13077" width="12.42578125" style="1864" customWidth="1"/>
    <col min="13078" max="13078" width="14.5703125" style="1864" customWidth="1"/>
    <col min="13079" max="13079" width="12.28515625" style="1864" customWidth="1"/>
    <col min="13080" max="13080" width="25.85546875" style="1864" customWidth="1"/>
    <col min="13081" max="13312" width="0.85546875" style="1864"/>
    <col min="13313" max="13313" width="9.85546875" style="1864" customWidth="1"/>
    <col min="13314" max="13314" width="81.85546875" style="1864" customWidth="1"/>
    <col min="13315" max="13315" width="12.7109375" style="1864" customWidth="1"/>
    <col min="13316" max="13316" width="12.42578125" style="1864" customWidth="1"/>
    <col min="13317" max="13317" width="14.5703125" style="1864" customWidth="1"/>
    <col min="13318" max="13318" width="12.28515625" style="1864" customWidth="1"/>
    <col min="13319" max="13319" width="38.140625" style="1864" customWidth="1"/>
    <col min="13320" max="13320" width="46.85546875" style="1864" customWidth="1"/>
    <col min="13321" max="13323" width="12.7109375" style="1864" customWidth="1"/>
    <col min="13324" max="13324" width="9.28515625" style="1864" customWidth="1"/>
    <col min="13325" max="13325" width="13.5703125" style="1864" customWidth="1"/>
    <col min="13326" max="13326" width="10.28515625" style="1864" customWidth="1"/>
    <col min="13327" max="13327" width="12.85546875" style="1864" customWidth="1"/>
    <col min="13328" max="13328" width="9.140625" style="1864" customWidth="1"/>
    <col min="13329" max="13329" width="9.7109375" style="1864" customWidth="1"/>
    <col min="13330" max="13330" width="9.28515625" style="1864" customWidth="1"/>
    <col min="13331" max="13331" width="9.42578125" style="1864" customWidth="1"/>
    <col min="13332" max="13332" width="10.5703125" style="1864" customWidth="1"/>
    <col min="13333" max="13333" width="12.42578125" style="1864" customWidth="1"/>
    <col min="13334" max="13334" width="14.5703125" style="1864" customWidth="1"/>
    <col min="13335" max="13335" width="12.28515625" style="1864" customWidth="1"/>
    <col min="13336" max="13336" width="25.85546875" style="1864" customWidth="1"/>
    <col min="13337" max="13568" width="0.85546875" style="1864"/>
    <col min="13569" max="13569" width="9.85546875" style="1864" customWidth="1"/>
    <col min="13570" max="13570" width="81.85546875" style="1864" customWidth="1"/>
    <col min="13571" max="13571" width="12.7109375" style="1864" customWidth="1"/>
    <col min="13572" max="13572" width="12.42578125" style="1864" customWidth="1"/>
    <col min="13573" max="13573" width="14.5703125" style="1864" customWidth="1"/>
    <col min="13574" max="13574" width="12.28515625" style="1864" customWidth="1"/>
    <col min="13575" max="13575" width="38.140625" style="1864" customWidth="1"/>
    <col min="13576" max="13576" width="46.85546875" style="1864" customWidth="1"/>
    <col min="13577" max="13579" width="12.7109375" style="1864" customWidth="1"/>
    <col min="13580" max="13580" width="9.28515625" style="1864" customWidth="1"/>
    <col min="13581" max="13581" width="13.5703125" style="1864" customWidth="1"/>
    <col min="13582" max="13582" width="10.28515625" style="1864" customWidth="1"/>
    <col min="13583" max="13583" width="12.85546875" style="1864" customWidth="1"/>
    <col min="13584" max="13584" width="9.140625" style="1864" customWidth="1"/>
    <col min="13585" max="13585" width="9.7109375" style="1864" customWidth="1"/>
    <col min="13586" max="13586" width="9.28515625" style="1864" customWidth="1"/>
    <col min="13587" max="13587" width="9.42578125" style="1864" customWidth="1"/>
    <col min="13588" max="13588" width="10.5703125" style="1864" customWidth="1"/>
    <col min="13589" max="13589" width="12.42578125" style="1864" customWidth="1"/>
    <col min="13590" max="13590" width="14.5703125" style="1864" customWidth="1"/>
    <col min="13591" max="13591" width="12.28515625" style="1864" customWidth="1"/>
    <col min="13592" max="13592" width="25.85546875" style="1864" customWidth="1"/>
    <col min="13593" max="13824" width="0.85546875" style="1864"/>
    <col min="13825" max="13825" width="9.85546875" style="1864" customWidth="1"/>
    <col min="13826" max="13826" width="81.85546875" style="1864" customWidth="1"/>
    <col min="13827" max="13827" width="12.7109375" style="1864" customWidth="1"/>
    <col min="13828" max="13828" width="12.42578125" style="1864" customWidth="1"/>
    <col min="13829" max="13829" width="14.5703125" style="1864" customWidth="1"/>
    <col min="13830" max="13830" width="12.28515625" style="1864" customWidth="1"/>
    <col min="13831" max="13831" width="38.140625" style="1864" customWidth="1"/>
    <col min="13832" max="13832" width="46.85546875" style="1864" customWidth="1"/>
    <col min="13833" max="13835" width="12.7109375" style="1864" customWidth="1"/>
    <col min="13836" max="13836" width="9.28515625" style="1864" customWidth="1"/>
    <col min="13837" max="13837" width="13.5703125" style="1864" customWidth="1"/>
    <col min="13838" max="13838" width="10.28515625" style="1864" customWidth="1"/>
    <col min="13839" max="13839" width="12.85546875" style="1864" customWidth="1"/>
    <col min="13840" max="13840" width="9.140625" style="1864" customWidth="1"/>
    <col min="13841" max="13841" width="9.7109375" style="1864" customWidth="1"/>
    <col min="13842" max="13842" width="9.28515625" style="1864" customWidth="1"/>
    <col min="13843" max="13843" width="9.42578125" style="1864" customWidth="1"/>
    <col min="13844" max="13844" width="10.5703125" style="1864" customWidth="1"/>
    <col min="13845" max="13845" width="12.42578125" style="1864" customWidth="1"/>
    <col min="13846" max="13846" width="14.5703125" style="1864" customWidth="1"/>
    <col min="13847" max="13847" width="12.28515625" style="1864" customWidth="1"/>
    <col min="13848" max="13848" width="25.85546875" style="1864" customWidth="1"/>
    <col min="13849" max="14080" width="0.85546875" style="1864"/>
    <col min="14081" max="14081" width="9.85546875" style="1864" customWidth="1"/>
    <col min="14082" max="14082" width="81.85546875" style="1864" customWidth="1"/>
    <col min="14083" max="14083" width="12.7109375" style="1864" customWidth="1"/>
    <col min="14084" max="14084" width="12.42578125" style="1864" customWidth="1"/>
    <col min="14085" max="14085" width="14.5703125" style="1864" customWidth="1"/>
    <col min="14086" max="14086" width="12.28515625" style="1864" customWidth="1"/>
    <col min="14087" max="14087" width="38.140625" style="1864" customWidth="1"/>
    <col min="14088" max="14088" width="46.85546875" style="1864" customWidth="1"/>
    <col min="14089" max="14091" width="12.7109375" style="1864" customWidth="1"/>
    <col min="14092" max="14092" width="9.28515625" style="1864" customWidth="1"/>
    <col min="14093" max="14093" width="13.5703125" style="1864" customWidth="1"/>
    <col min="14094" max="14094" width="10.28515625" style="1864" customWidth="1"/>
    <col min="14095" max="14095" width="12.85546875" style="1864" customWidth="1"/>
    <col min="14096" max="14096" width="9.140625" style="1864" customWidth="1"/>
    <col min="14097" max="14097" width="9.7109375" style="1864" customWidth="1"/>
    <col min="14098" max="14098" width="9.28515625" style="1864" customWidth="1"/>
    <col min="14099" max="14099" width="9.42578125" style="1864" customWidth="1"/>
    <col min="14100" max="14100" width="10.5703125" style="1864" customWidth="1"/>
    <col min="14101" max="14101" width="12.42578125" style="1864" customWidth="1"/>
    <col min="14102" max="14102" width="14.5703125" style="1864" customWidth="1"/>
    <col min="14103" max="14103" width="12.28515625" style="1864" customWidth="1"/>
    <col min="14104" max="14104" width="25.85546875" style="1864" customWidth="1"/>
    <col min="14105" max="14336" width="0.85546875" style="1864"/>
    <col min="14337" max="14337" width="9.85546875" style="1864" customWidth="1"/>
    <col min="14338" max="14338" width="81.85546875" style="1864" customWidth="1"/>
    <col min="14339" max="14339" width="12.7109375" style="1864" customWidth="1"/>
    <col min="14340" max="14340" width="12.42578125" style="1864" customWidth="1"/>
    <col min="14341" max="14341" width="14.5703125" style="1864" customWidth="1"/>
    <col min="14342" max="14342" width="12.28515625" style="1864" customWidth="1"/>
    <col min="14343" max="14343" width="38.140625" style="1864" customWidth="1"/>
    <col min="14344" max="14344" width="46.85546875" style="1864" customWidth="1"/>
    <col min="14345" max="14347" width="12.7109375" style="1864" customWidth="1"/>
    <col min="14348" max="14348" width="9.28515625" style="1864" customWidth="1"/>
    <col min="14349" max="14349" width="13.5703125" style="1864" customWidth="1"/>
    <col min="14350" max="14350" width="10.28515625" style="1864" customWidth="1"/>
    <col min="14351" max="14351" width="12.85546875" style="1864" customWidth="1"/>
    <col min="14352" max="14352" width="9.140625" style="1864" customWidth="1"/>
    <col min="14353" max="14353" width="9.7109375" style="1864" customWidth="1"/>
    <col min="14354" max="14354" width="9.28515625" style="1864" customWidth="1"/>
    <col min="14355" max="14355" width="9.42578125" style="1864" customWidth="1"/>
    <col min="14356" max="14356" width="10.5703125" style="1864" customWidth="1"/>
    <col min="14357" max="14357" width="12.42578125" style="1864" customWidth="1"/>
    <col min="14358" max="14358" width="14.5703125" style="1864" customWidth="1"/>
    <col min="14359" max="14359" width="12.28515625" style="1864" customWidth="1"/>
    <col min="14360" max="14360" width="25.85546875" style="1864" customWidth="1"/>
    <col min="14361" max="14592" width="0.85546875" style="1864"/>
    <col min="14593" max="14593" width="9.85546875" style="1864" customWidth="1"/>
    <col min="14594" max="14594" width="81.85546875" style="1864" customWidth="1"/>
    <col min="14595" max="14595" width="12.7109375" style="1864" customWidth="1"/>
    <col min="14596" max="14596" width="12.42578125" style="1864" customWidth="1"/>
    <col min="14597" max="14597" width="14.5703125" style="1864" customWidth="1"/>
    <col min="14598" max="14598" width="12.28515625" style="1864" customWidth="1"/>
    <col min="14599" max="14599" width="38.140625" style="1864" customWidth="1"/>
    <col min="14600" max="14600" width="46.85546875" style="1864" customWidth="1"/>
    <col min="14601" max="14603" width="12.7109375" style="1864" customWidth="1"/>
    <col min="14604" max="14604" width="9.28515625" style="1864" customWidth="1"/>
    <col min="14605" max="14605" width="13.5703125" style="1864" customWidth="1"/>
    <col min="14606" max="14606" width="10.28515625" style="1864" customWidth="1"/>
    <col min="14607" max="14607" width="12.85546875" style="1864" customWidth="1"/>
    <col min="14608" max="14608" width="9.140625" style="1864" customWidth="1"/>
    <col min="14609" max="14609" width="9.7109375" style="1864" customWidth="1"/>
    <col min="14610" max="14610" width="9.28515625" style="1864" customWidth="1"/>
    <col min="14611" max="14611" width="9.42578125" style="1864" customWidth="1"/>
    <col min="14612" max="14612" width="10.5703125" style="1864" customWidth="1"/>
    <col min="14613" max="14613" width="12.42578125" style="1864" customWidth="1"/>
    <col min="14614" max="14614" width="14.5703125" style="1864" customWidth="1"/>
    <col min="14615" max="14615" width="12.28515625" style="1864" customWidth="1"/>
    <col min="14616" max="14616" width="25.85546875" style="1864" customWidth="1"/>
    <col min="14617" max="14848" width="0.85546875" style="1864"/>
    <col min="14849" max="14849" width="9.85546875" style="1864" customWidth="1"/>
    <col min="14850" max="14850" width="81.85546875" style="1864" customWidth="1"/>
    <col min="14851" max="14851" width="12.7109375" style="1864" customWidth="1"/>
    <col min="14852" max="14852" width="12.42578125" style="1864" customWidth="1"/>
    <col min="14853" max="14853" width="14.5703125" style="1864" customWidth="1"/>
    <col min="14854" max="14854" width="12.28515625" style="1864" customWidth="1"/>
    <col min="14855" max="14855" width="38.140625" style="1864" customWidth="1"/>
    <col min="14856" max="14856" width="46.85546875" style="1864" customWidth="1"/>
    <col min="14857" max="14859" width="12.7109375" style="1864" customWidth="1"/>
    <col min="14860" max="14860" width="9.28515625" style="1864" customWidth="1"/>
    <col min="14861" max="14861" width="13.5703125" style="1864" customWidth="1"/>
    <col min="14862" max="14862" width="10.28515625" style="1864" customWidth="1"/>
    <col min="14863" max="14863" width="12.85546875" style="1864" customWidth="1"/>
    <col min="14864" max="14864" width="9.140625" style="1864" customWidth="1"/>
    <col min="14865" max="14865" width="9.7109375" style="1864" customWidth="1"/>
    <col min="14866" max="14866" width="9.28515625" style="1864" customWidth="1"/>
    <col min="14867" max="14867" width="9.42578125" style="1864" customWidth="1"/>
    <col min="14868" max="14868" width="10.5703125" style="1864" customWidth="1"/>
    <col min="14869" max="14869" width="12.42578125" style="1864" customWidth="1"/>
    <col min="14870" max="14870" width="14.5703125" style="1864" customWidth="1"/>
    <col min="14871" max="14871" width="12.28515625" style="1864" customWidth="1"/>
    <col min="14872" max="14872" width="25.85546875" style="1864" customWidth="1"/>
    <col min="14873" max="15104" width="0.85546875" style="1864"/>
    <col min="15105" max="15105" width="9.85546875" style="1864" customWidth="1"/>
    <col min="15106" max="15106" width="81.85546875" style="1864" customWidth="1"/>
    <col min="15107" max="15107" width="12.7109375" style="1864" customWidth="1"/>
    <col min="15108" max="15108" width="12.42578125" style="1864" customWidth="1"/>
    <col min="15109" max="15109" width="14.5703125" style="1864" customWidth="1"/>
    <col min="15110" max="15110" width="12.28515625" style="1864" customWidth="1"/>
    <col min="15111" max="15111" width="38.140625" style="1864" customWidth="1"/>
    <col min="15112" max="15112" width="46.85546875" style="1864" customWidth="1"/>
    <col min="15113" max="15115" width="12.7109375" style="1864" customWidth="1"/>
    <col min="15116" max="15116" width="9.28515625" style="1864" customWidth="1"/>
    <col min="15117" max="15117" width="13.5703125" style="1864" customWidth="1"/>
    <col min="15118" max="15118" width="10.28515625" style="1864" customWidth="1"/>
    <col min="15119" max="15119" width="12.85546875" style="1864" customWidth="1"/>
    <col min="15120" max="15120" width="9.140625" style="1864" customWidth="1"/>
    <col min="15121" max="15121" width="9.7109375" style="1864" customWidth="1"/>
    <col min="15122" max="15122" width="9.28515625" style="1864" customWidth="1"/>
    <col min="15123" max="15123" width="9.42578125" style="1864" customWidth="1"/>
    <col min="15124" max="15124" width="10.5703125" style="1864" customWidth="1"/>
    <col min="15125" max="15125" width="12.42578125" style="1864" customWidth="1"/>
    <col min="15126" max="15126" width="14.5703125" style="1864" customWidth="1"/>
    <col min="15127" max="15127" width="12.28515625" style="1864" customWidth="1"/>
    <col min="15128" max="15128" width="25.85546875" style="1864" customWidth="1"/>
    <col min="15129" max="15360" width="0.85546875" style="1864"/>
    <col min="15361" max="15361" width="9.85546875" style="1864" customWidth="1"/>
    <col min="15362" max="15362" width="81.85546875" style="1864" customWidth="1"/>
    <col min="15363" max="15363" width="12.7109375" style="1864" customWidth="1"/>
    <col min="15364" max="15364" width="12.42578125" style="1864" customWidth="1"/>
    <col min="15365" max="15365" width="14.5703125" style="1864" customWidth="1"/>
    <col min="15366" max="15366" width="12.28515625" style="1864" customWidth="1"/>
    <col min="15367" max="15367" width="38.140625" style="1864" customWidth="1"/>
    <col min="15368" max="15368" width="46.85546875" style="1864" customWidth="1"/>
    <col min="15369" max="15371" width="12.7109375" style="1864" customWidth="1"/>
    <col min="15372" max="15372" width="9.28515625" style="1864" customWidth="1"/>
    <col min="15373" max="15373" width="13.5703125" style="1864" customWidth="1"/>
    <col min="15374" max="15374" width="10.28515625" style="1864" customWidth="1"/>
    <col min="15375" max="15375" width="12.85546875" style="1864" customWidth="1"/>
    <col min="15376" max="15376" width="9.140625" style="1864" customWidth="1"/>
    <col min="15377" max="15377" width="9.7109375" style="1864" customWidth="1"/>
    <col min="15378" max="15378" width="9.28515625" style="1864" customWidth="1"/>
    <col min="15379" max="15379" width="9.42578125" style="1864" customWidth="1"/>
    <col min="15380" max="15380" width="10.5703125" style="1864" customWidth="1"/>
    <col min="15381" max="15381" width="12.42578125" style="1864" customWidth="1"/>
    <col min="15382" max="15382" width="14.5703125" style="1864" customWidth="1"/>
    <col min="15383" max="15383" width="12.28515625" style="1864" customWidth="1"/>
    <col min="15384" max="15384" width="25.85546875" style="1864" customWidth="1"/>
    <col min="15385" max="15616" width="0.85546875" style="1864"/>
    <col min="15617" max="15617" width="9.85546875" style="1864" customWidth="1"/>
    <col min="15618" max="15618" width="81.85546875" style="1864" customWidth="1"/>
    <col min="15619" max="15619" width="12.7109375" style="1864" customWidth="1"/>
    <col min="15620" max="15620" width="12.42578125" style="1864" customWidth="1"/>
    <col min="15621" max="15621" width="14.5703125" style="1864" customWidth="1"/>
    <col min="15622" max="15622" width="12.28515625" style="1864" customWidth="1"/>
    <col min="15623" max="15623" width="38.140625" style="1864" customWidth="1"/>
    <col min="15624" max="15624" width="46.85546875" style="1864" customWidth="1"/>
    <col min="15625" max="15627" width="12.7109375" style="1864" customWidth="1"/>
    <col min="15628" max="15628" width="9.28515625" style="1864" customWidth="1"/>
    <col min="15629" max="15629" width="13.5703125" style="1864" customWidth="1"/>
    <col min="15630" max="15630" width="10.28515625" style="1864" customWidth="1"/>
    <col min="15631" max="15631" width="12.85546875" style="1864" customWidth="1"/>
    <col min="15632" max="15632" width="9.140625" style="1864" customWidth="1"/>
    <col min="15633" max="15633" width="9.7109375" style="1864" customWidth="1"/>
    <col min="15634" max="15634" width="9.28515625" style="1864" customWidth="1"/>
    <col min="15635" max="15635" width="9.42578125" style="1864" customWidth="1"/>
    <col min="15636" max="15636" width="10.5703125" style="1864" customWidth="1"/>
    <col min="15637" max="15637" width="12.42578125" style="1864" customWidth="1"/>
    <col min="15638" max="15638" width="14.5703125" style="1864" customWidth="1"/>
    <col min="15639" max="15639" width="12.28515625" style="1864" customWidth="1"/>
    <col min="15640" max="15640" width="25.85546875" style="1864" customWidth="1"/>
    <col min="15641" max="15872" width="0.85546875" style="1864"/>
    <col min="15873" max="15873" width="9.85546875" style="1864" customWidth="1"/>
    <col min="15874" max="15874" width="81.85546875" style="1864" customWidth="1"/>
    <col min="15875" max="15875" width="12.7109375" style="1864" customWidth="1"/>
    <col min="15876" max="15876" width="12.42578125" style="1864" customWidth="1"/>
    <col min="15877" max="15877" width="14.5703125" style="1864" customWidth="1"/>
    <col min="15878" max="15878" width="12.28515625" style="1864" customWidth="1"/>
    <col min="15879" max="15879" width="38.140625" style="1864" customWidth="1"/>
    <col min="15880" max="15880" width="46.85546875" style="1864" customWidth="1"/>
    <col min="15881" max="15883" width="12.7109375" style="1864" customWidth="1"/>
    <col min="15884" max="15884" width="9.28515625" style="1864" customWidth="1"/>
    <col min="15885" max="15885" width="13.5703125" style="1864" customWidth="1"/>
    <col min="15886" max="15886" width="10.28515625" style="1864" customWidth="1"/>
    <col min="15887" max="15887" width="12.85546875" style="1864" customWidth="1"/>
    <col min="15888" max="15888" width="9.140625" style="1864" customWidth="1"/>
    <col min="15889" max="15889" width="9.7109375" style="1864" customWidth="1"/>
    <col min="15890" max="15890" width="9.28515625" style="1864" customWidth="1"/>
    <col min="15891" max="15891" width="9.42578125" style="1864" customWidth="1"/>
    <col min="15892" max="15892" width="10.5703125" style="1864" customWidth="1"/>
    <col min="15893" max="15893" width="12.42578125" style="1864" customWidth="1"/>
    <col min="15894" max="15894" width="14.5703125" style="1864" customWidth="1"/>
    <col min="15895" max="15895" width="12.28515625" style="1864" customWidth="1"/>
    <col min="15896" max="15896" width="25.85546875" style="1864" customWidth="1"/>
    <col min="15897" max="16128" width="0.85546875" style="1864"/>
    <col min="16129" max="16129" width="9.85546875" style="1864" customWidth="1"/>
    <col min="16130" max="16130" width="81.85546875" style="1864" customWidth="1"/>
    <col min="16131" max="16131" width="12.7109375" style="1864" customWidth="1"/>
    <col min="16132" max="16132" width="12.42578125" style="1864" customWidth="1"/>
    <col min="16133" max="16133" width="14.5703125" style="1864" customWidth="1"/>
    <col min="16134" max="16134" width="12.28515625" style="1864" customWidth="1"/>
    <col min="16135" max="16135" width="38.140625" style="1864" customWidth="1"/>
    <col min="16136" max="16136" width="46.85546875" style="1864" customWidth="1"/>
    <col min="16137" max="16139" width="12.7109375" style="1864" customWidth="1"/>
    <col min="16140" max="16140" width="9.28515625" style="1864" customWidth="1"/>
    <col min="16141" max="16141" width="13.5703125" style="1864" customWidth="1"/>
    <col min="16142" max="16142" width="10.28515625" style="1864" customWidth="1"/>
    <col min="16143" max="16143" width="12.85546875" style="1864" customWidth="1"/>
    <col min="16144" max="16144" width="9.140625" style="1864" customWidth="1"/>
    <col min="16145" max="16145" width="9.7109375" style="1864" customWidth="1"/>
    <col min="16146" max="16146" width="9.28515625" style="1864" customWidth="1"/>
    <col min="16147" max="16147" width="9.42578125" style="1864" customWidth="1"/>
    <col min="16148" max="16148" width="10.5703125" style="1864" customWidth="1"/>
    <col min="16149" max="16149" width="12.42578125" style="1864" customWidth="1"/>
    <col min="16150" max="16150" width="14.5703125" style="1864" customWidth="1"/>
    <col min="16151" max="16151" width="12.28515625" style="1864" customWidth="1"/>
    <col min="16152" max="16152" width="25.85546875" style="1864" customWidth="1"/>
    <col min="16153" max="16384" width="0.85546875" style="1864"/>
  </cols>
  <sheetData>
    <row r="1" spans="1:7">
      <c r="G1" s="1864" t="s">
        <v>1525</v>
      </c>
    </row>
    <row r="2" spans="1:7" ht="29.25" customHeight="1">
      <c r="A2" s="6527" t="s">
        <v>965</v>
      </c>
      <c r="B2" s="6527"/>
      <c r="C2" s="6527"/>
      <c r="D2" s="6527"/>
      <c r="E2" s="6527"/>
      <c r="F2" s="6527"/>
      <c r="G2" s="6527"/>
    </row>
    <row r="4" spans="1:7" ht="15.75" customHeight="1">
      <c r="A4" s="6528" t="s">
        <v>908</v>
      </c>
      <c r="B4" s="6528" t="s">
        <v>373</v>
      </c>
      <c r="C4" s="6528" t="s">
        <v>909</v>
      </c>
      <c r="D4" s="6529" t="s">
        <v>392</v>
      </c>
      <c r="E4" s="6530"/>
      <c r="F4" s="6531"/>
      <c r="G4" s="6532" t="s">
        <v>910</v>
      </c>
    </row>
    <row r="5" spans="1:7" ht="15.75">
      <c r="A5" s="6528"/>
      <c r="B5" s="6528"/>
      <c r="C5" s="6528"/>
      <c r="D5" s="1865" t="s">
        <v>832</v>
      </c>
      <c r="E5" s="1865" t="s">
        <v>911</v>
      </c>
      <c r="F5" s="1865" t="s">
        <v>912</v>
      </c>
      <c r="G5" s="6533"/>
    </row>
    <row r="6" spans="1:7" s="1870" customFormat="1" ht="21.75" customHeight="1">
      <c r="A6" s="1866"/>
      <c r="B6" s="1867" t="s">
        <v>913</v>
      </c>
      <c r="C6" s="6525" t="s">
        <v>914</v>
      </c>
      <c r="D6" s="6526" t="s">
        <v>914</v>
      </c>
      <c r="E6" s="1868">
        <v>0.01</v>
      </c>
      <c r="F6" s="1868">
        <v>0.01</v>
      </c>
      <c r="G6" s="1869"/>
    </row>
    <row r="7" spans="1:7" s="1870" customFormat="1" ht="21.75" customHeight="1">
      <c r="A7" s="1866"/>
      <c r="B7" s="1867" t="s">
        <v>915</v>
      </c>
      <c r="C7" s="5037"/>
      <c r="D7" s="5012"/>
      <c r="E7" s="1871">
        <v>7.3999999999999996E-2</v>
      </c>
      <c r="F7" s="1871">
        <v>5.8000000000000003E-2</v>
      </c>
      <c r="G7" s="1869"/>
    </row>
    <row r="8" spans="1:7" s="1870" customFormat="1" ht="21.75" customHeight="1">
      <c r="A8" s="1866"/>
      <c r="B8" s="1867" t="s">
        <v>916</v>
      </c>
      <c r="C8" s="5038"/>
      <c r="D8" s="5013"/>
      <c r="E8" s="1872">
        <v>0</v>
      </c>
      <c r="F8" s="1872">
        <v>0</v>
      </c>
      <c r="G8" s="1869"/>
    </row>
    <row r="9" spans="1:7" s="1877" customFormat="1" ht="15.75">
      <c r="A9" s="1873">
        <v>1</v>
      </c>
      <c r="B9" s="1874" t="s">
        <v>917</v>
      </c>
      <c r="C9" s="1873" t="s">
        <v>918</v>
      </c>
      <c r="D9" s="1875">
        <f>D10+D21+D23+D27</f>
        <v>130130.57185020775</v>
      </c>
      <c r="E9" s="1875">
        <f>E10+E21+E23+E27</f>
        <v>131185.59302194096</v>
      </c>
      <c r="F9" s="1875">
        <f>F10+F21+F23+F27</f>
        <v>137276.94177829602</v>
      </c>
      <c r="G9" s="1876"/>
    </row>
    <row r="10" spans="1:7" s="1882" customFormat="1" ht="15.75">
      <c r="A10" s="1878" t="s">
        <v>919</v>
      </c>
      <c r="B10" s="1879" t="s">
        <v>920</v>
      </c>
      <c r="C10" s="1878" t="s">
        <v>918</v>
      </c>
      <c r="D10" s="1880">
        <f>D11+D12+D13</f>
        <v>111940.96646089327</v>
      </c>
      <c r="E10" s="1880">
        <f>E11+E12+E13</f>
        <v>116732.41519587727</v>
      </c>
      <c r="F10" s="1880">
        <f>F11+F12+F13</f>
        <v>122533.69972573925</v>
      </c>
      <c r="G10" s="1881"/>
    </row>
    <row r="11" spans="1:7" s="1887" customFormat="1" ht="21.75" customHeight="1">
      <c r="A11" s="1883" t="s">
        <v>921</v>
      </c>
      <c r="B11" s="1884" t="s">
        <v>922</v>
      </c>
      <c r="C11" s="1883" t="s">
        <v>918</v>
      </c>
      <c r="D11" s="1885">
        <f>вода!BI115+вода!BI116+вода!BI117+вода!BI118+вода!BI119+вода!BI121-D14-D16-'цех вода'!AG18-'ОХР '!AS20-'ОХР '!AS16-'ОХР '!AS23</f>
        <v>93024.157639357698</v>
      </c>
      <c r="E11" s="1885">
        <f>D11*(1-E6)*(1+E7)*(1+E8)</f>
        <v>98908.865851623472</v>
      </c>
      <c r="F11" s="1885">
        <f>E11*(1-F6)*(1+F7)*(1+F8)</f>
        <v>103599.12427030745</v>
      </c>
      <c r="G11" s="1886"/>
    </row>
    <row r="12" spans="1:7" s="1887" customFormat="1" ht="33" customHeight="1">
      <c r="A12" s="1883" t="s">
        <v>923</v>
      </c>
      <c r="B12" s="1884" t="s">
        <v>924</v>
      </c>
      <c r="C12" s="1883" t="s">
        <v>918</v>
      </c>
      <c r="D12" s="1885">
        <f>вода!BI113+'цех вода'!AG18+'ОХР '!AS20+'ОХР '!AS16</f>
        <v>13383.894959795218</v>
      </c>
      <c r="E12" s="1885">
        <f>'электр 2017-2018'!BJ51+'цех вода'!AG18*1.06+'ОХР '!AS16*1.025+'ОХР '!AS20*1.066</f>
        <v>13888.068781878361</v>
      </c>
      <c r="F12" s="1885">
        <f>'электр 2017-2018'!BP51+'цех вода'!AG18*1.06*1.051+'ОХР '!AS16*1.025*1.03+'ОХР '!AS20*1.066*1.067</f>
        <v>14746.788242182742</v>
      </c>
      <c r="G12" s="1886" t="s">
        <v>250</v>
      </c>
    </row>
    <row r="13" spans="1:7" s="1887" customFormat="1" ht="15.75">
      <c r="A13" s="1883" t="s">
        <v>925</v>
      </c>
      <c r="B13" s="1884" t="s">
        <v>926</v>
      </c>
      <c r="C13" s="1883" t="s">
        <v>918</v>
      </c>
      <c r="D13" s="1885">
        <f>D14+D15+D16+D17+D20</f>
        <v>5532.9138617403496</v>
      </c>
      <c r="E13" s="1885">
        <f t="shared" ref="E13:F13" si="0">E14+E15+E16+E17+E20</f>
        <v>3935.4805623754396</v>
      </c>
      <c r="F13" s="1885">
        <f t="shared" si="0"/>
        <v>4187.7872132490666</v>
      </c>
      <c r="G13" s="1886"/>
    </row>
    <row r="14" spans="1:7" s="1892" customFormat="1" ht="26.25" customHeight="1">
      <c r="A14" s="1888" t="s">
        <v>927</v>
      </c>
      <c r="B14" s="1889" t="s">
        <v>928</v>
      </c>
      <c r="C14" s="1888" t="s">
        <v>918</v>
      </c>
      <c r="D14" s="1890">
        <f>'цех вода'!AG24</f>
        <v>27.1</v>
      </c>
      <c r="E14" s="1890">
        <v>28.8</v>
      </c>
      <c r="F14" s="1890">
        <v>30.17</v>
      </c>
      <c r="G14" s="1891"/>
    </row>
    <row r="15" spans="1:7" s="1892" customFormat="1" ht="41.25" customHeight="1">
      <c r="A15" s="1888" t="s">
        <v>929</v>
      </c>
      <c r="B15" s="1889" t="s">
        <v>930</v>
      </c>
      <c r="C15" s="1888" t="s">
        <v>918</v>
      </c>
      <c r="D15" s="1890">
        <f>вода!BI120</f>
        <v>3107.8150351902632</v>
      </c>
      <c r="E15" s="1890">
        <f>вод.налог!G36+вода!BI45+вода!BI46+вода!BI47</f>
        <v>3285.4935196163729</v>
      </c>
      <c r="F15" s="1890">
        <f>вод.налог!J36+вода!BI45+вода!BI46+вода!BI47</f>
        <v>3490.0841013508307</v>
      </c>
      <c r="G15" s="1891"/>
    </row>
    <row r="16" spans="1:7" s="1892" customFormat="1" ht="18" customHeight="1">
      <c r="A16" s="1888" t="s">
        <v>931</v>
      </c>
      <c r="B16" s="1889" t="s">
        <v>932</v>
      </c>
      <c r="C16" s="1888" t="s">
        <v>918</v>
      </c>
      <c r="D16" s="1890">
        <f>'цех вода'!AG30+'цех вода'!AG41</f>
        <v>216.27343999999999</v>
      </c>
      <c r="E16" s="1890">
        <f>D16</f>
        <v>216.27343999999999</v>
      </c>
      <c r="F16" s="1890">
        <f>E16</f>
        <v>216.27343999999999</v>
      </c>
      <c r="G16" s="1891"/>
    </row>
    <row r="17" spans="1:7" s="1892" customFormat="1" ht="32.25" customHeight="1">
      <c r="A17" s="1888" t="s">
        <v>933</v>
      </c>
      <c r="B17" s="1889" t="s">
        <v>934</v>
      </c>
      <c r="C17" s="1888" t="s">
        <v>918</v>
      </c>
      <c r="D17" s="1890">
        <f>вода!BI122</f>
        <v>395.92538655008684</v>
      </c>
      <c r="E17" s="1890">
        <f>'Резерв ДЗ'!F17</f>
        <v>404.91360275906646</v>
      </c>
      <c r="F17" s="1890">
        <f>'Резерв ДЗ'!F27</f>
        <v>451.25967189823564</v>
      </c>
      <c r="G17" s="1891"/>
    </row>
    <row r="18" spans="1:7" s="1892" customFormat="1" ht="12.75">
      <c r="A18" s="1888" t="s">
        <v>935</v>
      </c>
      <c r="B18" s="1889" t="s">
        <v>936</v>
      </c>
      <c r="C18" s="1888" t="s">
        <v>918</v>
      </c>
      <c r="D18" s="1890"/>
      <c r="E18" s="1890"/>
      <c r="F18" s="1890"/>
      <c r="G18" s="1891"/>
    </row>
    <row r="19" spans="1:7" s="1892" customFormat="1" ht="12.75">
      <c r="A19" s="1888" t="s">
        <v>937</v>
      </c>
      <c r="B19" s="1889" t="s">
        <v>938</v>
      </c>
      <c r="C19" s="1888" t="s">
        <v>918</v>
      </c>
      <c r="D19" s="1890"/>
      <c r="E19" s="1890"/>
      <c r="F19" s="1890"/>
      <c r="G19" s="1891"/>
    </row>
    <row r="20" spans="1:7" s="1892" customFormat="1" ht="30.75" customHeight="1">
      <c r="A20" s="1888" t="s">
        <v>939</v>
      </c>
      <c r="B20" s="1889" t="s">
        <v>940</v>
      </c>
      <c r="C20" s="1888" t="s">
        <v>918</v>
      </c>
      <c r="D20" s="1890">
        <f>вода!BI123</f>
        <v>1785.8</v>
      </c>
      <c r="E20" s="1890">
        <v>0</v>
      </c>
      <c r="F20" s="1890">
        <v>0</v>
      </c>
      <c r="G20" s="1891"/>
    </row>
    <row r="21" spans="1:7" s="1882" customFormat="1" ht="15.75">
      <c r="A21" s="1878" t="s">
        <v>941</v>
      </c>
      <c r="B21" s="1879" t="s">
        <v>2</v>
      </c>
      <c r="C21" s="1878" t="s">
        <v>918</v>
      </c>
      <c r="D21" s="1880">
        <f>вода!BI114+'ОХР '!AS23</f>
        <v>8206.2448250188718</v>
      </c>
      <c r="E21" s="1880">
        <f>D21</f>
        <v>8206.2448250188718</v>
      </c>
      <c r="F21" s="1880">
        <f>E21</f>
        <v>8206.2448250188718</v>
      </c>
      <c r="G21" s="1881"/>
    </row>
    <row r="22" spans="1:7" s="1897" customFormat="1" ht="15.75">
      <c r="A22" s="1893" t="s">
        <v>202</v>
      </c>
      <c r="B22" s="1894" t="s">
        <v>942</v>
      </c>
      <c r="C22" s="1895" t="s">
        <v>44</v>
      </c>
      <c r="D22" s="2135">
        <f>D23/(D10+D21)*100</f>
        <v>3.3092736464256207</v>
      </c>
      <c r="E22" s="1896">
        <f t="shared" ref="E22:F22" si="1">E23/(E10+E21)*100</f>
        <v>0</v>
      </c>
      <c r="F22" s="1896">
        <f t="shared" si="1"/>
        <v>0</v>
      </c>
      <c r="G22" s="1895"/>
    </row>
    <row r="23" spans="1:7" s="1882" customFormat="1" ht="15.75">
      <c r="A23" s="1878" t="s">
        <v>943</v>
      </c>
      <c r="B23" s="1879" t="s">
        <v>944</v>
      </c>
      <c r="C23" s="1878" t="s">
        <v>918</v>
      </c>
      <c r="D23" s="1880">
        <f>D24+D25+D26</f>
        <v>3976</v>
      </c>
      <c r="E23" s="1880">
        <f t="shared" ref="E23:F23" si="2">E24+E25+E26</f>
        <v>0</v>
      </c>
      <c r="F23" s="1880">
        <f t="shared" si="2"/>
        <v>0</v>
      </c>
      <c r="G23" s="1881"/>
    </row>
    <row r="24" spans="1:7" s="1887" customFormat="1" ht="24" customHeight="1">
      <c r="A24" s="1883" t="s">
        <v>945</v>
      </c>
      <c r="B24" s="1884" t="s">
        <v>946</v>
      </c>
      <c r="C24" s="1883" t="s">
        <v>918</v>
      </c>
      <c r="D24" s="1885">
        <f>вода!BI61</f>
        <v>3976</v>
      </c>
      <c r="E24" s="1885">
        <v>0</v>
      </c>
      <c r="F24" s="1885">
        <v>0</v>
      </c>
      <c r="G24" s="1886"/>
    </row>
    <row r="25" spans="1:7" s="1887" customFormat="1" ht="56.25" customHeight="1">
      <c r="A25" s="1883" t="s">
        <v>947</v>
      </c>
      <c r="B25" s="1884" t="s">
        <v>948</v>
      </c>
      <c r="C25" s="1883" t="s">
        <v>918</v>
      </c>
      <c r="D25" s="1885"/>
      <c r="E25" s="1885"/>
      <c r="F25" s="1885"/>
      <c r="G25" s="1886"/>
    </row>
    <row r="26" spans="1:7" s="1887" customFormat="1" ht="37.5" customHeight="1">
      <c r="A26" s="1883" t="s">
        <v>949</v>
      </c>
      <c r="B26" s="1884" t="s">
        <v>950</v>
      </c>
      <c r="C26" s="1883" t="s">
        <v>918</v>
      </c>
      <c r="D26" s="1885"/>
      <c r="E26" s="1885"/>
      <c r="F26" s="1885"/>
      <c r="G26" s="1886"/>
    </row>
    <row r="27" spans="1:7" s="1882" customFormat="1" ht="38.25" customHeight="1">
      <c r="A27" s="1878" t="s">
        <v>203</v>
      </c>
      <c r="B27" s="1879" t="s">
        <v>951</v>
      </c>
      <c r="C27" s="1878" t="s">
        <v>918</v>
      </c>
      <c r="D27" s="1880">
        <f>вода!BI58</f>
        <v>6007.360564295609</v>
      </c>
      <c r="E27" s="1880">
        <f>(E10+E21)*0.05</f>
        <v>6246.9330010448075</v>
      </c>
      <c r="F27" s="1880">
        <f>(F10+F21)*0.05</f>
        <v>6536.9972275379068</v>
      </c>
      <c r="G27" s="1881"/>
    </row>
    <row r="28" spans="1:7" s="1877" customFormat="1" ht="15.75">
      <c r="A28" s="1873">
        <v>2</v>
      </c>
      <c r="B28" s="1874" t="s">
        <v>952</v>
      </c>
      <c r="C28" s="1873" t="s">
        <v>953</v>
      </c>
      <c r="D28" s="1875">
        <f>объемы!U49</f>
        <v>3989.2170000000001</v>
      </c>
      <c r="E28" s="1875">
        <f>объемы!Y49</f>
        <v>3896.5802784767593</v>
      </c>
      <c r="F28" s="1875">
        <f>E28</f>
        <v>3896.5802784767593</v>
      </c>
      <c r="G28" s="1876"/>
    </row>
    <row r="29" spans="1:7" s="1877" customFormat="1" ht="15.75">
      <c r="A29" s="1873" t="s">
        <v>196</v>
      </c>
      <c r="B29" s="1898" t="s">
        <v>954</v>
      </c>
      <c r="C29" s="1873" t="s">
        <v>953</v>
      </c>
      <c r="D29" s="1875">
        <f>объемы!U50</f>
        <v>2428.56</v>
      </c>
      <c r="E29" s="1875">
        <f>объемы!Y50</f>
        <v>2388.7333333333331</v>
      </c>
      <c r="F29" s="1875">
        <f>E29</f>
        <v>2388.7333333333331</v>
      </c>
      <c r="G29" s="1876"/>
    </row>
    <row r="30" spans="1:7" s="1870" customFormat="1" ht="15.75">
      <c r="A30" s="1899" t="s">
        <v>955</v>
      </c>
      <c r="B30" s="1900" t="s">
        <v>956</v>
      </c>
      <c r="C30" s="1899" t="s">
        <v>957</v>
      </c>
      <c r="D30" s="1901">
        <f>D9/D28</f>
        <v>32.620579890792541</v>
      </c>
      <c r="E30" s="1901">
        <f>E9/E28</f>
        <v>33.666852379908796</v>
      </c>
      <c r="F30" s="1901">
        <f>F9/F28</f>
        <v>35.230107419206043</v>
      </c>
      <c r="G30" s="1869"/>
    </row>
    <row r="31" spans="1:7" s="1870" customFormat="1" ht="15.75">
      <c r="A31" s="1899"/>
      <c r="B31" s="1902" t="s">
        <v>958</v>
      </c>
      <c r="C31" s="1899" t="s">
        <v>957</v>
      </c>
      <c r="D31" s="1901">
        <f>вода!BI105</f>
        <v>31.52</v>
      </c>
      <c r="E31" s="1901">
        <f>D32</f>
        <v>33.721159781585087</v>
      </c>
      <c r="F31" s="1901">
        <f>E32</f>
        <v>33.612544978232506</v>
      </c>
      <c r="G31" s="1869"/>
    </row>
    <row r="32" spans="1:7" s="1870" customFormat="1" ht="15.75">
      <c r="A32" s="1899"/>
      <c r="B32" s="1902" t="s">
        <v>959</v>
      </c>
      <c r="C32" s="1899" t="s">
        <v>957</v>
      </c>
      <c r="D32" s="1901">
        <f>D30*2-D31</f>
        <v>33.721159781585087</v>
      </c>
      <c r="E32" s="1901">
        <f>E30*2-E31</f>
        <v>33.612544978232506</v>
      </c>
      <c r="F32" s="1901">
        <f>F30*2-F31</f>
        <v>36.847669860179579</v>
      </c>
      <c r="G32" s="1869"/>
    </row>
    <row r="33" spans="1:7" s="1870" customFormat="1" ht="15.75">
      <c r="A33" s="1899"/>
      <c r="B33" s="1900" t="s">
        <v>960</v>
      </c>
      <c r="C33" s="1899"/>
      <c r="D33" s="1901"/>
      <c r="E33" s="1901"/>
      <c r="F33" s="1901"/>
      <c r="G33" s="1869"/>
    </row>
    <row r="34" spans="1:7" s="1870" customFormat="1" ht="15.75">
      <c r="A34" s="1899"/>
      <c r="B34" s="1902" t="s">
        <v>958</v>
      </c>
      <c r="C34" s="1899" t="s">
        <v>44</v>
      </c>
      <c r="D34" s="1901"/>
      <c r="E34" s="1901">
        <f>E31/D32*100</f>
        <v>100</v>
      </c>
      <c r="F34" s="1901">
        <f>F31/E32*100</f>
        <v>100</v>
      </c>
      <c r="G34" s="1869"/>
    </row>
    <row r="35" spans="1:7" s="1870" customFormat="1" ht="15.75">
      <c r="A35" s="1899"/>
      <c r="B35" s="1902" t="s">
        <v>959</v>
      </c>
      <c r="C35" s="1899" t="s">
        <v>44</v>
      </c>
      <c r="D35" s="1901">
        <f>D32/D31*100</f>
        <v>106.98337494157705</v>
      </c>
      <c r="E35" s="1901">
        <f>E32/E31*100</f>
        <v>99.677903120604128</v>
      </c>
      <c r="F35" s="1901">
        <f>F32/F31*100</f>
        <v>109.62475434110132</v>
      </c>
      <c r="G35" s="1869"/>
    </row>
    <row r="36" spans="1:7" ht="9" customHeight="1"/>
    <row r="37" spans="1:7" ht="15.75">
      <c r="A37" s="1904" t="s">
        <v>961</v>
      </c>
      <c r="B37" s="1905" t="s">
        <v>962</v>
      </c>
      <c r="C37" s="1906"/>
      <c r="D37" s="1906"/>
      <c r="E37" s="1906"/>
      <c r="F37" s="1906"/>
      <c r="G37" s="1906"/>
    </row>
    <row r="38" spans="1:7" ht="15.75">
      <c r="A38" s="1906"/>
      <c r="B38" s="1907" t="s">
        <v>958</v>
      </c>
      <c r="C38" s="1908" t="s">
        <v>963</v>
      </c>
      <c r="D38" s="1906">
        <v>25.95</v>
      </c>
      <c r="E38" s="2171">
        <f>D39</f>
        <v>27.796610169491526</v>
      </c>
      <c r="F38" s="2171">
        <f>E39</f>
        <v>29.381016949152542</v>
      </c>
      <c r="G38" s="1906"/>
    </row>
    <row r="39" spans="1:7" ht="15.75">
      <c r="A39" s="1906"/>
      <c r="B39" s="1907" t="s">
        <v>959</v>
      </c>
      <c r="C39" s="1908" t="s">
        <v>963</v>
      </c>
      <c r="D39" s="2170">
        <f>32.8/1.18</f>
        <v>27.796610169491526</v>
      </c>
      <c r="E39" s="2170">
        <f>E38*1.057</f>
        <v>29.381016949152542</v>
      </c>
      <c r="F39" s="2170">
        <f>F38*1.046</f>
        <v>30.73254372881356</v>
      </c>
      <c r="G39" s="1906"/>
    </row>
    <row r="40" spans="1:7" ht="15.75">
      <c r="A40" s="1906"/>
      <c r="B40" s="1907" t="s">
        <v>363</v>
      </c>
      <c r="C40" s="1908" t="s">
        <v>44</v>
      </c>
      <c r="D40" s="1906">
        <f>D39/D38*100</f>
        <v>107.11603148166292</v>
      </c>
      <c r="E40" s="1906">
        <f>E39/E38*100</f>
        <v>105.69999999999999</v>
      </c>
      <c r="F40" s="1906">
        <f>F39/F38*100</f>
        <v>104.60000000000001</v>
      </c>
      <c r="G40" s="1906"/>
    </row>
    <row r="41" spans="1:7" ht="15.75">
      <c r="A41" s="1906"/>
      <c r="B41" s="1905" t="s">
        <v>964</v>
      </c>
      <c r="C41" s="1908" t="s">
        <v>918</v>
      </c>
      <c r="D41" s="1906">
        <f>(D31-D38)*D29/2+(D32-D39)*D29/2</f>
        <v>13957.601702972968</v>
      </c>
      <c r="E41" s="1906">
        <f>(E31-E38)*E29/2+(E32-E39)*E29/2</f>
        <v>12130.080598696284</v>
      </c>
      <c r="F41" s="1906">
        <f>(F31-F38)*F29/2+(F32-F39)*F29/2</f>
        <v>12357.698840764666</v>
      </c>
      <c r="G41" s="1906"/>
    </row>
    <row r="42" spans="1:7">
      <c r="C42" s="1910"/>
    </row>
  </sheetData>
  <mergeCells count="8">
    <mergeCell ref="C6:C8"/>
    <mergeCell ref="D6:D8"/>
    <mergeCell ref="A2:G2"/>
    <mergeCell ref="A4:A5"/>
    <mergeCell ref="B4:B5"/>
    <mergeCell ref="C4:C5"/>
    <mergeCell ref="D4:F4"/>
    <mergeCell ref="G4:G5"/>
  </mergeCells>
  <printOptions horizontalCentered="1"/>
  <pageMargins left="0.31496062992125984" right="0.31496062992125984" top="0.35433070866141736" bottom="0.35433070866141736" header="0.31496062992125984" footer="0.31496062992125984"/>
  <pageSetup paperSize="9" scale="66" orientation="landscape" r:id="rId1"/>
  <colBreaks count="1" manualBreakCount="1">
    <brk id="7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G69"/>
  <sheetViews>
    <sheetView workbookViewId="0">
      <selection activeCell="H58" sqref="H58"/>
    </sheetView>
  </sheetViews>
  <sheetFormatPr defaultRowHeight="12.75"/>
  <cols>
    <col min="1" max="1" width="37.140625" style="3301" customWidth="1"/>
    <col min="2" max="5" width="9.5703125" style="3301" bestFit="1" customWidth="1"/>
    <col min="6" max="6" width="9.5703125" style="3301" customWidth="1"/>
    <col min="7" max="256" width="9.140625" style="3301"/>
    <col min="257" max="257" width="37.140625" style="3301" customWidth="1"/>
    <col min="258" max="261" width="9.5703125" style="3301" bestFit="1" customWidth="1"/>
    <col min="262" max="262" width="9.5703125" style="3301" customWidth="1"/>
    <col min="263" max="512" width="9.140625" style="3301"/>
    <col min="513" max="513" width="37.140625" style="3301" customWidth="1"/>
    <col min="514" max="517" width="9.5703125" style="3301" bestFit="1" customWidth="1"/>
    <col min="518" max="518" width="9.5703125" style="3301" customWidth="1"/>
    <col min="519" max="768" width="9.140625" style="3301"/>
    <col min="769" max="769" width="37.140625" style="3301" customWidth="1"/>
    <col min="770" max="773" width="9.5703125" style="3301" bestFit="1" customWidth="1"/>
    <col min="774" max="774" width="9.5703125" style="3301" customWidth="1"/>
    <col min="775" max="1024" width="9.140625" style="3301"/>
    <col min="1025" max="1025" width="37.140625" style="3301" customWidth="1"/>
    <col min="1026" max="1029" width="9.5703125" style="3301" bestFit="1" customWidth="1"/>
    <col min="1030" max="1030" width="9.5703125" style="3301" customWidth="1"/>
    <col min="1031" max="1280" width="9.140625" style="3301"/>
    <col min="1281" max="1281" width="37.140625" style="3301" customWidth="1"/>
    <col min="1282" max="1285" width="9.5703125" style="3301" bestFit="1" customWidth="1"/>
    <col min="1286" max="1286" width="9.5703125" style="3301" customWidth="1"/>
    <col min="1287" max="1536" width="9.140625" style="3301"/>
    <col min="1537" max="1537" width="37.140625" style="3301" customWidth="1"/>
    <col min="1538" max="1541" width="9.5703125" style="3301" bestFit="1" customWidth="1"/>
    <col min="1542" max="1542" width="9.5703125" style="3301" customWidth="1"/>
    <col min="1543" max="1792" width="9.140625" style="3301"/>
    <col min="1793" max="1793" width="37.140625" style="3301" customWidth="1"/>
    <col min="1794" max="1797" width="9.5703125" style="3301" bestFit="1" customWidth="1"/>
    <col min="1798" max="1798" width="9.5703125" style="3301" customWidth="1"/>
    <col min="1799" max="2048" width="9.140625" style="3301"/>
    <col min="2049" max="2049" width="37.140625" style="3301" customWidth="1"/>
    <col min="2050" max="2053" width="9.5703125" style="3301" bestFit="1" customWidth="1"/>
    <col min="2054" max="2054" width="9.5703125" style="3301" customWidth="1"/>
    <col min="2055" max="2304" width="9.140625" style="3301"/>
    <col min="2305" max="2305" width="37.140625" style="3301" customWidth="1"/>
    <col min="2306" max="2309" width="9.5703125" style="3301" bestFit="1" customWidth="1"/>
    <col min="2310" max="2310" width="9.5703125" style="3301" customWidth="1"/>
    <col min="2311" max="2560" width="9.140625" style="3301"/>
    <col min="2561" max="2561" width="37.140625" style="3301" customWidth="1"/>
    <col min="2562" max="2565" width="9.5703125" style="3301" bestFit="1" customWidth="1"/>
    <col min="2566" max="2566" width="9.5703125" style="3301" customWidth="1"/>
    <col min="2567" max="2816" width="9.140625" style="3301"/>
    <col min="2817" max="2817" width="37.140625" style="3301" customWidth="1"/>
    <col min="2818" max="2821" width="9.5703125" style="3301" bestFit="1" customWidth="1"/>
    <col min="2822" max="2822" width="9.5703125" style="3301" customWidth="1"/>
    <col min="2823" max="3072" width="9.140625" style="3301"/>
    <col min="3073" max="3073" width="37.140625" style="3301" customWidth="1"/>
    <col min="3074" max="3077" width="9.5703125" style="3301" bestFit="1" customWidth="1"/>
    <col min="3078" max="3078" width="9.5703125" style="3301" customWidth="1"/>
    <col min="3079" max="3328" width="9.140625" style="3301"/>
    <col min="3329" max="3329" width="37.140625" style="3301" customWidth="1"/>
    <col min="3330" max="3333" width="9.5703125" style="3301" bestFit="1" customWidth="1"/>
    <col min="3334" max="3334" width="9.5703125" style="3301" customWidth="1"/>
    <col min="3335" max="3584" width="9.140625" style="3301"/>
    <col min="3585" max="3585" width="37.140625" style="3301" customWidth="1"/>
    <col min="3586" max="3589" width="9.5703125" style="3301" bestFit="1" customWidth="1"/>
    <col min="3590" max="3590" width="9.5703125" style="3301" customWidth="1"/>
    <col min="3591" max="3840" width="9.140625" style="3301"/>
    <col min="3841" max="3841" width="37.140625" style="3301" customWidth="1"/>
    <col min="3842" max="3845" width="9.5703125" style="3301" bestFit="1" customWidth="1"/>
    <col min="3846" max="3846" width="9.5703125" style="3301" customWidth="1"/>
    <col min="3847" max="4096" width="9.140625" style="3301"/>
    <col min="4097" max="4097" width="37.140625" style="3301" customWidth="1"/>
    <col min="4098" max="4101" width="9.5703125" style="3301" bestFit="1" customWidth="1"/>
    <col min="4102" max="4102" width="9.5703125" style="3301" customWidth="1"/>
    <col min="4103" max="4352" width="9.140625" style="3301"/>
    <col min="4353" max="4353" width="37.140625" style="3301" customWidth="1"/>
    <col min="4354" max="4357" width="9.5703125" style="3301" bestFit="1" customWidth="1"/>
    <col min="4358" max="4358" width="9.5703125" style="3301" customWidth="1"/>
    <col min="4359" max="4608" width="9.140625" style="3301"/>
    <col min="4609" max="4609" width="37.140625" style="3301" customWidth="1"/>
    <col min="4610" max="4613" width="9.5703125" style="3301" bestFit="1" customWidth="1"/>
    <col min="4614" max="4614" width="9.5703125" style="3301" customWidth="1"/>
    <col min="4615" max="4864" width="9.140625" style="3301"/>
    <col min="4865" max="4865" width="37.140625" style="3301" customWidth="1"/>
    <col min="4866" max="4869" width="9.5703125" style="3301" bestFit="1" customWidth="1"/>
    <col min="4870" max="4870" width="9.5703125" style="3301" customWidth="1"/>
    <col min="4871" max="5120" width="9.140625" style="3301"/>
    <col min="5121" max="5121" width="37.140625" style="3301" customWidth="1"/>
    <col min="5122" max="5125" width="9.5703125" style="3301" bestFit="1" customWidth="1"/>
    <col min="5126" max="5126" width="9.5703125" style="3301" customWidth="1"/>
    <col min="5127" max="5376" width="9.140625" style="3301"/>
    <col min="5377" max="5377" width="37.140625" style="3301" customWidth="1"/>
    <col min="5378" max="5381" width="9.5703125" style="3301" bestFit="1" customWidth="1"/>
    <col min="5382" max="5382" width="9.5703125" style="3301" customWidth="1"/>
    <col min="5383" max="5632" width="9.140625" style="3301"/>
    <col min="5633" max="5633" width="37.140625" style="3301" customWidth="1"/>
    <col min="5634" max="5637" width="9.5703125" style="3301" bestFit="1" customWidth="1"/>
    <col min="5638" max="5638" width="9.5703125" style="3301" customWidth="1"/>
    <col min="5639" max="5888" width="9.140625" style="3301"/>
    <col min="5889" max="5889" width="37.140625" style="3301" customWidth="1"/>
    <col min="5890" max="5893" width="9.5703125" style="3301" bestFit="1" customWidth="1"/>
    <col min="5894" max="5894" width="9.5703125" style="3301" customWidth="1"/>
    <col min="5895" max="6144" width="9.140625" style="3301"/>
    <col min="6145" max="6145" width="37.140625" style="3301" customWidth="1"/>
    <col min="6146" max="6149" width="9.5703125" style="3301" bestFit="1" customWidth="1"/>
    <col min="6150" max="6150" width="9.5703125" style="3301" customWidth="1"/>
    <col min="6151" max="6400" width="9.140625" style="3301"/>
    <col min="6401" max="6401" width="37.140625" style="3301" customWidth="1"/>
    <col min="6402" max="6405" width="9.5703125" style="3301" bestFit="1" customWidth="1"/>
    <col min="6406" max="6406" width="9.5703125" style="3301" customWidth="1"/>
    <col min="6407" max="6656" width="9.140625" style="3301"/>
    <col min="6657" max="6657" width="37.140625" style="3301" customWidth="1"/>
    <col min="6658" max="6661" width="9.5703125" style="3301" bestFit="1" customWidth="1"/>
    <col min="6662" max="6662" width="9.5703125" style="3301" customWidth="1"/>
    <col min="6663" max="6912" width="9.140625" style="3301"/>
    <col min="6913" max="6913" width="37.140625" style="3301" customWidth="1"/>
    <col min="6914" max="6917" width="9.5703125" style="3301" bestFit="1" customWidth="1"/>
    <col min="6918" max="6918" width="9.5703125" style="3301" customWidth="1"/>
    <col min="6919" max="7168" width="9.140625" style="3301"/>
    <col min="7169" max="7169" width="37.140625" style="3301" customWidth="1"/>
    <col min="7170" max="7173" width="9.5703125" style="3301" bestFit="1" customWidth="1"/>
    <col min="7174" max="7174" width="9.5703125" style="3301" customWidth="1"/>
    <col min="7175" max="7424" width="9.140625" style="3301"/>
    <col min="7425" max="7425" width="37.140625" style="3301" customWidth="1"/>
    <col min="7426" max="7429" width="9.5703125" style="3301" bestFit="1" customWidth="1"/>
    <col min="7430" max="7430" width="9.5703125" style="3301" customWidth="1"/>
    <col min="7431" max="7680" width="9.140625" style="3301"/>
    <col min="7681" max="7681" width="37.140625" style="3301" customWidth="1"/>
    <col min="7682" max="7685" width="9.5703125" style="3301" bestFit="1" customWidth="1"/>
    <col min="7686" max="7686" width="9.5703125" style="3301" customWidth="1"/>
    <col min="7687" max="7936" width="9.140625" style="3301"/>
    <col min="7937" max="7937" width="37.140625" style="3301" customWidth="1"/>
    <col min="7938" max="7941" width="9.5703125" style="3301" bestFit="1" customWidth="1"/>
    <col min="7942" max="7942" width="9.5703125" style="3301" customWidth="1"/>
    <col min="7943" max="8192" width="9.140625" style="3301"/>
    <col min="8193" max="8193" width="37.140625" style="3301" customWidth="1"/>
    <col min="8194" max="8197" width="9.5703125" style="3301" bestFit="1" customWidth="1"/>
    <col min="8198" max="8198" width="9.5703125" style="3301" customWidth="1"/>
    <col min="8199" max="8448" width="9.140625" style="3301"/>
    <col min="8449" max="8449" width="37.140625" style="3301" customWidth="1"/>
    <col min="8450" max="8453" width="9.5703125" style="3301" bestFit="1" customWidth="1"/>
    <col min="8454" max="8454" width="9.5703125" style="3301" customWidth="1"/>
    <col min="8455" max="8704" width="9.140625" style="3301"/>
    <col min="8705" max="8705" width="37.140625" style="3301" customWidth="1"/>
    <col min="8706" max="8709" width="9.5703125" style="3301" bestFit="1" customWidth="1"/>
    <col min="8710" max="8710" width="9.5703125" style="3301" customWidth="1"/>
    <col min="8711" max="8960" width="9.140625" style="3301"/>
    <col min="8961" max="8961" width="37.140625" style="3301" customWidth="1"/>
    <col min="8962" max="8965" width="9.5703125" style="3301" bestFit="1" customWidth="1"/>
    <col min="8966" max="8966" width="9.5703125" style="3301" customWidth="1"/>
    <col min="8967" max="9216" width="9.140625" style="3301"/>
    <col min="9217" max="9217" width="37.140625" style="3301" customWidth="1"/>
    <col min="9218" max="9221" width="9.5703125" style="3301" bestFit="1" customWidth="1"/>
    <col min="9222" max="9222" width="9.5703125" style="3301" customWidth="1"/>
    <col min="9223" max="9472" width="9.140625" style="3301"/>
    <col min="9473" max="9473" width="37.140625" style="3301" customWidth="1"/>
    <col min="9474" max="9477" width="9.5703125" style="3301" bestFit="1" customWidth="1"/>
    <col min="9478" max="9478" width="9.5703125" style="3301" customWidth="1"/>
    <col min="9479" max="9728" width="9.140625" style="3301"/>
    <col min="9729" max="9729" width="37.140625" style="3301" customWidth="1"/>
    <col min="9730" max="9733" width="9.5703125" style="3301" bestFit="1" customWidth="1"/>
    <col min="9734" max="9734" width="9.5703125" style="3301" customWidth="1"/>
    <col min="9735" max="9984" width="9.140625" style="3301"/>
    <col min="9985" max="9985" width="37.140625" style="3301" customWidth="1"/>
    <col min="9986" max="9989" width="9.5703125" style="3301" bestFit="1" customWidth="1"/>
    <col min="9990" max="9990" width="9.5703125" style="3301" customWidth="1"/>
    <col min="9991" max="10240" width="9.140625" style="3301"/>
    <col min="10241" max="10241" width="37.140625" style="3301" customWidth="1"/>
    <col min="10242" max="10245" width="9.5703125" style="3301" bestFit="1" customWidth="1"/>
    <col min="10246" max="10246" width="9.5703125" style="3301" customWidth="1"/>
    <col min="10247" max="10496" width="9.140625" style="3301"/>
    <col min="10497" max="10497" width="37.140625" style="3301" customWidth="1"/>
    <col min="10498" max="10501" width="9.5703125" style="3301" bestFit="1" customWidth="1"/>
    <col min="10502" max="10502" width="9.5703125" style="3301" customWidth="1"/>
    <col min="10503" max="10752" width="9.140625" style="3301"/>
    <col min="10753" max="10753" width="37.140625" style="3301" customWidth="1"/>
    <col min="10754" max="10757" width="9.5703125" style="3301" bestFit="1" customWidth="1"/>
    <col min="10758" max="10758" width="9.5703125" style="3301" customWidth="1"/>
    <col min="10759" max="11008" width="9.140625" style="3301"/>
    <col min="11009" max="11009" width="37.140625" style="3301" customWidth="1"/>
    <col min="11010" max="11013" width="9.5703125" style="3301" bestFit="1" customWidth="1"/>
    <col min="11014" max="11014" width="9.5703125" style="3301" customWidth="1"/>
    <col min="11015" max="11264" width="9.140625" style="3301"/>
    <col min="11265" max="11265" width="37.140625" style="3301" customWidth="1"/>
    <col min="11266" max="11269" width="9.5703125" style="3301" bestFit="1" customWidth="1"/>
    <col min="11270" max="11270" width="9.5703125" style="3301" customWidth="1"/>
    <col min="11271" max="11520" width="9.140625" style="3301"/>
    <col min="11521" max="11521" width="37.140625" style="3301" customWidth="1"/>
    <col min="11522" max="11525" width="9.5703125" style="3301" bestFit="1" customWidth="1"/>
    <col min="11526" max="11526" width="9.5703125" style="3301" customWidth="1"/>
    <col min="11527" max="11776" width="9.140625" style="3301"/>
    <col min="11777" max="11777" width="37.140625" style="3301" customWidth="1"/>
    <col min="11778" max="11781" width="9.5703125" style="3301" bestFit="1" customWidth="1"/>
    <col min="11782" max="11782" width="9.5703125" style="3301" customWidth="1"/>
    <col min="11783" max="12032" width="9.140625" style="3301"/>
    <col min="12033" max="12033" width="37.140625" style="3301" customWidth="1"/>
    <col min="12034" max="12037" width="9.5703125" style="3301" bestFit="1" customWidth="1"/>
    <col min="12038" max="12038" width="9.5703125" style="3301" customWidth="1"/>
    <col min="12039" max="12288" width="9.140625" style="3301"/>
    <col min="12289" max="12289" width="37.140625" style="3301" customWidth="1"/>
    <col min="12290" max="12293" width="9.5703125" style="3301" bestFit="1" customWidth="1"/>
    <col min="12294" max="12294" width="9.5703125" style="3301" customWidth="1"/>
    <col min="12295" max="12544" width="9.140625" style="3301"/>
    <col min="12545" max="12545" width="37.140625" style="3301" customWidth="1"/>
    <col min="12546" max="12549" width="9.5703125" style="3301" bestFit="1" customWidth="1"/>
    <col min="12550" max="12550" width="9.5703125" style="3301" customWidth="1"/>
    <col min="12551" max="12800" width="9.140625" style="3301"/>
    <col min="12801" max="12801" width="37.140625" style="3301" customWidth="1"/>
    <col min="12802" max="12805" width="9.5703125" style="3301" bestFit="1" customWidth="1"/>
    <col min="12806" max="12806" width="9.5703125" style="3301" customWidth="1"/>
    <col min="12807" max="13056" width="9.140625" style="3301"/>
    <col min="13057" max="13057" width="37.140625" style="3301" customWidth="1"/>
    <col min="13058" max="13061" width="9.5703125" style="3301" bestFit="1" customWidth="1"/>
    <col min="13062" max="13062" width="9.5703125" style="3301" customWidth="1"/>
    <col min="13063" max="13312" width="9.140625" style="3301"/>
    <col min="13313" max="13313" width="37.140625" style="3301" customWidth="1"/>
    <col min="13314" max="13317" width="9.5703125" style="3301" bestFit="1" customWidth="1"/>
    <col min="13318" max="13318" width="9.5703125" style="3301" customWidth="1"/>
    <col min="13319" max="13568" width="9.140625" style="3301"/>
    <col min="13569" max="13569" width="37.140625" style="3301" customWidth="1"/>
    <col min="13570" max="13573" width="9.5703125" style="3301" bestFit="1" customWidth="1"/>
    <col min="13574" max="13574" width="9.5703125" style="3301" customWidth="1"/>
    <col min="13575" max="13824" width="9.140625" style="3301"/>
    <col min="13825" max="13825" width="37.140625" style="3301" customWidth="1"/>
    <col min="13826" max="13829" width="9.5703125" style="3301" bestFit="1" customWidth="1"/>
    <col min="13830" max="13830" width="9.5703125" style="3301" customWidth="1"/>
    <col min="13831" max="14080" width="9.140625" style="3301"/>
    <col min="14081" max="14081" width="37.140625" style="3301" customWidth="1"/>
    <col min="14082" max="14085" width="9.5703125" style="3301" bestFit="1" customWidth="1"/>
    <col min="14086" max="14086" width="9.5703125" style="3301" customWidth="1"/>
    <col min="14087" max="14336" width="9.140625" style="3301"/>
    <col min="14337" max="14337" width="37.140625" style="3301" customWidth="1"/>
    <col min="14338" max="14341" width="9.5703125" style="3301" bestFit="1" customWidth="1"/>
    <col min="14342" max="14342" width="9.5703125" style="3301" customWidth="1"/>
    <col min="14343" max="14592" width="9.140625" style="3301"/>
    <col min="14593" max="14593" width="37.140625" style="3301" customWidth="1"/>
    <col min="14594" max="14597" width="9.5703125" style="3301" bestFit="1" customWidth="1"/>
    <col min="14598" max="14598" width="9.5703125" style="3301" customWidth="1"/>
    <col min="14599" max="14848" width="9.140625" style="3301"/>
    <col min="14849" max="14849" width="37.140625" style="3301" customWidth="1"/>
    <col min="14850" max="14853" width="9.5703125" style="3301" bestFit="1" customWidth="1"/>
    <col min="14854" max="14854" width="9.5703125" style="3301" customWidth="1"/>
    <col min="14855" max="15104" width="9.140625" style="3301"/>
    <col min="15105" max="15105" width="37.140625" style="3301" customWidth="1"/>
    <col min="15106" max="15109" width="9.5703125" style="3301" bestFit="1" customWidth="1"/>
    <col min="15110" max="15110" width="9.5703125" style="3301" customWidth="1"/>
    <col min="15111" max="15360" width="9.140625" style="3301"/>
    <col min="15361" max="15361" width="37.140625" style="3301" customWidth="1"/>
    <col min="15362" max="15365" width="9.5703125" style="3301" bestFit="1" customWidth="1"/>
    <col min="15366" max="15366" width="9.5703125" style="3301" customWidth="1"/>
    <col min="15367" max="15616" width="9.140625" style="3301"/>
    <col min="15617" max="15617" width="37.140625" style="3301" customWidth="1"/>
    <col min="15618" max="15621" width="9.5703125" style="3301" bestFit="1" customWidth="1"/>
    <col min="15622" max="15622" width="9.5703125" style="3301" customWidth="1"/>
    <col min="15623" max="15872" width="9.140625" style="3301"/>
    <col min="15873" max="15873" width="37.140625" style="3301" customWidth="1"/>
    <col min="15874" max="15877" width="9.5703125" style="3301" bestFit="1" customWidth="1"/>
    <col min="15878" max="15878" width="9.5703125" style="3301" customWidth="1"/>
    <col min="15879" max="16128" width="9.140625" style="3301"/>
    <col min="16129" max="16129" width="37.140625" style="3301" customWidth="1"/>
    <col min="16130" max="16133" width="9.5703125" style="3301" bestFit="1" customWidth="1"/>
    <col min="16134" max="16134" width="9.5703125" style="3301" customWidth="1"/>
    <col min="16135" max="16384" width="9.140625" style="3301"/>
  </cols>
  <sheetData>
    <row r="1" spans="1:6" ht="15.75">
      <c r="A1" s="4934" t="s">
        <v>1979</v>
      </c>
      <c r="B1" s="4934"/>
      <c r="C1" s="4934"/>
      <c r="D1" s="4934"/>
      <c r="E1" s="4934"/>
      <c r="F1" s="4934"/>
    </row>
    <row r="2" spans="1:6">
      <c r="B2" s="3302"/>
    </row>
    <row r="3" spans="1:6">
      <c r="A3" s="4935" t="s">
        <v>405</v>
      </c>
      <c r="B3" s="4937" t="s">
        <v>1824</v>
      </c>
      <c r="C3" s="4937" t="s">
        <v>1825</v>
      </c>
      <c r="D3" s="4937" t="s">
        <v>1826</v>
      </c>
      <c r="E3" s="4937" t="s">
        <v>1827</v>
      </c>
      <c r="F3" s="4937" t="s">
        <v>912</v>
      </c>
    </row>
    <row r="4" spans="1:6">
      <c r="A4" s="4938"/>
      <c r="B4" s="4938"/>
      <c r="C4" s="4938"/>
      <c r="D4" s="4938"/>
      <c r="E4" s="4938"/>
      <c r="F4" s="4938"/>
    </row>
    <row r="5" spans="1:6">
      <c r="A5" s="3303" t="s">
        <v>142</v>
      </c>
      <c r="B5" s="3304"/>
      <c r="C5" s="3304"/>
      <c r="D5" s="3304"/>
      <c r="E5" s="3304"/>
      <c r="F5" s="3304"/>
    </row>
    <row r="6" spans="1:6">
      <c r="A6" s="3305" t="s">
        <v>1828</v>
      </c>
      <c r="B6" s="3306">
        <f>SUM(F6*(B17/F17))</f>
        <v>1.1853712287699987</v>
      </c>
      <c r="C6" s="3306">
        <f>SUM(F6*(C17/F17))</f>
        <v>1.1346287712300012</v>
      </c>
      <c r="D6" s="3306">
        <f>SUM(F6*(D17/F17))</f>
        <v>1.1346287712300012</v>
      </c>
      <c r="E6" s="3306">
        <f>SUM(F6*(E17/F17))</f>
        <v>1.1853712287699987</v>
      </c>
      <c r="F6" s="3306">
        <v>4.6399999999999997</v>
      </c>
    </row>
    <row r="7" spans="1:6">
      <c r="A7" s="3305" t="s">
        <v>1829</v>
      </c>
      <c r="B7" s="3307">
        <v>4.6280000000000001</v>
      </c>
      <c r="C7" s="3307">
        <v>4.6280000000000001</v>
      </c>
      <c r="D7" s="3307">
        <f>SUM(C7*1.07)</f>
        <v>4.9519600000000006</v>
      </c>
      <c r="E7" s="3307">
        <f>SUM(D7)</f>
        <v>4.9519600000000006</v>
      </c>
      <c r="F7" s="3307">
        <f>F8/F6</f>
        <v>4.7899799999999999</v>
      </c>
    </row>
    <row r="8" spans="1:6">
      <c r="A8" s="3305" t="s">
        <v>1830</v>
      </c>
      <c r="B8" s="3306">
        <f>SUM(B6*B7)</f>
        <v>5.485898046747554</v>
      </c>
      <c r="C8" s="3306">
        <f>SUM(C6*C7)</f>
        <v>5.2510619532524458</v>
      </c>
      <c r="D8" s="3306">
        <f>SUM(D6*D7)</f>
        <v>5.6186362899801177</v>
      </c>
      <c r="E8" s="3306">
        <f>SUM(E6*E7)</f>
        <v>5.8699109100198834</v>
      </c>
      <c r="F8" s="3306">
        <f>SUM(B8:E8)</f>
        <v>22.225507199999999</v>
      </c>
    </row>
    <row r="9" spans="1:6">
      <c r="A9" s="3305" t="s">
        <v>1831</v>
      </c>
      <c r="B9" s="3308">
        <f>SUM(B13-B6)</f>
        <v>68.534628771230004</v>
      </c>
      <c r="C9" s="3308">
        <f>SUM(C13-C6)</f>
        <v>65.600851228770011</v>
      </c>
      <c r="D9" s="3308">
        <f>SUM(D13-D6)</f>
        <v>65.600851228770011</v>
      </c>
      <c r="E9" s="3308">
        <f>SUM(E13-E6)</f>
        <v>68.534628771230004</v>
      </c>
      <c r="F9" s="3308">
        <f>SUM(B9:E9)</f>
        <v>268.27096000000006</v>
      </c>
    </row>
    <row r="10" spans="1:6">
      <c r="A10" s="3305" t="s">
        <v>1829</v>
      </c>
      <c r="B10" s="3307">
        <f>B11/B9</f>
        <v>5.8709605518744707</v>
      </c>
      <c r="C10" s="3307">
        <f>C11/C9</f>
        <v>5.870944215398235</v>
      </c>
      <c r="D10" s="3307">
        <f>D11/D9</f>
        <v>6.2819971995925377</v>
      </c>
      <c r="E10" s="3307">
        <f>E11/E9</f>
        <v>6.2819788595792705</v>
      </c>
      <c r="F10" s="3307">
        <f>F11/F9</f>
        <v>6.0764701956559133</v>
      </c>
    </row>
    <row r="11" spans="1:6">
      <c r="A11" s="3305" t="s">
        <v>1830</v>
      </c>
      <c r="B11" s="3306">
        <f>B15-B8</f>
        <v>402.36410195325249</v>
      </c>
      <c r="C11" s="3306">
        <f>C15-C8</f>
        <v>385.13893804674751</v>
      </c>
      <c r="D11" s="3306">
        <f>D15-D8</f>
        <v>412.10436371001987</v>
      </c>
      <c r="E11" s="3306">
        <f>E15-E8</f>
        <v>430.53308908998014</v>
      </c>
      <c r="F11" s="3306">
        <f>F15-F8</f>
        <v>1630.1404927999999</v>
      </c>
    </row>
    <row r="12" spans="1:6">
      <c r="A12" s="3309" t="s">
        <v>1832</v>
      </c>
      <c r="B12" s="3306"/>
      <c r="C12" s="3306"/>
      <c r="D12" s="3306"/>
      <c r="E12" s="3306"/>
      <c r="F12" s="3306"/>
    </row>
    <row r="13" spans="1:6">
      <c r="A13" s="3309" t="s">
        <v>376</v>
      </c>
      <c r="B13" s="3310">
        <f>SUM(B21*B20)</f>
        <v>69.72</v>
      </c>
      <c r="C13" s="3310">
        <f t="shared" ref="C13:E13" si="0">SUM(C21*C20)</f>
        <v>66.73548000000001</v>
      </c>
      <c r="D13" s="3310">
        <f t="shared" si="0"/>
        <v>66.73548000000001</v>
      </c>
      <c r="E13" s="3310">
        <f t="shared" si="0"/>
        <v>69.72</v>
      </c>
      <c r="F13" s="3310">
        <f>SUM(B13:E13)</f>
        <v>272.91096000000005</v>
      </c>
    </row>
    <row r="14" spans="1:6">
      <c r="A14" s="3309" t="s">
        <v>118</v>
      </c>
      <c r="B14" s="3311">
        <f>B15/B13</f>
        <v>5.8498278829604136</v>
      </c>
      <c r="C14" s="3311">
        <f>C15/C13</f>
        <v>5.8498118242350232</v>
      </c>
      <c r="D14" s="3311">
        <f>D15/D13</f>
        <v>6.2593840637693763</v>
      </c>
      <c r="E14" s="3311">
        <f>E15/E13</f>
        <v>6.2593660355708556</v>
      </c>
      <c r="F14" s="3311">
        <f>F15/F13</f>
        <v>6.0545974408649608</v>
      </c>
    </row>
    <row r="15" spans="1:6">
      <c r="A15" s="3309" t="s">
        <v>45</v>
      </c>
      <c r="B15" s="3310">
        <v>407.85</v>
      </c>
      <c r="C15" s="3310">
        <v>390.39</v>
      </c>
      <c r="D15" s="3310">
        <v>417.72300000000001</v>
      </c>
      <c r="E15" s="3310">
        <v>436.40300000000002</v>
      </c>
      <c r="F15" s="3310">
        <f>SUM(B15:E15)</f>
        <v>1652.366</v>
      </c>
    </row>
    <row r="16" spans="1:6">
      <c r="A16" s="3303" t="s">
        <v>578</v>
      </c>
      <c r="B16" s="3312"/>
      <c r="C16" s="3312"/>
      <c r="D16" s="3312"/>
      <c r="E16" s="3312"/>
      <c r="F16" s="3312"/>
    </row>
    <row r="17" spans="1:6">
      <c r="A17" s="3309" t="s">
        <v>1833</v>
      </c>
      <c r="B17" s="3310">
        <f>SUM(B22*B20)</f>
        <v>348.59999999999997</v>
      </c>
      <c r="C17" s="3310">
        <f t="shared" ref="C17:E17" si="1">SUM(C22*C20)</f>
        <v>333.67739999999998</v>
      </c>
      <c r="D17" s="3310">
        <f t="shared" si="1"/>
        <v>333.67739999999998</v>
      </c>
      <c r="E17" s="3310">
        <f t="shared" si="1"/>
        <v>348.59999999999997</v>
      </c>
      <c r="F17" s="3310">
        <f>SUM(B17:E17)</f>
        <v>1364.5547999999999</v>
      </c>
    </row>
    <row r="18" spans="1:6">
      <c r="A18" s="3309" t="s">
        <v>1829</v>
      </c>
      <c r="B18" s="3311">
        <f>SUM(B19/B17)</f>
        <v>4.4586632243258757</v>
      </c>
      <c r="C18" s="3311">
        <f>SUM(C19/C17)</f>
        <v>4.4586777528235357</v>
      </c>
      <c r="D18" s="3311">
        <f>SUM(D19/D17)</f>
        <v>4.7707845961398645</v>
      </c>
      <c r="E18" s="3311">
        <f>SUM(E19/E17)</f>
        <v>4.7707773952954682</v>
      </c>
      <c r="F18" s="3311">
        <f>SUM(F19/F17)</f>
        <v>4.6147256233315073</v>
      </c>
    </row>
    <row r="19" spans="1:6">
      <c r="A19" s="3309" t="s">
        <v>1830</v>
      </c>
      <c r="B19" s="3310">
        <v>1554.29</v>
      </c>
      <c r="C19" s="3310">
        <v>1487.76</v>
      </c>
      <c r="D19" s="3310">
        <v>1591.903</v>
      </c>
      <c r="E19" s="3310">
        <v>1663.0930000000001</v>
      </c>
      <c r="F19" s="3310">
        <f>SUM(B19:E19)</f>
        <v>6297.0460000000003</v>
      </c>
    </row>
    <row r="20" spans="1:6">
      <c r="A20" s="3305" t="s">
        <v>1834</v>
      </c>
      <c r="B20" s="3306">
        <v>830</v>
      </c>
      <c r="C20" s="3306">
        <v>794.47</v>
      </c>
      <c r="D20" s="3306">
        <v>794.47</v>
      </c>
      <c r="E20" s="3306">
        <v>830</v>
      </c>
      <c r="F20" s="3306">
        <f>SUM(B20:E20)</f>
        <v>3248.94</v>
      </c>
    </row>
    <row r="21" spans="1:6">
      <c r="A21" s="3305" t="s">
        <v>1835</v>
      </c>
      <c r="B21" s="3307">
        <v>8.4000000000000005E-2</v>
      </c>
      <c r="C21" s="3307">
        <v>8.4000000000000005E-2</v>
      </c>
      <c r="D21" s="3307">
        <v>8.4000000000000005E-2</v>
      </c>
      <c r="E21" s="3307">
        <v>8.4000000000000005E-2</v>
      </c>
      <c r="F21" s="3307">
        <v>8.4000000000000005E-2</v>
      </c>
    </row>
    <row r="22" spans="1:6">
      <c r="A22" s="3305" t="s">
        <v>1836</v>
      </c>
      <c r="B22" s="3307">
        <v>0.42</v>
      </c>
      <c r="C22" s="3307">
        <v>0.42</v>
      </c>
      <c r="D22" s="3307">
        <v>0.42</v>
      </c>
      <c r="E22" s="3307">
        <v>0.42</v>
      </c>
      <c r="F22" s="3307">
        <v>0.42</v>
      </c>
    </row>
    <row r="23" spans="1:6">
      <c r="A23" s="3303" t="s">
        <v>1837</v>
      </c>
      <c r="B23" s="3312"/>
      <c r="C23" s="3312"/>
      <c r="D23" s="3312"/>
      <c r="E23" s="3312"/>
      <c r="F23" s="3312"/>
    </row>
    <row r="24" spans="1:6">
      <c r="A24" s="3309" t="s">
        <v>1838</v>
      </c>
      <c r="B24" s="3310">
        <f>B13+B17</f>
        <v>418.31999999999994</v>
      </c>
      <c r="C24" s="3310">
        <f>C13+C17</f>
        <v>400.41287999999997</v>
      </c>
      <c r="D24" s="3310">
        <f>D13+D17</f>
        <v>400.41287999999997</v>
      </c>
      <c r="E24" s="3310">
        <f>E13+E17</f>
        <v>418.31999999999994</v>
      </c>
      <c r="F24" s="3310">
        <f>F13+F17</f>
        <v>1637.46576</v>
      </c>
    </row>
    <row r="25" spans="1:6">
      <c r="A25" s="3309" t="s">
        <v>1839</v>
      </c>
      <c r="B25" s="3311">
        <f>B26/B24</f>
        <v>4.6905240007649649</v>
      </c>
      <c r="C25" s="3311">
        <f>C26/C24</f>
        <v>4.6905334313921179</v>
      </c>
      <c r="D25" s="3311">
        <f>D26/D24</f>
        <v>5.0188845074114505</v>
      </c>
      <c r="E25" s="3311">
        <f>E26/E24</f>
        <v>5.0188755020080329</v>
      </c>
      <c r="F25" s="3311">
        <f>F26/F24</f>
        <v>4.8547042595870833</v>
      </c>
    </row>
    <row r="26" spans="1:6">
      <c r="A26" s="3309" t="s">
        <v>1840</v>
      </c>
      <c r="B26" s="3310">
        <f>B15+B19</f>
        <v>1962.1399999999999</v>
      </c>
      <c r="C26" s="3310">
        <f>C15+C19</f>
        <v>1878.15</v>
      </c>
      <c r="D26" s="3310">
        <f>D15+D19</f>
        <v>2009.626</v>
      </c>
      <c r="E26" s="3310">
        <f>E15+E19</f>
        <v>2099.4960000000001</v>
      </c>
      <c r="F26" s="3310">
        <f>F15+F19</f>
        <v>7949.4120000000003</v>
      </c>
    </row>
    <row r="27" spans="1:6">
      <c r="A27" s="3302"/>
      <c r="B27" s="3302"/>
      <c r="C27" s="3302"/>
      <c r="D27" s="3302"/>
      <c r="E27" s="3302"/>
      <c r="F27" s="3302"/>
    </row>
    <row r="28" spans="1:6" ht="15.75">
      <c r="A28" s="4934" t="s">
        <v>1980</v>
      </c>
      <c r="B28" s="4934"/>
      <c r="C28" s="4934"/>
      <c r="D28" s="4934"/>
      <c r="E28" s="4934"/>
      <c r="F28" s="4934"/>
    </row>
    <row r="29" spans="1:6">
      <c r="A29" s="3302"/>
      <c r="B29" s="3313"/>
      <c r="C29" s="3313"/>
      <c r="D29" s="3313"/>
      <c r="E29" s="3313"/>
      <c r="F29" s="3313"/>
    </row>
    <row r="30" spans="1:6">
      <c r="A30" s="4935" t="s">
        <v>401</v>
      </c>
      <c r="B30" s="4937" t="s">
        <v>1824</v>
      </c>
      <c r="C30" s="4937" t="s">
        <v>1825</v>
      </c>
      <c r="D30" s="4937" t="s">
        <v>1826</v>
      </c>
      <c r="E30" s="4937" t="s">
        <v>1827</v>
      </c>
      <c r="F30" s="4937" t="s">
        <v>912</v>
      </c>
    </row>
    <row r="31" spans="1:6">
      <c r="A31" s="4936"/>
      <c r="B31" s="4936"/>
      <c r="C31" s="4936"/>
      <c r="D31" s="4936"/>
      <c r="E31" s="4936"/>
      <c r="F31" s="4936"/>
    </row>
    <row r="32" spans="1:6">
      <c r="A32" s="3303" t="s">
        <v>1841</v>
      </c>
      <c r="B32" s="3312"/>
      <c r="C32" s="3312"/>
      <c r="D32" s="3312"/>
      <c r="E32" s="3312"/>
      <c r="F32" s="3312"/>
    </row>
    <row r="33" spans="1:7">
      <c r="A33" s="3309" t="s">
        <v>1831</v>
      </c>
      <c r="B33" s="3310">
        <f>SUM(B37*B36)</f>
        <v>168.74663999999999</v>
      </c>
      <c r="C33" s="3310">
        <f t="shared" ref="C33:F33" si="2">SUM(C37*C36)</f>
        <v>161.48272</v>
      </c>
      <c r="D33" s="3310">
        <f t="shared" si="2"/>
        <v>161.48272</v>
      </c>
      <c r="E33" s="3310">
        <f t="shared" si="2"/>
        <v>168.74663999999999</v>
      </c>
      <c r="F33" s="3310">
        <f t="shared" si="2"/>
        <v>660.45871999999997</v>
      </c>
      <c r="G33" s="3314"/>
    </row>
    <row r="34" spans="1:7">
      <c r="A34" s="3309" t="s">
        <v>1829</v>
      </c>
      <c r="B34" s="3311">
        <f>SUM(B35/B33)</f>
        <v>5.8355532293857824</v>
      </c>
      <c r="C34" s="3311">
        <f>SUM(C35/C33)</f>
        <v>5.8355469860799971</v>
      </c>
      <c r="D34" s="3311">
        <f>SUM(D35/D33)</f>
        <v>6.2440117431759878</v>
      </c>
      <c r="E34" s="3311">
        <f>SUM(E35/E33)</f>
        <v>6.2440354367944755</v>
      </c>
      <c r="F34" s="3311">
        <f>SUM(F35/F33)</f>
        <v>6.0397870134866265</v>
      </c>
      <c r="G34" s="3315"/>
    </row>
    <row r="35" spans="1:7">
      <c r="A35" s="3309" t="s">
        <v>1830</v>
      </c>
      <c r="B35" s="3310">
        <v>984.73</v>
      </c>
      <c r="C35" s="3310">
        <v>942.34</v>
      </c>
      <c r="D35" s="3310">
        <v>1008.3</v>
      </c>
      <c r="E35" s="3310">
        <v>1053.6600000000001</v>
      </c>
      <c r="F35" s="3310">
        <f>SUM(B35:E35)</f>
        <v>3989.0299999999997</v>
      </c>
      <c r="G35" s="3316"/>
    </row>
    <row r="36" spans="1:7">
      <c r="A36" s="3305" t="s">
        <v>1568</v>
      </c>
      <c r="B36" s="3306">
        <v>1360.86</v>
      </c>
      <c r="C36" s="3306">
        <v>1302.28</v>
      </c>
      <c r="D36" s="3306">
        <v>1302.28</v>
      </c>
      <c r="E36" s="3306">
        <v>1360.86</v>
      </c>
      <c r="F36" s="3306">
        <f>SUM(B36:E36)</f>
        <v>5326.28</v>
      </c>
    </row>
    <row r="37" spans="1:7">
      <c r="A37" s="3305" t="s">
        <v>1842</v>
      </c>
      <c r="B37" s="3307">
        <v>0.124</v>
      </c>
      <c r="C37" s="3307">
        <v>0.124</v>
      </c>
      <c r="D37" s="3307">
        <v>0.124</v>
      </c>
      <c r="E37" s="3307">
        <v>0.124</v>
      </c>
      <c r="F37" s="3307">
        <v>0.124</v>
      </c>
    </row>
    <row r="38" spans="1:7">
      <c r="A38" s="3303" t="s">
        <v>140</v>
      </c>
      <c r="B38" s="3312"/>
      <c r="C38" s="3312"/>
      <c r="D38" s="3312"/>
      <c r="E38" s="3312"/>
      <c r="F38" s="3312"/>
    </row>
    <row r="39" spans="1:7">
      <c r="A39" s="3305" t="s">
        <v>1831</v>
      </c>
      <c r="B39" s="3306">
        <f>SUM(F39*(B33/F33))</f>
        <v>61.097511171023683</v>
      </c>
      <c r="C39" s="3306">
        <f>SUM(F39*(C33/F33))</f>
        <v>58.467488828976322</v>
      </c>
      <c r="D39" s="3306">
        <f>SUM(F39*(D33/F33))</f>
        <v>58.467488828976322</v>
      </c>
      <c r="E39" s="3306">
        <f>SUM(F39*(E33/F33))</f>
        <v>61.097511171023683</v>
      </c>
      <c r="F39" s="3306">
        <v>239.13</v>
      </c>
    </row>
    <row r="40" spans="1:7">
      <c r="A40" s="3305" t="s">
        <v>1829</v>
      </c>
      <c r="B40" s="3307">
        <v>4.5679999999999996</v>
      </c>
      <c r="C40" s="3307">
        <v>4.5679999999999996</v>
      </c>
      <c r="D40" s="3307">
        <f>SUM(C40*1.07)</f>
        <v>4.8877600000000001</v>
      </c>
      <c r="E40" s="3307">
        <f>SUM(D40)</f>
        <v>4.8877600000000001</v>
      </c>
      <c r="F40" s="3307">
        <f>SUM(F41/F39)</f>
        <v>4.7278799999999999</v>
      </c>
    </row>
    <row r="41" spans="1:7">
      <c r="A41" s="3305" t="s">
        <v>1830</v>
      </c>
      <c r="B41" s="3306">
        <f>SUM(B39*B40)</f>
        <v>279.09343102923617</v>
      </c>
      <c r="C41" s="3306">
        <f>SUM(C39*C40)</f>
        <v>267.0794889707638</v>
      </c>
      <c r="D41" s="3306">
        <f>SUM(D39*D40)</f>
        <v>285.77505319871733</v>
      </c>
      <c r="E41" s="3306">
        <f>SUM(E39*E40)</f>
        <v>298.62997120128273</v>
      </c>
      <c r="F41" s="3306">
        <f>SUM(B41:E41)</f>
        <v>1130.5779444</v>
      </c>
    </row>
    <row r="42" spans="1:7">
      <c r="A42" s="3305" t="s">
        <v>1833</v>
      </c>
      <c r="B42" s="3306">
        <f>SUM(B46-B39)</f>
        <v>218.83840882897633</v>
      </c>
      <c r="C42" s="3306">
        <f>SUM(C46-C39)</f>
        <v>207.28965117102368</v>
      </c>
      <c r="D42" s="3306">
        <f>SUM(D46-D39)</f>
        <v>207.28965117102368</v>
      </c>
      <c r="E42" s="3306">
        <f>SUM(E46-E39)</f>
        <v>218.83840882897633</v>
      </c>
      <c r="F42" s="3306">
        <f>SUM(B42:E42)</f>
        <v>852.25612000000001</v>
      </c>
    </row>
    <row r="43" spans="1:7">
      <c r="A43" s="3305" t="s">
        <v>1829</v>
      </c>
      <c r="B43" s="3307">
        <f>SUM(B44/B42)</f>
        <v>4.4268123413740108</v>
      </c>
      <c r="C43" s="3307">
        <f>SUM(C44/C42)</f>
        <v>4.4265138459430258</v>
      </c>
      <c r="D43" s="3307">
        <f>SUM(D44/D42)</f>
        <v>4.7363432822377405</v>
      </c>
      <c r="E43" s="3307">
        <f>SUM(E44/E42)</f>
        <v>4.7366457942435316</v>
      </c>
      <c r="F43" s="3307">
        <f>SUM(F44/F42)</f>
        <v>4.5815828880172775</v>
      </c>
    </row>
    <row r="44" spans="1:7">
      <c r="A44" s="3305" t="s">
        <v>1830</v>
      </c>
      <c r="B44" s="3306">
        <f>SUM(B48-B41)</f>
        <v>968.75656897076374</v>
      </c>
      <c r="C44" s="3306">
        <f>SUM(C48-C41)</f>
        <v>917.57051102923629</v>
      </c>
      <c r="D44" s="3306">
        <f>SUM(D48-D41)</f>
        <v>981.79494680128255</v>
      </c>
      <c r="E44" s="3306">
        <f>SUM(E48-E41)</f>
        <v>1036.5600287987172</v>
      </c>
      <c r="F44" s="3306">
        <f>SUM(B44:E44)</f>
        <v>3904.6820555999998</v>
      </c>
    </row>
    <row r="45" spans="1:7">
      <c r="A45" s="3303" t="s">
        <v>1843</v>
      </c>
      <c r="B45" s="3317"/>
      <c r="C45" s="3317"/>
      <c r="D45" s="3318"/>
      <c r="E45" s="3318"/>
      <c r="F45" s="3317"/>
    </row>
    <row r="46" spans="1:7">
      <c r="A46" s="3309" t="s">
        <v>376</v>
      </c>
      <c r="B46" s="3310">
        <f>SUM(B50*B49)</f>
        <v>279.93592000000001</v>
      </c>
      <c r="C46" s="3310">
        <f t="shared" ref="C46:F46" si="3">SUM(C50*C49)</f>
        <v>265.75713999999999</v>
      </c>
      <c r="D46" s="3310">
        <f t="shared" si="3"/>
        <v>265.75713999999999</v>
      </c>
      <c r="E46" s="3310">
        <f t="shared" si="3"/>
        <v>279.93592000000001</v>
      </c>
      <c r="F46" s="3310">
        <f t="shared" si="3"/>
        <v>1091.3861200000001</v>
      </c>
    </row>
    <row r="47" spans="1:7">
      <c r="A47" s="3309" t="s">
        <v>118</v>
      </c>
      <c r="B47" s="3311">
        <f>SUM(B48/B46)</f>
        <v>4.4576273027055615</v>
      </c>
      <c r="C47" s="3311">
        <f>SUM(C48/C46)</f>
        <v>4.4576412885840062</v>
      </c>
      <c r="D47" s="3311">
        <f>SUM(D48/D46)</f>
        <v>4.7696554831979299</v>
      </c>
      <c r="E47" s="3311">
        <f>SUM(E48/E46)</f>
        <v>4.7696272775569497</v>
      </c>
      <c r="F47" s="3311">
        <f>SUM(F48/F46)</f>
        <v>4.6136375639448302</v>
      </c>
      <c r="G47" s="3302"/>
    </row>
    <row r="48" spans="1:7">
      <c r="A48" s="3309" t="s">
        <v>45</v>
      </c>
      <c r="B48" s="3310">
        <v>1247.8499999999999</v>
      </c>
      <c r="C48" s="3310">
        <v>1184.6500000000001</v>
      </c>
      <c r="D48" s="3310">
        <v>1267.57</v>
      </c>
      <c r="E48" s="3310">
        <v>1335.19</v>
      </c>
      <c r="F48" s="3310">
        <f>SUM(B48:E48)</f>
        <v>5035.26</v>
      </c>
    </row>
    <row r="49" spans="1:6">
      <c r="A49" s="3305" t="s">
        <v>1844</v>
      </c>
      <c r="B49" s="3319">
        <v>1156.76</v>
      </c>
      <c r="C49" s="3319">
        <v>1098.17</v>
      </c>
      <c r="D49" s="3319">
        <v>1098.17</v>
      </c>
      <c r="E49" s="3319">
        <v>1156.76</v>
      </c>
      <c r="F49" s="3319">
        <f>SUM(B49:E49)</f>
        <v>4509.8600000000006</v>
      </c>
    </row>
    <row r="50" spans="1:6">
      <c r="A50" s="3305" t="s">
        <v>1836</v>
      </c>
      <c r="B50" s="3307">
        <v>0.24199999999999999</v>
      </c>
      <c r="C50" s="3307">
        <v>0.24199999999999999</v>
      </c>
      <c r="D50" s="3307">
        <v>0.24199999999999999</v>
      </c>
      <c r="E50" s="3307">
        <v>0.24199999999999999</v>
      </c>
      <c r="F50" s="3307">
        <v>0.24199999999999999</v>
      </c>
    </row>
    <row r="51" spans="1:6">
      <c r="A51" s="3303" t="s">
        <v>1845</v>
      </c>
      <c r="B51" s="3318"/>
      <c r="C51" s="3318"/>
      <c r="D51" s="3318"/>
      <c r="E51" s="3318"/>
      <c r="F51" s="3320"/>
    </row>
    <row r="52" spans="1:6">
      <c r="A52" s="3305" t="s">
        <v>1831</v>
      </c>
      <c r="B52" s="3308">
        <f>B33+B39</f>
        <v>229.84415117102367</v>
      </c>
      <c r="C52" s="3308">
        <f>C33+C39</f>
        <v>219.95020882897632</v>
      </c>
      <c r="D52" s="3308">
        <f>D33+D39</f>
        <v>219.95020882897632</v>
      </c>
      <c r="E52" s="3308">
        <f>E33+E39</f>
        <v>229.84415117102367</v>
      </c>
      <c r="F52" s="3308">
        <f>F33+F39</f>
        <v>899.58871999999997</v>
      </c>
    </row>
    <row r="53" spans="1:6">
      <c r="A53" s="3305" t="s">
        <v>1829</v>
      </c>
      <c r="B53" s="3307">
        <f>B54/B52</f>
        <v>5.498610360934717</v>
      </c>
      <c r="C53" s="3307">
        <f>C54/C52</f>
        <v>5.4986057772336805</v>
      </c>
      <c r="D53" s="3307">
        <f>D54/D52</f>
        <v>5.8834909050026578</v>
      </c>
      <c r="E53" s="3307">
        <f>E54/E52</f>
        <v>5.8835083003485416</v>
      </c>
      <c r="F53" s="3307">
        <f>F54/F52</f>
        <v>5.6910539567459226</v>
      </c>
    </row>
    <row r="54" spans="1:6">
      <c r="A54" s="3305" t="s">
        <v>1830</v>
      </c>
      <c r="B54" s="3306">
        <f>B35+B41</f>
        <v>1263.8234310292362</v>
      </c>
      <c r="C54" s="3306">
        <f>C35+C41</f>
        <v>1209.4194889707637</v>
      </c>
      <c r="D54" s="3306">
        <f>D35+D41</f>
        <v>1294.0750531987173</v>
      </c>
      <c r="E54" s="3306">
        <f>E35+E41</f>
        <v>1352.2899712012827</v>
      </c>
      <c r="F54" s="3306">
        <f>F35+F41</f>
        <v>5119.6079443999997</v>
      </c>
    </row>
    <row r="55" spans="1:6">
      <c r="A55" s="3305" t="s">
        <v>1833</v>
      </c>
      <c r="B55" s="3306">
        <f>B42</f>
        <v>218.83840882897633</v>
      </c>
      <c r="C55" s="3306">
        <f>C42</f>
        <v>207.28965117102368</v>
      </c>
      <c r="D55" s="3306">
        <f>D42</f>
        <v>207.28965117102368</v>
      </c>
      <c r="E55" s="3306">
        <f>E42</f>
        <v>218.83840882897633</v>
      </c>
      <c r="F55" s="3306">
        <f>F42</f>
        <v>852.25612000000001</v>
      </c>
    </row>
    <row r="56" spans="1:6">
      <c r="A56" s="3305" t="s">
        <v>1829</v>
      </c>
      <c r="B56" s="3307">
        <f>B57/B55</f>
        <v>4.4268123413740108</v>
      </c>
      <c r="C56" s="3307">
        <f>C57/C55</f>
        <v>4.4265138459430258</v>
      </c>
      <c r="D56" s="3307">
        <f>D57/D55</f>
        <v>4.7363432822377405</v>
      </c>
      <c r="E56" s="3307">
        <f>E57/E55</f>
        <v>4.7366457942435316</v>
      </c>
      <c r="F56" s="3307">
        <f>F57/F55</f>
        <v>4.5815828880172775</v>
      </c>
    </row>
    <row r="57" spans="1:6">
      <c r="A57" s="3305" t="s">
        <v>1830</v>
      </c>
      <c r="B57" s="3306">
        <f>B44</f>
        <v>968.75656897076374</v>
      </c>
      <c r="C57" s="3306">
        <f>C44</f>
        <v>917.57051102923629</v>
      </c>
      <c r="D57" s="3306">
        <f>D44</f>
        <v>981.79494680128255</v>
      </c>
      <c r="E57" s="3306">
        <f>E44</f>
        <v>1036.5600287987172</v>
      </c>
      <c r="F57" s="3306">
        <f>F44</f>
        <v>3904.6820555999998</v>
      </c>
    </row>
    <row r="58" spans="1:6">
      <c r="A58" s="3303" t="s">
        <v>1846</v>
      </c>
      <c r="B58" s="3317"/>
      <c r="C58" s="3317"/>
      <c r="D58" s="3317"/>
      <c r="E58" s="3317"/>
      <c r="F58" s="3317"/>
    </row>
    <row r="59" spans="1:6">
      <c r="A59" s="3309" t="s">
        <v>376</v>
      </c>
      <c r="B59" s="3310">
        <f>SUM(B52+B55)</f>
        <v>448.68255999999997</v>
      </c>
      <c r="C59" s="3310">
        <f>SUM(C52+C55)</f>
        <v>427.23986000000002</v>
      </c>
      <c r="D59" s="3310">
        <f>SUM(D52+D55)</f>
        <v>427.23986000000002</v>
      </c>
      <c r="E59" s="3310">
        <f>SUM(E52+E55)</f>
        <v>448.68255999999997</v>
      </c>
      <c r="F59" s="3310">
        <f>SUM(B59:E59)</f>
        <v>1751.84484</v>
      </c>
    </row>
    <row r="60" spans="1:6">
      <c r="A60" s="3309" t="s">
        <v>118</v>
      </c>
      <c r="B60" s="3311">
        <f>SUM(B61/B59)</f>
        <v>4.9758564273146701</v>
      </c>
      <c r="C60" s="3311">
        <f>SUM(C61/C59)</f>
        <v>4.9784446610388828</v>
      </c>
      <c r="D60" s="3311">
        <f>SUM(D61/D59)</f>
        <v>5.3269140196797178</v>
      </c>
      <c r="E60" s="3311">
        <f>SUM(E61/E59)</f>
        <v>5.3241427525063605</v>
      </c>
      <c r="F60" s="3311">
        <f>SUM(F61/F59)</f>
        <v>5.1513066648071408</v>
      </c>
    </row>
    <row r="61" spans="1:6">
      <c r="A61" s="3309" t="s">
        <v>45</v>
      </c>
      <c r="B61" s="3310">
        <f>SUM(B54+B57)</f>
        <v>2232.58</v>
      </c>
      <c r="C61" s="3310">
        <f>SUM(C54+C57)</f>
        <v>2126.9899999999998</v>
      </c>
      <c r="D61" s="3310">
        <f>SUM(D54+D57)</f>
        <v>2275.87</v>
      </c>
      <c r="E61" s="3310">
        <f>SUM(E54+E57)</f>
        <v>2388.85</v>
      </c>
      <c r="F61" s="3310">
        <f>SUM(B61:E61)</f>
        <v>9024.2899999999991</v>
      </c>
    </row>
    <row r="62" spans="1:6">
      <c r="A62" s="3303" t="s">
        <v>1847</v>
      </c>
      <c r="B62" s="3318"/>
      <c r="C62" s="3318"/>
      <c r="D62" s="3318"/>
      <c r="E62" s="3318"/>
      <c r="F62" s="3303"/>
    </row>
    <row r="63" spans="1:6">
      <c r="A63" s="3309" t="s">
        <v>1848</v>
      </c>
      <c r="B63" s="3310">
        <f>SUM(B24+B59)</f>
        <v>867.0025599999999</v>
      </c>
      <c r="C63" s="3310">
        <f>SUM(C24+C59)</f>
        <v>827.65273999999999</v>
      </c>
      <c r="D63" s="3310">
        <f>SUM(D24+D59)</f>
        <v>827.65273999999999</v>
      </c>
      <c r="E63" s="3310">
        <f>SUM(E24+E59)</f>
        <v>867.0025599999999</v>
      </c>
      <c r="F63" s="3310">
        <f>SUM(F24+F59)</f>
        <v>3389.3105999999998</v>
      </c>
    </row>
    <row r="64" spans="1:6">
      <c r="A64" s="3309" t="s">
        <v>1829</v>
      </c>
      <c r="B64" s="3311">
        <f>B65/B63</f>
        <v>4.8381864062777389</v>
      </c>
      <c r="C64" s="3311">
        <f>C65/C63</f>
        <v>4.8391551268228747</v>
      </c>
      <c r="D64" s="3311">
        <f>D65/D63</f>
        <v>5.1778913944029235</v>
      </c>
      <c r="E64" s="3311">
        <f>E65/E63</f>
        <v>5.1768543797610009</v>
      </c>
      <c r="F64" s="3311">
        <f>F65/F63</f>
        <v>5.0080101835458803</v>
      </c>
    </row>
    <row r="65" spans="1:6">
      <c r="A65" s="3309" t="s">
        <v>1830</v>
      </c>
      <c r="B65" s="3310">
        <f>SUM(B26+B61)</f>
        <v>4194.7199999999993</v>
      </c>
      <c r="C65" s="3310">
        <f>SUM(C26+C61)</f>
        <v>4005.14</v>
      </c>
      <c r="D65" s="3310">
        <f>SUM(D26+D61)</f>
        <v>4285.4960000000001</v>
      </c>
      <c r="E65" s="3310">
        <f>SUM(E26+E61)</f>
        <v>4488.3459999999995</v>
      </c>
      <c r="F65" s="3310">
        <f>SUM(F26+F61)</f>
        <v>16973.701999999997</v>
      </c>
    </row>
    <row r="66" spans="1:6">
      <c r="A66" s="3321"/>
    </row>
    <row r="67" spans="1:6" ht="15.75">
      <c r="A67" s="3322" t="s">
        <v>1408</v>
      </c>
      <c r="B67" s="3323" t="s">
        <v>1744</v>
      </c>
    </row>
    <row r="68" spans="1:6" ht="7.5" customHeight="1">
      <c r="A68" s="3323"/>
      <c r="B68" s="3323"/>
    </row>
    <row r="69" spans="1:6" ht="15.75">
      <c r="A69" s="3323"/>
      <c r="B69" s="3323"/>
    </row>
  </sheetData>
  <mergeCells count="14">
    <mergeCell ref="A1:F1"/>
    <mergeCell ref="A3:A4"/>
    <mergeCell ref="B3:B4"/>
    <mergeCell ref="C3:C4"/>
    <mergeCell ref="D3:D4"/>
    <mergeCell ref="E3:E4"/>
    <mergeCell ref="F3:F4"/>
    <mergeCell ref="A28:F28"/>
    <mergeCell ref="A30:A31"/>
    <mergeCell ref="B30:B31"/>
    <mergeCell ref="C30:C31"/>
    <mergeCell ref="D30:D31"/>
    <mergeCell ref="E30:E31"/>
    <mergeCell ref="F30:F31"/>
  </mergeCells>
  <printOptions horizontalCentered="1"/>
  <pageMargins left="0.31496062992125984" right="0.31496062992125984" top="0.35433070866141736" bottom="0.35433070866141736" header="0.31496062992125984" footer="0.31496062992125984"/>
  <pageSetup paperSize="9" scale="91" orientation="portrait" horizontalDpi="0" verticalDpi="0" r:id="rId1"/>
</worksheet>
</file>

<file path=xl/worksheets/sheet60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G42"/>
  <sheetViews>
    <sheetView view="pageBreakPreview" zoomScale="75" zoomScaleSheetLayoutView="75" workbookViewId="0">
      <selection sqref="A1:G41"/>
    </sheetView>
  </sheetViews>
  <sheetFormatPr defaultColWidth="0.85546875" defaultRowHeight="15"/>
  <cols>
    <col min="1" max="1" width="9.85546875" style="1864" customWidth="1"/>
    <col min="2" max="2" width="81.85546875" style="1903" customWidth="1"/>
    <col min="3" max="3" width="12.7109375" style="1864" customWidth="1"/>
    <col min="4" max="4" width="12.42578125" style="1864" customWidth="1"/>
    <col min="5" max="5" width="14.5703125" style="1864" customWidth="1"/>
    <col min="6" max="6" width="12.28515625" style="1864" customWidth="1"/>
    <col min="7" max="7" width="38.140625" style="1864" customWidth="1"/>
    <col min="8" max="8" width="46.85546875" style="1864" customWidth="1"/>
    <col min="9" max="11" width="12.7109375" style="1864" customWidth="1"/>
    <col min="12" max="12" width="9.28515625" style="1864" customWidth="1"/>
    <col min="13" max="13" width="13.5703125" style="1864" customWidth="1"/>
    <col min="14" max="14" width="10.28515625" style="1864" customWidth="1"/>
    <col min="15" max="15" width="12.85546875" style="1864" customWidth="1"/>
    <col min="16" max="16" width="9.140625" style="1864" customWidth="1"/>
    <col min="17" max="17" width="9.7109375" style="1864" customWidth="1"/>
    <col min="18" max="18" width="9.28515625" style="1864" customWidth="1"/>
    <col min="19" max="19" width="9.42578125" style="1864" customWidth="1"/>
    <col min="20" max="20" width="10.5703125" style="1864" customWidth="1"/>
    <col min="21" max="21" width="12.42578125" style="1864" customWidth="1"/>
    <col min="22" max="22" width="14.5703125" style="1864" customWidth="1"/>
    <col min="23" max="23" width="12.28515625" style="1864" customWidth="1"/>
    <col min="24" max="24" width="25.85546875" style="1864" customWidth="1"/>
    <col min="25" max="256" width="0.85546875" style="1864"/>
    <col min="257" max="257" width="9.85546875" style="1864" customWidth="1"/>
    <col min="258" max="258" width="81.85546875" style="1864" customWidth="1"/>
    <col min="259" max="259" width="12.7109375" style="1864" customWidth="1"/>
    <col min="260" max="260" width="12.42578125" style="1864" customWidth="1"/>
    <col min="261" max="261" width="14.5703125" style="1864" customWidth="1"/>
    <col min="262" max="262" width="12.28515625" style="1864" customWidth="1"/>
    <col min="263" max="263" width="38.140625" style="1864" customWidth="1"/>
    <col min="264" max="264" width="46.85546875" style="1864" customWidth="1"/>
    <col min="265" max="267" width="12.7109375" style="1864" customWidth="1"/>
    <col min="268" max="268" width="9.28515625" style="1864" customWidth="1"/>
    <col min="269" max="269" width="13.5703125" style="1864" customWidth="1"/>
    <col min="270" max="270" width="10.28515625" style="1864" customWidth="1"/>
    <col min="271" max="271" width="12.85546875" style="1864" customWidth="1"/>
    <col min="272" max="272" width="9.140625" style="1864" customWidth="1"/>
    <col min="273" max="273" width="9.7109375" style="1864" customWidth="1"/>
    <col min="274" max="274" width="9.28515625" style="1864" customWidth="1"/>
    <col min="275" max="275" width="9.42578125" style="1864" customWidth="1"/>
    <col min="276" max="276" width="10.5703125" style="1864" customWidth="1"/>
    <col min="277" max="277" width="12.42578125" style="1864" customWidth="1"/>
    <col min="278" max="278" width="14.5703125" style="1864" customWidth="1"/>
    <col min="279" max="279" width="12.28515625" style="1864" customWidth="1"/>
    <col min="280" max="280" width="25.85546875" style="1864" customWidth="1"/>
    <col min="281" max="512" width="0.85546875" style="1864"/>
    <col min="513" max="513" width="9.85546875" style="1864" customWidth="1"/>
    <col min="514" max="514" width="81.85546875" style="1864" customWidth="1"/>
    <col min="515" max="515" width="12.7109375" style="1864" customWidth="1"/>
    <col min="516" max="516" width="12.42578125" style="1864" customWidth="1"/>
    <col min="517" max="517" width="14.5703125" style="1864" customWidth="1"/>
    <col min="518" max="518" width="12.28515625" style="1864" customWidth="1"/>
    <col min="519" max="519" width="38.140625" style="1864" customWidth="1"/>
    <col min="520" max="520" width="46.85546875" style="1864" customWidth="1"/>
    <col min="521" max="523" width="12.7109375" style="1864" customWidth="1"/>
    <col min="524" max="524" width="9.28515625" style="1864" customWidth="1"/>
    <col min="525" max="525" width="13.5703125" style="1864" customWidth="1"/>
    <col min="526" max="526" width="10.28515625" style="1864" customWidth="1"/>
    <col min="527" max="527" width="12.85546875" style="1864" customWidth="1"/>
    <col min="528" max="528" width="9.140625" style="1864" customWidth="1"/>
    <col min="529" max="529" width="9.7109375" style="1864" customWidth="1"/>
    <col min="530" max="530" width="9.28515625" style="1864" customWidth="1"/>
    <col min="531" max="531" width="9.42578125" style="1864" customWidth="1"/>
    <col min="532" max="532" width="10.5703125" style="1864" customWidth="1"/>
    <col min="533" max="533" width="12.42578125" style="1864" customWidth="1"/>
    <col min="534" max="534" width="14.5703125" style="1864" customWidth="1"/>
    <col min="535" max="535" width="12.28515625" style="1864" customWidth="1"/>
    <col min="536" max="536" width="25.85546875" style="1864" customWidth="1"/>
    <col min="537" max="768" width="0.85546875" style="1864"/>
    <col min="769" max="769" width="9.85546875" style="1864" customWidth="1"/>
    <col min="770" max="770" width="81.85546875" style="1864" customWidth="1"/>
    <col min="771" max="771" width="12.7109375" style="1864" customWidth="1"/>
    <col min="772" max="772" width="12.42578125" style="1864" customWidth="1"/>
    <col min="773" max="773" width="14.5703125" style="1864" customWidth="1"/>
    <col min="774" max="774" width="12.28515625" style="1864" customWidth="1"/>
    <col min="775" max="775" width="38.140625" style="1864" customWidth="1"/>
    <col min="776" max="776" width="46.85546875" style="1864" customWidth="1"/>
    <col min="777" max="779" width="12.7109375" style="1864" customWidth="1"/>
    <col min="780" max="780" width="9.28515625" style="1864" customWidth="1"/>
    <col min="781" max="781" width="13.5703125" style="1864" customWidth="1"/>
    <col min="782" max="782" width="10.28515625" style="1864" customWidth="1"/>
    <col min="783" max="783" width="12.85546875" style="1864" customWidth="1"/>
    <col min="784" max="784" width="9.140625" style="1864" customWidth="1"/>
    <col min="785" max="785" width="9.7109375" style="1864" customWidth="1"/>
    <col min="786" max="786" width="9.28515625" style="1864" customWidth="1"/>
    <col min="787" max="787" width="9.42578125" style="1864" customWidth="1"/>
    <col min="788" max="788" width="10.5703125" style="1864" customWidth="1"/>
    <col min="789" max="789" width="12.42578125" style="1864" customWidth="1"/>
    <col min="790" max="790" width="14.5703125" style="1864" customWidth="1"/>
    <col min="791" max="791" width="12.28515625" style="1864" customWidth="1"/>
    <col min="792" max="792" width="25.85546875" style="1864" customWidth="1"/>
    <col min="793" max="1024" width="0.85546875" style="1864"/>
    <col min="1025" max="1025" width="9.85546875" style="1864" customWidth="1"/>
    <col min="1026" max="1026" width="81.85546875" style="1864" customWidth="1"/>
    <col min="1027" max="1027" width="12.7109375" style="1864" customWidth="1"/>
    <col min="1028" max="1028" width="12.42578125" style="1864" customWidth="1"/>
    <col min="1029" max="1029" width="14.5703125" style="1864" customWidth="1"/>
    <col min="1030" max="1030" width="12.28515625" style="1864" customWidth="1"/>
    <col min="1031" max="1031" width="38.140625" style="1864" customWidth="1"/>
    <col min="1032" max="1032" width="46.85546875" style="1864" customWidth="1"/>
    <col min="1033" max="1035" width="12.7109375" style="1864" customWidth="1"/>
    <col min="1036" max="1036" width="9.28515625" style="1864" customWidth="1"/>
    <col min="1037" max="1037" width="13.5703125" style="1864" customWidth="1"/>
    <col min="1038" max="1038" width="10.28515625" style="1864" customWidth="1"/>
    <col min="1039" max="1039" width="12.85546875" style="1864" customWidth="1"/>
    <col min="1040" max="1040" width="9.140625" style="1864" customWidth="1"/>
    <col min="1041" max="1041" width="9.7109375" style="1864" customWidth="1"/>
    <col min="1042" max="1042" width="9.28515625" style="1864" customWidth="1"/>
    <col min="1043" max="1043" width="9.42578125" style="1864" customWidth="1"/>
    <col min="1044" max="1044" width="10.5703125" style="1864" customWidth="1"/>
    <col min="1045" max="1045" width="12.42578125" style="1864" customWidth="1"/>
    <col min="1046" max="1046" width="14.5703125" style="1864" customWidth="1"/>
    <col min="1047" max="1047" width="12.28515625" style="1864" customWidth="1"/>
    <col min="1048" max="1048" width="25.85546875" style="1864" customWidth="1"/>
    <col min="1049" max="1280" width="0.85546875" style="1864"/>
    <col min="1281" max="1281" width="9.85546875" style="1864" customWidth="1"/>
    <col min="1282" max="1282" width="81.85546875" style="1864" customWidth="1"/>
    <col min="1283" max="1283" width="12.7109375" style="1864" customWidth="1"/>
    <col min="1284" max="1284" width="12.42578125" style="1864" customWidth="1"/>
    <col min="1285" max="1285" width="14.5703125" style="1864" customWidth="1"/>
    <col min="1286" max="1286" width="12.28515625" style="1864" customWidth="1"/>
    <col min="1287" max="1287" width="38.140625" style="1864" customWidth="1"/>
    <col min="1288" max="1288" width="46.85546875" style="1864" customWidth="1"/>
    <col min="1289" max="1291" width="12.7109375" style="1864" customWidth="1"/>
    <col min="1292" max="1292" width="9.28515625" style="1864" customWidth="1"/>
    <col min="1293" max="1293" width="13.5703125" style="1864" customWidth="1"/>
    <col min="1294" max="1294" width="10.28515625" style="1864" customWidth="1"/>
    <col min="1295" max="1295" width="12.85546875" style="1864" customWidth="1"/>
    <col min="1296" max="1296" width="9.140625" style="1864" customWidth="1"/>
    <col min="1297" max="1297" width="9.7109375" style="1864" customWidth="1"/>
    <col min="1298" max="1298" width="9.28515625" style="1864" customWidth="1"/>
    <col min="1299" max="1299" width="9.42578125" style="1864" customWidth="1"/>
    <col min="1300" max="1300" width="10.5703125" style="1864" customWidth="1"/>
    <col min="1301" max="1301" width="12.42578125" style="1864" customWidth="1"/>
    <col min="1302" max="1302" width="14.5703125" style="1864" customWidth="1"/>
    <col min="1303" max="1303" width="12.28515625" style="1864" customWidth="1"/>
    <col min="1304" max="1304" width="25.85546875" style="1864" customWidth="1"/>
    <col min="1305" max="1536" width="0.85546875" style="1864"/>
    <col min="1537" max="1537" width="9.85546875" style="1864" customWidth="1"/>
    <col min="1538" max="1538" width="81.85546875" style="1864" customWidth="1"/>
    <col min="1539" max="1539" width="12.7109375" style="1864" customWidth="1"/>
    <col min="1540" max="1540" width="12.42578125" style="1864" customWidth="1"/>
    <col min="1541" max="1541" width="14.5703125" style="1864" customWidth="1"/>
    <col min="1542" max="1542" width="12.28515625" style="1864" customWidth="1"/>
    <col min="1543" max="1543" width="38.140625" style="1864" customWidth="1"/>
    <col min="1544" max="1544" width="46.85546875" style="1864" customWidth="1"/>
    <col min="1545" max="1547" width="12.7109375" style="1864" customWidth="1"/>
    <col min="1548" max="1548" width="9.28515625" style="1864" customWidth="1"/>
    <col min="1549" max="1549" width="13.5703125" style="1864" customWidth="1"/>
    <col min="1550" max="1550" width="10.28515625" style="1864" customWidth="1"/>
    <col min="1551" max="1551" width="12.85546875" style="1864" customWidth="1"/>
    <col min="1552" max="1552" width="9.140625" style="1864" customWidth="1"/>
    <col min="1553" max="1553" width="9.7109375" style="1864" customWidth="1"/>
    <col min="1554" max="1554" width="9.28515625" style="1864" customWidth="1"/>
    <col min="1555" max="1555" width="9.42578125" style="1864" customWidth="1"/>
    <col min="1556" max="1556" width="10.5703125" style="1864" customWidth="1"/>
    <col min="1557" max="1557" width="12.42578125" style="1864" customWidth="1"/>
    <col min="1558" max="1558" width="14.5703125" style="1864" customWidth="1"/>
    <col min="1559" max="1559" width="12.28515625" style="1864" customWidth="1"/>
    <col min="1560" max="1560" width="25.85546875" style="1864" customWidth="1"/>
    <col min="1561" max="1792" width="0.85546875" style="1864"/>
    <col min="1793" max="1793" width="9.85546875" style="1864" customWidth="1"/>
    <col min="1794" max="1794" width="81.85546875" style="1864" customWidth="1"/>
    <col min="1795" max="1795" width="12.7109375" style="1864" customWidth="1"/>
    <col min="1796" max="1796" width="12.42578125" style="1864" customWidth="1"/>
    <col min="1797" max="1797" width="14.5703125" style="1864" customWidth="1"/>
    <col min="1798" max="1798" width="12.28515625" style="1864" customWidth="1"/>
    <col min="1799" max="1799" width="38.140625" style="1864" customWidth="1"/>
    <col min="1800" max="1800" width="46.85546875" style="1864" customWidth="1"/>
    <col min="1801" max="1803" width="12.7109375" style="1864" customWidth="1"/>
    <col min="1804" max="1804" width="9.28515625" style="1864" customWidth="1"/>
    <col min="1805" max="1805" width="13.5703125" style="1864" customWidth="1"/>
    <col min="1806" max="1806" width="10.28515625" style="1864" customWidth="1"/>
    <col min="1807" max="1807" width="12.85546875" style="1864" customWidth="1"/>
    <col min="1808" max="1808" width="9.140625" style="1864" customWidth="1"/>
    <col min="1809" max="1809" width="9.7109375" style="1864" customWidth="1"/>
    <col min="1810" max="1810" width="9.28515625" style="1864" customWidth="1"/>
    <col min="1811" max="1811" width="9.42578125" style="1864" customWidth="1"/>
    <col min="1812" max="1812" width="10.5703125" style="1864" customWidth="1"/>
    <col min="1813" max="1813" width="12.42578125" style="1864" customWidth="1"/>
    <col min="1814" max="1814" width="14.5703125" style="1864" customWidth="1"/>
    <col min="1815" max="1815" width="12.28515625" style="1864" customWidth="1"/>
    <col min="1816" max="1816" width="25.85546875" style="1864" customWidth="1"/>
    <col min="1817" max="2048" width="0.85546875" style="1864"/>
    <col min="2049" max="2049" width="9.85546875" style="1864" customWidth="1"/>
    <col min="2050" max="2050" width="81.85546875" style="1864" customWidth="1"/>
    <col min="2051" max="2051" width="12.7109375" style="1864" customWidth="1"/>
    <col min="2052" max="2052" width="12.42578125" style="1864" customWidth="1"/>
    <col min="2053" max="2053" width="14.5703125" style="1864" customWidth="1"/>
    <col min="2054" max="2054" width="12.28515625" style="1864" customWidth="1"/>
    <col min="2055" max="2055" width="38.140625" style="1864" customWidth="1"/>
    <col min="2056" max="2056" width="46.85546875" style="1864" customWidth="1"/>
    <col min="2057" max="2059" width="12.7109375" style="1864" customWidth="1"/>
    <col min="2060" max="2060" width="9.28515625" style="1864" customWidth="1"/>
    <col min="2061" max="2061" width="13.5703125" style="1864" customWidth="1"/>
    <col min="2062" max="2062" width="10.28515625" style="1864" customWidth="1"/>
    <col min="2063" max="2063" width="12.85546875" style="1864" customWidth="1"/>
    <col min="2064" max="2064" width="9.140625" style="1864" customWidth="1"/>
    <col min="2065" max="2065" width="9.7109375" style="1864" customWidth="1"/>
    <col min="2066" max="2066" width="9.28515625" style="1864" customWidth="1"/>
    <col min="2067" max="2067" width="9.42578125" style="1864" customWidth="1"/>
    <col min="2068" max="2068" width="10.5703125" style="1864" customWidth="1"/>
    <col min="2069" max="2069" width="12.42578125" style="1864" customWidth="1"/>
    <col min="2070" max="2070" width="14.5703125" style="1864" customWidth="1"/>
    <col min="2071" max="2071" width="12.28515625" style="1864" customWidth="1"/>
    <col min="2072" max="2072" width="25.85546875" style="1864" customWidth="1"/>
    <col min="2073" max="2304" width="0.85546875" style="1864"/>
    <col min="2305" max="2305" width="9.85546875" style="1864" customWidth="1"/>
    <col min="2306" max="2306" width="81.85546875" style="1864" customWidth="1"/>
    <col min="2307" max="2307" width="12.7109375" style="1864" customWidth="1"/>
    <col min="2308" max="2308" width="12.42578125" style="1864" customWidth="1"/>
    <col min="2309" max="2309" width="14.5703125" style="1864" customWidth="1"/>
    <col min="2310" max="2310" width="12.28515625" style="1864" customWidth="1"/>
    <col min="2311" max="2311" width="38.140625" style="1864" customWidth="1"/>
    <col min="2312" max="2312" width="46.85546875" style="1864" customWidth="1"/>
    <col min="2313" max="2315" width="12.7109375" style="1864" customWidth="1"/>
    <col min="2316" max="2316" width="9.28515625" style="1864" customWidth="1"/>
    <col min="2317" max="2317" width="13.5703125" style="1864" customWidth="1"/>
    <col min="2318" max="2318" width="10.28515625" style="1864" customWidth="1"/>
    <col min="2319" max="2319" width="12.85546875" style="1864" customWidth="1"/>
    <col min="2320" max="2320" width="9.140625" style="1864" customWidth="1"/>
    <col min="2321" max="2321" width="9.7109375" style="1864" customWidth="1"/>
    <col min="2322" max="2322" width="9.28515625" style="1864" customWidth="1"/>
    <col min="2323" max="2323" width="9.42578125" style="1864" customWidth="1"/>
    <col min="2324" max="2324" width="10.5703125" style="1864" customWidth="1"/>
    <col min="2325" max="2325" width="12.42578125" style="1864" customWidth="1"/>
    <col min="2326" max="2326" width="14.5703125" style="1864" customWidth="1"/>
    <col min="2327" max="2327" width="12.28515625" style="1864" customWidth="1"/>
    <col min="2328" max="2328" width="25.85546875" style="1864" customWidth="1"/>
    <col min="2329" max="2560" width="0.85546875" style="1864"/>
    <col min="2561" max="2561" width="9.85546875" style="1864" customWidth="1"/>
    <col min="2562" max="2562" width="81.85546875" style="1864" customWidth="1"/>
    <col min="2563" max="2563" width="12.7109375" style="1864" customWidth="1"/>
    <col min="2564" max="2564" width="12.42578125" style="1864" customWidth="1"/>
    <col min="2565" max="2565" width="14.5703125" style="1864" customWidth="1"/>
    <col min="2566" max="2566" width="12.28515625" style="1864" customWidth="1"/>
    <col min="2567" max="2567" width="38.140625" style="1864" customWidth="1"/>
    <col min="2568" max="2568" width="46.85546875" style="1864" customWidth="1"/>
    <col min="2569" max="2571" width="12.7109375" style="1864" customWidth="1"/>
    <col min="2572" max="2572" width="9.28515625" style="1864" customWidth="1"/>
    <col min="2573" max="2573" width="13.5703125" style="1864" customWidth="1"/>
    <col min="2574" max="2574" width="10.28515625" style="1864" customWidth="1"/>
    <col min="2575" max="2575" width="12.85546875" style="1864" customWidth="1"/>
    <col min="2576" max="2576" width="9.140625" style="1864" customWidth="1"/>
    <col min="2577" max="2577" width="9.7109375" style="1864" customWidth="1"/>
    <col min="2578" max="2578" width="9.28515625" style="1864" customWidth="1"/>
    <col min="2579" max="2579" width="9.42578125" style="1864" customWidth="1"/>
    <col min="2580" max="2580" width="10.5703125" style="1864" customWidth="1"/>
    <col min="2581" max="2581" width="12.42578125" style="1864" customWidth="1"/>
    <col min="2582" max="2582" width="14.5703125" style="1864" customWidth="1"/>
    <col min="2583" max="2583" width="12.28515625" style="1864" customWidth="1"/>
    <col min="2584" max="2584" width="25.85546875" style="1864" customWidth="1"/>
    <col min="2585" max="2816" width="0.85546875" style="1864"/>
    <col min="2817" max="2817" width="9.85546875" style="1864" customWidth="1"/>
    <col min="2818" max="2818" width="81.85546875" style="1864" customWidth="1"/>
    <col min="2819" max="2819" width="12.7109375" style="1864" customWidth="1"/>
    <col min="2820" max="2820" width="12.42578125" style="1864" customWidth="1"/>
    <col min="2821" max="2821" width="14.5703125" style="1864" customWidth="1"/>
    <col min="2822" max="2822" width="12.28515625" style="1864" customWidth="1"/>
    <col min="2823" max="2823" width="38.140625" style="1864" customWidth="1"/>
    <col min="2824" max="2824" width="46.85546875" style="1864" customWidth="1"/>
    <col min="2825" max="2827" width="12.7109375" style="1864" customWidth="1"/>
    <col min="2828" max="2828" width="9.28515625" style="1864" customWidth="1"/>
    <col min="2829" max="2829" width="13.5703125" style="1864" customWidth="1"/>
    <col min="2830" max="2830" width="10.28515625" style="1864" customWidth="1"/>
    <col min="2831" max="2831" width="12.85546875" style="1864" customWidth="1"/>
    <col min="2832" max="2832" width="9.140625" style="1864" customWidth="1"/>
    <col min="2833" max="2833" width="9.7109375" style="1864" customWidth="1"/>
    <col min="2834" max="2834" width="9.28515625" style="1864" customWidth="1"/>
    <col min="2835" max="2835" width="9.42578125" style="1864" customWidth="1"/>
    <col min="2836" max="2836" width="10.5703125" style="1864" customWidth="1"/>
    <col min="2837" max="2837" width="12.42578125" style="1864" customWidth="1"/>
    <col min="2838" max="2838" width="14.5703125" style="1864" customWidth="1"/>
    <col min="2839" max="2839" width="12.28515625" style="1864" customWidth="1"/>
    <col min="2840" max="2840" width="25.85546875" style="1864" customWidth="1"/>
    <col min="2841" max="3072" width="0.85546875" style="1864"/>
    <col min="3073" max="3073" width="9.85546875" style="1864" customWidth="1"/>
    <col min="3074" max="3074" width="81.85546875" style="1864" customWidth="1"/>
    <col min="3075" max="3075" width="12.7109375" style="1864" customWidth="1"/>
    <col min="3076" max="3076" width="12.42578125" style="1864" customWidth="1"/>
    <col min="3077" max="3077" width="14.5703125" style="1864" customWidth="1"/>
    <col min="3078" max="3078" width="12.28515625" style="1864" customWidth="1"/>
    <col min="3079" max="3079" width="38.140625" style="1864" customWidth="1"/>
    <col min="3080" max="3080" width="46.85546875" style="1864" customWidth="1"/>
    <col min="3081" max="3083" width="12.7109375" style="1864" customWidth="1"/>
    <col min="3084" max="3084" width="9.28515625" style="1864" customWidth="1"/>
    <col min="3085" max="3085" width="13.5703125" style="1864" customWidth="1"/>
    <col min="3086" max="3086" width="10.28515625" style="1864" customWidth="1"/>
    <col min="3087" max="3087" width="12.85546875" style="1864" customWidth="1"/>
    <col min="3088" max="3088" width="9.140625" style="1864" customWidth="1"/>
    <col min="3089" max="3089" width="9.7109375" style="1864" customWidth="1"/>
    <col min="3090" max="3090" width="9.28515625" style="1864" customWidth="1"/>
    <col min="3091" max="3091" width="9.42578125" style="1864" customWidth="1"/>
    <col min="3092" max="3092" width="10.5703125" style="1864" customWidth="1"/>
    <col min="3093" max="3093" width="12.42578125" style="1864" customWidth="1"/>
    <col min="3094" max="3094" width="14.5703125" style="1864" customWidth="1"/>
    <col min="3095" max="3095" width="12.28515625" style="1864" customWidth="1"/>
    <col min="3096" max="3096" width="25.85546875" style="1864" customWidth="1"/>
    <col min="3097" max="3328" width="0.85546875" style="1864"/>
    <col min="3329" max="3329" width="9.85546875" style="1864" customWidth="1"/>
    <col min="3330" max="3330" width="81.85546875" style="1864" customWidth="1"/>
    <col min="3331" max="3331" width="12.7109375" style="1864" customWidth="1"/>
    <col min="3332" max="3332" width="12.42578125" style="1864" customWidth="1"/>
    <col min="3333" max="3333" width="14.5703125" style="1864" customWidth="1"/>
    <col min="3334" max="3334" width="12.28515625" style="1864" customWidth="1"/>
    <col min="3335" max="3335" width="38.140625" style="1864" customWidth="1"/>
    <col min="3336" max="3336" width="46.85546875" style="1864" customWidth="1"/>
    <col min="3337" max="3339" width="12.7109375" style="1864" customWidth="1"/>
    <col min="3340" max="3340" width="9.28515625" style="1864" customWidth="1"/>
    <col min="3341" max="3341" width="13.5703125" style="1864" customWidth="1"/>
    <col min="3342" max="3342" width="10.28515625" style="1864" customWidth="1"/>
    <col min="3343" max="3343" width="12.85546875" style="1864" customWidth="1"/>
    <col min="3344" max="3344" width="9.140625" style="1864" customWidth="1"/>
    <col min="3345" max="3345" width="9.7109375" style="1864" customWidth="1"/>
    <col min="3346" max="3346" width="9.28515625" style="1864" customWidth="1"/>
    <col min="3347" max="3347" width="9.42578125" style="1864" customWidth="1"/>
    <col min="3348" max="3348" width="10.5703125" style="1864" customWidth="1"/>
    <col min="3349" max="3349" width="12.42578125" style="1864" customWidth="1"/>
    <col min="3350" max="3350" width="14.5703125" style="1864" customWidth="1"/>
    <col min="3351" max="3351" width="12.28515625" style="1864" customWidth="1"/>
    <col min="3352" max="3352" width="25.85546875" style="1864" customWidth="1"/>
    <col min="3353" max="3584" width="0.85546875" style="1864"/>
    <col min="3585" max="3585" width="9.85546875" style="1864" customWidth="1"/>
    <col min="3586" max="3586" width="81.85546875" style="1864" customWidth="1"/>
    <col min="3587" max="3587" width="12.7109375" style="1864" customWidth="1"/>
    <col min="3588" max="3588" width="12.42578125" style="1864" customWidth="1"/>
    <col min="3589" max="3589" width="14.5703125" style="1864" customWidth="1"/>
    <col min="3590" max="3590" width="12.28515625" style="1864" customWidth="1"/>
    <col min="3591" max="3591" width="38.140625" style="1864" customWidth="1"/>
    <col min="3592" max="3592" width="46.85546875" style="1864" customWidth="1"/>
    <col min="3593" max="3595" width="12.7109375" style="1864" customWidth="1"/>
    <col min="3596" max="3596" width="9.28515625" style="1864" customWidth="1"/>
    <col min="3597" max="3597" width="13.5703125" style="1864" customWidth="1"/>
    <col min="3598" max="3598" width="10.28515625" style="1864" customWidth="1"/>
    <col min="3599" max="3599" width="12.85546875" style="1864" customWidth="1"/>
    <col min="3600" max="3600" width="9.140625" style="1864" customWidth="1"/>
    <col min="3601" max="3601" width="9.7109375" style="1864" customWidth="1"/>
    <col min="3602" max="3602" width="9.28515625" style="1864" customWidth="1"/>
    <col min="3603" max="3603" width="9.42578125" style="1864" customWidth="1"/>
    <col min="3604" max="3604" width="10.5703125" style="1864" customWidth="1"/>
    <col min="3605" max="3605" width="12.42578125" style="1864" customWidth="1"/>
    <col min="3606" max="3606" width="14.5703125" style="1864" customWidth="1"/>
    <col min="3607" max="3607" width="12.28515625" style="1864" customWidth="1"/>
    <col min="3608" max="3608" width="25.85546875" style="1864" customWidth="1"/>
    <col min="3609" max="3840" width="0.85546875" style="1864"/>
    <col min="3841" max="3841" width="9.85546875" style="1864" customWidth="1"/>
    <col min="3842" max="3842" width="81.85546875" style="1864" customWidth="1"/>
    <col min="3843" max="3843" width="12.7109375" style="1864" customWidth="1"/>
    <col min="3844" max="3844" width="12.42578125" style="1864" customWidth="1"/>
    <col min="3845" max="3845" width="14.5703125" style="1864" customWidth="1"/>
    <col min="3846" max="3846" width="12.28515625" style="1864" customWidth="1"/>
    <col min="3847" max="3847" width="38.140625" style="1864" customWidth="1"/>
    <col min="3848" max="3848" width="46.85546875" style="1864" customWidth="1"/>
    <col min="3849" max="3851" width="12.7109375" style="1864" customWidth="1"/>
    <col min="3852" max="3852" width="9.28515625" style="1864" customWidth="1"/>
    <col min="3853" max="3853" width="13.5703125" style="1864" customWidth="1"/>
    <col min="3854" max="3854" width="10.28515625" style="1864" customWidth="1"/>
    <col min="3855" max="3855" width="12.85546875" style="1864" customWidth="1"/>
    <col min="3856" max="3856" width="9.140625" style="1864" customWidth="1"/>
    <col min="3857" max="3857" width="9.7109375" style="1864" customWidth="1"/>
    <col min="3858" max="3858" width="9.28515625" style="1864" customWidth="1"/>
    <col min="3859" max="3859" width="9.42578125" style="1864" customWidth="1"/>
    <col min="3860" max="3860" width="10.5703125" style="1864" customWidth="1"/>
    <col min="3861" max="3861" width="12.42578125" style="1864" customWidth="1"/>
    <col min="3862" max="3862" width="14.5703125" style="1864" customWidth="1"/>
    <col min="3863" max="3863" width="12.28515625" style="1864" customWidth="1"/>
    <col min="3864" max="3864" width="25.85546875" style="1864" customWidth="1"/>
    <col min="3865" max="4096" width="0.85546875" style="1864"/>
    <col min="4097" max="4097" width="9.85546875" style="1864" customWidth="1"/>
    <col min="4098" max="4098" width="81.85546875" style="1864" customWidth="1"/>
    <col min="4099" max="4099" width="12.7109375" style="1864" customWidth="1"/>
    <col min="4100" max="4100" width="12.42578125" style="1864" customWidth="1"/>
    <col min="4101" max="4101" width="14.5703125" style="1864" customWidth="1"/>
    <col min="4102" max="4102" width="12.28515625" style="1864" customWidth="1"/>
    <col min="4103" max="4103" width="38.140625" style="1864" customWidth="1"/>
    <col min="4104" max="4104" width="46.85546875" style="1864" customWidth="1"/>
    <col min="4105" max="4107" width="12.7109375" style="1864" customWidth="1"/>
    <col min="4108" max="4108" width="9.28515625" style="1864" customWidth="1"/>
    <col min="4109" max="4109" width="13.5703125" style="1864" customWidth="1"/>
    <col min="4110" max="4110" width="10.28515625" style="1864" customWidth="1"/>
    <col min="4111" max="4111" width="12.85546875" style="1864" customWidth="1"/>
    <col min="4112" max="4112" width="9.140625" style="1864" customWidth="1"/>
    <col min="4113" max="4113" width="9.7109375" style="1864" customWidth="1"/>
    <col min="4114" max="4114" width="9.28515625" style="1864" customWidth="1"/>
    <col min="4115" max="4115" width="9.42578125" style="1864" customWidth="1"/>
    <col min="4116" max="4116" width="10.5703125" style="1864" customWidth="1"/>
    <col min="4117" max="4117" width="12.42578125" style="1864" customWidth="1"/>
    <col min="4118" max="4118" width="14.5703125" style="1864" customWidth="1"/>
    <col min="4119" max="4119" width="12.28515625" style="1864" customWidth="1"/>
    <col min="4120" max="4120" width="25.85546875" style="1864" customWidth="1"/>
    <col min="4121" max="4352" width="0.85546875" style="1864"/>
    <col min="4353" max="4353" width="9.85546875" style="1864" customWidth="1"/>
    <col min="4354" max="4354" width="81.85546875" style="1864" customWidth="1"/>
    <col min="4355" max="4355" width="12.7109375" style="1864" customWidth="1"/>
    <col min="4356" max="4356" width="12.42578125" style="1864" customWidth="1"/>
    <col min="4357" max="4357" width="14.5703125" style="1864" customWidth="1"/>
    <col min="4358" max="4358" width="12.28515625" style="1864" customWidth="1"/>
    <col min="4359" max="4359" width="38.140625" style="1864" customWidth="1"/>
    <col min="4360" max="4360" width="46.85546875" style="1864" customWidth="1"/>
    <col min="4361" max="4363" width="12.7109375" style="1864" customWidth="1"/>
    <col min="4364" max="4364" width="9.28515625" style="1864" customWidth="1"/>
    <col min="4365" max="4365" width="13.5703125" style="1864" customWidth="1"/>
    <col min="4366" max="4366" width="10.28515625" style="1864" customWidth="1"/>
    <col min="4367" max="4367" width="12.85546875" style="1864" customWidth="1"/>
    <col min="4368" max="4368" width="9.140625" style="1864" customWidth="1"/>
    <col min="4369" max="4369" width="9.7109375" style="1864" customWidth="1"/>
    <col min="4370" max="4370" width="9.28515625" style="1864" customWidth="1"/>
    <col min="4371" max="4371" width="9.42578125" style="1864" customWidth="1"/>
    <col min="4372" max="4372" width="10.5703125" style="1864" customWidth="1"/>
    <col min="4373" max="4373" width="12.42578125" style="1864" customWidth="1"/>
    <col min="4374" max="4374" width="14.5703125" style="1864" customWidth="1"/>
    <col min="4375" max="4375" width="12.28515625" style="1864" customWidth="1"/>
    <col min="4376" max="4376" width="25.85546875" style="1864" customWidth="1"/>
    <col min="4377" max="4608" width="0.85546875" style="1864"/>
    <col min="4609" max="4609" width="9.85546875" style="1864" customWidth="1"/>
    <col min="4610" max="4610" width="81.85546875" style="1864" customWidth="1"/>
    <col min="4611" max="4611" width="12.7109375" style="1864" customWidth="1"/>
    <col min="4612" max="4612" width="12.42578125" style="1864" customWidth="1"/>
    <col min="4613" max="4613" width="14.5703125" style="1864" customWidth="1"/>
    <col min="4614" max="4614" width="12.28515625" style="1864" customWidth="1"/>
    <col min="4615" max="4615" width="38.140625" style="1864" customWidth="1"/>
    <col min="4616" max="4616" width="46.85546875" style="1864" customWidth="1"/>
    <col min="4617" max="4619" width="12.7109375" style="1864" customWidth="1"/>
    <col min="4620" max="4620" width="9.28515625" style="1864" customWidth="1"/>
    <col min="4621" max="4621" width="13.5703125" style="1864" customWidth="1"/>
    <col min="4622" max="4622" width="10.28515625" style="1864" customWidth="1"/>
    <col min="4623" max="4623" width="12.85546875" style="1864" customWidth="1"/>
    <col min="4624" max="4624" width="9.140625" style="1864" customWidth="1"/>
    <col min="4625" max="4625" width="9.7109375" style="1864" customWidth="1"/>
    <col min="4626" max="4626" width="9.28515625" style="1864" customWidth="1"/>
    <col min="4627" max="4627" width="9.42578125" style="1864" customWidth="1"/>
    <col min="4628" max="4628" width="10.5703125" style="1864" customWidth="1"/>
    <col min="4629" max="4629" width="12.42578125" style="1864" customWidth="1"/>
    <col min="4630" max="4630" width="14.5703125" style="1864" customWidth="1"/>
    <col min="4631" max="4631" width="12.28515625" style="1864" customWidth="1"/>
    <col min="4632" max="4632" width="25.85546875" style="1864" customWidth="1"/>
    <col min="4633" max="4864" width="0.85546875" style="1864"/>
    <col min="4865" max="4865" width="9.85546875" style="1864" customWidth="1"/>
    <col min="4866" max="4866" width="81.85546875" style="1864" customWidth="1"/>
    <col min="4867" max="4867" width="12.7109375" style="1864" customWidth="1"/>
    <col min="4868" max="4868" width="12.42578125" style="1864" customWidth="1"/>
    <col min="4869" max="4869" width="14.5703125" style="1864" customWidth="1"/>
    <col min="4870" max="4870" width="12.28515625" style="1864" customWidth="1"/>
    <col min="4871" max="4871" width="38.140625" style="1864" customWidth="1"/>
    <col min="4872" max="4872" width="46.85546875" style="1864" customWidth="1"/>
    <col min="4873" max="4875" width="12.7109375" style="1864" customWidth="1"/>
    <col min="4876" max="4876" width="9.28515625" style="1864" customWidth="1"/>
    <col min="4877" max="4877" width="13.5703125" style="1864" customWidth="1"/>
    <col min="4878" max="4878" width="10.28515625" style="1864" customWidth="1"/>
    <col min="4879" max="4879" width="12.85546875" style="1864" customWidth="1"/>
    <col min="4880" max="4880" width="9.140625" style="1864" customWidth="1"/>
    <col min="4881" max="4881" width="9.7109375" style="1864" customWidth="1"/>
    <col min="4882" max="4882" width="9.28515625" style="1864" customWidth="1"/>
    <col min="4883" max="4883" width="9.42578125" style="1864" customWidth="1"/>
    <col min="4884" max="4884" width="10.5703125" style="1864" customWidth="1"/>
    <col min="4885" max="4885" width="12.42578125" style="1864" customWidth="1"/>
    <col min="4886" max="4886" width="14.5703125" style="1864" customWidth="1"/>
    <col min="4887" max="4887" width="12.28515625" style="1864" customWidth="1"/>
    <col min="4888" max="4888" width="25.85546875" style="1864" customWidth="1"/>
    <col min="4889" max="5120" width="0.85546875" style="1864"/>
    <col min="5121" max="5121" width="9.85546875" style="1864" customWidth="1"/>
    <col min="5122" max="5122" width="81.85546875" style="1864" customWidth="1"/>
    <col min="5123" max="5123" width="12.7109375" style="1864" customWidth="1"/>
    <col min="5124" max="5124" width="12.42578125" style="1864" customWidth="1"/>
    <col min="5125" max="5125" width="14.5703125" style="1864" customWidth="1"/>
    <col min="5126" max="5126" width="12.28515625" style="1864" customWidth="1"/>
    <col min="5127" max="5127" width="38.140625" style="1864" customWidth="1"/>
    <col min="5128" max="5128" width="46.85546875" style="1864" customWidth="1"/>
    <col min="5129" max="5131" width="12.7109375" style="1864" customWidth="1"/>
    <col min="5132" max="5132" width="9.28515625" style="1864" customWidth="1"/>
    <col min="5133" max="5133" width="13.5703125" style="1864" customWidth="1"/>
    <col min="5134" max="5134" width="10.28515625" style="1864" customWidth="1"/>
    <col min="5135" max="5135" width="12.85546875" style="1864" customWidth="1"/>
    <col min="5136" max="5136" width="9.140625" style="1864" customWidth="1"/>
    <col min="5137" max="5137" width="9.7109375" style="1864" customWidth="1"/>
    <col min="5138" max="5138" width="9.28515625" style="1864" customWidth="1"/>
    <col min="5139" max="5139" width="9.42578125" style="1864" customWidth="1"/>
    <col min="5140" max="5140" width="10.5703125" style="1864" customWidth="1"/>
    <col min="5141" max="5141" width="12.42578125" style="1864" customWidth="1"/>
    <col min="5142" max="5142" width="14.5703125" style="1864" customWidth="1"/>
    <col min="5143" max="5143" width="12.28515625" style="1864" customWidth="1"/>
    <col min="5144" max="5144" width="25.85546875" style="1864" customWidth="1"/>
    <col min="5145" max="5376" width="0.85546875" style="1864"/>
    <col min="5377" max="5377" width="9.85546875" style="1864" customWidth="1"/>
    <col min="5378" max="5378" width="81.85546875" style="1864" customWidth="1"/>
    <col min="5379" max="5379" width="12.7109375" style="1864" customWidth="1"/>
    <col min="5380" max="5380" width="12.42578125" style="1864" customWidth="1"/>
    <col min="5381" max="5381" width="14.5703125" style="1864" customWidth="1"/>
    <col min="5382" max="5382" width="12.28515625" style="1864" customWidth="1"/>
    <col min="5383" max="5383" width="38.140625" style="1864" customWidth="1"/>
    <col min="5384" max="5384" width="46.85546875" style="1864" customWidth="1"/>
    <col min="5385" max="5387" width="12.7109375" style="1864" customWidth="1"/>
    <col min="5388" max="5388" width="9.28515625" style="1864" customWidth="1"/>
    <col min="5389" max="5389" width="13.5703125" style="1864" customWidth="1"/>
    <col min="5390" max="5390" width="10.28515625" style="1864" customWidth="1"/>
    <col min="5391" max="5391" width="12.85546875" style="1864" customWidth="1"/>
    <col min="5392" max="5392" width="9.140625" style="1864" customWidth="1"/>
    <col min="5393" max="5393" width="9.7109375" style="1864" customWidth="1"/>
    <col min="5394" max="5394" width="9.28515625" style="1864" customWidth="1"/>
    <col min="5395" max="5395" width="9.42578125" style="1864" customWidth="1"/>
    <col min="5396" max="5396" width="10.5703125" style="1864" customWidth="1"/>
    <col min="5397" max="5397" width="12.42578125" style="1864" customWidth="1"/>
    <col min="5398" max="5398" width="14.5703125" style="1864" customWidth="1"/>
    <col min="5399" max="5399" width="12.28515625" style="1864" customWidth="1"/>
    <col min="5400" max="5400" width="25.85546875" style="1864" customWidth="1"/>
    <col min="5401" max="5632" width="0.85546875" style="1864"/>
    <col min="5633" max="5633" width="9.85546875" style="1864" customWidth="1"/>
    <col min="5634" max="5634" width="81.85546875" style="1864" customWidth="1"/>
    <col min="5635" max="5635" width="12.7109375" style="1864" customWidth="1"/>
    <col min="5636" max="5636" width="12.42578125" style="1864" customWidth="1"/>
    <col min="5637" max="5637" width="14.5703125" style="1864" customWidth="1"/>
    <col min="5638" max="5638" width="12.28515625" style="1864" customWidth="1"/>
    <col min="5639" max="5639" width="38.140625" style="1864" customWidth="1"/>
    <col min="5640" max="5640" width="46.85546875" style="1864" customWidth="1"/>
    <col min="5641" max="5643" width="12.7109375" style="1864" customWidth="1"/>
    <col min="5644" max="5644" width="9.28515625" style="1864" customWidth="1"/>
    <col min="5645" max="5645" width="13.5703125" style="1864" customWidth="1"/>
    <col min="5646" max="5646" width="10.28515625" style="1864" customWidth="1"/>
    <col min="5647" max="5647" width="12.85546875" style="1864" customWidth="1"/>
    <col min="5648" max="5648" width="9.140625" style="1864" customWidth="1"/>
    <col min="5649" max="5649" width="9.7109375" style="1864" customWidth="1"/>
    <col min="5650" max="5650" width="9.28515625" style="1864" customWidth="1"/>
    <col min="5651" max="5651" width="9.42578125" style="1864" customWidth="1"/>
    <col min="5652" max="5652" width="10.5703125" style="1864" customWidth="1"/>
    <col min="5653" max="5653" width="12.42578125" style="1864" customWidth="1"/>
    <col min="5654" max="5654" width="14.5703125" style="1864" customWidth="1"/>
    <col min="5655" max="5655" width="12.28515625" style="1864" customWidth="1"/>
    <col min="5656" max="5656" width="25.85546875" style="1864" customWidth="1"/>
    <col min="5657" max="5888" width="0.85546875" style="1864"/>
    <col min="5889" max="5889" width="9.85546875" style="1864" customWidth="1"/>
    <col min="5890" max="5890" width="81.85546875" style="1864" customWidth="1"/>
    <col min="5891" max="5891" width="12.7109375" style="1864" customWidth="1"/>
    <col min="5892" max="5892" width="12.42578125" style="1864" customWidth="1"/>
    <col min="5893" max="5893" width="14.5703125" style="1864" customWidth="1"/>
    <col min="5894" max="5894" width="12.28515625" style="1864" customWidth="1"/>
    <col min="5895" max="5895" width="38.140625" style="1864" customWidth="1"/>
    <col min="5896" max="5896" width="46.85546875" style="1864" customWidth="1"/>
    <col min="5897" max="5899" width="12.7109375" style="1864" customWidth="1"/>
    <col min="5900" max="5900" width="9.28515625" style="1864" customWidth="1"/>
    <col min="5901" max="5901" width="13.5703125" style="1864" customWidth="1"/>
    <col min="5902" max="5902" width="10.28515625" style="1864" customWidth="1"/>
    <col min="5903" max="5903" width="12.85546875" style="1864" customWidth="1"/>
    <col min="5904" max="5904" width="9.140625" style="1864" customWidth="1"/>
    <col min="5905" max="5905" width="9.7109375" style="1864" customWidth="1"/>
    <col min="5906" max="5906" width="9.28515625" style="1864" customWidth="1"/>
    <col min="5907" max="5907" width="9.42578125" style="1864" customWidth="1"/>
    <col min="5908" max="5908" width="10.5703125" style="1864" customWidth="1"/>
    <col min="5909" max="5909" width="12.42578125" style="1864" customWidth="1"/>
    <col min="5910" max="5910" width="14.5703125" style="1864" customWidth="1"/>
    <col min="5911" max="5911" width="12.28515625" style="1864" customWidth="1"/>
    <col min="5912" max="5912" width="25.85546875" style="1864" customWidth="1"/>
    <col min="5913" max="6144" width="0.85546875" style="1864"/>
    <col min="6145" max="6145" width="9.85546875" style="1864" customWidth="1"/>
    <col min="6146" max="6146" width="81.85546875" style="1864" customWidth="1"/>
    <col min="6147" max="6147" width="12.7109375" style="1864" customWidth="1"/>
    <col min="6148" max="6148" width="12.42578125" style="1864" customWidth="1"/>
    <col min="6149" max="6149" width="14.5703125" style="1864" customWidth="1"/>
    <col min="6150" max="6150" width="12.28515625" style="1864" customWidth="1"/>
    <col min="6151" max="6151" width="38.140625" style="1864" customWidth="1"/>
    <col min="6152" max="6152" width="46.85546875" style="1864" customWidth="1"/>
    <col min="6153" max="6155" width="12.7109375" style="1864" customWidth="1"/>
    <col min="6156" max="6156" width="9.28515625" style="1864" customWidth="1"/>
    <col min="6157" max="6157" width="13.5703125" style="1864" customWidth="1"/>
    <col min="6158" max="6158" width="10.28515625" style="1864" customWidth="1"/>
    <col min="6159" max="6159" width="12.85546875" style="1864" customWidth="1"/>
    <col min="6160" max="6160" width="9.140625" style="1864" customWidth="1"/>
    <col min="6161" max="6161" width="9.7109375" style="1864" customWidth="1"/>
    <col min="6162" max="6162" width="9.28515625" style="1864" customWidth="1"/>
    <col min="6163" max="6163" width="9.42578125" style="1864" customWidth="1"/>
    <col min="6164" max="6164" width="10.5703125" style="1864" customWidth="1"/>
    <col min="6165" max="6165" width="12.42578125" style="1864" customWidth="1"/>
    <col min="6166" max="6166" width="14.5703125" style="1864" customWidth="1"/>
    <col min="6167" max="6167" width="12.28515625" style="1864" customWidth="1"/>
    <col min="6168" max="6168" width="25.85546875" style="1864" customWidth="1"/>
    <col min="6169" max="6400" width="0.85546875" style="1864"/>
    <col min="6401" max="6401" width="9.85546875" style="1864" customWidth="1"/>
    <col min="6402" max="6402" width="81.85546875" style="1864" customWidth="1"/>
    <col min="6403" max="6403" width="12.7109375" style="1864" customWidth="1"/>
    <col min="6404" max="6404" width="12.42578125" style="1864" customWidth="1"/>
    <col min="6405" max="6405" width="14.5703125" style="1864" customWidth="1"/>
    <col min="6406" max="6406" width="12.28515625" style="1864" customWidth="1"/>
    <col min="6407" max="6407" width="38.140625" style="1864" customWidth="1"/>
    <col min="6408" max="6408" width="46.85546875" style="1864" customWidth="1"/>
    <col min="6409" max="6411" width="12.7109375" style="1864" customWidth="1"/>
    <col min="6412" max="6412" width="9.28515625" style="1864" customWidth="1"/>
    <col min="6413" max="6413" width="13.5703125" style="1864" customWidth="1"/>
    <col min="6414" max="6414" width="10.28515625" style="1864" customWidth="1"/>
    <col min="6415" max="6415" width="12.85546875" style="1864" customWidth="1"/>
    <col min="6416" max="6416" width="9.140625" style="1864" customWidth="1"/>
    <col min="6417" max="6417" width="9.7109375" style="1864" customWidth="1"/>
    <col min="6418" max="6418" width="9.28515625" style="1864" customWidth="1"/>
    <col min="6419" max="6419" width="9.42578125" style="1864" customWidth="1"/>
    <col min="6420" max="6420" width="10.5703125" style="1864" customWidth="1"/>
    <col min="6421" max="6421" width="12.42578125" style="1864" customWidth="1"/>
    <col min="6422" max="6422" width="14.5703125" style="1864" customWidth="1"/>
    <col min="6423" max="6423" width="12.28515625" style="1864" customWidth="1"/>
    <col min="6424" max="6424" width="25.85546875" style="1864" customWidth="1"/>
    <col min="6425" max="6656" width="0.85546875" style="1864"/>
    <col min="6657" max="6657" width="9.85546875" style="1864" customWidth="1"/>
    <col min="6658" max="6658" width="81.85546875" style="1864" customWidth="1"/>
    <col min="6659" max="6659" width="12.7109375" style="1864" customWidth="1"/>
    <col min="6660" max="6660" width="12.42578125" style="1864" customWidth="1"/>
    <col min="6661" max="6661" width="14.5703125" style="1864" customWidth="1"/>
    <col min="6662" max="6662" width="12.28515625" style="1864" customWidth="1"/>
    <col min="6663" max="6663" width="38.140625" style="1864" customWidth="1"/>
    <col min="6664" max="6664" width="46.85546875" style="1864" customWidth="1"/>
    <col min="6665" max="6667" width="12.7109375" style="1864" customWidth="1"/>
    <col min="6668" max="6668" width="9.28515625" style="1864" customWidth="1"/>
    <col min="6669" max="6669" width="13.5703125" style="1864" customWidth="1"/>
    <col min="6670" max="6670" width="10.28515625" style="1864" customWidth="1"/>
    <col min="6671" max="6671" width="12.85546875" style="1864" customWidth="1"/>
    <col min="6672" max="6672" width="9.140625" style="1864" customWidth="1"/>
    <col min="6673" max="6673" width="9.7109375" style="1864" customWidth="1"/>
    <col min="6674" max="6674" width="9.28515625" style="1864" customWidth="1"/>
    <col min="6675" max="6675" width="9.42578125" style="1864" customWidth="1"/>
    <col min="6676" max="6676" width="10.5703125" style="1864" customWidth="1"/>
    <col min="6677" max="6677" width="12.42578125" style="1864" customWidth="1"/>
    <col min="6678" max="6678" width="14.5703125" style="1864" customWidth="1"/>
    <col min="6679" max="6679" width="12.28515625" style="1864" customWidth="1"/>
    <col min="6680" max="6680" width="25.85546875" style="1864" customWidth="1"/>
    <col min="6681" max="6912" width="0.85546875" style="1864"/>
    <col min="6913" max="6913" width="9.85546875" style="1864" customWidth="1"/>
    <col min="6914" max="6914" width="81.85546875" style="1864" customWidth="1"/>
    <col min="6915" max="6915" width="12.7109375" style="1864" customWidth="1"/>
    <col min="6916" max="6916" width="12.42578125" style="1864" customWidth="1"/>
    <col min="6917" max="6917" width="14.5703125" style="1864" customWidth="1"/>
    <col min="6918" max="6918" width="12.28515625" style="1864" customWidth="1"/>
    <col min="6919" max="6919" width="38.140625" style="1864" customWidth="1"/>
    <col min="6920" max="6920" width="46.85546875" style="1864" customWidth="1"/>
    <col min="6921" max="6923" width="12.7109375" style="1864" customWidth="1"/>
    <col min="6924" max="6924" width="9.28515625" style="1864" customWidth="1"/>
    <col min="6925" max="6925" width="13.5703125" style="1864" customWidth="1"/>
    <col min="6926" max="6926" width="10.28515625" style="1864" customWidth="1"/>
    <col min="6927" max="6927" width="12.85546875" style="1864" customWidth="1"/>
    <col min="6928" max="6928" width="9.140625" style="1864" customWidth="1"/>
    <col min="6929" max="6929" width="9.7109375" style="1864" customWidth="1"/>
    <col min="6930" max="6930" width="9.28515625" style="1864" customWidth="1"/>
    <col min="6931" max="6931" width="9.42578125" style="1864" customWidth="1"/>
    <col min="6932" max="6932" width="10.5703125" style="1864" customWidth="1"/>
    <col min="6933" max="6933" width="12.42578125" style="1864" customWidth="1"/>
    <col min="6934" max="6934" width="14.5703125" style="1864" customWidth="1"/>
    <col min="6935" max="6935" width="12.28515625" style="1864" customWidth="1"/>
    <col min="6936" max="6936" width="25.85546875" style="1864" customWidth="1"/>
    <col min="6937" max="7168" width="0.85546875" style="1864"/>
    <col min="7169" max="7169" width="9.85546875" style="1864" customWidth="1"/>
    <col min="7170" max="7170" width="81.85546875" style="1864" customWidth="1"/>
    <col min="7171" max="7171" width="12.7109375" style="1864" customWidth="1"/>
    <col min="7172" max="7172" width="12.42578125" style="1864" customWidth="1"/>
    <col min="7173" max="7173" width="14.5703125" style="1864" customWidth="1"/>
    <col min="7174" max="7174" width="12.28515625" style="1864" customWidth="1"/>
    <col min="7175" max="7175" width="38.140625" style="1864" customWidth="1"/>
    <col min="7176" max="7176" width="46.85546875" style="1864" customWidth="1"/>
    <col min="7177" max="7179" width="12.7109375" style="1864" customWidth="1"/>
    <col min="7180" max="7180" width="9.28515625" style="1864" customWidth="1"/>
    <col min="7181" max="7181" width="13.5703125" style="1864" customWidth="1"/>
    <col min="7182" max="7182" width="10.28515625" style="1864" customWidth="1"/>
    <col min="7183" max="7183" width="12.85546875" style="1864" customWidth="1"/>
    <col min="7184" max="7184" width="9.140625" style="1864" customWidth="1"/>
    <col min="7185" max="7185" width="9.7109375" style="1864" customWidth="1"/>
    <col min="7186" max="7186" width="9.28515625" style="1864" customWidth="1"/>
    <col min="7187" max="7187" width="9.42578125" style="1864" customWidth="1"/>
    <col min="7188" max="7188" width="10.5703125" style="1864" customWidth="1"/>
    <col min="7189" max="7189" width="12.42578125" style="1864" customWidth="1"/>
    <col min="7190" max="7190" width="14.5703125" style="1864" customWidth="1"/>
    <col min="7191" max="7191" width="12.28515625" style="1864" customWidth="1"/>
    <col min="7192" max="7192" width="25.85546875" style="1864" customWidth="1"/>
    <col min="7193" max="7424" width="0.85546875" style="1864"/>
    <col min="7425" max="7425" width="9.85546875" style="1864" customWidth="1"/>
    <col min="7426" max="7426" width="81.85546875" style="1864" customWidth="1"/>
    <col min="7427" max="7427" width="12.7109375" style="1864" customWidth="1"/>
    <col min="7428" max="7428" width="12.42578125" style="1864" customWidth="1"/>
    <col min="7429" max="7429" width="14.5703125" style="1864" customWidth="1"/>
    <col min="7430" max="7430" width="12.28515625" style="1864" customWidth="1"/>
    <col min="7431" max="7431" width="38.140625" style="1864" customWidth="1"/>
    <col min="7432" max="7432" width="46.85546875" style="1864" customWidth="1"/>
    <col min="7433" max="7435" width="12.7109375" style="1864" customWidth="1"/>
    <col min="7436" max="7436" width="9.28515625" style="1864" customWidth="1"/>
    <col min="7437" max="7437" width="13.5703125" style="1864" customWidth="1"/>
    <col min="7438" max="7438" width="10.28515625" style="1864" customWidth="1"/>
    <col min="7439" max="7439" width="12.85546875" style="1864" customWidth="1"/>
    <col min="7440" max="7440" width="9.140625" style="1864" customWidth="1"/>
    <col min="7441" max="7441" width="9.7109375" style="1864" customWidth="1"/>
    <col min="7442" max="7442" width="9.28515625" style="1864" customWidth="1"/>
    <col min="7443" max="7443" width="9.42578125" style="1864" customWidth="1"/>
    <col min="7444" max="7444" width="10.5703125" style="1864" customWidth="1"/>
    <col min="7445" max="7445" width="12.42578125" style="1864" customWidth="1"/>
    <col min="7446" max="7446" width="14.5703125" style="1864" customWidth="1"/>
    <col min="7447" max="7447" width="12.28515625" style="1864" customWidth="1"/>
    <col min="7448" max="7448" width="25.85546875" style="1864" customWidth="1"/>
    <col min="7449" max="7680" width="0.85546875" style="1864"/>
    <col min="7681" max="7681" width="9.85546875" style="1864" customWidth="1"/>
    <col min="7682" max="7682" width="81.85546875" style="1864" customWidth="1"/>
    <col min="7683" max="7683" width="12.7109375" style="1864" customWidth="1"/>
    <col min="7684" max="7684" width="12.42578125" style="1864" customWidth="1"/>
    <col min="7685" max="7685" width="14.5703125" style="1864" customWidth="1"/>
    <col min="7686" max="7686" width="12.28515625" style="1864" customWidth="1"/>
    <col min="7687" max="7687" width="38.140625" style="1864" customWidth="1"/>
    <col min="7688" max="7688" width="46.85546875" style="1864" customWidth="1"/>
    <col min="7689" max="7691" width="12.7109375" style="1864" customWidth="1"/>
    <col min="7692" max="7692" width="9.28515625" style="1864" customWidth="1"/>
    <col min="7693" max="7693" width="13.5703125" style="1864" customWidth="1"/>
    <col min="7694" max="7694" width="10.28515625" style="1864" customWidth="1"/>
    <col min="7695" max="7695" width="12.85546875" style="1864" customWidth="1"/>
    <col min="7696" max="7696" width="9.140625" style="1864" customWidth="1"/>
    <col min="7697" max="7697" width="9.7109375" style="1864" customWidth="1"/>
    <col min="7698" max="7698" width="9.28515625" style="1864" customWidth="1"/>
    <col min="7699" max="7699" width="9.42578125" style="1864" customWidth="1"/>
    <col min="7700" max="7700" width="10.5703125" style="1864" customWidth="1"/>
    <col min="7701" max="7701" width="12.42578125" style="1864" customWidth="1"/>
    <col min="7702" max="7702" width="14.5703125" style="1864" customWidth="1"/>
    <col min="7703" max="7703" width="12.28515625" style="1864" customWidth="1"/>
    <col min="7704" max="7704" width="25.85546875" style="1864" customWidth="1"/>
    <col min="7705" max="7936" width="0.85546875" style="1864"/>
    <col min="7937" max="7937" width="9.85546875" style="1864" customWidth="1"/>
    <col min="7938" max="7938" width="81.85546875" style="1864" customWidth="1"/>
    <col min="7939" max="7939" width="12.7109375" style="1864" customWidth="1"/>
    <col min="7940" max="7940" width="12.42578125" style="1864" customWidth="1"/>
    <col min="7941" max="7941" width="14.5703125" style="1864" customWidth="1"/>
    <col min="7942" max="7942" width="12.28515625" style="1864" customWidth="1"/>
    <col min="7943" max="7943" width="38.140625" style="1864" customWidth="1"/>
    <col min="7944" max="7944" width="46.85546875" style="1864" customWidth="1"/>
    <col min="7945" max="7947" width="12.7109375" style="1864" customWidth="1"/>
    <col min="7948" max="7948" width="9.28515625" style="1864" customWidth="1"/>
    <col min="7949" max="7949" width="13.5703125" style="1864" customWidth="1"/>
    <col min="7950" max="7950" width="10.28515625" style="1864" customWidth="1"/>
    <col min="7951" max="7951" width="12.85546875" style="1864" customWidth="1"/>
    <col min="7952" max="7952" width="9.140625" style="1864" customWidth="1"/>
    <col min="7953" max="7953" width="9.7109375" style="1864" customWidth="1"/>
    <col min="7954" max="7954" width="9.28515625" style="1864" customWidth="1"/>
    <col min="7955" max="7955" width="9.42578125" style="1864" customWidth="1"/>
    <col min="7956" max="7956" width="10.5703125" style="1864" customWidth="1"/>
    <col min="7957" max="7957" width="12.42578125" style="1864" customWidth="1"/>
    <col min="7958" max="7958" width="14.5703125" style="1864" customWidth="1"/>
    <col min="7959" max="7959" width="12.28515625" style="1864" customWidth="1"/>
    <col min="7960" max="7960" width="25.85546875" style="1864" customWidth="1"/>
    <col min="7961" max="8192" width="0.85546875" style="1864"/>
    <col min="8193" max="8193" width="9.85546875" style="1864" customWidth="1"/>
    <col min="8194" max="8194" width="81.85546875" style="1864" customWidth="1"/>
    <col min="8195" max="8195" width="12.7109375" style="1864" customWidth="1"/>
    <col min="8196" max="8196" width="12.42578125" style="1864" customWidth="1"/>
    <col min="8197" max="8197" width="14.5703125" style="1864" customWidth="1"/>
    <col min="8198" max="8198" width="12.28515625" style="1864" customWidth="1"/>
    <col min="8199" max="8199" width="38.140625" style="1864" customWidth="1"/>
    <col min="8200" max="8200" width="46.85546875" style="1864" customWidth="1"/>
    <col min="8201" max="8203" width="12.7109375" style="1864" customWidth="1"/>
    <col min="8204" max="8204" width="9.28515625" style="1864" customWidth="1"/>
    <col min="8205" max="8205" width="13.5703125" style="1864" customWidth="1"/>
    <col min="8206" max="8206" width="10.28515625" style="1864" customWidth="1"/>
    <col min="8207" max="8207" width="12.85546875" style="1864" customWidth="1"/>
    <col min="8208" max="8208" width="9.140625" style="1864" customWidth="1"/>
    <col min="8209" max="8209" width="9.7109375" style="1864" customWidth="1"/>
    <col min="8210" max="8210" width="9.28515625" style="1864" customWidth="1"/>
    <col min="8211" max="8211" width="9.42578125" style="1864" customWidth="1"/>
    <col min="8212" max="8212" width="10.5703125" style="1864" customWidth="1"/>
    <col min="8213" max="8213" width="12.42578125" style="1864" customWidth="1"/>
    <col min="8214" max="8214" width="14.5703125" style="1864" customWidth="1"/>
    <col min="8215" max="8215" width="12.28515625" style="1864" customWidth="1"/>
    <col min="8216" max="8216" width="25.85546875" style="1864" customWidth="1"/>
    <col min="8217" max="8448" width="0.85546875" style="1864"/>
    <col min="8449" max="8449" width="9.85546875" style="1864" customWidth="1"/>
    <col min="8450" max="8450" width="81.85546875" style="1864" customWidth="1"/>
    <col min="8451" max="8451" width="12.7109375" style="1864" customWidth="1"/>
    <col min="8452" max="8452" width="12.42578125" style="1864" customWidth="1"/>
    <col min="8453" max="8453" width="14.5703125" style="1864" customWidth="1"/>
    <col min="8454" max="8454" width="12.28515625" style="1864" customWidth="1"/>
    <col min="8455" max="8455" width="38.140625" style="1864" customWidth="1"/>
    <col min="8456" max="8456" width="46.85546875" style="1864" customWidth="1"/>
    <col min="8457" max="8459" width="12.7109375" style="1864" customWidth="1"/>
    <col min="8460" max="8460" width="9.28515625" style="1864" customWidth="1"/>
    <col min="8461" max="8461" width="13.5703125" style="1864" customWidth="1"/>
    <col min="8462" max="8462" width="10.28515625" style="1864" customWidth="1"/>
    <col min="8463" max="8463" width="12.85546875" style="1864" customWidth="1"/>
    <col min="8464" max="8464" width="9.140625" style="1864" customWidth="1"/>
    <col min="8465" max="8465" width="9.7109375" style="1864" customWidth="1"/>
    <col min="8466" max="8466" width="9.28515625" style="1864" customWidth="1"/>
    <col min="8467" max="8467" width="9.42578125" style="1864" customWidth="1"/>
    <col min="8468" max="8468" width="10.5703125" style="1864" customWidth="1"/>
    <col min="8469" max="8469" width="12.42578125" style="1864" customWidth="1"/>
    <col min="8470" max="8470" width="14.5703125" style="1864" customWidth="1"/>
    <col min="8471" max="8471" width="12.28515625" style="1864" customWidth="1"/>
    <col min="8472" max="8472" width="25.85546875" style="1864" customWidth="1"/>
    <col min="8473" max="8704" width="0.85546875" style="1864"/>
    <col min="8705" max="8705" width="9.85546875" style="1864" customWidth="1"/>
    <col min="8706" max="8706" width="81.85546875" style="1864" customWidth="1"/>
    <col min="8707" max="8707" width="12.7109375" style="1864" customWidth="1"/>
    <col min="8708" max="8708" width="12.42578125" style="1864" customWidth="1"/>
    <col min="8709" max="8709" width="14.5703125" style="1864" customWidth="1"/>
    <col min="8710" max="8710" width="12.28515625" style="1864" customWidth="1"/>
    <col min="8711" max="8711" width="38.140625" style="1864" customWidth="1"/>
    <col min="8712" max="8712" width="46.85546875" style="1864" customWidth="1"/>
    <col min="8713" max="8715" width="12.7109375" style="1864" customWidth="1"/>
    <col min="8716" max="8716" width="9.28515625" style="1864" customWidth="1"/>
    <col min="8717" max="8717" width="13.5703125" style="1864" customWidth="1"/>
    <col min="8718" max="8718" width="10.28515625" style="1864" customWidth="1"/>
    <col min="8719" max="8719" width="12.85546875" style="1864" customWidth="1"/>
    <col min="8720" max="8720" width="9.140625" style="1864" customWidth="1"/>
    <col min="8721" max="8721" width="9.7109375" style="1864" customWidth="1"/>
    <col min="8722" max="8722" width="9.28515625" style="1864" customWidth="1"/>
    <col min="8723" max="8723" width="9.42578125" style="1864" customWidth="1"/>
    <col min="8724" max="8724" width="10.5703125" style="1864" customWidth="1"/>
    <col min="8725" max="8725" width="12.42578125" style="1864" customWidth="1"/>
    <col min="8726" max="8726" width="14.5703125" style="1864" customWidth="1"/>
    <col min="8727" max="8727" width="12.28515625" style="1864" customWidth="1"/>
    <col min="8728" max="8728" width="25.85546875" style="1864" customWidth="1"/>
    <col min="8729" max="8960" width="0.85546875" style="1864"/>
    <col min="8961" max="8961" width="9.85546875" style="1864" customWidth="1"/>
    <col min="8962" max="8962" width="81.85546875" style="1864" customWidth="1"/>
    <col min="8963" max="8963" width="12.7109375" style="1864" customWidth="1"/>
    <col min="8964" max="8964" width="12.42578125" style="1864" customWidth="1"/>
    <col min="8965" max="8965" width="14.5703125" style="1864" customWidth="1"/>
    <col min="8966" max="8966" width="12.28515625" style="1864" customWidth="1"/>
    <col min="8967" max="8967" width="38.140625" style="1864" customWidth="1"/>
    <col min="8968" max="8968" width="46.85546875" style="1864" customWidth="1"/>
    <col min="8969" max="8971" width="12.7109375" style="1864" customWidth="1"/>
    <col min="8972" max="8972" width="9.28515625" style="1864" customWidth="1"/>
    <col min="8973" max="8973" width="13.5703125" style="1864" customWidth="1"/>
    <col min="8974" max="8974" width="10.28515625" style="1864" customWidth="1"/>
    <col min="8975" max="8975" width="12.85546875" style="1864" customWidth="1"/>
    <col min="8976" max="8976" width="9.140625" style="1864" customWidth="1"/>
    <col min="8977" max="8977" width="9.7109375" style="1864" customWidth="1"/>
    <col min="8978" max="8978" width="9.28515625" style="1864" customWidth="1"/>
    <col min="8979" max="8979" width="9.42578125" style="1864" customWidth="1"/>
    <col min="8980" max="8980" width="10.5703125" style="1864" customWidth="1"/>
    <col min="8981" max="8981" width="12.42578125" style="1864" customWidth="1"/>
    <col min="8982" max="8982" width="14.5703125" style="1864" customWidth="1"/>
    <col min="8983" max="8983" width="12.28515625" style="1864" customWidth="1"/>
    <col min="8984" max="8984" width="25.85546875" style="1864" customWidth="1"/>
    <col min="8985" max="9216" width="0.85546875" style="1864"/>
    <col min="9217" max="9217" width="9.85546875" style="1864" customWidth="1"/>
    <col min="9218" max="9218" width="81.85546875" style="1864" customWidth="1"/>
    <col min="9219" max="9219" width="12.7109375" style="1864" customWidth="1"/>
    <col min="9220" max="9220" width="12.42578125" style="1864" customWidth="1"/>
    <col min="9221" max="9221" width="14.5703125" style="1864" customWidth="1"/>
    <col min="9222" max="9222" width="12.28515625" style="1864" customWidth="1"/>
    <col min="9223" max="9223" width="38.140625" style="1864" customWidth="1"/>
    <col min="9224" max="9224" width="46.85546875" style="1864" customWidth="1"/>
    <col min="9225" max="9227" width="12.7109375" style="1864" customWidth="1"/>
    <col min="9228" max="9228" width="9.28515625" style="1864" customWidth="1"/>
    <col min="9229" max="9229" width="13.5703125" style="1864" customWidth="1"/>
    <col min="9230" max="9230" width="10.28515625" style="1864" customWidth="1"/>
    <col min="9231" max="9231" width="12.85546875" style="1864" customWidth="1"/>
    <col min="9232" max="9232" width="9.140625" style="1864" customWidth="1"/>
    <col min="9233" max="9233" width="9.7109375" style="1864" customWidth="1"/>
    <col min="9234" max="9234" width="9.28515625" style="1864" customWidth="1"/>
    <col min="9235" max="9235" width="9.42578125" style="1864" customWidth="1"/>
    <col min="9236" max="9236" width="10.5703125" style="1864" customWidth="1"/>
    <col min="9237" max="9237" width="12.42578125" style="1864" customWidth="1"/>
    <col min="9238" max="9238" width="14.5703125" style="1864" customWidth="1"/>
    <col min="9239" max="9239" width="12.28515625" style="1864" customWidth="1"/>
    <col min="9240" max="9240" width="25.85546875" style="1864" customWidth="1"/>
    <col min="9241" max="9472" width="0.85546875" style="1864"/>
    <col min="9473" max="9473" width="9.85546875" style="1864" customWidth="1"/>
    <col min="9474" max="9474" width="81.85546875" style="1864" customWidth="1"/>
    <col min="9475" max="9475" width="12.7109375" style="1864" customWidth="1"/>
    <col min="9476" max="9476" width="12.42578125" style="1864" customWidth="1"/>
    <col min="9477" max="9477" width="14.5703125" style="1864" customWidth="1"/>
    <col min="9478" max="9478" width="12.28515625" style="1864" customWidth="1"/>
    <col min="9479" max="9479" width="38.140625" style="1864" customWidth="1"/>
    <col min="9480" max="9480" width="46.85546875" style="1864" customWidth="1"/>
    <col min="9481" max="9483" width="12.7109375" style="1864" customWidth="1"/>
    <col min="9484" max="9484" width="9.28515625" style="1864" customWidth="1"/>
    <col min="9485" max="9485" width="13.5703125" style="1864" customWidth="1"/>
    <col min="9486" max="9486" width="10.28515625" style="1864" customWidth="1"/>
    <col min="9487" max="9487" width="12.85546875" style="1864" customWidth="1"/>
    <col min="9488" max="9488" width="9.140625" style="1864" customWidth="1"/>
    <col min="9489" max="9489" width="9.7109375" style="1864" customWidth="1"/>
    <col min="9490" max="9490" width="9.28515625" style="1864" customWidth="1"/>
    <col min="9491" max="9491" width="9.42578125" style="1864" customWidth="1"/>
    <col min="9492" max="9492" width="10.5703125" style="1864" customWidth="1"/>
    <col min="9493" max="9493" width="12.42578125" style="1864" customWidth="1"/>
    <col min="9494" max="9494" width="14.5703125" style="1864" customWidth="1"/>
    <col min="9495" max="9495" width="12.28515625" style="1864" customWidth="1"/>
    <col min="9496" max="9496" width="25.85546875" style="1864" customWidth="1"/>
    <col min="9497" max="9728" width="0.85546875" style="1864"/>
    <col min="9729" max="9729" width="9.85546875" style="1864" customWidth="1"/>
    <col min="9730" max="9730" width="81.85546875" style="1864" customWidth="1"/>
    <col min="9731" max="9731" width="12.7109375" style="1864" customWidth="1"/>
    <col min="9732" max="9732" width="12.42578125" style="1864" customWidth="1"/>
    <col min="9733" max="9733" width="14.5703125" style="1864" customWidth="1"/>
    <col min="9734" max="9734" width="12.28515625" style="1864" customWidth="1"/>
    <col min="9735" max="9735" width="38.140625" style="1864" customWidth="1"/>
    <col min="9736" max="9736" width="46.85546875" style="1864" customWidth="1"/>
    <col min="9737" max="9739" width="12.7109375" style="1864" customWidth="1"/>
    <col min="9740" max="9740" width="9.28515625" style="1864" customWidth="1"/>
    <col min="9741" max="9741" width="13.5703125" style="1864" customWidth="1"/>
    <col min="9742" max="9742" width="10.28515625" style="1864" customWidth="1"/>
    <col min="9743" max="9743" width="12.85546875" style="1864" customWidth="1"/>
    <col min="9744" max="9744" width="9.140625" style="1864" customWidth="1"/>
    <col min="9745" max="9745" width="9.7109375" style="1864" customWidth="1"/>
    <col min="9746" max="9746" width="9.28515625" style="1864" customWidth="1"/>
    <col min="9747" max="9747" width="9.42578125" style="1864" customWidth="1"/>
    <col min="9748" max="9748" width="10.5703125" style="1864" customWidth="1"/>
    <col min="9749" max="9749" width="12.42578125" style="1864" customWidth="1"/>
    <col min="9750" max="9750" width="14.5703125" style="1864" customWidth="1"/>
    <col min="9751" max="9751" width="12.28515625" style="1864" customWidth="1"/>
    <col min="9752" max="9752" width="25.85546875" style="1864" customWidth="1"/>
    <col min="9753" max="9984" width="0.85546875" style="1864"/>
    <col min="9985" max="9985" width="9.85546875" style="1864" customWidth="1"/>
    <col min="9986" max="9986" width="81.85546875" style="1864" customWidth="1"/>
    <col min="9987" max="9987" width="12.7109375" style="1864" customWidth="1"/>
    <col min="9988" max="9988" width="12.42578125" style="1864" customWidth="1"/>
    <col min="9989" max="9989" width="14.5703125" style="1864" customWidth="1"/>
    <col min="9990" max="9990" width="12.28515625" style="1864" customWidth="1"/>
    <col min="9991" max="9991" width="38.140625" style="1864" customWidth="1"/>
    <col min="9992" max="9992" width="46.85546875" style="1864" customWidth="1"/>
    <col min="9993" max="9995" width="12.7109375" style="1864" customWidth="1"/>
    <col min="9996" max="9996" width="9.28515625" style="1864" customWidth="1"/>
    <col min="9997" max="9997" width="13.5703125" style="1864" customWidth="1"/>
    <col min="9998" max="9998" width="10.28515625" style="1864" customWidth="1"/>
    <col min="9999" max="9999" width="12.85546875" style="1864" customWidth="1"/>
    <col min="10000" max="10000" width="9.140625" style="1864" customWidth="1"/>
    <col min="10001" max="10001" width="9.7109375" style="1864" customWidth="1"/>
    <col min="10002" max="10002" width="9.28515625" style="1864" customWidth="1"/>
    <col min="10003" max="10003" width="9.42578125" style="1864" customWidth="1"/>
    <col min="10004" max="10004" width="10.5703125" style="1864" customWidth="1"/>
    <col min="10005" max="10005" width="12.42578125" style="1864" customWidth="1"/>
    <col min="10006" max="10006" width="14.5703125" style="1864" customWidth="1"/>
    <col min="10007" max="10007" width="12.28515625" style="1864" customWidth="1"/>
    <col min="10008" max="10008" width="25.85546875" style="1864" customWidth="1"/>
    <col min="10009" max="10240" width="0.85546875" style="1864"/>
    <col min="10241" max="10241" width="9.85546875" style="1864" customWidth="1"/>
    <col min="10242" max="10242" width="81.85546875" style="1864" customWidth="1"/>
    <col min="10243" max="10243" width="12.7109375" style="1864" customWidth="1"/>
    <col min="10244" max="10244" width="12.42578125" style="1864" customWidth="1"/>
    <col min="10245" max="10245" width="14.5703125" style="1864" customWidth="1"/>
    <col min="10246" max="10246" width="12.28515625" style="1864" customWidth="1"/>
    <col min="10247" max="10247" width="38.140625" style="1864" customWidth="1"/>
    <col min="10248" max="10248" width="46.85546875" style="1864" customWidth="1"/>
    <col min="10249" max="10251" width="12.7109375" style="1864" customWidth="1"/>
    <col min="10252" max="10252" width="9.28515625" style="1864" customWidth="1"/>
    <col min="10253" max="10253" width="13.5703125" style="1864" customWidth="1"/>
    <col min="10254" max="10254" width="10.28515625" style="1864" customWidth="1"/>
    <col min="10255" max="10255" width="12.85546875" style="1864" customWidth="1"/>
    <col min="10256" max="10256" width="9.140625" style="1864" customWidth="1"/>
    <col min="10257" max="10257" width="9.7109375" style="1864" customWidth="1"/>
    <col min="10258" max="10258" width="9.28515625" style="1864" customWidth="1"/>
    <col min="10259" max="10259" width="9.42578125" style="1864" customWidth="1"/>
    <col min="10260" max="10260" width="10.5703125" style="1864" customWidth="1"/>
    <col min="10261" max="10261" width="12.42578125" style="1864" customWidth="1"/>
    <col min="10262" max="10262" width="14.5703125" style="1864" customWidth="1"/>
    <col min="10263" max="10263" width="12.28515625" style="1864" customWidth="1"/>
    <col min="10264" max="10264" width="25.85546875" style="1864" customWidth="1"/>
    <col min="10265" max="10496" width="0.85546875" style="1864"/>
    <col min="10497" max="10497" width="9.85546875" style="1864" customWidth="1"/>
    <col min="10498" max="10498" width="81.85546875" style="1864" customWidth="1"/>
    <col min="10499" max="10499" width="12.7109375" style="1864" customWidth="1"/>
    <col min="10500" max="10500" width="12.42578125" style="1864" customWidth="1"/>
    <col min="10501" max="10501" width="14.5703125" style="1864" customWidth="1"/>
    <col min="10502" max="10502" width="12.28515625" style="1864" customWidth="1"/>
    <col min="10503" max="10503" width="38.140625" style="1864" customWidth="1"/>
    <col min="10504" max="10504" width="46.85546875" style="1864" customWidth="1"/>
    <col min="10505" max="10507" width="12.7109375" style="1864" customWidth="1"/>
    <col min="10508" max="10508" width="9.28515625" style="1864" customWidth="1"/>
    <col min="10509" max="10509" width="13.5703125" style="1864" customWidth="1"/>
    <col min="10510" max="10510" width="10.28515625" style="1864" customWidth="1"/>
    <col min="10511" max="10511" width="12.85546875" style="1864" customWidth="1"/>
    <col min="10512" max="10512" width="9.140625" style="1864" customWidth="1"/>
    <col min="10513" max="10513" width="9.7109375" style="1864" customWidth="1"/>
    <col min="10514" max="10514" width="9.28515625" style="1864" customWidth="1"/>
    <col min="10515" max="10515" width="9.42578125" style="1864" customWidth="1"/>
    <col min="10516" max="10516" width="10.5703125" style="1864" customWidth="1"/>
    <col min="10517" max="10517" width="12.42578125" style="1864" customWidth="1"/>
    <col min="10518" max="10518" width="14.5703125" style="1864" customWidth="1"/>
    <col min="10519" max="10519" width="12.28515625" style="1864" customWidth="1"/>
    <col min="10520" max="10520" width="25.85546875" style="1864" customWidth="1"/>
    <col min="10521" max="10752" width="0.85546875" style="1864"/>
    <col min="10753" max="10753" width="9.85546875" style="1864" customWidth="1"/>
    <col min="10754" max="10754" width="81.85546875" style="1864" customWidth="1"/>
    <col min="10755" max="10755" width="12.7109375" style="1864" customWidth="1"/>
    <col min="10756" max="10756" width="12.42578125" style="1864" customWidth="1"/>
    <col min="10757" max="10757" width="14.5703125" style="1864" customWidth="1"/>
    <col min="10758" max="10758" width="12.28515625" style="1864" customWidth="1"/>
    <col min="10759" max="10759" width="38.140625" style="1864" customWidth="1"/>
    <col min="10760" max="10760" width="46.85546875" style="1864" customWidth="1"/>
    <col min="10761" max="10763" width="12.7109375" style="1864" customWidth="1"/>
    <col min="10764" max="10764" width="9.28515625" style="1864" customWidth="1"/>
    <col min="10765" max="10765" width="13.5703125" style="1864" customWidth="1"/>
    <col min="10766" max="10766" width="10.28515625" style="1864" customWidth="1"/>
    <col min="10767" max="10767" width="12.85546875" style="1864" customWidth="1"/>
    <col min="10768" max="10768" width="9.140625" style="1864" customWidth="1"/>
    <col min="10769" max="10769" width="9.7109375" style="1864" customWidth="1"/>
    <col min="10770" max="10770" width="9.28515625" style="1864" customWidth="1"/>
    <col min="10771" max="10771" width="9.42578125" style="1864" customWidth="1"/>
    <col min="10772" max="10772" width="10.5703125" style="1864" customWidth="1"/>
    <col min="10773" max="10773" width="12.42578125" style="1864" customWidth="1"/>
    <col min="10774" max="10774" width="14.5703125" style="1864" customWidth="1"/>
    <col min="10775" max="10775" width="12.28515625" style="1864" customWidth="1"/>
    <col min="10776" max="10776" width="25.85546875" style="1864" customWidth="1"/>
    <col min="10777" max="11008" width="0.85546875" style="1864"/>
    <col min="11009" max="11009" width="9.85546875" style="1864" customWidth="1"/>
    <col min="11010" max="11010" width="81.85546875" style="1864" customWidth="1"/>
    <col min="11011" max="11011" width="12.7109375" style="1864" customWidth="1"/>
    <col min="11012" max="11012" width="12.42578125" style="1864" customWidth="1"/>
    <col min="11013" max="11013" width="14.5703125" style="1864" customWidth="1"/>
    <col min="11014" max="11014" width="12.28515625" style="1864" customWidth="1"/>
    <col min="11015" max="11015" width="38.140625" style="1864" customWidth="1"/>
    <col min="11016" max="11016" width="46.85546875" style="1864" customWidth="1"/>
    <col min="11017" max="11019" width="12.7109375" style="1864" customWidth="1"/>
    <col min="11020" max="11020" width="9.28515625" style="1864" customWidth="1"/>
    <col min="11021" max="11021" width="13.5703125" style="1864" customWidth="1"/>
    <col min="11022" max="11022" width="10.28515625" style="1864" customWidth="1"/>
    <col min="11023" max="11023" width="12.85546875" style="1864" customWidth="1"/>
    <col min="11024" max="11024" width="9.140625" style="1864" customWidth="1"/>
    <col min="11025" max="11025" width="9.7109375" style="1864" customWidth="1"/>
    <col min="11026" max="11026" width="9.28515625" style="1864" customWidth="1"/>
    <col min="11027" max="11027" width="9.42578125" style="1864" customWidth="1"/>
    <col min="11028" max="11028" width="10.5703125" style="1864" customWidth="1"/>
    <col min="11029" max="11029" width="12.42578125" style="1864" customWidth="1"/>
    <col min="11030" max="11030" width="14.5703125" style="1864" customWidth="1"/>
    <col min="11031" max="11031" width="12.28515625" style="1864" customWidth="1"/>
    <col min="11032" max="11032" width="25.85546875" style="1864" customWidth="1"/>
    <col min="11033" max="11264" width="0.85546875" style="1864"/>
    <col min="11265" max="11265" width="9.85546875" style="1864" customWidth="1"/>
    <col min="11266" max="11266" width="81.85546875" style="1864" customWidth="1"/>
    <col min="11267" max="11267" width="12.7109375" style="1864" customWidth="1"/>
    <col min="11268" max="11268" width="12.42578125" style="1864" customWidth="1"/>
    <col min="11269" max="11269" width="14.5703125" style="1864" customWidth="1"/>
    <col min="11270" max="11270" width="12.28515625" style="1864" customWidth="1"/>
    <col min="11271" max="11271" width="38.140625" style="1864" customWidth="1"/>
    <col min="11272" max="11272" width="46.85546875" style="1864" customWidth="1"/>
    <col min="11273" max="11275" width="12.7109375" style="1864" customWidth="1"/>
    <col min="11276" max="11276" width="9.28515625" style="1864" customWidth="1"/>
    <col min="11277" max="11277" width="13.5703125" style="1864" customWidth="1"/>
    <col min="11278" max="11278" width="10.28515625" style="1864" customWidth="1"/>
    <col min="11279" max="11279" width="12.85546875" style="1864" customWidth="1"/>
    <col min="11280" max="11280" width="9.140625" style="1864" customWidth="1"/>
    <col min="11281" max="11281" width="9.7109375" style="1864" customWidth="1"/>
    <col min="11282" max="11282" width="9.28515625" style="1864" customWidth="1"/>
    <col min="11283" max="11283" width="9.42578125" style="1864" customWidth="1"/>
    <col min="11284" max="11284" width="10.5703125" style="1864" customWidth="1"/>
    <col min="11285" max="11285" width="12.42578125" style="1864" customWidth="1"/>
    <col min="11286" max="11286" width="14.5703125" style="1864" customWidth="1"/>
    <col min="11287" max="11287" width="12.28515625" style="1864" customWidth="1"/>
    <col min="11288" max="11288" width="25.85546875" style="1864" customWidth="1"/>
    <col min="11289" max="11520" width="0.85546875" style="1864"/>
    <col min="11521" max="11521" width="9.85546875" style="1864" customWidth="1"/>
    <col min="11522" max="11522" width="81.85546875" style="1864" customWidth="1"/>
    <col min="11523" max="11523" width="12.7109375" style="1864" customWidth="1"/>
    <col min="11524" max="11524" width="12.42578125" style="1864" customWidth="1"/>
    <col min="11525" max="11525" width="14.5703125" style="1864" customWidth="1"/>
    <col min="11526" max="11526" width="12.28515625" style="1864" customWidth="1"/>
    <col min="11527" max="11527" width="38.140625" style="1864" customWidth="1"/>
    <col min="11528" max="11528" width="46.85546875" style="1864" customWidth="1"/>
    <col min="11529" max="11531" width="12.7109375" style="1864" customWidth="1"/>
    <col min="11532" max="11532" width="9.28515625" style="1864" customWidth="1"/>
    <col min="11533" max="11533" width="13.5703125" style="1864" customWidth="1"/>
    <col min="11534" max="11534" width="10.28515625" style="1864" customWidth="1"/>
    <col min="11535" max="11535" width="12.85546875" style="1864" customWidth="1"/>
    <col min="11536" max="11536" width="9.140625" style="1864" customWidth="1"/>
    <col min="11537" max="11537" width="9.7109375" style="1864" customWidth="1"/>
    <col min="11538" max="11538" width="9.28515625" style="1864" customWidth="1"/>
    <col min="11539" max="11539" width="9.42578125" style="1864" customWidth="1"/>
    <col min="11540" max="11540" width="10.5703125" style="1864" customWidth="1"/>
    <col min="11541" max="11541" width="12.42578125" style="1864" customWidth="1"/>
    <col min="11542" max="11542" width="14.5703125" style="1864" customWidth="1"/>
    <col min="11543" max="11543" width="12.28515625" style="1864" customWidth="1"/>
    <col min="11544" max="11544" width="25.85546875" style="1864" customWidth="1"/>
    <col min="11545" max="11776" width="0.85546875" style="1864"/>
    <col min="11777" max="11777" width="9.85546875" style="1864" customWidth="1"/>
    <col min="11778" max="11778" width="81.85546875" style="1864" customWidth="1"/>
    <col min="11779" max="11779" width="12.7109375" style="1864" customWidth="1"/>
    <col min="11780" max="11780" width="12.42578125" style="1864" customWidth="1"/>
    <col min="11781" max="11781" width="14.5703125" style="1864" customWidth="1"/>
    <col min="11782" max="11782" width="12.28515625" style="1864" customWidth="1"/>
    <col min="11783" max="11783" width="38.140625" style="1864" customWidth="1"/>
    <col min="11784" max="11784" width="46.85546875" style="1864" customWidth="1"/>
    <col min="11785" max="11787" width="12.7109375" style="1864" customWidth="1"/>
    <col min="11788" max="11788" width="9.28515625" style="1864" customWidth="1"/>
    <col min="11789" max="11789" width="13.5703125" style="1864" customWidth="1"/>
    <col min="11790" max="11790" width="10.28515625" style="1864" customWidth="1"/>
    <col min="11791" max="11791" width="12.85546875" style="1864" customWidth="1"/>
    <col min="11792" max="11792" width="9.140625" style="1864" customWidth="1"/>
    <col min="11793" max="11793" width="9.7109375" style="1864" customWidth="1"/>
    <col min="11794" max="11794" width="9.28515625" style="1864" customWidth="1"/>
    <col min="11795" max="11795" width="9.42578125" style="1864" customWidth="1"/>
    <col min="11796" max="11796" width="10.5703125" style="1864" customWidth="1"/>
    <col min="11797" max="11797" width="12.42578125" style="1864" customWidth="1"/>
    <col min="11798" max="11798" width="14.5703125" style="1864" customWidth="1"/>
    <col min="11799" max="11799" width="12.28515625" style="1864" customWidth="1"/>
    <col min="11800" max="11800" width="25.85546875" style="1864" customWidth="1"/>
    <col min="11801" max="12032" width="0.85546875" style="1864"/>
    <col min="12033" max="12033" width="9.85546875" style="1864" customWidth="1"/>
    <col min="12034" max="12034" width="81.85546875" style="1864" customWidth="1"/>
    <col min="12035" max="12035" width="12.7109375" style="1864" customWidth="1"/>
    <col min="12036" max="12036" width="12.42578125" style="1864" customWidth="1"/>
    <col min="12037" max="12037" width="14.5703125" style="1864" customWidth="1"/>
    <col min="12038" max="12038" width="12.28515625" style="1864" customWidth="1"/>
    <col min="12039" max="12039" width="38.140625" style="1864" customWidth="1"/>
    <col min="12040" max="12040" width="46.85546875" style="1864" customWidth="1"/>
    <col min="12041" max="12043" width="12.7109375" style="1864" customWidth="1"/>
    <col min="12044" max="12044" width="9.28515625" style="1864" customWidth="1"/>
    <col min="12045" max="12045" width="13.5703125" style="1864" customWidth="1"/>
    <col min="12046" max="12046" width="10.28515625" style="1864" customWidth="1"/>
    <col min="12047" max="12047" width="12.85546875" style="1864" customWidth="1"/>
    <col min="12048" max="12048" width="9.140625" style="1864" customWidth="1"/>
    <col min="12049" max="12049" width="9.7109375" style="1864" customWidth="1"/>
    <col min="12050" max="12050" width="9.28515625" style="1864" customWidth="1"/>
    <col min="12051" max="12051" width="9.42578125" style="1864" customWidth="1"/>
    <col min="12052" max="12052" width="10.5703125" style="1864" customWidth="1"/>
    <col min="12053" max="12053" width="12.42578125" style="1864" customWidth="1"/>
    <col min="12054" max="12054" width="14.5703125" style="1864" customWidth="1"/>
    <col min="12055" max="12055" width="12.28515625" style="1864" customWidth="1"/>
    <col min="12056" max="12056" width="25.85546875" style="1864" customWidth="1"/>
    <col min="12057" max="12288" width="0.85546875" style="1864"/>
    <col min="12289" max="12289" width="9.85546875" style="1864" customWidth="1"/>
    <col min="12290" max="12290" width="81.85546875" style="1864" customWidth="1"/>
    <col min="12291" max="12291" width="12.7109375" style="1864" customWidth="1"/>
    <col min="12292" max="12292" width="12.42578125" style="1864" customWidth="1"/>
    <col min="12293" max="12293" width="14.5703125" style="1864" customWidth="1"/>
    <col min="12294" max="12294" width="12.28515625" style="1864" customWidth="1"/>
    <col min="12295" max="12295" width="38.140625" style="1864" customWidth="1"/>
    <col min="12296" max="12296" width="46.85546875" style="1864" customWidth="1"/>
    <col min="12297" max="12299" width="12.7109375" style="1864" customWidth="1"/>
    <col min="12300" max="12300" width="9.28515625" style="1864" customWidth="1"/>
    <col min="12301" max="12301" width="13.5703125" style="1864" customWidth="1"/>
    <col min="12302" max="12302" width="10.28515625" style="1864" customWidth="1"/>
    <col min="12303" max="12303" width="12.85546875" style="1864" customWidth="1"/>
    <col min="12304" max="12304" width="9.140625" style="1864" customWidth="1"/>
    <col min="12305" max="12305" width="9.7109375" style="1864" customWidth="1"/>
    <col min="12306" max="12306" width="9.28515625" style="1864" customWidth="1"/>
    <col min="12307" max="12307" width="9.42578125" style="1864" customWidth="1"/>
    <col min="12308" max="12308" width="10.5703125" style="1864" customWidth="1"/>
    <col min="12309" max="12309" width="12.42578125" style="1864" customWidth="1"/>
    <col min="12310" max="12310" width="14.5703125" style="1864" customWidth="1"/>
    <col min="12311" max="12311" width="12.28515625" style="1864" customWidth="1"/>
    <col min="12312" max="12312" width="25.85546875" style="1864" customWidth="1"/>
    <col min="12313" max="12544" width="0.85546875" style="1864"/>
    <col min="12545" max="12545" width="9.85546875" style="1864" customWidth="1"/>
    <col min="12546" max="12546" width="81.85546875" style="1864" customWidth="1"/>
    <col min="12547" max="12547" width="12.7109375" style="1864" customWidth="1"/>
    <col min="12548" max="12548" width="12.42578125" style="1864" customWidth="1"/>
    <col min="12549" max="12549" width="14.5703125" style="1864" customWidth="1"/>
    <col min="12550" max="12550" width="12.28515625" style="1864" customWidth="1"/>
    <col min="12551" max="12551" width="38.140625" style="1864" customWidth="1"/>
    <col min="12552" max="12552" width="46.85546875" style="1864" customWidth="1"/>
    <col min="12553" max="12555" width="12.7109375" style="1864" customWidth="1"/>
    <col min="12556" max="12556" width="9.28515625" style="1864" customWidth="1"/>
    <col min="12557" max="12557" width="13.5703125" style="1864" customWidth="1"/>
    <col min="12558" max="12558" width="10.28515625" style="1864" customWidth="1"/>
    <col min="12559" max="12559" width="12.85546875" style="1864" customWidth="1"/>
    <col min="12560" max="12560" width="9.140625" style="1864" customWidth="1"/>
    <col min="12561" max="12561" width="9.7109375" style="1864" customWidth="1"/>
    <col min="12562" max="12562" width="9.28515625" style="1864" customWidth="1"/>
    <col min="12563" max="12563" width="9.42578125" style="1864" customWidth="1"/>
    <col min="12564" max="12564" width="10.5703125" style="1864" customWidth="1"/>
    <col min="12565" max="12565" width="12.42578125" style="1864" customWidth="1"/>
    <col min="12566" max="12566" width="14.5703125" style="1864" customWidth="1"/>
    <col min="12567" max="12567" width="12.28515625" style="1864" customWidth="1"/>
    <col min="12568" max="12568" width="25.85546875" style="1864" customWidth="1"/>
    <col min="12569" max="12800" width="0.85546875" style="1864"/>
    <col min="12801" max="12801" width="9.85546875" style="1864" customWidth="1"/>
    <col min="12802" max="12802" width="81.85546875" style="1864" customWidth="1"/>
    <col min="12803" max="12803" width="12.7109375" style="1864" customWidth="1"/>
    <col min="12804" max="12804" width="12.42578125" style="1864" customWidth="1"/>
    <col min="12805" max="12805" width="14.5703125" style="1864" customWidth="1"/>
    <col min="12806" max="12806" width="12.28515625" style="1864" customWidth="1"/>
    <col min="12807" max="12807" width="38.140625" style="1864" customWidth="1"/>
    <col min="12808" max="12808" width="46.85546875" style="1864" customWidth="1"/>
    <col min="12809" max="12811" width="12.7109375" style="1864" customWidth="1"/>
    <col min="12812" max="12812" width="9.28515625" style="1864" customWidth="1"/>
    <col min="12813" max="12813" width="13.5703125" style="1864" customWidth="1"/>
    <col min="12814" max="12814" width="10.28515625" style="1864" customWidth="1"/>
    <col min="12815" max="12815" width="12.85546875" style="1864" customWidth="1"/>
    <col min="12816" max="12816" width="9.140625" style="1864" customWidth="1"/>
    <col min="12817" max="12817" width="9.7109375" style="1864" customWidth="1"/>
    <col min="12818" max="12818" width="9.28515625" style="1864" customWidth="1"/>
    <col min="12819" max="12819" width="9.42578125" style="1864" customWidth="1"/>
    <col min="12820" max="12820" width="10.5703125" style="1864" customWidth="1"/>
    <col min="12821" max="12821" width="12.42578125" style="1864" customWidth="1"/>
    <col min="12822" max="12822" width="14.5703125" style="1864" customWidth="1"/>
    <col min="12823" max="12823" width="12.28515625" style="1864" customWidth="1"/>
    <col min="12824" max="12824" width="25.85546875" style="1864" customWidth="1"/>
    <col min="12825" max="13056" width="0.85546875" style="1864"/>
    <col min="13057" max="13057" width="9.85546875" style="1864" customWidth="1"/>
    <col min="13058" max="13058" width="81.85546875" style="1864" customWidth="1"/>
    <col min="13059" max="13059" width="12.7109375" style="1864" customWidth="1"/>
    <col min="13060" max="13060" width="12.42578125" style="1864" customWidth="1"/>
    <col min="13061" max="13061" width="14.5703125" style="1864" customWidth="1"/>
    <col min="13062" max="13062" width="12.28515625" style="1864" customWidth="1"/>
    <col min="13063" max="13063" width="38.140625" style="1864" customWidth="1"/>
    <col min="13064" max="13064" width="46.85546875" style="1864" customWidth="1"/>
    <col min="13065" max="13067" width="12.7109375" style="1864" customWidth="1"/>
    <col min="13068" max="13068" width="9.28515625" style="1864" customWidth="1"/>
    <col min="13069" max="13069" width="13.5703125" style="1864" customWidth="1"/>
    <col min="13070" max="13070" width="10.28515625" style="1864" customWidth="1"/>
    <col min="13071" max="13071" width="12.85546875" style="1864" customWidth="1"/>
    <col min="13072" max="13072" width="9.140625" style="1864" customWidth="1"/>
    <col min="13073" max="13073" width="9.7109375" style="1864" customWidth="1"/>
    <col min="13074" max="13074" width="9.28515625" style="1864" customWidth="1"/>
    <col min="13075" max="13075" width="9.42578125" style="1864" customWidth="1"/>
    <col min="13076" max="13076" width="10.5703125" style="1864" customWidth="1"/>
    <col min="13077" max="13077" width="12.42578125" style="1864" customWidth="1"/>
    <col min="13078" max="13078" width="14.5703125" style="1864" customWidth="1"/>
    <col min="13079" max="13079" width="12.28515625" style="1864" customWidth="1"/>
    <col min="13080" max="13080" width="25.85546875" style="1864" customWidth="1"/>
    <col min="13081" max="13312" width="0.85546875" style="1864"/>
    <col min="13313" max="13313" width="9.85546875" style="1864" customWidth="1"/>
    <col min="13314" max="13314" width="81.85546875" style="1864" customWidth="1"/>
    <col min="13315" max="13315" width="12.7109375" style="1864" customWidth="1"/>
    <col min="13316" max="13316" width="12.42578125" style="1864" customWidth="1"/>
    <col min="13317" max="13317" width="14.5703125" style="1864" customWidth="1"/>
    <col min="13318" max="13318" width="12.28515625" style="1864" customWidth="1"/>
    <col min="13319" max="13319" width="38.140625" style="1864" customWidth="1"/>
    <col min="13320" max="13320" width="46.85546875" style="1864" customWidth="1"/>
    <col min="13321" max="13323" width="12.7109375" style="1864" customWidth="1"/>
    <col min="13324" max="13324" width="9.28515625" style="1864" customWidth="1"/>
    <col min="13325" max="13325" width="13.5703125" style="1864" customWidth="1"/>
    <col min="13326" max="13326" width="10.28515625" style="1864" customWidth="1"/>
    <col min="13327" max="13327" width="12.85546875" style="1864" customWidth="1"/>
    <col min="13328" max="13328" width="9.140625" style="1864" customWidth="1"/>
    <col min="13329" max="13329" width="9.7109375" style="1864" customWidth="1"/>
    <col min="13330" max="13330" width="9.28515625" style="1864" customWidth="1"/>
    <col min="13331" max="13331" width="9.42578125" style="1864" customWidth="1"/>
    <col min="13332" max="13332" width="10.5703125" style="1864" customWidth="1"/>
    <col min="13333" max="13333" width="12.42578125" style="1864" customWidth="1"/>
    <col min="13334" max="13334" width="14.5703125" style="1864" customWidth="1"/>
    <col min="13335" max="13335" width="12.28515625" style="1864" customWidth="1"/>
    <col min="13336" max="13336" width="25.85546875" style="1864" customWidth="1"/>
    <col min="13337" max="13568" width="0.85546875" style="1864"/>
    <col min="13569" max="13569" width="9.85546875" style="1864" customWidth="1"/>
    <col min="13570" max="13570" width="81.85546875" style="1864" customWidth="1"/>
    <col min="13571" max="13571" width="12.7109375" style="1864" customWidth="1"/>
    <col min="13572" max="13572" width="12.42578125" style="1864" customWidth="1"/>
    <col min="13573" max="13573" width="14.5703125" style="1864" customWidth="1"/>
    <col min="13574" max="13574" width="12.28515625" style="1864" customWidth="1"/>
    <col min="13575" max="13575" width="38.140625" style="1864" customWidth="1"/>
    <col min="13576" max="13576" width="46.85546875" style="1864" customWidth="1"/>
    <col min="13577" max="13579" width="12.7109375" style="1864" customWidth="1"/>
    <col min="13580" max="13580" width="9.28515625" style="1864" customWidth="1"/>
    <col min="13581" max="13581" width="13.5703125" style="1864" customWidth="1"/>
    <col min="13582" max="13582" width="10.28515625" style="1864" customWidth="1"/>
    <col min="13583" max="13583" width="12.85546875" style="1864" customWidth="1"/>
    <col min="13584" max="13584" width="9.140625" style="1864" customWidth="1"/>
    <col min="13585" max="13585" width="9.7109375" style="1864" customWidth="1"/>
    <col min="13586" max="13586" width="9.28515625" style="1864" customWidth="1"/>
    <col min="13587" max="13587" width="9.42578125" style="1864" customWidth="1"/>
    <col min="13588" max="13588" width="10.5703125" style="1864" customWidth="1"/>
    <col min="13589" max="13589" width="12.42578125" style="1864" customWidth="1"/>
    <col min="13590" max="13590" width="14.5703125" style="1864" customWidth="1"/>
    <col min="13591" max="13591" width="12.28515625" style="1864" customWidth="1"/>
    <col min="13592" max="13592" width="25.85546875" style="1864" customWidth="1"/>
    <col min="13593" max="13824" width="0.85546875" style="1864"/>
    <col min="13825" max="13825" width="9.85546875" style="1864" customWidth="1"/>
    <col min="13826" max="13826" width="81.85546875" style="1864" customWidth="1"/>
    <col min="13827" max="13827" width="12.7109375" style="1864" customWidth="1"/>
    <col min="13828" max="13828" width="12.42578125" style="1864" customWidth="1"/>
    <col min="13829" max="13829" width="14.5703125" style="1864" customWidth="1"/>
    <col min="13830" max="13830" width="12.28515625" style="1864" customWidth="1"/>
    <col min="13831" max="13831" width="38.140625" style="1864" customWidth="1"/>
    <col min="13832" max="13832" width="46.85546875" style="1864" customWidth="1"/>
    <col min="13833" max="13835" width="12.7109375" style="1864" customWidth="1"/>
    <col min="13836" max="13836" width="9.28515625" style="1864" customWidth="1"/>
    <col min="13837" max="13837" width="13.5703125" style="1864" customWidth="1"/>
    <col min="13838" max="13838" width="10.28515625" style="1864" customWidth="1"/>
    <col min="13839" max="13839" width="12.85546875" style="1864" customWidth="1"/>
    <col min="13840" max="13840" width="9.140625" style="1864" customWidth="1"/>
    <col min="13841" max="13841" width="9.7109375" style="1864" customWidth="1"/>
    <col min="13842" max="13842" width="9.28515625" style="1864" customWidth="1"/>
    <col min="13843" max="13843" width="9.42578125" style="1864" customWidth="1"/>
    <col min="13844" max="13844" width="10.5703125" style="1864" customWidth="1"/>
    <col min="13845" max="13845" width="12.42578125" style="1864" customWidth="1"/>
    <col min="13846" max="13846" width="14.5703125" style="1864" customWidth="1"/>
    <col min="13847" max="13847" width="12.28515625" style="1864" customWidth="1"/>
    <col min="13848" max="13848" width="25.85546875" style="1864" customWidth="1"/>
    <col min="13849" max="14080" width="0.85546875" style="1864"/>
    <col min="14081" max="14081" width="9.85546875" style="1864" customWidth="1"/>
    <col min="14082" max="14082" width="81.85546875" style="1864" customWidth="1"/>
    <col min="14083" max="14083" width="12.7109375" style="1864" customWidth="1"/>
    <col min="14084" max="14084" width="12.42578125" style="1864" customWidth="1"/>
    <col min="14085" max="14085" width="14.5703125" style="1864" customWidth="1"/>
    <col min="14086" max="14086" width="12.28515625" style="1864" customWidth="1"/>
    <col min="14087" max="14087" width="38.140625" style="1864" customWidth="1"/>
    <col min="14088" max="14088" width="46.85546875" style="1864" customWidth="1"/>
    <col min="14089" max="14091" width="12.7109375" style="1864" customWidth="1"/>
    <col min="14092" max="14092" width="9.28515625" style="1864" customWidth="1"/>
    <col min="14093" max="14093" width="13.5703125" style="1864" customWidth="1"/>
    <col min="14094" max="14094" width="10.28515625" style="1864" customWidth="1"/>
    <col min="14095" max="14095" width="12.85546875" style="1864" customWidth="1"/>
    <col min="14096" max="14096" width="9.140625" style="1864" customWidth="1"/>
    <col min="14097" max="14097" width="9.7109375" style="1864" customWidth="1"/>
    <col min="14098" max="14098" width="9.28515625" style="1864" customWidth="1"/>
    <col min="14099" max="14099" width="9.42578125" style="1864" customWidth="1"/>
    <col min="14100" max="14100" width="10.5703125" style="1864" customWidth="1"/>
    <col min="14101" max="14101" width="12.42578125" style="1864" customWidth="1"/>
    <col min="14102" max="14102" width="14.5703125" style="1864" customWidth="1"/>
    <col min="14103" max="14103" width="12.28515625" style="1864" customWidth="1"/>
    <col min="14104" max="14104" width="25.85546875" style="1864" customWidth="1"/>
    <col min="14105" max="14336" width="0.85546875" style="1864"/>
    <col min="14337" max="14337" width="9.85546875" style="1864" customWidth="1"/>
    <col min="14338" max="14338" width="81.85546875" style="1864" customWidth="1"/>
    <col min="14339" max="14339" width="12.7109375" style="1864" customWidth="1"/>
    <col min="14340" max="14340" width="12.42578125" style="1864" customWidth="1"/>
    <col min="14341" max="14341" width="14.5703125" style="1864" customWidth="1"/>
    <col min="14342" max="14342" width="12.28515625" style="1864" customWidth="1"/>
    <col min="14343" max="14343" width="38.140625" style="1864" customWidth="1"/>
    <col min="14344" max="14344" width="46.85546875" style="1864" customWidth="1"/>
    <col min="14345" max="14347" width="12.7109375" style="1864" customWidth="1"/>
    <col min="14348" max="14348" width="9.28515625" style="1864" customWidth="1"/>
    <col min="14349" max="14349" width="13.5703125" style="1864" customWidth="1"/>
    <col min="14350" max="14350" width="10.28515625" style="1864" customWidth="1"/>
    <col min="14351" max="14351" width="12.85546875" style="1864" customWidth="1"/>
    <col min="14352" max="14352" width="9.140625" style="1864" customWidth="1"/>
    <col min="14353" max="14353" width="9.7109375" style="1864" customWidth="1"/>
    <col min="14354" max="14354" width="9.28515625" style="1864" customWidth="1"/>
    <col min="14355" max="14355" width="9.42578125" style="1864" customWidth="1"/>
    <col min="14356" max="14356" width="10.5703125" style="1864" customWidth="1"/>
    <col min="14357" max="14357" width="12.42578125" style="1864" customWidth="1"/>
    <col min="14358" max="14358" width="14.5703125" style="1864" customWidth="1"/>
    <col min="14359" max="14359" width="12.28515625" style="1864" customWidth="1"/>
    <col min="14360" max="14360" width="25.85546875" style="1864" customWidth="1"/>
    <col min="14361" max="14592" width="0.85546875" style="1864"/>
    <col min="14593" max="14593" width="9.85546875" style="1864" customWidth="1"/>
    <col min="14594" max="14594" width="81.85546875" style="1864" customWidth="1"/>
    <col min="14595" max="14595" width="12.7109375" style="1864" customWidth="1"/>
    <col min="14596" max="14596" width="12.42578125" style="1864" customWidth="1"/>
    <col min="14597" max="14597" width="14.5703125" style="1864" customWidth="1"/>
    <col min="14598" max="14598" width="12.28515625" style="1864" customWidth="1"/>
    <col min="14599" max="14599" width="38.140625" style="1864" customWidth="1"/>
    <col min="14600" max="14600" width="46.85546875" style="1864" customWidth="1"/>
    <col min="14601" max="14603" width="12.7109375" style="1864" customWidth="1"/>
    <col min="14604" max="14604" width="9.28515625" style="1864" customWidth="1"/>
    <col min="14605" max="14605" width="13.5703125" style="1864" customWidth="1"/>
    <col min="14606" max="14606" width="10.28515625" style="1864" customWidth="1"/>
    <col min="14607" max="14607" width="12.85546875" style="1864" customWidth="1"/>
    <col min="14608" max="14608" width="9.140625" style="1864" customWidth="1"/>
    <col min="14609" max="14609" width="9.7109375" style="1864" customWidth="1"/>
    <col min="14610" max="14610" width="9.28515625" style="1864" customWidth="1"/>
    <col min="14611" max="14611" width="9.42578125" style="1864" customWidth="1"/>
    <col min="14612" max="14612" width="10.5703125" style="1864" customWidth="1"/>
    <col min="14613" max="14613" width="12.42578125" style="1864" customWidth="1"/>
    <col min="14614" max="14614" width="14.5703125" style="1864" customWidth="1"/>
    <col min="14615" max="14615" width="12.28515625" style="1864" customWidth="1"/>
    <col min="14616" max="14616" width="25.85546875" style="1864" customWidth="1"/>
    <col min="14617" max="14848" width="0.85546875" style="1864"/>
    <col min="14849" max="14849" width="9.85546875" style="1864" customWidth="1"/>
    <col min="14850" max="14850" width="81.85546875" style="1864" customWidth="1"/>
    <col min="14851" max="14851" width="12.7109375" style="1864" customWidth="1"/>
    <col min="14852" max="14852" width="12.42578125" style="1864" customWidth="1"/>
    <col min="14853" max="14853" width="14.5703125" style="1864" customWidth="1"/>
    <col min="14854" max="14854" width="12.28515625" style="1864" customWidth="1"/>
    <col min="14855" max="14855" width="38.140625" style="1864" customWidth="1"/>
    <col min="14856" max="14856" width="46.85546875" style="1864" customWidth="1"/>
    <col min="14857" max="14859" width="12.7109375" style="1864" customWidth="1"/>
    <col min="14860" max="14860" width="9.28515625" style="1864" customWidth="1"/>
    <col min="14861" max="14861" width="13.5703125" style="1864" customWidth="1"/>
    <col min="14862" max="14862" width="10.28515625" style="1864" customWidth="1"/>
    <col min="14863" max="14863" width="12.85546875" style="1864" customWidth="1"/>
    <col min="14864" max="14864" width="9.140625" style="1864" customWidth="1"/>
    <col min="14865" max="14865" width="9.7109375" style="1864" customWidth="1"/>
    <col min="14866" max="14866" width="9.28515625" style="1864" customWidth="1"/>
    <col min="14867" max="14867" width="9.42578125" style="1864" customWidth="1"/>
    <col min="14868" max="14868" width="10.5703125" style="1864" customWidth="1"/>
    <col min="14869" max="14869" width="12.42578125" style="1864" customWidth="1"/>
    <col min="14870" max="14870" width="14.5703125" style="1864" customWidth="1"/>
    <col min="14871" max="14871" width="12.28515625" style="1864" customWidth="1"/>
    <col min="14872" max="14872" width="25.85546875" style="1864" customWidth="1"/>
    <col min="14873" max="15104" width="0.85546875" style="1864"/>
    <col min="15105" max="15105" width="9.85546875" style="1864" customWidth="1"/>
    <col min="15106" max="15106" width="81.85546875" style="1864" customWidth="1"/>
    <col min="15107" max="15107" width="12.7109375" style="1864" customWidth="1"/>
    <col min="15108" max="15108" width="12.42578125" style="1864" customWidth="1"/>
    <col min="15109" max="15109" width="14.5703125" style="1864" customWidth="1"/>
    <col min="15110" max="15110" width="12.28515625" style="1864" customWidth="1"/>
    <col min="15111" max="15111" width="38.140625" style="1864" customWidth="1"/>
    <col min="15112" max="15112" width="46.85546875" style="1864" customWidth="1"/>
    <col min="15113" max="15115" width="12.7109375" style="1864" customWidth="1"/>
    <col min="15116" max="15116" width="9.28515625" style="1864" customWidth="1"/>
    <col min="15117" max="15117" width="13.5703125" style="1864" customWidth="1"/>
    <col min="15118" max="15118" width="10.28515625" style="1864" customWidth="1"/>
    <col min="15119" max="15119" width="12.85546875" style="1864" customWidth="1"/>
    <col min="15120" max="15120" width="9.140625" style="1864" customWidth="1"/>
    <col min="15121" max="15121" width="9.7109375" style="1864" customWidth="1"/>
    <col min="15122" max="15122" width="9.28515625" style="1864" customWidth="1"/>
    <col min="15123" max="15123" width="9.42578125" style="1864" customWidth="1"/>
    <col min="15124" max="15124" width="10.5703125" style="1864" customWidth="1"/>
    <col min="15125" max="15125" width="12.42578125" style="1864" customWidth="1"/>
    <col min="15126" max="15126" width="14.5703125" style="1864" customWidth="1"/>
    <col min="15127" max="15127" width="12.28515625" style="1864" customWidth="1"/>
    <col min="15128" max="15128" width="25.85546875" style="1864" customWidth="1"/>
    <col min="15129" max="15360" width="0.85546875" style="1864"/>
    <col min="15361" max="15361" width="9.85546875" style="1864" customWidth="1"/>
    <col min="15362" max="15362" width="81.85546875" style="1864" customWidth="1"/>
    <col min="15363" max="15363" width="12.7109375" style="1864" customWidth="1"/>
    <col min="15364" max="15364" width="12.42578125" style="1864" customWidth="1"/>
    <col min="15365" max="15365" width="14.5703125" style="1864" customWidth="1"/>
    <col min="15366" max="15366" width="12.28515625" style="1864" customWidth="1"/>
    <col min="15367" max="15367" width="38.140625" style="1864" customWidth="1"/>
    <col min="15368" max="15368" width="46.85546875" style="1864" customWidth="1"/>
    <col min="15369" max="15371" width="12.7109375" style="1864" customWidth="1"/>
    <col min="15372" max="15372" width="9.28515625" style="1864" customWidth="1"/>
    <col min="15373" max="15373" width="13.5703125" style="1864" customWidth="1"/>
    <col min="15374" max="15374" width="10.28515625" style="1864" customWidth="1"/>
    <col min="15375" max="15375" width="12.85546875" style="1864" customWidth="1"/>
    <col min="15376" max="15376" width="9.140625" style="1864" customWidth="1"/>
    <col min="15377" max="15377" width="9.7109375" style="1864" customWidth="1"/>
    <col min="15378" max="15378" width="9.28515625" style="1864" customWidth="1"/>
    <col min="15379" max="15379" width="9.42578125" style="1864" customWidth="1"/>
    <col min="15380" max="15380" width="10.5703125" style="1864" customWidth="1"/>
    <col min="15381" max="15381" width="12.42578125" style="1864" customWidth="1"/>
    <col min="15382" max="15382" width="14.5703125" style="1864" customWidth="1"/>
    <col min="15383" max="15383" width="12.28515625" style="1864" customWidth="1"/>
    <col min="15384" max="15384" width="25.85546875" style="1864" customWidth="1"/>
    <col min="15385" max="15616" width="0.85546875" style="1864"/>
    <col min="15617" max="15617" width="9.85546875" style="1864" customWidth="1"/>
    <col min="15618" max="15618" width="81.85546875" style="1864" customWidth="1"/>
    <col min="15619" max="15619" width="12.7109375" style="1864" customWidth="1"/>
    <col min="15620" max="15620" width="12.42578125" style="1864" customWidth="1"/>
    <col min="15621" max="15621" width="14.5703125" style="1864" customWidth="1"/>
    <col min="15622" max="15622" width="12.28515625" style="1864" customWidth="1"/>
    <col min="15623" max="15623" width="38.140625" style="1864" customWidth="1"/>
    <col min="15624" max="15624" width="46.85546875" style="1864" customWidth="1"/>
    <col min="15625" max="15627" width="12.7109375" style="1864" customWidth="1"/>
    <col min="15628" max="15628" width="9.28515625" style="1864" customWidth="1"/>
    <col min="15629" max="15629" width="13.5703125" style="1864" customWidth="1"/>
    <col min="15630" max="15630" width="10.28515625" style="1864" customWidth="1"/>
    <col min="15631" max="15631" width="12.85546875" style="1864" customWidth="1"/>
    <col min="15632" max="15632" width="9.140625" style="1864" customWidth="1"/>
    <col min="15633" max="15633" width="9.7109375" style="1864" customWidth="1"/>
    <col min="15634" max="15634" width="9.28515625" style="1864" customWidth="1"/>
    <col min="15635" max="15635" width="9.42578125" style="1864" customWidth="1"/>
    <col min="15636" max="15636" width="10.5703125" style="1864" customWidth="1"/>
    <col min="15637" max="15637" width="12.42578125" style="1864" customWidth="1"/>
    <col min="15638" max="15638" width="14.5703125" style="1864" customWidth="1"/>
    <col min="15639" max="15639" width="12.28515625" style="1864" customWidth="1"/>
    <col min="15640" max="15640" width="25.85546875" style="1864" customWidth="1"/>
    <col min="15641" max="15872" width="0.85546875" style="1864"/>
    <col min="15873" max="15873" width="9.85546875" style="1864" customWidth="1"/>
    <col min="15874" max="15874" width="81.85546875" style="1864" customWidth="1"/>
    <col min="15875" max="15875" width="12.7109375" style="1864" customWidth="1"/>
    <col min="15876" max="15876" width="12.42578125" style="1864" customWidth="1"/>
    <col min="15877" max="15877" width="14.5703125" style="1864" customWidth="1"/>
    <col min="15878" max="15878" width="12.28515625" style="1864" customWidth="1"/>
    <col min="15879" max="15879" width="38.140625" style="1864" customWidth="1"/>
    <col min="15880" max="15880" width="46.85546875" style="1864" customWidth="1"/>
    <col min="15881" max="15883" width="12.7109375" style="1864" customWidth="1"/>
    <col min="15884" max="15884" width="9.28515625" style="1864" customWidth="1"/>
    <col min="15885" max="15885" width="13.5703125" style="1864" customWidth="1"/>
    <col min="15886" max="15886" width="10.28515625" style="1864" customWidth="1"/>
    <col min="15887" max="15887" width="12.85546875" style="1864" customWidth="1"/>
    <col min="15888" max="15888" width="9.140625" style="1864" customWidth="1"/>
    <col min="15889" max="15889" width="9.7109375" style="1864" customWidth="1"/>
    <col min="15890" max="15890" width="9.28515625" style="1864" customWidth="1"/>
    <col min="15891" max="15891" width="9.42578125" style="1864" customWidth="1"/>
    <col min="15892" max="15892" width="10.5703125" style="1864" customWidth="1"/>
    <col min="15893" max="15893" width="12.42578125" style="1864" customWidth="1"/>
    <col min="15894" max="15894" width="14.5703125" style="1864" customWidth="1"/>
    <col min="15895" max="15895" width="12.28515625" style="1864" customWidth="1"/>
    <col min="15896" max="15896" width="25.85546875" style="1864" customWidth="1"/>
    <col min="15897" max="16128" width="0.85546875" style="1864"/>
    <col min="16129" max="16129" width="9.85546875" style="1864" customWidth="1"/>
    <col min="16130" max="16130" width="81.85546875" style="1864" customWidth="1"/>
    <col min="16131" max="16131" width="12.7109375" style="1864" customWidth="1"/>
    <col min="16132" max="16132" width="12.42578125" style="1864" customWidth="1"/>
    <col min="16133" max="16133" width="14.5703125" style="1864" customWidth="1"/>
    <col min="16134" max="16134" width="12.28515625" style="1864" customWidth="1"/>
    <col min="16135" max="16135" width="38.140625" style="1864" customWidth="1"/>
    <col min="16136" max="16136" width="46.85546875" style="1864" customWidth="1"/>
    <col min="16137" max="16139" width="12.7109375" style="1864" customWidth="1"/>
    <col min="16140" max="16140" width="9.28515625" style="1864" customWidth="1"/>
    <col min="16141" max="16141" width="13.5703125" style="1864" customWidth="1"/>
    <col min="16142" max="16142" width="10.28515625" style="1864" customWidth="1"/>
    <col min="16143" max="16143" width="12.85546875" style="1864" customWidth="1"/>
    <col min="16144" max="16144" width="9.140625" style="1864" customWidth="1"/>
    <col min="16145" max="16145" width="9.7109375" style="1864" customWidth="1"/>
    <col min="16146" max="16146" width="9.28515625" style="1864" customWidth="1"/>
    <col min="16147" max="16147" width="9.42578125" style="1864" customWidth="1"/>
    <col min="16148" max="16148" width="10.5703125" style="1864" customWidth="1"/>
    <col min="16149" max="16149" width="12.42578125" style="1864" customWidth="1"/>
    <col min="16150" max="16150" width="14.5703125" style="1864" customWidth="1"/>
    <col min="16151" max="16151" width="12.28515625" style="1864" customWidth="1"/>
    <col min="16152" max="16152" width="25.85546875" style="1864" customWidth="1"/>
    <col min="16153" max="16384" width="0.85546875" style="1864"/>
  </cols>
  <sheetData>
    <row r="1" spans="1:7">
      <c r="G1" s="1864" t="s">
        <v>1526</v>
      </c>
    </row>
    <row r="2" spans="1:7" ht="29.25" customHeight="1">
      <c r="A2" s="6527" t="s">
        <v>1001</v>
      </c>
      <c r="B2" s="6527"/>
      <c r="C2" s="6527"/>
      <c r="D2" s="6527"/>
      <c r="E2" s="6527"/>
      <c r="F2" s="6527"/>
      <c r="G2" s="6527"/>
    </row>
    <row r="4" spans="1:7" ht="15.75" customHeight="1">
      <c r="A4" s="6528" t="s">
        <v>908</v>
      </c>
      <c r="B4" s="6528" t="s">
        <v>373</v>
      </c>
      <c r="C4" s="6528" t="s">
        <v>909</v>
      </c>
      <c r="D4" s="6529" t="s">
        <v>392</v>
      </c>
      <c r="E4" s="6530"/>
      <c r="F4" s="6531"/>
      <c r="G4" s="6532" t="s">
        <v>910</v>
      </c>
    </row>
    <row r="5" spans="1:7" ht="15.75">
      <c r="A5" s="6528"/>
      <c r="B5" s="6528"/>
      <c r="C5" s="6528"/>
      <c r="D5" s="1865" t="s">
        <v>832</v>
      </c>
      <c r="E5" s="1865" t="s">
        <v>911</v>
      </c>
      <c r="F5" s="1865" t="s">
        <v>912</v>
      </c>
      <c r="G5" s="6533"/>
    </row>
    <row r="6" spans="1:7" s="1870" customFormat="1" ht="21.75" customHeight="1">
      <c r="A6" s="1866"/>
      <c r="B6" s="1867" t="s">
        <v>913</v>
      </c>
      <c r="C6" s="6525" t="s">
        <v>914</v>
      </c>
      <c r="D6" s="6526" t="s">
        <v>914</v>
      </c>
      <c r="E6" s="1868">
        <v>0.01</v>
      </c>
      <c r="F6" s="1868">
        <v>0.01</v>
      </c>
      <c r="G6" s="1869"/>
    </row>
    <row r="7" spans="1:7" s="1870" customFormat="1" ht="21.75" customHeight="1">
      <c r="A7" s="1866"/>
      <c r="B7" s="1867" t="s">
        <v>915</v>
      </c>
      <c r="C7" s="5037"/>
      <c r="D7" s="5012"/>
      <c r="E7" s="1871">
        <v>7.3999999999999996E-2</v>
      </c>
      <c r="F7" s="1871">
        <v>5.8000000000000003E-2</v>
      </c>
      <c r="G7" s="1869"/>
    </row>
    <row r="8" spans="1:7" s="1870" customFormat="1" ht="21.75" customHeight="1">
      <c r="A8" s="1866"/>
      <c r="B8" s="1867" t="s">
        <v>916</v>
      </c>
      <c r="C8" s="5038"/>
      <c r="D8" s="5013"/>
      <c r="E8" s="1872">
        <v>0</v>
      </c>
      <c r="F8" s="1872">
        <v>0</v>
      </c>
      <c r="G8" s="1869"/>
    </row>
    <row r="9" spans="1:7" s="1877" customFormat="1" ht="15.75">
      <c r="A9" s="1873">
        <v>1</v>
      </c>
      <c r="B9" s="1874" t="s">
        <v>917</v>
      </c>
      <c r="C9" s="1873" t="s">
        <v>918</v>
      </c>
      <c r="D9" s="1875">
        <f>D10+D21+D23+D27</f>
        <v>343.9835261858193</v>
      </c>
      <c r="E9" s="1875">
        <f>E10+E21+E23+E27</f>
        <v>365.47057324836703</v>
      </c>
      <c r="F9" s="1875">
        <f>F10+F21+F23+F27</f>
        <v>383.9150064552764</v>
      </c>
      <c r="G9" s="1876"/>
    </row>
    <row r="10" spans="1:7" s="1882" customFormat="1" ht="15.75">
      <c r="A10" s="1878" t="s">
        <v>919</v>
      </c>
      <c r="B10" s="1879" t="s">
        <v>920</v>
      </c>
      <c r="C10" s="1878" t="s">
        <v>918</v>
      </c>
      <c r="D10" s="1880">
        <f>D11+D12+D13</f>
        <v>308.73219768114552</v>
      </c>
      <c r="E10" s="1880">
        <f>E11+E12+E13</f>
        <v>330.21924474369331</v>
      </c>
      <c r="F10" s="1880">
        <f>F11+F12+F13</f>
        <v>348.66367795060262</v>
      </c>
      <c r="G10" s="1881"/>
    </row>
    <row r="11" spans="1:7" s="1887" customFormat="1" ht="21.75" customHeight="1">
      <c r="A11" s="1883" t="s">
        <v>921</v>
      </c>
      <c r="B11" s="1884" t="s">
        <v>922</v>
      </c>
      <c r="C11" s="1883" t="s">
        <v>918</v>
      </c>
      <c r="D11" s="1885">
        <f>вода!BJ115+вода!BJ116+вода!BJ117+вода!BJ118+вода!BJ119+вода!BJ121</f>
        <v>270.46955781056386</v>
      </c>
      <c r="E11" s="1885">
        <f>D11*(1-E6)*(1+E7)*(1+E8)</f>
        <v>287.57946203766011</v>
      </c>
      <c r="F11" s="1885">
        <f>E11*(1-F6)*(1+F7)*(1+F8)</f>
        <v>301.21648012748597</v>
      </c>
      <c r="G11" s="1886"/>
    </row>
    <row r="12" spans="1:7" s="1887" customFormat="1" ht="33" customHeight="1">
      <c r="A12" s="1883" t="s">
        <v>923</v>
      </c>
      <c r="B12" s="1884" t="s">
        <v>924</v>
      </c>
      <c r="C12" s="1883" t="s">
        <v>918</v>
      </c>
      <c r="D12" s="1885">
        <f>вода!BJ113</f>
        <v>20.640199168723029</v>
      </c>
      <c r="E12" s="1885">
        <f>D12*1.084</f>
        <v>22.373975898895765</v>
      </c>
      <c r="F12" s="1885">
        <f>E12*1.079</f>
        <v>24.141519994908528</v>
      </c>
      <c r="G12" s="1886" t="s">
        <v>250</v>
      </c>
    </row>
    <row r="13" spans="1:7" s="1887" customFormat="1" ht="15.75">
      <c r="A13" s="1883" t="s">
        <v>925</v>
      </c>
      <c r="B13" s="1884" t="s">
        <v>926</v>
      </c>
      <c r="C13" s="1883" t="s">
        <v>918</v>
      </c>
      <c r="D13" s="1885">
        <f>D14+D15+D16+D17+D20</f>
        <v>17.622440701858665</v>
      </c>
      <c r="E13" s="1885">
        <f t="shared" ref="E13:F13" si="0">E14+E15+E16+E17+E20</f>
        <v>20.265806807137462</v>
      </c>
      <c r="F13" s="1885">
        <f t="shared" si="0"/>
        <v>23.305677828208079</v>
      </c>
      <c r="G13" s="1886"/>
    </row>
    <row r="14" spans="1:7" s="1892" customFormat="1" ht="26.25" customHeight="1">
      <c r="A14" s="1888" t="s">
        <v>927</v>
      </c>
      <c r="B14" s="1889" t="s">
        <v>928</v>
      </c>
      <c r="C14" s="1888" t="s">
        <v>918</v>
      </c>
      <c r="D14" s="1890">
        <v>0</v>
      </c>
      <c r="E14" s="1890">
        <v>0</v>
      </c>
      <c r="F14" s="1890">
        <f>E14*1.079</f>
        <v>0</v>
      </c>
      <c r="G14" s="1891"/>
    </row>
    <row r="15" spans="1:7" s="1892" customFormat="1" ht="41.25" customHeight="1">
      <c r="A15" s="1888" t="s">
        <v>929</v>
      </c>
      <c r="B15" s="1889" t="s">
        <v>930</v>
      </c>
      <c r="C15" s="1888" t="s">
        <v>918</v>
      </c>
      <c r="D15" s="1890">
        <f>вода!BJ120</f>
        <v>17.622440701858665</v>
      </c>
      <c r="E15" s="1890">
        <f>D15*1.15</f>
        <v>20.265806807137462</v>
      </c>
      <c r="F15" s="1890">
        <f>E15*1.15</f>
        <v>23.305677828208079</v>
      </c>
      <c r="G15" s="1891"/>
    </row>
    <row r="16" spans="1:7" s="1892" customFormat="1" ht="18" customHeight="1">
      <c r="A16" s="1888" t="s">
        <v>931</v>
      </c>
      <c r="B16" s="1889" t="s">
        <v>932</v>
      </c>
      <c r="C16" s="1888" t="s">
        <v>918</v>
      </c>
      <c r="D16" s="1890">
        <v>0</v>
      </c>
      <c r="E16" s="1890">
        <f>D16</f>
        <v>0</v>
      </c>
      <c r="F16" s="1890">
        <f>E16</f>
        <v>0</v>
      </c>
      <c r="G16" s="1891"/>
    </row>
    <row r="17" spans="1:7" s="1892" customFormat="1" ht="32.25" customHeight="1">
      <c r="A17" s="1888" t="s">
        <v>933</v>
      </c>
      <c r="B17" s="1889" t="s">
        <v>934</v>
      </c>
      <c r="C17" s="1888" t="s">
        <v>918</v>
      </c>
      <c r="D17" s="1890">
        <v>0</v>
      </c>
      <c r="E17" s="1890">
        <v>0</v>
      </c>
      <c r="F17" s="1890">
        <v>0</v>
      </c>
      <c r="G17" s="1891"/>
    </row>
    <row r="18" spans="1:7" s="1892" customFormat="1" ht="12.75">
      <c r="A18" s="1888" t="s">
        <v>935</v>
      </c>
      <c r="B18" s="1889" t="s">
        <v>936</v>
      </c>
      <c r="C18" s="1888" t="s">
        <v>918</v>
      </c>
      <c r="D18" s="1890"/>
      <c r="E18" s="1890"/>
      <c r="F18" s="1890"/>
      <c r="G18" s="1891"/>
    </row>
    <row r="19" spans="1:7" s="1892" customFormat="1" ht="12.75">
      <c r="A19" s="1888" t="s">
        <v>937</v>
      </c>
      <c r="B19" s="1889" t="s">
        <v>938</v>
      </c>
      <c r="C19" s="1888" t="s">
        <v>918</v>
      </c>
      <c r="D19" s="1890"/>
      <c r="E19" s="1890"/>
      <c r="F19" s="1890"/>
      <c r="G19" s="1891"/>
    </row>
    <row r="20" spans="1:7" s="1892" customFormat="1" ht="30.75" customHeight="1">
      <c r="A20" s="1888" t="s">
        <v>939</v>
      </c>
      <c r="B20" s="1889" t="s">
        <v>940</v>
      </c>
      <c r="C20" s="1888" t="s">
        <v>918</v>
      </c>
      <c r="D20" s="1890">
        <v>0</v>
      </c>
      <c r="E20" s="1890">
        <v>0</v>
      </c>
      <c r="F20" s="1890">
        <v>0</v>
      </c>
      <c r="G20" s="1891"/>
    </row>
    <row r="21" spans="1:7" s="1882" customFormat="1" ht="15.75">
      <c r="A21" s="1878" t="s">
        <v>941</v>
      </c>
      <c r="B21" s="1879" t="s">
        <v>2</v>
      </c>
      <c r="C21" s="1878" t="s">
        <v>918</v>
      </c>
      <c r="D21" s="1880">
        <f>вода!BJ114</f>
        <v>35.251328504673751</v>
      </c>
      <c r="E21" s="1880">
        <f>D21</f>
        <v>35.251328504673751</v>
      </c>
      <c r="F21" s="1880">
        <f>E21</f>
        <v>35.251328504673751</v>
      </c>
      <c r="G21" s="1881"/>
    </row>
    <row r="22" spans="1:7" s="1897" customFormat="1" ht="15.75">
      <c r="A22" s="1893" t="s">
        <v>202</v>
      </c>
      <c r="B22" s="1894" t="s">
        <v>942</v>
      </c>
      <c r="C22" s="1895" t="s">
        <v>44</v>
      </c>
      <c r="D22" s="1896">
        <f>D23/(D10+D21)*100</f>
        <v>0</v>
      </c>
      <c r="E22" s="1896">
        <f t="shared" ref="E22:F22" si="1">E23/(E10+E21)*100</f>
        <v>0</v>
      </c>
      <c r="F22" s="1896">
        <f t="shared" si="1"/>
        <v>0</v>
      </c>
      <c r="G22" s="1895"/>
    </row>
    <row r="23" spans="1:7" s="1882" customFormat="1" ht="15.75">
      <c r="A23" s="1878" t="s">
        <v>943</v>
      </c>
      <c r="B23" s="1879" t="s">
        <v>944</v>
      </c>
      <c r="C23" s="1878" t="s">
        <v>918</v>
      </c>
      <c r="D23" s="1880">
        <f>D24+D25+D26</f>
        <v>0</v>
      </c>
      <c r="E23" s="1880">
        <f t="shared" ref="E23:F23" si="2">E24+E25+E26</f>
        <v>0</v>
      </c>
      <c r="F23" s="1880">
        <f t="shared" si="2"/>
        <v>0</v>
      </c>
      <c r="G23" s="1881"/>
    </row>
    <row r="24" spans="1:7" s="1887" customFormat="1" ht="24" customHeight="1">
      <c r="A24" s="1883" t="s">
        <v>945</v>
      </c>
      <c r="B24" s="1884" t="s">
        <v>946</v>
      </c>
      <c r="C24" s="1883" t="s">
        <v>918</v>
      </c>
      <c r="D24" s="1885">
        <v>0</v>
      </c>
      <c r="E24" s="1885">
        <v>0</v>
      </c>
      <c r="F24" s="1885">
        <v>0</v>
      </c>
      <c r="G24" s="1886"/>
    </row>
    <row r="25" spans="1:7" s="1887" customFormat="1" ht="56.25" customHeight="1">
      <c r="A25" s="1883" t="s">
        <v>947</v>
      </c>
      <c r="B25" s="1884" t="s">
        <v>948</v>
      </c>
      <c r="C25" s="1883" t="s">
        <v>918</v>
      </c>
      <c r="D25" s="1885"/>
      <c r="E25" s="1885"/>
      <c r="F25" s="1885"/>
      <c r="G25" s="1886"/>
    </row>
    <row r="26" spans="1:7" s="1887" customFormat="1" ht="37.5" customHeight="1">
      <c r="A26" s="1883" t="s">
        <v>949</v>
      </c>
      <c r="B26" s="1884" t="s">
        <v>950</v>
      </c>
      <c r="C26" s="1883" t="s">
        <v>918</v>
      </c>
      <c r="D26" s="1885"/>
      <c r="E26" s="1885"/>
      <c r="F26" s="1885"/>
      <c r="G26" s="1886"/>
    </row>
    <row r="27" spans="1:7" s="1882" customFormat="1" ht="38.25" customHeight="1">
      <c r="A27" s="1878" t="s">
        <v>203</v>
      </c>
      <c r="B27" s="1879" t="s">
        <v>951</v>
      </c>
      <c r="C27" s="1878" t="s">
        <v>918</v>
      </c>
      <c r="D27" s="1880">
        <v>0</v>
      </c>
      <c r="E27" s="1880">
        <v>0</v>
      </c>
      <c r="F27" s="1880">
        <v>0</v>
      </c>
      <c r="G27" s="1881"/>
    </row>
    <row r="28" spans="1:7" s="1877" customFormat="1" ht="15.75">
      <c r="A28" s="1873">
        <v>2</v>
      </c>
      <c r="B28" s="1874" t="s">
        <v>952</v>
      </c>
      <c r="C28" s="1873" t="s">
        <v>953</v>
      </c>
      <c r="D28" s="1875">
        <f>объемы!V39</f>
        <v>21.419999999999998</v>
      </c>
      <c r="E28" s="1875">
        <f>D28</f>
        <v>21.419999999999998</v>
      </c>
      <c r="F28" s="1875">
        <f>E28</f>
        <v>21.419999999999998</v>
      </c>
      <c r="G28" s="1876"/>
    </row>
    <row r="29" spans="1:7" s="1877" customFormat="1" ht="15.75">
      <c r="A29" s="1873" t="s">
        <v>196</v>
      </c>
      <c r="B29" s="1898" t="s">
        <v>954</v>
      </c>
      <c r="C29" s="1873" t="s">
        <v>953</v>
      </c>
      <c r="D29" s="1875">
        <v>0</v>
      </c>
      <c r="E29" s="1875">
        <v>0</v>
      </c>
      <c r="F29" s="1875">
        <f>E29</f>
        <v>0</v>
      </c>
      <c r="G29" s="1876"/>
    </row>
    <row r="30" spans="1:7" s="1870" customFormat="1" ht="15.75">
      <c r="A30" s="1899" t="s">
        <v>955</v>
      </c>
      <c r="B30" s="1900" t="s">
        <v>956</v>
      </c>
      <c r="C30" s="1899" t="s">
        <v>957</v>
      </c>
      <c r="D30" s="1901">
        <f>D9/D28</f>
        <v>16.058988150598474</v>
      </c>
      <c r="E30" s="1901">
        <f>E9/E28</f>
        <v>17.062118265563356</v>
      </c>
      <c r="F30" s="1901">
        <f>F9/F28</f>
        <v>17.923202915745865</v>
      </c>
      <c r="G30" s="1869"/>
    </row>
    <row r="31" spans="1:7" s="1870" customFormat="1" ht="15.75">
      <c r="A31" s="1899"/>
      <c r="B31" s="1902" t="s">
        <v>958</v>
      </c>
      <c r="C31" s="1899" t="s">
        <v>957</v>
      </c>
      <c r="D31" s="1901">
        <v>18.420000000000002</v>
      </c>
      <c r="E31" s="1901">
        <f>D32</f>
        <v>13.697976301196945</v>
      </c>
      <c r="F31" s="1901">
        <f>E32</f>
        <v>20.426260229929767</v>
      </c>
      <c r="G31" s="1869"/>
    </row>
    <row r="32" spans="1:7" s="1870" customFormat="1" ht="15.75">
      <c r="A32" s="1899"/>
      <c r="B32" s="1902" t="s">
        <v>959</v>
      </c>
      <c r="C32" s="1899" t="s">
        <v>957</v>
      </c>
      <c r="D32" s="1901">
        <f>D30*2-D31</f>
        <v>13.697976301196945</v>
      </c>
      <c r="E32" s="1901">
        <f>E30*2-E31</f>
        <v>20.426260229929767</v>
      </c>
      <c r="F32" s="1901">
        <f>F30*2-F31</f>
        <v>15.420145601561963</v>
      </c>
      <c r="G32" s="1869"/>
    </row>
    <row r="33" spans="1:7" s="1870" customFormat="1" ht="15.75">
      <c r="A33" s="1899"/>
      <c r="B33" s="1900" t="s">
        <v>960</v>
      </c>
      <c r="C33" s="1899"/>
      <c r="D33" s="1901"/>
      <c r="E33" s="1901"/>
      <c r="F33" s="1901"/>
      <c r="G33" s="1869"/>
    </row>
    <row r="34" spans="1:7" s="1870" customFormat="1" ht="15.75">
      <c r="A34" s="1899"/>
      <c r="B34" s="1902" t="s">
        <v>958</v>
      </c>
      <c r="C34" s="1899" t="s">
        <v>44</v>
      </c>
      <c r="D34" s="1901"/>
      <c r="E34" s="1901">
        <f>E31/D32*100</f>
        <v>100</v>
      </c>
      <c r="F34" s="1901">
        <f>F31/E32*100</f>
        <v>100</v>
      </c>
      <c r="G34" s="1869"/>
    </row>
    <row r="35" spans="1:7" s="1870" customFormat="1" ht="15.75">
      <c r="A35" s="1899"/>
      <c r="B35" s="1902" t="s">
        <v>959</v>
      </c>
      <c r="C35" s="1899" t="s">
        <v>44</v>
      </c>
      <c r="D35" s="1901">
        <f>D32/D31*100</f>
        <v>74.364692188908492</v>
      </c>
      <c r="E35" s="1901">
        <f>E32/E31*100</f>
        <v>149.11881712151083</v>
      </c>
      <c r="F35" s="1901">
        <f>F32/F31*100</f>
        <v>75.491771024083263</v>
      </c>
      <c r="G35" s="1869"/>
    </row>
    <row r="36" spans="1:7" ht="9" customHeight="1"/>
    <row r="37" spans="1:7" ht="15.75">
      <c r="A37" s="1904" t="s">
        <v>961</v>
      </c>
      <c r="B37" s="1905" t="s">
        <v>962</v>
      </c>
      <c r="C37" s="1906"/>
      <c r="D37" s="1906"/>
      <c r="E37" s="1906"/>
      <c r="F37" s="1906"/>
      <c r="G37" s="1906"/>
    </row>
    <row r="38" spans="1:7" ht="15.75">
      <c r="A38" s="1906"/>
      <c r="B38" s="1907" t="s">
        <v>958</v>
      </c>
      <c r="C38" s="1908" t="s">
        <v>963</v>
      </c>
      <c r="D38" s="1906"/>
      <c r="E38" s="1909">
        <f>D39</f>
        <v>0</v>
      </c>
      <c r="F38" s="1909">
        <f>E39</f>
        <v>0</v>
      </c>
      <c r="G38" s="1906"/>
    </row>
    <row r="39" spans="1:7" ht="15.75">
      <c r="A39" s="1906"/>
      <c r="B39" s="1907" t="s">
        <v>959</v>
      </c>
      <c r="C39" s="1908" t="s">
        <v>963</v>
      </c>
      <c r="D39" s="1906"/>
      <c r="E39" s="1906"/>
      <c r="F39" s="1906"/>
      <c r="G39" s="1906"/>
    </row>
    <row r="40" spans="1:7" ht="15.75">
      <c r="A40" s="1906"/>
      <c r="B40" s="1907" t="s">
        <v>363</v>
      </c>
      <c r="C40" s="1908" t="s">
        <v>44</v>
      </c>
      <c r="D40" s="1906" t="e">
        <f>D39/D38*100</f>
        <v>#DIV/0!</v>
      </c>
      <c r="E40" s="1906" t="e">
        <f>E39/E38*100</f>
        <v>#DIV/0!</v>
      </c>
      <c r="F40" s="1906" t="e">
        <f>F39/F38*100</f>
        <v>#DIV/0!</v>
      </c>
      <c r="G40" s="1906"/>
    </row>
    <row r="41" spans="1:7" ht="15.75">
      <c r="A41" s="1906"/>
      <c r="B41" s="1905" t="s">
        <v>964</v>
      </c>
      <c r="C41" s="1908" t="s">
        <v>918</v>
      </c>
      <c r="D41" s="1906">
        <f>(D31-D38)*D29/2+(D32-D39)*D29/2</f>
        <v>0</v>
      </c>
      <c r="E41" s="1906">
        <f>(E31-E38)*E29/2+(E32-E39)*E29/2</f>
        <v>0</v>
      </c>
      <c r="F41" s="1906">
        <f>(F31-F38)*F29/2+(F32-F39)*F29/2</f>
        <v>0</v>
      </c>
      <c r="G41" s="1906"/>
    </row>
    <row r="42" spans="1:7">
      <c r="C42" s="1910"/>
    </row>
  </sheetData>
  <mergeCells count="8">
    <mergeCell ref="C6:C8"/>
    <mergeCell ref="D6:D8"/>
    <mergeCell ref="A2:G2"/>
    <mergeCell ref="A4:A5"/>
    <mergeCell ref="B4:B5"/>
    <mergeCell ref="C4:C5"/>
    <mergeCell ref="D4:F4"/>
    <mergeCell ref="G4:G5"/>
  </mergeCells>
  <printOptions horizontalCentered="1"/>
  <pageMargins left="0.31496062992125984" right="0.31496062992125984" top="0.35433070866141736" bottom="0.35433070866141736" header="0.31496062992125984" footer="0.31496062992125984"/>
  <pageSetup paperSize="9" scale="66" orientation="landscape" r:id="rId1"/>
  <colBreaks count="1" manualBreakCount="1">
    <brk id="7" max="1048575" man="1"/>
  </colBreaks>
</worksheet>
</file>

<file path=xl/worksheets/sheet61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G42"/>
  <sheetViews>
    <sheetView view="pageBreakPreview" topLeftCell="A21" zoomScale="75" zoomScaleSheetLayoutView="75" workbookViewId="0">
      <selection activeCell="D20" sqref="D20"/>
    </sheetView>
  </sheetViews>
  <sheetFormatPr defaultColWidth="0.85546875" defaultRowHeight="15"/>
  <cols>
    <col min="1" max="1" width="9.85546875" style="1864" customWidth="1"/>
    <col min="2" max="2" width="81.85546875" style="1903" customWidth="1"/>
    <col min="3" max="3" width="12.7109375" style="1864" customWidth="1"/>
    <col min="4" max="4" width="12.42578125" style="1864" customWidth="1"/>
    <col min="5" max="5" width="14.5703125" style="1864" customWidth="1"/>
    <col min="6" max="6" width="12.28515625" style="1864" customWidth="1"/>
    <col min="7" max="7" width="38.140625" style="1864" customWidth="1"/>
    <col min="8" max="8" width="46.85546875" style="1864" customWidth="1"/>
    <col min="9" max="11" width="12.7109375" style="1864" customWidth="1"/>
    <col min="12" max="12" width="9.28515625" style="1864" customWidth="1"/>
    <col min="13" max="13" width="13.5703125" style="1864" customWidth="1"/>
    <col min="14" max="14" width="10.28515625" style="1864" customWidth="1"/>
    <col min="15" max="15" width="12.85546875" style="1864" customWidth="1"/>
    <col min="16" max="16" width="9.140625" style="1864" customWidth="1"/>
    <col min="17" max="17" width="9.7109375" style="1864" customWidth="1"/>
    <col min="18" max="18" width="9.28515625" style="1864" customWidth="1"/>
    <col min="19" max="19" width="9.42578125" style="1864" customWidth="1"/>
    <col min="20" max="20" width="10.5703125" style="1864" customWidth="1"/>
    <col min="21" max="21" width="12.42578125" style="1864" customWidth="1"/>
    <col min="22" max="22" width="14.5703125" style="1864" customWidth="1"/>
    <col min="23" max="23" width="12.28515625" style="1864" customWidth="1"/>
    <col min="24" max="24" width="25.85546875" style="1864" customWidth="1"/>
    <col min="25" max="256" width="0.85546875" style="1864"/>
    <col min="257" max="257" width="9.85546875" style="1864" customWidth="1"/>
    <col min="258" max="258" width="81.85546875" style="1864" customWidth="1"/>
    <col min="259" max="259" width="12.7109375" style="1864" customWidth="1"/>
    <col min="260" max="260" width="12.42578125" style="1864" customWidth="1"/>
    <col min="261" max="261" width="14.5703125" style="1864" customWidth="1"/>
    <col min="262" max="262" width="12.28515625" style="1864" customWidth="1"/>
    <col min="263" max="263" width="38.140625" style="1864" customWidth="1"/>
    <col min="264" max="264" width="46.85546875" style="1864" customWidth="1"/>
    <col min="265" max="267" width="12.7109375" style="1864" customWidth="1"/>
    <col min="268" max="268" width="9.28515625" style="1864" customWidth="1"/>
    <col min="269" max="269" width="13.5703125" style="1864" customWidth="1"/>
    <col min="270" max="270" width="10.28515625" style="1864" customWidth="1"/>
    <col min="271" max="271" width="12.85546875" style="1864" customWidth="1"/>
    <col min="272" max="272" width="9.140625" style="1864" customWidth="1"/>
    <col min="273" max="273" width="9.7109375" style="1864" customWidth="1"/>
    <col min="274" max="274" width="9.28515625" style="1864" customWidth="1"/>
    <col min="275" max="275" width="9.42578125" style="1864" customWidth="1"/>
    <col min="276" max="276" width="10.5703125" style="1864" customWidth="1"/>
    <col min="277" max="277" width="12.42578125" style="1864" customWidth="1"/>
    <col min="278" max="278" width="14.5703125" style="1864" customWidth="1"/>
    <col min="279" max="279" width="12.28515625" style="1864" customWidth="1"/>
    <col min="280" max="280" width="25.85546875" style="1864" customWidth="1"/>
    <col min="281" max="512" width="0.85546875" style="1864"/>
    <col min="513" max="513" width="9.85546875" style="1864" customWidth="1"/>
    <col min="514" max="514" width="81.85546875" style="1864" customWidth="1"/>
    <col min="515" max="515" width="12.7109375" style="1864" customWidth="1"/>
    <col min="516" max="516" width="12.42578125" style="1864" customWidth="1"/>
    <col min="517" max="517" width="14.5703125" style="1864" customWidth="1"/>
    <col min="518" max="518" width="12.28515625" style="1864" customWidth="1"/>
    <col min="519" max="519" width="38.140625" style="1864" customWidth="1"/>
    <col min="520" max="520" width="46.85546875" style="1864" customWidth="1"/>
    <col min="521" max="523" width="12.7109375" style="1864" customWidth="1"/>
    <col min="524" max="524" width="9.28515625" style="1864" customWidth="1"/>
    <col min="525" max="525" width="13.5703125" style="1864" customWidth="1"/>
    <col min="526" max="526" width="10.28515625" style="1864" customWidth="1"/>
    <col min="527" max="527" width="12.85546875" style="1864" customWidth="1"/>
    <col min="528" max="528" width="9.140625" style="1864" customWidth="1"/>
    <col min="529" max="529" width="9.7109375" style="1864" customWidth="1"/>
    <col min="530" max="530" width="9.28515625" style="1864" customWidth="1"/>
    <col min="531" max="531" width="9.42578125" style="1864" customWidth="1"/>
    <col min="532" max="532" width="10.5703125" style="1864" customWidth="1"/>
    <col min="533" max="533" width="12.42578125" style="1864" customWidth="1"/>
    <col min="534" max="534" width="14.5703125" style="1864" customWidth="1"/>
    <col min="535" max="535" width="12.28515625" style="1864" customWidth="1"/>
    <col min="536" max="536" width="25.85546875" style="1864" customWidth="1"/>
    <col min="537" max="768" width="0.85546875" style="1864"/>
    <col min="769" max="769" width="9.85546875" style="1864" customWidth="1"/>
    <col min="770" max="770" width="81.85546875" style="1864" customWidth="1"/>
    <col min="771" max="771" width="12.7109375" style="1864" customWidth="1"/>
    <col min="772" max="772" width="12.42578125" style="1864" customWidth="1"/>
    <col min="773" max="773" width="14.5703125" style="1864" customWidth="1"/>
    <col min="774" max="774" width="12.28515625" style="1864" customWidth="1"/>
    <col min="775" max="775" width="38.140625" style="1864" customWidth="1"/>
    <col min="776" max="776" width="46.85546875" style="1864" customWidth="1"/>
    <col min="777" max="779" width="12.7109375" style="1864" customWidth="1"/>
    <col min="780" max="780" width="9.28515625" style="1864" customWidth="1"/>
    <col min="781" max="781" width="13.5703125" style="1864" customWidth="1"/>
    <col min="782" max="782" width="10.28515625" style="1864" customWidth="1"/>
    <col min="783" max="783" width="12.85546875" style="1864" customWidth="1"/>
    <col min="784" max="784" width="9.140625" style="1864" customWidth="1"/>
    <col min="785" max="785" width="9.7109375" style="1864" customWidth="1"/>
    <col min="786" max="786" width="9.28515625" style="1864" customWidth="1"/>
    <col min="787" max="787" width="9.42578125" style="1864" customWidth="1"/>
    <col min="788" max="788" width="10.5703125" style="1864" customWidth="1"/>
    <col min="789" max="789" width="12.42578125" style="1864" customWidth="1"/>
    <col min="790" max="790" width="14.5703125" style="1864" customWidth="1"/>
    <col min="791" max="791" width="12.28515625" style="1864" customWidth="1"/>
    <col min="792" max="792" width="25.85546875" style="1864" customWidth="1"/>
    <col min="793" max="1024" width="0.85546875" style="1864"/>
    <col min="1025" max="1025" width="9.85546875" style="1864" customWidth="1"/>
    <col min="1026" max="1026" width="81.85546875" style="1864" customWidth="1"/>
    <col min="1027" max="1027" width="12.7109375" style="1864" customWidth="1"/>
    <col min="1028" max="1028" width="12.42578125" style="1864" customWidth="1"/>
    <col min="1029" max="1029" width="14.5703125" style="1864" customWidth="1"/>
    <col min="1030" max="1030" width="12.28515625" style="1864" customWidth="1"/>
    <col min="1031" max="1031" width="38.140625" style="1864" customWidth="1"/>
    <col min="1032" max="1032" width="46.85546875" style="1864" customWidth="1"/>
    <col min="1033" max="1035" width="12.7109375" style="1864" customWidth="1"/>
    <col min="1036" max="1036" width="9.28515625" style="1864" customWidth="1"/>
    <col min="1037" max="1037" width="13.5703125" style="1864" customWidth="1"/>
    <col min="1038" max="1038" width="10.28515625" style="1864" customWidth="1"/>
    <col min="1039" max="1039" width="12.85546875" style="1864" customWidth="1"/>
    <col min="1040" max="1040" width="9.140625" style="1864" customWidth="1"/>
    <col min="1041" max="1041" width="9.7109375" style="1864" customWidth="1"/>
    <col min="1042" max="1042" width="9.28515625" style="1864" customWidth="1"/>
    <col min="1043" max="1043" width="9.42578125" style="1864" customWidth="1"/>
    <col min="1044" max="1044" width="10.5703125" style="1864" customWidth="1"/>
    <col min="1045" max="1045" width="12.42578125" style="1864" customWidth="1"/>
    <col min="1046" max="1046" width="14.5703125" style="1864" customWidth="1"/>
    <col min="1047" max="1047" width="12.28515625" style="1864" customWidth="1"/>
    <col min="1048" max="1048" width="25.85546875" style="1864" customWidth="1"/>
    <col min="1049" max="1280" width="0.85546875" style="1864"/>
    <col min="1281" max="1281" width="9.85546875" style="1864" customWidth="1"/>
    <col min="1282" max="1282" width="81.85546875" style="1864" customWidth="1"/>
    <col min="1283" max="1283" width="12.7109375" style="1864" customWidth="1"/>
    <col min="1284" max="1284" width="12.42578125" style="1864" customWidth="1"/>
    <col min="1285" max="1285" width="14.5703125" style="1864" customWidth="1"/>
    <col min="1286" max="1286" width="12.28515625" style="1864" customWidth="1"/>
    <col min="1287" max="1287" width="38.140625" style="1864" customWidth="1"/>
    <col min="1288" max="1288" width="46.85546875" style="1864" customWidth="1"/>
    <col min="1289" max="1291" width="12.7109375" style="1864" customWidth="1"/>
    <col min="1292" max="1292" width="9.28515625" style="1864" customWidth="1"/>
    <col min="1293" max="1293" width="13.5703125" style="1864" customWidth="1"/>
    <col min="1294" max="1294" width="10.28515625" style="1864" customWidth="1"/>
    <col min="1295" max="1295" width="12.85546875" style="1864" customWidth="1"/>
    <col min="1296" max="1296" width="9.140625" style="1864" customWidth="1"/>
    <col min="1297" max="1297" width="9.7109375" style="1864" customWidth="1"/>
    <col min="1298" max="1298" width="9.28515625" style="1864" customWidth="1"/>
    <col min="1299" max="1299" width="9.42578125" style="1864" customWidth="1"/>
    <col min="1300" max="1300" width="10.5703125" style="1864" customWidth="1"/>
    <col min="1301" max="1301" width="12.42578125" style="1864" customWidth="1"/>
    <col min="1302" max="1302" width="14.5703125" style="1864" customWidth="1"/>
    <col min="1303" max="1303" width="12.28515625" style="1864" customWidth="1"/>
    <col min="1304" max="1304" width="25.85546875" style="1864" customWidth="1"/>
    <col min="1305" max="1536" width="0.85546875" style="1864"/>
    <col min="1537" max="1537" width="9.85546875" style="1864" customWidth="1"/>
    <col min="1538" max="1538" width="81.85546875" style="1864" customWidth="1"/>
    <col min="1539" max="1539" width="12.7109375" style="1864" customWidth="1"/>
    <col min="1540" max="1540" width="12.42578125" style="1864" customWidth="1"/>
    <col min="1541" max="1541" width="14.5703125" style="1864" customWidth="1"/>
    <col min="1542" max="1542" width="12.28515625" style="1864" customWidth="1"/>
    <col min="1543" max="1543" width="38.140625" style="1864" customWidth="1"/>
    <col min="1544" max="1544" width="46.85546875" style="1864" customWidth="1"/>
    <col min="1545" max="1547" width="12.7109375" style="1864" customWidth="1"/>
    <col min="1548" max="1548" width="9.28515625" style="1864" customWidth="1"/>
    <col min="1549" max="1549" width="13.5703125" style="1864" customWidth="1"/>
    <col min="1550" max="1550" width="10.28515625" style="1864" customWidth="1"/>
    <col min="1551" max="1551" width="12.85546875" style="1864" customWidth="1"/>
    <col min="1552" max="1552" width="9.140625" style="1864" customWidth="1"/>
    <col min="1553" max="1553" width="9.7109375" style="1864" customWidth="1"/>
    <col min="1554" max="1554" width="9.28515625" style="1864" customWidth="1"/>
    <col min="1555" max="1555" width="9.42578125" style="1864" customWidth="1"/>
    <col min="1556" max="1556" width="10.5703125" style="1864" customWidth="1"/>
    <col min="1557" max="1557" width="12.42578125" style="1864" customWidth="1"/>
    <col min="1558" max="1558" width="14.5703125" style="1864" customWidth="1"/>
    <col min="1559" max="1559" width="12.28515625" style="1864" customWidth="1"/>
    <col min="1560" max="1560" width="25.85546875" style="1864" customWidth="1"/>
    <col min="1561" max="1792" width="0.85546875" style="1864"/>
    <col min="1793" max="1793" width="9.85546875" style="1864" customWidth="1"/>
    <col min="1794" max="1794" width="81.85546875" style="1864" customWidth="1"/>
    <col min="1795" max="1795" width="12.7109375" style="1864" customWidth="1"/>
    <col min="1796" max="1796" width="12.42578125" style="1864" customWidth="1"/>
    <col min="1797" max="1797" width="14.5703125" style="1864" customWidth="1"/>
    <col min="1798" max="1798" width="12.28515625" style="1864" customWidth="1"/>
    <col min="1799" max="1799" width="38.140625" style="1864" customWidth="1"/>
    <col min="1800" max="1800" width="46.85546875" style="1864" customWidth="1"/>
    <col min="1801" max="1803" width="12.7109375" style="1864" customWidth="1"/>
    <col min="1804" max="1804" width="9.28515625" style="1864" customWidth="1"/>
    <col min="1805" max="1805" width="13.5703125" style="1864" customWidth="1"/>
    <col min="1806" max="1806" width="10.28515625" style="1864" customWidth="1"/>
    <col min="1807" max="1807" width="12.85546875" style="1864" customWidth="1"/>
    <col min="1808" max="1808" width="9.140625" style="1864" customWidth="1"/>
    <col min="1809" max="1809" width="9.7109375" style="1864" customWidth="1"/>
    <col min="1810" max="1810" width="9.28515625" style="1864" customWidth="1"/>
    <col min="1811" max="1811" width="9.42578125" style="1864" customWidth="1"/>
    <col min="1812" max="1812" width="10.5703125" style="1864" customWidth="1"/>
    <col min="1813" max="1813" width="12.42578125" style="1864" customWidth="1"/>
    <col min="1814" max="1814" width="14.5703125" style="1864" customWidth="1"/>
    <col min="1815" max="1815" width="12.28515625" style="1864" customWidth="1"/>
    <col min="1816" max="1816" width="25.85546875" style="1864" customWidth="1"/>
    <col min="1817" max="2048" width="0.85546875" style="1864"/>
    <col min="2049" max="2049" width="9.85546875" style="1864" customWidth="1"/>
    <col min="2050" max="2050" width="81.85546875" style="1864" customWidth="1"/>
    <col min="2051" max="2051" width="12.7109375" style="1864" customWidth="1"/>
    <col min="2052" max="2052" width="12.42578125" style="1864" customWidth="1"/>
    <col min="2053" max="2053" width="14.5703125" style="1864" customWidth="1"/>
    <col min="2054" max="2054" width="12.28515625" style="1864" customWidth="1"/>
    <col min="2055" max="2055" width="38.140625" style="1864" customWidth="1"/>
    <col min="2056" max="2056" width="46.85546875" style="1864" customWidth="1"/>
    <col min="2057" max="2059" width="12.7109375" style="1864" customWidth="1"/>
    <col min="2060" max="2060" width="9.28515625" style="1864" customWidth="1"/>
    <col min="2061" max="2061" width="13.5703125" style="1864" customWidth="1"/>
    <col min="2062" max="2062" width="10.28515625" style="1864" customWidth="1"/>
    <col min="2063" max="2063" width="12.85546875" style="1864" customWidth="1"/>
    <col min="2064" max="2064" width="9.140625" style="1864" customWidth="1"/>
    <col min="2065" max="2065" width="9.7109375" style="1864" customWidth="1"/>
    <col min="2066" max="2066" width="9.28515625" style="1864" customWidth="1"/>
    <col min="2067" max="2067" width="9.42578125" style="1864" customWidth="1"/>
    <col min="2068" max="2068" width="10.5703125" style="1864" customWidth="1"/>
    <col min="2069" max="2069" width="12.42578125" style="1864" customWidth="1"/>
    <col min="2070" max="2070" width="14.5703125" style="1864" customWidth="1"/>
    <col min="2071" max="2071" width="12.28515625" style="1864" customWidth="1"/>
    <col min="2072" max="2072" width="25.85546875" style="1864" customWidth="1"/>
    <col min="2073" max="2304" width="0.85546875" style="1864"/>
    <col min="2305" max="2305" width="9.85546875" style="1864" customWidth="1"/>
    <col min="2306" max="2306" width="81.85546875" style="1864" customWidth="1"/>
    <col min="2307" max="2307" width="12.7109375" style="1864" customWidth="1"/>
    <col min="2308" max="2308" width="12.42578125" style="1864" customWidth="1"/>
    <col min="2309" max="2309" width="14.5703125" style="1864" customWidth="1"/>
    <col min="2310" max="2310" width="12.28515625" style="1864" customWidth="1"/>
    <col min="2311" max="2311" width="38.140625" style="1864" customWidth="1"/>
    <col min="2312" max="2312" width="46.85546875" style="1864" customWidth="1"/>
    <col min="2313" max="2315" width="12.7109375" style="1864" customWidth="1"/>
    <col min="2316" max="2316" width="9.28515625" style="1864" customWidth="1"/>
    <col min="2317" max="2317" width="13.5703125" style="1864" customWidth="1"/>
    <col min="2318" max="2318" width="10.28515625" style="1864" customWidth="1"/>
    <col min="2319" max="2319" width="12.85546875" style="1864" customWidth="1"/>
    <col min="2320" max="2320" width="9.140625" style="1864" customWidth="1"/>
    <col min="2321" max="2321" width="9.7109375" style="1864" customWidth="1"/>
    <col min="2322" max="2322" width="9.28515625" style="1864" customWidth="1"/>
    <col min="2323" max="2323" width="9.42578125" style="1864" customWidth="1"/>
    <col min="2324" max="2324" width="10.5703125" style="1864" customWidth="1"/>
    <col min="2325" max="2325" width="12.42578125" style="1864" customWidth="1"/>
    <col min="2326" max="2326" width="14.5703125" style="1864" customWidth="1"/>
    <col min="2327" max="2327" width="12.28515625" style="1864" customWidth="1"/>
    <col min="2328" max="2328" width="25.85546875" style="1864" customWidth="1"/>
    <col min="2329" max="2560" width="0.85546875" style="1864"/>
    <col min="2561" max="2561" width="9.85546875" style="1864" customWidth="1"/>
    <col min="2562" max="2562" width="81.85546875" style="1864" customWidth="1"/>
    <col min="2563" max="2563" width="12.7109375" style="1864" customWidth="1"/>
    <col min="2564" max="2564" width="12.42578125" style="1864" customWidth="1"/>
    <col min="2565" max="2565" width="14.5703125" style="1864" customWidth="1"/>
    <col min="2566" max="2566" width="12.28515625" style="1864" customWidth="1"/>
    <col min="2567" max="2567" width="38.140625" style="1864" customWidth="1"/>
    <col min="2568" max="2568" width="46.85546875" style="1864" customWidth="1"/>
    <col min="2569" max="2571" width="12.7109375" style="1864" customWidth="1"/>
    <col min="2572" max="2572" width="9.28515625" style="1864" customWidth="1"/>
    <col min="2573" max="2573" width="13.5703125" style="1864" customWidth="1"/>
    <col min="2574" max="2574" width="10.28515625" style="1864" customWidth="1"/>
    <col min="2575" max="2575" width="12.85546875" style="1864" customWidth="1"/>
    <col min="2576" max="2576" width="9.140625" style="1864" customWidth="1"/>
    <col min="2577" max="2577" width="9.7109375" style="1864" customWidth="1"/>
    <col min="2578" max="2578" width="9.28515625" style="1864" customWidth="1"/>
    <col min="2579" max="2579" width="9.42578125" style="1864" customWidth="1"/>
    <col min="2580" max="2580" width="10.5703125" style="1864" customWidth="1"/>
    <col min="2581" max="2581" width="12.42578125" style="1864" customWidth="1"/>
    <col min="2582" max="2582" width="14.5703125" style="1864" customWidth="1"/>
    <col min="2583" max="2583" width="12.28515625" style="1864" customWidth="1"/>
    <col min="2584" max="2584" width="25.85546875" style="1864" customWidth="1"/>
    <col min="2585" max="2816" width="0.85546875" style="1864"/>
    <col min="2817" max="2817" width="9.85546875" style="1864" customWidth="1"/>
    <col min="2818" max="2818" width="81.85546875" style="1864" customWidth="1"/>
    <col min="2819" max="2819" width="12.7109375" style="1864" customWidth="1"/>
    <col min="2820" max="2820" width="12.42578125" style="1864" customWidth="1"/>
    <col min="2821" max="2821" width="14.5703125" style="1864" customWidth="1"/>
    <col min="2822" max="2822" width="12.28515625" style="1864" customWidth="1"/>
    <col min="2823" max="2823" width="38.140625" style="1864" customWidth="1"/>
    <col min="2824" max="2824" width="46.85546875" style="1864" customWidth="1"/>
    <col min="2825" max="2827" width="12.7109375" style="1864" customWidth="1"/>
    <col min="2828" max="2828" width="9.28515625" style="1864" customWidth="1"/>
    <col min="2829" max="2829" width="13.5703125" style="1864" customWidth="1"/>
    <col min="2830" max="2830" width="10.28515625" style="1864" customWidth="1"/>
    <col min="2831" max="2831" width="12.85546875" style="1864" customWidth="1"/>
    <col min="2832" max="2832" width="9.140625" style="1864" customWidth="1"/>
    <col min="2833" max="2833" width="9.7109375" style="1864" customWidth="1"/>
    <col min="2834" max="2834" width="9.28515625" style="1864" customWidth="1"/>
    <col min="2835" max="2835" width="9.42578125" style="1864" customWidth="1"/>
    <col min="2836" max="2836" width="10.5703125" style="1864" customWidth="1"/>
    <col min="2837" max="2837" width="12.42578125" style="1864" customWidth="1"/>
    <col min="2838" max="2838" width="14.5703125" style="1864" customWidth="1"/>
    <col min="2839" max="2839" width="12.28515625" style="1864" customWidth="1"/>
    <col min="2840" max="2840" width="25.85546875" style="1864" customWidth="1"/>
    <col min="2841" max="3072" width="0.85546875" style="1864"/>
    <col min="3073" max="3073" width="9.85546875" style="1864" customWidth="1"/>
    <col min="3074" max="3074" width="81.85546875" style="1864" customWidth="1"/>
    <col min="3075" max="3075" width="12.7109375" style="1864" customWidth="1"/>
    <col min="3076" max="3076" width="12.42578125" style="1864" customWidth="1"/>
    <col min="3077" max="3077" width="14.5703125" style="1864" customWidth="1"/>
    <col min="3078" max="3078" width="12.28515625" style="1864" customWidth="1"/>
    <col min="3079" max="3079" width="38.140625" style="1864" customWidth="1"/>
    <col min="3080" max="3080" width="46.85546875" style="1864" customWidth="1"/>
    <col min="3081" max="3083" width="12.7109375" style="1864" customWidth="1"/>
    <col min="3084" max="3084" width="9.28515625" style="1864" customWidth="1"/>
    <col min="3085" max="3085" width="13.5703125" style="1864" customWidth="1"/>
    <col min="3086" max="3086" width="10.28515625" style="1864" customWidth="1"/>
    <col min="3087" max="3087" width="12.85546875" style="1864" customWidth="1"/>
    <col min="3088" max="3088" width="9.140625" style="1864" customWidth="1"/>
    <col min="3089" max="3089" width="9.7109375" style="1864" customWidth="1"/>
    <col min="3090" max="3090" width="9.28515625" style="1864" customWidth="1"/>
    <col min="3091" max="3091" width="9.42578125" style="1864" customWidth="1"/>
    <col min="3092" max="3092" width="10.5703125" style="1864" customWidth="1"/>
    <col min="3093" max="3093" width="12.42578125" style="1864" customWidth="1"/>
    <col min="3094" max="3094" width="14.5703125" style="1864" customWidth="1"/>
    <col min="3095" max="3095" width="12.28515625" style="1864" customWidth="1"/>
    <col min="3096" max="3096" width="25.85546875" style="1864" customWidth="1"/>
    <col min="3097" max="3328" width="0.85546875" style="1864"/>
    <col min="3329" max="3329" width="9.85546875" style="1864" customWidth="1"/>
    <col min="3330" max="3330" width="81.85546875" style="1864" customWidth="1"/>
    <col min="3331" max="3331" width="12.7109375" style="1864" customWidth="1"/>
    <col min="3332" max="3332" width="12.42578125" style="1864" customWidth="1"/>
    <col min="3333" max="3333" width="14.5703125" style="1864" customWidth="1"/>
    <col min="3334" max="3334" width="12.28515625" style="1864" customWidth="1"/>
    <col min="3335" max="3335" width="38.140625" style="1864" customWidth="1"/>
    <col min="3336" max="3336" width="46.85546875" style="1864" customWidth="1"/>
    <col min="3337" max="3339" width="12.7109375" style="1864" customWidth="1"/>
    <col min="3340" max="3340" width="9.28515625" style="1864" customWidth="1"/>
    <col min="3341" max="3341" width="13.5703125" style="1864" customWidth="1"/>
    <col min="3342" max="3342" width="10.28515625" style="1864" customWidth="1"/>
    <col min="3343" max="3343" width="12.85546875" style="1864" customWidth="1"/>
    <col min="3344" max="3344" width="9.140625" style="1864" customWidth="1"/>
    <col min="3345" max="3345" width="9.7109375" style="1864" customWidth="1"/>
    <col min="3346" max="3346" width="9.28515625" style="1864" customWidth="1"/>
    <col min="3347" max="3347" width="9.42578125" style="1864" customWidth="1"/>
    <col min="3348" max="3348" width="10.5703125" style="1864" customWidth="1"/>
    <col min="3349" max="3349" width="12.42578125" style="1864" customWidth="1"/>
    <col min="3350" max="3350" width="14.5703125" style="1864" customWidth="1"/>
    <col min="3351" max="3351" width="12.28515625" style="1864" customWidth="1"/>
    <col min="3352" max="3352" width="25.85546875" style="1864" customWidth="1"/>
    <col min="3353" max="3584" width="0.85546875" style="1864"/>
    <col min="3585" max="3585" width="9.85546875" style="1864" customWidth="1"/>
    <col min="3586" max="3586" width="81.85546875" style="1864" customWidth="1"/>
    <col min="3587" max="3587" width="12.7109375" style="1864" customWidth="1"/>
    <col min="3588" max="3588" width="12.42578125" style="1864" customWidth="1"/>
    <col min="3589" max="3589" width="14.5703125" style="1864" customWidth="1"/>
    <col min="3590" max="3590" width="12.28515625" style="1864" customWidth="1"/>
    <col min="3591" max="3591" width="38.140625" style="1864" customWidth="1"/>
    <col min="3592" max="3592" width="46.85546875" style="1864" customWidth="1"/>
    <col min="3593" max="3595" width="12.7109375" style="1864" customWidth="1"/>
    <col min="3596" max="3596" width="9.28515625" style="1864" customWidth="1"/>
    <col min="3597" max="3597" width="13.5703125" style="1864" customWidth="1"/>
    <col min="3598" max="3598" width="10.28515625" style="1864" customWidth="1"/>
    <col min="3599" max="3599" width="12.85546875" style="1864" customWidth="1"/>
    <col min="3600" max="3600" width="9.140625" style="1864" customWidth="1"/>
    <col min="3601" max="3601" width="9.7109375" style="1864" customWidth="1"/>
    <col min="3602" max="3602" width="9.28515625" style="1864" customWidth="1"/>
    <col min="3603" max="3603" width="9.42578125" style="1864" customWidth="1"/>
    <col min="3604" max="3604" width="10.5703125" style="1864" customWidth="1"/>
    <col min="3605" max="3605" width="12.42578125" style="1864" customWidth="1"/>
    <col min="3606" max="3606" width="14.5703125" style="1864" customWidth="1"/>
    <col min="3607" max="3607" width="12.28515625" style="1864" customWidth="1"/>
    <col min="3608" max="3608" width="25.85546875" style="1864" customWidth="1"/>
    <col min="3609" max="3840" width="0.85546875" style="1864"/>
    <col min="3841" max="3841" width="9.85546875" style="1864" customWidth="1"/>
    <col min="3842" max="3842" width="81.85546875" style="1864" customWidth="1"/>
    <col min="3843" max="3843" width="12.7109375" style="1864" customWidth="1"/>
    <col min="3844" max="3844" width="12.42578125" style="1864" customWidth="1"/>
    <col min="3845" max="3845" width="14.5703125" style="1864" customWidth="1"/>
    <col min="3846" max="3846" width="12.28515625" style="1864" customWidth="1"/>
    <col min="3847" max="3847" width="38.140625" style="1864" customWidth="1"/>
    <col min="3848" max="3848" width="46.85546875" style="1864" customWidth="1"/>
    <col min="3849" max="3851" width="12.7109375" style="1864" customWidth="1"/>
    <col min="3852" max="3852" width="9.28515625" style="1864" customWidth="1"/>
    <col min="3853" max="3853" width="13.5703125" style="1864" customWidth="1"/>
    <col min="3854" max="3854" width="10.28515625" style="1864" customWidth="1"/>
    <col min="3855" max="3855" width="12.85546875" style="1864" customWidth="1"/>
    <col min="3856" max="3856" width="9.140625" style="1864" customWidth="1"/>
    <col min="3857" max="3857" width="9.7109375" style="1864" customWidth="1"/>
    <col min="3858" max="3858" width="9.28515625" style="1864" customWidth="1"/>
    <col min="3859" max="3859" width="9.42578125" style="1864" customWidth="1"/>
    <col min="3860" max="3860" width="10.5703125" style="1864" customWidth="1"/>
    <col min="3861" max="3861" width="12.42578125" style="1864" customWidth="1"/>
    <col min="3862" max="3862" width="14.5703125" style="1864" customWidth="1"/>
    <col min="3863" max="3863" width="12.28515625" style="1864" customWidth="1"/>
    <col min="3864" max="3864" width="25.85546875" style="1864" customWidth="1"/>
    <col min="3865" max="4096" width="0.85546875" style="1864"/>
    <col min="4097" max="4097" width="9.85546875" style="1864" customWidth="1"/>
    <col min="4098" max="4098" width="81.85546875" style="1864" customWidth="1"/>
    <col min="4099" max="4099" width="12.7109375" style="1864" customWidth="1"/>
    <col min="4100" max="4100" width="12.42578125" style="1864" customWidth="1"/>
    <col min="4101" max="4101" width="14.5703125" style="1864" customWidth="1"/>
    <col min="4102" max="4102" width="12.28515625" style="1864" customWidth="1"/>
    <col min="4103" max="4103" width="38.140625" style="1864" customWidth="1"/>
    <col min="4104" max="4104" width="46.85546875" style="1864" customWidth="1"/>
    <col min="4105" max="4107" width="12.7109375" style="1864" customWidth="1"/>
    <col min="4108" max="4108" width="9.28515625" style="1864" customWidth="1"/>
    <col min="4109" max="4109" width="13.5703125" style="1864" customWidth="1"/>
    <col min="4110" max="4110" width="10.28515625" style="1864" customWidth="1"/>
    <col min="4111" max="4111" width="12.85546875" style="1864" customWidth="1"/>
    <col min="4112" max="4112" width="9.140625" style="1864" customWidth="1"/>
    <col min="4113" max="4113" width="9.7109375" style="1864" customWidth="1"/>
    <col min="4114" max="4114" width="9.28515625" style="1864" customWidth="1"/>
    <col min="4115" max="4115" width="9.42578125" style="1864" customWidth="1"/>
    <col min="4116" max="4116" width="10.5703125" style="1864" customWidth="1"/>
    <col min="4117" max="4117" width="12.42578125" style="1864" customWidth="1"/>
    <col min="4118" max="4118" width="14.5703125" style="1864" customWidth="1"/>
    <col min="4119" max="4119" width="12.28515625" style="1864" customWidth="1"/>
    <col min="4120" max="4120" width="25.85546875" style="1864" customWidth="1"/>
    <col min="4121" max="4352" width="0.85546875" style="1864"/>
    <col min="4353" max="4353" width="9.85546875" style="1864" customWidth="1"/>
    <col min="4354" max="4354" width="81.85546875" style="1864" customWidth="1"/>
    <col min="4355" max="4355" width="12.7109375" style="1864" customWidth="1"/>
    <col min="4356" max="4356" width="12.42578125" style="1864" customWidth="1"/>
    <col min="4357" max="4357" width="14.5703125" style="1864" customWidth="1"/>
    <col min="4358" max="4358" width="12.28515625" style="1864" customWidth="1"/>
    <col min="4359" max="4359" width="38.140625" style="1864" customWidth="1"/>
    <col min="4360" max="4360" width="46.85546875" style="1864" customWidth="1"/>
    <col min="4361" max="4363" width="12.7109375" style="1864" customWidth="1"/>
    <col min="4364" max="4364" width="9.28515625" style="1864" customWidth="1"/>
    <col min="4365" max="4365" width="13.5703125" style="1864" customWidth="1"/>
    <col min="4366" max="4366" width="10.28515625" style="1864" customWidth="1"/>
    <col min="4367" max="4367" width="12.85546875" style="1864" customWidth="1"/>
    <col min="4368" max="4368" width="9.140625" style="1864" customWidth="1"/>
    <col min="4369" max="4369" width="9.7109375" style="1864" customWidth="1"/>
    <col min="4370" max="4370" width="9.28515625" style="1864" customWidth="1"/>
    <col min="4371" max="4371" width="9.42578125" style="1864" customWidth="1"/>
    <col min="4372" max="4372" width="10.5703125" style="1864" customWidth="1"/>
    <col min="4373" max="4373" width="12.42578125" style="1864" customWidth="1"/>
    <col min="4374" max="4374" width="14.5703125" style="1864" customWidth="1"/>
    <col min="4375" max="4375" width="12.28515625" style="1864" customWidth="1"/>
    <col min="4376" max="4376" width="25.85546875" style="1864" customWidth="1"/>
    <col min="4377" max="4608" width="0.85546875" style="1864"/>
    <col min="4609" max="4609" width="9.85546875" style="1864" customWidth="1"/>
    <col min="4610" max="4610" width="81.85546875" style="1864" customWidth="1"/>
    <col min="4611" max="4611" width="12.7109375" style="1864" customWidth="1"/>
    <col min="4612" max="4612" width="12.42578125" style="1864" customWidth="1"/>
    <col min="4613" max="4613" width="14.5703125" style="1864" customWidth="1"/>
    <col min="4614" max="4614" width="12.28515625" style="1864" customWidth="1"/>
    <col min="4615" max="4615" width="38.140625" style="1864" customWidth="1"/>
    <col min="4616" max="4616" width="46.85546875" style="1864" customWidth="1"/>
    <col min="4617" max="4619" width="12.7109375" style="1864" customWidth="1"/>
    <col min="4620" max="4620" width="9.28515625" style="1864" customWidth="1"/>
    <col min="4621" max="4621" width="13.5703125" style="1864" customWidth="1"/>
    <col min="4622" max="4622" width="10.28515625" style="1864" customWidth="1"/>
    <col min="4623" max="4623" width="12.85546875" style="1864" customWidth="1"/>
    <col min="4624" max="4624" width="9.140625" style="1864" customWidth="1"/>
    <col min="4625" max="4625" width="9.7109375" style="1864" customWidth="1"/>
    <col min="4626" max="4626" width="9.28515625" style="1864" customWidth="1"/>
    <col min="4627" max="4627" width="9.42578125" style="1864" customWidth="1"/>
    <col min="4628" max="4628" width="10.5703125" style="1864" customWidth="1"/>
    <col min="4629" max="4629" width="12.42578125" style="1864" customWidth="1"/>
    <col min="4630" max="4630" width="14.5703125" style="1864" customWidth="1"/>
    <col min="4631" max="4631" width="12.28515625" style="1864" customWidth="1"/>
    <col min="4632" max="4632" width="25.85546875" style="1864" customWidth="1"/>
    <col min="4633" max="4864" width="0.85546875" style="1864"/>
    <col min="4865" max="4865" width="9.85546875" style="1864" customWidth="1"/>
    <col min="4866" max="4866" width="81.85546875" style="1864" customWidth="1"/>
    <col min="4867" max="4867" width="12.7109375" style="1864" customWidth="1"/>
    <col min="4868" max="4868" width="12.42578125" style="1864" customWidth="1"/>
    <col min="4869" max="4869" width="14.5703125" style="1864" customWidth="1"/>
    <col min="4870" max="4870" width="12.28515625" style="1864" customWidth="1"/>
    <col min="4871" max="4871" width="38.140625" style="1864" customWidth="1"/>
    <col min="4872" max="4872" width="46.85546875" style="1864" customWidth="1"/>
    <col min="4873" max="4875" width="12.7109375" style="1864" customWidth="1"/>
    <col min="4876" max="4876" width="9.28515625" style="1864" customWidth="1"/>
    <col min="4877" max="4877" width="13.5703125" style="1864" customWidth="1"/>
    <col min="4878" max="4878" width="10.28515625" style="1864" customWidth="1"/>
    <col min="4879" max="4879" width="12.85546875" style="1864" customWidth="1"/>
    <col min="4880" max="4880" width="9.140625" style="1864" customWidth="1"/>
    <col min="4881" max="4881" width="9.7109375" style="1864" customWidth="1"/>
    <col min="4882" max="4882" width="9.28515625" style="1864" customWidth="1"/>
    <col min="4883" max="4883" width="9.42578125" style="1864" customWidth="1"/>
    <col min="4884" max="4884" width="10.5703125" style="1864" customWidth="1"/>
    <col min="4885" max="4885" width="12.42578125" style="1864" customWidth="1"/>
    <col min="4886" max="4886" width="14.5703125" style="1864" customWidth="1"/>
    <col min="4887" max="4887" width="12.28515625" style="1864" customWidth="1"/>
    <col min="4888" max="4888" width="25.85546875" style="1864" customWidth="1"/>
    <col min="4889" max="5120" width="0.85546875" style="1864"/>
    <col min="5121" max="5121" width="9.85546875" style="1864" customWidth="1"/>
    <col min="5122" max="5122" width="81.85546875" style="1864" customWidth="1"/>
    <col min="5123" max="5123" width="12.7109375" style="1864" customWidth="1"/>
    <col min="5124" max="5124" width="12.42578125" style="1864" customWidth="1"/>
    <col min="5125" max="5125" width="14.5703125" style="1864" customWidth="1"/>
    <col min="5126" max="5126" width="12.28515625" style="1864" customWidth="1"/>
    <col min="5127" max="5127" width="38.140625" style="1864" customWidth="1"/>
    <col min="5128" max="5128" width="46.85546875" style="1864" customWidth="1"/>
    <col min="5129" max="5131" width="12.7109375" style="1864" customWidth="1"/>
    <col min="5132" max="5132" width="9.28515625" style="1864" customWidth="1"/>
    <col min="5133" max="5133" width="13.5703125" style="1864" customWidth="1"/>
    <col min="5134" max="5134" width="10.28515625" style="1864" customWidth="1"/>
    <col min="5135" max="5135" width="12.85546875" style="1864" customWidth="1"/>
    <col min="5136" max="5136" width="9.140625" style="1864" customWidth="1"/>
    <col min="5137" max="5137" width="9.7109375" style="1864" customWidth="1"/>
    <col min="5138" max="5138" width="9.28515625" style="1864" customWidth="1"/>
    <col min="5139" max="5139" width="9.42578125" style="1864" customWidth="1"/>
    <col min="5140" max="5140" width="10.5703125" style="1864" customWidth="1"/>
    <col min="5141" max="5141" width="12.42578125" style="1864" customWidth="1"/>
    <col min="5142" max="5142" width="14.5703125" style="1864" customWidth="1"/>
    <col min="5143" max="5143" width="12.28515625" style="1864" customWidth="1"/>
    <col min="5144" max="5144" width="25.85546875" style="1864" customWidth="1"/>
    <col min="5145" max="5376" width="0.85546875" style="1864"/>
    <col min="5377" max="5377" width="9.85546875" style="1864" customWidth="1"/>
    <col min="5378" max="5378" width="81.85546875" style="1864" customWidth="1"/>
    <col min="5379" max="5379" width="12.7109375" style="1864" customWidth="1"/>
    <col min="5380" max="5380" width="12.42578125" style="1864" customWidth="1"/>
    <col min="5381" max="5381" width="14.5703125" style="1864" customWidth="1"/>
    <col min="5382" max="5382" width="12.28515625" style="1864" customWidth="1"/>
    <col min="5383" max="5383" width="38.140625" style="1864" customWidth="1"/>
    <col min="5384" max="5384" width="46.85546875" style="1864" customWidth="1"/>
    <col min="5385" max="5387" width="12.7109375" style="1864" customWidth="1"/>
    <col min="5388" max="5388" width="9.28515625" style="1864" customWidth="1"/>
    <col min="5389" max="5389" width="13.5703125" style="1864" customWidth="1"/>
    <col min="5390" max="5390" width="10.28515625" style="1864" customWidth="1"/>
    <col min="5391" max="5391" width="12.85546875" style="1864" customWidth="1"/>
    <col min="5392" max="5392" width="9.140625" style="1864" customWidth="1"/>
    <col min="5393" max="5393" width="9.7109375" style="1864" customWidth="1"/>
    <col min="5394" max="5394" width="9.28515625" style="1864" customWidth="1"/>
    <col min="5395" max="5395" width="9.42578125" style="1864" customWidth="1"/>
    <col min="5396" max="5396" width="10.5703125" style="1864" customWidth="1"/>
    <col min="5397" max="5397" width="12.42578125" style="1864" customWidth="1"/>
    <col min="5398" max="5398" width="14.5703125" style="1864" customWidth="1"/>
    <col min="5399" max="5399" width="12.28515625" style="1864" customWidth="1"/>
    <col min="5400" max="5400" width="25.85546875" style="1864" customWidth="1"/>
    <col min="5401" max="5632" width="0.85546875" style="1864"/>
    <col min="5633" max="5633" width="9.85546875" style="1864" customWidth="1"/>
    <col min="5634" max="5634" width="81.85546875" style="1864" customWidth="1"/>
    <col min="5635" max="5635" width="12.7109375" style="1864" customWidth="1"/>
    <col min="5636" max="5636" width="12.42578125" style="1864" customWidth="1"/>
    <col min="5637" max="5637" width="14.5703125" style="1864" customWidth="1"/>
    <col min="5638" max="5638" width="12.28515625" style="1864" customWidth="1"/>
    <col min="5639" max="5639" width="38.140625" style="1864" customWidth="1"/>
    <col min="5640" max="5640" width="46.85546875" style="1864" customWidth="1"/>
    <col min="5641" max="5643" width="12.7109375" style="1864" customWidth="1"/>
    <col min="5644" max="5644" width="9.28515625" style="1864" customWidth="1"/>
    <col min="5645" max="5645" width="13.5703125" style="1864" customWidth="1"/>
    <col min="5646" max="5646" width="10.28515625" style="1864" customWidth="1"/>
    <col min="5647" max="5647" width="12.85546875" style="1864" customWidth="1"/>
    <col min="5648" max="5648" width="9.140625" style="1864" customWidth="1"/>
    <col min="5649" max="5649" width="9.7109375" style="1864" customWidth="1"/>
    <col min="5650" max="5650" width="9.28515625" style="1864" customWidth="1"/>
    <col min="5651" max="5651" width="9.42578125" style="1864" customWidth="1"/>
    <col min="5652" max="5652" width="10.5703125" style="1864" customWidth="1"/>
    <col min="5653" max="5653" width="12.42578125" style="1864" customWidth="1"/>
    <col min="5654" max="5654" width="14.5703125" style="1864" customWidth="1"/>
    <col min="5655" max="5655" width="12.28515625" style="1864" customWidth="1"/>
    <col min="5656" max="5656" width="25.85546875" style="1864" customWidth="1"/>
    <col min="5657" max="5888" width="0.85546875" style="1864"/>
    <col min="5889" max="5889" width="9.85546875" style="1864" customWidth="1"/>
    <col min="5890" max="5890" width="81.85546875" style="1864" customWidth="1"/>
    <col min="5891" max="5891" width="12.7109375" style="1864" customWidth="1"/>
    <col min="5892" max="5892" width="12.42578125" style="1864" customWidth="1"/>
    <col min="5893" max="5893" width="14.5703125" style="1864" customWidth="1"/>
    <col min="5894" max="5894" width="12.28515625" style="1864" customWidth="1"/>
    <col min="5895" max="5895" width="38.140625" style="1864" customWidth="1"/>
    <col min="5896" max="5896" width="46.85546875" style="1864" customWidth="1"/>
    <col min="5897" max="5899" width="12.7109375" style="1864" customWidth="1"/>
    <col min="5900" max="5900" width="9.28515625" style="1864" customWidth="1"/>
    <col min="5901" max="5901" width="13.5703125" style="1864" customWidth="1"/>
    <col min="5902" max="5902" width="10.28515625" style="1864" customWidth="1"/>
    <col min="5903" max="5903" width="12.85546875" style="1864" customWidth="1"/>
    <col min="5904" max="5904" width="9.140625" style="1864" customWidth="1"/>
    <col min="5905" max="5905" width="9.7109375" style="1864" customWidth="1"/>
    <col min="5906" max="5906" width="9.28515625" style="1864" customWidth="1"/>
    <col min="5907" max="5907" width="9.42578125" style="1864" customWidth="1"/>
    <col min="5908" max="5908" width="10.5703125" style="1864" customWidth="1"/>
    <col min="5909" max="5909" width="12.42578125" style="1864" customWidth="1"/>
    <col min="5910" max="5910" width="14.5703125" style="1864" customWidth="1"/>
    <col min="5911" max="5911" width="12.28515625" style="1864" customWidth="1"/>
    <col min="5912" max="5912" width="25.85546875" style="1864" customWidth="1"/>
    <col min="5913" max="6144" width="0.85546875" style="1864"/>
    <col min="6145" max="6145" width="9.85546875" style="1864" customWidth="1"/>
    <col min="6146" max="6146" width="81.85546875" style="1864" customWidth="1"/>
    <col min="6147" max="6147" width="12.7109375" style="1864" customWidth="1"/>
    <col min="6148" max="6148" width="12.42578125" style="1864" customWidth="1"/>
    <col min="6149" max="6149" width="14.5703125" style="1864" customWidth="1"/>
    <col min="6150" max="6150" width="12.28515625" style="1864" customWidth="1"/>
    <col min="6151" max="6151" width="38.140625" style="1864" customWidth="1"/>
    <col min="6152" max="6152" width="46.85546875" style="1864" customWidth="1"/>
    <col min="6153" max="6155" width="12.7109375" style="1864" customWidth="1"/>
    <col min="6156" max="6156" width="9.28515625" style="1864" customWidth="1"/>
    <col min="6157" max="6157" width="13.5703125" style="1864" customWidth="1"/>
    <col min="6158" max="6158" width="10.28515625" style="1864" customWidth="1"/>
    <col min="6159" max="6159" width="12.85546875" style="1864" customWidth="1"/>
    <col min="6160" max="6160" width="9.140625" style="1864" customWidth="1"/>
    <col min="6161" max="6161" width="9.7109375" style="1864" customWidth="1"/>
    <col min="6162" max="6162" width="9.28515625" style="1864" customWidth="1"/>
    <col min="6163" max="6163" width="9.42578125" style="1864" customWidth="1"/>
    <col min="6164" max="6164" width="10.5703125" style="1864" customWidth="1"/>
    <col min="6165" max="6165" width="12.42578125" style="1864" customWidth="1"/>
    <col min="6166" max="6166" width="14.5703125" style="1864" customWidth="1"/>
    <col min="6167" max="6167" width="12.28515625" style="1864" customWidth="1"/>
    <col min="6168" max="6168" width="25.85546875" style="1864" customWidth="1"/>
    <col min="6169" max="6400" width="0.85546875" style="1864"/>
    <col min="6401" max="6401" width="9.85546875" style="1864" customWidth="1"/>
    <col min="6402" max="6402" width="81.85546875" style="1864" customWidth="1"/>
    <col min="6403" max="6403" width="12.7109375" style="1864" customWidth="1"/>
    <col min="6404" max="6404" width="12.42578125" style="1864" customWidth="1"/>
    <col min="6405" max="6405" width="14.5703125" style="1864" customWidth="1"/>
    <col min="6406" max="6406" width="12.28515625" style="1864" customWidth="1"/>
    <col min="6407" max="6407" width="38.140625" style="1864" customWidth="1"/>
    <col min="6408" max="6408" width="46.85546875" style="1864" customWidth="1"/>
    <col min="6409" max="6411" width="12.7109375" style="1864" customWidth="1"/>
    <col min="6412" max="6412" width="9.28515625" style="1864" customWidth="1"/>
    <col min="6413" max="6413" width="13.5703125" style="1864" customWidth="1"/>
    <col min="6414" max="6414" width="10.28515625" style="1864" customWidth="1"/>
    <col min="6415" max="6415" width="12.85546875" style="1864" customWidth="1"/>
    <col min="6416" max="6416" width="9.140625" style="1864" customWidth="1"/>
    <col min="6417" max="6417" width="9.7109375" style="1864" customWidth="1"/>
    <col min="6418" max="6418" width="9.28515625" style="1864" customWidth="1"/>
    <col min="6419" max="6419" width="9.42578125" style="1864" customWidth="1"/>
    <col min="6420" max="6420" width="10.5703125" style="1864" customWidth="1"/>
    <col min="6421" max="6421" width="12.42578125" style="1864" customWidth="1"/>
    <col min="6422" max="6422" width="14.5703125" style="1864" customWidth="1"/>
    <col min="6423" max="6423" width="12.28515625" style="1864" customWidth="1"/>
    <col min="6424" max="6424" width="25.85546875" style="1864" customWidth="1"/>
    <col min="6425" max="6656" width="0.85546875" style="1864"/>
    <col min="6657" max="6657" width="9.85546875" style="1864" customWidth="1"/>
    <col min="6658" max="6658" width="81.85546875" style="1864" customWidth="1"/>
    <col min="6659" max="6659" width="12.7109375" style="1864" customWidth="1"/>
    <col min="6660" max="6660" width="12.42578125" style="1864" customWidth="1"/>
    <col min="6661" max="6661" width="14.5703125" style="1864" customWidth="1"/>
    <col min="6662" max="6662" width="12.28515625" style="1864" customWidth="1"/>
    <col min="6663" max="6663" width="38.140625" style="1864" customWidth="1"/>
    <col min="6664" max="6664" width="46.85546875" style="1864" customWidth="1"/>
    <col min="6665" max="6667" width="12.7109375" style="1864" customWidth="1"/>
    <col min="6668" max="6668" width="9.28515625" style="1864" customWidth="1"/>
    <col min="6669" max="6669" width="13.5703125" style="1864" customWidth="1"/>
    <col min="6670" max="6670" width="10.28515625" style="1864" customWidth="1"/>
    <col min="6671" max="6671" width="12.85546875" style="1864" customWidth="1"/>
    <col min="6672" max="6672" width="9.140625" style="1864" customWidth="1"/>
    <col min="6673" max="6673" width="9.7109375" style="1864" customWidth="1"/>
    <col min="6674" max="6674" width="9.28515625" style="1864" customWidth="1"/>
    <col min="6675" max="6675" width="9.42578125" style="1864" customWidth="1"/>
    <col min="6676" max="6676" width="10.5703125" style="1864" customWidth="1"/>
    <col min="6677" max="6677" width="12.42578125" style="1864" customWidth="1"/>
    <col min="6678" max="6678" width="14.5703125" style="1864" customWidth="1"/>
    <col min="6679" max="6679" width="12.28515625" style="1864" customWidth="1"/>
    <col min="6680" max="6680" width="25.85546875" style="1864" customWidth="1"/>
    <col min="6681" max="6912" width="0.85546875" style="1864"/>
    <col min="6913" max="6913" width="9.85546875" style="1864" customWidth="1"/>
    <col min="6914" max="6914" width="81.85546875" style="1864" customWidth="1"/>
    <col min="6915" max="6915" width="12.7109375" style="1864" customWidth="1"/>
    <col min="6916" max="6916" width="12.42578125" style="1864" customWidth="1"/>
    <col min="6917" max="6917" width="14.5703125" style="1864" customWidth="1"/>
    <col min="6918" max="6918" width="12.28515625" style="1864" customWidth="1"/>
    <col min="6919" max="6919" width="38.140625" style="1864" customWidth="1"/>
    <col min="6920" max="6920" width="46.85546875" style="1864" customWidth="1"/>
    <col min="6921" max="6923" width="12.7109375" style="1864" customWidth="1"/>
    <col min="6924" max="6924" width="9.28515625" style="1864" customWidth="1"/>
    <col min="6925" max="6925" width="13.5703125" style="1864" customWidth="1"/>
    <col min="6926" max="6926" width="10.28515625" style="1864" customWidth="1"/>
    <col min="6927" max="6927" width="12.85546875" style="1864" customWidth="1"/>
    <col min="6928" max="6928" width="9.140625" style="1864" customWidth="1"/>
    <col min="6929" max="6929" width="9.7109375" style="1864" customWidth="1"/>
    <col min="6930" max="6930" width="9.28515625" style="1864" customWidth="1"/>
    <col min="6931" max="6931" width="9.42578125" style="1864" customWidth="1"/>
    <col min="6932" max="6932" width="10.5703125" style="1864" customWidth="1"/>
    <col min="6933" max="6933" width="12.42578125" style="1864" customWidth="1"/>
    <col min="6934" max="6934" width="14.5703125" style="1864" customWidth="1"/>
    <col min="6935" max="6935" width="12.28515625" style="1864" customWidth="1"/>
    <col min="6936" max="6936" width="25.85546875" style="1864" customWidth="1"/>
    <col min="6937" max="7168" width="0.85546875" style="1864"/>
    <col min="7169" max="7169" width="9.85546875" style="1864" customWidth="1"/>
    <col min="7170" max="7170" width="81.85546875" style="1864" customWidth="1"/>
    <col min="7171" max="7171" width="12.7109375" style="1864" customWidth="1"/>
    <col min="7172" max="7172" width="12.42578125" style="1864" customWidth="1"/>
    <col min="7173" max="7173" width="14.5703125" style="1864" customWidth="1"/>
    <col min="7174" max="7174" width="12.28515625" style="1864" customWidth="1"/>
    <col min="7175" max="7175" width="38.140625" style="1864" customWidth="1"/>
    <col min="7176" max="7176" width="46.85546875" style="1864" customWidth="1"/>
    <col min="7177" max="7179" width="12.7109375" style="1864" customWidth="1"/>
    <col min="7180" max="7180" width="9.28515625" style="1864" customWidth="1"/>
    <col min="7181" max="7181" width="13.5703125" style="1864" customWidth="1"/>
    <col min="7182" max="7182" width="10.28515625" style="1864" customWidth="1"/>
    <col min="7183" max="7183" width="12.85546875" style="1864" customWidth="1"/>
    <col min="7184" max="7184" width="9.140625" style="1864" customWidth="1"/>
    <col min="7185" max="7185" width="9.7109375" style="1864" customWidth="1"/>
    <col min="7186" max="7186" width="9.28515625" style="1864" customWidth="1"/>
    <col min="7187" max="7187" width="9.42578125" style="1864" customWidth="1"/>
    <col min="7188" max="7188" width="10.5703125" style="1864" customWidth="1"/>
    <col min="7189" max="7189" width="12.42578125" style="1864" customWidth="1"/>
    <col min="7190" max="7190" width="14.5703125" style="1864" customWidth="1"/>
    <col min="7191" max="7191" width="12.28515625" style="1864" customWidth="1"/>
    <col min="7192" max="7192" width="25.85546875" style="1864" customWidth="1"/>
    <col min="7193" max="7424" width="0.85546875" style="1864"/>
    <col min="7425" max="7425" width="9.85546875" style="1864" customWidth="1"/>
    <col min="7426" max="7426" width="81.85546875" style="1864" customWidth="1"/>
    <col min="7427" max="7427" width="12.7109375" style="1864" customWidth="1"/>
    <col min="7428" max="7428" width="12.42578125" style="1864" customWidth="1"/>
    <col min="7429" max="7429" width="14.5703125" style="1864" customWidth="1"/>
    <col min="7430" max="7430" width="12.28515625" style="1864" customWidth="1"/>
    <col min="7431" max="7431" width="38.140625" style="1864" customWidth="1"/>
    <col min="7432" max="7432" width="46.85546875" style="1864" customWidth="1"/>
    <col min="7433" max="7435" width="12.7109375" style="1864" customWidth="1"/>
    <col min="7436" max="7436" width="9.28515625" style="1864" customWidth="1"/>
    <col min="7437" max="7437" width="13.5703125" style="1864" customWidth="1"/>
    <col min="7438" max="7438" width="10.28515625" style="1864" customWidth="1"/>
    <col min="7439" max="7439" width="12.85546875" style="1864" customWidth="1"/>
    <col min="7440" max="7440" width="9.140625" style="1864" customWidth="1"/>
    <col min="7441" max="7441" width="9.7109375" style="1864" customWidth="1"/>
    <col min="7442" max="7442" width="9.28515625" style="1864" customWidth="1"/>
    <col min="7443" max="7443" width="9.42578125" style="1864" customWidth="1"/>
    <col min="7444" max="7444" width="10.5703125" style="1864" customWidth="1"/>
    <col min="7445" max="7445" width="12.42578125" style="1864" customWidth="1"/>
    <col min="7446" max="7446" width="14.5703125" style="1864" customWidth="1"/>
    <col min="7447" max="7447" width="12.28515625" style="1864" customWidth="1"/>
    <col min="7448" max="7448" width="25.85546875" style="1864" customWidth="1"/>
    <col min="7449" max="7680" width="0.85546875" style="1864"/>
    <col min="7681" max="7681" width="9.85546875" style="1864" customWidth="1"/>
    <col min="7682" max="7682" width="81.85546875" style="1864" customWidth="1"/>
    <col min="7683" max="7683" width="12.7109375" style="1864" customWidth="1"/>
    <col min="7684" max="7684" width="12.42578125" style="1864" customWidth="1"/>
    <col min="7685" max="7685" width="14.5703125" style="1864" customWidth="1"/>
    <col min="7686" max="7686" width="12.28515625" style="1864" customWidth="1"/>
    <col min="7687" max="7687" width="38.140625" style="1864" customWidth="1"/>
    <col min="7688" max="7688" width="46.85546875" style="1864" customWidth="1"/>
    <col min="7689" max="7691" width="12.7109375" style="1864" customWidth="1"/>
    <col min="7692" max="7692" width="9.28515625" style="1864" customWidth="1"/>
    <col min="7693" max="7693" width="13.5703125" style="1864" customWidth="1"/>
    <col min="7694" max="7694" width="10.28515625" style="1864" customWidth="1"/>
    <col min="7695" max="7695" width="12.85546875" style="1864" customWidth="1"/>
    <col min="7696" max="7696" width="9.140625" style="1864" customWidth="1"/>
    <col min="7697" max="7697" width="9.7109375" style="1864" customWidth="1"/>
    <col min="7698" max="7698" width="9.28515625" style="1864" customWidth="1"/>
    <col min="7699" max="7699" width="9.42578125" style="1864" customWidth="1"/>
    <col min="7700" max="7700" width="10.5703125" style="1864" customWidth="1"/>
    <col min="7701" max="7701" width="12.42578125" style="1864" customWidth="1"/>
    <col min="7702" max="7702" width="14.5703125" style="1864" customWidth="1"/>
    <col min="7703" max="7703" width="12.28515625" style="1864" customWidth="1"/>
    <col min="7704" max="7704" width="25.85546875" style="1864" customWidth="1"/>
    <col min="7705" max="7936" width="0.85546875" style="1864"/>
    <col min="7937" max="7937" width="9.85546875" style="1864" customWidth="1"/>
    <col min="7938" max="7938" width="81.85546875" style="1864" customWidth="1"/>
    <col min="7939" max="7939" width="12.7109375" style="1864" customWidth="1"/>
    <col min="7940" max="7940" width="12.42578125" style="1864" customWidth="1"/>
    <col min="7941" max="7941" width="14.5703125" style="1864" customWidth="1"/>
    <col min="7942" max="7942" width="12.28515625" style="1864" customWidth="1"/>
    <col min="7943" max="7943" width="38.140625" style="1864" customWidth="1"/>
    <col min="7944" max="7944" width="46.85546875" style="1864" customWidth="1"/>
    <col min="7945" max="7947" width="12.7109375" style="1864" customWidth="1"/>
    <col min="7948" max="7948" width="9.28515625" style="1864" customWidth="1"/>
    <col min="7949" max="7949" width="13.5703125" style="1864" customWidth="1"/>
    <col min="7950" max="7950" width="10.28515625" style="1864" customWidth="1"/>
    <col min="7951" max="7951" width="12.85546875" style="1864" customWidth="1"/>
    <col min="7952" max="7952" width="9.140625" style="1864" customWidth="1"/>
    <col min="7953" max="7953" width="9.7109375" style="1864" customWidth="1"/>
    <col min="7954" max="7954" width="9.28515625" style="1864" customWidth="1"/>
    <col min="7955" max="7955" width="9.42578125" style="1864" customWidth="1"/>
    <col min="7956" max="7956" width="10.5703125" style="1864" customWidth="1"/>
    <col min="7957" max="7957" width="12.42578125" style="1864" customWidth="1"/>
    <col min="7958" max="7958" width="14.5703125" style="1864" customWidth="1"/>
    <col min="7959" max="7959" width="12.28515625" style="1864" customWidth="1"/>
    <col min="7960" max="7960" width="25.85546875" style="1864" customWidth="1"/>
    <col min="7961" max="8192" width="0.85546875" style="1864"/>
    <col min="8193" max="8193" width="9.85546875" style="1864" customWidth="1"/>
    <col min="8194" max="8194" width="81.85546875" style="1864" customWidth="1"/>
    <col min="8195" max="8195" width="12.7109375" style="1864" customWidth="1"/>
    <col min="8196" max="8196" width="12.42578125" style="1864" customWidth="1"/>
    <col min="8197" max="8197" width="14.5703125" style="1864" customWidth="1"/>
    <col min="8198" max="8198" width="12.28515625" style="1864" customWidth="1"/>
    <col min="8199" max="8199" width="38.140625" style="1864" customWidth="1"/>
    <col min="8200" max="8200" width="46.85546875" style="1864" customWidth="1"/>
    <col min="8201" max="8203" width="12.7109375" style="1864" customWidth="1"/>
    <col min="8204" max="8204" width="9.28515625" style="1864" customWidth="1"/>
    <col min="8205" max="8205" width="13.5703125" style="1864" customWidth="1"/>
    <col min="8206" max="8206" width="10.28515625" style="1864" customWidth="1"/>
    <col min="8207" max="8207" width="12.85546875" style="1864" customWidth="1"/>
    <col min="8208" max="8208" width="9.140625" style="1864" customWidth="1"/>
    <col min="8209" max="8209" width="9.7109375" style="1864" customWidth="1"/>
    <col min="8210" max="8210" width="9.28515625" style="1864" customWidth="1"/>
    <col min="8211" max="8211" width="9.42578125" style="1864" customWidth="1"/>
    <col min="8212" max="8212" width="10.5703125" style="1864" customWidth="1"/>
    <col min="8213" max="8213" width="12.42578125" style="1864" customWidth="1"/>
    <col min="8214" max="8214" width="14.5703125" style="1864" customWidth="1"/>
    <col min="8215" max="8215" width="12.28515625" style="1864" customWidth="1"/>
    <col min="8216" max="8216" width="25.85546875" style="1864" customWidth="1"/>
    <col min="8217" max="8448" width="0.85546875" style="1864"/>
    <col min="8449" max="8449" width="9.85546875" style="1864" customWidth="1"/>
    <col min="8450" max="8450" width="81.85546875" style="1864" customWidth="1"/>
    <col min="8451" max="8451" width="12.7109375" style="1864" customWidth="1"/>
    <col min="8452" max="8452" width="12.42578125" style="1864" customWidth="1"/>
    <col min="8453" max="8453" width="14.5703125" style="1864" customWidth="1"/>
    <col min="8454" max="8454" width="12.28515625" style="1864" customWidth="1"/>
    <col min="8455" max="8455" width="38.140625" style="1864" customWidth="1"/>
    <col min="8456" max="8456" width="46.85546875" style="1864" customWidth="1"/>
    <col min="8457" max="8459" width="12.7109375" style="1864" customWidth="1"/>
    <col min="8460" max="8460" width="9.28515625" style="1864" customWidth="1"/>
    <col min="8461" max="8461" width="13.5703125" style="1864" customWidth="1"/>
    <col min="8462" max="8462" width="10.28515625" style="1864" customWidth="1"/>
    <col min="8463" max="8463" width="12.85546875" style="1864" customWidth="1"/>
    <col min="8464" max="8464" width="9.140625" style="1864" customWidth="1"/>
    <col min="8465" max="8465" width="9.7109375" style="1864" customWidth="1"/>
    <col min="8466" max="8466" width="9.28515625" style="1864" customWidth="1"/>
    <col min="8467" max="8467" width="9.42578125" style="1864" customWidth="1"/>
    <col min="8468" max="8468" width="10.5703125" style="1864" customWidth="1"/>
    <col min="8469" max="8469" width="12.42578125" style="1864" customWidth="1"/>
    <col min="8470" max="8470" width="14.5703125" style="1864" customWidth="1"/>
    <col min="8471" max="8471" width="12.28515625" style="1864" customWidth="1"/>
    <col min="8472" max="8472" width="25.85546875" style="1864" customWidth="1"/>
    <col min="8473" max="8704" width="0.85546875" style="1864"/>
    <col min="8705" max="8705" width="9.85546875" style="1864" customWidth="1"/>
    <col min="8706" max="8706" width="81.85546875" style="1864" customWidth="1"/>
    <col min="8707" max="8707" width="12.7109375" style="1864" customWidth="1"/>
    <col min="8708" max="8708" width="12.42578125" style="1864" customWidth="1"/>
    <col min="8709" max="8709" width="14.5703125" style="1864" customWidth="1"/>
    <col min="8710" max="8710" width="12.28515625" style="1864" customWidth="1"/>
    <col min="8711" max="8711" width="38.140625" style="1864" customWidth="1"/>
    <col min="8712" max="8712" width="46.85546875" style="1864" customWidth="1"/>
    <col min="8713" max="8715" width="12.7109375" style="1864" customWidth="1"/>
    <col min="8716" max="8716" width="9.28515625" style="1864" customWidth="1"/>
    <col min="8717" max="8717" width="13.5703125" style="1864" customWidth="1"/>
    <col min="8718" max="8718" width="10.28515625" style="1864" customWidth="1"/>
    <col min="8719" max="8719" width="12.85546875" style="1864" customWidth="1"/>
    <col min="8720" max="8720" width="9.140625" style="1864" customWidth="1"/>
    <col min="8721" max="8721" width="9.7109375" style="1864" customWidth="1"/>
    <col min="8722" max="8722" width="9.28515625" style="1864" customWidth="1"/>
    <col min="8723" max="8723" width="9.42578125" style="1864" customWidth="1"/>
    <col min="8724" max="8724" width="10.5703125" style="1864" customWidth="1"/>
    <col min="8725" max="8725" width="12.42578125" style="1864" customWidth="1"/>
    <col min="8726" max="8726" width="14.5703125" style="1864" customWidth="1"/>
    <col min="8727" max="8727" width="12.28515625" style="1864" customWidth="1"/>
    <col min="8728" max="8728" width="25.85546875" style="1864" customWidth="1"/>
    <col min="8729" max="8960" width="0.85546875" style="1864"/>
    <col min="8961" max="8961" width="9.85546875" style="1864" customWidth="1"/>
    <col min="8962" max="8962" width="81.85546875" style="1864" customWidth="1"/>
    <col min="8963" max="8963" width="12.7109375" style="1864" customWidth="1"/>
    <col min="8964" max="8964" width="12.42578125" style="1864" customWidth="1"/>
    <col min="8965" max="8965" width="14.5703125" style="1864" customWidth="1"/>
    <col min="8966" max="8966" width="12.28515625" style="1864" customWidth="1"/>
    <col min="8967" max="8967" width="38.140625" style="1864" customWidth="1"/>
    <col min="8968" max="8968" width="46.85546875" style="1864" customWidth="1"/>
    <col min="8969" max="8971" width="12.7109375" style="1864" customWidth="1"/>
    <col min="8972" max="8972" width="9.28515625" style="1864" customWidth="1"/>
    <col min="8973" max="8973" width="13.5703125" style="1864" customWidth="1"/>
    <col min="8974" max="8974" width="10.28515625" style="1864" customWidth="1"/>
    <col min="8975" max="8975" width="12.85546875" style="1864" customWidth="1"/>
    <col min="8976" max="8976" width="9.140625" style="1864" customWidth="1"/>
    <col min="8977" max="8977" width="9.7109375" style="1864" customWidth="1"/>
    <col min="8978" max="8978" width="9.28515625" style="1864" customWidth="1"/>
    <col min="8979" max="8979" width="9.42578125" style="1864" customWidth="1"/>
    <col min="8980" max="8980" width="10.5703125" style="1864" customWidth="1"/>
    <col min="8981" max="8981" width="12.42578125" style="1864" customWidth="1"/>
    <col min="8982" max="8982" width="14.5703125" style="1864" customWidth="1"/>
    <col min="8983" max="8983" width="12.28515625" style="1864" customWidth="1"/>
    <col min="8984" max="8984" width="25.85546875" style="1864" customWidth="1"/>
    <col min="8985" max="9216" width="0.85546875" style="1864"/>
    <col min="9217" max="9217" width="9.85546875" style="1864" customWidth="1"/>
    <col min="9218" max="9218" width="81.85546875" style="1864" customWidth="1"/>
    <col min="9219" max="9219" width="12.7109375" style="1864" customWidth="1"/>
    <col min="9220" max="9220" width="12.42578125" style="1864" customWidth="1"/>
    <col min="9221" max="9221" width="14.5703125" style="1864" customWidth="1"/>
    <col min="9222" max="9222" width="12.28515625" style="1864" customWidth="1"/>
    <col min="9223" max="9223" width="38.140625" style="1864" customWidth="1"/>
    <col min="9224" max="9224" width="46.85546875" style="1864" customWidth="1"/>
    <col min="9225" max="9227" width="12.7109375" style="1864" customWidth="1"/>
    <col min="9228" max="9228" width="9.28515625" style="1864" customWidth="1"/>
    <col min="9229" max="9229" width="13.5703125" style="1864" customWidth="1"/>
    <col min="9230" max="9230" width="10.28515625" style="1864" customWidth="1"/>
    <col min="9231" max="9231" width="12.85546875" style="1864" customWidth="1"/>
    <col min="9232" max="9232" width="9.140625" style="1864" customWidth="1"/>
    <col min="9233" max="9233" width="9.7109375" style="1864" customWidth="1"/>
    <col min="9234" max="9234" width="9.28515625" style="1864" customWidth="1"/>
    <col min="9235" max="9235" width="9.42578125" style="1864" customWidth="1"/>
    <col min="9236" max="9236" width="10.5703125" style="1864" customWidth="1"/>
    <col min="9237" max="9237" width="12.42578125" style="1864" customWidth="1"/>
    <col min="9238" max="9238" width="14.5703125" style="1864" customWidth="1"/>
    <col min="9239" max="9239" width="12.28515625" style="1864" customWidth="1"/>
    <col min="9240" max="9240" width="25.85546875" style="1864" customWidth="1"/>
    <col min="9241" max="9472" width="0.85546875" style="1864"/>
    <col min="9473" max="9473" width="9.85546875" style="1864" customWidth="1"/>
    <col min="9474" max="9474" width="81.85546875" style="1864" customWidth="1"/>
    <col min="9475" max="9475" width="12.7109375" style="1864" customWidth="1"/>
    <col min="9476" max="9476" width="12.42578125" style="1864" customWidth="1"/>
    <col min="9477" max="9477" width="14.5703125" style="1864" customWidth="1"/>
    <col min="9478" max="9478" width="12.28515625" style="1864" customWidth="1"/>
    <col min="9479" max="9479" width="38.140625" style="1864" customWidth="1"/>
    <col min="9480" max="9480" width="46.85546875" style="1864" customWidth="1"/>
    <col min="9481" max="9483" width="12.7109375" style="1864" customWidth="1"/>
    <col min="9484" max="9484" width="9.28515625" style="1864" customWidth="1"/>
    <col min="9485" max="9485" width="13.5703125" style="1864" customWidth="1"/>
    <col min="9486" max="9486" width="10.28515625" style="1864" customWidth="1"/>
    <col min="9487" max="9487" width="12.85546875" style="1864" customWidth="1"/>
    <col min="9488" max="9488" width="9.140625" style="1864" customWidth="1"/>
    <col min="9489" max="9489" width="9.7109375" style="1864" customWidth="1"/>
    <col min="9490" max="9490" width="9.28515625" style="1864" customWidth="1"/>
    <col min="9491" max="9491" width="9.42578125" style="1864" customWidth="1"/>
    <col min="9492" max="9492" width="10.5703125" style="1864" customWidth="1"/>
    <col min="9493" max="9493" width="12.42578125" style="1864" customWidth="1"/>
    <col min="9494" max="9494" width="14.5703125" style="1864" customWidth="1"/>
    <col min="9495" max="9495" width="12.28515625" style="1864" customWidth="1"/>
    <col min="9496" max="9496" width="25.85546875" style="1864" customWidth="1"/>
    <col min="9497" max="9728" width="0.85546875" style="1864"/>
    <col min="9729" max="9729" width="9.85546875" style="1864" customWidth="1"/>
    <col min="9730" max="9730" width="81.85546875" style="1864" customWidth="1"/>
    <col min="9731" max="9731" width="12.7109375" style="1864" customWidth="1"/>
    <col min="9732" max="9732" width="12.42578125" style="1864" customWidth="1"/>
    <col min="9733" max="9733" width="14.5703125" style="1864" customWidth="1"/>
    <col min="9734" max="9734" width="12.28515625" style="1864" customWidth="1"/>
    <col min="9735" max="9735" width="38.140625" style="1864" customWidth="1"/>
    <col min="9736" max="9736" width="46.85546875" style="1864" customWidth="1"/>
    <col min="9737" max="9739" width="12.7109375" style="1864" customWidth="1"/>
    <col min="9740" max="9740" width="9.28515625" style="1864" customWidth="1"/>
    <col min="9741" max="9741" width="13.5703125" style="1864" customWidth="1"/>
    <col min="9742" max="9742" width="10.28515625" style="1864" customWidth="1"/>
    <col min="9743" max="9743" width="12.85546875" style="1864" customWidth="1"/>
    <col min="9744" max="9744" width="9.140625" style="1864" customWidth="1"/>
    <col min="9745" max="9745" width="9.7109375" style="1864" customWidth="1"/>
    <col min="9746" max="9746" width="9.28515625" style="1864" customWidth="1"/>
    <col min="9747" max="9747" width="9.42578125" style="1864" customWidth="1"/>
    <col min="9748" max="9748" width="10.5703125" style="1864" customWidth="1"/>
    <col min="9749" max="9749" width="12.42578125" style="1864" customWidth="1"/>
    <col min="9750" max="9750" width="14.5703125" style="1864" customWidth="1"/>
    <col min="9751" max="9751" width="12.28515625" style="1864" customWidth="1"/>
    <col min="9752" max="9752" width="25.85546875" style="1864" customWidth="1"/>
    <col min="9753" max="9984" width="0.85546875" style="1864"/>
    <col min="9985" max="9985" width="9.85546875" style="1864" customWidth="1"/>
    <col min="9986" max="9986" width="81.85546875" style="1864" customWidth="1"/>
    <col min="9987" max="9987" width="12.7109375" style="1864" customWidth="1"/>
    <col min="9988" max="9988" width="12.42578125" style="1864" customWidth="1"/>
    <col min="9989" max="9989" width="14.5703125" style="1864" customWidth="1"/>
    <col min="9990" max="9990" width="12.28515625" style="1864" customWidth="1"/>
    <col min="9991" max="9991" width="38.140625" style="1864" customWidth="1"/>
    <col min="9992" max="9992" width="46.85546875" style="1864" customWidth="1"/>
    <col min="9993" max="9995" width="12.7109375" style="1864" customWidth="1"/>
    <col min="9996" max="9996" width="9.28515625" style="1864" customWidth="1"/>
    <col min="9997" max="9997" width="13.5703125" style="1864" customWidth="1"/>
    <col min="9998" max="9998" width="10.28515625" style="1864" customWidth="1"/>
    <col min="9999" max="9999" width="12.85546875" style="1864" customWidth="1"/>
    <col min="10000" max="10000" width="9.140625" style="1864" customWidth="1"/>
    <col min="10001" max="10001" width="9.7109375" style="1864" customWidth="1"/>
    <col min="10002" max="10002" width="9.28515625" style="1864" customWidth="1"/>
    <col min="10003" max="10003" width="9.42578125" style="1864" customWidth="1"/>
    <col min="10004" max="10004" width="10.5703125" style="1864" customWidth="1"/>
    <col min="10005" max="10005" width="12.42578125" style="1864" customWidth="1"/>
    <col min="10006" max="10006" width="14.5703125" style="1864" customWidth="1"/>
    <col min="10007" max="10007" width="12.28515625" style="1864" customWidth="1"/>
    <col min="10008" max="10008" width="25.85546875" style="1864" customWidth="1"/>
    <col min="10009" max="10240" width="0.85546875" style="1864"/>
    <col min="10241" max="10241" width="9.85546875" style="1864" customWidth="1"/>
    <col min="10242" max="10242" width="81.85546875" style="1864" customWidth="1"/>
    <col min="10243" max="10243" width="12.7109375" style="1864" customWidth="1"/>
    <col min="10244" max="10244" width="12.42578125" style="1864" customWidth="1"/>
    <col min="10245" max="10245" width="14.5703125" style="1864" customWidth="1"/>
    <col min="10246" max="10246" width="12.28515625" style="1864" customWidth="1"/>
    <col min="10247" max="10247" width="38.140625" style="1864" customWidth="1"/>
    <col min="10248" max="10248" width="46.85546875" style="1864" customWidth="1"/>
    <col min="10249" max="10251" width="12.7109375" style="1864" customWidth="1"/>
    <col min="10252" max="10252" width="9.28515625" style="1864" customWidth="1"/>
    <col min="10253" max="10253" width="13.5703125" style="1864" customWidth="1"/>
    <col min="10254" max="10254" width="10.28515625" style="1864" customWidth="1"/>
    <col min="10255" max="10255" width="12.85546875" style="1864" customWidth="1"/>
    <col min="10256" max="10256" width="9.140625" style="1864" customWidth="1"/>
    <col min="10257" max="10257" width="9.7109375" style="1864" customWidth="1"/>
    <col min="10258" max="10258" width="9.28515625" style="1864" customWidth="1"/>
    <col min="10259" max="10259" width="9.42578125" style="1864" customWidth="1"/>
    <col min="10260" max="10260" width="10.5703125" style="1864" customWidth="1"/>
    <col min="10261" max="10261" width="12.42578125" style="1864" customWidth="1"/>
    <col min="10262" max="10262" width="14.5703125" style="1864" customWidth="1"/>
    <col min="10263" max="10263" width="12.28515625" style="1864" customWidth="1"/>
    <col min="10264" max="10264" width="25.85546875" style="1864" customWidth="1"/>
    <col min="10265" max="10496" width="0.85546875" style="1864"/>
    <col min="10497" max="10497" width="9.85546875" style="1864" customWidth="1"/>
    <col min="10498" max="10498" width="81.85546875" style="1864" customWidth="1"/>
    <col min="10499" max="10499" width="12.7109375" style="1864" customWidth="1"/>
    <col min="10500" max="10500" width="12.42578125" style="1864" customWidth="1"/>
    <col min="10501" max="10501" width="14.5703125" style="1864" customWidth="1"/>
    <col min="10502" max="10502" width="12.28515625" style="1864" customWidth="1"/>
    <col min="10503" max="10503" width="38.140625" style="1864" customWidth="1"/>
    <col min="10504" max="10504" width="46.85546875" style="1864" customWidth="1"/>
    <col min="10505" max="10507" width="12.7109375" style="1864" customWidth="1"/>
    <col min="10508" max="10508" width="9.28515625" style="1864" customWidth="1"/>
    <col min="10509" max="10509" width="13.5703125" style="1864" customWidth="1"/>
    <col min="10510" max="10510" width="10.28515625" style="1864" customWidth="1"/>
    <col min="10511" max="10511" width="12.85546875" style="1864" customWidth="1"/>
    <col min="10512" max="10512" width="9.140625" style="1864" customWidth="1"/>
    <col min="10513" max="10513" width="9.7109375" style="1864" customWidth="1"/>
    <col min="10514" max="10514" width="9.28515625" style="1864" customWidth="1"/>
    <col min="10515" max="10515" width="9.42578125" style="1864" customWidth="1"/>
    <col min="10516" max="10516" width="10.5703125" style="1864" customWidth="1"/>
    <col min="10517" max="10517" width="12.42578125" style="1864" customWidth="1"/>
    <col min="10518" max="10518" width="14.5703125" style="1864" customWidth="1"/>
    <col min="10519" max="10519" width="12.28515625" style="1864" customWidth="1"/>
    <col min="10520" max="10520" width="25.85546875" style="1864" customWidth="1"/>
    <col min="10521" max="10752" width="0.85546875" style="1864"/>
    <col min="10753" max="10753" width="9.85546875" style="1864" customWidth="1"/>
    <col min="10754" max="10754" width="81.85546875" style="1864" customWidth="1"/>
    <col min="10755" max="10755" width="12.7109375" style="1864" customWidth="1"/>
    <col min="10756" max="10756" width="12.42578125" style="1864" customWidth="1"/>
    <col min="10757" max="10757" width="14.5703125" style="1864" customWidth="1"/>
    <col min="10758" max="10758" width="12.28515625" style="1864" customWidth="1"/>
    <col min="10759" max="10759" width="38.140625" style="1864" customWidth="1"/>
    <col min="10760" max="10760" width="46.85546875" style="1864" customWidth="1"/>
    <col min="10761" max="10763" width="12.7109375" style="1864" customWidth="1"/>
    <col min="10764" max="10764" width="9.28515625" style="1864" customWidth="1"/>
    <col min="10765" max="10765" width="13.5703125" style="1864" customWidth="1"/>
    <col min="10766" max="10766" width="10.28515625" style="1864" customWidth="1"/>
    <col min="10767" max="10767" width="12.85546875" style="1864" customWidth="1"/>
    <col min="10768" max="10768" width="9.140625" style="1864" customWidth="1"/>
    <col min="10769" max="10769" width="9.7109375" style="1864" customWidth="1"/>
    <col min="10770" max="10770" width="9.28515625" style="1864" customWidth="1"/>
    <col min="10771" max="10771" width="9.42578125" style="1864" customWidth="1"/>
    <col min="10772" max="10772" width="10.5703125" style="1864" customWidth="1"/>
    <col min="10773" max="10773" width="12.42578125" style="1864" customWidth="1"/>
    <col min="10774" max="10774" width="14.5703125" style="1864" customWidth="1"/>
    <col min="10775" max="10775" width="12.28515625" style="1864" customWidth="1"/>
    <col min="10776" max="10776" width="25.85546875" style="1864" customWidth="1"/>
    <col min="10777" max="11008" width="0.85546875" style="1864"/>
    <col min="11009" max="11009" width="9.85546875" style="1864" customWidth="1"/>
    <col min="11010" max="11010" width="81.85546875" style="1864" customWidth="1"/>
    <col min="11011" max="11011" width="12.7109375" style="1864" customWidth="1"/>
    <col min="11012" max="11012" width="12.42578125" style="1864" customWidth="1"/>
    <col min="11013" max="11013" width="14.5703125" style="1864" customWidth="1"/>
    <col min="11014" max="11014" width="12.28515625" style="1864" customWidth="1"/>
    <col min="11015" max="11015" width="38.140625" style="1864" customWidth="1"/>
    <col min="11016" max="11016" width="46.85546875" style="1864" customWidth="1"/>
    <col min="11017" max="11019" width="12.7109375" style="1864" customWidth="1"/>
    <col min="11020" max="11020" width="9.28515625" style="1864" customWidth="1"/>
    <col min="11021" max="11021" width="13.5703125" style="1864" customWidth="1"/>
    <col min="11022" max="11022" width="10.28515625" style="1864" customWidth="1"/>
    <col min="11023" max="11023" width="12.85546875" style="1864" customWidth="1"/>
    <col min="11024" max="11024" width="9.140625" style="1864" customWidth="1"/>
    <col min="11025" max="11025" width="9.7109375" style="1864" customWidth="1"/>
    <col min="11026" max="11026" width="9.28515625" style="1864" customWidth="1"/>
    <col min="11027" max="11027" width="9.42578125" style="1864" customWidth="1"/>
    <col min="11028" max="11028" width="10.5703125" style="1864" customWidth="1"/>
    <col min="11029" max="11029" width="12.42578125" style="1864" customWidth="1"/>
    <col min="11030" max="11030" width="14.5703125" style="1864" customWidth="1"/>
    <col min="11031" max="11031" width="12.28515625" style="1864" customWidth="1"/>
    <col min="11032" max="11032" width="25.85546875" style="1864" customWidth="1"/>
    <col min="11033" max="11264" width="0.85546875" style="1864"/>
    <col min="11265" max="11265" width="9.85546875" style="1864" customWidth="1"/>
    <col min="11266" max="11266" width="81.85546875" style="1864" customWidth="1"/>
    <col min="11267" max="11267" width="12.7109375" style="1864" customWidth="1"/>
    <col min="11268" max="11268" width="12.42578125" style="1864" customWidth="1"/>
    <col min="11269" max="11269" width="14.5703125" style="1864" customWidth="1"/>
    <col min="11270" max="11270" width="12.28515625" style="1864" customWidth="1"/>
    <col min="11271" max="11271" width="38.140625" style="1864" customWidth="1"/>
    <col min="11272" max="11272" width="46.85546875" style="1864" customWidth="1"/>
    <col min="11273" max="11275" width="12.7109375" style="1864" customWidth="1"/>
    <col min="11276" max="11276" width="9.28515625" style="1864" customWidth="1"/>
    <col min="11277" max="11277" width="13.5703125" style="1864" customWidth="1"/>
    <col min="11278" max="11278" width="10.28515625" style="1864" customWidth="1"/>
    <col min="11279" max="11279" width="12.85546875" style="1864" customWidth="1"/>
    <col min="11280" max="11280" width="9.140625" style="1864" customWidth="1"/>
    <col min="11281" max="11281" width="9.7109375" style="1864" customWidth="1"/>
    <col min="11282" max="11282" width="9.28515625" style="1864" customWidth="1"/>
    <col min="11283" max="11283" width="9.42578125" style="1864" customWidth="1"/>
    <col min="11284" max="11284" width="10.5703125" style="1864" customWidth="1"/>
    <col min="11285" max="11285" width="12.42578125" style="1864" customWidth="1"/>
    <col min="11286" max="11286" width="14.5703125" style="1864" customWidth="1"/>
    <col min="11287" max="11287" width="12.28515625" style="1864" customWidth="1"/>
    <col min="11288" max="11288" width="25.85546875" style="1864" customWidth="1"/>
    <col min="11289" max="11520" width="0.85546875" style="1864"/>
    <col min="11521" max="11521" width="9.85546875" style="1864" customWidth="1"/>
    <col min="11522" max="11522" width="81.85546875" style="1864" customWidth="1"/>
    <col min="11523" max="11523" width="12.7109375" style="1864" customWidth="1"/>
    <col min="11524" max="11524" width="12.42578125" style="1864" customWidth="1"/>
    <col min="11525" max="11525" width="14.5703125" style="1864" customWidth="1"/>
    <col min="11526" max="11526" width="12.28515625" style="1864" customWidth="1"/>
    <col min="11527" max="11527" width="38.140625" style="1864" customWidth="1"/>
    <col min="11528" max="11528" width="46.85546875" style="1864" customWidth="1"/>
    <col min="11529" max="11531" width="12.7109375" style="1864" customWidth="1"/>
    <col min="11532" max="11532" width="9.28515625" style="1864" customWidth="1"/>
    <col min="11533" max="11533" width="13.5703125" style="1864" customWidth="1"/>
    <col min="11534" max="11534" width="10.28515625" style="1864" customWidth="1"/>
    <col min="11535" max="11535" width="12.85546875" style="1864" customWidth="1"/>
    <col min="11536" max="11536" width="9.140625" style="1864" customWidth="1"/>
    <col min="11537" max="11537" width="9.7109375" style="1864" customWidth="1"/>
    <col min="11538" max="11538" width="9.28515625" style="1864" customWidth="1"/>
    <col min="11539" max="11539" width="9.42578125" style="1864" customWidth="1"/>
    <col min="11540" max="11540" width="10.5703125" style="1864" customWidth="1"/>
    <col min="11541" max="11541" width="12.42578125" style="1864" customWidth="1"/>
    <col min="11542" max="11542" width="14.5703125" style="1864" customWidth="1"/>
    <col min="11543" max="11543" width="12.28515625" style="1864" customWidth="1"/>
    <col min="11544" max="11544" width="25.85546875" style="1864" customWidth="1"/>
    <col min="11545" max="11776" width="0.85546875" style="1864"/>
    <col min="11777" max="11777" width="9.85546875" style="1864" customWidth="1"/>
    <col min="11778" max="11778" width="81.85546875" style="1864" customWidth="1"/>
    <col min="11779" max="11779" width="12.7109375" style="1864" customWidth="1"/>
    <col min="11780" max="11780" width="12.42578125" style="1864" customWidth="1"/>
    <col min="11781" max="11781" width="14.5703125" style="1864" customWidth="1"/>
    <col min="11782" max="11782" width="12.28515625" style="1864" customWidth="1"/>
    <col min="11783" max="11783" width="38.140625" style="1864" customWidth="1"/>
    <col min="11784" max="11784" width="46.85546875" style="1864" customWidth="1"/>
    <col min="11785" max="11787" width="12.7109375" style="1864" customWidth="1"/>
    <col min="11788" max="11788" width="9.28515625" style="1864" customWidth="1"/>
    <col min="11789" max="11789" width="13.5703125" style="1864" customWidth="1"/>
    <col min="11790" max="11790" width="10.28515625" style="1864" customWidth="1"/>
    <col min="11791" max="11791" width="12.85546875" style="1864" customWidth="1"/>
    <col min="11792" max="11792" width="9.140625" style="1864" customWidth="1"/>
    <col min="11793" max="11793" width="9.7109375" style="1864" customWidth="1"/>
    <col min="11794" max="11794" width="9.28515625" style="1864" customWidth="1"/>
    <col min="11795" max="11795" width="9.42578125" style="1864" customWidth="1"/>
    <col min="11796" max="11796" width="10.5703125" style="1864" customWidth="1"/>
    <col min="11797" max="11797" width="12.42578125" style="1864" customWidth="1"/>
    <col min="11798" max="11798" width="14.5703125" style="1864" customWidth="1"/>
    <col min="11799" max="11799" width="12.28515625" style="1864" customWidth="1"/>
    <col min="11800" max="11800" width="25.85546875" style="1864" customWidth="1"/>
    <col min="11801" max="12032" width="0.85546875" style="1864"/>
    <col min="12033" max="12033" width="9.85546875" style="1864" customWidth="1"/>
    <col min="12034" max="12034" width="81.85546875" style="1864" customWidth="1"/>
    <col min="12035" max="12035" width="12.7109375" style="1864" customWidth="1"/>
    <col min="12036" max="12036" width="12.42578125" style="1864" customWidth="1"/>
    <col min="12037" max="12037" width="14.5703125" style="1864" customWidth="1"/>
    <col min="12038" max="12038" width="12.28515625" style="1864" customWidth="1"/>
    <col min="12039" max="12039" width="38.140625" style="1864" customWidth="1"/>
    <col min="12040" max="12040" width="46.85546875" style="1864" customWidth="1"/>
    <col min="12041" max="12043" width="12.7109375" style="1864" customWidth="1"/>
    <col min="12044" max="12044" width="9.28515625" style="1864" customWidth="1"/>
    <col min="12045" max="12045" width="13.5703125" style="1864" customWidth="1"/>
    <col min="12046" max="12046" width="10.28515625" style="1864" customWidth="1"/>
    <col min="12047" max="12047" width="12.85546875" style="1864" customWidth="1"/>
    <col min="12048" max="12048" width="9.140625" style="1864" customWidth="1"/>
    <col min="12049" max="12049" width="9.7109375" style="1864" customWidth="1"/>
    <col min="12050" max="12050" width="9.28515625" style="1864" customWidth="1"/>
    <col min="12051" max="12051" width="9.42578125" style="1864" customWidth="1"/>
    <col min="12052" max="12052" width="10.5703125" style="1864" customWidth="1"/>
    <col min="12053" max="12053" width="12.42578125" style="1864" customWidth="1"/>
    <col min="12054" max="12054" width="14.5703125" style="1864" customWidth="1"/>
    <col min="12055" max="12055" width="12.28515625" style="1864" customWidth="1"/>
    <col min="12056" max="12056" width="25.85546875" style="1864" customWidth="1"/>
    <col min="12057" max="12288" width="0.85546875" style="1864"/>
    <col min="12289" max="12289" width="9.85546875" style="1864" customWidth="1"/>
    <col min="12290" max="12290" width="81.85546875" style="1864" customWidth="1"/>
    <col min="12291" max="12291" width="12.7109375" style="1864" customWidth="1"/>
    <col min="12292" max="12292" width="12.42578125" style="1864" customWidth="1"/>
    <col min="12293" max="12293" width="14.5703125" style="1864" customWidth="1"/>
    <col min="12294" max="12294" width="12.28515625" style="1864" customWidth="1"/>
    <col min="12295" max="12295" width="38.140625" style="1864" customWidth="1"/>
    <col min="12296" max="12296" width="46.85546875" style="1864" customWidth="1"/>
    <col min="12297" max="12299" width="12.7109375" style="1864" customWidth="1"/>
    <col min="12300" max="12300" width="9.28515625" style="1864" customWidth="1"/>
    <col min="12301" max="12301" width="13.5703125" style="1864" customWidth="1"/>
    <col min="12302" max="12302" width="10.28515625" style="1864" customWidth="1"/>
    <col min="12303" max="12303" width="12.85546875" style="1864" customWidth="1"/>
    <col min="12304" max="12304" width="9.140625" style="1864" customWidth="1"/>
    <col min="12305" max="12305" width="9.7109375" style="1864" customWidth="1"/>
    <col min="12306" max="12306" width="9.28515625" style="1864" customWidth="1"/>
    <col min="12307" max="12307" width="9.42578125" style="1864" customWidth="1"/>
    <col min="12308" max="12308" width="10.5703125" style="1864" customWidth="1"/>
    <col min="12309" max="12309" width="12.42578125" style="1864" customWidth="1"/>
    <col min="12310" max="12310" width="14.5703125" style="1864" customWidth="1"/>
    <col min="12311" max="12311" width="12.28515625" style="1864" customWidth="1"/>
    <col min="12312" max="12312" width="25.85546875" style="1864" customWidth="1"/>
    <col min="12313" max="12544" width="0.85546875" style="1864"/>
    <col min="12545" max="12545" width="9.85546875" style="1864" customWidth="1"/>
    <col min="12546" max="12546" width="81.85546875" style="1864" customWidth="1"/>
    <col min="12547" max="12547" width="12.7109375" style="1864" customWidth="1"/>
    <col min="12548" max="12548" width="12.42578125" style="1864" customWidth="1"/>
    <col min="12549" max="12549" width="14.5703125" style="1864" customWidth="1"/>
    <col min="12550" max="12550" width="12.28515625" style="1864" customWidth="1"/>
    <col min="12551" max="12551" width="38.140625" style="1864" customWidth="1"/>
    <col min="12552" max="12552" width="46.85546875" style="1864" customWidth="1"/>
    <col min="12553" max="12555" width="12.7109375" style="1864" customWidth="1"/>
    <col min="12556" max="12556" width="9.28515625" style="1864" customWidth="1"/>
    <col min="12557" max="12557" width="13.5703125" style="1864" customWidth="1"/>
    <col min="12558" max="12558" width="10.28515625" style="1864" customWidth="1"/>
    <col min="12559" max="12559" width="12.85546875" style="1864" customWidth="1"/>
    <col min="12560" max="12560" width="9.140625" style="1864" customWidth="1"/>
    <col min="12561" max="12561" width="9.7109375" style="1864" customWidth="1"/>
    <col min="12562" max="12562" width="9.28515625" style="1864" customWidth="1"/>
    <col min="12563" max="12563" width="9.42578125" style="1864" customWidth="1"/>
    <col min="12564" max="12564" width="10.5703125" style="1864" customWidth="1"/>
    <col min="12565" max="12565" width="12.42578125" style="1864" customWidth="1"/>
    <col min="12566" max="12566" width="14.5703125" style="1864" customWidth="1"/>
    <col min="12567" max="12567" width="12.28515625" style="1864" customWidth="1"/>
    <col min="12568" max="12568" width="25.85546875" style="1864" customWidth="1"/>
    <col min="12569" max="12800" width="0.85546875" style="1864"/>
    <col min="12801" max="12801" width="9.85546875" style="1864" customWidth="1"/>
    <col min="12802" max="12802" width="81.85546875" style="1864" customWidth="1"/>
    <col min="12803" max="12803" width="12.7109375" style="1864" customWidth="1"/>
    <col min="12804" max="12804" width="12.42578125" style="1864" customWidth="1"/>
    <col min="12805" max="12805" width="14.5703125" style="1864" customWidth="1"/>
    <col min="12806" max="12806" width="12.28515625" style="1864" customWidth="1"/>
    <col min="12807" max="12807" width="38.140625" style="1864" customWidth="1"/>
    <col min="12808" max="12808" width="46.85546875" style="1864" customWidth="1"/>
    <col min="12809" max="12811" width="12.7109375" style="1864" customWidth="1"/>
    <col min="12812" max="12812" width="9.28515625" style="1864" customWidth="1"/>
    <col min="12813" max="12813" width="13.5703125" style="1864" customWidth="1"/>
    <col min="12814" max="12814" width="10.28515625" style="1864" customWidth="1"/>
    <col min="12815" max="12815" width="12.85546875" style="1864" customWidth="1"/>
    <col min="12816" max="12816" width="9.140625" style="1864" customWidth="1"/>
    <col min="12817" max="12817" width="9.7109375" style="1864" customWidth="1"/>
    <col min="12818" max="12818" width="9.28515625" style="1864" customWidth="1"/>
    <col min="12819" max="12819" width="9.42578125" style="1864" customWidth="1"/>
    <col min="12820" max="12820" width="10.5703125" style="1864" customWidth="1"/>
    <col min="12821" max="12821" width="12.42578125" style="1864" customWidth="1"/>
    <col min="12822" max="12822" width="14.5703125" style="1864" customWidth="1"/>
    <col min="12823" max="12823" width="12.28515625" style="1864" customWidth="1"/>
    <col min="12824" max="12824" width="25.85546875" style="1864" customWidth="1"/>
    <col min="12825" max="13056" width="0.85546875" style="1864"/>
    <col min="13057" max="13057" width="9.85546875" style="1864" customWidth="1"/>
    <col min="13058" max="13058" width="81.85546875" style="1864" customWidth="1"/>
    <col min="13059" max="13059" width="12.7109375" style="1864" customWidth="1"/>
    <col min="13060" max="13060" width="12.42578125" style="1864" customWidth="1"/>
    <col min="13061" max="13061" width="14.5703125" style="1864" customWidth="1"/>
    <col min="13062" max="13062" width="12.28515625" style="1864" customWidth="1"/>
    <col min="13063" max="13063" width="38.140625" style="1864" customWidth="1"/>
    <col min="13064" max="13064" width="46.85546875" style="1864" customWidth="1"/>
    <col min="13065" max="13067" width="12.7109375" style="1864" customWidth="1"/>
    <col min="13068" max="13068" width="9.28515625" style="1864" customWidth="1"/>
    <col min="13069" max="13069" width="13.5703125" style="1864" customWidth="1"/>
    <col min="13070" max="13070" width="10.28515625" style="1864" customWidth="1"/>
    <col min="13071" max="13071" width="12.85546875" style="1864" customWidth="1"/>
    <col min="13072" max="13072" width="9.140625" style="1864" customWidth="1"/>
    <col min="13073" max="13073" width="9.7109375" style="1864" customWidth="1"/>
    <col min="13074" max="13074" width="9.28515625" style="1864" customWidth="1"/>
    <col min="13075" max="13075" width="9.42578125" style="1864" customWidth="1"/>
    <col min="13076" max="13076" width="10.5703125" style="1864" customWidth="1"/>
    <col min="13077" max="13077" width="12.42578125" style="1864" customWidth="1"/>
    <col min="13078" max="13078" width="14.5703125" style="1864" customWidth="1"/>
    <col min="13079" max="13079" width="12.28515625" style="1864" customWidth="1"/>
    <col min="13080" max="13080" width="25.85546875" style="1864" customWidth="1"/>
    <col min="13081" max="13312" width="0.85546875" style="1864"/>
    <col min="13313" max="13313" width="9.85546875" style="1864" customWidth="1"/>
    <col min="13314" max="13314" width="81.85546875" style="1864" customWidth="1"/>
    <col min="13315" max="13315" width="12.7109375" style="1864" customWidth="1"/>
    <col min="13316" max="13316" width="12.42578125" style="1864" customWidth="1"/>
    <col min="13317" max="13317" width="14.5703125" style="1864" customWidth="1"/>
    <col min="13318" max="13318" width="12.28515625" style="1864" customWidth="1"/>
    <col min="13319" max="13319" width="38.140625" style="1864" customWidth="1"/>
    <col min="13320" max="13320" width="46.85546875" style="1864" customWidth="1"/>
    <col min="13321" max="13323" width="12.7109375" style="1864" customWidth="1"/>
    <col min="13324" max="13324" width="9.28515625" style="1864" customWidth="1"/>
    <col min="13325" max="13325" width="13.5703125" style="1864" customWidth="1"/>
    <col min="13326" max="13326" width="10.28515625" style="1864" customWidth="1"/>
    <col min="13327" max="13327" width="12.85546875" style="1864" customWidth="1"/>
    <col min="13328" max="13328" width="9.140625" style="1864" customWidth="1"/>
    <col min="13329" max="13329" width="9.7109375" style="1864" customWidth="1"/>
    <col min="13330" max="13330" width="9.28515625" style="1864" customWidth="1"/>
    <col min="13331" max="13331" width="9.42578125" style="1864" customWidth="1"/>
    <col min="13332" max="13332" width="10.5703125" style="1864" customWidth="1"/>
    <col min="13333" max="13333" width="12.42578125" style="1864" customWidth="1"/>
    <col min="13334" max="13334" width="14.5703125" style="1864" customWidth="1"/>
    <col min="13335" max="13335" width="12.28515625" style="1864" customWidth="1"/>
    <col min="13336" max="13336" width="25.85546875" style="1864" customWidth="1"/>
    <col min="13337" max="13568" width="0.85546875" style="1864"/>
    <col min="13569" max="13569" width="9.85546875" style="1864" customWidth="1"/>
    <col min="13570" max="13570" width="81.85546875" style="1864" customWidth="1"/>
    <col min="13571" max="13571" width="12.7109375" style="1864" customWidth="1"/>
    <col min="13572" max="13572" width="12.42578125" style="1864" customWidth="1"/>
    <col min="13573" max="13573" width="14.5703125" style="1864" customWidth="1"/>
    <col min="13574" max="13574" width="12.28515625" style="1864" customWidth="1"/>
    <col min="13575" max="13575" width="38.140625" style="1864" customWidth="1"/>
    <col min="13576" max="13576" width="46.85546875" style="1864" customWidth="1"/>
    <col min="13577" max="13579" width="12.7109375" style="1864" customWidth="1"/>
    <col min="13580" max="13580" width="9.28515625" style="1864" customWidth="1"/>
    <col min="13581" max="13581" width="13.5703125" style="1864" customWidth="1"/>
    <col min="13582" max="13582" width="10.28515625" style="1864" customWidth="1"/>
    <col min="13583" max="13583" width="12.85546875" style="1864" customWidth="1"/>
    <col min="13584" max="13584" width="9.140625" style="1864" customWidth="1"/>
    <col min="13585" max="13585" width="9.7109375" style="1864" customWidth="1"/>
    <col min="13586" max="13586" width="9.28515625" style="1864" customWidth="1"/>
    <col min="13587" max="13587" width="9.42578125" style="1864" customWidth="1"/>
    <col min="13588" max="13588" width="10.5703125" style="1864" customWidth="1"/>
    <col min="13589" max="13589" width="12.42578125" style="1864" customWidth="1"/>
    <col min="13590" max="13590" width="14.5703125" style="1864" customWidth="1"/>
    <col min="13591" max="13591" width="12.28515625" style="1864" customWidth="1"/>
    <col min="13592" max="13592" width="25.85546875" style="1864" customWidth="1"/>
    <col min="13593" max="13824" width="0.85546875" style="1864"/>
    <col min="13825" max="13825" width="9.85546875" style="1864" customWidth="1"/>
    <col min="13826" max="13826" width="81.85546875" style="1864" customWidth="1"/>
    <col min="13827" max="13827" width="12.7109375" style="1864" customWidth="1"/>
    <col min="13828" max="13828" width="12.42578125" style="1864" customWidth="1"/>
    <col min="13829" max="13829" width="14.5703125" style="1864" customWidth="1"/>
    <col min="13830" max="13830" width="12.28515625" style="1864" customWidth="1"/>
    <col min="13831" max="13831" width="38.140625" style="1864" customWidth="1"/>
    <col min="13832" max="13832" width="46.85546875" style="1864" customWidth="1"/>
    <col min="13833" max="13835" width="12.7109375" style="1864" customWidth="1"/>
    <col min="13836" max="13836" width="9.28515625" style="1864" customWidth="1"/>
    <col min="13837" max="13837" width="13.5703125" style="1864" customWidth="1"/>
    <col min="13838" max="13838" width="10.28515625" style="1864" customWidth="1"/>
    <col min="13839" max="13839" width="12.85546875" style="1864" customWidth="1"/>
    <col min="13840" max="13840" width="9.140625" style="1864" customWidth="1"/>
    <col min="13841" max="13841" width="9.7109375" style="1864" customWidth="1"/>
    <col min="13842" max="13842" width="9.28515625" style="1864" customWidth="1"/>
    <col min="13843" max="13843" width="9.42578125" style="1864" customWidth="1"/>
    <col min="13844" max="13844" width="10.5703125" style="1864" customWidth="1"/>
    <col min="13845" max="13845" width="12.42578125" style="1864" customWidth="1"/>
    <col min="13846" max="13846" width="14.5703125" style="1864" customWidth="1"/>
    <col min="13847" max="13847" width="12.28515625" style="1864" customWidth="1"/>
    <col min="13848" max="13848" width="25.85546875" style="1864" customWidth="1"/>
    <col min="13849" max="14080" width="0.85546875" style="1864"/>
    <col min="14081" max="14081" width="9.85546875" style="1864" customWidth="1"/>
    <col min="14082" max="14082" width="81.85546875" style="1864" customWidth="1"/>
    <col min="14083" max="14083" width="12.7109375" style="1864" customWidth="1"/>
    <col min="14084" max="14084" width="12.42578125" style="1864" customWidth="1"/>
    <col min="14085" max="14085" width="14.5703125" style="1864" customWidth="1"/>
    <col min="14086" max="14086" width="12.28515625" style="1864" customWidth="1"/>
    <col min="14087" max="14087" width="38.140625" style="1864" customWidth="1"/>
    <col min="14088" max="14088" width="46.85546875" style="1864" customWidth="1"/>
    <col min="14089" max="14091" width="12.7109375" style="1864" customWidth="1"/>
    <col min="14092" max="14092" width="9.28515625" style="1864" customWidth="1"/>
    <col min="14093" max="14093" width="13.5703125" style="1864" customWidth="1"/>
    <col min="14094" max="14094" width="10.28515625" style="1864" customWidth="1"/>
    <col min="14095" max="14095" width="12.85546875" style="1864" customWidth="1"/>
    <col min="14096" max="14096" width="9.140625" style="1864" customWidth="1"/>
    <col min="14097" max="14097" width="9.7109375" style="1864" customWidth="1"/>
    <col min="14098" max="14098" width="9.28515625" style="1864" customWidth="1"/>
    <col min="14099" max="14099" width="9.42578125" style="1864" customWidth="1"/>
    <col min="14100" max="14100" width="10.5703125" style="1864" customWidth="1"/>
    <col min="14101" max="14101" width="12.42578125" style="1864" customWidth="1"/>
    <col min="14102" max="14102" width="14.5703125" style="1864" customWidth="1"/>
    <col min="14103" max="14103" width="12.28515625" style="1864" customWidth="1"/>
    <col min="14104" max="14104" width="25.85546875" style="1864" customWidth="1"/>
    <col min="14105" max="14336" width="0.85546875" style="1864"/>
    <col min="14337" max="14337" width="9.85546875" style="1864" customWidth="1"/>
    <col min="14338" max="14338" width="81.85546875" style="1864" customWidth="1"/>
    <col min="14339" max="14339" width="12.7109375" style="1864" customWidth="1"/>
    <col min="14340" max="14340" width="12.42578125" style="1864" customWidth="1"/>
    <col min="14341" max="14341" width="14.5703125" style="1864" customWidth="1"/>
    <col min="14342" max="14342" width="12.28515625" style="1864" customWidth="1"/>
    <col min="14343" max="14343" width="38.140625" style="1864" customWidth="1"/>
    <col min="14344" max="14344" width="46.85546875" style="1864" customWidth="1"/>
    <col min="14345" max="14347" width="12.7109375" style="1864" customWidth="1"/>
    <col min="14348" max="14348" width="9.28515625" style="1864" customWidth="1"/>
    <col min="14349" max="14349" width="13.5703125" style="1864" customWidth="1"/>
    <col min="14350" max="14350" width="10.28515625" style="1864" customWidth="1"/>
    <col min="14351" max="14351" width="12.85546875" style="1864" customWidth="1"/>
    <col min="14352" max="14352" width="9.140625" style="1864" customWidth="1"/>
    <col min="14353" max="14353" width="9.7109375" style="1864" customWidth="1"/>
    <col min="14354" max="14354" width="9.28515625" style="1864" customWidth="1"/>
    <col min="14355" max="14355" width="9.42578125" style="1864" customWidth="1"/>
    <col min="14356" max="14356" width="10.5703125" style="1864" customWidth="1"/>
    <col min="14357" max="14357" width="12.42578125" style="1864" customWidth="1"/>
    <col min="14358" max="14358" width="14.5703125" style="1864" customWidth="1"/>
    <col min="14359" max="14359" width="12.28515625" style="1864" customWidth="1"/>
    <col min="14360" max="14360" width="25.85546875" style="1864" customWidth="1"/>
    <col min="14361" max="14592" width="0.85546875" style="1864"/>
    <col min="14593" max="14593" width="9.85546875" style="1864" customWidth="1"/>
    <col min="14594" max="14594" width="81.85546875" style="1864" customWidth="1"/>
    <col min="14595" max="14595" width="12.7109375" style="1864" customWidth="1"/>
    <col min="14596" max="14596" width="12.42578125" style="1864" customWidth="1"/>
    <col min="14597" max="14597" width="14.5703125" style="1864" customWidth="1"/>
    <col min="14598" max="14598" width="12.28515625" style="1864" customWidth="1"/>
    <col min="14599" max="14599" width="38.140625" style="1864" customWidth="1"/>
    <col min="14600" max="14600" width="46.85546875" style="1864" customWidth="1"/>
    <col min="14601" max="14603" width="12.7109375" style="1864" customWidth="1"/>
    <col min="14604" max="14604" width="9.28515625" style="1864" customWidth="1"/>
    <col min="14605" max="14605" width="13.5703125" style="1864" customWidth="1"/>
    <col min="14606" max="14606" width="10.28515625" style="1864" customWidth="1"/>
    <col min="14607" max="14607" width="12.85546875" style="1864" customWidth="1"/>
    <col min="14608" max="14608" width="9.140625" style="1864" customWidth="1"/>
    <col min="14609" max="14609" width="9.7109375" style="1864" customWidth="1"/>
    <col min="14610" max="14610" width="9.28515625" style="1864" customWidth="1"/>
    <col min="14611" max="14611" width="9.42578125" style="1864" customWidth="1"/>
    <col min="14612" max="14612" width="10.5703125" style="1864" customWidth="1"/>
    <col min="14613" max="14613" width="12.42578125" style="1864" customWidth="1"/>
    <col min="14614" max="14614" width="14.5703125" style="1864" customWidth="1"/>
    <col min="14615" max="14615" width="12.28515625" style="1864" customWidth="1"/>
    <col min="14616" max="14616" width="25.85546875" style="1864" customWidth="1"/>
    <col min="14617" max="14848" width="0.85546875" style="1864"/>
    <col min="14849" max="14849" width="9.85546875" style="1864" customWidth="1"/>
    <col min="14850" max="14850" width="81.85546875" style="1864" customWidth="1"/>
    <col min="14851" max="14851" width="12.7109375" style="1864" customWidth="1"/>
    <col min="14852" max="14852" width="12.42578125" style="1864" customWidth="1"/>
    <col min="14853" max="14853" width="14.5703125" style="1864" customWidth="1"/>
    <col min="14854" max="14854" width="12.28515625" style="1864" customWidth="1"/>
    <col min="14855" max="14855" width="38.140625" style="1864" customWidth="1"/>
    <col min="14856" max="14856" width="46.85546875" style="1864" customWidth="1"/>
    <col min="14857" max="14859" width="12.7109375" style="1864" customWidth="1"/>
    <col min="14860" max="14860" width="9.28515625" style="1864" customWidth="1"/>
    <col min="14861" max="14861" width="13.5703125" style="1864" customWidth="1"/>
    <col min="14862" max="14862" width="10.28515625" style="1864" customWidth="1"/>
    <col min="14863" max="14863" width="12.85546875" style="1864" customWidth="1"/>
    <col min="14864" max="14864" width="9.140625" style="1864" customWidth="1"/>
    <col min="14865" max="14865" width="9.7109375" style="1864" customWidth="1"/>
    <col min="14866" max="14866" width="9.28515625" style="1864" customWidth="1"/>
    <col min="14867" max="14867" width="9.42578125" style="1864" customWidth="1"/>
    <col min="14868" max="14868" width="10.5703125" style="1864" customWidth="1"/>
    <col min="14869" max="14869" width="12.42578125" style="1864" customWidth="1"/>
    <col min="14870" max="14870" width="14.5703125" style="1864" customWidth="1"/>
    <col min="14871" max="14871" width="12.28515625" style="1864" customWidth="1"/>
    <col min="14872" max="14872" width="25.85546875" style="1864" customWidth="1"/>
    <col min="14873" max="15104" width="0.85546875" style="1864"/>
    <col min="15105" max="15105" width="9.85546875" style="1864" customWidth="1"/>
    <col min="15106" max="15106" width="81.85546875" style="1864" customWidth="1"/>
    <col min="15107" max="15107" width="12.7109375" style="1864" customWidth="1"/>
    <col min="15108" max="15108" width="12.42578125" style="1864" customWidth="1"/>
    <col min="15109" max="15109" width="14.5703125" style="1864" customWidth="1"/>
    <col min="15110" max="15110" width="12.28515625" style="1864" customWidth="1"/>
    <col min="15111" max="15111" width="38.140625" style="1864" customWidth="1"/>
    <col min="15112" max="15112" width="46.85546875" style="1864" customWidth="1"/>
    <col min="15113" max="15115" width="12.7109375" style="1864" customWidth="1"/>
    <col min="15116" max="15116" width="9.28515625" style="1864" customWidth="1"/>
    <col min="15117" max="15117" width="13.5703125" style="1864" customWidth="1"/>
    <col min="15118" max="15118" width="10.28515625" style="1864" customWidth="1"/>
    <col min="15119" max="15119" width="12.85546875" style="1864" customWidth="1"/>
    <col min="15120" max="15120" width="9.140625" style="1864" customWidth="1"/>
    <col min="15121" max="15121" width="9.7109375" style="1864" customWidth="1"/>
    <col min="15122" max="15122" width="9.28515625" style="1864" customWidth="1"/>
    <col min="15123" max="15123" width="9.42578125" style="1864" customWidth="1"/>
    <col min="15124" max="15124" width="10.5703125" style="1864" customWidth="1"/>
    <col min="15125" max="15125" width="12.42578125" style="1864" customWidth="1"/>
    <col min="15126" max="15126" width="14.5703125" style="1864" customWidth="1"/>
    <col min="15127" max="15127" width="12.28515625" style="1864" customWidth="1"/>
    <col min="15128" max="15128" width="25.85546875" style="1864" customWidth="1"/>
    <col min="15129" max="15360" width="0.85546875" style="1864"/>
    <col min="15361" max="15361" width="9.85546875" style="1864" customWidth="1"/>
    <col min="15362" max="15362" width="81.85546875" style="1864" customWidth="1"/>
    <col min="15363" max="15363" width="12.7109375" style="1864" customWidth="1"/>
    <col min="15364" max="15364" width="12.42578125" style="1864" customWidth="1"/>
    <col min="15365" max="15365" width="14.5703125" style="1864" customWidth="1"/>
    <col min="15366" max="15366" width="12.28515625" style="1864" customWidth="1"/>
    <col min="15367" max="15367" width="38.140625" style="1864" customWidth="1"/>
    <col min="15368" max="15368" width="46.85546875" style="1864" customWidth="1"/>
    <col min="15369" max="15371" width="12.7109375" style="1864" customWidth="1"/>
    <col min="15372" max="15372" width="9.28515625" style="1864" customWidth="1"/>
    <col min="15373" max="15373" width="13.5703125" style="1864" customWidth="1"/>
    <col min="15374" max="15374" width="10.28515625" style="1864" customWidth="1"/>
    <col min="15375" max="15375" width="12.85546875" style="1864" customWidth="1"/>
    <col min="15376" max="15376" width="9.140625" style="1864" customWidth="1"/>
    <col min="15377" max="15377" width="9.7109375" style="1864" customWidth="1"/>
    <col min="15378" max="15378" width="9.28515625" style="1864" customWidth="1"/>
    <col min="15379" max="15379" width="9.42578125" style="1864" customWidth="1"/>
    <col min="15380" max="15380" width="10.5703125" style="1864" customWidth="1"/>
    <col min="15381" max="15381" width="12.42578125" style="1864" customWidth="1"/>
    <col min="15382" max="15382" width="14.5703125" style="1864" customWidth="1"/>
    <col min="15383" max="15383" width="12.28515625" style="1864" customWidth="1"/>
    <col min="15384" max="15384" width="25.85546875" style="1864" customWidth="1"/>
    <col min="15385" max="15616" width="0.85546875" style="1864"/>
    <col min="15617" max="15617" width="9.85546875" style="1864" customWidth="1"/>
    <col min="15618" max="15618" width="81.85546875" style="1864" customWidth="1"/>
    <col min="15619" max="15619" width="12.7109375" style="1864" customWidth="1"/>
    <col min="15620" max="15620" width="12.42578125" style="1864" customWidth="1"/>
    <col min="15621" max="15621" width="14.5703125" style="1864" customWidth="1"/>
    <col min="15622" max="15622" width="12.28515625" style="1864" customWidth="1"/>
    <col min="15623" max="15623" width="38.140625" style="1864" customWidth="1"/>
    <col min="15624" max="15624" width="46.85546875" style="1864" customWidth="1"/>
    <col min="15625" max="15627" width="12.7109375" style="1864" customWidth="1"/>
    <col min="15628" max="15628" width="9.28515625" style="1864" customWidth="1"/>
    <col min="15629" max="15629" width="13.5703125" style="1864" customWidth="1"/>
    <col min="15630" max="15630" width="10.28515625" style="1864" customWidth="1"/>
    <col min="15631" max="15631" width="12.85546875" style="1864" customWidth="1"/>
    <col min="15632" max="15632" width="9.140625" style="1864" customWidth="1"/>
    <col min="15633" max="15633" width="9.7109375" style="1864" customWidth="1"/>
    <col min="15634" max="15634" width="9.28515625" style="1864" customWidth="1"/>
    <col min="15635" max="15635" width="9.42578125" style="1864" customWidth="1"/>
    <col min="15636" max="15636" width="10.5703125" style="1864" customWidth="1"/>
    <col min="15637" max="15637" width="12.42578125" style="1864" customWidth="1"/>
    <col min="15638" max="15638" width="14.5703125" style="1864" customWidth="1"/>
    <col min="15639" max="15639" width="12.28515625" style="1864" customWidth="1"/>
    <col min="15640" max="15640" width="25.85546875" style="1864" customWidth="1"/>
    <col min="15641" max="15872" width="0.85546875" style="1864"/>
    <col min="15873" max="15873" width="9.85546875" style="1864" customWidth="1"/>
    <col min="15874" max="15874" width="81.85546875" style="1864" customWidth="1"/>
    <col min="15875" max="15875" width="12.7109375" style="1864" customWidth="1"/>
    <col min="15876" max="15876" width="12.42578125" style="1864" customWidth="1"/>
    <col min="15877" max="15877" width="14.5703125" style="1864" customWidth="1"/>
    <col min="15878" max="15878" width="12.28515625" style="1864" customWidth="1"/>
    <col min="15879" max="15879" width="38.140625" style="1864" customWidth="1"/>
    <col min="15880" max="15880" width="46.85546875" style="1864" customWidth="1"/>
    <col min="15881" max="15883" width="12.7109375" style="1864" customWidth="1"/>
    <col min="15884" max="15884" width="9.28515625" style="1864" customWidth="1"/>
    <col min="15885" max="15885" width="13.5703125" style="1864" customWidth="1"/>
    <col min="15886" max="15886" width="10.28515625" style="1864" customWidth="1"/>
    <col min="15887" max="15887" width="12.85546875" style="1864" customWidth="1"/>
    <col min="15888" max="15888" width="9.140625" style="1864" customWidth="1"/>
    <col min="15889" max="15889" width="9.7109375" style="1864" customWidth="1"/>
    <col min="15890" max="15890" width="9.28515625" style="1864" customWidth="1"/>
    <col min="15891" max="15891" width="9.42578125" style="1864" customWidth="1"/>
    <col min="15892" max="15892" width="10.5703125" style="1864" customWidth="1"/>
    <col min="15893" max="15893" width="12.42578125" style="1864" customWidth="1"/>
    <col min="15894" max="15894" width="14.5703125" style="1864" customWidth="1"/>
    <col min="15895" max="15895" width="12.28515625" style="1864" customWidth="1"/>
    <col min="15896" max="15896" width="25.85546875" style="1864" customWidth="1"/>
    <col min="15897" max="16128" width="0.85546875" style="1864"/>
    <col min="16129" max="16129" width="9.85546875" style="1864" customWidth="1"/>
    <col min="16130" max="16130" width="81.85546875" style="1864" customWidth="1"/>
    <col min="16131" max="16131" width="12.7109375" style="1864" customWidth="1"/>
    <col min="16132" max="16132" width="12.42578125" style="1864" customWidth="1"/>
    <col min="16133" max="16133" width="14.5703125" style="1864" customWidth="1"/>
    <col min="16134" max="16134" width="12.28515625" style="1864" customWidth="1"/>
    <col min="16135" max="16135" width="38.140625" style="1864" customWidth="1"/>
    <col min="16136" max="16136" width="46.85546875" style="1864" customWidth="1"/>
    <col min="16137" max="16139" width="12.7109375" style="1864" customWidth="1"/>
    <col min="16140" max="16140" width="9.28515625" style="1864" customWidth="1"/>
    <col min="16141" max="16141" width="13.5703125" style="1864" customWidth="1"/>
    <col min="16142" max="16142" width="10.28515625" style="1864" customWidth="1"/>
    <col min="16143" max="16143" width="12.85546875" style="1864" customWidth="1"/>
    <col min="16144" max="16144" width="9.140625" style="1864" customWidth="1"/>
    <col min="16145" max="16145" width="9.7109375" style="1864" customWidth="1"/>
    <col min="16146" max="16146" width="9.28515625" style="1864" customWidth="1"/>
    <col min="16147" max="16147" width="9.42578125" style="1864" customWidth="1"/>
    <col min="16148" max="16148" width="10.5703125" style="1864" customWidth="1"/>
    <col min="16149" max="16149" width="12.42578125" style="1864" customWidth="1"/>
    <col min="16150" max="16150" width="14.5703125" style="1864" customWidth="1"/>
    <col min="16151" max="16151" width="12.28515625" style="1864" customWidth="1"/>
    <col min="16152" max="16152" width="25.85546875" style="1864" customWidth="1"/>
    <col min="16153" max="16384" width="0.85546875" style="1864"/>
  </cols>
  <sheetData>
    <row r="1" spans="1:7">
      <c r="G1" s="1864" t="s">
        <v>1528</v>
      </c>
    </row>
    <row r="2" spans="1:7" ht="29.25" customHeight="1">
      <c r="A2" s="6527" t="s">
        <v>1002</v>
      </c>
      <c r="B2" s="6527"/>
      <c r="C2" s="6527"/>
      <c r="D2" s="6527"/>
      <c r="E2" s="6527"/>
      <c r="F2" s="6527"/>
      <c r="G2" s="6527"/>
    </row>
    <row r="4" spans="1:7" ht="15.75" customHeight="1">
      <c r="A4" s="6528" t="s">
        <v>908</v>
      </c>
      <c r="B4" s="6528" t="s">
        <v>373</v>
      </c>
      <c r="C4" s="6528" t="s">
        <v>909</v>
      </c>
      <c r="D4" s="6529" t="s">
        <v>392</v>
      </c>
      <c r="E4" s="6530"/>
      <c r="F4" s="6531"/>
      <c r="G4" s="6532" t="s">
        <v>910</v>
      </c>
    </row>
    <row r="5" spans="1:7" ht="15.75">
      <c r="A5" s="6528"/>
      <c r="B5" s="6528"/>
      <c r="C5" s="6528"/>
      <c r="D5" s="1865" t="s">
        <v>832</v>
      </c>
      <c r="E5" s="1865" t="s">
        <v>911</v>
      </c>
      <c r="F5" s="1865" t="s">
        <v>912</v>
      </c>
      <c r="G5" s="6533"/>
    </row>
    <row r="6" spans="1:7" s="1870" customFormat="1" ht="21.75" customHeight="1">
      <c r="A6" s="1866"/>
      <c r="B6" s="1867" t="s">
        <v>913</v>
      </c>
      <c r="C6" s="6525" t="s">
        <v>914</v>
      </c>
      <c r="D6" s="6526" t="s">
        <v>914</v>
      </c>
      <c r="E6" s="1868">
        <v>0.01</v>
      </c>
      <c r="F6" s="1868">
        <v>0.01</v>
      </c>
      <c r="G6" s="1869"/>
    </row>
    <row r="7" spans="1:7" s="1870" customFormat="1" ht="21.75" customHeight="1">
      <c r="A7" s="1866"/>
      <c r="B7" s="1867" t="s">
        <v>915</v>
      </c>
      <c r="C7" s="5037"/>
      <c r="D7" s="5012"/>
      <c r="E7" s="1871">
        <v>7.3999999999999996E-2</v>
      </c>
      <c r="F7" s="1871">
        <v>5.8000000000000003E-2</v>
      </c>
      <c r="G7" s="1869"/>
    </row>
    <row r="8" spans="1:7" s="1870" customFormat="1" ht="21.75" customHeight="1">
      <c r="A8" s="1866"/>
      <c r="B8" s="1867" t="s">
        <v>916</v>
      </c>
      <c r="C8" s="5038"/>
      <c r="D8" s="5013"/>
      <c r="E8" s="1872">
        <v>0</v>
      </c>
      <c r="F8" s="1872">
        <v>0</v>
      </c>
      <c r="G8" s="1869"/>
    </row>
    <row r="9" spans="1:7" s="1877" customFormat="1" ht="15.75">
      <c r="A9" s="1873">
        <v>1</v>
      </c>
      <c r="B9" s="1874" t="s">
        <v>917</v>
      </c>
      <c r="C9" s="1873" t="s">
        <v>918</v>
      </c>
      <c r="D9" s="1875">
        <f>D10+D21+D23+D27</f>
        <v>85119.655094018468</v>
      </c>
      <c r="E9" s="1875">
        <f>E10+E21+E23+E27</f>
        <v>90133.689127036545</v>
      </c>
      <c r="F9" s="1875">
        <f>F10+F21+F23+F27</f>
        <v>94243.210850660835</v>
      </c>
      <c r="G9" s="1876"/>
    </row>
    <row r="10" spans="1:7" s="1882" customFormat="1" ht="15.75">
      <c r="A10" s="1878" t="s">
        <v>919</v>
      </c>
      <c r="B10" s="1879" t="s">
        <v>920</v>
      </c>
      <c r="C10" s="1878" t="s">
        <v>918</v>
      </c>
      <c r="D10" s="1880">
        <f>D11+D12+D13</f>
        <v>76161.379824975069</v>
      </c>
      <c r="E10" s="1880">
        <f>E11+E12+E13</f>
        <v>80937.507475468476</v>
      </c>
      <c r="F10" s="1880">
        <f>F11+F12+F13</f>
        <v>84851.337688443993</v>
      </c>
      <c r="G10" s="1881"/>
    </row>
    <row r="11" spans="1:7" s="1887" customFormat="1" ht="21.75" customHeight="1">
      <c r="A11" s="1883" t="s">
        <v>921</v>
      </c>
      <c r="B11" s="1884" t="s">
        <v>922</v>
      </c>
      <c r="C11" s="1883" t="s">
        <v>918</v>
      </c>
      <c r="D11" s="1885">
        <f>стоки!BE80+стоки!BE81+стоки!BE82+стоки!BE84+стоки!BE83+стоки!BE86-D14-D16-'цех стоки'!AH19-'ОХР '!AT20-'ОХР '!AT16-'ОХР '!AT23</f>
        <v>65769.141399448839</v>
      </c>
      <c r="E11" s="1885">
        <f>D11*(1-E6)*(1+E7)*(1+E8)</f>
        <v>69929.69728437798</v>
      </c>
      <c r="F11" s="1885">
        <f>E11*(1-F6)*(1+F7)*(1+F8)</f>
        <v>73245.763529603195</v>
      </c>
      <c r="G11" s="1886"/>
    </row>
    <row r="12" spans="1:7" s="1887" customFormat="1" ht="33" customHeight="1">
      <c r="A12" s="1883" t="s">
        <v>923</v>
      </c>
      <c r="B12" s="1884" t="s">
        <v>924</v>
      </c>
      <c r="C12" s="1883" t="s">
        <v>918</v>
      </c>
      <c r="D12" s="1885">
        <f>стоки!BE78+'цех стоки'!AH19+'ОХР '!AT20+'ОХР '!AT16</f>
        <v>7932.8598693269896</v>
      </c>
      <c r="E12" s="1885">
        <f>'электр 2017-2018'!BJ55+'цех стоки'!AH19*1.06+'ОХР '!AT16*1.025+'ОХР '!AT20*1.066</f>
        <v>8487.4846372203374</v>
      </c>
      <c r="F12" s="1885">
        <f>'электр 2017-2018'!BP55+'цех стоки'!AH19*1.06*1.051+'ОХР '!AT16*1.025*1.03+'ОХР '!AT20*1.066*1.067</f>
        <v>9049.0266013567143</v>
      </c>
      <c r="G12" s="1886" t="s">
        <v>250</v>
      </c>
    </row>
    <row r="13" spans="1:7" s="1887" customFormat="1" ht="15.75">
      <c r="A13" s="1883" t="s">
        <v>925</v>
      </c>
      <c r="B13" s="1884" t="s">
        <v>926</v>
      </c>
      <c r="C13" s="1883" t="s">
        <v>918</v>
      </c>
      <c r="D13" s="1885">
        <f>D14+D15+D16+D17+D20</f>
        <v>2459.3785561992449</v>
      </c>
      <c r="E13" s="1885">
        <f t="shared" ref="E13:F13" si="0">E14+E15+E16+E17+E20</f>
        <v>2520.3255538701665</v>
      </c>
      <c r="F13" s="1885">
        <f t="shared" si="0"/>
        <v>2556.5475574840766</v>
      </c>
      <c r="G13" s="1886"/>
    </row>
    <row r="14" spans="1:7" s="1892" customFormat="1" ht="26.25" customHeight="1">
      <c r="A14" s="1888" t="s">
        <v>927</v>
      </c>
      <c r="B14" s="1889" t="s">
        <v>928</v>
      </c>
      <c r="C14" s="1888" t="s">
        <v>918</v>
      </c>
      <c r="D14" s="1890">
        <f>'цех стоки'!AH38</f>
        <v>318.05</v>
      </c>
      <c r="E14" s="1890">
        <v>337.9</v>
      </c>
      <c r="F14" s="1890">
        <v>353.77</v>
      </c>
      <c r="G14" s="1891"/>
    </row>
    <row r="15" spans="1:7" s="1892" customFormat="1" ht="41.25" customHeight="1">
      <c r="A15" s="1888" t="s">
        <v>929</v>
      </c>
      <c r="B15" s="1889" t="s">
        <v>930</v>
      </c>
      <c r="C15" s="1888" t="s">
        <v>918</v>
      </c>
      <c r="D15" s="1890">
        <f>стоки!BE85</f>
        <v>1676.7689960276371</v>
      </c>
      <c r="E15" s="1890">
        <f>D15</f>
        <v>1676.7689960276371</v>
      </c>
      <c r="F15" s="1890">
        <f>E15</f>
        <v>1676.7689960276371</v>
      </c>
      <c r="G15" s="1891"/>
    </row>
    <row r="16" spans="1:7" s="1892" customFormat="1" ht="18" customHeight="1">
      <c r="A16" s="1888" t="s">
        <v>931</v>
      </c>
      <c r="B16" s="1889" t="s">
        <v>932</v>
      </c>
      <c r="C16" s="1888" t="s">
        <v>918</v>
      </c>
      <c r="D16" s="1890">
        <f>'цех стоки'!AH43+'цех стоки'!AH29</f>
        <v>152.0548</v>
      </c>
      <c r="E16" s="1890">
        <f>D16</f>
        <v>152.0548</v>
      </c>
      <c r="F16" s="1890">
        <f>E16</f>
        <v>152.0548</v>
      </c>
      <c r="G16" s="1891"/>
    </row>
    <row r="17" spans="1:7" s="1892" customFormat="1" ht="32.25" customHeight="1">
      <c r="A17" s="1888" t="s">
        <v>933</v>
      </c>
      <c r="B17" s="1889" t="s">
        <v>934</v>
      </c>
      <c r="C17" s="1888" t="s">
        <v>918</v>
      </c>
      <c r="D17" s="1890">
        <f>стоки!BE87</f>
        <v>286.40476017160813</v>
      </c>
      <c r="E17" s="1890">
        <f>'Резерв ДЗ'!F22</f>
        <v>353.60175784252925</v>
      </c>
      <c r="F17" s="1890">
        <f>'Резерв ДЗ'!F32</f>
        <v>373.95376145643951</v>
      </c>
      <c r="G17" s="1891"/>
    </row>
    <row r="18" spans="1:7" s="1892" customFormat="1" ht="12.75">
      <c r="A18" s="1888" t="s">
        <v>935</v>
      </c>
      <c r="B18" s="1889" t="s">
        <v>936</v>
      </c>
      <c r="C18" s="1888" t="s">
        <v>918</v>
      </c>
      <c r="D18" s="1890"/>
      <c r="E18" s="1890"/>
      <c r="F18" s="1890"/>
      <c r="G18" s="1891"/>
    </row>
    <row r="19" spans="1:7" s="1892" customFormat="1" ht="12.75">
      <c r="A19" s="1888" t="s">
        <v>937</v>
      </c>
      <c r="B19" s="1889" t="s">
        <v>938</v>
      </c>
      <c r="C19" s="1888" t="s">
        <v>918</v>
      </c>
      <c r="D19" s="1890"/>
      <c r="E19" s="1890"/>
      <c r="F19" s="1890"/>
      <c r="G19" s="1891"/>
    </row>
    <row r="20" spans="1:7" s="1892" customFormat="1" ht="30.75" customHeight="1">
      <c r="A20" s="1888" t="s">
        <v>939</v>
      </c>
      <c r="B20" s="1889" t="s">
        <v>940</v>
      </c>
      <c r="C20" s="1888" t="s">
        <v>918</v>
      </c>
      <c r="D20" s="1890">
        <f>стоки!BE88</f>
        <v>26.100000000000009</v>
      </c>
      <c r="E20" s="1890"/>
      <c r="F20" s="1890"/>
      <c r="G20" s="1891"/>
    </row>
    <row r="21" spans="1:7" s="1882" customFormat="1" ht="15.75">
      <c r="A21" s="1878" t="s">
        <v>941</v>
      </c>
      <c r="B21" s="1879" t="s">
        <v>2</v>
      </c>
      <c r="C21" s="1878" t="s">
        <v>918</v>
      </c>
      <c r="D21" s="1880">
        <f>стоки!BE79+'ОХР '!AT23</f>
        <v>4904.1012169472751</v>
      </c>
      <c r="E21" s="1880">
        <f>D21</f>
        <v>4904.1012169472751</v>
      </c>
      <c r="F21" s="1880">
        <f>E21</f>
        <v>4904.1012169472751</v>
      </c>
      <c r="G21" s="1881"/>
    </row>
    <row r="22" spans="1:7" s="1897" customFormat="1" ht="15.75">
      <c r="A22" s="1893" t="s">
        <v>202</v>
      </c>
      <c r="B22" s="1894" t="s">
        <v>942</v>
      </c>
      <c r="C22" s="1895" t="s">
        <v>44</v>
      </c>
      <c r="D22" s="1896">
        <f>D23/(D10+D21)*100</f>
        <v>1.1102136056339103E-3</v>
      </c>
      <c r="E22" s="1896">
        <f t="shared" ref="E22:F22" si="1">E23/(E10+E21)*100</f>
        <v>0</v>
      </c>
      <c r="F22" s="1896">
        <f t="shared" si="1"/>
        <v>0</v>
      </c>
      <c r="G22" s="1895"/>
    </row>
    <row r="23" spans="1:7" s="1882" customFormat="1" ht="15.75">
      <c r="A23" s="1878" t="s">
        <v>943</v>
      </c>
      <c r="B23" s="1879" t="s">
        <v>944</v>
      </c>
      <c r="C23" s="1878" t="s">
        <v>918</v>
      </c>
      <c r="D23" s="1880">
        <f>D24+D25+D26</f>
        <v>0.9</v>
      </c>
      <c r="E23" s="1880">
        <f t="shared" ref="E23:F23" si="2">E24+E25+E26</f>
        <v>0</v>
      </c>
      <c r="F23" s="1880">
        <f t="shared" si="2"/>
        <v>0</v>
      </c>
      <c r="G23" s="1881"/>
    </row>
    <row r="24" spans="1:7" s="1887" customFormat="1" ht="24" customHeight="1">
      <c r="A24" s="1883" t="s">
        <v>945</v>
      </c>
      <c r="B24" s="1884" t="s">
        <v>946</v>
      </c>
      <c r="C24" s="1883" t="s">
        <v>918</v>
      </c>
      <c r="D24" s="1885">
        <f>стоки!BE100</f>
        <v>0.9</v>
      </c>
      <c r="E24" s="1885">
        <v>0</v>
      </c>
      <c r="F24" s="1885">
        <v>0</v>
      </c>
      <c r="G24" s="1886"/>
    </row>
    <row r="25" spans="1:7" s="1887" customFormat="1" ht="56.25" customHeight="1">
      <c r="A25" s="1883" t="s">
        <v>947</v>
      </c>
      <c r="B25" s="1884" t="s">
        <v>948</v>
      </c>
      <c r="C25" s="1883" t="s">
        <v>918</v>
      </c>
      <c r="D25" s="1885"/>
      <c r="E25" s="1885"/>
      <c r="F25" s="1885"/>
      <c r="G25" s="1886"/>
    </row>
    <row r="26" spans="1:7" s="1887" customFormat="1" ht="37.5" customHeight="1">
      <c r="A26" s="1883" t="s">
        <v>949</v>
      </c>
      <c r="B26" s="1884" t="s">
        <v>950</v>
      </c>
      <c r="C26" s="1883" t="s">
        <v>918</v>
      </c>
      <c r="D26" s="1885"/>
      <c r="E26" s="1885"/>
      <c r="F26" s="1885"/>
      <c r="G26" s="1886"/>
    </row>
    <row r="27" spans="1:7" s="1882" customFormat="1" ht="38.25" customHeight="1">
      <c r="A27" s="1878" t="s">
        <v>203</v>
      </c>
      <c r="B27" s="1879" t="s">
        <v>951</v>
      </c>
      <c r="C27" s="1878" t="s">
        <v>918</v>
      </c>
      <c r="D27" s="1880">
        <f>стоки!BE97</f>
        <v>4053.2740520961179</v>
      </c>
      <c r="E27" s="1880">
        <f>(E10+E21)*0.05</f>
        <v>4292.0804346207879</v>
      </c>
      <c r="F27" s="1880">
        <f>(F10+F21)*0.05</f>
        <v>4487.7719452695637</v>
      </c>
      <c r="G27" s="1881"/>
    </row>
    <row r="28" spans="1:7" s="1877" customFormat="1" ht="15.75">
      <c r="A28" s="1873">
        <v>2</v>
      </c>
      <c r="B28" s="1874" t="s">
        <v>952</v>
      </c>
      <c r="C28" s="1873" t="s">
        <v>953</v>
      </c>
      <c r="D28" s="1875">
        <f>объемы!U58</f>
        <v>3445</v>
      </c>
      <c r="E28" s="1875">
        <f>D28</f>
        <v>3445</v>
      </c>
      <c r="F28" s="1875">
        <f>E28</f>
        <v>3445</v>
      </c>
      <c r="G28" s="1876"/>
    </row>
    <row r="29" spans="1:7" s="1877" customFormat="1" ht="15.75">
      <c r="A29" s="1873" t="s">
        <v>196</v>
      </c>
      <c r="B29" s="1898" t="s">
        <v>954</v>
      </c>
      <c r="C29" s="1873" t="s">
        <v>953</v>
      </c>
      <c r="D29" s="1875">
        <f>объемы!U59</f>
        <v>2448</v>
      </c>
      <c r="E29" s="1875">
        <f>D29</f>
        <v>2448</v>
      </c>
      <c r="F29" s="1875">
        <f>E29</f>
        <v>2448</v>
      </c>
      <c r="G29" s="1876"/>
    </row>
    <row r="30" spans="1:7" s="1870" customFormat="1" ht="15.75">
      <c r="A30" s="1899" t="s">
        <v>955</v>
      </c>
      <c r="B30" s="1900" t="s">
        <v>956</v>
      </c>
      <c r="C30" s="1899" t="s">
        <v>957</v>
      </c>
      <c r="D30" s="1901">
        <f>D9/D28</f>
        <v>24.708172741369658</v>
      </c>
      <c r="E30" s="1901">
        <f>E9/E28</f>
        <v>26.163625290866921</v>
      </c>
      <c r="F30" s="1901">
        <f>F9/F28</f>
        <v>27.356519840540155</v>
      </c>
      <c r="G30" s="1869"/>
    </row>
    <row r="31" spans="1:7" s="1870" customFormat="1" ht="15.75">
      <c r="A31" s="1899"/>
      <c r="B31" s="1902" t="s">
        <v>958</v>
      </c>
      <c r="C31" s="1899" t="s">
        <v>957</v>
      </c>
      <c r="D31" s="1901">
        <v>24.29</v>
      </c>
      <c r="E31" s="1901">
        <f>D32</f>
        <v>25.126345482739318</v>
      </c>
      <c r="F31" s="1901">
        <f>E32</f>
        <v>27.200905098994525</v>
      </c>
      <c r="G31" s="1869"/>
    </row>
    <row r="32" spans="1:7" s="1870" customFormat="1" ht="15.75">
      <c r="A32" s="1899"/>
      <c r="B32" s="1902" t="s">
        <v>959</v>
      </c>
      <c r="C32" s="1899" t="s">
        <v>957</v>
      </c>
      <c r="D32" s="1901">
        <f>D30*2-D31</f>
        <v>25.126345482739318</v>
      </c>
      <c r="E32" s="1901">
        <f>E30*2-E31</f>
        <v>27.200905098994525</v>
      </c>
      <c r="F32" s="1901">
        <f>F30*2-F31</f>
        <v>27.512134582085785</v>
      </c>
      <c r="G32" s="1869"/>
    </row>
    <row r="33" spans="1:7" s="1870" customFormat="1" ht="15.75">
      <c r="A33" s="1899"/>
      <c r="B33" s="1900" t="s">
        <v>960</v>
      </c>
      <c r="C33" s="1899"/>
      <c r="D33" s="1901"/>
      <c r="E33" s="1901"/>
      <c r="F33" s="1901"/>
      <c r="G33" s="1869"/>
    </row>
    <row r="34" spans="1:7" s="1870" customFormat="1" ht="15.75">
      <c r="A34" s="1899"/>
      <c r="B34" s="1902" t="s">
        <v>958</v>
      </c>
      <c r="C34" s="1899" t="s">
        <v>44</v>
      </c>
      <c r="D34" s="1901"/>
      <c r="E34" s="1901">
        <f>E31/D32*100</f>
        <v>100</v>
      </c>
      <c r="F34" s="1901">
        <f>F31/E32*100</f>
        <v>100</v>
      </c>
      <c r="G34" s="1869"/>
    </row>
    <row r="35" spans="1:7" s="1870" customFormat="1" ht="15.75">
      <c r="A35" s="1899"/>
      <c r="B35" s="1902" t="s">
        <v>959</v>
      </c>
      <c r="C35" s="1899" t="s">
        <v>44</v>
      </c>
      <c r="D35" s="1901">
        <f>D32/D31*100</f>
        <v>103.44316789929732</v>
      </c>
      <c r="E35" s="1901">
        <f>E32/E31*100</f>
        <v>108.2565115475322</v>
      </c>
      <c r="F35" s="1901">
        <f>F32/F31*100</f>
        <v>101.14418796712307</v>
      </c>
      <c r="G35" s="1869"/>
    </row>
    <row r="36" spans="1:7" ht="9" customHeight="1"/>
    <row r="37" spans="1:7" ht="15.75">
      <c r="A37" s="1904" t="s">
        <v>961</v>
      </c>
      <c r="B37" s="1905" t="s">
        <v>962</v>
      </c>
      <c r="C37" s="1906"/>
      <c r="D37" s="1906"/>
      <c r="E37" s="1906"/>
      <c r="F37" s="1906"/>
      <c r="G37" s="1906"/>
    </row>
    <row r="38" spans="1:7" ht="15.75">
      <c r="A38" s="1906"/>
      <c r="B38" s="1907" t="s">
        <v>958</v>
      </c>
      <c r="C38" s="1908" t="s">
        <v>963</v>
      </c>
      <c r="D38" s="2170">
        <v>21.01</v>
      </c>
      <c r="E38" s="2171">
        <f>D39</f>
        <v>22.500000000000004</v>
      </c>
      <c r="F38" s="2171">
        <f>E39</f>
        <v>23.782500000000002</v>
      </c>
      <c r="G38" s="1906"/>
    </row>
    <row r="39" spans="1:7" ht="15.75">
      <c r="A39" s="1906"/>
      <c r="B39" s="1907" t="s">
        <v>959</v>
      </c>
      <c r="C39" s="1908" t="s">
        <v>963</v>
      </c>
      <c r="D39" s="2170">
        <f>26.55/1.18</f>
        <v>22.500000000000004</v>
      </c>
      <c r="E39" s="2170">
        <f>E38*1.057</f>
        <v>23.782500000000002</v>
      </c>
      <c r="F39" s="2170">
        <f>F38*1.047</f>
        <v>24.900277500000001</v>
      </c>
      <c r="G39" s="1906"/>
    </row>
    <row r="40" spans="1:7" ht="15.75">
      <c r="A40" s="1906"/>
      <c r="B40" s="1907" t="s">
        <v>363</v>
      </c>
      <c r="C40" s="1908" t="s">
        <v>44</v>
      </c>
      <c r="D40" s="1906">
        <f>D39/D38*100</f>
        <v>107.09186101856261</v>
      </c>
      <c r="E40" s="1906">
        <f>E39/E38*100</f>
        <v>105.69999999999999</v>
      </c>
      <c r="F40" s="1906">
        <f>F39/F38*100</f>
        <v>104.69999999999999</v>
      </c>
      <c r="G40" s="1906"/>
    </row>
    <row r="41" spans="1:7" ht="15.75">
      <c r="A41" s="1906"/>
      <c r="B41" s="1905" t="s">
        <v>964</v>
      </c>
      <c r="C41" s="1908" t="s">
        <v>918</v>
      </c>
      <c r="D41" s="1906">
        <f>(D31-D38)*D29/2+(D32-D39)*D29/2</f>
        <v>7229.3668708729174</v>
      </c>
      <c r="E41" s="1906">
        <f>(E31-E38)*E29/2+(E32-E39)*E29/2</f>
        <v>7398.7747120422155</v>
      </c>
      <c r="F41" s="1906">
        <f>(F31-F38)*F29/2+(F32-F39)*F29/2</f>
        <v>7381.0409096422954</v>
      </c>
      <c r="G41" s="1906"/>
    </row>
    <row r="42" spans="1:7">
      <c r="C42" s="1910"/>
    </row>
  </sheetData>
  <mergeCells count="8">
    <mergeCell ref="C6:C8"/>
    <mergeCell ref="D6:D8"/>
    <mergeCell ref="A2:G2"/>
    <mergeCell ref="A4:A5"/>
    <mergeCell ref="B4:B5"/>
    <mergeCell ref="C4:C5"/>
    <mergeCell ref="D4:F4"/>
    <mergeCell ref="G4:G5"/>
  </mergeCells>
  <printOptions horizontalCentered="1"/>
  <pageMargins left="0.31496062992125984" right="0.31496062992125984" top="0.35433070866141736" bottom="0.35433070866141736" header="0.31496062992125984" footer="0.31496062992125984"/>
  <pageSetup paperSize="9" scale="66" orientation="landscape" r:id="rId1"/>
  <colBreaks count="1" manualBreakCount="1">
    <brk id="7" max="1048575" man="1"/>
  </colBreaks>
</worksheet>
</file>

<file path=xl/worksheets/sheet62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G42"/>
  <sheetViews>
    <sheetView view="pageBreakPreview" zoomScale="75" zoomScaleSheetLayoutView="75" workbookViewId="0">
      <selection sqref="A1:G41"/>
    </sheetView>
  </sheetViews>
  <sheetFormatPr defaultColWidth="0.85546875" defaultRowHeight="15"/>
  <cols>
    <col min="1" max="1" width="9.85546875" style="1864" customWidth="1"/>
    <col min="2" max="2" width="81.85546875" style="1903" customWidth="1"/>
    <col min="3" max="3" width="12.7109375" style="1864" customWidth="1"/>
    <col min="4" max="4" width="12.42578125" style="1864" customWidth="1"/>
    <col min="5" max="5" width="14.5703125" style="1864" customWidth="1"/>
    <col min="6" max="6" width="12.28515625" style="1864" customWidth="1"/>
    <col min="7" max="7" width="38.140625" style="1864" customWidth="1"/>
    <col min="8" max="8" width="46.85546875" style="1864" customWidth="1"/>
    <col min="9" max="11" width="12.7109375" style="1864" customWidth="1"/>
    <col min="12" max="12" width="9.28515625" style="1864" customWidth="1"/>
    <col min="13" max="13" width="13.5703125" style="1864" customWidth="1"/>
    <col min="14" max="14" width="10.28515625" style="1864" customWidth="1"/>
    <col min="15" max="15" width="12.85546875" style="1864" customWidth="1"/>
    <col min="16" max="16" width="9.140625" style="1864" customWidth="1"/>
    <col min="17" max="17" width="9.7109375" style="1864" customWidth="1"/>
    <col min="18" max="18" width="9.28515625" style="1864" customWidth="1"/>
    <col min="19" max="19" width="9.42578125" style="1864" customWidth="1"/>
    <col min="20" max="20" width="10.5703125" style="1864" customWidth="1"/>
    <col min="21" max="21" width="12.42578125" style="1864" customWidth="1"/>
    <col min="22" max="22" width="14.5703125" style="1864" customWidth="1"/>
    <col min="23" max="23" width="12.28515625" style="1864" customWidth="1"/>
    <col min="24" max="24" width="25.85546875" style="1864" customWidth="1"/>
    <col min="25" max="256" width="0.85546875" style="1864"/>
    <col min="257" max="257" width="9.85546875" style="1864" customWidth="1"/>
    <col min="258" max="258" width="81.85546875" style="1864" customWidth="1"/>
    <col min="259" max="259" width="12.7109375" style="1864" customWidth="1"/>
    <col min="260" max="260" width="12.42578125" style="1864" customWidth="1"/>
    <col min="261" max="261" width="14.5703125" style="1864" customWidth="1"/>
    <col min="262" max="262" width="12.28515625" style="1864" customWidth="1"/>
    <col min="263" max="263" width="38.140625" style="1864" customWidth="1"/>
    <col min="264" max="264" width="46.85546875" style="1864" customWidth="1"/>
    <col min="265" max="267" width="12.7109375" style="1864" customWidth="1"/>
    <col min="268" max="268" width="9.28515625" style="1864" customWidth="1"/>
    <col min="269" max="269" width="13.5703125" style="1864" customWidth="1"/>
    <col min="270" max="270" width="10.28515625" style="1864" customWidth="1"/>
    <col min="271" max="271" width="12.85546875" style="1864" customWidth="1"/>
    <col min="272" max="272" width="9.140625" style="1864" customWidth="1"/>
    <col min="273" max="273" width="9.7109375" style="1864" customWidth="1"/>
    <col min="274" max="274" width="9.28515625" style="1864" customWidth="1"/>
    <col min="275" max="275" width="9.42578125" style="1864" customWidth="1"/>
    <col min="276" max="276" width="10.5703125" style="1864" customWidth="1"/>
    <col min="277" max="277" width="12.42578125" style="1864" customWidth="1"/>
    <col min="278" max="278" width="14.5703125" style="1864" customWidth="1"/>
    <col min="279" max="279" width="12.28515625" style="1864" customWidth="1"/>
    <col min="280" max="280" width="25.85546875" style="1864" customWidth="1"/>
    <col min="281" max="512" width="0.85546875" style="1864"/>
    <col min="513" max="513" width="9.85546875" style="1864" customWidth="1"/>
    <col min="514" max="514" width="81.85546875" style="1864" customWidth="1"/>
    <col min="515" max="515" width="12.7109375" style="1864" customWidth="1"/>
    <col min="516" max="516" width="12.42578125" style="1864" customWidth="1"/>
    <col min="517" max="517" width="14.5703125" style="1864" customWidth="1"/>
    <col min="518" max="518" width="12.28515625" style="1864" customWidth="1"/>
    <col min="519" max="519" width="38.140625" style="1864" customWidth="1"/>
    <col min="520" max="520" width="46.85546875" style="1864" customWidth="1"/>
    <col min="521" max="523" width="12.7109375" style="1864" customWidth="1"/>
    <col min="524" max="524" width="9.28515625" style="1864" customWidth="1"/>
    <col min="525" max="525" width="13.5703125" style="1864" customWidth="1"/>
    <col min="526" max="526" width="10.28515625" style="1864" customWidth="1"/>
    <col min="527" max="527" width="12.85546875" style="1864" customWidth="1"/>
    <col min="528" max="528" width="9.140625" style="1864" customWidth="1"/>
    <col min="529" max="529" width="9.7109375" style="1864" customWidth="1"/>
    <col min="530" max="530" width="9.28515625" style="1864" customWidth="1"/>
    <col min="531" max="531" width="9.42578125" style="1864" customWidth="1"/>
    <col min="532" max="532" width="10.5703125" style="1864" customWidth="1"/>
    <col min="533" max="533" width="12.42578125" style="1864" customWidth="1"/>
    <col min="534" max="534" width="14.5703125" style="1864" customWidth="1"/>
    <col min="535" max="535" width="12.28515625" style="1864" customWidth="1"/>
    <col min="536" max="536" width="25.85546875" style="1864" customWidth="1"/>
    <col min="537" max="768" width="0.85546875" style="1864"/>
    <col min="769" max="769" width="9.85546875" style="1864" customWidth="1"/>
    <col min="770" max="770" width="81.85546875" style="1864" customWidth="1"/>
    <col min="771" max="771" width="12.7109375" style="1864" customWidth="1"/>
    <col min="772" max="772" width="12.42578125" style="1864" customWidth="1"/>
    <col min="773" max="773" width="14.5703125" style="1864" customWidth="1"/>
    <col min="774" max="774" width="12.28515625" style="1864" customWidth="1"/>
    <col min="775" max="775" width="38.140625" style="1864" customWidth="1"/>
    <col min="776" max="776" width="46.85546875" style="1864" customWidth="1"/>
    <col min="777" max="779" width="12.7109375" style="1864" customWidth="1"/>
    <col min="780" max="780" width="9.28515625" style="1864" customWidth="1"/>
    <col min="781" max="781" width="13.5703125" style="1864" customWidth="1"/>
    <col min="782" max="782" width="10.28515625" style="1864" customWidth="1"/>
    <col min="783" max="783" width="12.85546875" style="1864" customWidth="1"/>
    <col min="784" max="784" width="9.140625" style="1864" customWidth="1"/>
    <col min="785" max="785" width="9.7109375" style="1864" customWidth="1"/>
    <col min="786" max="786" width="9.28515625" style="1864" customWidth="1"/>
    <col min="787" max="787" width="9.42578125" style="1864" customWidth="1"/>
    <col min="788" max="788" width="10.5703125" style="1864" customWidth="1"/>
    <col min="789" max="789" width="12.42578125" style="1864" customWidth="1"/>
    <col min="790" max="790" width="14.5703125" style="1864" customWidth="1"/>
    <col min="791" max="791" width="12.28515625" style="1864" customWidth="1"/>
    <col min="792" max="792" width="25.85546875" style="1864" customWidth="1"/>
    <col min="793" max="1024" width="0.85546875" style="1864"/>
    <col min="1025" max="1025" width="9.85546875" style="1864" customWidth="1"/>
    <col min="1026" max="1026" width="81.85546875" style="1864" customWidth="1"/>
    <col min="1027" max="1027" width="12.7109375" style="1864" customWidth="1"/>
    <col min="1028" max="1028" width="12.42578125" style="1864" customWidth="1"/>
    <col min="1029" max="1029" width="14.5703125" style="1864" customWidth="1"/>
    <col min="1030" max="1030" width="12.28515625" style="1864" customWidth="1"/>
    <col min="1031" max="1031" width="38.140625" style="1864" customWidth="1"/>
    <col min="1032" max="1032" width="46.85546875" style="1864" customWidth="1"/>
    <col min="1033" max="1035" width="12.7109375" style="1864" customWidth="1"/>
    <col min="1036" max="1036" width="9.28515625" style="1864" customWidth="1"/>
    <col min="1037" max="1037" width="13.5703125" style="1864" customWidth="1"/>
    <col min="1038" max="1038" width="10.28515625" style="1864" customWidth="1"/>
    <col min="1039" max="1039" width="12.85546875" style="1864" customWidth="1"/>
    <col min="1040" max="1040" width="9.140625" style="1864" customWidth="1"/>
    <col min="1041" max="1041" width="9.7109375" style="1864" customWidth="1"/>
    <col min="1042" max="1042" width="9.28515625" style="1864" customWidth="1"/>
    <col min="1043" max="1043" width="9.42578125" style="1864" customWidth="1"/>
    <col min="1044" max="1044" width="10.5703125" style="1864" customWidth="1"/>
    <col min="1045" max="1045" width="12.42578125" style="1864" customWidth="1"/>
    <col min="1046" max="1046" width="14.5703125" style="1864" customWidth="1"/>
    <col min="1047" max="1047" width="12.28515625" style="1864" customWidth="1"/>
    <col min="1048" max="1048" width="25.85546875" style="1864" customWidth="1"/>
    <col min="1049" max="1280" width="0.85546875" style="1864"/>
    <col min="1281" max="1281" width="9.85546875" style="1864" customWidth="1"/>
    <col min="1282" max="1282" width="81.85546875" style="1864" customWidth="1"/>
    <col min="1283" max="1283" width="12.7109375" style="1864" customWidth="1"/>
    <col min="1284" max="1284" width="12.42578125" style="1864" customWidth="1"/>
    <col min="1285" max="1285" width="14.5703125" style="1864" customWidth="1"/>
    <col min="1286" max="1286" width="12.28515625" style="1864" customWidth="1"/>
    <col min="1287" max="1287" width="38.140625" style="1864" customWidth="1"/>
    <col min="1288" max="1288" width="46.85546875" style="1864" customWidth="1"/>
    <col min="1289" max="1291" width="12.7109375" style="1864" customWidth="1"/>
    <col min="1292" max="1292" width="9.28515625" style="1864" customWidth="1"/>
    <col min="1293" max="1293" width="13.5703125" style="1864" customWidth="1"/>
    <col min="1294" max="1294" width="10.28515625" style="1864" customWidth="1"/>
    <col min="1295" max="1295" width="12.85546875" style="1864" customWidth="1"/>
    <col min="1296" max="1296" width="9.140625" style="1864" customWidth="1"/>
    <col min="1297" max="1297" width="9.7109375" style="1864" customWidth="1"/>
    <col min="1298" max="1298" width="9.28515625" style="1864" customWidth="1"/>
    <col min="1299" max="1299" width="9.42578125" style="1864" customWidth="1"/>
    <col min="1300" max="1300" width="10.5703125" style="1864" customWidth="1"/>
    <col min="1301" max="1301" width="12.42578125" style="1864" customWidth="1"/>
    <col min="1302" max="1302" width="14.5703125" style="1864" customWidth="1"/>
    <col min="1303" max="1303" width="12.28515625" style="1864" customWidth="1"/>
    <col min="1304" max="1304" width="25.85546875" style="1864" customWidth="1"/>
    <col min="1305" max="1536" width="0.85546875" style="1864"/>
    <col min="1537" max="1537" width="9.85546875" style="1864" customWidth="1"/>
    <col min="1538" max="1538" width="81.85546875" style="1864" customWidth="1"/>
    <col min="1539" max="1539" width="12.7109375" style="1864" customWidth="1"/>
    <col min="1540" max="1540" width="12.42578125" style="1864" customWidth="1"/>
    <col min="1541" max="1541" width="14.5703125" style="1864" customWidth="1"/>
    <col min="1542" max="1542" width="12.28515625" style="1864" customWidth="1"/>
    <col min="1543" max="1543" width="38.140625" style="1864" customWidth="1"/>
    <col min="1544" max="1544" width="46.85546875" style="1864" customWidth="1"/>
    <col min="1545" max="1547" width="12.7109375" style="1864" customWidth="1"/>
    <col min="1548" max="1548" width="9.28515625" style="1864" customWidth="1"/>
    <col min="1549" max="1549" width="13.5703125" style="1864" customWidth="1"/>
    <col min="1550" max="1550" width="10.28515625" style="1864" customWidth="1"/>
    <col min="1551" max="1551" width="12.85546875" style="1864" customWidth="1"/>
    <col min="1552" max="1552" width="9.140625" style="1864" customWidth="1"/>
    <col min="1553" max="1553" width="9.7109375" style="1864" customWidth="1"/>
    <col min="1554" max="1554" width="9.28515625" style="1864" customWidth="1"/>
    <col min="1555" max="1555" width="9.42578125" style="1864" customWidth="1"/>
    <col min="1556" max="1556" width="10.5703125" style="1864" customWidth="1"/>
    <col min="1557" max="1557" width="12.42578125" style="1864" customWidth="1"/>
    <col min="1558" max="1558" width="14.5703125" style="1864" customWidth="1"/>
    <col min="1559" max="1559" width="12.28515625" style="1864" customWidth="1"/>
    <col min="1560" max="1560" width="25.85546875" style="1864" customWidth="1"/>
    <col min="1561" max="1792" width="0.85546875" style="1864"/>
    <col min="1793" max="1793" width="9.85546875" style="1864" customWidth="1"/>
    <col min="1794" max="1794" width="81.85546875" style="1864" customWidth="1"/>
    <col min="1795" max="1795" width="12.7109375" style="1864" customWidth="1"/>
    <col min="1796" max="1796" width="12.42578125" style="1864" customWidth="1"/>
    <col min="1797" max="1797" width="14.5703125" style="1864" customWidth="1"/>
    <col min="1798" max="1798" width="12.28515625" style="1864" customWidth="1"/>
    <col min="1799" max="1799" width="38.140625" style="1864" customWidth="1"/>
    <col min="1800" max="1800" width="46.85546875" style="1864" customWidth="1"/>
    <col min="1801" max="1803" width="12.7109375" style="1864" customWidth="1"/>
    <col min="1804" max="1804" width="9.28515625" style="1864" customWidth="1"/>
    <col min="1805" max="1805" width="13.5703125" style="1864" customWidth="1"/>
    <col min="1806" max="1806" width="10.28515625" style="1864" customWidth="1"/>
    <col min="1807" max="1807" width="12.85546875" style="1864" customWidth="1"/>
    <col min="1808" max="1808" width="9.140625" style="1864" customWidth="1"/>
    <col min="1809" max="1809" width="9.7109375" style="1864" customWidth="1"/>
    <col min="1810" max="1810" width="9.28515625" style="1864" customWidth="1"/>
    <col min="1811" max="1811" width="9.42578125" style="1864" customWidth="1"/>
    <col min="1812" max="1812" width="10.5703125" style="1864" customWidth="1"/>
    <col min="1813" max="1813" width="12.42578125" style="1864" customWidth="1"/>
    <col min="1814" max="1814" width="14.5703125" style="1864" customWidth="1"/>
    <col min="1815" max="1815" width="12.28515625" style="1864" customWidth="1"/>
    <col min="1816" max="1816" width="25.85546875" style="1864" customWidth="1"/>
    <col min="1817" max="2048" width="0.85546875" style="1864"/>
    <col min="2049" max="2049" width="9.85546875" style="1864" customWidth="1"/>
    <col min="2050" max="2050" width="81.85546875" style="1864" customWidth="1"/>
    <col min="2051" max="2051" width="12.7109375" style="1864" customWidth="1"/>
    <col min="2052" max="2052" width="12.42578125" style="1864" customWidth="1"/>
    <col min="2053" max="2053" width="14.5703125" style="1864" customWidth="1"/>
    <col min="2054" max="2054" width="12.28515625" style="1864" customWidth="1"/>
    <col min="2055" max="2055" width="38.140625" style="1864" customWidth="1"/>
    <col min="2056" max="2056" width="46.85546875" style="1864" customWidth="1"/>
    <col min="2057" max="2059" width="12.7109375" style="1864" customWidth="1"/>
    <col min="2060" max="2060" width="9.28515625" style="1864" customWidth="1"/>
    <col min="2061" max="2061" width="13.5703125" style="1864" customWidth="1"/>
    <col min="2062" max="2062" width="10.28515625" style="1864" customWidth="1"/>
    <col min="2063" max="2063" width="12.85546875" style="1864" customWidth="1"/>
    <col min="2064" max="2064" width="9.140625" style="1864" customWidth="1"/>
    <col min="2065" max="2065" width="9.7109375" style="1864" customWidth="1"/>
    <col min="2066" max="2066" width="9.28515625" style="1864" customWidth="1"/>
    <col min="2067" max="2067" width="9.42578125" style="1864" customWidth="1"/>
    <col min="2068" max="2068" width="10.5703125" style="1864" customWidth="1"/>
    <col min="2069" max="2069" width="12.42578125" style="1864" customWidth="1"/>
    <col min="2070" max="2070" width="14.5703125" style="1864" customWidth="1"/>
    <col min="2071" max="2071" width="12.28515625" style="1864" customWidth="1"/>
    <col min="2072" max="2072" width="25.85546875" style="1864" customWidth="1"/>
    <col min="2073" max="2304" width="0.85546875" style="1864"/>
    <col min="2305" max="2305" width="9.85546875" style="1864" customWidth="1"/>
    <col min="2306" max="2306" width="81.85546875" style="1864" customWidth="1"/>
    <col min="2307" max="2307" width="12.7109375" style="1864" customWidth="1"/>
    <col min="2308" max="2308" width="12.42578125" style="1864" customWidth="1"/>
    <col min="2309" max="2309" width="14.5703125" style="1864" customWidth="1"/>
    <col min="2310" max="2310" width="12.28515625" style="1864" customWidth="1"/>
    <col min="2311" max="2311" width="38.140625" style="1864" customWidth="1"/>
    <col min="2312" max="2312" width="46.85546875" style="1864" customWidth="1"/>
    <col min="2313" max="2315" width="12.7109375" style="1864" customWidth="1"/>
    <col min="2316" max="2316" width="9.28515625" style="1864" customWidth="1"/>
    <col min="2317" max="2317" width="13.5703125" style="1864" customWidth="1"/>
    <col min="2318" max="2318" width="10.28515625" style="1864" customWidth="1"/>
    <col min="2319" max="2319" width="12.85546875" style="1864" customWidth="1"/>
    <col min="2320" max="2320" width="9.140625" style="1864" customWidth="1"/>
    <col min="2321" max="2321" width="9.7109375" style="1864" customWidth="1"/>
    <col min="2322" max="2322" width="9.28515625" style="1864" customWidth="1"/>
    <col min="2323" max="2323" width="9.42578125" style="1864" customWidth="1"/>
    <col min="2324" max="2324" width="10.5703125" style="1864" customWidth="1"/>
    <col min="2325" max="2325" width="12.42578125" style="1864" customWidth="1"/>
    <col min="2326" max="2326" width="14.5703125" style="1864" customWidth="1"/>
    <col min="2327" max="2327" width="12.28515625" style="1864" customWidth="1"/>
    <col min="2328" max="2328" width="25.85546875" style="1864" customWidth="1"/>
    <col min="2329" max="2560" width="0.85546875" style="1864"/>
    <col min="2561" max="2561" width="9.85546875" style="1864" customWidth="1"/>
    <col min="2562" max="2562" width="81.85546875" style="1864" customWidth="1"/>
    <col min="2563" max="2563" width="12.7109375" style="1864" customWidth="1"/>
    <col min="2564" max="2564" width="12.42578125" style="1864" customWidth="1"/>
    <col min="2565" max="2565" width="14.5703125" style="1864" customWidth="1"/>
    <col min="2566" max="2566" width="12.28515625" style="1864" customWidth="1"/>
    <col min="2567" max="2567" width="38.140625" style="1864" customWidth="1"/>
    <col min="2568" max="2568" width="46.85546875" style="1864" customWidth="1"/>
    <col min="2569" max="2571" width="12.7109375" style="1864" customWidth="1"/>
    <col min="2572" max="2572" width="9.28515625" style="1864" customWidth="1"/>
    <col min="2573" max="2573" width="13.5703125" style="1864" customWidth="1"/>
    <col min="2574" max="2574" width="10.28515625" style="1864" customWidth="1"/>
    <col min="2575" max="2575" width="12.85546875" style="1864" customWidth="1"/>
    <col min="2576" max="2576" width="9.140625" style="1864" customWidth="1"/>
    <col min="2577" max="2577" width="9.7109375" style="1864" customWidth="1"/>
    <col min="2578" max="2578" width="9.28515625" style="1864" customWidth="1"/>
    <col min="2579" max="2579" width="9.42578125" style="1864" customWidth="1"/>
    <col min="2580" max="2580" width="10.5703125" style="1864" customWidth="1"/>
    <col min="2581" max="2581" width="12.42578125" style="1864" customWidth="1"/>
    <col min="2582" max="2582" width="14.5703125" style="1864" customWidth="1"/>
    <col min="2583" max="2583" width="12.28515625" style="1864" customWidth="1"/>
    <col min="2584" max="2584" width="25.85546875" style="1864" customWidth="1"/>
    <col min="2585" max="2816" width="0.85546875" style="1864"/>
    <col min="2817" max="2817" width="9.85546875" style="1864" customWidth="1"/>
    <col min="2818" max="2818" width="81.85546875" style="1864" customWidth="1"/>
    <col min="2819" max="2819" width="12.7109375" style="1864" customWidth="1"/>
    <col min="2820" max="2820" width="12.42578125" style="1864" customWidth="1"/>
    <col min="2821" max="2821" width="14.5703125" style="1864" customWidth="1"/>
    <col min="2822" max="2822" width="12.28515625" style="1864" customWidth="1"/>
    <col min="2823" max="2823" width="38.140625" style="1864" customWidth="1"/>
    <col min="2824" max="2824" width="46.85546875" style="1864" customWidth="1"/>
    <col min="2825" max="2827" width="12.7109375" style="1864" customWidth="1"/>
    <col min="2828" max="2828" width="9.28515625" style="1864" customWidth="1"/>
    <col min="2829" max="2829" width="13.5703125" style="1864" customWidth="1"/>
    <col min="2830" max="2830" width="10.28515625" style="1864" customWidth="1"/>
    <col min="2831" max="2831" width="12.85546875" style="1864" customWidth="1"/>
    <col min="2832" max="2832" width="9.140625" style="1864" customWidth="1"/>
    <col min="2833" max="2833" width="9.7109375" style="1864" customWidth="1"/>
    <col min="2834" max="2834" width="9.28515625" style="1864" customWidth="1"/>
    <col min="2835" max="2835" width="9.42578125" style="1864" customWidth="1"/>
    <col min="2836" max="2836" width="10.5703125" style="1864" customWidth="1"/>
    <col min="2837" max="2837" width="12.42578125" style="1864" customWidth="1"/>
    <col min="2838" max="2838" width="14.5703125" style="1864" customWidth="1"/>
    <col min="2839" max="2839" width="12.28515625" style="1864" customWidth="1"/>
    <col min="2840" max="2840" width="25.85546875" style="1864" customWidth="1"/>
    <col min="2841" max="3072" width="0.85546875" style="1864"/>
    <col min="3073" max="3073" width="9.85546875" style="1864" customWidth="1"/>
    <col min="3074" max="3074" width="81.85546875" style="1864" customWidth="1"/>
    <col min="3075" max="3075" width="12.7109375" style="1864" customWidth="1"/>
    <col min="3076" max="3076" width="12.42578125" style="1864" customWidth="1"/>
    <col min="3077" max="3077" width="14.5703125" style="1864" customWidth="1"/>
    <col min="3078" max="3078" width="12.28515625" style="1864" customWidth="1"/>
    <col min="3079" max="3079" width="38.140625" style="1864" customWidth="1"/>
    <col min="3080" max="3080" width="46.85546875" style="1864" customWidth="1"/>
    <col min="3081" max="3083" width="12.7109375" style="1864" customWidth="1"/>
    <col min="3084" max="3084" width="9.28515625" style="1864" customWidth="1"/>
    <col min="3085" max="3085" width="13.5703125" style="1864" customWidth="1"/>
    <col min="3086" max="3086" width="10.28515625" style="1864" customWidth="1"/>
    <col min="3087" max="3087" width="12.85546875" style="1864" customWidth="1"/>
    <col min="3088" max="3088" width="9.140625" style="1864" customWidth="1"/>
    <col min="3089" max="3089" width="9.7109375" style="1864" customWidth="1"/>
    <col min="3090" max="3090" width="9.28515625" style="1864" customWidth="1"/>
    <col min="3091" max="3091" width="9.42578125" style="1864" customWidth="1"/>
    <col min="3092" max="3092" width="10.5703125" style="1864" customWidth="1"/>
    <col min="3093" max="3093" width="12.42578125" style="1864" customWidth="1"/>
    <col min="3094" max="3094" width="14.5703125" style="1864" customWidth="1"/>
    <col min="3095" max="3095" width="12.28515625" style="1864" customWidth="1"/>
    <col min="3096" max="3096" width="25.85546875" style="1864" customWidth="1"/>
    <col min="3097" max="3328" width="0.85546875" style="1864"/>
    <col min="3329" max="3329" width="9.85546875" style="1864" customWidth="1"/>
    <col min="3330" max="3330" width="81.85546875" style="1864" customWidth="1"/>
    <col min="3331" max="3331" width="12.7109375" style="1864" customWidth="1"/>
    <col min="3332" max="3332" width="12.42578125" style="1864" customWidth="1"/>
    <col min="3333" max="3333" width="14.5703125" style="1864" customWidth="1"/>
    <col min="3334" max="3334" width="12.28515625" style="1864" customWidth="1"/>
    <col min="3335" max="3335" width="38.140625" style="1864" customWidth="1"/>
    <col min="3336" max="3336" width="46.85546875" style="1864" customWidth="1"/>
    <col min="3337" max="3339" width="12.7109375" style="1864" customWidth="1"/>
    <col min="3340" max="3340" width="9.28515625" style="1864" customWidth="1"/>
    <col min="3341" max="3341" width="13.5703125" style="1864" customWidth="1"/>
    <col min="3342" max="3342" width="10.28515625" style="1864" customWidth="1"/>
    <col min="3343" max="3343" width="12.85546875" style="1864" customWidth="1"/>
    <col min="3344" max="3344" width="9.140625" style="1864" customWidth="1"/>
    <col min="3345" max="3345" width="9.7109375" style="1864" customWidth="1"/>
    <col min="3346" max="3346" width="9.28515625" style="1864" customWidth="1"/>
    <col min="3347" max="3347" width="9.42578125" style="1864" customWidth="1"/>
    <col min="3348" max="3348" width="10.5703125" style="1864" customWidth="1"/>
    <col min="3349" max="3349" width="12.42578125" style="1864" customWidth="1"/>
    <col min="3350" max="3350" width="14.5703125" style="1864" customWidth="1"/>
    <col min="3351" max="3351" width="12.28515625" style="1864" customWidth="1"/>
    <col min="3352" max="3352" width="25.85546875" style="1864" customWidth="1"/>
    <col min="3353" max="3584" width="0.85546875" style="1864"/>
    <col min="3585" max="3585" width="9.85546875" style="1864" customWidth="1"/>
    <col min="3586" max="3586" width="81.85546875" style="1864" customWidth="1"/>
    <col min="3587" max="3587" width="12.7109375" style="1864" customWidth="1"/>
    <col min="3588" max="3588" width="12.42578125" style="1864" customWidth="1"/>
    <col min="3589" max="3589" width="14.5703125" style="1864" customWidth="1"/>
    <col min="3590" max="3590" width="12.28515625" style="1864" customWidth="1"/>
    <col min="3591" max="3591" width="38.140625" style="1864" customWidth="1"/>
    <col min="3592" max="3592" width="46.85546875" style="1864" customWidth="1"/>
    <col min="3593" max="3595" width="12.7109375" style="1864" customWidth="1"/>
    <col min="3596" max="3596" width="9.28515625" style="1864" customWidth="1"/>
    <col min="3597" max="3597" width="13.5703125" style="1864" customWidth="1"/>
    <col min="3598" max="3598" width="10.28515625" style="1864" customWidth="1"/>
    <col min="3599" max="3599" width="12.85546875" style="1864" customWidth="1"/>
    <col min="3600" max="3600" width="9.140625" style="1864" customWidth="1"/>
    <col min="3601" max="3601" width="9.7109375" style="1864" customWidth="1"/>
    <col min="3602" max="3602" width="9.28515625" style="1864" customWidth="1"/>
    <col min="3603" max="3603" width="9.42578125" style="1864" customWidth="1"/>
    <col min="3604" max="3604" width="10.5703125" style="1864" customWidth="1"/>
    <col min="3605" max="3605" width="12.42578125" style="1864" customWidth="1"/>
    <col min="3606" max="3606" width="14.5703125" style="1864" customWidth="1"/>
    <col min="3607" max="3607" width="12.28515625" style="1864" customWidth="1"/>
    <col min="3608" max="3608" width="25.85546875" style="1864" customWidth="1"/>
    <col min="3609" max="3840" width="0.85546875" style="1864"/>
    <col min="3841" max="3841" width="9.85546875" style="1864" customWidth="1"/>
    <col min="3842" max="3842" width="81.85546875" style="1864" customWidth="1"/>
    <col min="3843" max="3843" width="12.7109375" style="1864" customWidth="1"/>
    <col min="3844" max="3844" width="12.42578125" style="1864" customWidth="1"/>
    <col min="3845" max="3845" width="14.5703125" style="1864" customWidth="1"/>
    <col min="3846" max="3846" width="12.28515625" style="1864" customWidth="1"/>
    <col min="3847" max="3847" width="38.140625" style="1864" customWidth="1"/>
    <col min="3848" max="3848" width="46.85546875" style="1864" customWidth="1"/>
    <col min="3849" max="3851" width="12.7109375" style="1864" customWidth="1"/>
    <col min="3852" max="3852" width="9.28515625" style="1864" customWidth="1"/>
    <col min="3853" max="3853" width="13.5703125" style="1864" customWidth="1"/>
    <col min="3854" max="3854" width="10.28515625" style="1864" customWidth="1"/>
    <col min="3855" max="3855" width="12.85546875" style="1864" customWidth="1"/>
    <col min="3856" max="3856" width="9.140625" style="1864" customWidth="1"/>
    <col min="3857" max="3857" width="9.7109375" style="1864" customWidth="1"/>
    <col min="3858" max="3858" width="9.28515625" style="1864" customWidth="1"/>
    <col min="3859" max="3859" width="9.42578125" style="1864" customWidth="1"/>
    <col min="3860" max="3860" width="10.5703125" style="1864" customWidth="1"/>
    <col min="3861" max="3861" width="12.42578125" style="1864" customWidth="1"/>
    <col min="3862" max="3862" width="14.5703125" style="1864" customWidth="1"/>
    <col min="3863" max="3863" width="12.28515625" style="1864" customWidth="1"/>
    <col min="3864" max="3864" width="25.85546875" style="1864" customWidth="1"/>
    <col min="3865" max="4096" width="0.85546875" style="1864"/>
    <col min="4097" max="4097" width="9.85546875" style="1864" customWidth="1"/>
    <col min="4098" max="4098" width="81.85546875" style="1864" customWidth="1"/>
    <col min="4099" max="4099" width="12.7109375" style="1864" customWidth="1"/>
    <col min="4100" max="4100" width="12.42578125" style="1864" customWidth="1"/>
    <col min="4101" max="4101" width="14.5703125" style="1864" customWidth="1"/>
    <col min="4102" max="4102" width="12.28515625" style="1864" customWidth="1"/>
    <col min="4103" max="4103" width="38.140625" style="1864" customWidth="1"/>
    <col min="4104" max="4104" width="46.85546875" style="1864" customWidth="1"/>
    <col min="4105" max="4107" width="12.7109375" style="1864" customWidth="1"/>
    <col min="4108" max="4108" width="9.28515625" style="1864" customWidth="1"/>
    <col min="4109" max="4109" width="13.5703125" style="1864" customWidth="1"/>
    <col min="4110" max="4110" width="10.28515625" style="1864" customWidth="1"/>
    <col min="4111" max="4111" width="12.85546875" style="1864" customWidth="1"/>
    <col min="4112" max="4112" width="9.140625" style="1864" customWidth="1"/>
    <col min="4113" max="4113" width="9.7109375" style="1864" customWidth="1"/>
    <col min="4114" max="4114" width="9.28515625" style="1864" customWidth="1"/>
    <col min="4115" max="4115" width="9.42578125" style="1864" customWidth="1"/>
    <col min="4116" max="4116" width="10.5703125" style="1864" customWidth="1"/>
    <col min="4117" max="4117" width="12.42578125" style="1864" customWidth="1"/>
    <col min="4118" max="4118" width="14.5703125" style="1864" customWidth="1"/>
    <col min="4119" max="4119" width="12.28515625" style="1864" customWidth="1"/>
    <col min="4120" max="4120" width="25.85546875" style="1864" customWidth="1"/>
    <col min="4121" max="4352" width="0.85546875" style="1864"/>
    <col min="4353" max="4353" width="9.85546875" style="1864" customWidth="1"/>
    <col min="4354" max="4354" width="81.85546875" style="1864" customWidth="1"/>
    <col min="4355" max="4355" width="12.7109375" style="1864" customWidth="1"/>
    <col min="4356" max="4356" width="12.42578125" style="1864" customWidth="1"/>
    <col min="4357" max="4357" width="14.5703125" style="1864" customWidth="1"/>
    <col min="4358" max="4358" width="12.28515625" style="1864" customWidth="1"/>
    <col min="4359" max="4359" width="38.140625" style="1864" customWidth="1"/>
    <col min="4360" max="4360" width="46.85546875" style="1864" customWidth="1"/>
    <col min="4361" max="4363" width="12.7109375" style="1864" customWidth="1"/>
    <col min="4364" max="4364" width="9.28515625" style="1864" customWidth="1"/>
    <col min="4365" max="4365" width="13.5703125" style="1864" customWidth="1"/>
    <col min="4366" max="4366" width="10.28515625" style="1864" customWidth="1"/>
    <col min="4367" max="4367" width="12.85546875" style="1864" customWidth="1"/>
    <col min="4368" max="4368" width="9.140625" style="1864" customWidth="1"/>
    <col min="4369" max="4369" width="9.7109375" style="1864" customWidth="1"/>
    <col min="4370" max="4370" width="9.28515625" style="1864" customWidth="1"/>
    <col min="4371" max="4371" width="9.42578125" style="1864" customWidth="1"/>
    <col min="4372" max="4372" width="10.5703125" style="1864" customWidth="1"/>
    <col min="4373" max="4373" width="12.42578125" style="1864" customWidth="1"/>
    <col min="4374" max="4374" width="14.5703125" style="1864" customWidth="1"/>
    <col min="4375" max="4375" width="12.28515625" style="1864" customWidth="1"/>
    <col min="4376" max="4376" width="25.85546875" style="1864" customWidth="1"/>
    <col min="4377" max="4608" width="0.85546875" style="1864"/>
    <col min="4609" max="4609" width="9.85546875" style="1864" customWidth="1"/>
    <col min="4610" max="4610" width="81.85546875" style="1864" customWidth="1"/>
    <col min="4611" max="4611" width="12.7109375" style="1864" customWidth="1"/>
    <col min="4612" max="4612" width="12.42578125" style="1864" customWidth="1"/>
    <col min="4613" max="4613" width="14.5703125" style="1864" customWidth="1"/>
    <col min="4614" max="4614" width="12.28515625" style="1864" customWidth="1"/>
    <col min="4615" max="4615" width="38.140625" style="1864" customWidth="1"/>
    <col min="4616" max="4616" width="46.85546875" style="1864" customWidth="1"/>
    <col min="4617" max="4619" width="12.7109375" style="1864" customWidth="1"/>
    <col min="4620" max="4620" width="9.28515625" style="1864" customWidth="1"/>
    <col min="4621" max="4621" width="13.5703125" style="1864" customWidth="1"/>
    <col min="4622" max="4622" width="10.28515625" style="1864" customWidth="1"/>
    <col min="4623" max="4623" width="12.85546875" style="1864" customWidth="1"/>
    <col min="4624" max="4624" width="9.140625" style="1864" customWidth="1"/>
    <col min="4625" max="4625" width="9.7109375" style="1864" customWidth="1"/>
    <col min="4626" max="4626" width="9.28515625" style="1864" customWidth="1"/>
    <col min="4627" max="4627" width="9.42578125" style="1864" customWidth="1"/>
    <col min="4628" max="4628" width="10.5703125" style="1864" customWidth="1"/>
    <col min="4629" max="4629" width="12.42578125" style="1864" customWidth="1"/>
    <col min="4630" max="4630" width="14.5703125" style="1864" customWidth="1"/>
    <col min="4631" max="4631" width="12.28515625" style="1864" customWidth="1"/>
    <col min="4632" max="4632" width="25.85546875" style="1864" customWidth="1"/>
    <col min="4633" max="4864" width="0.85546875" style="1864"/>
    <col min="4865" max="4865" width="9.85546875" style="1864" customWidth="1"/>
    <col min="4866" max="4866" width="81.85546875" style="1864" customWidth="1"/>
    <col min="4867" max="4867" width="12.7109375" style="1864" customWidth="1"/>
    <col min="4868" max="4868" width="12.42578125" style="1864" customWidth="1"/>
    <col min="4869" max="4869" width="14.5703125" style="1864" customWidth="1"/>
    <col min="4870" max="4870" width="12.28515625" style="1864" customWidth="1"/>
    <col min="4871" max="4871" width="38.140625" style="1864" customWidth="1"/>
    <col min="4872" max="4872" width="46.85546875" style="1864" customWidth="1"/>
    <col min="4873" max="4875" width="12.7109375" style="1864" customWidth="1"/>
    <col min="4876" max="4876" width="9.28515625" style="1864" customWidth="1"/>
    <col min="4877" max="4877" width="13.5703125" style="1864" customWidth="1"/>
    <col min="4878" max="4878" width="10.28515625" style="1864" customWidth="1"/>
    <col min="4879" max="4879" width="12.85546875" style="1864" customWidth="1"/>
    <col min="4880" max="4880" width="9.140625" style="1864" customWidth="1"/>
    <col min="4881" max="4881" width="9.7109375" style="1864" customWidth="1"/>
    <col min="4882" max="4882" width="9.28515625" style="1864" customWidth="1"/>
    <col min="4883" max="4883" width="9.42578125" style="1864" customWidth="1"/>
    <col min="4884" max="4884" width="10.5703125" style="1864" customWidth="1"/>
    <col min="4885" max="4885" width="12.42578125" style="1864" customWidth="1"/>
    <col min="4886" max="4886" width="14.5703125" style="1864" customWidth="1"/>
    <col min="4887" max="4887" width="12.28515625" style="1864" customWidth="1"/>
    <col min="4888" max="4888" width="25.85546875" style="1864" customWidth="1"/>
    <col min="4889" max="5120" width="0.85546875" style="1864"/>
    <col min="5121" max="5121" width="9.85546875" style="1864" customWidth="1"/>
    <col min="5122" max="5122" width="81.85546875" style="1864" customWidth="1"/>
    <col min="5123" max="5123" width="12.7109375" style="1864" customWidth="1"/>
    <col min="5124" max="5124" width="12.42578125" style="1864" customWidth="1"/>
    <col min="5125" max="5125" width="14.5703125" style="1864" customWidth="1"/>
    <col min="5126" max="5126" width="12.28515625" style="1864" customWidth="1"/>
    <col min="5127" max="5127" width="38.140625" style="1864" customWidth="1"/>
    <col min="5128" max="5128" width="46.85546875" style="1864" customWidth="1"/>
    <col min="5129" max="5131" width="12.7109375" style="1864" customWidth="1"/>
    <col min="5132" max="5132" width="9.28515625" style="1864" customWidth="1"/>
    <col min="5133" max="5133" width="13.5703125" style="1864" customWidth="1"/>
    <col min="5134" max="5134" width="10.28515625" style="1864" customWidth="1"/>
    <col min="5135" max="5135" width="12.85546875" style="1864" customWidth="1"/>
    <col min="5136" max="5136" width="9.140625" style="1864" customWidth="1"/>
    <col min="5137" max="5137" width="9.7109375" style="1864" customWidth="1"/>
    <col min="5138" max="5138" width="9.28515625" style="1864" customWidth="1"/>
    <col min="5139" max="5139" width="9.42578125" style="1864" customWidth="1"/>
    <col min="5140" max="5140" width="10.5703125" style="1864" customWidth="1"/>
    <col min="5141" max="5141" width="12.42578125" style="1864" customWidth="1"/>
    <col min="5142" max="5142" width="14.5703125" style="1864" customWidth="1"/>
    <col min="5143" max="5143" width="12.28515625" style="1864" customWidth="1"/>
    <col min="5144" max="5144" width="25.85546875" style="1864" customWidth="1"/>
    <col min="5145" max="5376" width="0.85546875" style="1864"/>
    <col min="5377" max="5377" width="9.85546875" style="1864" customWidth="1"/>
    <col min="5378" max="5378" width="81.85546875" style="1864" customWidth="1"/>
    <col min="5379" max="5379" width="12.7109375" style="1864" customWidth="1"/>
    <col min="5380" max="5380" width="12.42578125" style="1864" customWidth="1"/>
    <col min="5381" max="5381" width="14.5703125" style="1864" customWidth="1"/>
    <col min="5382" max="5382" width="12.28515625" style="1864" customWidth="1"/>
    <col min="5383" max="5383" width="38.140625" style="1864" customWidth="1"/>
    <col min="5384" max="5384" width="46.85546875" style="1864" customWidth="1"/>
    <col min="5385" max="5387" width="12.7109375" style="1864" customWidth="1"/>
    <col min="5388" max="5388" width="9.28515625" style="1864" customWidth="1"/>
    <col min="5389" max="5389" width="13.5703125" style="1864" customWidth="1"/>
    <col min="5390" max="5390" width="10.28515625" style="1864" customWidth="1"/>
    <col min="5391" max="5391" width="12.85546875" style="1864" customWidth="1"/>
    <col min="5392" max="5392" width="9.140625" style="1864" customWidth="1"/>
    <col min="5393" max="5393" width="9.7109375" style="1864" customWidth="1"/>
    <col min="5394" max="5394" width="9.28515625" style="1864" customWidth="1"/>
    <col min="5395" max="5395" width="9.42578125" style="1864" customWidth="1"/>
    <col min="5396" max="5396" width="10.5703125" style="1864" customWidth="1"/>
    <col min="5397" max="5397" width="12.42578125" style="1864" customWidth="1"/>
    <col min="5398" max="5398" width="14.5703125" style="1864" customWidth="1"/>
    <col min="5399" max="5399" width="12.28515625" style="1864" customWidth="1"/>
    <col min="5400" max="5400" width="25.85546875" style="1864" customWidth="1"/>
    <col min="5401" max="5632" width="0.85546875" style="1864"/>
    <col min="5633" max="5633" width="9.85546875" style="1864" customWidth="1"/>
    <col min="5634" max="5634" width="81.85546875" style="1864" customWidth="1"/>
    <col min="5635" max="5635" width="12.7109375" style="1864" customWidth="1"/>
    <col min="5636" max="5636" width="12.42578125" style="1864" customWidth="1"/>
    <col min="5637" max="5637" width="14.5703125" style="1864" customWidth="1"/>
    <col min="5638" max="5638" width="12.28515625" style="1864" customWidth="1"/>
    <col min="5639" max="5639" width="38.140625" style="1864" customWidth="1"/>
    <col min="5640" max="5640" width="46.85546875" style="1864" customWidth="1"/>
    <col min="5641" max="5643" width="12.7109375" style="1864" customWidth="1"/>
    <col min="5644" max="5644" width="9.28515625" style="1864" customWidth="1"/>
    <col min="5645" max="5645" width="13.5703125" style="1864" customWidth="1"/>
    <col min="5646" max="5646" width="10.28515625" style="1864" customWidth="1"/>
    <col min="5647" max="5647" width="12.85546875" style="1864" customWidth="1"/>
    <col min="5648" max="5648" width="9.140625" style="1864" customWidth="1"/>
    <col min="5649" max="5649" width="9.7109375" style="1864" customWidth="1"/>
    <col min="5650" max="5650" width="9.28515625" style="1864" customWidth="1"/>
    <col min="5651" max="5651" width="9.42578125" style="1864" customWidth="1"/>
    <col min="5652" max="5652" width="10.5703125" style="1864" customWidth="1"/>
    <col min="5653" max="5653" width="12.42578125" style="1864" customWidth="1"/>
    <col min="5654" max="5654" width="14.5703125" style="1864" customWidth="1"/>
    <col min="5655" max="5655" width="12.28515625" style="1864" customWidth="1"/>
    <col min="5656" max="5656" width="25.85546875" style="1864" customWidth="1"/>
    <col min="5657" max="5888" width="0.85546875" style="1864"/>
    <col min="5889" max="5889" width="9.85546875" style="1864" customWidth="1"/>
    <col min="5890" max="5890" width="81.85546875" style="1864" customWidth="1"/>
    <col min="5891" max="5891" width="12.7109375" style="1864" customWidth="1"/>
    <col min="5892" max="5892" width="12.42578125" style="1864" customWidth="1"/>
    <col min="5893" max="5893" width="14.5703125" style="1864" customWidth="1"/>
    <col min="5894" max="5894" width="12.28515625" style="1864" customWidth="1"/>
    <col min="5895" max="5895" width="38.140625" style="1864" customWidth="1"/>
    <col min="5896" max="5896" width="46.85546875" style="1864" customWidth="1"/>
    <col min="5897" max="5899" width="12.7109375" style="1864" customWidth="1"/>
    <col min="5900" max="5900" width="9.28515625" style="1864" customWidth="1"/>
    <col min="5901" max="5901" width="13.5703125" style="1864" customWidth="1"/>
    <col min="5902" max="5902" width="10.28515625" style="1864" customWidth="1"/>
    <col min="5903" max="5903" width="12.85546875" style="1864" customWidth="1"/>
    <col min="5904" max="5904" width="9.140625" style="1864" customWidth="1"/>
    <col min="5905" max="5905" width="9.7109375" style="1864" customWidth="1"/>
    <col min="5906" max="5906" width="9.28515625" style="1864" customWidth="1"/>
    <col min="5907" max="5907" width="9.42578125" style="1864" customWidth="1"/>
    <col min="5908" max="5908" width="10.5703125" style="1864" customWidth="1"/>
    <col min="5909" max="5909" width="12.42578125" style="1864" customWidth="1"/>
    <col min="5910" max="5910" width="14.5703125" style="1864" customWidth="1"/>
    <col min="5911" max="5911" width="12.28515625" style="1864" customWidth="1"/>
    <col min="5912" max="5912" width="25.85546875" style="1864" customWidth="1"/>
    <col min="5913" max="6144" width="0.85546875" style="1864"/>
    <col min="6145" max="6145" width="9.85546875" style="1864" customWidth="1"/>
    <col min="6146" max="6146" width="81.85546875" style="1864" customWidth="1"/>
    <col min="6147" max="6147" width="12.7109375" style="1864" customWidth="1"/>
    <col min="6148" max="6148" width="12.42578125" style="1864" customWidth="1"/>
    <col min="6149" max="6149" width="14.5703125" style="1864" customWidth="1"/>
    <col min="6150" max="6150" width="12.28515625" style="1864" customWidth="1"/>
    <col min="6151" max="6151" width="38.140625" style="1864" customWidth="1"/>
    <col min="6152" max="6152" width="46.85546875" style="1864" customWidth="1"/>
    <col min="6153" max="6155" width="12.7109375" style="1864" customWidth="1"/>
    <col min="6156" max="6156" width="9.28515625" style="1864" customWidth="1"/>
    <col min="6157" max="6157" width="13.5703125" style="1864" customWidth="1"/>
    <col min="6158" max="6158" width="10.28515625" style="1864" customWidth="1"/>
    <col min="6159" max="6159" width="12.85546875" style="1864" customWidth="1"/>
    <col min="6160" max="6160" width="9.140625" style="1864" customWidth="1"/>
    <col min="6161" max="6161" width="9.7109375" style="1864" customWidth="1"/>
    <col min="6162" max="6162" width="9.28515625" style="1864" customWidth="1"/>
    <col min="6163" max="6163" width="9.42578125" style="1864" customWidth="1"/>
    <col min="6164" max="6164" width="10.5703125" style="1864" customWidth="1"/>
    <col min="6165" max="6165" width="12.42578125" style="1864" customWidth="1"/>
    <col min="6166" max="6166" width="14.5703125" style="1864" customWidth="1"/>
    <col min="6167" max="6167" width="12.28515625" style="1864" customWidth="1"/>
    <col min="6168" max="6168" width="25.85546875" style="1864" customWidth="1"/>
    <col min="6169" max="6400" width="0.85546875" style="1864"/>
    <col min="6401" max="6401" width="9.85546875" style="1864" customWidth="1"/>
    <col min="6402" max="6402" width="81.85546875" style="1864" customWidth="1"/>
    <col min="6403" max="6403" width="12.7109375" style="1864" customWidth="1"/>
    <col min="6404" max="6404" width="12.42578125" style="1864" customWidth="1"/>
    <col min="6405" max="6405" width="14.5703125" style="1864" customWidth="1"/>
    <col min="6406" max="6406" width="12.28515625" style="1864" customWidth="1"/>
    <col min="6407" max="6407" width="38.140625" style="1864" customWidth="1"/>
    <col min="6408" max="6408" width="46.85546875" style="1864" customWidth="1"/>
    <col min="6409" max="6411" width="12.7109375" style="1864" customWidth="1"/>
    <col min="6412" max="6412" width="9.28515625" style="1864" customWidth="1"/>
    <col min="6413" max="6413" width="13.5703125" style="1864" customWidth="1"/>
    <col min="6414" max="6414" width="10.28515625" style="1864" customWidth="1"/>
    <col min="6415" max="6415" width="12.85546875" style="1864" customWidth="1"/>
    <col min="6416" max="6416" width="9.140625" style="1864" customWidth="1"/>
    <col min="6417" max="6417" width="9.7109375" style="1864" customWidth="1"/>
    <col min="6418" max="6418" width="9.28515625" style="1864" customWidth="1"/>
    <col min="6419" max="6419" width="9.42578125" style="1864" customWidth="1"/>
    <col min="6420" max="6420" width="10.5703125" style="1864" customWidth="1"/>
    <col min="6421" max="6421" width="12.42578125" style="1864" customWidth="1"/>
    <col min="6422" max="6422" width="14.5703125" style="1864" customWidth="1"/>
    <col min="6423" max="6423" width="12.28515625" style="1864" customWidth="1"/>
    <col min="6424" max="6424" width="25.85546875" style="1864" customWidth="1"/>
    <col min="6425" max="6656" width="0.85546875" style="1864"/>
    <col min="6657" max="6657" width="9.85546875" style="1864" customWidth="1"/>
    <col min="6658" max="6658" width="81.85546875" style="1864" customWidth="1"/>
    <col min="6659" max="6659" width="12.7109375" style="1864" customWidth="1"/>
    <col min="6660" max="6660" width="12.42578125" style="1864" customWidth="1"/>
    <col min="6661" max="6661" width="14.5703125" style="1864" customWidth="1"/>
    <col min="6662" max="6662" width="12.28515625" style="1864" customWidth="1"/>
    <col min="6663" max="6663" width="38.140625" style="1864" customWidth="1"/>
    <col min="6664" max="6664" width="46.85546875" style="1864" customWidth="1"/>
    <col min="6665" max="6667" width="12.7109375" style="1864" customWidth="1"/>
    <col min="6668" max="6668" width="9.28515625" style="1864" customWidth="1"/>
    <col min="6669" max="6669" width="13.5703125" style="1864" customWidth="1"/>
    <col min="6670" max="6670" width="10.28515625" style="1864" customWidth="1"/>
    <col min="6671" max="6671" width="12.85546875" style="1864" customWidth="1"/>
    <col min="6672" max="6672" width="9.140625" style="1864" customWidth="1"/>
    <col min="6673" max="6673" width="9.7109375" style="1864" customWidth="1"/>
    <col min="6674" max="6674" width="9.28515625" style="1864" customWidth="1"/>
    <col min="6675" max="6675" width="9.42578125" style="1864" customWidth="1"/>
    <col min="6676" max="6676" width="10.5703125" style="1864" customWidth="1"/>
    <col min="6677" max="6677" width="12.42578125" style="1864" customWidth="1"/>
    <col min="6678" max="6678" width="14.5703125" style="1864" customWidth="1"/>
    <col min="6679" max="6679" width="12.28515625" style="1864" customWidth="1"/>
    <col min="6680" max="6680" width="25.85546875" style="1864" customWidth="1"/>
    <col min="6681" max="6912" width="0.85546875" style="1864"/>
    <col min="6913" max="6913" width="9.85546875" style="1864" customWidth="1"/>
    <col min="6914" max="6914" width="81.85546875" style="1864" customWidth="1"/>
    <col min="6915" max="6915" width="12.7109375" style="1864" customWidth="1"/>
    <col min="6916" max="6916" width="12.42578125" style="1864" customWidth="1"/>
    <col min="6917" max="6917" width="14.5703125" style="1864" customWidth="1"/>
    <col min="6918" max="6918" width="12.28515625" style="1864" customWidth="1"/>
    <col min="6919" max="6919" width="38.140625" style="1864" customWidth="1"/>
    <col min="6920" max="6920" width="46.85546875" style="1864" customWidth="1"/>
    <col min="6921" max="6923" width="12.7109375" style="1864" customWidth="1"/>
    <col min="6924" max="6924" width="9.28515625" style="1864" customWidth="1"/>
    <col min="6925" max="6925" width="13.5703125" style="1864" customWidth="1"/>
    <col min="6926" max="6926" width="10.28515625" style="1864" customWidth="1"/>
    <col min="6927" max="6927" width="12.85546875" style="1864" customWidth="1"/>
    <col min="6928" max="6928" width="9.140625" style="1864" customWidth="1"/>
    <col min="6929" max="6929" width="9.7109375" style="1864" customWidth="1"/>
    <col min="6930" max="6930" width="9.28515625" style="1864" customWidth="1"/>
    <col min="6931" max="6931" width="9.42578125" style="1864" customWidth="1"/>
    <col min="6932" max="6932" width="10.5703125" style="1864" customWidth="1"/>
    <col min="6933" max="6933" width="12.42578125" style="1864" customWidth="1"/>
    <col min="6934" max="6934" width="14.5703125" style="1864" customWidth="1"/>
    <col min="6935" max="6935" width="12.28515625" style="1864" customWidth="1"/>
    <col min="6936" max="6936" width="25.85546875" style="1864" customWidth="1"/>
    <col min="6937" max="7168" width="0.85546875" style="1864"/>
    <col min="7169" max="7169" width="9.85546875" style="1864" customWidth="1"/>
    <col min="7170" max="7170" width="81.85546875" style="1864" customWidth="1"/>
    <col min="7171" max="7171" width="12.7109375" style="1864" customWidth="1"/>
    <col min="7172" max="7172" width="12.42578125" style="1864" customWidth="1"/>
    <col min="7173" max="7173" width="14.5703125" style="1864" customWidth="1"/>
    <col min="7174" max="7174" width="12.28515625" style="1864" customWidth="1"/>
    <col min="7175" max="7175" width="38.140625" style="1864" customWidth="1"/>
    <col min="7176" max="7176" width="46.85546875" style="1864" customWidth="1"/>
    <col min="7177" max="7179" width="12.7109375" style="1864" customWidth="1"/>
    <col min="7180" max="7180" width="9.28515625" style="1864" customWidth="1"/>
    <col min="7181" max="7181" width="13.5703125" style="1864" customWidth="1"/>
    <col min="7182" max="7182" width="10.28515625" style="1864" customWidth="1"/>
    <col min="7183" max="7183" width="12.85546875" style="1864" customWidth="1"/>
    <col min="7184" max="7184" width="9.140625" style="1864" customWidth="1"/>
    <col min="7185" max="7185" width="9.7109375" style="1864" customWidth="1"/>
    <col min="7186" max="7186" width="9.28515625" style="1864" customWidth="1"/>
    <col min="7187" max="7187" width="9.42578125" style="1864" customWidth="1"/>
    <col min="7188" max="7188" width="10.5703125" style="1864" customWidth="1"/>
    <col min="7189" max="7189" width="12.42578125" style="1864" customWidth="1"/>
    <col min="7190" max="7190" width="14.5703125" style="1864" customWidth="1"/>
    <col min="7191" max="7191" width="12.28515625" style="1864" customWidth="1"/>
    <col min="7192" max="7192" width="25.85546875" style="1864" customWidth="1"/>
    <col min="7193" max="7424" width="0.85546875" style="1864"/>
    <col min="7425" max="7425" width="9.85546875" style="1864" customWidth="1"/>
    <col min="7426" max="7426" width="81.85546875" style="1864" customWidth="1"/>
    <col min="7427" max="7427" width="12.7109375" style="1864" customWidth="1"/>
    <col min="7428" max="7428" width="12.42578125" style="1864" customWidth="1"/>
    <col min="7429" max="7429" width="14.5703125" style="1864" customWidth="1"/>
    <col min="7430" max="7430" width="12.28515625" style="1864" customWidth="1"/>
    <col min="7431" max="7431" width="38.140625" style="1864" customWidth="1"/>
    <col min="7432" max="7432" width="46.85546875" style="1864" customWidth="1"/>
    <col min="7433" max="7435" width="12.7109375" style="1864" customWidth="1"/>
    <col min="7436" max="7436" width="9.28515625" style="1864" customWidth="1"/>
    <col min="7437" max="7437" width="13.5703125" style="1864" customWidth="1"/>
    <col min="7438" max="7438" width="10.28515625" style="1864" customWidth="1"/>
    <col min="7439" max="7439" width="12.85546875" style="1864" customWidth="1"/>
    <col min="7440" max="7440" width="9.140625" style="1864" customWidth="1"/>
    <col min="7441" max="7441" width="9.7109375" style="1864" customWidth="1"/>
    <col min="7442" max="7442" width="9.28515625" style="1864" customWidth="1"/>
    <col min="7443" max="7443" width="9.42578125" style="1864" customWidth="1"/>
    <col min="7444" max="7444" width="10.5703125" style="1864" customWidth="1"/>
    <col min="7445" max="7445" width="12.42578125" style="1864" customWidth="1"/>
    <col min="7446" max="7446" width="14.5703125" style="1864" customWidth="1"/>
    <col min="7447" max="7447" width="12.28515625" style="1864" customWidth="1"/>
    <col min="7448" max="7448" width="25.85546875" style="1864" customWidth="1"/>
    <col min="7449" max="7680" width="0.85546875" style="1864"/>
    <col min="7681" max="7681" width="9.85546875" style="1864" customWidth="1"/>
    <col min="7682" max="7682" width="81.85546875" style="1864" customWidth="1"/>
    <col min="7683" max="7683" width="12.7109375" style="1864" customWidth="1"/>
    <col min="7684" max="7684" width="12.42578125" style="1864" customWidth="1"/>
    <col min="7685" max="7685" width="14.5703125" style="1864" customWidth="1"/>
    <col min="7686" max="7686" width="12.28515625" style="1864" customWidth="1"/>
    <col min="7687" max="7687" width="38.140625" style="1864" customWidth="1"/>
    <col min="7688" max="7688" width="46.85546875" style="1864" customWidth="1"/>
    <col min="7689" max="7691" width="12.7109375" style="1864" customWidth="1"/>
    <col min="7692" max="7692" width="9.28515625" style="1864" customWidth="1"/>
    <col min="7693" max="7693" width="13.5703125" style="1864" customWidth="1"/>
    <col min="7694" max="7694" width="10.28515625" style="1864" customWidth="1"/>
    <col min="7695" max="7695" width="12.85546875" style="1864" customWidth="1"/>
    <col min="7696" max="7696" width="9.140625" style="1864" customWidth="1"/>
    <col min="7697" max="7697" width="9.7109375" style="1864" customWidth="1"/>
    <col min="7698" max="7698" width="9.28515625" style="1864" customWidth="1"/>
    <col min="7699" max="7699" width="9.42578125" style="1864" customWidth="1"/>
    <col min="7700" max="7700" width="10.5703125" style="1864" customWidth="1"/>
    <col min="7701" max="7701" width="12.42578125" style="1864" customWidth="1"/>
    <col min="7702" max="7702" width="14.5703125" style="1864" customWidth="1"/>
    <col min="7703" max="7703" width="12.28515625" style="1864" customWidth="1"/>
    <col min="7704" max="7704" width="25.85546875" style="1864" customWidth="1"/>
    <col min="7705" max="7936" width="0.85546875" style="1864"/>
    <col min="7937" max="7937" width="9.85546875" style="1864" customWidth="1"/>
    <col min="7938" max="7938" width="81.85546875" style="1864" customWidth="1"/>
    <col min="7939" max="7939" width="12.7109375" style="1864" customWidth="1"/>
    <col min="7940" max="7940" width="12.42578125" style="1864" customWidth="1"/>
    <col min="7941" max="7941" width="14.5703125" style="1864" customWidth="1"/>
    <col min="7942" max="7942" width="12.28515625" style="1864" customWidth="1"/>
    <col min="7943" max="7943" width="38.140625" style="1864" customWidth="1"/>
    <col min="7944" max="7944" width="46.85546875" style="1864" customWidth="1"/>
    <col min="7945" max="7947" width="12.7109375" style="1864" customWidth="1"/>
    <col min="7948" max="7948" width="9.28515625" style="1864" customWidth="1"/>
    <col min="7949" max="7949" width="13.5703125" style="1864" customWidth="1"/>
    <col min="7950" max="7950" width="10.28515625" style="1864" customWidth="1"/>
    <col min="7951" max="7951" width="12.85546875" style="1864" customWidth="1"/>
    <col min="7952" max="7952" width="9.140625" style="1864" customWidth="1"/>
    <col min="7953" max="7953" width="9.7109375" style="1864" customWidth="1"/>
    <col min="7954" max="7954" width="9.28515625" style="1864" customWidth="1"/>
    <col min="7955" max="7955" width="9.42578125" style="1864" customWidth="1"/>
    <col min="7956" max="7956" width="10.5703125" style="1864" customWidth="1"/>
    <col min="7957" max="7957" width="12.42578125" style="1864" customWidth="1"/>
    <col min="7958" max="7958" width="14.5703125" style="1864" customWidth="1"/>
    <col min="7959" max="7959" width="12.28515625" style="1864" customWidth="1"/>
    <col min="7960" max="7960" width="25.85546875" style="1864" customWidth="1"/>
    <col min="7961" max="8192" width="0.85546875" style="1864"/>
    <col min="8193" max="8193" width="9.85546875" style="1864" customWidth="1"/>
    <col min="8194" max="8194" width="81.85546875" style="1864" customWidth="1"/>
    <col min="8195" max="8195" width="12.7109375" style="1864" customWidth="1"/>
    <col min="8196" max="8196" width="12.42578125" style="1864" customWidth="1"/>
    <col min="8197" max="8197" width="14.5703125" style="1864" customWidth="1"/>
    <col min="8198" max="8198" width="12.28515625" style="1864" customWidth="1"/>
    <col min="8199" max="8199" width="38.140625" style="1864" customWidth="1"/>
    <col min="8200" max="8200" width="46.85546875" style="1864" customWidth="1"/>
    <col min="8201" max="8203" width="12.7109375" style="1864" customWidth="1"/>
    <col min="8204" max="8204" width="9.28515625" style="1864" customWidth="1"/>
    <col min="8205" max="8205" width="13.5703125" style="1864" customWidth="1"/>
    <col min="8206" max="8206" width="10.28515625" style="1864" customWidth="1"/>
    <col min="8207" max="8207" width="12.85546875" style="1864" customWidth="1"/>
    <col min="8208" max="8208" width="9.140625" style="1864" customWidth="1"/>
    <col min="8209" max="8209" width="9.7109375" style="1864" customWidth="1"/>
    <col min="8210" max="8210" width="9.28515625" style="1864" customWidth="1"/>
    <col min="8211" max="8211" width="9.42578125" style="1864" customWidth="1"/>
    <col min="8212" max="8212" width="10.5703125" style="1864" customWidth="1"/>
    <col min="8213" max="8213" width="12.42578125" style="1864" customWidth="1"/>
    <col min="8214" max="8214" width="14.5703125" style="1864" customWidth="1"/>
    <col min="8215" max="8215" width="12.28515625" style="1864" customWidth="1"/>
    <col min="8216" max="8216" width="25.85546875" style="1864" customWidth="1"/>
    <col min="8217" max="8448" width="0.85546875" style="1864"/>
    <col min="8449" max="8449" width="9.85546875" style="1864" customWidth="1"/>
    <col min="8450" max="8450" width="81.85546875" style="1864" customWidth="1"/>
    <col min="8451" max="8451" width="12.7109375" style="1864" customWidth="1"/>
    <col min="8452" max="8452" width="12.42578125" style="1864" customWidth="1"/>
    <col min="8453" max="8453" width="14.5703125" style="1864" customWidth="1"/>
    <col min="8454" max="8454" width="12.28515625" style="1864" customWidth="1"/>
    <col min="8455" max="8455" width="38.140625" style="1864" customWidth="1"/>
    <col min="8456" max="8456" width="46.85546875" style="1864" customWidth="1"/>
    <col min="8457" max="8459" width="12.7109375" style="1864" customWidth="1"/>
    <col min="8460" max="8460" width="9.28515625" style="1864" customWidth="1"/>
    <col min="8461" max="8461" width="13.5703125" style="1864" customWidth="1"/>
    <col min="8462" max="8462" width="10.28515625" style="1864" customWidth="1"/>
    <col min="8463" max="8463" width="12.85546875" style="1864" customWidth="1"/>
    <col min="8464" max="8464" width="9.140625" style="1864" customWidth="1"/>
    <col min="8465" max="8465" width="9.7109375" style="1864" customWidth="1"/>
    <col min="8466" max="8466" width="9.28515625" style="1864" customWidth="1"/>
    <col min="8467" max="8467" width="9.42578125" style="1864" customWidth="1"/>
    <col min="8468" max="8468" width="10.5703125" style="1864" customWidth="1"/>
    <col min="8469" max="8469" width="12.42578125" style="1864" customWidth="1"/>
    <col min="8470" max="8470" width="14.5703125" style="1864" customWidth="1"/>
    <col min="8471" max="8471" width="12.28515625" style="1864" customWidth="1"/>
    <col min="8472" max="8472" width="25.85546875" style="1864" customWidth="1"/>
    <col min="8473" max="8704" width="0.85546875" style="1864"/>
    <col min="8705" max="8705" width="9.85546875" style="1864" customWidth="1"/>
    <col min="8706" max="8706" width="81.85546875" style="1864" customWidth="1"/>
    <col min="8707" max="8707" width="12.7109375" style="1864" customWidth="1"/>
    <col min="8708" max="8708" width="12.42578125" style="1864" customWidth="1"/>
    <col min="8709" max="8709" width="14.5703125" style="1864" customWidth="1"/>
    <col min="8710" max="8710" width="12.28515625" style="1864" customWidth="1"/>
    <col min="8711" max="8711" width="38.140625" style="1864" customWidth="1"/>
    <col min="8712" max="8712" width="46.85546875" style="1864" customWidth="1"/>
    <col min="8713" max="8715" width="12.7109375" style="1864" customWidth="1"/>
    <col min="8716" max="8716" width="9.28515625" style="1864" customWidth="1"/>
    <col min="8717" max="8717" width="13.5703125" style="1864" customWidth="1"/>
    <col min="8718" max="8718" width="10.28515625" style="1864" customWidth="1"/>
    <col min="8719" max="8719" width="12.85546875" style="1864" customWidth="1"/>
    <col min="8720" max="8720" width="9.140625" style="1864" customWidth="1"/>
    <col min="8721" max="8721" width="9.7109375" style="1864" customWidth="1"/>
    <col min="8722" max="8722" width="9.28515625" style="1864" customWidth="1"/>
    <col min="8723" max="8723" width="9.42578125" style="1864" customWidth="1"/>
    <col min="8724" max="8724" width="10.5703125" style="1864" customWidth="1"/>
    <col min="8725" max="8725" width="12.42578125" style="1864" customWidth="1"/>
    <col min="8726" max="8726" width="14.5703125" style="1864" customWidth="1"/>
    <col min="8727" max="8727" width="12.28515625" style="1864" customWidth="1"/>
    <col min="8728" max="8728" width="25.85546875" style="1864" customWidth="1"/>
    <col min="8729" max="8960" width="0.85546875" style="1864"/>
    <col min="8961" max="8961" width="9.85546875" style="1864" customWidth="1"/>
    <col min="8962" max="8962" width="81.85546875" style="1864" customWidth="1"/>
    <col min="8963" max="8963" width="12.7109375" style="1864" customWidth="1"/>
    <col min="8964" max="8964" width="12.42578125" style="1864" customWidth="1"/>
    <col min="8965" max="8965" width="14.5703125" style="1864" customWidth="1"/>
    <col min="8966" max="8966" width="12.28515625" style="1864" customWidth="1"/>
    <col min="8967" max="8967" width="38.140625" style="1864" customWidth="1"/>
    <col min="8968" max="8968" width="46.85546875" style="1864" customWidth="1"/>
    <col min="8969" max="8971" width="12.7109375" style="1864" customWidth="1"/>
    <col min="8972" max="8972" width="9.28515625" style="1864" customWidth="1"/>
    <col min="8973" max="8973" width="13.5703125" style="1864" customWidth="1"/>
    <col min="8974" max="8974" width="10.28515625" style="1864" customWidth="1"/>
    <col min="8975" max="8975" width="12.85546875" style="1864" customWidth="1"/>
    <col min="8976" max="8976" width="9.140625" style="1864" customWidth="1"/>
    <col min="8977" max="8977" width="9.7109375" style="1864" customWidth="1"/>
    <col min="8978" max="8978" width="9.28515625" style="1864" customWidth="1"/>
    <col min="8979" max="8979" width="9.42578125" style="1864" customWidth="1"/>
    <col min="8980" max="8980" width="10.5703125" style="1864" customWidth="1"/>
    <col min="8981" max="8981" width="12.42578125" style="1864" customWidth="1"/>
    <col min="8982" max="8982" width="14.5703125" style="1864" customWidth="1"/>
    <col min="8983" max="8983" width="12.28515625" style="1864" customWidth="1"/>
    <col min="8984" max="8984" width="25.85546875" style="1864" customWidth="1"/>
    <col min="8985" max="9216" width="0.85546875" style="1864"/>
    <col min="9217" max="9217" width="9.85546875" style="1864" customWidth="1"/>
    <col min="9218" max="9218" width="81.85546875" style="1864" customWidth="1"/>
    <col min="9219" max="9219" width="12.7109375" style="1864" customWidth="1"/>
    <col min="9220" max="9220" width="12.42578125" style="1864" customWidth="1"/>
    <col min="9221" max="9221" width="14.5703125" style="1864" customWidth="1"/>
    <col min="9222" max="9222" width="12.28515625" style="1864" customWidth="1"/>
    <col min="9223" max="9223" width="38.140625" style="1864" customWidth="1"/>
    <col min="9224" max="9224" width="46.85546875" style="1864" customWidth="1"/>
    <col min="9225" max="9227" width="12.7109375" style="1864" customWidth="1"/>
    <col min="9228" max="9228" width="9.28515625" style="1864" customWidth="1"/>
    <col min="9229" max="9229" width="13.5703125" style="1864" customWidth="1"/>
    <col min="9230" max="9230" width="10.28515625" style="1864" customWidth="1"/>
    <col min="9231" max="9231" width="12.85546875" style="1864" customWidth="1"/>
    <col min="9232" max="9232" width="9.140625" style="1864" customWidth="1"/>
    <col min="9233" max="9233" width="9.7109375" style="1864" customWidth="1"/>
    <col min="9234" max="9234" width="9.28515625" style="1864" customWidth="1"/>
    <col min="9235" max="9235" width="9.42578125" style="1864" customWidth="1"/>
    <col min="9236" max="9236" width="10.5703125" style="1864" customWidth="1"/>
    <col min="9237" max="9237" width="12.42578125" style="1864" customWidth="1"/>
    <col min="9238" max="9238" width="14.5703125" style="1864" customWidth="1"/>
    <col min="9239" max="9239" width="12.28515625" style="1864" customWidth="1"/>
    <col min="9240" max="9240" width="25.85546875" style="1864" customWidth="1"/>
    <col min="9241" max="9472" width="0.85546875" style="1864"/>
    <col min="9473" max="9473" width="9.85546875" style="1864" customWidth="1"/>
    <col min="9474" max="9474" width="81.85546875" style="1864" customWidth="1"/>
    <col min="9475" max="9475" width="12.7109375" style="1864" customWidth="1"/>
    <col min="9476" max="9476" width="12.42578125" style="1864" customWidth="1"/>
    <col min="9477" max="9477" width="14.5703125" style="1864" customWidth="1"/>
    <col min="9478" max="9478" width="12.28515625" style="1864" customWidth="1"/>
    <col min="9479" max="9479" width="38.140625" style="1864" customWidth="1"/>
    <col min="9480" max="9480" width="46.85546875" style="1864" customWidth="1"/>
    <col min="9481" max="9483" width="12.7109375" style="1864" customWidth="1"/>
    <col min="9484" max="9484" width="9.28515625" style="1864" customWidth="1"/>
    <col min="9485" max="9485" width="13.5703125" style="1864" customWidth="1"/>
    <col min="9486" max="9486" width="10.28515625" style="1864" customWidth="1"/>
    <col min="9487" max="9487" width="12.85546875" style="1864" customWidth="1"/>
    <col min="9488" max="9488" width="9.140625" style="1864" customWidth="1"/>
    <col min="9489" max="9489" width="9.7109375" style="1864" customWidth="1"/>
    <col min="9490" max="9490" width="9.28515625" style="1864" customWidth="1"/>
    <col min="9491" max="9491" width="9.42578125" style="1864" customWidth="1"/>
    <col min="9492" max="9492" width="10.5703125" style="1864" customWidth="1"/>
    <col min="9493" max="9493" width="12.42578125" style="1864" customWidth="1"/>
    <col min="9494" max="9494" width="14.5703125" style="1864" customWidth="1"/>
    <col min="9495" max="9495" width="12.28515625" style="1864" customWidth="1"/>
    <col min="9496" max="9496" width="25.85546875" style="1864" customWidth="1"/>
    <col min="9497" max="9728" width="0.85546875" style="1864"/>
    <col min="9729" max="9729" width="9.85546875" style="1864" customWidth="1"/>
    <col min="9730" max="9730" width="81.85546875" style="1864" customWidth="1"/>
    <col min="9731" max="9731" width="12.7109375" style="1864" customWidth="1"/>
    <col min="9732" max="9732" width="12.42578125" style="1864" customWidth="1"/>
    <col min="9733" max="9733" width="14.5703125" style="1864" customWidth="1"/>
    <col min="9734" max="9734" width="12.28515625" style="1864" customWidth="1"/>
    <col min="9735" max="9735" width="38.140625" style="1864" customWidth="1"/>
    <col min="9736" max="9736" width="46.85546875" style="1864" customWidth="1"/>
    <col min="9737" max="9739" width="12.7109375" style="1864" customWidth="1"/>
    <col min="9740" max="9740" width="9.28515625" style="1864" customWidth="1"/>
    <col min="9741" max="9741" width="13.5703125" style="1864" customWidth="1"/>
    <col min="9742" max="9742" width="10.28515625" style="1864" customWidth="1"/>
    <col min="9743" max="9743" width="12.85546875" style="1864" customWidth="1"/>
    <col min="9744" max="9744" width="9.140625" style="1864" customWidth="1"/>
    <col min="9745" max="9745" width="9.7109375" style="1864" customWidth="1"/>
    <col min="9746" max="9746" width="9.28515625" style="1864" customWidth="1"/>
    <col min="9747" max="9747" width="9.42578125" style="1864" customWidth="1"/>
    <col min="9748" max="9748" width="10.5703125" style="1864" customWidth="1"/>
    <col min="9749" max="9749" width="12.42578125" style="1864" customWidth="1"/>
    <col min="9750" max="9750" width="14.5703125" style="1864" customWidth="1"/>
    <col min="9751" max="9751" width="12.28515625" style="1864" customWidth="1"/>
    <col min="9752" max="9752" width="25.85546875" style="1864" customWidth="1"/>
    <col min="9753" max="9984" width="0.85546875" style="1864"/>
    <col min="9985" max="9985" width="9.85546875" style="1864" customWidth="1"/>
    <col min="9986" max="9986" width="81.85546875" style="1864" customWidth="1"/>
    <col min="9987" max="9987" width="12.7109375" style="1864" customWidth="1"/>
    <col min="9988" max="9988" width="12.42578125" style="1864" customWidth="1"/>
    <col min="9989" max="9989" width="14.5703125" style="1864" customWidth="1"/>
    <col min="9990" max="9990" width="12.28515625" style="1864" customWidth="1"/>
    <col min="9991" max="9991" width="38.140625" style="1864" customWidth="1"/>
    <col min="9992" max="9992" width="46.85546875" style="1864" customWidth="1"/>
    <col min="9993" max="9995" width="12.7109375" style="1864" customWidth="1"/>
    <col min="9996" max="9996" width="9.28515625" style="1864" customWidth="1"/>
    <col min="9997" max="9997" width="13.5703125" style="1864" customWidth="1"/>
    <col min="9998" max="9998" width="10.28515625" style="1864" customWidth="1"/>
    <col min="9999" max="9999" width="12.85546875" style="1864" customWidth="1"/>
    <col min="10000" max="10000" width="9.140625" style="1864" customWidth="1"/>
    <col min="10001" max="10001" width="9.7109375" style="1864" customWidth="1"/>
    <col min="10002" max="10002" width="9.28515625" style="1864" customWidth="1"/>
    <col min="10003" max="10003" width="9.42578125" style="1864" customWidth="1"/>
    <col min="10004" max="10004" width="10.5703125" style="1864" customWidth="1"/>
    <col min="10005" max="10005" width="12.42578125" style="1864" customWidth="1"/>
    <col min="10006" max="10006" width="14.5703125" style="1864" customWidth="1"/>
    <col min="10007" max="10007" width="12.28515625" style="1864" customWidth="1"/>
    <col min="10008" max="10008" width="25.85546875" style="1864" customWidth="1"/>
    <col min="10009" max="10240" width="0.85546875" style="1864"/>
    <col min="10241" max="10241" width="9.85546875" style="1864" customWidth="1"/>
    <col min="10242" max="10242" width="81.85546875" style="1864" customWidth="1"/>
    <col min="10243" max="10243" width="12.7109375" style="1864" customWidth="1"/>
    <col min="10244" max="10244" width="12.42578125" style="1864" customWidth="1"/>
    <col min="10245" max="10245" width="14.5703125" style="1864" customWidth="1"/>
    <col min="10246" max="10246" width="12.28515625" style="1864" customWidth="1"/>
    <col min="10247" max="10247" width="38.140625" style="1864" customWidth="1"/>
    <col min="10248" max="10248" width="46.85546875" style="1864" customWidth="1"/>
    <col min="10249" max="10251" width="12.7109375" style="1864" customWidth="1"/>
    <col min="10252" max="10252" width="9.28515625" style="1864" customWidth="1"/>
    <col min="10253" max="10253" width="13.5703125" style="1864" customWidth="1"/>
    <col min="10254" max="10254" width="10.28515625" style="1864" customWidth="1"/>
    <col min="10255" max="10255" width="12.85546875" style="1864" customWidth="1"/>
    <col min="10256" max="10256" width="9.140625" style="1864" customWidth="1"/>
    <col min="10257" max="10257" width="9.7109375" style="1864" customWidth="1"/>
    <col min="10258" max="10258" width="9.28515625" style="1864" customWidth="1"/>
    <col min="10259" max="10259" width="9.42578125" style="1864" customWidth="1"/>
    <col min="10260" max="10260" width="10.5703125" style="1864" customWidth="1"/>
    <col min="10261" max="10261" width="12.42578125" style="1864" customWidth="1"/>
    <col min="10262" max="10262" width="14.5703125" style="1864" customWidth="1"/>
    <col min="10263" max="10263" width="12.28515625" style="1864" customWidth="1"/>
    <col min="10264" max="10264" width="25.85546875" style="1864" customWidth="1"/>
    <col min="10265" max="10496" width="0.85546875" style="1864"/>
    <col min="10497" max="10497" width="9.85546875" style="1864" customWidth="1"/>
    <col min="10498" max="10498" width="81.85546875" style="1864" customWidth="1"/>
    <col min="10499" max="10499" width="12.7109375" style="1864" customWidth="1"/>
    <col min="10500" max="10500" width="12.42578125" style="1864" customWidth="1"/>
    <col min="10501" max="10501" width="14.5703125" style="1864" customWidth="1"/>
    <col min="10502" max="10502" width="12.28515625" style="1864" customWidth="1"/>
    <col min="10503" max="10503" width="38.140625" style="1864" customWidth="1"/>
    <col min="10504" max="10504" width="46.85546875" style="1864" customWidth="1"/>
    <col min="10505" max="10507" width="12.7109375" style="1864" customWidth="1"/>
    <col min="10508" max="10508" width="9.28515625" style="1864" customWidth="1"/>
    <col min="10509" max="10509" width="13.5703125" style="1864" customWidth="1"/>
    <col min="10510" max="10510" width="10.28515625" style="1864" customWidth="1"/>
    <col min="10511" max="10511" width="12.85546875" style="1864" customWidth="1"/>
    <col min="10512" max="10512" width="9.140625" style="1864" customWidth="1"/>
    <col min="10513" max="10513" width="9.7109375" style="1864" customWidth="1"/>
    <col min="10514" max="10514" width="9.28515625" style="1864" customWidth="1"/>
    <col min="10515" max="10515" width="9.42578125" style="1864" customWidth="1"/>
    <col min="10516" max="10516" width="10.5703125" style="1864" customWidth="1"/>
    <col min="10517" max="10517" width="12.42578125" style="1864" customWidth="1"/>
    <col min="10518" max="10518" width="14.5703125" style="1864" customWidth="1"/>
    <col min="10519" max="10519" width="12.28515625" style="1864" customWidth="1"/>
    <col min="10520" max="10520" width="25.85546875" style="1864" customWidth="1"/>
    <col min="10521" max="10752" width="0.85546875" style="1864"/>
    <col min="10753" max="10753" width="9.85546875" style="1864" customWidth="1"/>
    <col min="10754" max="10754" width="81.85546875" style="1864" customWidth="1"/>
    <col min="10755" max="10755" width="12.7109375" style="1864" customWidth="1"/>
    <col min="10756" max="10756" width="12.42578125" style="1864" customWidth="1"/>
    <col min="10757" max="10757" width="14.5703125" style="1864" customWidth="1"/>
    <col min="10758" max="10758" width="12.28515625" style="1864" customWidth="1"/>
    <col min="10759" max="10759" width="38.140625" style="1864" customWidth="1"/>
    <col min="10760" max="10760" width="46.85546875" style="1864" customWidth="1"/>
    <col min="10761" max="10763" width="12.7109375" style="1864" customWidth="1"/>
    <col min="10764" max="10764" width="9.28515625" style="1864" customWidth="1"/>
    <col min="10765" max="10765" width="13.5703125" style="1864" customWidth="1"/>
    <col min="10766" max="10766" width="10.28515625" style="1864" customWidth="1"/>
    <col min="10767" max="10767" width="12.85546875" style="1864" customWidth="1"/>
    <col min="10768" max="10768" width="9.140625" style="1864" customWidth="1"/>
    <col min="10769" max="10769" width="9.7109375" style="1864" customWidth="1"/>
    <col min="10770" max="10770" width="9.28515625" style="1864" customWidth="1"/>
    <col min="10771" max="10771" width="9.42578125" style="1864" customWidth="1"/>
    <col min="10772" max="10772" width="10.5703125" style="1864" customWidth="1"/>
    <col min="10773" max="10773" width="12.42578125" style="1864" customWidth="1"/>
    <col min="10774" max="10774" width="14.5703125" style="1864" customWidth="1"/>
    <col min="10775" max="10775" width="12.28515625" style="1864" customWidth="1"/>
    <col min="10776" max="10776" width="25.85546875" style="1864" customWidth="1"/>
    <col min="10777" max="11008" width="0.85546875" style="1864"/>
    <col min="11009" max="11009" width="9.85546875" style="1864" customWidth="1"/>
    <col min="11010" max="11010" width="81.85546875" style="1864" customWidth="1"/>
    <col min="11011" max="11011" width="12.7109375" style="1864" customWidth="1"/>
    <col min="11012" max="11012" width="12.42578125" style="1864" customWidth="1"/>
    <col min="11013" max="11013" width="14.5703125" style="1864" customWidth="1"/>
    <col min="11014" max="11014" width="12.28515625" style="1864" customWidth="1"/>
    <col min="11015" max="11015" width="38.140625" style="1864" customWidth="1"/>
    <col min="11016" max="11016" width="46.85546875" style="1864" customWidth="1"/>
    <col min="11017" max="11019" width="12.7109375" style="1864" customWidth="1"/>
    <col min="11020" max="11020" width="9.28515625" style="1864" customWidth="1"/>
    <col min="11021" max="11021" width="13.5703125" style="1864" customWidth="1"/>
    <col min="11022" max="11022" width="10.28515625" style="1864" customWidth="1"/>
    <col min="11023" max="11023" width="12.85546875" style="1864" customWidth="1"/>
    <col min="11024" max="11024" width="9.140625" style="1864" customWidth="1"/>
    <col min="11025" max="11025" width="9.7109375" style="1864" customWidth="1"/>
    <col min="11026" max="11026" width="9.28515625" style="1864" customWidth="1"/>
    <col min="11027" max="11027" width="9.42578125" style="1864" customWidth="1"/>
    <col min="11028" max="11028" width="10.5703125" style="1864" customWidth="1"/>
    <col min="11029" max="11029" width="12.42578125" style="1864" customWidth="1"/>
    <col min="11030" max="11030" width="14.5703125" style="1864" customWidth="1"/>
    <col min="11031" max="11031" width="12.28515625" style="1864" customWidth="1"/>
    <col min="11032" max="11032" width="25.85546875" style="1864" customWidth="1"/>
    <col min="11033" max="11264" width="0.85546875" style="1864"/>
    <col min="11265" max="11265" width="9.85546875" style="1864" customWidth="1"/>
    <col min="11266" max="11266" width="81.85546875" style="1864" customWidth="1"/>
    <col min="11267" max="11267" width="12.7109375" style="1864" customWidth="1"/>
    <col min="11268" max="11268" width="12.42578125" style="1864" customWidth="1"/>
    <col min="11269" max="11269" width="14.5703125" style="1864" customWidth="1"/>
    <col min="11270" max="11270" width="12.28515625" style="1864" customWidth="1"/>
    <col min="11271" max="11271" width="38.140625" style="1864" customWidth="1"/>
    <col min="11272" max="11272" width="46.85546875" style="1864" customWidth="1"/>
    <col min="11273" max="11275" width="12.7109375" style="1864" customWidth="1"/>
    <col min="11276" max="11276" width="9.28515625" style="1864" customWidth="1"/>
    <col min="11277" max="11277" width="13.5703125" style="1864" customWidth="1"/>
    <col min="11278" max="11278" width="10.28515625" style="1864" customWidth="1"/>
    <col min="11279" max="11279" width="12.85546875" style="1864" customWidth="1"/>
    <col min="11280" max="11280" width="9.140625" style="1864" customWidth="1"/>
    <col min="11281" max="11281" width="9.7109375" style="1864" customWidth="1"/>
    <col min="11282" max="11282" width="9.28515625" style="1864" customWidth="1"/>
    <col min="11283" max="11283" width="9.42578125" style="1864" customWidth="1"/>
    <col min="11284" max="11284" width="10.5703125" style="1864" customWidth="1"/>
    <col min="11285" max="11285" width="12.42578125" style="1864" customWidth="1"/>
    <col min="11286" max="11286" width="14.5703125" style="1864" customWidth="1"/>
    <col min="11287" max="11287" width="12.28515625" style="1864" customWidth="1"/>
    <col min="11288" max="11288" width="25.85546875" style="1864" customWidth="1"/>
    <col min="11289" max="11520" width="0.85546875" style="1864"/>
    <col min="11521" max="11521" width="9.85546875" style="1864" customWidth="1"/>
    <col min="11522" max="11522" width="81.85546875" style="1864" customWidth="1"/>
    <col min="11523" max="11523" width="12.7109375" style="1864" customWidth="1"/>
    <col min="11524" max="11524" width="12.42578125" style="1864" customWidth="1"/>
    <col min="11525" max="11525" width="14.5703125" style="1864" customWidth="1"/>
    <col min="11526" max="11526" width="12.28515625" style="1864" customWidth="1"/>
    <col min="11527" max="11527" width="38.140625" style="1864" customWidth="1"/>
    <col min="11528" max="11528" width="46.85546875" style="1864" customWidth="1"/>
    <col min="11529" max="11531" width="12.7109375" style="1864" customWidth="1"/>
    <col min="11532" max="11532" width="9.28515625" style="1864" customWidth="1"/>
    <col min="11533" max="11533" width="13.5703125" style="1864" customWidth="1"/>
    <col min="11534" max="11534" width="10.28515625" style="1864" customWidth="1"/>
    <col min="11535" max="11535" width="12.85546875" style="1864" customWidth="1"/>
    <col min="11536" max="11536" width="9.140625" style="1864" customWidth="1"/>
    <col min="11537" max="11537" width="9.7109375" style="1864" customWidth="1"/>
    <col min="11538" max="11538" width="9.28515625" style="1864" customWidth="1"/>
    <col min="11539" max="11539" width="9.42578125" style="1864" customWidth="1"/>
    <col min="11540" max="11540" width="10.5703125" style="1864" customWidth="1"/>
    <col min="11541" max="11541" width="12.42578125" style="1864" customWidth="1"/>
    <col min="11542" max="11542" width="14.5703125" style="1864" customWidth="1"/>
    <col min="11543" max="11543" width="12.28515625" style="1864" customWidth="1"/>
    <col min="11544" max="11544" width="25.85546875" style="1864" customWidth="1"/>
    <col min="11545" max="11776" width="0.85546875" style="1864"/>
    <col min="11777" max="11777" width="9.85546875" style="1864" customWidth="1"/>
    <col min="11778" max="11778" width="81.85546875" style="1864" customWidth="1"/>
    <col min="11779" max="11779" width="12.7109375" style="1864" customWidth="1"/>
    <col min="11780" max="11780" width="12.42578125" style="1864" customWidth="1"/>
    <col min="11781" max="11781" width="14.5703125" style="1864" customWidth="1"/>
    <col min="11782" max="11782" width="12.28515625" style="1864" customWidth="1"/>
    <col min="11783" max="11783" width="38.140625" style="1864" customWidth="1"/>
    <col min="11784" max="11784" width="46.85546875" style="1864" customWidth="1"/>
    <col min="11785" max="11787" width="12.7109375" style="1864" customWidth="1"/>
    <col min="11788" max="11788" width="9.28515625" style="1864" customWidth="1"/>
    <col min="11789" max="11789" width="13.5703125" style="1864" customWidth="1"/>
    <col min="11790" max="11790" width="10.28515625" style="1864" customWidth="1"/>
    <col min="11791" max="11791" width="12.85546875" style="1864" customWidth="1"/>
    <col min="11792" max="11792" width="9.140625" style="1864" customWidth="1"/>
    <col min="11793" max="11793" width="9.7109375" style="1864" customWidth="1"/>
    <col min="11794" max="11794" width="9.28515625" style="1864" customWidth="1"/>
    <col min="11795" max="11795" width="9.42578125" style="1864" customWidth="1"/>
    <col min="11796" max="11796" width="10.5703125" style="1864" customWidth="1"/>
    <col min="11797" max="11797" width="12.42578125" style="1864" customWidth="1"/>
    <col min="11798" max="11798" width="14.5703125" style="1864" customWidth="1"/>
    <col min="11799" max="11799" width="12.28515625" style="1864" customWidth="1"/>
    <col min="11800" max="11800" width="25.85546875" style="1864" customWidth="1"/>
    <col min="11801" max="12032" width="0.85546875" style="1864"/>
    <col min="12033" max="12033" width="9.85546875" style="1864" customWidth="1"/>
    <col min="12034" max="12034" width="81.85546875" style="1864" customWidth="1"/>
    <col min="12035" max="12035" width="12.7109375" style="1864" customWidth="1"/>
    <col min="12036" max="12036" width="12.42578125" style="1864" customWidth="1"/>
    <col min="12037" max="12037" width="14.5703125" style="1864" customWidth="1"/>
    <col min="12038" max="12038" width="12.28515625" style="1864" customWidth="1"/>
    <col min="12039" max="12039" width="38.140625" style="1864" customWidth="1"/>
    <col min="12040" max="12040" width="46.85546875" style="1864" customWidth="1"/>
    <col min="12041" max="12043" width="12.7109375" style="1864" customWidth="1"/>
    <col min="12044" max="12044" width="9.28515625" style="1864" customWidth="1"/>
    <col min="12045" max="12045" width="13.5703125" style="1864" customWidth="1"/>
    <col min="12046" max="12046" width="10.28515625" style="1864" customWidth="1"/>
    <col min="12047" max="12047" width="12.85546875" style="1864" customWidth="1"/>
    <col min="12048" max="12048" width="9.140625" style="1864" customWidth="1"/>
    <col min="12049" max="12049" width="9.7109375" style="1864" customWidth="1"/>
    <col min="12050" max="12050" width="9.28515625" style="1864" customWidth="1"/>
    <col min="12051" max="12051" width="9.42578125" style="1864" customWidth="1"/>
    <col min="12052" max="12052" width="10.5703125" style="1864" customWidth="1"/>
    <col min="12053" max="12053" width="12.42578125" style="1864" customWidth="1"/>
    <col min="12054" max="12054" width="14.5703125" style="1864" customWidth="1"/>
    <col min="12055" max="12055" width="12.28515625" style="1864" customWidth="1"/>
    <col min="12056" max="12056" width="25.85546875" style="1864" customWidth="1"/>
    <col min="12057" max="12288" width="0.85546875" style="1864"/>
    <col min="12289" max="12289" width="9.85546875" style="1864" customWidth="1"/>
    <col min="12290" max="12290" width="81.85546875" style="1864" customWidth="1"/>
    <col min="12291" max="12291" width="12.7109375" style="1864" customWidth="1"/>
    <col min="12292" max="12292" width="12.42578125" style="1864" customWidth="1"/>
    <col min="12293" max="12293" width="14.5703125" style="1864" customWidth="1"/>
    <col min="12294" max="12294" width="12.28515625" style="1864" customWidth="1"/>
    <col min="12295" max="12295" width="38.140625" style="1864" customWidth="1"/>
    <col min="12296" max="12296" width="46.85546875" style="1864" customWidth="1"/>
    <col min="12297" max="12299" width="12.7109375" style="1864" customWidth="1"/>
    <col min="12300" max="12300" width="9.28515625" style="1864" customWidth="1"/>
    <col min="12301" max="12301" width="13.5703125" style="1864" customWidth="1"/>
    <col min="12302" max="12302" width="10.28515625" style="1864" customWidth="1"/>
    <col min="12303" max="12303" width="12.85546875" style="1864" customWidth="1"/>
    <col min="12304" max="12304" width="9.140625" style="1864" customWidth="1"/>
    <col min="12305" max="12305" width="9.7109375" style="1864" customWidth="1"/>
    <col min="12306" max="12306" width="9.28515625" style="1864" customWidth="1"/>
    <col min="12307" max="12307" width="9.42578125" style="1864" customWidth="1"/>
    <col min="12308" max="12308" width="10.5703125" style="1864" customWidth="1"/>
    <col min="12309" max="12309" width="12.42578125" style="1864" customWidth="1"/>
    <col min="12310" max="12310" width="14.5703125" style="1864" customWidth="1"/>
    <col min="12311" max="12311" width="12.28515625" style="1864" customWidth="1"/>
    <col min="12312" max="12312" width="25.85546875" style="1864" customWidth="1"/>
    <col min="12313" max="12544" width="0.85546875" style="1864"/>
    <col min="12545" max="12545" width="9.85546875" style="1864" customWidth="1"/>
    <col min="12546" max="12546" width="81.85546875" style="1864" customWidth="1"/>
    <col min="12547" max="12547" width="12.7109375" style="1864" customWidth="1"/>
    <col min="12548" max="12548" width="12.42578125" style="1864" customWidth="1"/>
    <col min="12549" max="12549" width="14.5703125" style="1864" customWidth="1"/>
    <col min="12550" max="12550" width="12.28515625" style="1864" customWidth="1"/>
    <col min="12551" max="12551" width="38.140625" style="1864" customWidth="1"/>
    <col min="12552" max="12552" width="46.85546875" style="1864" customWidth="1"/>
    <col min="12553" max="12555" width="12.7109375" style="1864" customWidth="1"/>
    <col min="12556" max="12556" width="9.28515625" style="1864" customWidth="1"/>
    <col min="12557" max="12557" width="13.5703125" style="1864" customWidth="1"/>
    <col min="12558" max="12558" width="10.28515625" style="1864" customWidth="1"/>
    <col min="12559" max="12559" width="12.85546875" style="1864" customWidth="1"/>
    <col min="12560" max="12560" width="9.140625" style="1864" customWidth="1"/>
    <col min="12561" max="12561" width="9.7109375" style="1864" customWidth="1"/>
    <col min="12562" max="12562" width="9.28515625" style="1864" customWidth="1"/>
    <col min="12563" max="12563" width="9.42578125" style="1864" customWidth="1"/>
    <col min="12564" max="12564" width="10.5703125" style="1864" customWidth="1"/>
    <col min="12565" max="12565" width="12.42578125" style="1864" customWidth="1"/>
    <col min="12566" max="12566" width="14.5703125" style="1864" customWidth="1"/>
    <col min="12567" max="12567" width="12.28515625" style="1864" customWidth="1"/>
    <col min="12568" max="12568" width="25.85546875" style="1864" customWidth="1"/>
    <col min="12569" max="12800" width="0.85546875" style="1864"/>
    <col min="12801" max="12801" width="9.85546875" style="1864" customWidth="1"/>
    <col min="12802" max="12802" width="81.85546875" style="1864" customWidth="1"/>
    <col min="12803" max="12803" width="12.7109375" style="1864" customWidth="1"/>
    <col min="12804" max="12804" width="12.42578125" style="1864" customWidth="1"/>
    <col min="12805" max="12805" width="14.5703125" style="1864" customWidth="1"/>
    <col min="12806" max="12806" width="12.28515625" style="1864" customWidth="1"/>
    <col min="12807" max="12807" width="38.140625" style="1864" customWidth="1"/>
    <col min="12808" max="12808" width="46.85546875" style="1864" customWidth="1"/>
    <col min="12809" max="12811" width="12.7109375" style="1864" customWidth="1"/>
    <col min="12812" max="12812" width="9.28515625" style="1864" customWidth="1"/>
    <col min="12813" max="12813" width="13.5703125" style="1864" customWidth="1"/>
    <col min="12814" max="12814" width="10.28515625" style="1864" customWidth="1"/>
    <col min="12815" max="12815" width="12.85546875" style="1864" customWidth="1"/>
    <col min="12816" max="12816" width="9.140625" style="1864" customWidth="1"/>
    <col min="12817" max="12817" width="9.7109375" style="1864" customWidth="1"/>
    <col min="12818" max="12818" width="9.28515625" style="1864" customWidth="1"/>
    <col min="12819" max="12819" width="9.42578125" style="1864" customWidth="1"/>
    <col min="12820" max="12820" width="10.5703125" style="1864" customWidth="1"/>
    <col min="12821" max="12821" width="12.42578125" style="1864" customWidth="1"/>
    <col min="12822" max="12822" width="14.5703125" style="1864" customWidth="1"/>
    <col min="12823" max="12823" width="12.28515625" style="1864" customWidth="1"/>
    <col min="12824" max="12824" width="25.85546875" style="1864" customWidth="1"/>
    <col min="12825" max="13056" width="0.85546875" style="1864"/>
    <col min="13057" max="13057" width="9.85546875" style="1864" customWidth="1"/>
    <col min="13058" max="13058" width="81.85546875" style="1864" customWidth="1"/>
    <col min="13059" max="13059" width="12.7109375" style="1864" customWidth="1"/>
    <col min="13060" max="13060" width="12.42578125" style="1864" customWidth="1"/>
    <col min="13061" max="13061" width="14.5703125" style="1864" customWidth="1"/>
    <col min="13062" max="13062" width="12.28515625" style="1864" customWidth="1"/>
    <col min="13063" max="13063" width="38.140625" style="1864" customWidth="1"/>
    <col min="13064" max="13064" width="46.85546875" style="1864" customWidth="1"/>
    <col min="13065" max="13067" width="12.7109375" style="1864" customWidth="1"/>
    <col min="13068" max="13068" width="9.28515625" style="1864" customWidth="1"/>
    <col min="13069" max="13069" width="13.5703125" style="1864" customWidth="1"/>
    <col min="13070" max="13070" width="10.28515625" style="1864" customWidth="1"/>
    <col min="13071" max="13071" width="12.85546875" style="1864" customWidth="1"/>
    <col min="13072" max="13072" width="9.140625" style="1864" customWidth="1"/>
    <col min="13073" max="13073" width="9.7109375" style="1864" customWidth="1"/>
    <col min="13074" max="13074" width="9.28515625" style="1864" customWidth="1"/>
    <col min="13075" max="13075" width="9.42578125" style="1864" customWidth="1"/>
    <col min="13076" max="13076" width="10.5703125" style="1864" customWidth="1"/>
    <col min="13077" max="13077" width="12.42578125" style="1864" customWidth="1"/>
    <col min="13078" max="13078" width="14.5703125" style="1864" customWidth="1"/>
    <col min="13079" max="13079" width="12.28515625" style="1864" customWidth="1"/>
    <col min="13080" max="13080" width="25.85546875" style="1864" customWidth="1"/>
    <col min="13081" max="13312" width="0.85546875" style="1864"/>
    <col min="13313" max="13313" width="9.85546875" style="1864" customWidth="1"/>
    <col min="13314" max="13314" width="81.85546875" style="1864" customWidth="1"/>
    <col min="13315" max="13315" width="12.7109375" style="1864" customWidth="1"/>
    <col min="13316" max="13316" width="12.42578125" style="1864" customWidth="1"/>
    <col min="13317" max="13317" width="14.5703125" style="1864" customWidth="1"/>
    <col min="13318" max="13318" width="12.28515625" style="1864" customWidth="1"/>
    <col min="13319" max="13319" width="38.140625" style="1864" customWidth="1"/>
    <col min="13320" max="13320" width="46.85546875" style="1864" customWidth="1"/>
    <col min="13321" max="13323" width="12.7109375" style="1864" customWidth="1"/>
    <col min="13324" max="13324" width="9.28515625" style="1864" customWidth="1"/>
    <col min="13325" max="13325" width="13.5703125" style="1864" customWidth="1"/>
    <col min="13326" max="13326" width="10.28515625" style="1864" customWidth="1"/>
    <col min="13327" max="13327" width="12.85546875" style="1864" customWidth="1"/>
    <col min="13328" max="13328" width="9.140625" style="1864" customWidth="1"/>
    <col min="13329" max="13329" width="9.7109375" style="1864" customWidth="1"/>
    <col min="13330" max="13330" width="9.28515625" style="1864" customWidth="1"/>
    <col min="13331" max="13331" width="9.42578125" style="1864" customWidth="1"/>
    <col min="13332" max="13332" width="10.5703125" style="1864" customWidth="1"/>
    <col min="13333" max="13333" width="12.42578125" style="1864" customWidth="1"/>
    <col min="13334" max="13334" width="14.5703125" style="1864" customWidth="1"/>
    <col min="13335" max="13335" width="12.28515625" style="1864" customWidth="1"/>
    <col min="13336" max="13336" width="25.85546875" style="1864" customWidth="1"/>
    <col min="13337" max="13568" width="0.85546875" style="1864"/>
    <col min="13569" max="13569" width="9.85546875" style="1864" customWidth="1"/>
    <col min="13570" max="13570" width="81.85546875" style="1864" customWidth="1"/>
    <col min="13571" max="13571" width="12.7109375" style="1864" customWidth="1"/>
    <col min="13572" max="13572" width="12.42578125" style="1864" customWidth="1"/>
    <col min="13573" max="13573" width="14.5703125" style="1864" customWidth="1"/>
    <col min="13574" max="13574" width="12.28515625" style="1864" customWidth="1"/>
    <col min="13575" max="13575" width="38.140625" style="1864" customWidth="1"/>
    <col min="13576" max="13576" width="46.85546875" style="1864" customWidth="1"/>
    <col min="13577" max="13579" width="12.7109375" style="1864" customWidth="1"/>
    <col min="13580" max="13580" width="9.28515625" style="1864" customWidth="1"/>
    <col min="13581" max="13581" width="13.5703125" style="1864" customWidth="1"/>
    <col min="13582" max="13582" width="10.28515625" style="1864" customWidth="1"/>
    <col min="13583" max="13583" width="12.85546875" style="1864" customWidth="1"/>
    <col min="13584" max="13584" width="9.140625" style="1864" customWidth="1"/>
    <col min="13585" max="13585" width="9.7109375" style="1864" customWidth="1"/>
    <col min="13586" max="13586" width="9.28515625" style="1864" customWidth="1"/>
    <col min="13587" max="13587" width="9.42578125" style="1864" customWidth="1"/>
    <col min="13588" max="13588" width="10.5703125" style="1864" customWidth="1"/>
    <col min="13589" max="13589" width="12.42578125" style="1864" customWidth="1"/>
    <col min="13590" max="13590" width="14.5703125" style="1864" customWidth="1"/>
    <col min="13591" max="13591" width="12.28515625" style="1864" customWidth="1"/>
    <col min="13592" max="13592" width="25.85546875" style="1864" customWidth="1"/>
    <col min="13593" max="13824" width="0.85546875" style="1864"/>
    <col min="13825" max="13825" width="9.85546875" style="1864" customWidth="1"/>
    <col min="13826" max="13826" width="81.85546875" style="1864" customWidth="1"/>
    <col min="13827" max="13827" width="12.7109375" style="1864" customWidth="1"/>
    <col min="13828" max="13828" width="12.42578125" style="1864" customWidth="1"/>
    <col min="13829" max="13829" width="14.5703125" style="1864" customWidth="1"/>
    <col min="13830" max="13830" width="12.28515625" style="1864" customWidth="1"/>
    <col min="13831" max="13831" width="38.140625" style="1864" customWidth="1"/>
    <col min="13832" max="13832" width="46.85546875" style="1864" customWidth="1"/>
    <col min="13833" max="13835" width="12.7109375" style="1864" customWidth="1"/>
    <col min="13836" max="13836" width="9.28515625" style="1864" customWidth="1"/>
    <col min="13837" max="13837" width="13.5703125" style="1864" customWidth="1"/>
    <col min="13838" max="13838" width="10.28515625" style="1864" customWidth="1"/>
    <col min="13839" max="13839" width="12.85546875" style="1864" customWidth="1"/>
    <col min="13840" max="13840" width="9.140625" style="1864" customWidth="1"/>
    <col min="13841" max="13841" width="9.7109375" style="1864" customWidth="1"/>
    <col min="13842" max="13842" width="9.28515625" style="1864" customWidth="1"/>
    <col min="13843" max="13843" width="9.42578125" style="1864" customWidth="1"/>
    <col min="13844" max="13844" width="10.5703125" style="1864" customWidth="1"/>
    <col min="13845" max="13845" width="12.42578125" style="1864" customWidth="1"/>
    <col min="13846" max="13846" width="14.5703125" style="1864" customWidth="1"/>
    <col min="13847" max="13847" width="12.28515625" style="1864" customWidth="1"/>
    <col min="13848" max="13848" width="25.85546875" style="1864" customWidth="1"/>
    <col min="13849" max="14080" width="0.85546875" style="1864"/>
    <col min="14081" max="14081" width="9.85546875" style="1864" customWidth="1"/>
    <col min="14082" max="14082" width="81.85546875" style="1864" customWidth="1"/>
    <col min="14083" max="14083" width="12.7109375" style="1864" customWidth="1"/>
    <col min="14084" max="14084" width="12.42578125" style="1864" customWidth="1"/>
    <col min="14085" max="14085" width="14.5703125" style="1864" customWidth="1"/>
    <col min="14086" max="14086" width="12.28515625" style="1864" customWidth="1"/>
    <col min="14087" max="14087" width="38.140625" style="1864" customWidth="1"/>
    <col min="14088" max="14088" width="46.85546875" style="1864" customWidth="1"/>
    <col min="14089" max="14091" width="12.7109375" style="1864" customWidth="1"/>
    <col min="14092" max="14092" width="9.28515625" style="1864" customWidth="1"/>
    <col min="14093" max="14093" width="13.5703125" style="1864" customWidth="1"/>
    <col min="14094" max="14094" width="10.28515625" style="1864" customWidth="1"/>
    <col min="14095" max="14095" width="12.85546875" style="1864" customWidth="1"/>
    <col min="14096" max="14096" width="9.140625" style="1864" customWidth="1"/>
    <col min="14097" max="14097" width="9.7109375" style="1864" customWidth="1"/>
    <col min="14098" max="14098" width="9.28515625" style="1864" customWidth="1"/>
    <col min="14099" max="14099" width="9.42578125" style="1864" customWidth="1"/>
    <col min="14100" max="14100" width="10.5703125" style="1864" customWidth="1"/>
    <col min="14101" max="14101" width="12.42578125" style="1864" customWidth="1"/>
    <col min="14102" max="14102" width="14.5703125" style="1864" customWidth="1"/>
    <col min="14103" max="14103" width="12.28515625" style="1864" customWidth="1"/>
    <col min="14104" max="14104" width="25.85546875" style="1864" customWidth="1"/>
    <col min="14105" max="14336" width="0.85546875" style="1864"/>
    <col min="14337" max="14337" width="9.85546875" style="1864" customWidth="1"/>
    <col min="14338" max="14338" width="81.85546875" style="1864" customWidth="1"/>
    <col min="14339" max="14339" width="12.7109375" style="1864" customWidth="1"/>
    <col min="14340" max="14340" width="12.42578125" style="1864" customWidth="1"/>
    <col min="14341" max="14341" width="14.5703125" style="1864" customWidth="1"/>
    <col min="14342" max="14342" width="12.28515625" style="1864" customWidth="1"/>
    <col min="14343" max="14343" width="38.140625" style="1864" customWidth="1"/>
    <col min="14344" max="14344" width="46.85546875" style="1864" customWidth="1"/>
    <col min="14345" max="14347" width="12.7109375" style="1864" customWidth="1"/>
    <col min="14348" max="14348" width="9.28515625" style="1864" customWidth="1"/>
    <col min="14349" max="14349" width="13.5703125" style="1864" customWidth="1"/>
    <col min="14350" max="14350" width="10.28515625" style="1864" customWidth="1"/>
    <col min="14351" max="14351" width="12.85546875" style="1864" customWidth="1"/>
    <col min="14352" max="14352" width="9.140625" style="1864" customWidth="1"/>
    <col min="14353" max="14353" width="9.7109375" style="1864" customWidth="1"/>
    <col min="14354" max="14354" width="9.28515625" style="1864" customWidth="1"/>
    <col min="14355" max="14355" width="9.42578125" style="1864" customWidth="1"/>
    <col min="14356" max="14356" width="10.5703125" style="1864" customWidth="1"/>
    <col min="14357" max="14357" width="12.42578125" style="1864" customWidth="1"/>
    <col min="14358" max="14358" width="14.5703125" style="1864" customWidth="1"/>
    <col min="14359" max="14359" width="12.28515625" style="1864" customWidth="1"/>
    <col min="14360" max="14360" width="25.85546875" style="1864" customWidth="1"/>
    <col min="14361" max="14592" width="0.85546875" style="1864"/>
    <col min="14593" max="14593" width="9.85546875" style="1864" customWidth="1"/>
    <col min="14594" max="14594" width="81.85546875" style="1864" customWidth="1"/>
    <col min="14595" max="14595" width="12.7109375" style="1864" customWidth="1"/>
    <col min="14596" max="14596" width="12.42578125" style="1864" customWidth="1"/>
    <col min="14597" max="14597" width="14.5703125" style="1864" customWidth="1"/>
    <col min="14598" max="14598" width="12.28515625" style="1864" customWidth="1"/>
    <col min="14599" max="14599" width="38.140625" style="1864" customWidth="1"/>
    <col min="14600" max="14600" width="46.85546875" style="1864" customWidth="1"/>
    <col min="14601" max="14603" width="12.7109375" style="1864" customWidth="1"/>
    <col min="14604" max="14604" width="9.28515625" style="1864" customWidth="1"/>
    <col min="14605" max="14605" width="13.5703125" style="1864" customWidth="1"/>
    <col min="14606" max="14606" width="10.28515625" style="1864" customWidth="1"/>
    <col min="14607" max="14607" width="12.85546875" style="1864" customWidth="1"/>
    <col min="14608" max="14608" width="9.140625" style="1864" customWidth="1"/>
    <col min="14609" max="14609" width="9.7109375" style="1864" customWidth="1"/>
    <col min="14610" max="14610" width="9.28515625" style="1864" customWidth="1"/>
    <col min="14611" max="14611" width="9.42578125" style="1864" customWidth="1"/>
    <col min="14612" max="14612" width="10.5703125" style="1864" customWidth="1"/>
    <col min="14613" max="14613" width="12.42578125" style="1864" customWidth="1"/>
    <col min="14614" max="14614" width="14.5703125" style="1864" customWidth="1"/>
    <col min="14615" max="14615" width="12.28515625" style="1864" customWidth="1"/>
    <col min="14616" max="14616" width="25.85546875" style="1864" customWidth="1"/>
    <col min="14617" max="14848" width="0.85546875" style="1864"/>
    <col min="14849" max="14849" width="9.85546875" style="1864" customWidth="1"/>
    <col min="14850" max="14850" width="81.85546875" style="1864" customWidth="1"/>
    <col min="14851" max="14851" width="12.7109375" style="1864" customWidth="1"/>
    <col min="14852" max="14852" width="12.42578125" style="1864" customWidth="1"/>
    <col min="14853" max="14853" width="14.5703125" style="1864" customWidth="1"/>
    <col min="14854" max="14854" width="12.28515625" style="1864" customWidth="1"/>
    <col min="14855" max="14855" width="38.140625" style="1864" customWidth="1"/>
    <col min="14856" max="14856" width="46.85546875" style="1864" customWidth="1"/>
    <col min="14857" max="14859" width="12.7109375" style="1864" customWidth="1"/>
    <col min="14860" max="14860" width="9.28515625" style="1864" customWidth="1"/>
    <col min="14861" max="14861" width="13.5703125" style="1864" customWidth="1"/>
    <col min="14862" max="14862" width="10.28515625" style="1864" customWidth="1"/>
    <col min="14863" max="14863" width="12.85546875" style="1864" customWidth="1"/>
    <col min="14864" max="14864" width="9.140625" style="1864" customWidth="1"/>
    <col min="14865" max="14865" width="9.7109375" style="1864" customWidth="1"/>
    <col min="14866" max="14866" width="9.28515625" style="1864" customWidth="1"/>
    <col min="14867" max="14867" width="9.42578125" style="1864" customWidth="1"/>
    <col min="14868" max="14868" width="10.5703125" style="1864" customWidth="1"/>
    <col min="14869" max="14869" width="12.42578125" style="1864" customWidth="1"/>
    <col min="14870" max="14870" width="14.5703125" style="1864" customWidth="1"/>
    <col min="14871" max="14871" width="12.28515625" style="1864" customWidth="1"/>
    <col min="14872" max="14872" width="25.85546875" style="1864" customWidth="1"/>
    <col min="14873" max="15104" width="0.85546875" style="1864"/>
    <col min="15105" max="15105" width="9.85546875" style="1864" customWidth="1"/>
    <col min="15106" max="15106" width="81.85546875" style="1864" customWidth="1"/>
    <col min="15107" max="15107" width="12.7109375" style="1864" customWidth="1"/>
    <col min="15108" max="15108" width="12.42578125" style="1864" customWidth="1"/>
    <col min="15109" max="15109" width="14.5703125" style="1864" customWidth="1"/>
    <col min="15110" max="15110" width="12.28515625" style="1864" customWidth="1"/>
    <col min="15111" max="15111" width="38.140625" style="1864" customWidth="1"/>
    <col min="15112" max="15112" width="46.85546875" style="1864" customWidth="1"/>
    <col min="15113" max="15115" width="12.7109375" style="1864" customWidth="1"/>
    <col min="15116" max="15116" width="9.28515625" style="1864" customWidth="1"/>
    <col min="15117" max="15117" width="13.5703125" style="1864" customWidth="1"/>
    <col min="15118" max="15118" width="10.28515625" style="1864" customWidth="1"/>
    <col min="15119" max="15119" width="12.85546875" style="1864" customWidth="1"/>
    <col min="15120" max="15120" width="9.140625" style="1864" customWidth="1"/>
    <col min="15121" max="15121" width="9.7109375" style="1864" customWidth="1"/>
    <col min="15122" max="15122" width="9.28515625" style="1864" customWidth="1"/>
    <col min="15123" max="15123" width="9.42578125" style="1864" customWidth="1"/>
    <col min="15124" max="15124" width="10.5703125" style="1864" customWidth="1"/>
    <col min="15125" max="15125" width="12.42578125" style="1864" customWidth="1"/>
    <col min="15126" max="15126" width="14.5703125" style="1864" customWidth="1"/>
    <col min="15127" max="15127" width="12.28515625" style="1864" customWidth="1"/>
    <col min="15128" max="15128" width="25.85546875" style="1864" customWidth="1"/>
    <col min="15129" max="15360" width="0.85546875" style="1864"/>
    <col min="15361" max="15361" width="9.85546875" style="1864" customWidth="1"/>
    <col min="15362" max="15362" width="81.85546875" style="1864" customWidth="1"/>
    <col min="15363" max="15363" width="12.7109375" style="1864" customWidth="1"/>
    <col min="15364" max="15364" width="12.42578125" style="1864" customWidth="1"/>
    <col min="15365" max="15365" width="14.5703125" style="1864" customWidth="1"/>
    <col min="15366" max="15366" width="12.28515625" style="1864" customWidth="1"/>
    <col min="15367" max="15367" width="38.140625" style="1864" customWidth="1"/>
    <col min="15368" max="15368" width="46.85546875" style="1864" customWidth="1"/>
    <col min="15369" max="15371" width="12.7109375" style="1864" customWidth="1"/>
    <col min="15372" max="15372" width="9.28515625" style="1864" customWidth="1"/>
    <col min="15373" max="15373" width="13.5703125" style="1864" customWidth="1"/>
    <col min="15374" max="15374" width="10.28515625" style="1864" customWidth="1"/>
    <col min="15375" max="15375" width="12.85546875" style="1864" customWidth="1"/>
    <col min="15376" max="15376" width="9.140625" style="1864" customWidth="1"/>
    <col min="15377" max="15377" width="9.7109375" style="1864" customWidth="1"/>
    <col min="15378" max="15378" width="9.28515625" style="1864" customWidth="1"/>
    <col min="15379" max="15379" width="9.42578125" style="1864" customWidth="1"/>
    <col min="15380" max="15380" width="10.5703125" style="1864" customWidth="1"/>
    <col min="15381" max="15381" width="12.42578125" style="1864" customWidth="1"/>
    <col min="15382" max="15382" width="14.5703125" style="1864" customWidth="1"/>
    <col min="15383" max="15383" width="12.28515625" style="1864" customWidth="1"/>
    <col min="15384" max="15384" width="25.85546875" style="1864" customWidth="1"/>
    <col min="15385" max="15616" width="0.85546875" style="1864"/>
    <col min="15617" max="15617" width="9.85546875" style="1864" customWidth="1"/>
    <col min="15618" max="15618" width="81.85546875" style="1864" customWidth="1"/>
    <col min="15619" max="15619" width="12.7109375" style="1864" customWidth="1"/>
    <col min="15620" max="15620" width="12.42578125" style="1864" customWidth="1"/>
    <col min="15621" max="15621" width="14.5703125" style="1864" customWidth="1"/>
    <col min="15622" max="15622" width="12.28515625" style="1864" customWidth="1"/>
    <col min="15623" max="15623" width="38.140625" style="1864" customWidth="1"/>
    <col min="15624" max="15624" width="46.85546875" style="1864" customWidth="1"/>
    <col min="15625" max="15627" width="12.7109375" style="1864" customWidth="1"/>
    <col min="15628" max="15628" width="9.28515625" style="1864" customWidth="1"/>
    <col min="15629" max="15629" width="13.5703125" style="1864" customWidth="1"/>
    <col min="15630" max="15630" width="10.28515625" style="1864" customWidth="1"/>
    <col min="15631" max="15631" width="12.85546875" style="1864" customWidth="1"/>
    <col min="15632" max="15632" width="9.140625" style="1864" customWidth="1"/>
    <col min="15633" max="15633" width="9.7109375" style="1864" customWidth="1"/>
    <col min="15634" max="15634" width="9.28515625" style="1864" customWidth="1"/>
    <col min="15635" max="15635" width="9.42578125" style="1864" customWidth="1"/>
    <col min="15636" max="15636" width="10.5703125" style="1864" customWidth="1"/>
    <col min="15637" max="15637" width="12.42578125" style="1864" customWidth="1"/>
    <col min="15638" max="15638" width="14.5703125" style="1864" customWidth="1"/>
    <col min="15639" max="15639" width="12.28515625" style="1864" customWidth="1"/>
    <col min="15640" max="15640" width="25.85546875" style="1864" customWidth="1"/>
    <col min="15641" max="15872" width="0.85546875" style="1864"/>
    <col min="15873" max="15873" width="9.85546875" style="1864" customWidth="1"/>
    <col min="15874" max="15874" width="81.85546875" style="1864" customWidth="1"/>
    <col min="15875" max="15875" width="12.7109375" style="1864" customWidth="1"/>
    <col min="15876" max="15876" width="12.42578125" style="1864" customWidth="1"/>
    <col min="15877" max="15877" width="14.5703125" style="1864" customWidth="1"/>
    <col min="15878" max="15878" width="12.28515625" style="1864" customWidth="1"/>
    <col min="15879" max="15879" width="38.140625" style="1864" customWidth="1"/>
    <col min="15880" max="15880" width="46.85546875" style="1864" customWidth="1"/>
    <col min="15881" max="15883" width="12.7109375" style="1864" customWidth="1"/>
    <col min="15884" max="15884" width="9.28515625" style="1864" customWidth="1"/>
    <col min="15885" max="15885" width="13.5703125" style="1864" customWidth="1"/>
    <col min="15886" max="15886" width="10.28515625" style="1864" customWidth="1"/>
    <col min="15887" max="15887" width="12.85546875" style="1864" customWidth="1"/>
    <col min="15888" max="15888" width="9.140625" style="1864" customWidth="1"/>
    <col min="15889" max="15889" width="9.7109375" style="1864" customWidth="1"/>
    <col min="15890" max="15890" width="9.28515625" style="1864" customWidth="1"/>
    <col min="15891" max="15891" width="9.42578125" style="1864" customWidth="1"/>
    <col min="15892" max="15892" width="10.5703125" style="1864" customWidth="1"/>
    <col min="15893" max="15893" width="12.42578125" style="1864" customWidth="1"/>
    <col min="15894" max="15894" width="14.5703125" style="1864" customWidth="1"/>
    <col min="15895" max="15895" width="12.28515625" style="1864" customWidth="1"/>
    <col min="15896" max="15896" width="25.85546875" style="1864" customWidth="1"/>
    <col min="15897" max="16128" width="0.85546875" style="1864"/>
    <col min="16129" max="16129" width="9.85546875" style="1864" customWidth="1"/>
    <col min="16130" max="16130" width="81.85546875" style="1864" customWidth="1"/>
    <col min="16131" max="16131" width="12.7109375" style="1864" customWidth="1"/>
    <col min="16132" max="16132" width="12.42578125" style="1864" customWidth="1"/>
    <col min="16133" max="16133" width="14.5703125" style="1864" customWidth="1"/>
    <col min="16134" max="16134" width="12.28515625" style="1864" customWidth="1"/>
    <col min="16135" max="16135" width="38.140625" style="1864" customWidth="1"/>
    <col min="16136" max="16136" width="46.85546875" style="1864" customWidth="1"/>
    <col min="16137" max="16139" width="12.7109375" style="1864" customWidth="1"/>
    <col min="16140" max="16140" width="9.28515625" style="1864" customWidth="1"/>
    <col min="16141" max="16141" width="13.5703125" style="1864" customWidth="1"/>
    <col min="16142" max="16142" width="10.28515625" style="1864" customWidth="1"/>
    <col min="16143" max="16143" width="12.85546875" style="1864" customWidth="1"/>
    <col min="16144" max="16144" width="9.140625" style="1864" customWidth="1"/>
    <col min="16145" max="16145" width="9.7109375" style="1864" customWidth="1"/>
    <col min="16146" max="16146" width="9.28515625" style="1864" customWidth="1"/>
    <col min="16147" max="16147" width="9.42578125" style="1864" customWidth="1"/>
    <col min="16148" max="16148" width="10.5703125" style="1864" customWidth="1"/>
    <col min="16149" max="16149" width="12.42578125" style="1864" customWidth="1"/>
    <col min="16150" max="16150" width="14.5703125" style="1864" customWidth="1"/>
    <col min="16151" max="16151" width="12.28515625" style="1864" customWidth="1"/>
    <col min="16152" max="16152" width="25.85546875" style="1864" customWidth="1"/>
    <col min="16153" max="16384" width="0.85546875" style="1864"/>
  </cols>
  <sheetData>
    <row r="1" spans="1:7">
      <c r="G1" s="1864" t="s">
        <v>1529</v>
      </c>
    </row>
    <row r="2" spans="1:7" ht="29.25" customHeight="1">
      <c r="A2" s="6527" t="s">
        <v>1522</v>
      </c>
      <c r="B2" s="6527"/>
      <c r="C2" s="6527"/>
      <c r="D2" s="6527"/>
      <c r="E2" s="6527"/>
      <c r="F2" s="6527"/>
      <c r="G2" s="6527"/>
    </row>
    <row r="4" spans="1:7" ht="15.75" customHeight="1">
      <c r="A4" s="6528" t="s">
        <v>908</v>
      </c>
      <c r="B4" s="6528" t="s">
        <v>373</v>
      </c>
      <c r="C4" s="6528" t="s">
        <v>909</v>
      </c>
      <c r="D4" s="6529" t="s">
        <v>392</v>
      </c>
      <c r="E4" s="6530"/>
      <c r="F4" s="6531"/>
      <c r="G4" s="6532" t="s">
        <v>910</v>
      </c>
    </row>
    <row r="5" spans="1:7" ht="15.75">
      <c r="A5" s="6528"/>
      <c r="B5" s="6528"/>
      <c r="C5" s="6528"/>
      <c r="D5" s="1865" t="s">
        <v>832</v>
      </c>
      <c r="E5" s="1865" t="s">
        <v>911</v>
      </c>
      <c r="F5" s="1865" t="s">
        <v>912</v>
      </c>
      <c r="G5" s="6533"/>
    </row>
    <row r="6" spans="1:7" s="1870" customFormat="1" ht="21.75" customHeight="1">
      <c r="A6" s="1866"/>
      <c r="B6" s="1867" t="s">
        <v>913</v>
      </c>
      <c r="C6" s="6525" t="s">
        <v>914</v>
      </c>
      <c r="D6" s="6526" t="s">
        <v>914</v>
      </c>
      <c r="E6" s="1868">
        <v>0.01</v>
      </c>
      <c r="F6" s="1868">
        <v>0.01</v>
      </c>
      <c r="G6" s="1869"/>
    </row>
    <row r="7" spans="1:7" s="1870" customFormat="1" ht="21.75" customHeight="1">
      <c r="A7" s="1866"/>
      <c r="B7" s="1867" t="s">
        <v>915</v>
      </c>
      <c r="C7" s="5037"/>
      <c r="D7" s="5012"/>
      <c r="E7" s="1868">
        <v>7.3999999999999996E-2</v>
      </c>
      <c r="F7" s="1871">
        <v>5.8000000000000003E-2</v>
      </c>
      <c r="G7" s="1869"/>
    </row>
    <row r="8" spans="1:7" s="1870" customFormat="1" ht="21.75" customHeight="1">
      <c r="A8" s="1866"/>
      <c r="B8" s="1867" t="s">
        <v>916</v>
      </c>
      <c r="C8" s="5038"/>
      <c r="D8" s="5013"/>
      <c r="E8" s="1872">
        <v>0</v>
      </c>
      <c r="F8" s="1872">
        <v>0</v>
      </c>
      <c r="G8" s="1869"/>
    </row>
    <row r="9" spans="1:7" s="1877" customFormat="1" ht="15.75">
      <c r="A9" s="1873">
        <v>1</v>
      </c>
      <c r="B9" s="1874" t="s">
        <v>917</v>
      </c>
      <c r="C9" s="1873" t="s">
        <v>918</v>
      </c>
      <c r="D9" s="1875">
        <f>D10+D21+D23+D27</f>
        <v>265.75743212512054</v>
      </c>
      <c r="E9" s="1875">
        <f>E10+E21+E23+E27</f>
        <v>281.82030984385193</v>
      </c>
      <c r="F9" s="1875">
        <f>F10+F21+F23+F27</f>
        <v>295.23924291073467</v>
      </c>
      <c r="G9" s="1876"/>
    </row>
    <row r="10" spans="1:7" s="1882" customFormat="1" ht="15.75">
      <c r="A10" s="1878" t="s">
        <v>919</v>
      </c>
      <c r="B10" s="1879" t="s">
        <v>920</v>
      </c>
      <c r="C10" s="1878" t="s">
        <v>918</v>
      </c>
      <c r="D10" s="1880">
        <f>D11+D12+D13</f>
        <v>260.50529871223728</v>
      </c>
      <c r="E10" s="1880">
        <f>E11+E12+E13</f>
        <v>276.56817643096866</v>
      </c>
      <c r="F10" s="1880">
        <f>F11+F12+F13</f>
        <v>289.98710949785141</v>
      </c>
      <c r="G10" s="1881"/>
    </row>
    <row r="11" spans="1:7" s="1887" customFormat="1" ht="21.75" customHeight="1">
      <c r="A11" s="1883" t="s">
        <v>921</v>
      </c>
      <c r="B11" s="1884" t="s">
        <v>922</v>
      </c>
      <c r="C11" s="1883" t="s">
        <v>918</v>
      </c>
      <c r="D11" s="1885">
        <f>стоки!BF80+стоки!BF81+стоки!BF82+стоки!BF83+стоки!BF84+стоки!BF86</f>
        <v>219.74324894173816</v>
      </c>
      <c r="E11" s="1885">
        <f>D11*(1-E6)*(1+E7)*(1+E8)</f>
        <v>233.64420686979253</v>
      </c>
      <c r="F11" s="1885">
        <f>E11*(1-F6)*(1+F7)*(1+F8)</f>
        <v>244.72361515955811</v>
      </c>
      <c r="G11" s="1886"/>
    </row>
    <row r="12" spans="1:7" s="1887" customFormat="1" ht="33" customHeight="1">
      <c r="A12" s="1883" t="s">
        <v>923</v>
      </c>
      <c r="B12" s="1884" t="s">
        <v>924</v>
      </c>
      <c r="C12" s="1883" t="s">
        <v>918</v>
      </c>
      <c r="D12" s="1885">
        <f>стоки!BF78</f>
        <v>32.756360464803038</v>
      </c>
      <c r="E12" s="1885">
        <f>D12*1.066</f>
        <v>34.918280255480042</v>
      </c>
      <c r="F12" s="1885">
        <f>E12*1.067</f>
        <v>37.257805032597204</v>
      </c>
      <c r="G12" s="1886" t="s">
        <v>250</v>
      </c>
    </row>
    <row r="13" spans="1:7" s="1887" customFormat="1" ht="15.75">
      <c r="A13" s="1883" t="s">
        <v>925</v>
      </c>
      <c r="B13" s="1884" t="s">
        <v>926</v>
      </c>
      <c r="C13" s="1883" t="s">
        <v>918</v>
      </c>
      <c r="D13" s="1885">
        <f>D14+D15+D16+D17+D20</f>
        <v>8.0056893056960661</v>
      </c>
      <c r="E13" s="1885">
        <f t="shared" ref="E13:F13" si="0">E14+E15+E16+E17+E20</f>
        <v>8.0056893056960661</v>
      </c>
      <c r="F13" s="1885">
        <f t="shared" si="0"/>
        <v>8.0056893056960661</v>
      </c>
      <c r="G13" s="1886"/>
    </row>
    <row r="14" spans="1:7" s="1892" customFormat="1" ht="26.25" customHeight="1">
      <c r="A14" s="1888" t="s">
        <v>927</v>
      </c>
      <c r="B14" s="1889" t="s">
        <v>928</v>
      </c>
      <c r="C14" s="1888" t="s">
        <v>918</v>
      </c>
      <c r="D14" s="1890">
        <v>0</v>
      </c>
      <c r="E14" s="1890">
        <f>D14*1.084</f>
        <v>0</v>
      </c>
      <c r="F14" s="1890">
        <f>E14*1.079</f>
        <v>0</v>
      </c>
      <c r="G14" s="1891"/>
    </row>
    <row r="15" spans="1:7" s="1892" customFormat="1" ht="41.25" customHeight="1">
      <c r="A15" s="1888" t="s">
        <v>929</v>
      </c>
      <c r="B15" s="1889" t="s">
        <v>930</v>
      </c>
      <c r="C15" s="1888" t="s">
        <v>918</v>
      </c>
      <c r="D15" s="1890">
        <f>стоки!BF42</f>
        <v>8.0056893056960661</v>
      </c>
      <c r="E15" s="1890">
        <f>D15</f>
        <v>8.0056893056960661</v>
      </c>
      <c r="F15" s="1890">
        <f>E15</f>
        <v>8.0056893056960661</v>
      </c>
      <c r="G15" s="1891"/>
    </row>
    <row r="16" spans="1:7" s="1892" customFormat="1" ht="18" customHeight="1">
      <c r="A16" s="1888" t="s">
        <v>931</v>
      </c>
      <c r="B16" s="1889" t="s">
        <v>932</v>
      </c>
      <c r="C16" s="1888" t="s">
        <v>918</v>
      </c>
      <c r="D16" s="1890">
        <v>0</v>
      </c>
      <c r="E16" s="1890">
        <f>D16</f>
        <v>0</v>
      </c>
      <c r="F16" s="1890">
        <f>E16</f>
        <v>0</v>
      </c>
      <c r="G16" s="1891"/>
    </row>
    <row r="17" spans="1:7" s="1892" customFormat="1" ht="32.25" customHeight="1">
      <c r="A17" s="1888" t="s">
        <v>933</v>
      </c>
      <c r="B17" s="1889" t="s">
        <v>934</v>
      </c>
      <c r="C17" s="1888" t="s">
        <v>918</v>
      </c>
      <c r="D17" s="1890">
        <v>0</v>
      </c>
      <c r="E17" s="1890">
        <v>0</v>
      </c>
      <c r="F17" s="1890">
        <v>0</v>
      </c>
      <c r="G17" s="1891"/>
    </row>
    <row r="18" spans="1:7" s="1892" customFormat="1" ht="12.75">
      <c r="A18" s="1888" t="s">
        <v>935</v>
      </c>
      <c r="B18" s="1889" t="s">
        <v>936</v>
      </c>
      <c r="C18" s="1888" t="s">
        <v>918</v>
      </c>
      <c r="D18" s="1890">
        <v>0</v>
      </c>
      <c r="E18" s="1890">
        <v>0</v>
      </c>
      <c r="F18" s="1890">
        <v>0</v>
      </c>
      <c r="G18" s="1891"/>
    </row>
    <row r="19" spans="1:7" s="1892" customFormat="1" ht="12.75">
      <c r="A19" s="1888" t="s">
        <v>937</v>
      </c>
      <c r="B19" s="1889" t="s">
        <v>938</v>
      </c>
      <c r="C19" s="1888" t="s">
        <v>918</v>
      </c>
      <c r="D19" s="1890">
        <v>0</v>
      </c>
      <c r="E19" s="1890">
        <v>0</v>
      </c>
      <c r="F19" s="1890">
        <v>0</v>
      </c>
      <c r="G19" s="1891"/>
    </row>
    <row r="20" spans="1:7" s="1892" customFormat="1" ht="30.75" customHeight="1">
      <c r="A20" s="1888" t="s">
        <v>939</v>
      </c>
      <c r="B20" s="1889" t="s">
        <v>940</v>
      </c>
      <c r="C20" s="1888" t="s">
        <v>918</v>
      </c>
      <c r="D20" s="1890">
        <v>0</v>
      </c>
      <c r="E20" s="1890">
        <v>0</v>
      </c>
      <c r="F20" s="1890">
        <v>0</v>
      </c>
      <c r="G20" s="1891"/>
    </row>
    <row r="21" spans="1:7" s="1882" customFormat="1" ht="15.75">
      <c r="A21" s="1878" t="s">
        <v>941</v>
      </c>
      <c r="B21" s="1879" t="s">
        <v>2</v>
      </c>
      <c r="C21" s="1878" t="s">
        <v>918</v>
      </c>
      <c r="D21" s="1880">
        <f>стоки!BF79</f>
        <v>5.2521334128832677</v>
      </c>
      <c r="E21" s="1880">
        <f>D21</f>
        <v>5.2521334128832677</v>
      </c>
      <c r="F21" s="1880">
        <f>E21</f>
        <v>5.2521334128832677</v>
      </c>
      <c r="G21" s="1881"/>
    </row>
    <row r="22" spans="1:7" s="1897" customFormat="1" ht="15.75">
      <c r="A22" s="1893" t="s">
        <v>202</v>
      </c>
      <c r="B22" s="1894" t="s">
        <v>942</v>
      </c>
      <c r="C22" s="1895" t="s">
        <v>44</v>
      </c>
      <c r="D22" s="1896">
        <f>D23/(D10+D21)*100</f>
        <v>0</v>
      </c>
      <c r="E22" s="1896">
        <f t="shared" ref="E22:F22" si="1">E23/(E10+E21)*100</f>
        <v>0</v>
      </c>
      <c r="F22" s="1896">
        <f t="shared" si="1"/>
        <v>0</v>
      </c>
      <c r="G22" s="1895"/>
    </row>
    <row r="23" spans="1:7" s="1882" customFormat="1" ht="15.75">
      <c r="A23" s="1878" t="s">
        <v>943</v>
      </c>
      <c r="B23" s="1879" t="s">
        <v>944</v>
      </c>
      <c r="C23" s="1878" t="s">
        <v>918</v>
      </c>
      <c r="D23" s="1880">
        <f>D24+D25+D26</f>
        <v>0</v>
      </c>
      <c r="E23" s="1880">
        <f t="shared" ref="E23:F23" si="2">E24+E25+E26</f>
        <v>0</v>
      </c>
      <c r="F23" s="1880">
        <f t="shared" si="2"/>
        <v>0</v>
      </c>
      <c r="G23" s="1881"/>
    </row>
    <row r="24" spans="1:7" s="1887" customFormat="1" ht="24" customHeight="1">
      <c r="A24" s="1883" t="s">
        <v>945</v>
      </c>
      <c r="B24" s="1884" t="s">
        <v>946</v>
      </c>
      <c r="C24" s="1883" t="s">
        <v>918</v>
      </c>
      <c r="D24" s="1885">
        <v>0</v>
      </c>
      <c r="E24" s="1885">
        <v>0</v>
      </c>
      <c r="F24" s="1885">
        <v>0</v>
      </c>
      <c r="G24" s="1886"/>
    </row>
    <row r="25" spans="1:7" s="1887" customFormat="1" ht="56.25" customHeight="1">
      <c r="A25" s="1883" t="s">
        <v>947</v>
      </c>
      <c r="B25" s="1884" t="s">
        <v>948</v>
      </c>
      <c r="C25" s="1883" t="s">
        <v>918</v>
      </c>
      <c r="D25" s="1885"/>
      <c r="E25" s="1885"/>
      <c r="F25" s="1885"/>
      <c r="G25" s="1886"/>
    </row>
    <row r="26" spans="1:7" s="1887" customFormat="1" ht="37.5" customHeight="1">
      <c r="A26" s="1883" t="s">
        <v>949</v>
      </c>
      <c r="B26" s="1884" t="s">
        <v>950</v>
      </c>
      <c r="C26" s="1883" t="s">
        <v>918</v>
      </c>
      <c r="D26" s="1885"/>
      <c r="E26" s="1885"/>
      <c r="F26" s="1885"/>
      <c r="G26" s="1886"/>
    </row>
    <row r="27" spans="1:7" s="1882" customFormat="1" ht="38.25" customHeight="1">
      <c r="A27" s="1878" t="s">
        <v>203</v>
      </c>
      <c r="B27" s="1879" t="s">
        <v>951</v>
      </c>
      <c r="C27" s="1878" t="s">
        <v>918</v>
      </c>
      <c r="D27" s="1880">
        <v>0</v>
      </c>
      <c r="E27" s="1880">
        <v>0</v>
      </c>
      <c r="F27" s="1880">
        <v>0</v>
      </c>
      <c r="G27" s="1881"/>
    </row>
    <row r="28" spans="1:7" s="1877" customFormat="1" ht="15.75">
      <c r="A28" s="1873">
        <v>2</v>
      </c>
      <c r="B28" s="1874" t="s">
        <v>952</v>
      </c>
      <c r="C28" s="1873" t="s">
        <v>953</v>
      </c>
      <c r="D28" s="1875">
        <f>объемы!V58</f>
        <v>18.933333333333334</v>
      </c>
      <c r="E28" s="1875">
        <f>D28</f>
        <v>18.933333333333334</v>
      </c>
      <c r="F28" s="1875">
        <f>E28</f>
        <v>18.933333333333334</v>
      </c>
      <c r="G28" s="1876"/>
    </row>
    <row r="29" spans="1:7" s="1877" customFormat="1" ht="15.75">
      <c r="A29" s="1873" t="s">
        <v>196</v>
      </c>
      <c r="B29" s="1898" t="s">
        <v>954</v>
      </c>
      <c r="C29" s="1873" t="s">
        <v>953</v>
      </c>
      <c r="D29" s="1875">
        <v>0</v>
      </c>
      <c r="E29" s="1875">
        <f>D29</f>
        <v>0</v>
      </c>
      <c r="F29" s="1875">
        <f>E29</f>
        <v>0</v>
      </c>
      <c r="G29" s="1876"/>
    </row>
    <row r="30" spans="1:7" s="1870" customFormat="1" ht="15.75">
      <c r="A30" s="1899" t="s">
        <v>955</v>
      </c>
      <c r="B30" s="1900" t="s">
        <v>956</v>
      </c>
      <c r="C30" s="1899" t="s">
        <v>957</v>
      </c>
      <c r="D30" s="1901">
        <f>D9/D28</f>
        <v>14.036484091115522</v>
      </c>
      <c r="E30" s="1901">
        <f>E9/E28</f>
        <v>14.884875519921756</v>
      </c>
      <c r="F30" s="1901">
        <f>F9/F28</f>
        <v>15.593621984721901</v>
      </c>
      <c r="G30" s="1869"/>
    </row>
    <row r="31" spans="1:7" s="1870" customFormat="1" ht="15.75">
      <c r="A31" s="1899"/>
      <c r="B31" s="1902" t="s">
        <v>958</v>
      </c>
      <c r="C31" s="1899" t="s">
        <v>957</v>
      </c>
      <c r="D31" s="1901">
        <v>13.79</v>
      </c>
      <c r="E31" s="1901">
        <f>D32</f>
        <v>14.282968182231045</v>
      </c>
      <c r="F31" s="1901">
        <f>E32</f>
        <v>15.486782857612468</v>
      </c>
      <c r="G31" s="1869"/>
    </row>
    <row r="32" spans="1:7" s="1870" customFormat="1" ht="15.75">
      <c r="A32" s="1899"/>
      <c r="B32" s="1902" t="s">
        <v>959</v>
      </c>
      <c r="C32" s="1899" t="s">
        <v>957</v>
      </c>
      <c r="D32" s="1901">
        <f>D30*2-D31</f>
        <v>14.282968182231045</v>
      </c>
      <c r="E32" s="1901">
        <f>E30*2-E31</f>
        <v>15.486782857612468</v>
      </c>
      <c r="F32" s="1901">
        <f>F30*2-F31</f>
        <v>15.700461111831334</v>
      </c>
      <c r="G32" s="1869"/>
    </row>
    <row r="33" spans="1:7" s="1870" customFormat="1" ht="15.75">
      <c r="A33" s="1899"/>
      <c r="B33" s="1900" t="s">
        <v>960</v>
      </c>
      <c r="C33" s="1899"/>
      <c r="D33" s="1901"/>
      <c r="E33" s="1901"/>
      <c r="F33" s="1901"/>
      <c r="G33" s="1869"/>
    </row>
    <row r="34" spans="1:7" s="1870" customFormat="1" ht="15.75">
      <c r="A34" s="1899"/>
      <c r="B34" s="1902" t="s">
        <v>958</v>
      </c>
      <c r="C34" s="1899" t="s">
        <v>44</v>
      </c>
      <c r="D34" s="1901"/>
      <c r="E34" s="1901">
        <f>E31/D32*100</f>
        <v>100</v>
      </c>
      <c r="F34" s="1901">
        <f>F31/E32*100</f>
        <v>100</v>
      </c>
      <c r="G34" s="1869"/>
    </row>
    <row r="35" spans="1:7" s="1870" customFormat="1" ht="15.75">
      <c r="A35" s="1899"/>
      <c r="B35" s="1902" t="s">
        <v>959</v>
      </c>
      <c r="C35" s="1899" t="s">
        <v>44</v>
      </c>
      <c r="D35" s="1901">
        <f>D32/D31*100</f>
        <v>103.5748236564978</v>
      </c>
      <c r="E35" s="1901">
        <f>E32/E31*100</f>
        <v>108.42832288094746</v>
      </c>
      <c r="F35" s="1901">
        <f>F32/F31*100</f>
        <v>101.37974591742814</v>
      </c>
      <c r="G35" s="1869"/>
    </row>
    <row r="36" spans="1:7" ht="9" customHeight="1"/>
    <row r="37" spans="1:7" ht="15.75">
      <c r="A37" s="1904" t="s">
        <v>961</v>
      </c>
      <c r="B37" s="1905" t="s">
        <v>962</v>
      </c>
      <c r="C37" s="1906"/>
      <c r="D37" s="1906"/>
      <c r="E37" s="1906"/>
      <c r="F37" s="1906"/>
      <c r="G37" s="1906"/>
    </row>
    <row r="38" spans="1:7" ht="15.75">
      <c r="A38" s="1906"/>
      <c r="B38" s="1907" t="s">
        <v>958</v>
      </c>
      <c r="C38" s="1908" t="s">
        <v>963</v>
      </c>
      <c r="D38" s="2170">
        <v>13.79</v>
      </c>
      <c r="E38" s="2171">
        <f>D39</f>
        <v>14.282968182231045</v>
      </c>
      <c r="F38" s="2171">
        <f>E39</f>
        <v>15.486782857612468</v>
      </c>
      <c r="G38" s="1906"/>
    </row>
    <row r="39" spans="1:7" ht="15.75">
      <c r="A39" s="1906"/>
      <c r="B39" s="1907" t="s">
        <v>959</v>
      </c>
      <c r="C39" s="1908" t="s">
        <v>963</v>
      </c>
      <c r="D39" s="2170">
        <f>D32</f>
        <v>14.282968182231045</v>
      </c>
      <c r="E39" s="2170">
        <f>E32</f>
        <v>15.486782857612468</v>
      </c>
      <c r="F39" s="2170">
        <f>F32</f>
        <v>15.700461111831334</v>
      </c>
      <c r="G39" s="1906"/>
    </row>
    <row r="40" spans="1:7" ht="15.75">
      <c r="A40" s="1906"/>
      <c r="B40" s="1907" t="s">
        <v>363</v>
      </c>
      <c r="C40" s="1908" t="s">
        <v>44</v>
      </c>
      <c r="D40" s="2170">
        <f>D39/D38*100</f>
        <v>103.5748236564978</v>
      </c>
      <c r="E40" s="2170">
        <f>E39/E38*100</f>
        <v>108.42832288094746</v>
      </c>
      <c r="F40" s="2170">
        <f>F39/F38*100</f>
        <v>101.37974591742814</v>
      </c>
      <c r="G40" s="1906"/>
    </row>
    <row r="41" spans="1:7" ht="15.75">
      <c r="A41" s="1906"/>
      <c r="B41" s="1905" t="s">
        <v>964</v>
      </c>
      <c r="C41" s="1908" t="s">
        <v>918</v>
      </c>
      <c r="D41" s="1906">
        <f>(D31-D38)*D29/2+(D32-D39)*D29/2</f>
        <v>0</v>
      </c>
      <c r="E41" s="1906">
        <f>(E31-E38)*E29/2+(E32-E39)*E29/2</f>
        <v>0</v>
      </c>
      <c r="F41" s="1906">
        <f>(F31-F38)*F29/2+(F32-F39)*F29/2</f>
        <v>0</v>
      </c>
      <c r="G41" s="1906"/>
    </row>
    <row r="42" spans="1:7">
      <c r="C42" s="1910"/>
    </row>
  </sheetData>
  <mergeCells count="8">
    <mergeCell ref="C6:C8"/>
    <mergeCell ref="D6:D8"/>
    <mergeCell ref="A2:G2"/>
    <mergeCell ref="A4:A5"/>
    <mergeCell ref="B4:B5"/>
    <mergeCell ref="C4:C5"/>
    <mergeCell ref="D4:F4"/>
    <mergeCell ref="G4:G5"/>
  </mergeCells>
  <printOptions horizontalCentered="1"/>
  <pageMargins left="0.31496062992125984" right="0.31496062992125984" top="0.35433070866141736" bottom="0.35433070866141736" header="0.31496062992125984" footer="0.31496062992125984"/>
  <pageSetup paperSize="9" scale="66" orientation="landscape" r:id="rId1"/>
  <colBreaks count="1" manualBreakCount="1">
    <brk id="7" max="1048575" man="1"/>
  </colBreaks>
</worksheet>
</file>

<file path=xl/worksheets/sheet63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X168"/>
  <sheetViews>
    <sheetView topLeftCell="A135" zoomScale="73" zoomScaleNormal="73" zoomScalePageLayoutView="64" workbookViewId="0">
      <selection activeCell="E132" sqref="E132"/>
    </sheetView>
  </sheetViews>
  <sheetFormatPr defaultRowHeight="12.75"/>
  <cols>
    <col min="1" max="1" width="17.42578125" style="1463" customWidth="1"/>
    <col min="2" max="2" width="10.42578125" customWidth="1"/>
    <col min="3" max="6" width="10.5703125" customWidth="1"/>
    <col min="7" max="24" width="10.7109375" customWidth="1"/>
  </cols>
  <sheetData>
    <row r="1" spans="1:24" ht="13.5" thickBot="1">
      <c r="V1" t="s">
        <v>1545</v>
      </c>
    </row>
    <row r="2" spans="1:24" ht="27" thickBot="1">
      <c r="A2" s="6578" t="s">
        <v>875</v>
      </c>
      <c r="B2" s="6579"/>
      <c r="C2" s="6579"/>
      <c r="D2" s="6579"/>
      <c r="E2" s="6579"/>
      <c r="F2" s="6579"/>
      <c r="G2" s="6579"/>
      <c r="H2" s="6579"/>
      <c r="I2" s="6579"/>
      <c r="J2" s="6579"/>
      <c r="K2" s="6579"/>
      <c r="L2" s="6579"/>
      <c r="M2" s="6579"/>
      <c r="N2" s="6579"/>
      <c r="O2" s="6579"/>
      <c r="P2" s="6579"/>
      <c r="Q2" s="6579"/>
      <c r="R2" s="6579"/>
      <c r="S2" s="6579"/>
      <c r="T2" s="6579"/>
      <c r="U2" s="6579"/>
      <c r="V2" s="6579"/>
      <c r="W2" s="6579"/>
      <c r="X2" s="6580"/>
    </row>
    <row r="3" spans="1:24" ht="15" customHeight="1" thickBot="1">
      <c r="A3" s="5832">
        <v>2015</v>
      </c>
      <c r="B3" s="6583" t="s">
        <v>402</v>
      </c>
      <c r="C3" s="6583"/>
      <c r="D3" s="6583"/>
      <c r="E3" s="6583"/>
      <c r="F3" s="6583"/>
      <c r="G3" s="6583"/>
      <c r="H3" s="6583"/>
      <c r="I3" s="6583"/>
      <c r="J3" s="6583"/>
      <c r="K3" s="6583"/>
      <c r="L3" s="6583"/>
      <c r="M3" s="6583"/>
      <c r="N3" s="6583"/>
      <c r="O3" s="6583"/>
      <c r="P3" s="6584"/>
      <c r="Q3" s="6585" t="s">
        <v>406</v>
      </c>
      <c r="R3" s="6586"/>
      <c r="S3" s="6586"/>
      <c r="T3" s="6587"/>
      <c r="U3" s="6585" t="s">
        <v>407</v>
      </c>
      <c r="V3" s="6586"/>
      <c r="W3" s="6586"/>
      <c r="X3" s="6587"/>
    </row>
    <row r="4" spans="1:24" ht="15" customHeight="1" thickBot="1">
      <c r="A4" s="6581"/>
      <c r="B4" s="6591" t="s">
        <v>403</v>
      </c>
      <c r="C4" s="6592"/>
      <c r="D4" s="6592"/>
      <c r="E4" s="6592"/>
      <c r="F4" s="6593"/>
      <c r="G4" s="6594" t="s">
        <v>404</v>
      </c>
      <c r="H4" s="6595"/>
      <c r="I4" s="6595"/>
      <c r="J4" s="6595"/>
      <c r="K4" s="5766"/>
      <c r="L4" s="6594" t="s">
        <v>379</v>
      </c>
      <c r="M4" s="6595"/>
      <c r="N4" s="6595"/>
      <c r="O4" s="6595"/>
      <c r="P4" s="6596"/>
      <c r="Q4" s="6588"/>
      <c r="R4" s="6589"/>
      <c r="S4" s="6589"/>
      <c r="T4" s="6590"/>
      <c r="U4" s="6588"/>
      <c r="V4" s="6589"/>
      <c r="W4" s="6589"/>
      <c r="X4" s="6590"/>
    </row>
    <row r="5" spans="1:24" ht="15" customHeight="1">
      <c r="A5" s="6581"/>
      <c r="B5" s="6597" t="s">
        <v>301</v>
      </c>
      <c r="C5" s="6600" t="s">
        <v>50</v>
      </c>
      <c r="D5" s="6600"/>
      <c r="E5" s="6600"/>
      <c r="F5" s="6601"/>
      <c r="G5" s="5966" t="s">
        <v>301</v>
      </c>
      <c r="H5" s="6602" t="s">
        <v>50</v>
      </c>
      <c r="I5" s="6602"/>
      <c r="J5" s="6602"/>
      <c r="K5" s="6603"/>
      <c r="L5" s="5966" t="s">
        <v>301</v>
      </c>
      <c r="M5" s="6602" t="s">
        <v>50</v>
      </c>
      <c r="N5" s="6602"/>
      <c r="O5" s="6602"/>
      <c r="P5" s="6603"/>
      <c r="Q5" s="5966" t="s">
        <v>301</v>
      </c>
      <c r="R5" s="6604" t="s">
        <v>50</v>
      </c>
      <c r="S5" s="6604"/>
      <c r="T5" s="6605"/>
      <c r="U5" s="5966" t="s">
        <v>301</v>
      </c>
      <c r="V5" s="6604" t="s">
        <v>50</v>
      </c>
      <c r="W5" s="6604"/>
      <c r="X5" s="6605"/>
    </row>
    <row r="6" spans="1:24" ht="15" customHeight="1">
      <c r="A6" s="6581"/>
      <c r="B6" s="6598"/>
      <c r="C6" s="6606" t="s">
        <v>383</v>
      </c>
      <c r="D6" s="6608" t="s">
        <v>239</v>
      </c>
      <c r="E6" s="6608"/>
      <c r="F6" s="6647" t="s">
        <v>872</v>
      </c>
      <c r="G6" s="6598"/>
      <c r="H6" s="6606" t="s">
        <v>383</v>
      </c>
      <c r="I6" s="6608" t="s">
        <v>239</v>
      </c>
      <c r="J6" s="6608"/>
      <c r="K6" s="6647" t="s">
        <v>872</v>
      </c>
      <c r="L6" s="6598"/>
      <c r="M6" s="6606" t="s">
        <v>383</v>
      </c>
      <c r="N6" s="6608" t="s">
        <v>239</v>
      </c>
      <c r="O6" s="6608"/>
      <c r="P6" s="6647" t="s">
        <v>872</v>
      </c>
      <c r="Q6" s="6598"/>
      <c r="R6" s="6606" t="s">
        <v>383</v>
      </c>
      <c r="S6" s="6606"/>
      <c r="T6" s="6649" t="s">
        <v>872</v>
      </c>
      <c r="U6" s="6598"/>
      <c r="V6" s="6606" t="s">
        <v>383</v>
      </c>
      <c r="W6" s="6606"/>
      <c r="X6" s="6649" t="s">
        <v>872</v>
      </c>
    </row>
    <row r="7" spans="1:24" ht="15" customHeight="1" thickBot="1">
      <c r="A7" s="6582"/>
      <c r="B7" s="6599"/>
      <c r="C7" s="6607"/>
      <c r="D7" s="1484" t="s">
        <v>264</v>
      </c>
      <c r="E7" s="1484" t="s">
        <v>300</v>
      </c>
      <c r="F7" s="6648"/>
      <c r="G7" s="6599"/>
      <c r="H7" s="6607"/>
      <c r="I7" s="1484" t="s">
        <v>264</v>
      </c>
      <c r="J7" s="1484" t="s">
        <v>300</v>
      </c>
      <c r="K7" s="6648"/>
      <c r="L7" s="6599"/>
      <c r="M7" s="6607"/>
      <c r="N7" s="1484" t="s">
        <v>264</v>
      </c>
      <c r="O7" s="1484" t="s">
        <v>300</v>
      </c>
      <c r="P7" s="6648"/>
      <c r="Q7" s="6599"/>
      <c r="R7" s="1489" t="s">
        <v>873</v>
      </c>
      <c r="S7" s="1489" t="s">
        <v>264</v>
      </c>
      <c r="T7" s="6648"/>
      <c r="U7" s="6599"/>
      <c r="V7" s="1489" t="s">
        <v>873</v>
      </c>
      <c r="W7" s="1489" t="s">
        <v>264</v>
      </c>
      <c r="X7" s="6648"/>
    </row>
    <row r="8" spans="1:24" ht="30" customHeight="1">
      <c r="A8" s="1488" t="s">
        <v>396</v>
      </c>
      <c r="B8" s="1485">
        <f>объемы!K49/2</f>
        <v>2026.2000000000003</v>
      </c>
      <c r="C8" s="1486">
        <f>SUM(D8:E8)</f>
        <v>2003.135</v>
      </c>
      <c r="D8" s="1486">
        <f>SUM(объемы!K50/2)</f>
        <v>1222.711</v>
      </c>
      <c r="E8" s="1486">
        <f>SUM(объемы!K52+объемы!K53)/2</f>
        <v>780.42399999999998</v>
      </c>
      <c r="F8" s="1487">
        <f>SUM(объемы!K51/2)</f>
        <v>23.065000000000001</v>
      </c>
      <c r="G8" s="1485">
        <f>B8</f>
        <v>2026.2000000000003</v>
      </c>
      <c r="H8" s="1486">
        <f>C8</f>
        <v>2003.135</v>
      </c>
      <c r="I8" s="1486">
        <f>D8</f>
        <v>1222.711</v>
      </c>
      <c r="J8" s="1486">
        <f>E8</f>
        <v>780.42399999999998</v>
      </c>
      <c r="K8" s="1487">
        <f>F8</f>
        <v>23.065000000000001</v>
      </c>
      <c r="L8" s="1485">
        <f>SUM(B8+G8)</f>
        <v>4052.4000000000005</v>
      </c>
      <c r="M8" s="1486">
        <f>SUM(C8+H8)</f>
        <v>4006.27</v>
      </c>
      <c r="N8" s="1486">
        <f>SUM(D8+I8)</f>
        <v>2445.422</v>
      </c>
      <c r="O8" s="1486">
        <f>SUM(E8+J8)</f>
        <v>1560.848</v>
      </c>
      <c r="P8" s="1487">
        <f>SUM(F8+K8)</f>
        <v>46.13</v>
      </c>
      <c r="Q8" s="1485"/>
      <c r="R8" s="1490"/>
      <c r="S8" s="1490"/>
      <c r="T8" s="1491"/>
      <c r="U8" s="1492"/>
      <c r="V8" s="1490"/>
      <c r="W8" s="1490"/>
      <c r="X8" s="1491"/>
    </row>
    <row r="9" spans="1:24" ht="30" customHeight="1">
      <c r="A9" s="1471" t="s">
        <v>397</v>
      </c>
      <c r="B9" s="1477">
        <f>SUM(B10/B8)</f>
        <v>29.868180485638138</v>
      </c>
      <c r="C9" s="1478">
        <f>SUM(C10/C8)</f>
        <v>30</v>
      </c>
      <c r="D9" s="1478">
        <v>22.66</v>
      </c>
      <c r="E9" s="1478">
        <v>30</v>
      </c>
      <c r="F9" s="1479">
        <v>18.420000000000002</v>
      </c>
      <c r="G9" s="1477">
        <f>SUM(G10/G8)</f>
        <v>31.364031716518024</v>
      </c>
      <c r="H9" s="1478">
        <f>H10/H8</f>
        <v>31.503581355211516</v>
      </c>
      <c r="I9" s="1478">
        <f>D9*1.145</f>
        <v>25.945700000000002</v>
      </c>
      <c r="J9" s="1478">
        <f>SUM(H9)</f>
        <v>31.503581355211516</v>
      </c>
      <c r="K9" s="1479">
        <v>20.11</v>
      </c>
      <c r="L9" s="1477">
        <f>SUM(L10/L8)</f>
        <v>30.616106101078081</v>
      </c>
      <c r="M9" s="1478">
        <f>SUM(M10/M8)</f>
        <v>30.751790677605758</v>
      </c>
      <c r="N9" s="1478">
        <f>SUM(N10/N8)</f>
        <v>24.302850000000003</v>
      </c>
      <c r="O9" s="1478">
        <f>SUM(O10/O8)</f>
        <v>30.751790677605758</v>
      </c>
      <c r="P9" s="1479">
        <f>SUM(P10/P8)</f>
        <v>18.832255062588615</v>
      </c>
      <c r="Q9" s="1480">
        <f>SUM(G9/B9)</f>
        <v>1.0500817661658082</v>
      </c>
      <c r="R9" s="1466">
        <f>SUM(H9/C9)</f>
        <v>1.0501193785070506</v>
      </c>
      <c r="S9" s="1466">
        <f>I9/D9</f>
        <v>1.145</v>
      </c>
      <c r="T9" s="1473">
        <f>SUM(K9/F9)</f>
        <v>1.0917480998914222</v>
      </c>
      <c r="U9" s="1475" t="e">
        <f>SUM(L9/вода!AA63)</f>
        <v>#REF!</v>
      </c>
      <c r="V9" s="1467" t="e">
        <f>SUM(M9/вода!AC63)</f>
        <v>#REF!</v>
      </c>
      <c r="W9" s="1467">
        <f>SUM(N9/20.9)</f>
        <v>1.1628157894736844</v>
      </c>
      <c r="X9" s="1468" t="e">
        <f>SUM(P9/вода!AD63)</f>
        <v>#REF!</v>
      </c>
    </row>
    <row r="10" spans="1:24" ht="30" customHeight="1">
      <c r="A10" s="1471" t="s">
        <v>398</v>
      </c>
      <c r="B10" s="1477">
        <f>SUM(C10+F10)</f>
        <v>60518.907300000006</v>
      </c>
      <c r="C10" s="1478">
        <f>SUM(D10:E10)+D11</f>
        <v>60094.05</v>
      </c>
      <c r="D10" s="1478">
        <f>D9*D8</f>
        <v>27706.631260000002</v>
      </c>
      <c r="E10" s="1478">
        <f>E9*E8</f>
        <v>23412.720000000001</v>
      </c>
      <c r="F10" s="1479">
        <f>F9*F8</f>
        <v>424.85730000000007</v>
      </c>
      <c r="G10" s="1477">
        <f>SUM(L10-B10)</f>
        <v>63549.801064008832</v>
      </c>
      <c r="H10" s="1478">
        <f>SUM(M10-C10)</f>
        <v>63105.926437971619</v>
      </c>
      <c r="I10" s="1478">
        <f>I9*I8</f>
        <v>31724.092792700005</v>
      </c>
      <c r="J10" s="1478">
        <f>SUM(J8*J9)</f>
        <v>24586.150975559591</v>
      </c>
      <c r="K10" s="1479">
        <f>SUM(P10-F10)</f>
        <v>443.87462603721275</v>
      </c>
      <c r="L10" s="1477">
        <f>SUM(вода!AL62)</f>
        <v>124068.70836400884</v>
      </c>
      <c r="M10" s="1478">
        <f>SUM(вода!AN62)</f>
        <v>123199.97643797162</v>
      </c>
      <c r="N10" s="1478">
        <f>SUM(D10+I10)</f>
        <v>59430.72405270001</v>
      </c>
      <c r="O10" s="1478">
        <f>SUM(E10+J10)</f>
        <v>47998.870975559592</v>
      </c>
      <c r="P10" s="1479">
        <f>SUM(вода!AO62)</f>
        <v>868.73192603721282</v>
      </c>
      <c r="Q10" s="1477"/>
      <c r="R10" s="1464"/>
      <c r="S10" s="1464"/>
      <c r="T10" s="1465"/>
      <c r="U10" s="1474"/>
      <c r="V10" s="1464"/>
      <c r="W10" s="1464"/>
      <c r="X10" s="1465"/>
    </row>
    <row r="11" spans="1:24" ht="30" customHeight="1" thickBot="1">
      <c r="A11" s="1472" t="s">
        <v>400</v>
      </c>
      <c r="B11" s="1481">
        <f>SUM(C11:F11)</f>
        <v>8974.6987399999998</v>
      </c>
      <c r="C11" s="1482">
        <v>0</v>
      </c>
      <c r="D11" s="1482">
        <f>SUM(E9-D9)*D8</f>
        <v>8974.6987399999998</v>
      </c>
      <c r="E11" s="1482">
        <v>0</v>
      </c>
      <c r="F11" s="1483">
        <v>0</v>
      </c>
      <c r="G11" s="1481">
        <f>SUM(H11:K11)</f>
        <v>6795.682669712025</v>
      </c>
      <c r="H11" s="1482">
        <v>0</v>
      </c>
      <c r="I11" s="1482">
        <f>SUM(H9-I9)*I8</f>
        <v>6795.682669712025</v>
      </c>
      <c r="J11" s="1482">
        <v>0</v>
      </c>
      <c r="K11" s="1483">
        <v>0</v>
      </c>
      <c r="L11" s="1481">
        <f>SUM(M11:P11)</f>
        <v>15770.381409712025</v>
      </c>
      <c r="M11" s="1482">
        <v>0</v>
      </c>
      <c r="N11" s="1482">
        <f>SUM(B11+G11)</f>
        <v>15770.381409712025</v>
      </c>
      <c r="O11" s="1482">
        <v>0</v>
      </c>
      <c r="P11" s="1483">
        <v>0</v>
      </c>
      <c r="Q11" s="1481"/>
      <c r="R11" s="1469"/>
      <c r="S11" s="1469"/>
      <c r="T11" s="1470"/>
      <c r="U11" s="1476"/>
      <c r="V11" s="1469"/>
      <c r="W11" s="1469"/>
      <c r="X11" s="1470"/>
    </row>
    <row r="12" spans="1:24" ht="15" customHeight="1" thickBot="1">
      <c r="A12" s="6575"/>
      <c r="B12" s="6576"/>
      <c r="C12" s="6576"/>
      <c r="D12" s="6576"/>
      <c r="E12" s="6576"/>
      <c r="F12" s="6576"/>
      <c r="G12" s="6576"/>
      <c r="H12" s="6576"/>
      <c r="I12" s="6576"/>
      <c r="J12" s="6576"/>
      <c r="K12" s="6576"/>
      <c r="L12" s="6576"/>
      <c r="M12" s="6576"/>
      <c r="N12" s="6576"/>
      <c r="O12" s="6576"/>
      <c r="P12" s="6576"/>
      <c r="Q12" s="6576"/>
      <c r="R12" s="6576"/>
      <c r="S12" s="6576"/>
      <c r="T12" s="6576"/>
      <c r="U12" s="6576"/>
      <c r="V12" s="6576"/>
      <c r="W12" s="6576"/>
      <c r="X12" s="6577"/>
    </row>
    <row r="13" spans="1:24" ht="15" customHeight="1" thickBot="1">
      <c r="A13" s="5832">
        <v>2015</v>
      </c>
      <c r="B13" s="6583" t="s">
        <v>399</v>
      </c>
      <c r="C13" s="6583"/>
      <c r="D13" s="6583"/>
      <c r="E13" s="6583"/>
      <c r="F13" s="6583"/>
      <c r="G13" s="6583"/>
      <c r="H13" s="6583"/>
      <c r="I13" s="6583"/>
      <c r="J13" s="6583"/>
      <c r="K13" s="6583"/>
      <c r="L13" s="6583"/>
      <c r="M13" s="6583"/>
      <c r="N13" s="6583"/>
      <c r="O13" s="6583"/>
      <c r="P13" s="6584"/>
      <c r="Q13" s="6585" t="s">
        <v>406</v>
      </c>
      <c r="R13" s="6586"/>
      <c r="S13" s="6586"/>
      <c r="T13" s="6587"/>
      <c r="U13" s="6585" t="s">
        <v>407</v>
      </c>
      <c r="V13" s="6586"/>
      <c r="W13" s="6586"/>
      <c r="X13" s="6587"/>
    </row>
    <row r="14" spans="1:24" ht="15" customHeight="1" thickBot="1">
      <c r="A14" s="6581"/>
      <c r="B14" s="6591" t="s">
        <v>403</v>
      </c>
      <c r="C14" s="6592"/>
      <c r="D14" s="6592"/>
      <c r="E14" s="6592"/>
      <c r="F14" s="6593"/>
      <c r="G14" s="6594" t="s">
        <v>404</v>
      </c>
      <c r="H14" s="6595"/>
      <c r="I14" s="6595"/>
      <c r="J14" s="6595"/>
      <c r="K14" s="5766"/>
      <c r="L14" s="6594" t="s">
        <v>379</v>
      </c>
      <c r="M14" s="6595"/>
      <c r="N14" s="6595"/>
      <c r="O14" s="6595"/>
      <c r="P14" s="6596"/>
      <c r="Q14" s="6588"/>
      <c r="R14" s="6589"/>
      <c r="S14" s="6589"/>
      <c r="T14" s="6590"/>
      <c r="U14" s="6588"/>
      <c r="V14" s="6589"/>
      <c r="W14" s="6589"/>
      <c r="X14" s="6590"/>
    </row>
    <row r="15" spans="1:24" ht="15" customHeight="1">
      <c r="A15" s="6581"/>
      <c r="B15" s="6597" t="s">
        <v>301</v>
      </c>
      <c r="C15" s="6600" t="s">
        <v>50</v>
      </c>
      <c r="D15" s="6600"/>
      <c r="E15" s="6600"/>
      <c r="F15" s="6601"/>
      <c r="G15" s="5966" t="s">
        <v>301</v>
      </c>
      <c r="H15" s="6602" t="s">
        <v>50</v>
      </c>
      <c r="I15" s="6602"/>
      <c r="J15" s="6602"/>
      <c r="K15" s="6603"/>
      <c r="L15" s="5966" t="s">
        <v>301</v>
      </c>
      <c r="M15" s="6602" t="s">
        <v>50</v>
      </c>
      <c r="N15" s="6602"/>
      <c r="O15" s="6602"/>
      <c r="P15" s="6603"/>
      <c r="Q15" s="5966" t="s">
        <v>301</v>
      </c>
      <c r="R15" s="6604" t="s">
        <v>50</v>
      </c>
      <c r="S15" s="6604"/>
      <c r="T15" s="6605"/>
      <c r="U15" s="5966" t="s">
        <v>301</v>
      </c>
      <c r="V15" s="6604" t="s">
        <v>50</v>
      </c>
      <c r="W15" s="6604"/>
      <c r="X15" s="6605"/>
    </row>
    <row r="16" spans="1:24" ht="15" customHeight="1">
      <c r="A16" s="6581"/>
      <c r="B16" s="6598"/>
      <c r="C16" s="6606" t="s">
        <v>383</v>
      </c>
      <c r="D16" s="6608" t="s">
        <v>239</v>
      </c>
      <c r="E16" s="6608"/>
      <c r="F16" s="6647" t="s">
        <v>872</v>
      </c>
      <c r="G16" s="6598"/>
      <c r="H16" s="6606" t="s">
        <v>383</v>
      </c>
      <c r="I16" s="6608" t="s">
        <v>239</v>
      </c>
      <c r="J16" s="6608"/>
      <c r="K16" s="6647" t="s">
        <v>872</v>
      </c>
      <c r="L16" s="6598"/>
      <c r="M16" s="6606" t="s">
        <v>383</v>
      </c>
      <c r="N16" s="6608" t="s">
        <v>239</v>
      </c>
      <c r="O16" s="6608"/>
      <c r="P16" s="6647" t="s">
        <v>872</v>
      </c>
      <c r="Q16" s="6598"/>
      <c r="R16" s="6606" t="s">
        <v>383</v>
      </c>
      <c r="S16" s="6606"/>
      <c r="T16" s="6649" t="s">
        <v>872</v>
      </c>
      <c r="U16" s="6598"/>
      <c r="V16" s="6606" t="s">
        <v>383</v>
      </c>
      <c r="W16" s="6606"/>
      <c r="X16" s="6649" t="s">
        <v>872</v>
      </c>
    </row>
    <row r="17" spans="1:24" ht="15" customHeight="1" thickBot="1">
      <c r="A17" s="6582"/>
      <c r="B17" s="6599"/>
      <c r="C17" s="6607"/>
      <c r="D17" s="1484" t="s">
        <v>264</v>
      </c>
      <c r="E17" s="1484" t="s">
        <v>300</v>
      </c>
      <c r="F17" s="6648"/>
      <c r="G17" s="6599"/>
      <c r="H17" s="6607"/>
      <c r="I17" s="1484" t="s">
        <v>264</v>
      </c>
      <c r="J17" s="1484" t="s">
        <v>300</v>
      </c>
      <c r="K17" s="6648"/>
      <c r="L17" s="6599"/>
      <c r="M17" s="6607"/>
      <c r="N17" s="1484" t="s">
        <v>264</v>
      </c>
      <c r="O17" s="1484" t="s">
        <v>300</v>
      </c>
      <c r="P17" s="6648"/>
      <c r="Q17" s="6599"/>
      <c r="R17" s="1489" t="s">
        <v>873</v>
      </c>
      <c r="S17" s="1489" t="s">
        <v>264</v>
      </c>
      <c r="T17" s="6648"/>
      <c r="U17" s="6599"/>
      <c r="V17" s="1489" t="s">
        <v>873</v>
      </c>
      <c r="W17" s="1489" t="s">
        <v>264</v>
      </c>
      <c r="X17" s="6648"/>
    </row>
    <row r="18" spans="1:24" ht="30" customHeight="1">
      <c r="A18" s="1488" t="s">
        <v>396</v>
      </c>
      <c r="B18" s="1485">
        <f>SUM(B8)</f>
        <v>2026.2000000000003</v>
      </c>
      <c r="C18" s="1486">
        <f t="shared" ref="C18:P18" si="0">SUM(C8)</f>
        <v>2003.135</v>
      </c>
      <c r="D18" s="1486">
        <f t="shared" si="0"/>
        <v>1222.711</v>
      </c>
      <c r="E18" s="1486">
        <f t="shared" si="0"/>
        <v>780.42399999999998</v>
      </c>
      <c r="F18" s="1487">
        <f t="shared" si="0"/>
        <v>23.065000000000001</v>
      </c>
      <c r="G18" s="1485">
        <f t="shared" si="0"/>
        <v>2026.2000000000003</v>
      </c>
      <c r="H18" s="1486">
        <f t="shared" si="0"/>
        <v>2003.135</v>
      </c>
      <c r="I18" s="1486">
        <f t="shared" si="0"/>
        <v>1222.711</v>
      </c>
      <c r="J18" s="1486">
        <f t="shared" si="0"/>
        <v>780.42399999999998</v>
      </c>
      <c r="K18" s="1487">
        <f t="shared" si="0"/>
        <v>23.065000000000001</v>
      </c>
      <c r="L18" s="1485">
        <f t="shared" si="0"/>
        <v>4052.4000000000005</v>
      </c>
      <c r="M18" s="1486">
        <f t="shared" si="0"/>
        <v>4006.27</v>
      </c>
      <c r="N18" s="1486">
        <f t="shared" si="0"/>
        <v>2445.422</v>
      </c>
      <c r="O18" s="1486">
        <f t="shared" si="0"/>
        <v>1560.848</v>
      </c>
      <c r="P18" s="1487">
        <f t="shared" si="0"/>
        <v>46.13</v>
      </c>
      <c r="Q18" s="1485"/>
      <c r="R18" s="1490"/>
      <c r="S18" s="1490"/>
      <c r="T18" s="1491"/>
      <c r="U18" s="1492"/>
      <c r="V18" s="1490"/>
      <c r="W18" s="1490"/>
      <c r="X18" s="1491"/>
    </row>
    <row r="19" spans="1:24" ht="30" customHeight="1">
      <c r="A19" s="1471" t="s">
        <v>397</v>
      </c>
      <c r="B19" s="1477">
        <f>SUM(B20/B18)</f>
        <v>27.535045257131575</v>
      </c>
      <c r="C19" s="1478">
        <f>SUM(C20/C18)</f>
        <v>27.64</v>
      </c>
      <c r="D19" s="1478">
        <v>22.66</v>
      </c>
      <c r="E19" s="1478">
        <v>27.64</v>
      </c>
      <c r="F19" s="1479">
        <v>18.420000000000002</v>
      </c>
      <c r="G19" s="1477">
        <f>SUM(G20/G18)</f>
        <v>31.50389875827106</v>
      </c>
      <c r="H19" s="1478">
        <f>H20/H18</f>
        <v>31.645058889177026</v>
      </c>
      <c r="I19" s="1478">
        <f>D19*1.145</f>
        <v>25.945700000000002</v>
      </c>
      <c r="J19" s="1478">
        <f>SUM(H19)</f>
        <v>31.645058889177026</v>
      </c>
      <c r="K19" s="1479">
        <v>20.11</v>
      </c>
      <c r="L19" s="1477">
        <f>SUM(L20/L18)</f>
        <v>29.519472007701317</v>
      </c>
      <c r="M19" s="1478">
        <f>SUM(M20/M18)</f>
        <v>29.642529444588511</v>
      </c>
      <c r="N19" s="1478">
        <f>SUM(N20/N18)</f>
        <v>24.302850000000003</v>
      </c>
      <c r="O19" s="1478">
        <f>SUM(O20/O18)</f>
        <v>29.642529444588511</v>
      </c>
      <c r="P19" s="1479">
        <f>SUM(P20/P18)</f>
        <v>18.832255062588615</v>
      </c>
      <c r="Q19" s="1480">
        <f>SUM(G19/B19)</f>
        <v>1.1441382595916219</v>
      </c>
      <c r="R19" s="1466">
        <f>SUM(H19/C19)</f>
        <v>1.1449008281178374</v>
      </c>
      <c r="S19" s="1466">
        <f>I19/D19</f>
        <v>1.145</v>
      </c>
      <c r="T19" s="1473">
        <f>SUM(K19/F19)</f>
        <v>1.0917480998914222</v>
      </c>
      <c r="U19" s="1475" t="e">
        <f>SUM(L19/вода!AA60)</f>
        <v>#REF!</v>
      </c>
      <c r="V19" s="1467" t="e">
        <f>SUM(M19/вода!AC60)</f>
        <v>#REF!</v>
      </c>
      <c r="W19" s="1467">
        <f>SUM(N19/20.9)</f>
        <v>1.1628157894736844</v>
      </c>
      <c r="X19" s="1468" t="e">
        <f>SUM(P19/вода!AD60)</f>
        <v>#REF!</v>
      </c>
    </row>
    <row r="20" spans="1:24" ht="30" customHeight="1">
      <c r="A20" s="1471" t="s">
        <v>398</v>
      </c>
      <c r="B20" s="1477">
        <f>SUM(C20+F20)</f>
        <v>55791.508700000006</v>
      </c>
      <c r="C20" s="1478">
        <f>SUM(D20:E20)+D21</f>
        <v>55366.651400000002</v>
      </c>
      <c r="D20" s="1478">
        <f>D19*D18</f>
        <v>27706.631260000002</v>
      </c>
      <c r="E20" s="1478">
        <f>E19*E18</f>
        <v>21570.91936</v>
      </c>
      <c r="F20" s="1479">
        <f>F19*F18</f>
        <v>424.85730000000007</v>
      </c>
      <c r="G20" s="1477">
        <f>SUM(L20-B20)</f>
        <v>63833.199664008833</v>
      </c>
      <c r="H20" s="1478">
        <f>SUM(M20-C20)</f>
        <v>63389.325037971619</v>
      </c>
      <c r="I20" s="1478">
        <f>I19*I18</f>
        <v>31724.092792700005</v>
      </c>
      <c r="J20" s="1478">
        <f>SUM(J18*J19)</f>
        <v>24696.56343852709</v>
      </c>
      <c r="K20" s="1479">
        <f>SUM(P20-F20)</f>
        <v>443.87462603721275</v>
      </c>
      <c r="L20" s="1477">
        <f>SUM(вода!AL59)</f>
        <v>119624.70836400884</v>
      </c>
      <c r="M20" s="1478">
        <f>SUM(вода!AN59)</f>
        <v>118755.97643797162</v>
      </c>
      <c r="N20" s="1478">
        <f>SUM(D20+I20)</f>
        <v>59430.72405270001</v>
      </c>
      <c r="O20" s="1478">
        <f>SUM(E20+J20)</f>
        <v>46267.482798527089</v>
      </c>
      <c r="P20" s="1479">
        <f>SUM(вода!AO59)</f>
        <v>868.73192603721282</v>
      </c>
      <c r="Q20" s="1477"/>
      <c r="R20" s="1464"/>
      <c r="S20" s="1464"/>
      <c r="T20" s="1465"/>
      <c r="U20" s="1474"/>
      <c r="V20" s="1464"/>
      <c r="W20" s="1464"/>
      <c r="X20" s="1465"/>
    </row>
    <row r="21" spans="1:24" ht="30" customHeight="1" thickBot="1">
      <c r="A21" s="1472" t="s">
        <v>400</v>
      </c>
      <c r="B21" s="1481">
        <f>SUM(C21:F21)</f>
        <v>6089.1007800000007</v>
      </c>
      <c r="C21" s="1482">
        <v>0</v>
      </c>
      <c r="D21" s="1482">
        <f>SUM(E19-D19)*D18</f>
        <v>6089.1007800000007</v>
      </c>
      <c r="E21" s="1482">
        <v>0</v>
      </c>
      <c r="F21" s="1483">
        <v>0</v>
      </c>
      <c r="G21" s="1481">
        <f>SUM(H21:K21)</f>
        <v>6968.6688067445275</v>
      </c>
      <c r="H21" s="1482">
        <v>0</v>
      </c>
      <c r="I21" s="1482">
        <f>SUM(H19-I19)*I18</f>
        <v>6968.6688067445275</v>
      </c>
      <c r="J21" s="1482">
        <v>0</v>
      </c>
      <c r="K21" s="1483">
        <v>0</v>
      </c>
      <c r="L21" s="1481">
        <f>SUM(M21:P21)</f>
        <v>13057.769586744529</v>
      </c>
      <c r="M21" s="1482">
        <v>0</v>
      </c>
      <c r="N21" s="1482">
        <f>SUM(B21+G21)</f>
        <v>13057.769586744529</v>
      </c>
      <c r="O21" s="1482">
        <v>0</v>
      </c>
      <c r="P21" s="1483">
        <v>0</v>
      </c>
      <c r="Q21" s="1481"/>
      <c r="R21" s="1469"/>
      <c r="S21" s="1469"/>
      <c r="T21" s="1470"/>
      <c r="U21" s="1476"/>
      <c r="V21" s="1469"/>
      <c r="W21" s="1469"/>
      <c r="X21" s="1470"/>
    </row>
    <row r="22" spans="1:24" ht="26.25" customHeight="1" thickBot="1">
      <c r="A22" s="6578" t="s">
        <v>876</v>
      </c>
      <c r="B22" s="6579"/>
      <c r="C22" s="6579"/>
      <c r="D22" s="6579"/>
      <c r="E22" s="6579"/>
      <c r="F22" s="6579"/>
      <c r="G22" s="6579"/>
      <c r="H22" s="6579"/>
      <c r="I22" s="6579"/>
      <c r="J22" s="6579"/>
      <c r="K22" s="6579"/>
      <c r="L22" s="6579"/>
      <c r="M22" s="6579"/>
      <c r="N22" s="6579"/>
      <c r="O22" s="6579"/>
      <c r="P22" s="6579"/>
      <c r="Q22" s="6579"/>
      <c r="R22" s="6579"/>
      <c r="S22" s="6579"/>
      <c r="T22" s="6579"/>
      <c r="U22" s="6579"/>
      <c r="V22" s="6579"/>
      <c r="W22" s="6579"/>
      <c r="X22" s="6580"/>
    </row>
    <row r="23" spans="1:24" ht="15" customHeight="1" thickBot="1">
      <c r="A23" s="5832">
        <v>2016</v>
      </c>
      <c r="B23" s="6583" t="s">
        <v>402</v>
      </c>
      <c r="C23" s="6583"/>
      <c r="D23" s="6583"/>
      <c r="E23" s="6583"/>
      <c r="F23" s="6583"/>
      <c r="G23" s="6583"/>
      <c r="H23" s="6583"/>
      <c r="I23" s="6583"/>
      <c r="J23" s="6583"/>
      <c r="K23" s="6583"/>
      <c r="L23" s="6583"/>
      <c r="M23" s="6583"/>
      <c r="N23" s="6583"/>
      <c r="O23" s="6583"/>
      <c r="P23" s="6584"/>
      <c r="Q23" s="6585" t="s">
        <v>406</v>
      </c>
      <c r="R23" s="6586"/>
      <c r="S23" s="6586"/>
      <c r="T23" s="6587"/>
      <c r="U23" s="6585" t="s">
        <v>407</v>
      </c>
      <c r="V23" s="6586"/>
      <c r="W23" s="6586"/>
      <c r="X23" s="6587"/>
    </row>
    <row r="24" spans="1:24" ht="15" customHeight="1" thickBot="1">
      <c r="A24" s="6581"/>
      <c r="B24" s="6591" t="s">
        <v>870</v>
      </c>
      <c r="C24" s="6592"/>
      <c r="D24" s="6592"/>
      <c r="E24" s="6592"/>
      <c r="F24" s="6593"/>
      <c r="G24" s="6594" t="s">
        <v>871</v>
      </c>
      <c r="H24" s="6595"/>
      <c r="I24" s="6595"/>
      <c r="J24" s="6595"/>
      <c r="K24" s="5766"/>
      <c r="L24" s="6594" t="s">
        <v>832</v>
      </c>
      <c r="M24" s="6595"/>
      <c r="N24" s="6595"/>
      <c r="O24" s="6595"/>
      <c r="P24" s="6596"/>
      <c r="Q24" s="6588"/>
      <c r="R24" s="6589"/>
      <c r="S24" s="6589"/>
      <c r="T24" s="6590"/>
      <c r="U24" s="6588"/>
      <c r="V24" s="6589"/>
      <c r="W24" s="6589"/>
      <c r="X24" s="6590"/>
    </row>
    <row r="25" spans="1:24" ht="15" customHeight="1">
      <c r="A25" s="6581"/>
      <c r="B25" s="6597" t="s">
        <v>301</v>
      </c>
      <c r="C25" s="6600" t="s">
        <v>50</v>
      </c>
      <c r="D25" s="6600"/>
      <c r="E25" s="6600"/>
      <c r="F25" s="6601"/>
      <c r="G25" s="5966" t="s">
        <v>301</v>
      </c>
      <c r="H25" s="6602" t="s">
        <v>50</v>
      </c>
      <c r="I25" s="6602"/>
      <c r="J25" s="6602"/>
      <c r="K25" s="6603"/>
      <c r="L25" s="5966" t="s">
        <v>301</v>
      </c>
      <c r="M25" s="6602" t="s">
        <v>50</v>
      </c>
      <c r="N25" s="6602"/>
      <c r="O25" s="6602"/>
      <c r="P25" s="6603"/>
      <c r="Q25" s="5966" t="s">
        <v>301</v>
      </c>
      <c r="R25" s="6604" t="s">
        <v>50</v>
      </c>
      <c r="S25" s="6604"/>
      <c r="T25" s="6605"/>
      <c r="U25" s="5966" t="s">
        <v>301</v>
      </c>
      <c r="V25" s="6604" t="s">
        <v>50</v>
      </c>
      <c r="W25" s="6604"/>
      <c r="X25" s="6605"/>
    </row>
    <row r="26" spans="1:24" ht="15" customHeight="1">
      <c r="A26" s="6581"/>
      <c r="B26" s="6598"/>
      <c r="C26" s="6606" t="s">
        <v>383</v>
      </c>
      <c r="D26" s="6608" t="s">
        <v>239</v>
      </c>
      <c r="E26" s="6608"/>
      <c r="F26" s="6647" t="s">
        <v>872</v>
      </c>
      <c r="G26" s="6598"/>
      <c r="H26" s="6606" t="s">
        <v>383</v>
      </c>
      <c r="I26" s="6608" t="s">
        <v>239</v>
      </c>
      <c r="J26" s="6608"/>
      <c r="K26" s="6647" t="s">
        <v>872</v>
      </c>
      <c r="L26" s="6598"/>
      <c r="M26" s="6606" t="s">
        <v>383</v>
      </c>
      <c r="N26" s="6608" t="s">
        <v>239</v>
      </c>
      <c r="O26" s="6608"/>
      <c r="P26" s="6647" t="s">
        <v>872</v>
      </c>
      <c r="Q26" s="6598"/>
      <c r="R26" s="6606" t="s">
        <v>383</v>
      </c>
      <c r="S26" s="6606"/>
      <c r="T26" s="6649" t="s">
        <v>872</v>
      </c>
      <c r="U26" s="6598"/>
      <c r="V26" s="6606" t="s">
        <v>383</v>
      </c>
      <c r="W26" s="6606"/>
      <c r="X26" s="6649" t="s">
        <v>872</v>
      </c>
    </row>
    <row r="27" spans="1:24" ht="15" customHeight="1" thickBot="1">
      <c r="A27" s="6582"/>
      <c r="B27" s="6599"/>
      <c r="C27" s="6607"/>
      <c r="D27" s="1484" t="s">
        <v>264</v>
      </c>
      <c r="E27" s="1484" t="s">
        <v>300</v>
      </c>
      <c r="F27" s="6648"/>
      <c r="G27" s="6599"/>
      <c r="H27" s="6607"/>
      <c r="I27" s="1484" t="s">
        <v>264</v>
      </c>
      <c r="J27" s="1484" t="s">
        <v>300</v>
      </c>
      <c r="K27" s="6648"/>
      <c r="L27" s="6599"/>
      <c r="M27" s="6607"/>
      <c r="N27" s="1484" t="s">
        <v>264</v>
      </c>
      <c r="O27" s="1484" t="s">
        <v>300</v>
      </c>
      <c r="P27" s="6648"/>
      <c r="Q27" s="6599"/>
      <c r="R27" s="1489" t="s">
        <v>873</v>
      </c>
      <c r="S27" s="1489" t="s">
        <v>264</v>
      </c>
      <c r="T27" s="6648"/>
      <c r="U27" s="6599"/>
      <c r="V27" s="1489" t="s">
        <v>873</v>
      </c>
      <c r="W27" s="1489" t="s">
        <v>264</v>
      </c>
      <c r="X27" s="6648"/>
    </row>
    <row r="28" spans="1:24" ht="30" customHeight="1">
      <c r="A28" s="1488" t="s">
        <v>396</v>
      </c>
      <c r="B28" s="1485">
        <f>SUM(объемы!T49/2)</f>
        <v>2005.3184999999999</v>
      </c>
      <c r="C28" s="1486">
        <f>SUM(D28:E28)</f>
        <v>1994.6085</v>
      </c>
      <c r="D28" s="1486">
        <f>SUM(объемы!T50/2)</f>
        <v>1214.28</v>
      </c>
      <c r="E28" s="1486">
        <f>SUM(объемы!T52+объемы!T53)/2</f>
        <v>780.32850000000008</v>
      </c>
      <c r="F28" s="1487">
        <f>SUM(объемы!T51/2)</f>
        <v>10.71</v>
      </c>
      <c r="G28" s="1485">
        <f>B28</f>
        <v>2005.3184999999999</v>
      </c>
      <c r="H28" s="1486">
        <f>C28</f>
        <v>1994.6085</v>
      </c>
      <c r="I28" s="1486">
        <f>D28</f>
        <v>1214.28</v>
      </c>
      <c r="J28" s="1486">
        <f>E28</f>
        <v>780.32850000000008</v>
      </c>
      <c r="K28" s="1487">
        <f>F28</f>
        <v>10.71</v>
      </c>
      <c r="L28" s="1485">
        <f>SUM(B28+G28)</f>
        <v>4010.6369999999997</v>
      </c>
      <c r="M28" s="1486">
        <f>SUM(C28+H28)</f>
        <v>3989.2170000000001</v>
      </c>
      <c r="N28" s="1486">
        <f>SUM(D28+I28)</f>
        <v>2428.56</v>
      </c>
      <c r="O28" s="1486">
        <f>SUM(E28+J28)</f>
        <v>1560.6570000000002</v>
      </c>
      <c r="P28" s="1487">
        <f>SUM(F28+K28)</f>
        <v>21.42</v>
      </c>
      <c r="Q28" s="1485"/>
      <c r="R28" s="1490"/>
      <c r="S28" s="1490"/>
      <c r="T28" s="1491"/>
      <c r="U28" s="1492"/>
      <c r="V28" s="1490"/>
      <c r="W28" s="1490"/>
      <c r="X28" s="1491"/>
    </row>
    <row r="29" spans="1:24" ht="30" customHeight="1">
      <c r="A29" s="1471" t="s">
        <v>397</v>
      </c>
      <c r="B29" s="1477">
        <f>SUM(B30/B28)</f>
        <v>31.442730544572555</v>
      </c>
      <c r="C29" s="1478">
        <f>SUM(C30/C28)</f>
        <v>31.503581355211516</v>
      </c>
      <c r="D29" s="1478">
        <f>SUM(I9)</f>
        <v>25.945700000000002</v>
      </c>
      <c r="E29" s="1478">
        <f>SUM(J9)</f>
        <v>31.503581355211516</v>
      </c>
      <c r="F29" s="1479">
        <f>SUM(K9)</f>
        <v>20.11</v>
      </c>
      <c r="G29" s="1477">
        <f>SUM(G30/G28)</f>
        <v>41.338733443360752</v>
      </c>
      <c r="H29" s="1478">
        <f>H30/H28</f>
        <v>41.424581941572896</v>
      </c>
      <c r="I29" s="1478">
        <f>D29*1.2</f>
        <v>31.134840000000001</v>
      </c>
      <c r="J29" s="1478">
        <f>SUM(H29)</f>
        <v>41.424581941572896</v>
      </c>
      <c r="K29" s="1479">
        <f t="shared" ref="K29:P29" si="1">SUM(K30/K28)</f>
        <v>25.350484680875475</v>
      </c>
      <c r="L29" s="1477">
        <f t="shared" si="1"/>
        <v>36.390731993966654</v>
      </c>
      <c r="M29" s="1478">
        <f t="shared" si="1"/>
        <v>36.464081648392202</v>
      </c>
      <c r="N29" s="1478">
        <f t="shared" si="1"/>
        <v>28.540270000000003</v>
      </c>
      <c r="O29" s="1478">
        <f t="shared" si="1"/>
        <v>36.464081648392209</v>
      </c>
      <c r="P29" s="1479">
        <f t="shared" si="1"/>
        <v>22.730242340437737</v>
      </c>
      <c r="Q29" s="1480">
        <f>SUM(G29/B29)</f>
        <v>1.3147310277254651</v>
      </c>
      <c r="R29" s="1466">
        <f>SUM(H29/C29)</f>
        <v>1.3149165954974891</v>
      </c>
      <c r="S29" s="1466">
        <f>I29/D29</f>
        <v>1.2</v>
      </c>
      <c r="T29" s="1473">
        <f>SUM(K29/F29)</f>
        <v>1.2605909836337879</v>
      </c>
      <c r="U29" s="1475">
        <f>SUM(L29/L9)</f>
        <v>1.1886139887882488</v>
      </c>
      <c r="V29" s="1467">
        <f>SUM(M29/M9)</f>
        <v>1.1857547428919735</v>
      </c>
      <c r="W29" s="1467">
        <f>SUM(N29/N9)</f>
        <v>1.1743589743589744</v>
      </c>
      <c r="X29" s="1468">
        <f>SUM(P29/P9)</f>
        <v>1.2069846263707793</v>
      </c>
    </row>
    <row r="30" spans="1:24" ht="30" customHeight="1">
      <c r="A30" s="1471" t="s">
        <v>398</v>
      </c>
      <c r="B30" s="1477">
        <f>SUM(C30+F30)</f>
        <v>63052.689251546413</v>
      </c>
      <c r="C30" s="1478">
        <f>SUM(D30:E30)+D31</f>
        <v>62837.311151546412</v>
      </c>
      <c r="D30" s="1478">
        <f>D29*D28</f>
        <v>31505.344596000003</v>
      </c>
      <c r="E30" s="1478">
        <f>E29*E28</f>
        <v>24583.142383540173</v>
      </c>
      <c r="F30" s="1479">
        <f>F29*F28</f>
        <v>215.37810000000002</v>
      </c>
      <c r="G30" s="1477">
        <f>SUM(L30-B30)</f>
        <v>82897.326940540006</v>
      </c>
      <c r="H30" s="1478">
        <f>SUM(M30-C30)</f>
        <v>82625.823249607798</v>
      </c>
      <c r="I30" s="1478">
        <f>I29*I28</f>
        <v>37806.413515200002</v>
      </c>
      <c r="J30" s="1478">
        <f>SUM(J28*J29)</f>
        <v>32324.781889594669</v>
      </c>
      <c r="K30" s="1479">
        <f>SUM(P30-F30)</f>
        <v>271.50369093217637</v>
      </c>
      <c r="L30" s="1477">
        <f>SUM(вода!BC62)</f>
        <v>145950.01619208642</v>
      </c>
      <c r="M30" s="1478">
        <f>SUM(вода!BE62)</f>
        <v>145463.13440115421</v>
      </c>
      <c r="N30" s="1478">
        <f>SUM(D30+I30)</f>
        <v>69311.758111200004</v>
      </c>
      <c r="O30" s="1478">
        <f>SUM(E30+J30)</f>
        <v>56907.924273134842</v>
      </c>
      <c r="P30" s="1479">
        <f>SUM(вода!BF62)</f>
        <v>486.88179093217639</v>
      </c>
      <c r="Q30" s="1477"/>
      <c r="R30" s="1464"/>
      <c r="S30" s="1464"/>
      <c r="T30" s="1465"/>
      <c r="U30" s="1474"/>
      <c r="V30" s="1464"/>
      <c r="W30" s="1464"/>
      <c r="X30" s="1465"/>
    </row>
    <row r="31" spans="1:24" ht="30" customHeight="1" thickBot="1">
      <c r="A31" s="1472" t="s">
        <v>400</v>
      </c>
      <c r="B31" s="1481">
        <f>SUM(C31:F31)</f>
        <v>6748.8241720062369</v>
      </c>
      <c r="C31" s="1482">
        <v>0</v>
      </c>
      <c r="D31" s="1482">
        <f>SUM(E29-D29)*D28</f>
        <v>6748.8241720062369</v>
      </c>
      <c r="E31" s="1482">
        <v>0</v>
      </c>
      <c r="F31" s="1483">
        <v>0</v>
      </c>
      <c r="G31" s="1481">
        <f>SUM(H31:K31)</f>
        <v>12494.627844813136</v>
      </c>
      <c r="H31" s="1482">
        <v>0</v>
      </c>
      <c r="I31" s="1482">
        <f>SUM(H29-I29)*I28</f>
        <v>12494.627844813136</v>
      </c>
      <c r="J31" s="1482">
        <v>0</v>
      </c>
      <c r="K31" s="1483">
        <v>0</v>
      </c>
      <c r="L31" s="1481">
        <f>SUM(M31:P31)</f>
        <v>19243.452016819374</v>
      </c>
      <c r="M31" s="1482">
        <v>0</v>
      </c>
      <c r="N31" s="1482">
        <f>SUM(B31+G31)</f>
        <v>19243.452016819374</v>
      </c>
      <c r="O31" s="1482">
        <v>0</v>
      </c>
      <c r="P31" s="1483">
        <v>0</v>
      </c>
      <c r="Q31" s="1481"/>
      <c r="R31" s="1469"/>
      <c r="S31" s="1469"/>
      <c r="T31" s="1470"/>
      <c r="U31" s="1476"/>
      <c r="V31" s="1469"/>
      <c r="W31" s="1469"/>
      <c r="X31" s="1470"/>
    </row>
    <row r="32" spans="1:24" ht="15" customHeight="1" thickBot="1">
      <c r="A32" s="6575"/>
      <c r="B32" s="6576"/>
      <c r="C32" s="6576"/>
      <c r="D32" s="6576"/>
      <c r="E32" s="6576"/>
      <c r="F32" s="6576"/>
      <c r="G32" s="6576"/>
      <c r="H32" s="6576"/>
      <c r="I32" s="6576"/>
      <c r="J32" s="6576"/>
      <c r="K32" s="6576"/>
      <c r="L32" s="6576"/>
      <c r="M32" s="6576"/>
      <c r="N32" s="6576"/>
      <c r="O32" s="6576"/>
      <c r="P32" s="6576"/>
      <c r="Q32" s="6576"/>
      <c r="R32" s="6576"/>
      <c r="S32" s="6576"/>
      <c r="T32" s="6576"/>
      <c r="U32" s="6576"/>
      <c r="V32" s="6576"/>
      <c r="W32" s="6576"/>
      <c r="X32" s="6577"/>
    </row>
    <row r="33" spans="1:24" ht="15" customHeight="1" thickBot="1">
      <c r="A33" s="5832">
        <v>2016</v>
      </c>
      <c r="B33" s="6583" t="s">
        <v>399</v>
      </c>
      <c r="C33" s="6583"/>
      <c r="D33" s="6583"/>
      <c r="E33" s="6583"/>
      <c r="F33" s="6583"/>
      <c r="G33" s="6583"/>
      <c r="H33" s="6583"/>
      <c r="I33" s="6583"/>
      <c r="J33" s="6583"/>
      <c r="K33" s="6583"/>
      <c r="L33" s="6583"/>
      <c r="M33" s="6583"/>
      <c r="N33" s="6583"/>
      <c r="O33" s="6583"/>
      <c r="P33" s="6584"/>
      <c r="Q33" s="6585" t="s">
        <v>406</v>
      </c>
      <c r="R33" s="6586"/>
      <c r="S33" s="6586"/>
      <c r="T33" s="6587"/>
      <c r="U33" s="6585" t="s">
        <v>407</v>
      </c>
      <c r="V33" s="6586"/>
      <c r="W33" s="6586"/>
      <c r="X33" s="6587"/>
    </row>
    <row r="34" spans="1:24" ht="15" customHeight="1" thickBot="1">
      <c r="A34" s="6581"/>
      <c r="B34" s="6591" t="s">
        <v>870</v>
      </c>
      <c r="C34" s="6592"/>
      <c r="D34" s="6592"/>
      <c r="E34" s="6592"/>
      <c r="F34" s="6593"/>
      <c r="G34" s="6594" t="s">
        <v>871</v>
      </c>
      <c r="H34" s="6595"/>
      <c r="I34" s="6595"/>
      <c r="J34" s="6595"/>
      <c r="K34" s="5766"/>
      <c r="L34" s="6594" t="s">
        <v>832</v>
      </c>
      <c r="M34" s="6595"/>
      <c r="N34" s="6595"/>
      <c r="O34" s="6595"/>
      <c r="P34" s="6596"/>
      <c r="Q34" s="6588"/>
      <c r="R34" s="6589"/>
      <c r="S34" s="6589"/>
      <c r="T34" s="6590"/>
      <c r="U34" s="6588"/>
      <c r="V34" s="6589"/>
      <c r="W34" s="6589"/>
      <c r="X34" s="6590"/>
    </row>
    <row r="35" spans="1:24" ht="15" customHeight="1">
      <c r="A35" s="6581"/>
      <c r="B35" s="6597" t="s">
        <v>301</v>
      </c>
      <c r="C35" s="6600" t="s">
        <v>50</v>
      </c>
      <c r="D35" s="6600"/>
      <c r="E35" s="6600"/>
      <c r="F35" s="6601"/>
      <c r="G35" s="5966" t="s">
        <v>301</v>
      </c>
      <c r="H35" s="6602" t="s">
        <v>50</v>
      </c>
      <c r="I35" s="6602"/>
      <c r="J35" s="6602"/>
      <c r="K35" s="6603"/>
      <c r="L35" s="5966" t="s">
        <v>301</v>
      </c>
      <c r="M35" s="6602" t="s">
        <v>50</v>
      </c>
      <c r="N35" s="6602"/>
      <c r="O35" s="6602"/>
      <c r="P35" s="6603"/>
      <c r="Q35" s="5966" t="s">
        <v>301</v>
      </c>
      <c r="R35" s="6604" t="s">
        <v>50</v>
      </c>
      <c r="S35" s="6604"/>
      <c r="T35" s="6605"/>
      <c r="U35" s="5966" t="s">
        <v>301</v>
      </c>
      <c r="V35" s="6604" t="s">
        <v>50</v>
      </c>
      <c r="W35" s="6604"/>
      <c r="X35" s="6605"/>
    </row>
    <row r="36" spans="1:24" ht="15" customHeight="1">
      <c r="A36" s="6581"/>
      <c r="B36" s="6598"/>
      <c r="C36" s="6606" t="s">
        <v>383</v>
      </c>
      <c r="D36" s="6608" t="s">
        <v>239</v>
      </c>
      <c r="E36" s="6608"/>
      <c r="F36" s="6647" t="s">
        <v>872</v>
      </c>
      <c r="G36" s="6598"/>
      <c r="H36" s="6606" t="s">
        <v>383</v>
      </c>
      <c r="I36" s="6608" t="s">
        <v>239</v>
      </c>
      <c r="J36" s="6608"/>
      <c r="K36" s="6647" t="s">
        <v>872</v>
      </c>
      <c r="L36" s="6598"/>
      <c r="M36" s="6606" t="s">
        <v>383</v>
      </c>
      <c r="N36" s="6608" t="s">
        <v>239</v>
      </c>
      <c r="O36" s="6608"/>
      <c r="P36" s="6647" t="s">
        <v>872</v>
      </c>
      <c r="Q36" s="6598"/>
      <c r="R36" s="6606" t="s">
        <v>383</v>
      </c>
      <c r="S36" s="6606"/>
      <c r="T36" s="6649" t="s">
        <v>872</v>
      </c>
      <c r="U36" s="6598"/>
      <c r="V36" s="6606" t="s">
        <v>383</v>
      </c>
      <c r="W36" s="6606"/>
      <c r="X36" s="6649" t="s">
        <v>872</v>
      </c>
    </row>
    <row r="37" spans="1:24" ht="15" customHeight="1" thickBot="1">
      <c r="A37" s="6582"/>
      <c r="B37" s="6599"/>
      <c r="C37" s="6607"/>
      <c r="D37" s="1484" t="s">
        <v>264</v>
      </c>
      <c r="E37" s="1484" t="s">
        <v>300</v>
      </c>
      <c r="F37" s="6648"/>
      <c r="G37" s="6599"/>
      <c r="H37" s="6607"/>
      <c r="I37" s="1484" t="s">
        <v>264</v>
      </c>
      <c r="J37" s="1484" t="s">
        <v>300</v>
      </c>
      <c r="K37" s="6648"/>
      <c r="L37" s="6599"/>
      <c r="M37" s="6607"/>
      <c r="N37" s="1484" t="s">
        <v>264</v>
      </c>
      <c r="O37" s="1484" t="s">
        <v>300</v>
      </c>
      <c r="P37" s="6648"/>
      <c r="Q37" s="6599"/>
      <c r="R37" s="1489" t="s">
        <v>873</v>
      </c>
      <c r="S37" s="1489" t="s">
        <v>264</v>
      </c>
      <c r="T37" s="6648"/>
      <c r="U37" s="6599"/>
      <c r="V37" s="1489" t="s">
        <v>873</v>
      </c>
      <c r="W37" s="1489" t="s">
        <v>264</v>
      </c>
      <c r="X37" s="6648"/>
    </row>
    <row r="38" spans="1:24" ht="30" customHeight="1">
      <c r="A38" s="1488" t="s">
        <v>396</v>
      </c>
      <c r="B38" s="1485">
        <f>SUM(B28)</f>
        <v>2005.3184999999999</v>
      </c>
      <c r="C38" s="1486">
        <f t="shared" ref="C38:P38" si="2">SUM(C28)</f>
        <v>1994.6085</v>
      </c>
      <c r="D38" s="1486">
        <f t="shared" si="2"/>
        <v>1214.28</v>
      </c>
      <c r="E38" s="1486">
        <f t="shared" si="2"/>
        <v>780.32850000000008</v>
      </c>
      <c r="F38" s="1487">
        <f t="shared" si="2"/>
        <v>10.71</v>
      </c>
      <c r="G38" s="1485">
        <f t="shared" si="2"/>
        <v>2005.3184999999999</v>
      </c>
      <c r="H38" s="1486">
        <f t="shared" si="2"/>
        <v>1994.6085</v>
      </c>
      <c r="I38" s="1486">
        <f t="shared" si="2"/>
        <v>1214.28</v>
      </c>
      <c r="J38" s="1486">
        <f t="shared" si="2"/>
        <v>780.32850000000008</v>
      </c>
      <c r="K38" s="1487">
        <f t="shared" si="2"/>
        <v>10.71</v>
      </c>
      <c r="L38" s="1485">
        <f t="shared" si="2"/>
        <v>4010.6369999999997</v>
      </c>
      <c r="M38" s="1486">
        <f t="shared" si="2"/>
        <v>3989.2170000000001</v>
      </c>
      <c r="N38" s="1486">
        <f t="shared" si="2"/>
        <v>2428.56</v>
      </c>
      <c r="O38" s="1486">
        <f t="shared" si="2"/>
        <v>1560.6570000000002</v>
      </c>
      <c r="P38" s="1487">
        <f t="shared" si="2"/>
        <v>21.42</v>
      </c>
      <c r="Q38" s="1485"/>
      <c r="R38" s="1490"/>
      <c r="S38" s="1490"/>
      <c r="T38" s="1491"/>
      <c r="U38" s="1492"/>
      <c r="V38" s="1490"/>
      <c r="W38" s="1490"/>
      <c r="X38" s="1491"/>
    </row>
    <row r="39" spans="1:24" ht="30" customHeight="1">
      <c r="A39" s="1471" t="s">
        <v>397</v>
      </c>
      <c r="B39" s="1477">
        <f>SUM(B40/B38)</f>
        <v>31.583452475680577</v>
      </c>
      <c r="C39" s="1478">
        <f>SUM(C40/C38)</f>
        <v>31.645058889177026</v>
      </c>
      <c r="D39" s="1478">
        <f>SUM(I19)</f>
        <v>25.945700000000002</v>
      </c>
      <c r="E39" s="1478">
        <f>SUM(J19)</f>
        <v>31.645058889177026</v>
      </c>
      <c r="F39" s="1479">
        <f>SUM(K19)</f>
        <v>20.11</v>
      </c>
      <c r="G39" s="1477">
        <f>SUM(G40/G38)</f>
        <v>39.215284080176474</v>
      </c>
      <c r="H39" s="1478">
        <f>H40/H38</f>
        <v>39.289730770625489</v>
      </c>
      <c r="I39" s="1478">
        <f>D39*1.2</f>
        <v>31.134840000000001</v>
      </c>
      <c r="J39" s="1478">
        <f>SUM(H39)</f>
        <v>39.289730770625489</v>
      </c>
      <c r="K39" s="1479">
        <f t="shared" ref="K39:P39" si="3">SUM(K40/K38)</f>
        <v>25.350484680875475</v>
      </c>
      <c r="L39" s="1477">
        <f t="shared" si="3"/>
        <v>35.399368277928524</v>
      </c>
      <c r="M39" s="1478">
        <f t="shared" si="3"/>
        <v>35.467394829901259</v>
      </c>
      <c r="N39" s="1478">
        <f t="shared" si="3"/>
        <v>28.540270000000003</v>
      </c>
      <c r="O39" s="1478">
        <f t="shared" si="3"/>
        <v>35.467394829901259</v>
      </c>
      <c r="P39" s="1479">
        <f t="shared" si="3"/>
        <v>22.730242340437737</v>
      </c>
      <c r="Q39" s="1480">
        <f>SUM(G39/B39)</f>
        <v>1.2416401946675224</v>
      </c>
      <c r="R39" s="1466">
        <f>SUM(H39/C39)</f>
        <v>1.2415755302658966</v>
      </c>
      <c r="S39" s="1466">
        <f>I39/D39</f>
        <v>1.2</v>
      </c>
      <c r="T39" s="1473">
        <f>SUM(K39/F39)</f>
        <v>1.2605909836337879</v>
      </c>
      <c r="U39" s="1475">
        <f>SUM(L39/L19)</f>
        <v>1.1991870406317973</v>
      </c>
      <c r="V39" s="1467">
        <f>SUM(M39/M19)</f>
        <v>1.1965036552026138</v>
      </c>
      <c r="W39" s="1467">
        <f>SUM(N39/N19)</f>
        <v>1.1743589743589744</v>
      </c>
      <c r="X39" s="1468">
        <f>SUM(P39/P19)</f>
        <v>1.2069846263707793</v>
      </c>
    </row>
    <row r="40" spans="1:24" ht="30" customHeight="1">
      <c r="A40" s="1471" t="s">
        <v>398</v>
      </c>
      <c r="B40" s="1477">
        <f>SUM(C40+F40)</f>
        <v>63334.881543353054</v>
      </c>
      <c r="C40" s="1478">
        <f>SUM(D40:E40)+D41</f>
        <v>63119.503443353053</v>
      </c>
      <c r="D40" s="1478">
        <f>D39*D38</f>
        <v>31505.344596000003</v>
      </c>
      <c r="E40" s="1478">
        <f>E39*E38</f>
        <v>24693.541335403177</v>
      </c>
      <c r="F40" s="1479">
        <f>F39*F38</f>
        <v>215.37810000000002</v>
      </c>
      <c r="G40" s="1477">
        <f>SUM(L40-B40)</f>
        <v>78639.134648733365</v>
      </c>
      <c r="H40" s="1478">
        <f>SUM(M40-C40)</f>
        <v>78367.630957801157</v>
      </c>
      <c r="I40" s="1478">
        <f>I39*I38</f>
        <v>37806.413515200002</v>
      </c>
      <c r="J40" s="1478">
        <f>SUM(J38*J39)</f>
        <v>30658.896677646037</v>
      </c>
      <c r="K40" s="1479">
        <f>SUM(P40-F40)</f>
        <v>271.50369093217637</v>
      </c>
      <c r="L40" s="1477">
        <f>SUM(вода!BC59)</f>
        <v>141974.01619208642</v>
      </c>
      <c r="M40" s="1478">
        <f>SUM(вода!BE59)</f>
        <v>141487.13440115421</v>
      </c>
      <c r="N40" s="1478">
        <f>SUM(D40+I40)</f>
        <v>69311.758111200004</v>
      </c>
      <c r="O40" s="1478">
        <f>SUM(E40+J40)</f>
        <v>55352.438013049214</v>
      </c>
      <c r="P40" s="1479">
        <f>SUM(вода!BF59)</f>
        <v>486.88179093217639</v>
      </c>
      <c r="Q40" s="1477"/>
      <c r="R40" s="1464"/>
      <c r="S40" s="1464"/>
      <c r="T40" s="1465"/>
      <c r="U40" s="1474"/>
      <c r="V40" s="1464"/>
      <c r="W40" s="1464"/>
      <c r="X40" s="1465"/>
    </row>
    <row r="41" spans="1:24" ht="30" customHeight="1" thickBot="1">
      <c r="A41" s="1472" t="s">
        <v>400</v>
      </c>
      <c r="B41" s="1481">
        <f>SUM(C41:F41)</f>
        <v>6920.6175119498766</v>
      </c>
      <c r="C41" s="1482">
        <v>0</v>
      </c>
      <c r="D41" s="1482">
        <f>SUM(E39-D39)*D38</f>
        <v>6920.6175119498766</v>
      </c>
      <c r="E41" s="1482">
        <v>0</v>
      </c>
      <c r="F41" s="1483">
        <v>0</v>
      </c>
      <c r="G41" s="1481">
        <f>SUM(H41:K41)</f>
        <v>9902.3207649551186</v>
      </c>
      <c r="H41" s="1482">
        <v>0</v>
      </c>
      <c r="I41" s="1482">
        <f>SUM(H39-I39)*I38</f>
        <v>9902.3207649551186</v>
      </c>
      <c r="J41" s="1482">
        <v>0</v>
      </c>
      <c r="K41" s="1483">
        <v>0</v>
      </c>
      <c r="L41" s="1481">
        <f>SUM(M41:P41)</f>
        <v>16822.938276904995</v>
      </c>
      <c r="M41" s="1482">
        <v>0</v>
      </c>
      <c r="N41" s="1482">
        <f>SUM(B41+G41)</f>
        <v>16822.938276904995</v>
      </c>
      <c r="O41" s="1482">
        <v>0</v>
      </c>
      <c r="P41" s="1483">
        <v>0</v>
      </c>
      <c r="Q41" s="1481"/>
      <c r="R41" s="1469"/>
      <c r="S41" s="1469"/>
      <c r="T41" s="1470"/>
      <c r="U41" s="1476"/>
      <c r="V41" s="1469"/>
      <c r="W41" s="1469"/>
      <c r="X41" s="1470"/>
    </row>
    <row r="42" spans="1:24" ht="26.25" customHeight="1" thickBot="1">
      <c r="A42" s="6616" t="s">
        <v>874</v>
      </c>
      <c r="B42" s="6617"/>
      <c r="C42" s="6617"/>
      <c r="D42" s="6617"/>
      <c r="E42" s="6617"/>
      <c r="F42" s="6617"/>
      <c r="G42" s="6617"/>
      <c r="H42" s="6617"/>
      <c r="I42" s="6617"/>
      <c r="J42" s="6617"/>
      <c r="K42" s="6617"/>
      <c r="L42" s="6617"/>
      <c r="M42" s="6617"/>
      <c r="N42" s="6617"/>
      <c r="O42" s="6617"/>
      <c r="P42" s="6617"/>
      <c r="Q42" s="6617"/>
      <c r="R42" s="6617"/>
      <c r="S42" s="6617"/>
      <c r="T42" s="6617"/>
      <c r="U42" s="6617"/>
      <c r="V42" s="6617"/>
      <c r="W42" s="6617"/>
      <c r="X42" s="6618"/>
    </row>
    <row r="43" spans="1:24" ht="15" customHeight="1" thickBot="1">
      <c r="A43" s="6619">
        <v>2016</v>
      </c>
      <c r="B43" s="6622" t="s">
        <v>402</v>
      </c>
      <c r="C43" s="6622"/>
      <c r="D43" s="6622"/>
      <c r="E43" s="6622"/>
      <c r="F43" s="6622"/>
      <c r="G43" s="6622"/>
      <c r="H43" s="6622"/>
      <c r="I43" s="6622"/>
      <c r="J43" s="6622"/>
      <c r="K43" s="6622"/>
      <c r="L43" s="6622"/>
      <c r="M43" s="6622"/>
      <c r="N43" s="6622"/>
      <c r="O43" s="6622"/>
      <c r="P43" s="6623"/>
      <c r="Q43" s="6624" t="s">
        <v>406</v>
      </c>
      <c r="R43" s="6625"/>
      <c r="S43" s="6625"/>
      <c r="T43" s="6626"/>
      <c r="U43" s="6624" t="s">
        <v>407</v>
      </c>
      <c r="V43" s="6625"/>
      <c r="W43" s="6625"/>
      <c r="X43" s="6626"/>
    </row>
    <row r="44" spans="1:24" ht="15" customHeight="1" thickBot="1">
      <c r="A44" s="6620"/>
      <c r="B44" s="6630" t="s">
        <v>870</v>
      </c>
      <c r="C44" s="6631"/>
      <c r="D44" s="6631"/>
      <c r="E44" s="6631"/>
      <c r="F44" s="6632"/>
      <c r="G44" s="6633" t="s">
        <v>871</v>
      </c>
      <c r="H44" s="6634"/>
      <c r="I44" s="6634"/>
      <c r="J44" s="6634"/>
      <c r="K44" s="6635"/>
      <c r="L44" s="6633" t="s">
        <v>832</v>
      </c>
      <c r="M44" s="6634"/>
      <c r="N44" s="6634"/>
      <c r="O44" s="6634"/>
      <c r="P44" s="6636"/>
      <c r="Q44" s="6627"/>
      <c r="R44" s="6628"/>
      <c r="S44" s="6628"/>
      <c r="T44" s="6629"/>
      <c r="U44" s="6627"/>
      <c r="V44" s="6628"/>
      <c r="W44" s="6628"/>
      <c r="X44" s="6629"/>
    </row>
    <row r="45" spans="1:24" ht="15" customHeight="1">
      <c r="A45" s="6620"/>
      <c r="B45" s="6637" t="s">
        <v>301</v>
      </c>
      <c r="C45" s="6640" t="s">
        <v>50</v>
      </c>
      <c r="D45" s="6640"/>
      <c r="E45" s="6640"/>
      <c r="F45" s="6641"/>
      <c r="G45" s="6642" t="s">
        <v>301</v>
      </c>
      <c r="H45" s="6643" t="s">
        <v>50</v>
      </c>
      <c r="I45" s="6643"/>
      <c r="J45" s="6643"/>
      <c r="K45" s="6644"/>
      <c r="L45" s="6642" t="s">
        <v>301</v>
      </c>
      <c r="M45" s="6643" t="s">
        <v>50</v>
      </c>
      <c r="N45" s="6643"/>
      <c r="O45" s="6643"/>
      <c r="P45" s="6644"/>
      <c r="Q45" s="6642" t="s">
        <v>301</v>
      </c>
      <c r="R45" s="6645" t="s">
        <v>50</v>
      </c>
      <c r="S45" s="6645"/>
      <c r="T45" s="6646"/>
      <c r="U45" s="6642" t="s">
        <v>301</v>
      </c>
      <c r="V45" s="6645" t="s">
        <v>50</v>
      </c>
      <c r="W45" s="6645"/>
      <c r="X45" s="6646"/>
    </row>
    <row r="46" spans="1:24" ht="15" customHeight="1">
      <c r="A46" s="6620"/>
      <c r="B46" s="6638"/>
      <c r="C46" s="6610" t="s">
        <v>383</v>
      </c>
      <c r="D46" s="6612" t="s">
        <v>239</v>
      </c>
      <c r="E46" s="6612"/>
      <c r="F46" s="6613" t="s">
        <v>872</v>
      </c>
      <c r="G46" s="6638"/>
      <c r="H46" s="6610" t="s">
        <v>383</v>
      </c>
      <c r="I46" s="6612" t="s">
        <v>239</v>
      </c>
      <c r="J46" s="6612"/>
      <c r="K46" s="6613" t="s">
        <v>872</v>
      </c>
      <c r="L46" s="6638"/>
      <c r="M46" s="6610" t="s">
        <v>383</v>
      </c>
      <c r="N46" s="6612" t="s">
        <v>239</v>
      </c>
      <c r="O46" s="6612"/>
      <c r="P46" s="6613" t="s">
        <v>872</v>
      </c>
      <c r="Q46" s="6638"/>
      <c r="R46" s="6610" t="s">
        <v>383</v>
      </c>
      <c r="S46" s="6610"/>
      <c r="T46" s="6615" t="s">
        <v>872</v>
      </c>
      <c r="U46" s="6638"/>
      <c r="V46" s="6610" t="s">
        <v>383</v>
      </c>
      <c r="W46" s="6610"/>
      <c r="X46" s="6615" t="s">
        <v>872</v>
      </c>
    </row>
    <row r="47" spans="1:24" ht="15" customHeight="1" thickBot="1">
      <c r="A47" s="6621"/>
      <c r="B47" s="6639"/>
      <c r="C47" s="6611"/>
      <c r="D47" s="1493" t="s">
        <v>264</v>
      </c>
      <c r="E47" s="1493" t="s">
        <v>300</v>
      </c>
      <c r="F47" s="6614"/>
      <c r="G47" s="6639"/>
      <c r="H47" s="6611"/>
      <c r="I47" s="1493" t="s">
        <v>264</v>
      </c>
      <c r="J47" s="1493" t="s">
        <v>300</v>
      </c>
      <c r="K47" s="6614"/>
      <c r="L47" s="6639"/>
      <c r="M47" s="6611"/>
      <c r="N47" s="1493" t="s">
        <v>264</v>
      </c>
      <c r="O47" s="1493" t="s">
        <v>300</v>
      </c>
      <c r="P47" s="6614"/>
      <c r="Q47" s="6639"/>
      <c r="R47" s="1493" t="s">
        <v>873</v>
      </c>
      <c r="S47" s="1493" t="s">
        <v>264</v>
      </c>
      <c r="T47" s="6614"/>
      <c r="U47" s="6639"/>
      <c r="V47" s="1493" t="s">
        <v>873</v>
      </c>
      <c r="W47" s="1493" t="s">
        <v>264</v>
      </c>
      <c r="X47" s="6614"/>
    </row>
    <row r="48" spans="1:24" ht="30" customHeight="1">
      <c r="A48" s="1494" t="s">
        <v>396</v>
      </c>
      <c r="B48" s="1495">
        <f>SUM(объемы!T49/2)</f>
        <v>2005.3184999999999</v>
      </c>
      <c r="C48" s="1496">
        <f>SUM(D48:E48)</f>
        <v>1994.6085</v>
      </c>
      <c r="D48" s="1496">
        <f>SUM(объемы!U50/2)</f>
        <v>1214.28</v>
      </c>
      <c r="E48" s="1496">
        <f>SUM(объемы!U52+объемы!U53)/2</f>
        <v>780.32850000000008</v>
      </c>
      <c r="F48" s="1497">
        <f>SUM(объемы!V51/2)</f>
        <v>10.709999999999999</v>
      </c>
      <c r="G48" s="1495">
        <f>B48</f>
        <v>2005.3184999999999</v>
      </c>
      <c r="H48" s="1496">
        <f>C48</f>
        <v>1994.6085</v>
      </c>
      <c r="I48" s="1496">
        <f>D48</f>
        <v>1214.28</v>
      </c>
      <c r="J48" s="1496">
        <f>E48</f>
        <v>780.32850000000008</v>
      </c>
      <c r="K48" s="1497">
        <f>F48</f>
        <v>10.709999999999999</v>
      </c>
      <c r="L48" s="1495">
        <f>SUM(B48+G48)</f>
        <v>4010.6369999999997</v>
      </c>
      <c r="M48" s="1496">
        <f>SUM(C48+H48)</f>
        <v>3989.2170000000001</v>
      </c>
      <c r="N48" s="1496">
        <f>SUM(D48+I48)</f>
        <v>2428.56</v>
      </c>
      <c r="O48" s="1496">
        <f>SUM(E48+J48)</f>
        <v>1560.6570000000002</v>
      </c>
      <c r="P48" s="1497">
        <f>SUM(F48+K48)</f>
        <v>21.419999999999998</v>
      </c>
      <c r="Q48" s="1495"/>
      <c r="R48" s="1498"/>
      <c r="S48" s="1498"/>
      <c r="T48" s="1499"/>
      <c r="U48" s="1500"/>
      <c r="V48" s="1498"/>
      <c r="W48" s="1498"/>
      <c r="X48" s="1499"/>
    </row>
    <row r="49" spans="1:24" ht="30" customHeight="1">
      <c r="A49" s="1501" t="s">
        <v>397</v>
      </c>
      <c r="B49" s="1502">
        <f>SUM(B50/B48)</f>
        <v>31.43743127089288</v>
      </c>
      <c r="C49" s="1503">
        <f>SUM(C50/C48)</f>
        <v>31.52</v>
      </c>
      <c r="D49" s="1503">
        <v>25.95</v>
      </c>
      <c r="E49" s="1503">
        <v>31.52</v>
      </c>
      <c r="F49" s="1504">
        <v>16.059999999999999</v>
      </c>
      <c r="G49" s="1502">
        <f>SUM(G50/G48)</f>
        <v>33.626824295688493</v>
      </c>
      <c r="H49" s="1503">
        <f>H50/H48</f>
        <v>33.721159781585101</v>
      </c>
      <c r="I49" s="1503">
        <v>27.8</v>
      </c>
      <c r="J49" s="1503">
        <f>SUM(H49)</f>
        <v>33.721159781585101</v>
      </c>
      <c r="K49" s="1504">
        <f t="shared" ref="K49:P49" si="4">SUM(K50/K48)</f>
        <v>16.057976301196952</v>
      </c>
      <c r="L49" s="1502">
        <f t="shared" si="4"/>
        <v>32.53212778329069</v>
      </c>
      <c r="M49" s="1503">
        <f t="shared" si="4"/>
        <v>32.620579890792548</v>
      </c>
      <c r="N49" s="1503">
        <f t="shared" si="4"/>
        <v>26.875</v>
      </c>
      <c r="O49" s="1503">
        <f t="shared" si="4"/>
        <v>32.620579890792548</v>
      </c>
      <c r="P49" s="1504">
        <f t="shared" si="4"/>
        <v>16.058988150598474</v>
      </c>
      <c r="Q49" s="1505">
        <f>SUM(G49/B49)</f>
        <v>1.069642872724869</v>
      </c>
      <c r="R49" s="1506">
        <f>SUM(H49/C49)</f>
        <v>1.069833749415771</v>
      </c>
      <c r="S49" s="1506">
        <f>I49/D49</f>
        <v>1.071290944123314</v>
      </c>
      <c r="T49" s="1507">
        <f>SUM(K49/F49)</f>
        <v>0.99987399135721999</v>
      </c>
      <c r="U49" s="1508">
        <f>SUM(L49/L9)</f>
        <v>1.0625821479677044</v>
      </c>
      <c r="V49" s="1509">
        <f>SUM(M49/M9)</f>
        <v>1.0607700940988678</v>
      </c>
      <c r="W49" s="1509">
        <f>SUM(N49/N9)</f>
        <v>1.1058373812124913</v>
      </c>
      <c r="X49" s="1510">
        <f>SUM(P49/P9)</f>
        <v>0.85273845841757956</v>
      </c>
    </row>
    <row r="50" spans="1:24" ht="30" customHeight="1">
      <c r="A50" s="1501" t="s">
        <v>398</v>
      </c>
      <c r="B50" s="1502">
        <f>SUM(C50+F50)</f>
        <v>63042.062519999999</v>
      </c>
      <c r="C50" s="1503">
        <f>SUM(D50:E50)+D51</f>
        <v>62870.05992</v>
      </c>
      <c r="D50" s="1503">
        <f>D49*D48</f>
        <v>31510.565999999999</v>
      </c>
      <c r="E50" s="1503">
        <f>E49*E48</f>
        <v>24595.954320000001</v>
      </c>
      <c r="F50" s="1504">
        <f>F49*F48</f>
        <v>172.00259999999997</v>
      </c>
      <c r="G50" s="1502">
        <f>SUM(L50-B50)</f>
        <v>67432.492856393597</v>
      </c>
      <c r="H50" s="1503">
        <f>SUM(M50-C50)</f>
        <v>67260.51193020778</v>
      </c>
      <c r="I50" s="1503">
        <f>I49*I48</f>
        <v>33756.983999999997</v>
      </c>
      <c r="J50" s="1503">
        <f>SUM(J48*J49)</f>
        <v>26313.582030624631</v>
      </c>
      <c r="K50" s="1504">
        <f>SUM(P50-F50)</f>
        <v>171.98092618581933</v>
      </c>
      <c r="L50" s="1502">
        <f>SUM(вода!BG62)</f>
        <v>130474.5553763936</v>
      </c>
      <c r="M50" s="1503">
        <f>SUM(вода!BI62)</f>
        <v>130130.57185020778</v>
      </c>
      <c r="N50" s="1503">
        <f>SUM(D50+I50)</f>
        <v>65267.549999999996</v>
      </c>
      <c r="O50" s="1503">
        <f>SUM(E50+J50)</f>
        <v>50909.536350624636</v>
      </c>
      <c r="P50" s="1504">
        <f>SUM(вода!BJ62)</f>
        <v>343.9835261858193</v>
      </c>
      <c r="Q50" s="1502"/>
      <c r="R50" s="1511"/>
      <c r="S50" s="1511"/>
      <c r="T50" s="1512"/>
      <c r="U50" s="1513"/>
      <c r="V50" s="1511"/>
      <c r="W50" s="1511"/>
      <c r="X50" s="1512"/>
    </row>
    <row r="51" spans="1:24" ht="30" customHeight="1" thickBot="1">
      <c r="A51" s="1514" t="s">
        <v>400</v>
      </c>
      <c r="B51" s="1515">
        <f>SUM(C51:F51)</f>
        <v>6763.5396000000001</v>
      </c>
      <c r="C51" s="1516">
        <v>0</v>
      </c>
      <c r="D51" s="1516">
        <f>SUM(E49-D49)*D48</f>
        <v>6763.5396000000001</v>
      </c>
      <c r="E51" s="1516">
        <v>0</v>
      </c>
      <c r="F51" s="1517">
        <v>0</v>
      </c>
      <c r="G51" s="1515">
        <f>SUM(H51:K51)</f>
        <v>7189.9458995831556</v>
      </c>
      <c r="H51" s="1516">
        <v>0</v>
      </c>
      <c r="I51" s="1516">
        <f>SUM(H49-I49)*I48</f>
        <v>7189.9458995831556</v>
      </c>
      <c r="J51" s="1516">
        <v>0</v>
      </c>
      <c r="K51" s="1517">
        <v>0</v>
      </c>
      <c r="L51" s="1515">
        <f>SUM(M51:P51)</f>
        <v>13953.485499583156</v>
      </c>
      <c r="M51" s="1516">
        <v>0</v>
      </c>
      <c r="N51" s="1516">
        <f>SUM(B51+G51)</f>
        <v>13953.485499583156</v>
      </c>
      <c r="O51" s="1516">
        <v>0</v>
      </c>
      <c r="P51" s="1517">
        <v>0</v>
      </c>
      <c r="Q51" s="1515"/>
      <c r="R51" s="1518"/>
      <c r="S51" s="1518"/>
      <c r="T51" s="1519"/>
      <c r="U51" s="1520"/>
      <c r="V51" s="1518"/>
      <c r="W51" s="1518"/>
      <c r="X51" s="1519"/>
    </row>
    <row r="52" spans="1:24" ht="15" customHeight="1" thickBot="1">
      <c r="A52" s="6575"/>
      <c r="B52" s="6576"/>
      <c r="C52" s="6576"/>
      <c r="D52" s="6576"/>
      <c r="E52" s="6576"/>
      <c r="F52" s="6576"/>
      <c r="G52" s="6576"/>
      <c r="H52" s="6576"/>
      <c r="I52" s="6576"/>
      <c r="J52" s="6576"/>
      <c r="K52" s="6576"/>
      <c r="L52" s="6576"/>
      <c r="M52" s="6576"/>
      <c r="N52" s="6576"/>
      <c r="O52" s="6576"/>
      <c r="P52" s="6576"/>
      <c r="Q52" s="6576"/>
      <c r="R52" s="6576"/>
      <c r="S52" s="6576"/>
      <c r="T52" s="6576"/>
      <c r="U52" s="6576"/>
      <c r="V52" s="6576"/>
      <c r="W52" s="6576"/>
      <c r="X52" s="6577"/>
    </row>
    <row r="53" spans="1:24" ht="15" customHeight="1" thickBot="1">
      <c r="A53" s="6619">
        <v>2016</v>
      </c>
      <c r="B53" s="6622" t="s">
        <v>399</v>
      </c>
      <c r="C53" s="6622"/>
      <c r="D53" s="6622"/>
      <c r="E53" s="6622"/>
      <c r="F53" s="6622"/>
      <c r="G53" s="6622"/>
      <c r="H53" s="6622"/>
      <c r="I53" s="6622"/>
      <c r="J53" s="6622"/>
      <c r="K53" s="6622"/>
      <c r="L53" s="6622"/>
      <c r="M53" s="6622"/>
      <c r="N53" s="6622"/>
      <c r="O53" s="6622"/>
      <c r="P53" s="6623"/>
      <c r="Q53" s="6624" t="s">
        <v>406</v>
      </c>
      <c r="R53" s="6625"/>
      <c r="S53" s="6625"/>
      <c r="T53" s="6626"/>
      <c r="U53" s="6624" t="s">
        <v>407</v>
      </c>
      <c r="V53" s="6625"/>
      <c r="W53" s="6625"/>
      <c r="X53" s="6626"/>
    </row>
    <row r="54" spans="1:24" ht="15" customHeight="1" thickBot="1">
      <c r="A54" s="6620"/>
      <c r="B54" s="6630" t="s">
        <v>870</v>
      </c>
      <c r="C54" s="6631"/>
      <c r="D54" s="6631"/>
      <c r="E54" s="6631"/>
      <c r="F54" s="6632"/>
      <c r="G54" s="6633" t="s">
        <v>871</v>
      </c>
      <c r="H54" s="6634"/>
      <c r="I54" s="6634"/>
      <c r="J54" s="6634"/>
      <c r="K54" s="6635"/>
      <c r="L54" s="6633" t="s">
        <v>832</v>
      </c>
      <c r="M54" s="6634"/>
      <c r="N54" s="6634"/>
      <c r="O54" s="6634"/>
      <c r="P54" s="6636"/>
      <c r="Q54" s="6627"/>
      <c r="R54" s="6628"/>
      <c r="S54" s="6628"/>
      <c r="T54" s="6629"/>
      <c r="U54" s="6627"/>
      <c r="V54" s="6628"/>
      <c r="W54" s="6628"/>
      <c r="X54" s="6629"/>
    </row>
    <row r="55" spans="1:24" ht="15" customHeight="1">
      <c r="A55" s="6620"/>
      <c r="B55" s="6637" t="s">
        <v>301</v>
      </c>
      <c r="C55" s="6640" t="s">
        <v>50</v>
      </c>
      <c r="D55" s="6640"/>
      <c r="E55" s="6640"/>
      <c r="F55" s="6641"/>
      <c r="G55" s="6642" t="s">
        <v>301</v>
      </c>
      <c r="H55" s="6643" t="s">
        <v>50</v>
      </c>
      <c r="I55" s="6643"/>
      <c r="J55" s="6643"/>
      <c r="K55" s="6644"/>
      <c r="L55" s="6642" t="s">
        <v>301</v>
      </c>
      <c r="M55" s="6643" t="s">
        <v>50</v>
      </c>
      <c r="N55" s="6643"/>
      <c r="O55" s="6643"/>
      <c r="P55" s="6644"/>
      <c r="Q55" s="6642" t="s">
        <v>301</v>
      </c>
      <c r="R55" s="6645" t="s">
        <v>50</v>
      </c>
      <c r="S55" s="6645"/>
      <c r="T55" s="6646"/>
      <c r="U55" s="6642" t="s">
        <v>301</v>
      </c>
      <c r="V55" s="6645" t="s">
        <v>50</v>
      </c>
      <c r="W55" s="6645"/>
      <c r="X55" s="6646"/>
    </row>
    <row r="56" spans="1:24" ht="15" customHeight="1">
      <c r="A56" s="6620"/>
      <c r="B56" s="6638"/>
      <c r="C56" s="6610" t="s">
        <v>383</v>
      </c>
      <c r="D56" s="6612" t="s">
        <v>239</v>
      </c>
      <c r="E56" s="6612"/>
      <c r="F56" s="6613" t="s">
        <v>872</v>
      </c>
      <c r="G56" s="6638"/>
      <c r="H56" s="6610" t="s">
        <v>383</v>
      </c>
      <c r="I56" s="6612" t="s">
        <v>239</v>
      </c>
      <c r="J56" s="6612"/>
      <c r="K56" s="6613" t="s">
        <v>872</v>
      </c>
      <c r="L56" s="6638"/>
      <c r="M56" s="6610" t="s">
        <v>383</v>
      </c>
      <c r="N56" s="6612" t="s">
        <v>239</v>
      </c>
      <c r="O56" s="6612"/>
      <c r="P56" s="6613" t="s">
        <v>872</v>
      </c>
      <c r="Q56" s="6638"/>
      <c r="R56" s="6610" t="s">
        <v>383</v>
      </c>
      <c r="S56" s="6610"/>
      <c r="T56" s="6615" t="s">
        <v>872</v>
      </c>
      <c r="U56" s="6638"/>
      <c r="V56" s="6610" t="s">
        <v>383</v>
      </c>
      <c r="W56" s="6610"/>
      <c r="X56" s="6615" t="s">
        <v>872</v>
      </c>
    </row>
    <row r="57" spans="1:24" ht="15" customHeight="1" thickBot="1">
      <c r="A57" s="6621"/>
      <c r="B57" s="6639"/>
      <c r="C57" s="6611"/>
      <c r="D57" s="1493" t="s">
        <v>264</v>
      </c>
      <c r="E57" s="1493" t="s">
        <v>300</v>
      </c>
      <c r="F57" s="6614"/>
      <c r="G57" s="6639"/>
      <c r="H57" s="6611"/>
      <c r="I57" s="1493" t="s">
        <v>264</v>
      </c>
      <c r="J57" s="1493" t="s">
        <v>300</v>
      </c>
      <c r="K57" s="6614"/>
      <c r="L57" s="6639"/>
      <c r="M57" s="6611"/>
      <c r="N57" s="1493" t="s">
        <v>264</v>
      </c>
      <c r="O57" s="1493" t="s">
        <v>300</v>
      </c>
      <c r="P57" s="6614"/>
      <c r="Q57" s="6639"/>
      <c r="R57" s="1493" t="s">
        <v>873</v>
      </c>
      <c r="S57" s="1493" t="s">
        <v>264</v>
      </c>
      <c r="T57" s="6614"/>
      <c r="U57" s="6639"/>
      <c r="V57" s="1493" t="s">
        <v>873</v>
      </c>
      <c r="W57" s="1493" t="s">
        <v>264</v>
      </c>
      <c r="X57" s="6614"/>
    </row>
    <row r="58" spans="1:24" ht="30" customHeight="1">
      <c r="A58" s="1494" t="s">
        <v>396</v>
      </c>
      <c r="B58" s="1495">
        <f>SUM(B48)</f>
        <v>2005.3184999999999</v>
      </c>
      <c r="C58" s="1496">
        <f t="shared" ref="C58:P58" si="5">SUM(C48)</f>
        <v>1994.6085</v>
      </c>
      <c r="D58" s="1496">
        <f t="shared" si="5"/>
        <v>1214.28</v>
      </c>
      <c r="E58" s="1496">
        <f t="shared" si="5"/>
        <v>780.32850000000008</v>
      </c>
      <c r="F58" s="1497">
        <f t="shared" si="5"/>
        <v>10.709999999999999</v>
      </c>
      <c r="G58" s="1495">
        <f t="shared" si="5"/>
        <v>2005.3184999999999</v>
      </c>
      <c r="H58" s="1496">
        <f t="shared" si="5"/>
        <v>1994.6085</v>
      </c>
      <c r="I58" s="1496">
        <f t="shared" si="5"/>
        <v>1214.28</v>
      </c>
      <c r="J58" s="1496">
        <f t="shared" si="5"/>
        <v>780.32850000000008</v>
      </c>
      <c r="K58" s="1497">
        <f t="shared" si="5"/>
        <v>10.709999999999999</v>
      </c>
      <c r="L58" s="1495">
        <f t="shared" si="5"/>
        <v>4010.6369999999997</v>
      </c>
      <c r="M58" s="1496">
        <f t="shared" si="5"/>
        <v>3989.2170000000001</v>
      </c>
      <c r="N58" s="1496">
        <f t="shared" si="5"/>
        <v>2428.56</v>
      </c>
      <c r="O58" s="1496">
        <f t="shared" si="5"/>
        <v>1560.6570000000002</v>
      </c>
      <c r="P58" s="1497">
        <f t="shared" si="5"/>
        <v>21.419999999999998</v>
      </c>
      <c r="Q58" s="1495"/>
      <c r="R58" s="1498"/>
      <c r="S58" s="1498"/>
      <c r="T58" s="1499"/>
      <c r="U58" s="1500"/>
      <c r="V58" s="1498"/>
      <c r="W58" s="1498"/>
      <c r="X58" s="1499"/>
    </row>
    <row r="59" spans="1:24" ht="30" customHeight="1">
      <c r="A59" s="1501" t="s">
        <v>397</v>
      </c>
      <c r="B59" s="1502">
        <f>SUM(B60/B58)</f>
        <v>31.561822245869202</v>
      </c>
      <c r="C59" s="1503">
        <f>SUM(C60/C58)</f>
        <v>31.645058889177026</v>
      </c>
      <c r="D59" s="1503">
        <f t="shared" ref="D59:E59" si="6">SUM(I19)</f>
        <v>25.945700000000002</v>
      </c>
      <c r="E59" s="1503">
        <f t="shared" si="6"/>
        <v>31.645058889177026</v>
      </c>
      <c r="F59" s="1504">
        <v>16.059999999999999</v>
      </c>
      <c r="G59" s="1502">
        <f>SUM(G60/G58)</f>
        <v>31.519705888635922</v>
      </c>
      <c r="H59" s="1503">
        <f>H60/H58</f>
        <v>31.602727255426178</v>
      </c>
      <c r="I59" s="1503">
        <v>27.8</v>
      </c>
      <c r="J59" s="1503">
        <f>SUM(H59)</f>
        <v>31.602727255426178</v>
      </c>
      <c r="K59" s="1504">
        <f t="shared" ref="K59:P59" si="7">SUM(K60/K58)</f>
        <v>16.057976301196952</v>
      </c>
      <c r="L59" s="1502">
        <f t="shared" si="7"/>
        <v>31.54076406725256</v>
      </c>
      <c r="M59" s="1503">
        <f t="shared" si="7"/>
        <v>31.623893072301602</v>
      </c>
      <c r="N59" s="1503">
        <f t="shared" si="7"/>
        <v>26.87285</v>
      </c>
      <c r="O59" s="1503">
        <f t="shared" si="7"/>
        <v>31.623893072301602</v>
      </c>
      <c r="P59" s="1504">
        <f t="shared" si="7"/>
        <v>16.058988150598474</v>
      </c>
      <c r="Q59" s="1505">
        <f>SUM(G59/B59)</f>
        <v>0.99866559171060565</v>
      </c>
      <c r="R59" s="1506">
        <f>SUM(H59/C59)</f>
        <v>0.99866229878417678</v>
      </c>
      <c r="S59" s="1506">
        <f>I59/D59</f>
        <v>1.0714684899617277</v>
      </c>
      <c r="T59" s="1507">
        <f>SUM(K59/F59)</f>
        <v>0.99987399135721999</v>
      </c>
      <c r="U59" s="1508">
        <f>SUM(L59/L19)</f>
        <v>1.068473177942475</v>
      </c>
      <c r="V59" s="1509">
        <f>SUM(M59/M19)</f>
        <v>1.0668419215511584</v>
      </c>
      <c r="W59" s="1509">
        <f>SUM(N59/N19)</f>
        <v>1.1057489142219943</v>
      </c>
      <c r="X59" s="1510">
        <f>SUM(P59/P19)</f>
        <v>0.85273845841757956</v>
      </c>
    </row>
    <row r="60" spans="1:24" ht="30" customHeight="1">
      <c r="A60" s="1501" t="s">
        <v>398</v>
      </c>
      <c r="B60" s="1502">
        <f>SUM(C60+F60)</f>
        <v>63291.506043353053</v>
      </c>
      <c r="C60" s="1503">
        <f>SUM(D60:E60)+D61</f>
        <v>63119.503443353053</v>
      </c>
      <c r="D60" s="1503">
        <f>D59*D58</f>
        <v>31505.344596000003</v>
      </c>
      <c r="E60" s="1503">
        <f>E59*E58</f>
        <v>24693.541335403177</v>
      </c>
      <c r="F60" s="1504">
        <f>F59*F58</f>
        <v>172.00259999999997</v>
      </c>
      <c r="G60" s="1502">
        <f>SUM(L60-B60)</f>
        <v>63207.049333040552</v>
      </c>
      <c r="H60" s="1503">
        <f>SUM(M60-C60)</f>
        <v>63035.068406854727</v>
      </c>
      <c r="I60" s="1503">
        <f>I59*I58</f>
        <v>33756.983999999997</v>
      </c>
      <c r="J60" s="1503">
        <f>SUM(J58*J59)</f>
        <v>24660.50875513583</v>
      </c>
      <c r="K60" s="1504">
        <f>SUM(P60-F60)</f>
        <v>171.98092618581933</v>
      </c>
      <c r="L60" s="1502">
        <f>SUM(вода!BG59)</f>
        <v>126498.5553763936</v>
      </c>
      <c r="M60" s="1503">
        <f>SUM(вода!BI59)</f>
        <v>126154.57185020778</v>
      </c>
      <c r="N60" s="1503">
        <f>SUM(D60+I60)</f>
        <v>65262.328595999999</v>
      </c>
      <c r="O60" s="1503">
        <f>SUM(E60+J60)</f>
        <v>49354.050090539007</v>
      </c>
      <c r="P60" s="1504">
        <f>SUM(вода!BJ59)</f>
        <v>343.9835261858193</v>
      </c>
      <c r="Q60" s="1502"/>
      <c r="R60" s="1511"/>
      <c r="S60" s="1511"/>
      <c r="T60" s="1512"/>
      <c r="U60" s="1513"/>
      <c r="V60" s="1511"/>
      <c r="W60" s="1511"/>
      <c r="X60" s="1512"/>
    </row>
    <row r="61" spans="1:24" ht="30" customHeight="1" thickBot="1">
      <c r="A61" s="1514" t="s">
        <v>400</v>
      </c>
      <c r="B61" s="1515">
        <f>SUM(C61:F61)</f>
        <v>6920.6175119498766</v>
      </c>
      <c r="C61" s="1516">
        <v>0</v>
      </c>
      <c r="D61" s="1516">
        <f>SUM(E59-D59)*D58</f>
        <v>6920.6175119498766</v>
      </c>
      <c r="E61" s="1516">
        <v>0</v>
      </c>
      <c r="F61" s="1517">
        <v>0</v>
      </c>
      <c r="G61" s="1515">
        <f>SUM(H61:K61)</f>
        <v>4617.5756517188984</v>
      </c>
      <c r="H61" s="1516">
        <v>0</v>
      </c>
      <c r="I61" s="1516">
        <f>SUM(H59-I59)*I58</f>
        <v>4617.5756517188984</v>
      </c>
      <c r="J61" s="1516">
        <v>0</v>
      </c>
      <c r="K61" s="1517">
        <v>0</v>
      </c>
      <c r="L61" s="1515">
        <f>SUM(M61:P61)</f>
        <v>11538.193163668775</v>
      </c>
      <c r="M61" s="1516">
        <v>0</v>
      </c>
      <c r="N61" s="1516">
        <f>SUM(B61+G61)</f>
        <v>11538.193163668775</v>
      </c>
      <c r="O61" s="1516">
        <v>0</v>
      </c>
      <c r="P61" s="1517">
        <v>0</v>
      </c>
      <c r="Q61" s="1515"/>
      <c r="R61" s="1518"/>
      <c r="S61" s="1518"/>
      <c r="T61" s="1519"/>
      <c r="U61" s="1520"/>
      <c r="V61" s="1518"/>
      <c r="W61" s="1518"/>
      <c r="X61" s="1519"/>
    </row>
    <row r="62" spans="1:24" ht="30" customHeight="1">
      <c r="A62" s="6650"/>
      <c r="B62" s="6651"/>
      <c r="C62" s="6651"/>
      <c r="D62" s="6651"/>
      <c r="E62" s="6651"/>
      <c r="F62" s="6651"/>
      <c r="G62" s="6651"/>
      <c r="H62" s="6651"/>
      <c r="I62" s="6651"/>
      <c r="J62" s="6651"/>
      <c r="K62" s="6651"/>
      <c r="L62" s="6651"/>
      <c r="M62" s="6651"/>
      <c r="N62" s="6651"/>
      <c r="O62" s="6651"/>
      <c r="P62" s="6651"/>
      <c r="Q62" s="6651"/>
      <c r="R62" s="6651"/>
      <c r="S62" s="6651"/>
      <c r="T62" s="6651"/>
      <c r="U62" s="6651"/>
      <c r="V62" s="6651"/>
      <c r="W62" s="6651"/>
      <c r="X62" s="6651"/>
    </row>
    <row r="63" spans="1:24">
      <c r="A63" s="4894"/>
      <c r="B63" s="4894"/>
      <c r="C63" s="4894"/>
      <c r="D63" s="4894"/>
      <c r="E63" s="4894"/>
      <c r="F63" s="4894"/>
      <c r="G63" s="4894"/>
      <c r="H63" s="4894"/>
      <c r="I63" s="4894"/>
      <c r="J63" s="4894"/>
      <c r="K63" s="4894"/>
      <c r="L63" s="4894"/>
      <c r="M63" s="4894"/>
      <c r="N63" s="4894"/>
      <c r="O63" s="4894"/>
      <c r="P63" s="4894"/>
      <c r="Q63" s="4894"/>
      <c r="R63" s="4894"/>
      <c r="S63" s="4894"/>
      <c r="T63" s="4894"/>
      <c r="U63" s="4894"/>
      <c r="V63" s="4894"/>
      <c r="W63" s="4894"/>
      <c r="X63" s="4894"/>
    </row>
    <row r="64" spans="1:24" ht="13.5" thickBot="1">
      <c r="A64" s="6459"/>
      <c r="B64" s="6459"/>
      <c r="C64" s="6459"/>
      <c r="D64" s="6459"/>
      <c r="E64" s="6459"/>
      <c r="F64" s="6459"/>
      <c r="G64" s="6459"/>
      <c r="H64" s="6459"/>
      <c r="I64" s="6459"/>
      <c r="J64" s="6459"/>
      <c r="K64" s="6459"/>
      <c r="L64" s="6459"/>
      <c r="M64" s="6459"/>
      <c r="N64" s="6459"/>
      <c r="O64" s="6459"/>
      <c r="P64" s="6459"/>
      <c r="Q64" s="6459"/>
      <c r="R64" s="6459"/>
      <c r="S64" s="6459"/>
      <c r="T64" s="6459"/>
      <c r="U64" s="6459"/>
      <c r="V64" s="6459"/>
      <c r="W64" s="6459"/>
      <c r="X64" s="6459"/>
    </row>
    <row r="65" spans="1:24" ht="27" thickBot="1">
      <c r="A65" s="6578" t="s">
        <v>877</v>
      </c>
      <c r="B65" s="6579"/>
      <c r="C65" s="6579"/>
      <c r="D65" s="6579"/>
      <c r="E65" s="6579"/>
      <c r="F65" s="6579"/>
      <c r="G65" s="6579"/>
      <c r="H65" s="6579"/>
      <c r="I65" s="6579"/>
      <c r="J65" s="6579"/>
      <c r="K65" s="6579"/>
      <c r="L65" s="6579"/>
      <c r="M65" s="6579"/>
      <c r="N65" s="6579"/>
      <c r="O65" s="6579"/>
      <c r="P65" s="6579"/>
      <c r="Q65" s="6579"/>
      <c r="R65" s="6579"/>
      <c r="S65" s="6579"/>
      <c r="T65" s="6579"/>
      <c r="U65" s="6579"/>
      <c r="V65" s="6579"/>
      <c r="W65" s="6579"/>
      <c r="X65" s="6580"/>
    </row>
    <row r="66" spans="1:24" ht="15.75" customHeight="1" thickBot="1">
      <c r="A66" s="5832">
        <v>2015</v>
      </c>
      <c r="B66" s="6583" t="s">
        <v>402</v>
      </c>
      <c r="C66" s="6583"/>
      <c r="D66" s="6583"/>
      <c r="E66" s="6583"/>
      <c r="F66" s="6583"/>
      <c r="G66" s="6583"/>
      <c r="H66" s="6583"/>
      <c r="I66" s="6583"/>
      <c r="J66" s="6583"/>
      <c r="K66" s="6583"/>
      <c r="L66" s="6583"/>
      <c r="M66" s="6583"/>
      <c r="N66" s="6583"/>
      <c r="O66" s="6583"/>
      <c r="P66" s="6584"/>
      <c r="Q66" s="6585" t="s">
        <v>406</v>
      </c>
      <c r="R66" s="6586"/>
      <c r="S66" s="6586"/>
      <c r="T66" s="6587"/>
      <c r="U66" s="6585" t="s">
        <v>407</v>
      </c>
      <c r="V66" s="6586"/>
      <c r="W66" s="6586"/>
      <c r="X66" s="6587"/>
    </row>
    <row r="67" spans="1:24" ht="15.75" customHeight="1" thickBot="1">
      <c r="A67" s="6581"/>
      <c r="B67" s="6591" t="s">
        <v>403</v>
      </c>
      <c r="C67" s="6592"/>
      <c r="D67" s="6592"/>
      <c r="E67" s="6592"/>
      <c r="F67" s="6593"/>
      <c r="G67" s="6594" t="s">
        <v>404</v>
      </c>
      <c r="H67" s="6595"/>
      <c r="I67" s="6595"/>
      <c r="J67" s="6595"/>
      <c r="K67" s="5766"/>
      <c r="L67" s="6594" t="s">
        <v>379</v>
      </c>
      <c r="M67" s="6595"/>
      <c r="N67" s="6595"/>
      <c r="O67" s="6595"/>
      <c r="P67" s="6596"/>
      <c r="Q67" s="6588"/>
      <c r="R67" s="6589"/>
      <c r="S67" s="6589"/>
      <c r="T67" s="6590"/>
      <c r="U67" s="6588"/>
      <c r="V67" s="6589"/>
      <c r="W67" s="6589"/>
      <c r="X67" s="6590"/>
    </row>
    <row r="68" spans="1:24" ht="15.75" customHeight="1">
      <c r="A68" s="6581"/>
      <c r="B68" s="6597" t="s">
        <v>301</v>
      </c>
      <c r="C68" s="6600" t="s">
        <v>50</v>
      </c>
      <c r="D68" s="6600"/>
      <c r="E68" s="6600"/>
      <c r="F68" s="6601"/>
      <c r="G68" s="5966" t="s">
        <v>301</v>
      </c>
      <c r="H68" s="6602" t="s">
        <v>50</v>
      </c>
      <c r="I68" s="6602"/>
      <c r="J68" s="6602"/>
      <c r="K68" s="6603"/>
      <c r="L68" s="5966" t="s">
        <v>301</v>
      </c>
      <c r="M68" s="6602" t="s">
        <v>50</v>
      </c>
      <c r="N68" s="6602"/>
      <c r="O68" s="6602"/>
      <c r="P68" s="6603"/>
      <c r="Q68" s="5966" t="s">
        <v>301</v>
      </c>
      <c r="R68" s="6604" t="s">
        <v>50</v>
      </c>
      <c r="S68" s="6604"/>
      <c r="T68" s="6605"/>
      <c r="U68" s="5966" t="s">
        <v>301</v>
      </c>
      <c r="V68" s="6604" t="s">
        <v>50</v>
      </c>
      <c r="W68" s="6604"/>
      <c r="X68" s="6605"/>
    </row>
    <row r="69" spans="1:24" ht="15.75" customHeight="1">
      <c r="A69" s="6581"/>
      <c r="B69" s="6598"/>
      <c r="C69" s="6606" t="s">
        <v>330</v>
      </c>
      <c r="D69" s="6608" t="s">
        <v>239</v>
      </c>
      <c r="E69" s="6608"/>
      <c r="F69" s="6609" t="s">
        <v>880</v>
      </c>
      <c r="G69" s="6598"/>
      <c r="H69" s="6606" t="s">
        <v>330</v>
      </c>
      <c r="I69" s="6608" t="s">
        <v>239</v>
      </c>
      <c r="J69" s="6608"/>
      <c r="K69" s="6609" t="s">
        <v>880</v>
      </c>
      <c r="L69" s="6598"/>
      <c r="M69" s="6606" t="s">
        <v>330</v>
      </c>
      <c r="N69" s="6608" t="s">
        <v>239</v>
      </c>
      <c r="O69" s="6608"/>
      <c r="P69" s="6609" t="s">
        <v>880</v>
      </c>
      <c r="Q69" s="6598"/>
      <c r="R69" s="6606" t="s">
        <v>330</v>
      </c>
      <c r="S69" s="6606"/>
      <c r="T69" s="6609" t="s">
        <v>880</v>
      </c>
      <c r="U69" s="6598"/>
      <c r="V69" s="6606" t="s">
        <v>330</v>
      </c>
      <c r="W69" s="6606"/>
      <c r="X69" s="6609" t="s">
        <v>880</v>
      </c>
    </row>
    <row r="70" spans="1:24" ht="15.75" customHeight="1" thickBot="1">
      <c r="A70" s="6582"/>
      <c r="B70" s="6599"/>
      <c r="C70" s="6607"/>
      <c r="D70" s="1484" t="s">
        <v>264</v>
      </c>
      <c r="E70" s="1484" t="s">
        <v>300</v>
      </c>
      <c r="F70" s="5090"/>
      <c r="G70" s="6599"/>
      <c r="H70" s="6607"/>
      <c r="I70" s="1484" t="s">
        <v>264</v>
      </c>
      <c r="J70" s="1484" t="s">
        <v>300</v>
      </c>
      <c r="K70" s="5090"/>
      <c r="L70" s="6599"/>
      <c r="M70" s="6607"/>
      <c r="N70" s="1484" t="s">
        <v>264</v>
      </c>
      <c r="O70" s="1484" t="s">
        <v>300</v>
      </c>
      <c r="P70" s="5090"/>
      <c r="Q70" s="6599"/>
      <c r="R70" s="1489" t="s">
        <v>873</v>
      </c>
      <c r="S70" s="1489" t="s">
        <v>264</v>
      </c>
      <c r="T70" s="5090"/>
      <c r="U70" s="6599"/>
      <c r="V70" s="1489" t="s">
        <v>873</v>
      </c>
      <c r="W70" s="1489" t="s">
        <v>264</v>
      </c>
      <c r="X70" s="5090"/>
    </row>
    <row r="71" spans="1:24" ht="30" customHeight="1">
      <c r="A71" s="1488" t="s">
        <v>396</v>
      </c>
      <c r="B71" s="1485">
        <f>SUM(объемы!K58/2)</f>
        <v>1822.35</v>
      </c>
      <c r="C71" s="1486">
        <f>SUM(D71:E71)</f>
        <v>1822.35</v>
      </c>
      <c r="D71" s="1486">
        <f>SUM(объемы!K59/2)</f>
        <v>1300</v>
      </c>
      <c r="E71" s="1486">
        <f>SUM(объемы!K60/2)</f>
        <v>522.35</v>
      </c>
      <c r="F71" s="1487">
        <f>SUM(28/2)</f>
        <v>14</v>
      </c>
      <c r="G71" s="1485">
        <f>B71</f>
        <v>1822.35</v>
      </c>
      <c r="H71" s="1486">
        <f>C71</f>
        <v>1822.35</v>
      </c>
      <c r="I71" s="1486">
        <f>D71</f>
        <v>1300</v>
      </c>
      <c r="J71" s="1486">
        <f>E71</f>
        <v>522.35</v>
      </c>
      <c r="K71" s="1487">
        <f>F71</f>
        <v>14</v>
      </c>
      <c r="L71" s="1485">
        <f>SUM(B71+G71)</f>
        <v>3644.7</v>
      </c>
      <c r="M71" s="1486">
        <f>SUM(C71+H71)</f>
        <v>3644.7</v>
      </c>
      <c r="N71" s="1486">
        <f>SUM(D71+I71)</f>
        <v>2600</v>
      </c>
      <c r="O71" s="1486">
        <f>SUM(E71+J71)</f>
        <v>1044.7</v>
      </c>
      <c r="P71" s="1487">
        <f>SUM(F71+K71)</f>
        <v>28</v>
      </c>
      <c r="Q71" s="1485"/>
      <c r="R71" s="1521"/>
      <c r="S71" s="1521"/>
      <c r="T71" s="1522"/>
      <c r="U71" s="1523"/>
      <c r="V71" s="1521"/>
      <c r="W71" s="1521"/>
      <c r="X71" s="1522"/>
    </row>
    <row r="72" spans="1:24" ht="30" customHeight="1">
      <c r="A72" s="1471" t="s">
        <v>397</v>
      </c>
      <c r="B72" s="1477">
        <f>SUM(B73/B71)</f>
        <v>24.382495953027686</v>
      </c>
      <c r="C72" s="1478">
        <f>SUM(C73/C71)</f>
        <v>24.290000000000003</v>
      </c>
      <c r="D72" s="1478">
        <v>18.350000000000001</v>
      </c>
      <c r="E72" s="1478">
        <v>24.29</v>
      </c>
      <c r="F72" s="1479">
        <v>12.04</v>
      </c>
      <c r="G72" s="1477">
        <f>SUM(G73/G71)</f>
        <v>24.363472726030512</v>
      </c>
      <c r="H72" s="1478">
        <f>H73/H71</f>
        <v>24.29084908341078</v>
      </c>
      <c r="I72" s="1478">
        <v>21.01</v>
      </c>
      <c r="J72" s="1478">
        <f>SUM(H72)</f>
        <v>24.29084908341078</v>
      </c>
      <c r="K72" s="1479">
        <v>13.79</v>
      </c>
      <c r="L72" s="1477">
        <f>SUM(L73/L71)</f>
        <v>24.372984339529101</v>
      </c>
      <c r="M72" s="1478">
        <f>SUM(M73/M71)</f>
        <v>24.290424541705391</v>
      </c>
      <c r="N72" s="1478">
        <f>SUM(N73/N71)</f>
        <v>19.680000000000003</v>
      </c>
      <c r="O72" s="1478">
        <f>SUM(O73/O71)</f>
        <v>24.290424541705388</v>
      </c>
      <c r="P72" s="1479">
        <f>SUM(P73/P71)</f>
        <v>10.746631968859731</v>
      </c>
      <c r="Q72" s="1480">
        <f>SUM(G72/B72)</f>
        <v>0.99921979985011289</v>
      </c>
      <c r="R72" s="1524">
        <f>SUM(H72/C72)</f>
        <v>1.0000349560893691</v>
      </c>
      <c r="S72" s="1524">
        <f>I72/D72</f>
        <v>1.144959128065395</v>
      </c>
      <c r="T72" s="1525">
        <f>SUM(K72/F72)</f>
        <v>1.1453488372093024</v>
      </c>
      <c r="U72" s="1526">
        <f>SUM(L72/стоки!Y102)</f>
        <v>1.0900289147416931</v>
      </c>
      <c r="V72" s="1527">
        <f>SUM(M72/стоки!Z102)</f>
        <v>1.0823929130332786</v>
      </c>
      <c r="W72" s="1527">
        <f>SUM(N72/16.93)</f>
        <v>1.1624335499114</v>
      </c>
      <c r="X72" s="1528">
        <f>SUM(P72/стоки!AA102)</f>
        <v>0.91335574223590865</v>
      </c>
    </row>
    <row r="73" spans="1:24" ht="30" customHeight="1">
      <c r="A73" s="1471" t="s">
        <v>398</v>
      </c>
      <c r="B73" s="1477">
        <f>SUM(C73+F73)</f>
        <v>44433.441500000001</v>
      </c>
      <c r="C73" s="1478">
        <f>SUM(D73:E73)+D74</f>
        <v>44264.881500000003</v>
      </c>
      <c r="D73" s="1478">
        <f>D72*D71</f>
        <v>23855.000000000004</v>
      </c>
      <c r="E73" s="1478">
        <f>E72*E71</f>
        <v>12687.8815</v>
      </c>
      <c r="F73" s="1479">
        <f>F72*F71</f>
        <v>168.56</v>
      </c>
      <c r="G73" s="1477">
        <f>SUM(L73-B73)</f>
        <v>44398.774522281703</v>
      </c>
      <c r="H73" s="1478">
        <f>SUM(M73-C73)</f>
        <v>44266.428827153635</v>
      </c>
      <c r="I73" s="1478">
        <f>I72*I71</f>
        <v>27313.000000000004</v>
      </c>
      <c r="J73" s="1478">
        <f>SUM(J71*J72)</f>
        <v>12688.325018719621</v>
      </c>
      <c r="K73" s="1479">
        <f>K72*K71</f>
        <v>193.06</v>
      </c>
      <c r="L73" s="1477">
        <f>SUM(стоки!AI101)</f>
        <v>88832.216022281704</v>
      </c>
      <c r="M73" s="1478">
        <f>SUM(стоки!AK101)</f>
        <v>88531.310327153638</v>
      </c>
      <c r="N73" s="1478">
        <f>SUM(D73+I73)</f>
        <v>51168.000000000007</v>
      </c>
      <c r="O73" s="1478">
        <f>SUM(E73+J73)</f>
        <v>25376.20651871962</v>
      </c>
      <c r="P73" s="1479">
        <f>SUM(стоки!AL101)</f>
        <v>300.90569512807247</v>
      </c>
      <c r="Q73" s="1477"/>
      <c r="R73" s="1529"/>
      <c r="S73" s="1529"/>
      <c r="T73" s="1530"/>
      <c r="U73" s="1531"/>
      <c r="V73" s="1529"/>
      <c r="W73" s="1529"/>
      <c r="X73" s="1530"/>
    </row>
    <row r="74" spans="1:24" ht="30" customHeight="1" thickBot="1">
      <c r="A74" s="1472" t="s">
        <v>400</v>
      </c>
      <c r="B74" s="1481">
        <f>SUM(C74:F74)</f>
        <v>7721.9999999999973</v>
      </c>
      <c r="C74" s="1482">
        <v>0</v>
      </c>
      <c r="D74" s="1482">
        <f>SUM(E72-D72)*D71</f>
        <v>7721.9999999999973</v>
      </c>
      <c r="E74" s="1482">
        <v>0</v>
      </c>
      <c r="F74" s="1483">
        <v>0</v>
      </c>
      <c r="G74" s="1481">
        <f>SUM(H74:K74)</f>
        <v>4265.1038084340125</v>
      </c>
      <c r="H74" s="1482">
        <v>0</v>
      </c>
      <c r="I74" s="1482">
        <f>SUM(H72-I72)*I71</f>
        <v>4265.1038084340125</v>
      </c>
      <c r="J74" s="1482">
        <v>0</v>
      </c>
      <c r="K74" s="1483">
        <v>0</v>
      </c>
      <c r="L74" s="1481">
        <f>SUM(M74:P74)</f>
        <v>11987.103808434011</v>
      </c>
      <c r="M74" s="1482">
        <v>0</v>
      </c>
      <c r="N74" s="1482">
        <f>SUM(B74+G74)</f>
        <v>11987.103808434011</v>
      </c>
      <c r="O74" s="1482">
        <v>0</v>
      </c>
      <c r="P74" s="1483">
        <v>0</v>
      </c>
      <c r="Q74" s="1481"/>
      <c r="R74" s="1532"/>
      <c r="S74" s="1532"/>
      <c r="T74" s="1533"/>
      <c r="U74" s="1534"/>
      <c r="V74" s="1532"/>
      <c r="W74" s="1532"/>
      <c r="X74" s="1533"/>
    </row>
    <row r="75" spans="1:24" ht="15.75" customHeight="1" thickBot="1">
      <c r="A75" s="6575"/>
      <c r="B75" s="6576"/>
      <c r="C75" s="6576"/>
      <c r="D75" s="6576"/>
      <c r="E75" s="6576"/>
      <c r="F75" s="6576"/>
      <c r="G75" s="6576"/>
      <c r="H75" s="6576"/>
      <c r="I75" s="6576"/>
      <c r="J75" s="6576"/>
      <c r="K75" s="6576"/>
      <c r="L75" s="6576"/>
      <c r="M75" s="6576"/>
      <c r="N75" s="6576"/>
      <c r="O75" s="6576"/>
      <c r="P75" s="6576"/>
      <c r="Q75" s="6576"/>
      <c r="R75" s="6576"/>
      <c r="S75" s="6576"/>
      <c r="T75" s="6576"/>
      <c r="U75" s="6576"/>
      <c r="V75" s="6576"/>
      <c r="W75" s="6576"/>
      <c r="X75" s="6577"/>
    </row>
    <row r="76" spans="1:24" ht="15.75" customHeight="1" thickBot="1">
      <c r="A76" s="5832">
        <v>2015</v>
      </c>
      <c r="B76" s="6583" t="s">
        <v>399</v>
      </c>
      <c r="C76" s="6583"/>
      <c r="D76" s="6583"/>
      <c r="E76" s="6583"/>
      <c r="F76" s="6583"/>
      <c r="G76" s="6583"/>
      <c r="H76" s="6583"/>
      <c r="I76" s="6583"/>
      <c r="J76" s="6583"/>
      <c r="K76" s="6583"/>
      <c r="L76" s="6583"/>
      <c r="M76" s="6583"/>
      <c r="N76" s="6583"/>
      <c r="O76" s="6583"/>
      <c r="P76" s="6584"/>
      <c r="Q76" s="6585" t="s">
        <v>406</v>
      </c>
      <c r="R76" s="6586"/>
      <c r="S76" s="6586"/>
      <c r="T76" s="6587"/>
      <c r="U76" s="6585" t="s">
        <v>407</v>
      </c>
      <c r="V76" s="6586"/>
      <c r="W76" s="6586"/>
      <c r="X76" s="6587"/>
    </row>
    <row r="77" spans="1:24" ht="15.75" customHeight="1" thickBot="1">
      <c r="A77" s="6581"/>
      <c r="B77" s="6591" t="s">
        <v>403</v>
      </c>
      <c r="C77" s="6592"/>
      <c r="D77" s="6592"/>
      <c r="E77" s="6592"/>
      <c r="F77" s="6593"/>
      <c r="G77" s="6594" t="s">
        <v>404</v>
      </c>
      <c r="H77" s="6595"/>
      <c r="I77" s="6595"/>
      <c r="J77" s="6595"/>
      <c r="K77" s="5766"/>
      <c r="L77" s="6594" t="s">
        <v>379</v>
      </c>
      <c r="M77" s="6595"/>
      <c r="N77" s="6595"/>
      <c r="O77" s="6595"/>
      <c r="P77" s="6596"/>
      <c r="Q77" s="6588"/>
      <c r="R77" s="6589"/>
      <c r="S77" s="6589"/>
      <c r="T77" s="6590"/>
      <c r="U77" s="6588"/>
      <c r="V77" s="6589"/>
      <c r="W77" s="6589"/>
      <c r="X77" s="6590"/>
    </row>
    <row r="78" spans="1:24" ht="15.75" customHeight="1">
      <c r="A78" s="6581"/>
      <c r="B78" s="6597" t="s">
        <v>301</v>
      </c>
      <c r="C78" s="6600" t="s">
        <v>50</v>
      </c>
      <c r="D78" s="6600"/>
      <c r="E78" s="6600"/>
      <c r="F78" s="6601"/>
      <c r="G78" s="5966" t="s">
        <v>301</v>
      </c>
      <c r="H78" s="6602" t="s">
        <v>50</v>
      </c>
      <c r="I78" s="6602"/>
      <c r="J78" s="6602"/>
      <c r="K78" s="6603"/>
      <c r="L78" s="5966" t="s">
        <v>301</v>
      </c>
      <c r="M78" s="6602" t="s">
        <v>50</v>
      </c>
      <c r="N78" s="6602"/>
      <c r="O78" s="6602"/>
      <c r="P78" s="6603"/>
      <c r="Q78" s="5966" t="s">
        <v>301</v>
      </c>
      <c r="R78" s="6604" t="s">
        <v>50</v>
      </c>
      <c r="S78" s="6604"/>
      <c r="T78" s="6605"/>
      <c r="U78" s="5966" t="s">
        <v>301</v>
      </c>
      <c r="V78" s="6604" t="s">
        <v>50</v>
      </c>
      <c r="W78" s="6604"/>
      <c r="X78" s="6605"/>
    </row>
    <row r="79" spans="1:24" ht="15.75" customHeight="1">
      <c r="A79" s="6581"/>
      <c r="B79" s="6598"/>
      <c r="C79" s="6606" t="s">
        <v>330</v>
      </c>
      <c r="D79" s="6608" t="s">
        <v>239</v>
      </c>
      <c r="E79" s="6608"/>
      <c r="F79" s="6609" t="s">
        <v>880</v>
      </c>
      <c r="G79" s="6598"/>
      <c r="H79" s="6606" t="s">
        <v>330</v>
      </c>
      <c r="I79" s="6608" t="s">
        <v>239</v>
      </c>
      <c r="J79" s="6608"/>
      <c r="K79" s="6609" t="s">
        <v>880</v>
      </c>
      <c r="L79" s="6598"/>
      <c r="M79" s="6606" t="s">
        <v>330</v>
      </c>
      <c r="N79" s="6608" t="s">
        <v>239</v>
      </c>
      <c r="O79" s="6608"/>
      <c r="P79" s="6609" t="s">
        <v>880</v>
      </c>
      <c r="Q79" s="6598"/>
      <c r="R79" s="6606" t="s">
        <v>330</v>
      </c>
      <c r="S79" s="6606"/>
      <c r="T79" s="6609" t="s">
        <v>880</v>
      </c>
      <c r="U79" s="6598"/>
      <c r="V79" s="6606" t="s">
        <v>330</v>
      </c>
      <c r="W79" s="6606"/>
      <c r="X79" s="6609" t="s">
        <v>880</v>
      </c>
    </row>
    <row r="80" spans="1:24" ht="15.75" customHeight="1" thickBot="1">
      <c r="A80" s="6582"/>
      <c r="B80" s="6599"/>
      <c r="C80" s="6607"/>
      <c r="D80" s="1484" t="s">
        <v>264</v>
      </c>
      <c r="E80" s="1484" t="s">
        <v>300</v>
      </c>
      <c r="F80" s="5090"/>
      <c r="G80" s="6599"/>
      <c r="H80" s="6607"/>
      <c r="I80" s="1484" t="s">
        <v>264</v>
      </c>
      <c r="J80" s="1484" t="s">
        <v>300</v>
      </c>
      <c r="K80" s="5090"/>
      <c r="L80" s="6599"/>
      <c r="M80" s="6607"/>
      <c r="N80" s="1484" t="s">
        <v>264</v>
      </c>
      <c r="O80" s="1484" t="s">
        <v>300</v>
      </c>
      <c r="P80" s="5090"/>
      <c r="Q80" s="6599"/>
      <c r="R80" s="1489" t="s">
        <v>873</v>
      </c>
      <c r="S80" s="1489" t="s">
        <v>264</v>
      </c>
      <c r="T80" s="5090"/>
      <c r="U80" s="6599"/>
      <c r="V80" s="1489" t="s">
        <v>873</v>
      </c>
      <c r="W80" s="1489" t="s">
        <v>264</v>
      </c>
      <c r="X80" s="5090"/>
    </row>
    <row r="81" spans="1:24" ht="30" customHeight="1">
      <c r="A81" s="1488" t="s">
        <v>396</v>
      </c>
      <c r="B81" s="1485">
        <f>SUM(B71)</f>
        <v>1822.35</v>
      </c>
      <c r="C81" s="1486">
        <f t="shared" ref="C81:P81" si="8">SUM(C71)</f>
        <v>1822.35</v>
      </c>
      <c r="D81" s="1486">
        <f t="shared" si="8"/>
        <v>1300</v>
      </c>
      <c r="E81" s="1486">
        <f t="shared" si="8"/>
        <v>522.35</v>
      </c>
      <c r="F81" s="1487">
        <f t="shared" si="8"/>
        <v>14</v>
      </c>
      <c r="G81" s="1485">
        <f t="shared" si="8"/>
        <v>1822.35</v>
      </c>
      <c r="H81" s="1486">
        <f t="shared" si="8"/>
        <v>1822.35</v>
      </c>
      <c r="I81" s="1486">
        <f t="shared" si="8"/>
        <v>1300</v>
      </c>
      <c r="J81" s="1486">
        <f t="shared" si="8"/>
        <v>522.35</v>
      </c>
      <c r="K81" s="1487">
        <f t="shared" si="8"/>
        <v>14</v>
      </c>
      <c r="L81" s="1485">
        <f t="shared" si="8"/>
        <v>3644.7</v>
      </c>
      <c r="M81" s="1486">
        <f t="shared" si="8"/>
        <v>3644.7</v>
      </c>
      <c r="N81" s="1486">
        <f t="shared" si="8"/>
        <v>2600</v>
      </c>
      <c r="O81" s="1486">
        <f t="shared" si="8"/>
        <v>1044.7</v>
      </c>
      <c r="P81" s="1487">
        <f t="shared" si="8"/>
        <v>28</v>
      </c>
      <c r="Q81" s="1485"/>
      <c r="R81" s="1521"/>
      <c r="S81" s="1521"/>
      <c r="T81" s="1522"/>
      <c r="U81" s="1523"/>
      <c r="V81" s="1521"/>
      <c r="W81" s="1521"/>
      <c r="X81" s="1522"/>
    </row>
    <row r="82" spans="1:24" ht="30" customHeight="1">
      <c r="A82" s="1471" t="s">
        <v>397</v>
      </c>
      <c r="B82" s="1477">
        <f>SUM(B83/B81)</f>
        <v>21.672495953027681</v>
      </c>
      <c r="C82" s="1478">
        <f>SUM(C83/C81)</f>
        <v>21.58</v>
      </c>
      <c r="D82" s="1478">
        <v>18.350000000000001</v>
      </c>
      <c r="E82" s="1478">
        <v>21.58</v>
      </c>
      <c r="F82" s="1479">
        <v>12.04</v>
      </c>
      <c r="G82" s="1477">
        <f>SUM(G83/G81)</f>
        <v>25.115506363915664</v>
      </c>
      <c r="H82" s="1478">
        <v>25.05</v>
      </c>
      <c r="I82" s="1478">
        <v>21.01</v>
      </c>
      <c r="J82" s="1478">
        <v>25.05</v>
      </c>
      <c r="K82" s="1479">
        <v>13.79</v>
      </c>
      <c r="L82" s="1477">
        <f>SUM(L83/L81)</f>
        <v>23.394001158471671</v>
      </c>
      <c r="M82" s="1478">
        <f>SUM(M83/M81)</f>
        <v>23.311441360647965</v>
      </c>
      <c r="N82" s="1478">
        <f>SUM(N83/N81)</f>
        <v>19.680000000000003</v>
      </c>
      <c r="O82" s="1478">
        <f>SUM(O83/O81)</f>
        <v>23.315000000000001</v>
      </c>
      <c r="P82" s="1479">
        <f>SUM(P83/P81)</f>
        <v>10.746631968859731</v>
      </c>
      <c r="Q82" s="1480">
        <f>SUM(G82/B82)</f>
        <v>1.1588654310214319</v>
      </c>
      <c r="R82" s="1524">
        <f>SUM(H82/C82)</f>
        <v>1.1607970342910103</v>
      </c>
      <c r="S82" s="1524">
        <f>I82/D82</f>
        <v>1.144959128065395</v>
      </c>
      <c r="T82" s="1525">
        <f>SUM(K82/F82)</f>
        <v>1.1453488372093024</v>
      </c>
      <c r="U82" s="1526">
        <f>SUM(L82/стоки!Y99)</f>
        <v>1.1133120550905615</v>
      </c>
      <c r="V82" s="1527">
        <f>SUM(M82/стоки!Z99)</f>
        <v>1.105640916394284</v>
      </c>
      <c r="W82" s="1527">
        <f>SUM(N82/16.93)</f>
        <v>1.1624335499114</v>
      </c>
      <c r="X82" s="1528">
        <f>SUM(P82/стоки!AA99)</f>
        <v>0.91335574223590865</v>
      </c>
    </row>
    <row r="83" spans="1:24" ht="30" customHeight="1">
      <c r="A83" s="1471" t="s">
        <v>398</v>
      </c>
      <c r="B83" s="1477">
        <f>SUM(C83+F83)</f>
        <v>39494.872999999992</v>
      </c>
      <c r="C83" s="1478">
        <f>SUM(D83:E83)+D84</f>
        <v>39326.312999999995</v>
      </c>
      <c r="D83" s="1478">
        <f>D82*D81</f>
        <v>23855.000000000004</v>
      </c>
      <c r="E83" s="1478">
        <f>E82*E81</f>
        <v>11272.313</v>
      </c>
      <c r="F83" s="1479">
        <f>F82*F81</f>
        <v>168.56</v>
      </c>
      <c r="G83" s="1477">
        <f>SUM(L83-B83)</f>
        <v>45769.243022281706</v>
      </c>
      <c r="H83" s="1478">
        <f>SUM(M83-C83)</f>
        <v>45636.897327153638</v>
      </c>
      <c r="I83" s="1478">
        <f>I82*I81</f>
        <v>27313.000000000004</v>
      </c>
      <c r="J83" s="1478">
        <f>SUM(J81*J82)</f>
        <v>13084.8675</v>
      </c>
      <c r="K83" s="1479">
        <f>SUM(P83-F83)</f>
        <v>132.34569512807246</v>
      </c>
      <c r="L83" s="1477">
        <f>SUM(стоки!AI98)</f>
        <v>85264.116022281698</v>
      </c>
      <c r="M83" s="1478">
        <f>SUM(стоки!AK98)</f>
        <v>84963.210327153633</v>
      </c>
      <c r="N83" s="1478">
        <f>SUM(D83+I83)</f>
        <v>51168.000000000007</v>
      </c>
      <c r="O83" s="1478">
        <f>SUM(E83+J83)</f>
        <v>24357.180500000002</v>
      </c>
      <c r="P83" s="1479">
        <f>SUM(стоки!AL98)</f>
        <v>300.90569512807247</v>
      </c>
      <c r="Q83" s="1477"/>
      <c r="R83" s="1529"/>
      <c r="S83" s="1529"/>
      <c r="T83" s="1530"/>
      <c r="U83" s="1531"/>
      <c r="V83" s="1529"/>
      <c r="W83" s="1529"/>
      <c r="X83" s="1530"/>
    </row>
    <row r="84" spans="1:24" ht="30" customHeight="1" thickBot="1">
      <c r="A84" s="1472" t="s">
        <v>400</v>
      </c>
      <c r="B84" s="1481">
        <f>SUM(C84:F84)</f>
        <v>4198.9999999999964</v>
      </c>
      <c r="C84" s="1482">
        <v>0</v>
      </c>
      <c r="D84" s="1482">
        <f>SUM(E82-D82)*D81</f>
        <v>4198.9999999999964</v>
      </c>
      <c r="E84" s="1482">
        <v>0</v>
      </c>
      <c r="F84" s="1483">
        <v>0</v>
      </c>
      <c r="G84" s="1481">
        <f>SUM(H84:K84)</f>
        <v>5251.9999999999991</v>
      </c>
      <c r="H84" s="1482">
        <v>0</v>
      </c>
      <c r="I84" s="1482">
        <f>SUM(H82-I82)*I81</f>
        <v>5251.9999999999991</v>
      </c>
      <c r="J84" s="1482">
        <v>0</v>
      </c>
      <c r="K84" s="1483">
        <v>0</v>
      </c>
      <c r="L84" s="1481">
        <f>SUM(M84:P84)</f>
        <v>9450.9999999999964</v>
      </c>
      <c r="M84" s="1482">
        <v>0</v>
      </c>
      <c r="N84" s="1482">
        <f>SUM(B84+G84)</f>
        <v>9450.9999999999964</v>
      </c>
      <c r="O84" s="1482">
        <v>0</v>
      </c>
      <c r="P84" s="1483">
        <v>0</v>
      </c>
      <c r="Q84" s="1481"/>
      <c r="R84" s="1532"/>
      <c r="S84" s="1532"/>
      <c r="T84" s="1533"/>
      <c r="U84" s="1534"/>
      <c r="V84" s="1532"/>
      <c r="W84" s="1532"/>
      <c r="X84" s="1533"/>
    </row>
    <row r="85" spans="1:24" ht="27" thickBot="1">
      <c r="A85" s="6578" t="s">
        <v>878</v>
      </c>
      <c r="B85" s="6579"/>
      <c r="C85" s="6579"/>
      <c r="D85" s="6579"/>
      <c r="E85" s="6579"/>
      <c r="F85" s="6579"/>
      <c r="G85" s="6579"/>
      <c r="H85" s="6579"/>
      <c r="I85" s="6579"/>
      <c r="J85" s="6579"/>
      <c r="K85" s="6579"/>
      <c r="L85" s="6579"/>
      <c r="M85" s="6579"/>
      <c r="N85" s="6579"/>
      <c r="O85" s="6579"/>
      <c r="P85" s="6579"/>
      <c r="Q85" s="6579"/>
      <c r="R85" s="6579"/>
      <c r="S85" s="6579"/>
      <c r="T85" s="6579"/>
      <c r="U85" s="6579"/>
      <c r="V85" s="6579"/>
      <c r="W85" s="6579"/>
      <c r="X85" s="6580"/>
    </row>
    <row r="86" spans="1:24" ht="15.75" customHeight="1" thickBot="1">
      <c r="A86" s="5832">
        <v>2016</v>
      </c>
      <c r="B86" s="6583" t="s">
        <v>402</v>
      </c>
      <c r="C86" s="6583"/>
      <c r="D86" s="6583"/>
      <c r="E86" s="6583"/>
      <c r="F86" s="6583"/>
      <c r="G86" s="6583"/>
      <c r="H86" s="6583"/>
      <c r="I86" s="6583"/>
      <c r="J86" s="6583"/>
      <c r="K86" s="6583"/>
      <c r="L86" s="6583"/>
      <c r="M86" s="6583"/>
      <c r="N86" s="6583"/>
      <c r="O86" s="6583"/>
      <c r="P86" s="6584"/>
      <c r="Q86" s="6585" t="s">
        <v>406</v>
      </c>
      <c r="R86" s="6586"/>
      <c r="S86" s="6586"/>
      <c r="T86" s="6587"/>
      <c r="U86" s="6585" t="s">
        <v>407</v>
      </c>
      <c r="V86" s="6586"/>
      <c r="W86" s="6586"/>
      <c r="X86" s="6587"/>
    </row>
    <row r="87" spans="1:24" ht="15.75" customHeight="1" thickBot="1">
      <c r="A87" s="6581"/>
      <c r="B87" s="6591" t="s">
        <v>870</v>
      </c>
      <c r="C87" s="6592"/>
      <c r="D87" s="6592"/>
      <c r="E87" s="6592"/>
      <c r="F87" s="6593"/>
      <c r="G87" s="6594" t="s">
        <v>871</v>
      </c>
      <c r="H87" s="6595"/>
      <c r="I87" s="6595"/>
      <c r="J87" s="6595"/>
      <c r="K87" s="5766"/>
      <c r="L87" s="6594" t="s">
        <v>832</v>
      </c>
      <c r="M87" s="6595"/>
      <c r="N87" s="6595"/>
      <c r="O87" s="6595"/>
      <c r="P87" s="6596"/>
      <c r="Q87" s="6588"/>
      <c r="R87" s="6589"/>
      <c r="S87" s="6589"/>
      <c r="T87" s="6590"/>
      <c r="U87" s="6588"/>
      <c r="V87" s="6589"/>
      <c r="W87" s="6589"/>
      <c r="X87" s="6590"/>
    </row>
    <row r="88" spans="1:24" ht="15.75" customHeight="1">
      <c r="A88" s="6581"/>
      <c r="B88" s="6597" t="s">
        <v>301</v>
      </c>
      <c r="C88" s="6600" t="s">
        <v>50</v>
      </c>
      <c r="D88" s="6600"/>
      <c r="E88" s="6600"/>
      <c r="F88" s="6601"/>
      <c r="G88" s="5966" t="s">
        <v>301</v>
      </c>
      <c r="H88" s="6602" t="s">
        <v>50</v>
      </c>
      <c r="I88" s="6602"/>
      <c r="J88" s="6602"/>
      <c r="K88" s="6603"/>
      <c r="L88" s="5966" t="s">
        <v>301</v>
      </c>
      <c r="M88" s="6602" t="s">
        <v>50</v>
      </c>
      <c r="N88" s="6602"/>
      <c r="O88" s="6602"/>
      <c r="P88" s="6603"/>
      <c r="Q88" s="5966" t="s">
        <v>301</v>
      </c>
      <c r="R88" s="6604" t="s">
        <v>50</v>
      </c>
      <c r="S88" s="6604"/>
      <c r="T88" s="6605"/>
      <c r="U88" s="5966" t="s">
        <v>301</v>
      </c>
      <c r="V88" s="6604" t="s">
        <v>50</v>
      </c>
      <c r="W88" s="6604"/>
      <c r="X88" s="6605"/>
    </row>
    <row r="89" spans="1:24" ht="15.75" customHeight="1">
      <c r="A89" s="6581"/>
      <c r="B89" s="6598"/>
      <c r="C89" s="6606" t="s">
        <v>330</v>
      </c>
      <c r="D89" s="6608" t="s">
        <v>239</v>
      </c>
      <c r="E89" s="6608"/>
      <c r="F89" s="6609" t="s">
        <v>880</v>
      </c>
      <c r="G89" s="6598"/>
      <c r="H89" s="6606" t="s">
        <v>330</v>
      </c>
      <c r="I89" s="6608" t="s">
        <v>239</v>
      </c>
      <c r="J89" s="6608"/>
      <c r="K89" s="6609" t="s">
        <v>880</v>
      </c>
      <c r="L89" s="6598"/>
      <c r="M89" s="6606" t="s">
        <v>330</v>
      </c>
      <c r="N89" s="6608" t="s">
        <v>239</v>
      </c>
      <c r="O89" s="6608"/>
      <c r="P89" s="6609" t="s">
        <v>880</v>
      </c>
      <c r="Q89" s="6598"/>
      <c r="R89" s="6606" t="s">
        <v>330</v>
      </c>
      <c r="S89" s="6606"/>
      <c r="T89" s="6609" t="s">
        <v>880</v>
      </c>
      <c r="U89" s="6598"/>
      <c r="V89" s="6606" t="s">
        <v>330</v>
      </c>
      <c r="W89" s="6606"/>
      <c r="X89" s="6609" t="s">
        <v>880</v>
      </c>
    </row>
    <row r="90" spans="1:24" ht="15.75" customHeight="1" thickBot="1">
      <c r="A90" s="6582"/>
      <c r="B90" s="6599"/>
      <c r="C90" s="6607"/>
      <c r="D90" s="1484" t="s">
        <v>264</v>
      </c>
      <c r="E90" s="1484" t="s">
        <v>300</v>
      </c>
      <c r="F90" s="5090"/>
      <c r="G90" s="6599"/>
      <c r="H90" s="6607"/>
      <c r="I90" s="1484" t="s">
        <v>264</v>
      </c>
      <c r="J90" s="1484" t="s">
        <v>300</v>
      </c>
      <c r="K90" s="5090"/>
      <c r="L90" s="6599"/>
      <c r="M90" s="6607"/>
      <c r="N90" s="1484" t="s">
        <v>264</v>
      </c>
      <c r="O90" s="1484" t="s">
        <v>300</v>
      </c>
      <c r="P90" s="5090"/>
      <c r="Q90" s="6599"/>
      <c r="R90" s="1489" t="s">
        <v>873</v>
      </c>
      <c r="S90" s="1489" t="s">
        <v>264</v>
      </c>
      <c r="T90" s="5090"/>
      <c r="U90" s="6599"/>
      <c r="V90" s="1489" t="s">
        <v>873</v>
      </c>
      <c r="W90" s="1489" t="s">
        <v>264</v>
      </c>
      <c r="X90" s="5090"/>
    </row>
    <row r="91" spans="1:24" ht="30" customHeight="1">
      <c r="A91" s="1488" t="s">
        <v>396</v>
      </c>
      <c r="B91" s="1485">
        <f>SUM(объемы!T58/2)</f>
        <v>1731.9666666666667</v>
      </c>
      <c r="C91" s="1486">
        <f>SUM(D91:E91)</f>
        <v>1722.5</v>
      </c>
      <c r="D91" s="1486">
        <f>SUM(объемы!T59/2)</f>
        <v>1224</v>
      </c>
      <c r="E91" s="1486">
        <f>SUM(объемы!T60/2)</f>
        <v>498.5</v>
      </c>
      <c r="F91" s="1487">
        <f>SUM(объемы!T61/2)</f>
        <v>9.4666666666666668</v>
      </c>
      <c r="G91" s="1485">
        <f>B91</f>
        <v>1731.9666666666667</v>
      </c>
      <c r="H91" s="1486">
        <f>C91</f>
        <v>1722.5</v>
      </c>
      <c r="I91" s="1486">
        <f>D91</f>
        <v>1224</v>
      </c>
      <c r="J91" s="1486">
        <f>E91</f>
        <v>498.5</v>
      </c>
      <c r="K91" s="1487">
        <f>F91</f>
        <v>9.4666666666666668</v>
      </c>
      <c r="L91" s="1485">
        <f>SUM(B91+G91)</f>
        <v>3463.9333333333334</v>
      </c>
      <c r="M91" s="1486">
        <f>SUM(C91+H91)</f>
        <v>3445</v>
      </c>
      <c r="N91" s="1486">
        <f>SUM(D91+I91)</f>
        <v>2448</v>
      </c>
      <c r="O91" s="1486">
        <f>SUM(E91+J91)</f>
        <v>997</v>
      </c>
      <c r="P91" s="1487">
        <f>SUM(F91+K91)</f>
        <v>18.933333333333334</v>
      </c>
      <c r="Q91" s="1485"/>
      <c r="R91" s="1521"/>
      <c r="S91" s="1521"/>
      <c r="T91" s="1522"/>
      <c r="U91" s="1523"/>
      <c r="V91" s="1490"/>
      <c r="W91" s="1490"/>
      <c r="X91" s="1491"/>
    </row>
    <row r="92" spans="1:24" ht="30" customHeight="1">
      <c r="A92" s="1471" t="s">
        <v>397</v>
      </c>
      <c r="B92" s="1477">
        <f>SUM(B93/B91)</f>
        <v>24.23345303768841</v>
      </c>
      <c r="C92" s="1478">
        <f>SUM(C93/C91)</f>
        <v>24.29084908341078</v>
      </c>
      <c r="D92" s="1478">
        <f>SUM(I72)</f>
        <v>21.01</v>
      </c>
      <c r="E92" s="1478">
        <f>SUM(J72)</f>
        <v>24.29084908341078</v>
      </c>
      <c r="F92" s="1479">
        <f>SUM(K72)</f>
        <v>13.79</v>
      </c>
      <c r="G92" s="1477">
        <f>SUM(G93/G91)</f>
        <v>31.661512148297199</v>
      </c>
      <c r="H92" s="1478">
        <f>H93/H91</f>
        <v>31.759514001040586</v>
      </c>
      <c r="I92" s="1478">
        <f>D92*1.2</f>
        <v>25.212</v>
      </c>
      <c r="J92" s="1478">
        <f>SUM(H92)</f>
        <v>31.759514001040586</v>
      </c>
      <c r="K92" s="1479">
        <f t="shared" ref="K92:P92" si="9">SUM(K93/K91)</f>
        <v>13.829660949302399</v>
      </c>
      <c r="L92" s="1477">
        <f t="shared" si="9"/>
        <v>27.947482592992806</v>
      </c>
      <c r="M92" s="1478">
        <f t="shared" si="9"/>
        <v>28.025181542225685</v>
      </c>
      <c r="N92" s="1478">
        <f t="shared" si="9"/>
        <v>23.111000000000001</v>
      </c>
      <c r="O92" s="1478">
        <f t="shared" si="9"/>
        <v>28.025181542225685</v>
      </c>
      <c r="P92" s="1479">
        <f t="shared" si="9"/>
        <v>13.8098304746512</v>
      </c>
      <c r="Q92" s="1480">
        <f>SUM(G92/B92)</f>
        <v>1.3065208700987228</v>
      </c>
      <c r="R92" s="1524">
        <f>SUM(H92/C92)</f>
        <v>1.307468252426403</v>
      </c>
      <c r="S92" s="1524">
        <f>I92/D92</f>
        <v>1.2</v>
      </c>
      <c r="T92" s="1525">
        <f>SUM(K92/F92)</f>
        <v>1.0028760659392604</v>
      </c>
      <c r="U92" s="1526">
        <f>SUM(L92/L72)</f>
        <v>1.1466582099126219</v>
      </c>
      <c r="V92" s="1467">
        <f>SUM(M92/M72)</f>
        <v>1.1537542908773748</v>
      </c>
      <c r="W92" s="1467">
        <f>SUM(N92/N72)</f>
        <v>1.1743394308943087</v>
      </c>
      <c r="X92" s="1468">
        <f>SUM(P92/P72)</f>
        <v>1.2850380021077887</v>
      </c>
    </row>
    <row r="93" spans="1:24" ht="30" customHeight="1">
      <c r="A93" s="1471" t="s">
        <v>398</v>
      </c>
      <c r="B93" s="1477">
        <f>SUM(C93+F93)</f>
        <v>41971.532879508406</v>
      </c>
      <c r="C93" s="1478">
        <f>SUM(D93:E93)+D94</f>
        <v>41840.987546175071</v>
      </c>
      <c r="D93" s="1478">
        <f>D92*D91</f>
        <v>25716.240000000002</v>
      </c>
      <c r="E93" s="1478">
        <f>E92*E91</f>
        <v>12108.988268080275</v>
      </c>
      <c r="F93" s="1479">
        <f>F92*F91</f>
        <v>130.54533333333333</v>
      </c>
      <c r="G93" s="1477">
        <f>SUM(L93-B93)</f>
        <v>54836.683657112473</v>
      </c>
      <c r="H93" s="1478">
        <f>SUM(M93-C93)</f>
        <v>54705.762866792407</v>
      </c>
      <c r="I93" s="1478">
        <f>I92*I91</f>
        <v>30859.488000000001</v>
      </c>
      <c r="J93" s="1478">
        <f>SUM(J91*J92)</f>
        <v>15832.117729518732</v>
      </c>
      <c r="K93" s="1479">
        <f>SUM(P93-F93)</f>
        <v>130.92079032006271</v>
      </c>
      <c r="L93" s="1477">
        <f>SUM(стоки!AY101)</f>
        <v>96808.216536620879</v>
      </c>
      <c r="M93" s="1478">
        <f>SUM(стоки!BA101)</f>
        <v>96546.750412967478</v>
      </c>
      <c r="N93" s="1478">
        <f>SUM(D93+I93)</f>
        <v>56575.728000000003</v>
      </c>
      <c r="O93" s="1478">
        <f>SUM(E93+J93)</f>
        <v>27941.105997599007</v>
      </c>
      <c r="P93" s="1479">
        <f>SUM(стоки!BB101)</f>
        <v>261.46612365339604</v>
      </c>
      <c r="Q93" s="1477"/>
      <c r="R93" s="1529"/>
      <c r="S93" s="1529"/>
      <c r="T93" s="1530"/>
      <c r="U93" s="1531"/>
      <c r="V93" s="1464"/>
      <c r="W93" s="1464"/>
      <c r="X93" s="1465"/>
    </row>
    <row r="94" spans="1:24" ht="30" customHeight="1" thickBot="1">
      <c r="A94" s="1472" t="s">
        <v>400</v>
      </c>
      <c r="B94" s="1481">
        <f>SUM(C94:F94)</f>
        <v>4015.759278094793</v>
      </c>
      <c r="C94" s="1482">
        <v>0</v>
      </c>
      <c r="D94" s="1482">
        <f>SUM(E92-D92)*D91</f>
        <v>4015.759278094793</v>
      </c>
      <c r="E94" s="1482">
        <v>0</v>
      </c>
      <c r="F94" s="1483">
        <v>0</v>
      </c>
      <c r="G94" s="1481">
        <f>SUM(H94:K94)</f>
        <v>8014.1571372736771</v>
      </c>
      <c r="H94" s="1482">
        <v>0</v>
      </c>
      <c r="I94" s="1482">
        <f>SUM(H92-I92)*I91</f>
        <v>8014.1571372736771</v>
      </c>
      <c r="J94" s="1482">
        <v>0</v>
      </c>
      <c r="K94" s="1483">
        <v>0</v>
      </c>
      <c r="L94" s="1481">
        <f>SUM(M94:P94)</f>
        <v>12029.916415368471</v>
      </c>
      <c r="M94" s="1482">
        <v>0</v>
      </c>
      <c r="N94" s="1482">
        <f>SUM(B94+G94)</f>
        <v>12029.916415368471</v>
      </c>
      <c r="O94" s="1482">
        <v>0</v>
      </c>
      <c r="P94" s="1483">
        <v>0</v>
      </c>
      <c r="Q94" s="1481"/>
      <c r="R94" s="1532"/>
      <c r="S94" s="1532"/>
      <c r="T94" s="1533"/>
      <c r="U94" s="1534"/>
      <c r="V94" s="1469"/>
      <c r="W94" s="1469"/>
      <c r="X94" s="1470"/>
    </row>
    <row r="95" spans="1:24" ht="15.75" customHeight="1" thickBot="1">
      <c r="A95" s="6575"/>
      <c r="B95" s="6576"/>
      <c r="C95" s="6576"/>
      <c r="D95" s="6576"/>
      <c r="E95" s="6576"/>
      <c r="F95" s="6576"/>
      <c r="G95" s="6576"/>
      <c r="H95" s="6576"/>
      <c r="I95" s="6576"/>
      <c r="J95" s="6576"/>
      <c r="K95" s="6576"/>
      <c r="L95" s="6576"/>
      <c r="M95" s="6576"/>
      <c r="N95" s="6576"/>
      <c r="O95" s="6576"/>
      <c r="P95" s="6576"/>
      <c r="Q95" s="6576"/>
      <c r="R95" s="6576"/>
      <c r="S95" s="6576"/>
      <c r="T95" s="6576"/>
      <c r="U95" s="6576"/>
      <c r="V95" s="6576"/>
      <c r="W95" s="6576"/>
      <c r="X95" s="6577"/>
    </row>
    <row r="96" spans="1:24" ht="15.75" customHeight="1" thickBot="1">
      <c r="A96" s="5832">
        <v>2016</v>
      </c>
      <c r="B96" s="6583" t="s">
        <v>399</v>
      </c>
      <c r="C96" s="6583"/>
      <c r="D96" s="6583"/>
      <c r="E96" s="6583"/>
      <c r="F96" s="6583"/>
      <c r="G96" s="6583"/>
      <c r="H96" s="6583"/>
      <c r="I96" s="6583"/>
      <c r="J96" s="6583"/>
      <c r="K96" s="6583"/>
      <c r="L96" s="6583"/>
      <c r="M96" s="6583"/>
      <c r="N96" s="6583"/>
      <c r="O96" s="6583"/>
      <c r="P96" s="6584"/>
      <c r="Q96" s="6585" t="s">
        <v>406</v>
      </c>
      <c r="R96" s="6586"/>
      <c r="S96" s="6586"/>
      <c r="T96" s="6587"/>
      <c r="U96" s="6585" t="s">
        <v>407</v>
      </c>
      <c r="V96" s="6586"/>
      <c r="W96" s="6586"/>
      <c r="X96" s="6587"/>
    </row>
    <row r="97" spans="1:24" ht="15.75" customHeight="1" thickBot="1">
      <c r="A97" s="6581"/>
      <c r="B97" s="6591" t="s">
        <v>870</v>
      </c>
      <c r="C97" s="6592"/>
      <c r="D97" s="6592"/>
      <c r="E97" s="6592"/>
      <c r="F97" s="6593"/>
      <c r="G97" s="6594" t="s">
        <v>871</v>
      </c>
      <c r="H97" s="6595"/>
      <c r="I97" s="6595"/>
      <c r="J97" s="6595"/>
      <c r="K97" s="5766"/>
      <c r="L97" s="6594" t="s">
        <v>832</v>
      </c>
      <c r="M97" s="6595"/>
      <c r="N97" s="6595"/>
      <c r="O97" s="6595"/>
      <c r="P97" s="6596"/>
      <c r="Q97" s="6588"/>
      <c r="R97" s="6589"/>
      <c r="S97" s="6589"/>
      <c r="T97" s="6590"/>
      <c r="U97" s="6588"/>
      <c r="V97" s="6589"/>
      <c r="W97" s="6589"/>
      <c r="X97" s="6590"/>
    </row>
    <row r="98" spans="1:24" ht="15.75" customHeight="1">
      <c r="A98" s="6581"/>
      <c r="B98" s="6597" t="s">
        <v>301</v>
      </c>
      <c r="C98" s="6600" t="s">
        <v>50</v>
      </c>
      <c r="D98" s="6600"/>
      <c r="E98" s="6600"/>
      <c r="F98" s="6601"/>
      <c r="G98" s="5966" t="s">
        <v>301</v>
      </c>
      <c r="H98" s="6602" t="s">
        <v>50</v>
      </c>
      <c r="I98" s="6602"/>
      <c r="J98" s="6602"/>
      <c r="K98" s="6603"/>
      <c r="L98" s="5966" t="s">
        <v>301</v>
      </c>
      <c r="M98" s="6602" t="s">
        <v>50</v>
      </c>
      <c r="N98" s="6602"/>
      <c r="O98" s="6602"/>
      <c r="P98" s="6603"/>
      <c r="Q98" s="5966" t="s">
        <v>301</v>
      </c>
      <c r="R98" s="6604" t="s">
        <v>50</v>
      </c>
      <c r="S98" s="6604"/>
      <c r="T98" s="6605"/>
      <c r="U98" s="5966" t="s">
        <v>301</v>
      </c>
      <c r="V98" s="6604" t="s">
        <v>50</v>
      </c>
      <c r="W98" s="6604"/>
      <c r="X98" s="6605"/>
    </row>
    <row r="99" spans="1:24" ht="15.75" customHeight="1">
      <c r="A99" s="6581"/>
      <c r="B99" s="6598"/>
      <c r="C99" s="6606" t="s">
        <v>330</v>
      </c>
      <c r="D99" s="6608" t="s">
        <v>239</v>
      </c>
      <c r="E99" s="6608"/>
      <c r="F99" s="6609" t="s">
        <v>880</v>
      </c>
      <c r="G99" s="6598"/>
      <c r="H99" s="6606" t="s">
        <v>330</v>
      </c>
      <c r="I99" s="6608" t="s">
        <v>239</v>
      </c>
      <c r="J99" s="6608"/>
      <c r="K99" s="6609" t="s">
        <v>880</v>
      </c>
      <c r="L99" s="6598"/>
      <c r="M99" s="6606" t="s">
        <v>330</v>
      </c>
      <c r="N99" s="6608" t="s">
        <v>239</v>
      </c>
      <c r="O99" s="6608"/>
      <c r="P99" s="6609" t="s">
        <v>880</v>
      </c>
      <c r="Q99" s="6598"/>
      <c r="R99" s="6606" t="s">
        <v>330</v>
      </c>
      <c r="S99" s="6606"/>
      <c r="T99" s="6609" t="s">
        <v>880</v>
      </c>
      <c r="U99" s="6598"/>
      <c r="V99" s="6606" t="s">
        <v>330</v>
      </c>
      <c r="W99" s="6606"/>
      <c r="X99" s="6609" t="s">
        <v>880</v>
      </c>
    </row>
    <row r="100" spans="1:24" ht="15.75" customHeight="1" thickBot="1">
      <c r="A100" s="6582"/>
      <c r="B100" s="6599"/>
      <c r="C100" s="6607"/>
      <c r="D100" s="1484" t="s">
        <v>264</v>
      </c>
      <c r="E100" s="1484" t="s">
        <v>300</v>
      </c>
      <c r="F100" s="5090"/>
      <c r="G100" s="6599"/>
      <c r="H100" s="6607"/>
      <c r="I100" s="1484" t="s">
        <v>264</v>
      </c>
      <c r="J100" s="1484" t="s">
        <v>300</v>
      </c>
      <c r="K100" s="5090"/>
      <c r="L100" s="6599"/>
      <c r="M100" s="6607"/>
      <c r="N100" s="1484" t="s">
        <v>264</v>
      </c>
      <c r="O100" s="1484" t="s">
        <v>300</v>
      </c>
      <c r="P100" s="5090"/>
      <c r="Q100" s="6599"/>
      <c r="R100" s="1489" t="s">
        <v>873</v>
      </c>
      <c r="S100" s="1489" t="s">
        <v>264</v>
      </c>
      <c r="T100" s="5090"/>
      <c r="U100" s="6599"/>
      <c r="V100" s="1489" t="s">
        <v>873</v>
      </c>
      <c r="W100" s="1489" t="s">
        <v>264</v>
      </c>
      <c r="X100" s="5090"/>
    </row>
    <row r="101" spans="1:24" ht="30" customHeight="1">
      <c r="A101" s="1488" t="s">
        <v>396</v>
      </c>
      <c r="B101" s="1485">
        <f>SUM(B91)</f>
        <v>1731.9666666666667</v>
      </c>
      <c r="C101" s="1486">
        <f t="shared" ref="C101:P101" si="10">SUM(C91)</f>
        <v>1722.5</v>
      </c>
      <c r="D101" s="1486">
        <f t="shared" si="10"/>
        <v>1224</v>
      </c>
      <c r="E101" s="1486">
        <f t="shared" si="10"/>
        <v>498.5</v>
      </c>
      <c r="F101" s="1487">
        <f t="shared" si="10"/>
        <v>9.4666666666666668</v>
      </c>
      <c r="G101" s="1485">
        <f t="shared" si="10"/>
        <v>1731.9666666666667</v>
      </c>
      <c r="H101" s="1486">
        <f t="shared" si="10"/>
        <v>1722.5</v>
      </c>
      <c r="I101" s="1486">
        <f t="shared" si="10"/>
        <v>1224</v>
      </c>
      <c r="J101" s="1486">
        <f t="shared" si="10"/>
        <v>498.5</v>
      </c>
      <c r="K101" s="1487">
        <f t="shared" si="10"/>
        <v>9.4666666666666668</v>
      </c>
      <c r="L101" s="1485">
        <f t="shared" si="10"/>
        <v>3463.9333333333334</v>
      </c>
      <c r="M101" s="1486">
        <f t="shared" si="10"/>
        <v>3445</v>
      </c>
      <c r="N101" s="1486">
        <f t="shared" si="10"/>
        <v>2448</v>
      </c>
      <c r="O101" s="1486">
        <f t="shared" si="10"/>
        <v>997</v>
      </c>
      <c r="P101" s="1487">
        <f t="shared" si="10"/>
        <v>18.933333333333334</v>
      </c>
      <c r="Q101" s="1485"/>
      <c r="R101" s="1490"/>
      <c r="S101" s="1490"/>
      <c r="T101" s="1491"/>
      <c r="U101" s="1492"/>
      <c r="V101" s="1490"/>
      <c r="W101" s="1490"/>
      <c r="X101" s="1491"/>
    </row>
    <row r="102" spans="1:24" ht="30" customHeight="1">
      <c r="A102" s="1471" t="s">
        <v>397</v>
      </c>
      <c r="B102" s="1477">
        <f>SUM(B103/B101)</f>
        <v>24.988454550703441</v>
      </c>
      <c r="C102" s="1478">
        <f>SUM(C103/C101)</f>
        <v>25.05</v>
      </c>
      <c r="D102" s="1478">
        <f>SUM(I82)</f>
        <v>21.01</v>
      </c>
      <c r="E102" s="1478">
        <f>SUM(J82)</f>
        <v>25.05</v>
      </c>
      <c r="F102" s="1479">
        <f>SUM(K82)</f>
        <v>13.79</v>
      </c>
      <c r="G102" s="1477">
        <f>SUM(G103/G101)</f>
        <v>30.905990994796404</v>
      </c>
      <c r="H102" s="1478">
        <f>H103/H101</f>
        <v>30.999840588079817</v>
      </c>
      <c r="I102" s="1478">
        <f>D102*1.2</f>
        <v>25.212</v>
      </c>
      <c r="J102" s="1478">
        <f>SUM(H102)</f>
        <v>30.999840588079817</v>
      </c>
      <c r="K102" s="1479">
        <f t="shared" ref="K102:P102" si="11">SUM(K103/K101)</f>
        <v>13.829660949302399</v>
      </c>
      <c r="L102" s="1477">
        <f t="shared" si="11"/>
        <v>27.947222772749925</v>
      </c>
      <c r="M102" s="1478">
        <f t="shared" si="11"/>
        <v>28.024920294039909</v>
      </c>
      <c r="N102" s="1478">
        <f t="shared" si="11"/>
        <v>23.111000000000001</v>
      </c>
      <c r="O102" s="1478">
        <f t="shared" si="11"/>
        <v>28.024920294039909</v>
      </c>
      <c r="P102" s="1479">
        <f t="shared" si="11"/>
        <v>13.8098304746512</v>
      </c>
      <c r="Q102" s="1480">
        <f>SUM(G102/B102)</f>
        <v>1.2368108212569064</v>
      </c>
      <c r="R102" s="1466">
        <f>SUM(H102/C102)</f>
        <v>1.2375185863504916</v>
      </c>
      <c r="S102" s="1466">
        <f>I102/D102</f>
        <v>1.2</v>
      </c>
      <c r="T102" s="1473">
        <f>SUM(K102/F102)</f>
        <v>1.0028760659392604</v>
      </c>
      <c r="U102" s="1475">
        <f>SUM(L102/L82)</f>
        <v>1.1946320162777881</v>
      </c>
      <c r="V102" s="1467">
        <f>SUM(M102/M82)</f>
        <v>1.2021959457791729</v>
      </c>
      <c r="W102" s="1467">
        <f>SUM(N102/N82)</f>
        <v>1.1743394308943087</v>
      </c>
      <c r="X102" s="1468">
        <f>SUM(P102/P82)</f>
        <v>1.2850380021077887</v>
      </c>
    </row>
    <row r="103" spans="1:24" ht="30" customHeight="1">
      <c r="A103" s="1471" t="s">
        <v>398</v>
      </c>
      <c r="B103" s="1477">
        <f>SUM(C103+F103)</f>
        <v>43279.170333333335</v>
      </c>
      <c r="C103" s="1478">
        <f>SUM(D103:E103)+D104</f>
        <v>43148.625</v>
      </c>
      <c r="D103" s="1478">
        <f>D102*D101</f>
        <v>25716.240000000002</v>
      </c>
      <c r="E103" s="1478">
        <f>E102*E101</f>
        <v>12487.425000000001</v>
      </c>
      <c r="F103" s="1479">
        <f>F102*F101</f>
        <v>130.54533333333333</v>
      </c>
      <c r="G103" s="1477">
        <f>SUM(L103-B103)</f>
        <v>53528.14620328755</v>
      </c>
      <c r="H103" s="1478">
        <f>SUM(M103-C103)</f>
        <v>53397.225412967484</v>
      </c>
      <c r="I103" s="1478">
        <f>I102*I101</f>
        <v>30859.488000000001</v>
      </c>
      <c r="J103" s="1478">
        <f>SUM(J101*J102)</f>
        <v>15453.420533157789</v>
      </c>
      <c r="K103" s="1479">
        <f>SUM(P103-F103)</f>
        <v>130.92079032006271</v>
      </c>
      <c r="L103" s="1477">
        <f>SUM(стоки!AY98)</f>
        <v>96807.316536620885</v>
      </c>
      <c r="M103" s="1478">
        <f>SUM(стоки!BA98)</f>
        <v>96545.850412967484</v>
      </c>
      <c r="N103" s="1478">
        <f>SUM(D103+I103)</f>
        <v>56575.728000000003</v>
      </c>
      <c r="O103" s="1478">
        <f>SUM(E103+J103)</f>
        <v>27940.84553315779</v>
      </c>
      <c r="P103" s="1479">
        <f>SUM(стоки!BB98)</f>
        <v>261.46612365339604</v>
      </c>
      <c r="Q103" s="1477"/>
      <c r="R103" s="1464"/>
      <c r="S103" s="1464"/>
      <c r="T103" s="1465"/>
      <c r="U103" s="1474"/>
      <c r="V103" s="1464"/>
      <c r="W103" s="1464"/>
      <c r="X103" s="1465"/>
    </row>
    <row r="104" spans="1:24" ht="30" customHeight="1" thickBot="1">
      <c r="A104" s="1472" t="s">
        <v>400</v>
      </c>
      <c r="B104" s="1481">
        <f>SUM(C104:F104)</f>
        <v>4944.9599999999991</v>
      </c>
      <c r="C104" s="1482">
        <v>0</v>
      </c>
      <c r="D104" s="1482">
        <f>SUM(E102-D102)*D101</f>
        <v>4944.9599999999991</v>
      </c>
      <c r="E104" s="1482">
        <v>0</v>
      </c>
      <c r="F104" s="1483">
        <v>0</v>
      </c>
      <c r="G104" s="1481">
        <f>SUM(H104:K104)</f>
        <v>7084.3168798096958</v>
      </c>
      <c r="H104" s="1482">
        <v>0</v>
      </c>
      <c r="I104" s="1482">
        <f>SUM(H102-I102)*I101</f>
        <v>7084.3168798096958</v>
      </c>
      <c r="J104" s="1482">
        <v>0</v>
      </c>
      <c r="K104" s="1483">
        <v>0</v>
      </c>
      <c r="L104" s="1481">
        <f>SUM(M104:P104)</f>
        <v>12029.276879809695</v>
      </c>
      <c r="M104" s="1482">
        <v>0</v>
      </c>
      <c r="N104" s="1482">
        <f>SUM(B104+G104)</f>
        <v>12029.276879809695</v>
      </c>
      <c r="O104" s="1482">
        <v>0</v>
      </c>
      <c r="P104" s="1483">
        <v>0</v>
      </c>
      <c r="Q104" s="1481"/>
      <c r="R104" s="1469"/>
      <c r="S104" s="1469"/>
      <c r="T104" s="1470"/>
      <c r="U104" s="1476"/>
      <c r="V104" s="1469"/>
      <c r="W104" s="1469"/>
      <c r="X104" s="1470"/>
    </row>
    <row r="105" spans="1:24" ht="27" thickBot="1">
      <c r="A105" s="6544" t="s">
        <v>879</v>
      </c>
      <c r="B105" s="6545"/>
      <c r="C105" s="6545"/>
      <c r="D105" s="6545"/>
      <c r="E105" s="6545"/>
      <c r="F105" s="6545"/>
      <c r="G105" s="6545"/>
      <c r="H105" s="6545"/>
      <c r="I105" s="6545"/>
      <c r="J105" s="6545"/>
      <c r="K105" s="6545"/>
      <c r="L105" s="6545"/>
      <c r="M105" s="6545"/>
      <c r="N105" s="6545"/>
      <c r="O105" s="6545"/>
      <c r="P105" s="6545"/>
      <c r="Q105" s="6545"/>
      <c r="R105" s="6545"/>
      <c r="S105" s="6545"/>
      <c r="T105" s="6545"/>
      <c r="U105" s="6545"/>
      <c r="V105" s="6545"/>
      <c r="W105" s="6545"/>
      <c r="X105" s="6546"/>
    </row>
    <row r="106" spans="1:24" ht="15.75" customHeight="1" thickBot="1">
      <c r="A106" s="6547">
        <v>2016</v>
      </c>
      <c r="B106" s="6550" t="s">
        <v>402</v>
      </c>
      <c r="C106" s="6550"/>
      <c r="D106" s="6550"/>
      <c r="E106" s="6550"/>
      <c r="F106" s="6550"/>
      <c r="G106" s="6550"/>
      <c r="H106" s="6550"/>
      <c r="I106" s="6550"/>
      <c r="J106" s="6550"/>
      <c r="K106" s="6550"/>
      <c r="L106" s="6550"/>
      <c r="M106" s="6550"/>
      <c r="N106" s="6550"/>
      <c r="O106" s="6550"/>
      <c r="P106" s="6551"/>
      <c r="Q106" s="6552" t="s">
        <v>406</v>
      </c>
      <c r="R106" s="6553"/>
      <c r="S106" s="6553"/>
      <c r="T106" s="6554"/>
      <c r="U106" s="6552" t="s">
        <v>407</v>
      </c>
      <c r="V106" s="6553"/>
      <c r="W106" s="6553"/>
      <c r="X106" s="6554"/>
    </row>
    <row r="107" spans="1:24" ht="15.75" customHeight="1" thickBot="1">
      <c r="A107" s="6548"/>
      <c r="B107" s="6558" t="s">
        <v>870</v>
      </c>
      <c r="C107" s="6559"/>
      <c r="D107" s="6559"/>
      <c r="E107" s="6559"/>
      <c r="F107" s="6560"/>
      <c r="G107" s="6561" t="s">
        <v>871</v>
      </c>
      <c r="H107" s="6562"/>
      <c r="I107" s="6562"/>
      <c r="J107" s="6562"/>
      <c r="K107" s="6563"/>
      <c r="L107" s="6561" t="s">
        <v>832</v>
      </c>
      <c r="M107" s="6562"/>
      <c r="N107" s="6562"/>
      <c r="O107" s="6562"/>
      <c r="P107" s="6564"/>
      <c r="Q107" s="6555"/>
      <c r="R107" s="6556"/>
      <c r="S107" s="6556"/>
      <c r="T107" s="6557"/>
      <c r="U107" s="6555"/>
      <c r="V107" s="6556"/>
      <c r="W107" s="6556"/>
      <c r="X107" s="6557"/>
    </row>
    <row r="108" spans="1:24" ht="15.75" customHeight="1">
      <c r="A108" s="6548"/>
      <c r="B108" s="6565" t="s">
        <v>301</v>
      </c>
      <c r="C108" s="6568" t="s">
        <v>50</v>
      </c>
      <c r="D108" s="6568"/>
      <c r="E108" s="6568"/>
      <c r="F108" s="6569"/>
      <c r="G108" s="6570" t="s">
        <v>301</v>
      </c>
      <c r="H108" s="6571" t="s">
        <v>50</v>
      </c>
      <c r="I108" s="6571"/>
      <c r="J108" s="6571"/>
      <c r="K108" s="6572"/>
      <c r="L108" s="6570" t="s">
        <v>301</v>
      </c>
      <c r="M108" s="6571" t="s">
        <v>50</v>
      </c>
      <c r="N108" s="6571"/>
      <c r="O108" s="6571"/>
      <c r="P108" s="6572"/>
      <c r="Q108" s="6570" t="s">
        <v>301</v>
      </c>
      <c r="R108" s="6573" t="s">
        <v>50</v>
      </c>
      <c r="S108" s="6573"/>
      <c r="T108" s="6574"/>
      <c r="U108" s="6570" t="s">
        <v>301</v>
      </c>
      <c r="V108" s="6573" t="s">
        <v>50</v>
      </c>
      <c r="W108" s="6573"/>
      <c r="X108" s="6574"/>
    </row>
    <row r="109" spans="1:24" ht="15.75" customHeight="1">
      <c r="A109" s="6548"/>
      <c r="B109" s="6566"/>
      <c r="C109" s="6539" t="s">
        <v>330</v>
      </c>
      <c r="D109" s="6541" t="s">
        <v>239</v>
      </c>
      <c r="E109" s="6541"/>
      <c r="F109" s="6542" t="s">
        <v>880</v>
      </c>
      <c r="G109" s="6566"/>
      <c r="H109" s="6539" t="s">
        <v>330</v>
      </c>
      <c r="I109" s="6541" t="s">
        <v>239</v>
      </c>
      <c r="J109" s="6541"/>
      <c r="K109" s="6542" t="s">
        <v>880</v>
      </c>
      <c r="L109" s="6566"/>
      <c r="M109" s="6539" t="s">
        <v>330</v>
      </c>
      <c r="N109" s="6541" t="s">
        <v>239</v>
      </c>
      <c r="O109" s="6541"/>
      <c r="P109" s="6542" t="s">
        <v>880</v>
      </c>
      <c r="Q109" s="6566"/>
      <c r="R109" s="6539" t="s">
        <v>330</v>
      </c>
      <c r="S109" s="6539"/>
      <c r="T109" s="6542" t="s">
        <v>880</v>
      </c>
      <c r="U109" s="6566"/>
      <c r="V109" s="6539" t="s">
        <v>330</v>
      </c>
      <c r="W109" s="6539"/>
      <c r="X109" s="6542" t="s">
        <v>880</v>
      </c>
    </row>
    <row r="110" spans="1:24" ht="15.75" customHeight="1" thickBot="1">
      <c r="A110" s="6549"/>
      <c r="B110" s="6567"/>
      <c r="C110" s="6540"/>
      <c r="D110" s="2511" t="s">
        <v>264</v>
      </c>
      <c r="E110" s="2511" t="s">
        <v>300</v>
      </c>
      <c r="F110" s="6543"/>
      <c r="G110" s="6567"/>
      <c r="H110" s="6540"/>
      <c r="I110" s="2511" t="s">
        <v>264</v>
      </c>
      <c r="J110" s="2511" t="s">
        <v>300</v>
      </c>
      <c r="K110" s="6543"/>
      <c r="L110" s="6567"/>
      <c r="M110" s="6540"/>
      <c r="N110" s="2511" t="s">
        <v>264</v>
      </c>
      <c r="O110" s="2511" t="s">
        <v>300</v>
      </c>
      <c r="P110" s="6543"/>
      <c r="Q110" s="6567"/>
      <c r="R110" s="2511" t="s">
        <v>873</v>
      </c>
      <c r="S110" s="2511" t="s">
        <v>264</v>
      </c>
      <c r="T110" s="6543"/>
      <c r="U110" s="6567"/>
      <c r="V110" s="2511" t="s">
        <v>873</v>
      </c>
      <c r="W110" s="2511" t="s">
        <v>264</v>
      </c>
      <c r="X110" s="6543"/>
    </row>
    <row r="111" spans="1:24" ht="30" customHeight="1">
      <c r="A111" s="2512" t="s">
        <v>396</v>
      </c>
      <c r="B111" s="2513">
        <f>SUM(объемы!T58/2)</f>
        <v>1731.9666666666667</v>
      </c>
      <c r="C111" s="2514">
        <f>SUM(D111:E111)</f>
        <v>1722.5</v>
      </c>
      <c r="D111" s="2514">
        <f>SUM(объемы!U59/2)</f>
        <v>1224</v>
      </c>
      <c r="E111" s="2514">
        <f>SUM(объемы!U60/2)</f>
        <v>498.5</v>
      </c>
      <c r="F111" s="2515">
        <f>SUM(объемы!V58/2)</f>
        <v>9.4666666666666668</v>
      </c>
      <c r="G111" s="2513">
        <f>B111</f>
        <v>1731.9666666666667</v>
      </c>
      <c r="H111" s="2514">
        <f>C111</f>
        <v>1722.5</v>
      </c>
      <c r="I111" s="2514">
        <f>D111</f>
        <v>1224</v>
      </c>
      <c r="J111" s="2514">
        <f>E111</f>
        <v>498.5</v>
      </c>
      <c r="K111" s="2515">
        <f>F111</f>
        <v>9.4666666666666668</v>
      </c>
      <c r="L111" s="2513">
        <f>SUM(B111+G111)</f>
        <v>3463.9333333333334</v>
      </c>
      <c r="M111" s="2514">
        <f>SUM(C111+H111)</f>
        <v>3445</v>
      </c>
      <c r="N111" s="2514">
        <f>SUM(D111+I111)</f>
        <v>2448</v>
      </c>
      <c r="O111" s="2514">
        <f>SUM(E111+J111)</f>
        <v>997</v>
      </c>
      <c r="P111" s="2515">
        <f>SUM(F111+K111)</f>
        <v>18.933333333333334</v>
      </c>
      <c r="Q111" s="2513"/>
      <c r="R111" s="2516"/>
      <c r="S111" s="2516"/>
      <c r="T111" s="2517"/>
      <c r="U111" s="2518"/>
      <c r="V111" s="2516"/>
      <c r="W111" s="2516"/>
      <c r="X111" s="2517"/>
    </row>
    <row r="112" spans="1:24" ht="30" customHeight="1">
      <c r="A112" s="2519" t="s">
        <v>397</v>
      </c>
      <c r="B112" s="2520">
        <f>SUM(B113/B111)</f>
        <v>24.23345303768841</v>
      </c>
      <c r="C112" s="2521">
        <f>SUM(C113/C111)</f>
        <v>24.29084908341078</v>
      </c>
      <c r="D112" s="2521">
        <f>SUM(I72)</f>
        <v>21.01</v>
      </c>
      <c r="E112" s="2521">
        <f>SUM(J72)</f>
        <v>24.29084908341078</v>
      </c>
      <c r="F112" s="2522">
        <f>SUM(K72)</f>
        <v>13.79</v>
      </c>
      <c r="G112" s="2520">
        <f>SUM(G113/G111)</f>
        <v>25.066232787371877</v>
      </c>
      <c r="H112" s="2521">
        <f>H113/H111</f>
        <v>25.125496399328522</v>
      </c>
      <c r="I112" s="2521">
        <v>22.5</v>
      </c>
      <c r="J112" s="2521">
        <f>SUM(H112)</f>
        <v>25.125496399328522</v>
      </c>
      <c r="K112" s="2522">
        <f t="shared" ref="K112:P112" si="12">SUM(K113/K111)</f>
        <v>14.28296818223105</v>
      </c>
      <c r="L112" s="2520">
        <f t="shared" si="12"/>
        <v>24.649842912530143</v>
      </c>
      <c r="M112" s="2521">
        <f t="shared" si="12"/>
        <v>24.708172741369651</v>
      </c>
      <c r="N112" s="2521">
        <f t="shared" si="12"/>
        <v>21.755000000000003</v>
      </c>
      <c r="O112" s="2521">
        <f t="shared" si="12"/>
        <v>24.708172741369651</v>
      </c>
      <c r="P112" s="2522">
        <f t="shared" si="12"/>
        <v>14.036484091115524</v>
      </c>
      <c r="Q112" s="2523">
        <f>SUM(G112/B112)</f>
        <v>1.0343648818180518</v>
      </c>
      <c r="R112" s="2524">
        <f>SUM(H112/C112)</f>
        <v>1.0343605657032284</v>
      </c>
      <c r="S112" s="2524">
        <f>I112/D112</f>
        <v>1.0709186101856258</v>
      </c>
      <c r="T112" s="2525">
        <f>SUM(K112/F112)</f>
        <v>1.0357482365649784</v>
      </c>
      <c r="U112" s="2526">
        <f>SUM(L112/L72)</f>
        <v>1.0113592397690923</v>
      </c>
      <c r="V112" s="2527">
        <f>SUM(M112/M72)</f>
        <v>1.0171980608633253</v>
      </c>
      <c r="W112" s="2527">
        <f>SUM(N112/N72)</f>
        <v>1.1054369918699187</v>
      </c>
      <c r="X112" s="2528">
        <f>SUM(P112/P72)</f>
        <v>1.306128667268845</v>
      </c>
    </row>
    <row r="113" spans="1:24" ht="30" customHeight="1">
      <c r="A113" s="2519" t="s">
        <v>398</v>
      </c>
      <c r="B113" s="2520">
        <f>SUM(C113+F113)</f>
        <v>41971.532879508406</v>
      </c>
      <c r="C113" s="2521">
        <f>SUM(D113:E113)+D114</f>
        <v>41840.987546175071</v>
      </c>
      <c r="D113" s="2521">
        <f>D112*D111</f>
        <v>25716.240000000002</v>
      </c>
      <c r="E113" s="2521">
        <f>E112*E111</f>
        <v>12108.988268080275</v>
      </c>
      <c r="F113" s="2522">
        <f>F112*F111</f>
        <v>130.54533333333333</v>
      </c>
      <c r="G113" s="2520">
        <f>SUM(L113-B113)</f>
        <v>43413.879646635178</v>
      </c>
      <c r="H113" s="2521">
        <f>SUM(M113-C113)</f>
        <v>43278.667547843383</v>
      </c>
      <c r="I113" s="2521">
        <f>I112*I111</f>
        <v>27540</v>
      </c>
      <c r="J113" s="2521">
        <f>SUM(J111*J112)</f>
        <v>12525.059955065268</v>
      </c>
      <c r="K113" s="2522">
        <f>SUM(P113-F113)</f>
        <v>135.21209879178727</v>
      </c>
      <c r="L113" s="2520">
        <f>SUM(стоки!BC101)</f>
        <v>85385.412526143584</v>
      </c>
      <c r="M113" s="2521">
        <f>SUM(стоки!BE101)</f>
        <v>85119.655094018453</v>
      </c>
      <c r="N113" s="2521">
        <f>SUM(D113+I113)</f>
        <v>53256.240000000005</v>
      </c>
      <c r="O113" s="2521">
        <f>SUM(E113+J113)</f>
        <v>24634.048223145543</v>
      </c>
      <c r="P113" s="2522">
        <f>SUM(стоки!BF101)</f>
        <v>265.7574321251206</v>
      </c>
      <c r="Q113" s="2520"/>
      <c r="R113" s="2529"/>
      <c r="S113" s="2529"/>
      <c r="T113" s="2530"/>
      <c r="U113" s="2531"/>
      <c r="V113" s="2529"/>
      <c r="W113" s="2529"/>
      <c r="X113" s="2530"/>
    </row>
    <row r="114" spans="1:24" ht="30" customHeight="1" thickBot="1">
      <c r="A114" s="2532" t="s">
        <v>400</v>
      </c>
      <c r="B114" s="2533">
        <f>SUM(C114:F114)</f>
        <v>4015.759278094793</v>
      </c>
      <c r="C114" s="2534">
        <v>0</v>
      </c>
      <c r="D114" s="2534">
        <f>SUM(E112-D112)*D111</f>
        <v>4015.759278094793</v>
      </c>
      <c r="E114" s="2534">
        <v>0</v>
      </c>
      <c r="F114" s="2535">
        <v>0</v>
      </c>
      <c r="G114" s="2533">
        <f>SUM(H114:K114)</f>
        <v>3213.6075927781112</v>
      </c>
      <c r="H114" s="2534">
        <v>0</v>
      </c>
      <c r="I114" s="2534">
        <f>SUM(H112-I112)*I111</f>
        <v>3213.6075927781112</v>
      </c>
      <c r="J114" s="2534">
        <v>0</v>
      </c>
      <c r="K114" s="2535">
        <v>0</v>
      </c>
      <c r="L114" s="2533">
        <f>SUM(M114:P114)</f>
        <v>7229.3668708729037</v>
      </c>
      <c r="M114" s="2534">
        <v>0</v>
      </c>
      <c r="N114" s="2534">
        <f>SUM(B114+G114)</f>
        <v>7229.3668708729037</v>
      </c>
      <c r="O114" s="2534">
        <v>0</v>
      </c>
      <c r="P114" s="2535">
        <v>0</v>
      </c>
      <c r="Q114" s="2533"/>
      <c r="R114" s="2536"/>
      <c r="S114" s="2536"/>
      <c r="T114" s="2537"/>
      <c r="U114" s="2538"/>
      <c r="V114" s="2536"/>
      <c r="W114" s="2536"/>
      <c r="X114" s="2537"/>
    </row>
    <row r="115" spans="1:24" ht="15.75" customHeight="1" thickBot="1">
      <c r="A115" s="6652"/>
      <c r="B115" s="6653"/>
      <c r="C115" s="6653"/>
      <c r="D115" s="6653"/>
      <c r="E115" s="6653"/>
      <c r="F115" s="6653"/>
      <c r="G115" s="6653"/>
      <c r="H115" s="6653"/>
      <c r="I115" s="6653"/>
      <c r="J115" s="6653"/>
      <c r="K115" s="6653"/>
      <c r="L115" s="6653"/>
      <c r="M115" s="6653"/>
      <c r="N115" s="6653"/>
      <c r="O115" s="6653"/>
      <c r="P115" s="6653"/>
      <c r="Q115" s="6653"/>
      <c r="R115" s="6653"/>
      <c r="S115" s="6653"/>
      <c r="T115" s="6653"/>
      <c r="U115" s="6653"/>
      <c r="V115" s="6653"/>
      <c r="W115" s="6653"/>
      <c r="X115" s="6654"/>
    </row>
    <row r="116" spans="1:24" ht="15.75" customHeight="1" thickBot="1">
      <c r="A116" s="6547">
        <v>2016</v>
      </c>
      <c r="B116" s="6550" t="s">
        <v>399</v>
      </c>
      <c r="C116" s="6550"/>
      <c r="D116" s="6550"/>
      <c r="E116" s="6550"/>
      <c r="F116" s="6550"/>
      <c r="G116" s="6550"/>
      <c r="H116" s="6550"/>
      <c r="I116" s="6550"/>
      <c r="J116" s="6550"/>
      <c r="K116" s="6550"/>
      <c r="L116" s="6550"/>
      <c r="M116" s="6550"/>
      <c r="N116" s="6550"/>
      <c r="O116" s="6550"/>
      <c r="P116" s="6551"/>
      <c r="Q116" s="6552" t="s">
        <v>406</v>
      </c>
      <c r="R116" s="6553"/>
      <c r="S116" s="6553"/>
      <c r="T116" s="6554"/>
      <c r="U116" s="6552" t="s">
        <v>407</v>
      </c>
      <c r="V116" s="6553"/>
      <c r="W116" s="6553"/>
      <c r="X116" s="6554"/>
    </row>
    <row r="117" spans="1:24" ht="15.75" customHeight="1" thickBot="1">
      <c r="A117" s="6548"/>
      <c r="B117" s="6558" t="s">
        <v>870</v>
      </c>
      <c r="C117" s="6559"/>
      <c r="D117" s="6559"/>
      <c r="E117" s="6559"/>
      <c r="F117" s="6560"/>
      <c r="G117" s="6561" t="s">
        <v>871</v>
      </c>
      <c r="H117" s="6562"/>
      <c r="I117" s="6562"/>
      <c r="J117" s="6562"/>
      <c r="K117" s="6563"/>
      <c r="L117" s="6561" t="s">
        <v>832</v>
      </c>
      <c r="M117" s="6562"/>
      <c r="N117" s="6562"/>
      <c r="O117" s="6562"/>
      <c r="P117" s="6564"/>
      <c r="Q117" s="6555"/>
      <c r="R117" s="6556"/>
      <c r="S117" s="6556"/>
      <c r="T117" s="6557"/>
      <c r="U117" s="6555"/>
      <c r="V117" s="6556"/>
      <c r="W117" s="6556"/>
      <c r="X117" s="6557"/>
    </row>
    <row r="118" spans="1:24" ht="15.75" customHeight="1">
      <c r="A118" s="6548"/>
      <c r="B118" s="6565" t="s">
        <v>301</v>
      </c>
      <c r="C118" s="6568" t="s">
        <v>50</v>
      </c>
      <c r="D118" s="6568"/>
      <c r="E118" s="6568"/>
      <c r="F118" s="6569"/>
      <c r="G118" s="6570" t="s">
        <v>301</v>
      </c>
      <c r="H118" s="6571" t="s">
        <v>50</v>
      </c>
      <c r="I118" s="6571"/>
      <c r="J118" s="6571"/>
      <c r="K118" s="6572"/>
      <c r="L118" s="6570" t="s">
        <v>301</v>
      </c>
      <c r="M118" s="6571" t="s">
        <v>50</v>
      </c>
      <c r="N118" s="6571"/>
      <c r="O118" s="6571"/>
      <c r="P118" s="6572"/>
      <c r="Q118" s="6570" t="s">
        <v>301</v>
      </c>
      <c r="R118" s="6573" t="s">
        <v>50</v>
      </c>
      <c r="S118" s="6573"/>
      <c r="T118" s="6574"/>
      <c r="U118" s="6570" t="s">
        <v>301</v>
      </c>
      <c r="V118" s="6573" t="s">
        <v>50</v>
      </c>
      <c r="W118" s="6573"/>
      <c r="X118" s="6574"/>
    </row>
    <row r="119" spans="1:24" ht="15.75" customHeight="1">
      <c r="A119" s="6548"/>
      <c r="B119" s="6566"/>
      <c r="C119" s="6539" t="s">
        <v>330</v>
      </c>
      <c r="D119" s="6541" t="s">
        <v>239</v>
      </c>
      <c r="E119" s="6541"/>
      <c r="F119" s="6542" t="s">
        <v>880</v>
      </c>
      <c r="G119" s="6566"/>
      <c r="H119" s="6539" t="s">
        <v>330</v>
      </c>
      <c r="I119" s="6541" t="s">
        <v>239</v>
      </c>
      <c r="J119" s="6541"/>
      <c r="K119" s="6542" t="s">
        <v>880</v>
      </c>
      <c r="L119" s="6566"/>
      <c r="M119" s="6539" t="s">
        <v>330</v>
      </c>
      <c r="N119" s="6541" t="s">
        <v>239</v>
      </c>
      <c r="O119" s="6541"/>
      <c r="P119" s="6542" t="s">
        <v>880</v>
      </c>
      <c r="Q119" s="6566"/>
      <c r="R119" s="6539" t="s">
        <v>330</v>
      </c>
      <c r="S119" s="6539"/>
      <c r="T119" s="6542" t="s">
        <v>880</v>
      </c>
      <c r="U119" s="6566"/>
      <c r="V119" s="6539" t="s">
        <v>330</v>
      </c>
      <c r="W119" s="6539"/>
      <c r="X119" s="6542" t="s">
        <v>880</v>
      </c>
    </row>
    <row r="120" spans="1:24" ht="15.75" customHeight="1" thickBot="1">
      <c r="A120" s="6549"/>
      <c r="B120" s="6567"/>
      <c r="C120" s="6540"/>
      <c r="D120" s="2511" t="s">
        <v>264</v>
      </c>
      <c r="E120" s="2511" t="s">
        <v>300</v>
      </c>
      <c r="F120" s="6543"/>
      <c r="G120" s="6567"/>
      <c r="H120" s="6540"/>
      <c r="I120" s="2511" t="s">
        <v>264</v>
      </c>
      <c r="J120" s="2511" t="s">
        <v>300</v>
      </c>
      <c r="K120" s="6543"/>
      <c r="L120" s="6567"/>
      <c r="M120" s="6540"/>
      <c r="N120" s="2511" t="s">
        <v>264</v>
      </c>
      <c r="O120" s="2511" t="s">
        <v>300</v>
      </c>
      <c r="P120" s="6543"/>
      <c r="Q120" s="6567"/>
      <c r="R120" s="2511" t="s">
        <v>873</v>
      </c>
      <c r="S120" s="2511" t="s">
        <v>264</v>
      </c>
      <c r="T120" s="6543"/>
      <c r="U120" s="6567"/>
      <c r="V120" s="2511" t="s">
        <v>873</v>
      </c>
      <c r="W120" s="2511" t="s">
        <v>264</v>
      </c>
      <c r="X120" s="6543"/>
    </row>
    <row r="121" spans="1:24" ht="30" customHeight="1">
      <c r="A121" s="2512" t="s">
        <v>396</v>
      </c>
      <c r="B121" s="2513">
        <f>SUM(B111)</f>
        <v>1731.9666666666667</v>
      </c>
      <c r="C121" s="2514">
        <f t="shared" ref="C121:P121" si="13">SUM(C111)</f>
        <v>1722.5</v>
      </c>
      <c r="D121" s="2514">
        <f t="shared" si="13"/>
        <v>1224</v>
      </c>
      <c r="E121" s="2514">
        <f t="shared" si="13"/>
        <v>498.5</v>
      </c>
      <c r="F121" s="2515">
        <f t="shared" si="13"/>
        <v>9.4666666666666668</v>
      </c>
      <c r="G121" s="2513">
        <f t="shared" si="13"/>
        <v>1731.9666666666667</v>
      </c>
      <c r="H121" s="2514">
        <f t="shared" si="13"/>
        <v>1722.5</v>
      </c>
      <c r="I121" s="2514">
        <f t="shared" si="13"/>
        <v>1224</v>
      </c>
      <c r="J121" s="2514">
        <f t="shared" si="13"/>
        <v>498.5</v>
      </c>
      <c r="K121" s="2515">
        <f t="shared" si="13"/>
        <v>9.4666666666666668</v>
      </c>
      <c r="L121" s="2513">
        <f t="shared" si="13"/>
        <v>3463.9333333333334</v>
      </c>
      <c r="M121" s="2514">
        <f t="shared" si="13"/>
        <v>3445</v>
      </c>
      <c r="N121" s="2514">
        <f t="shared" si="13"/>
        <v>2448</v>
      </c>
      <c r="O121" s="2514">
        <f t="shared" si="13"/>
        <v>997</v>
      </c>
      <c r="P121" s="2515">
        <f t="shared" si="13"/>
        <v>18.933333333333334</v>
      </c>
      <c r="Q121" s="2513"/>
      <c r="R121" s="2516"/>
      <c r="S121" s="2516"/>
      <c r="T121" s="2517"/>
      <c r="U121" s="2518"/>
      <c r="V121" s="2516"/>
      <c r="W121" s="2516"/>
      <c r="X121" s="2517"/>
    </row>
    <row r="122" spans="1:24" ht="30" customHeight="1">
      <c r="A122" s="2519" t="s">
        <v>397</v>
      </c>
      <c r="B122" s="2520">
        <f>SUM(B123/B121)</f>
        <v>24.988454550703441</v>
      </c>
      <c r="C122" s="2521">
        <f>SUM(C123/C121)</f>
        <v>25.05</v>
      </c>
      <c r="D122" s="2521">
        <f t="shared" ref="D122" si="14">SUM(I82)</f>
        <v>21.01</v>
      </c>
      <c r="E122" s="2521">
        <f t="shared" ref="E122" si="15">SUM(J82)</f>
        <v>25.05</v>
      </c>
      <c r="F122" s="2522">
        <f>SUM(K82)</f>
        <v>13.79</v>
      </c>
      <c r="G122" s="2520">
        <f>SUM(G123/G121)</f>
        <v>24.310711633871083</v>
      </c>
      <c r="H122" s="2521">
        <f>H123/H121</f>
        <v>24.365822986367757</v>
      </c>
      <c r="I122" s="2521">
        <v>22.5</v>
      </c>
      <c r="J122" s="2521">
        <f>SUM(H122)</f>
        <v>24.365822986367757</v>
      </c>
      <c r="K122" s="2522">
        <f t="shared" ref="K122:P122" si="16">SUM(K123/K121)</f>
        <v>14.28296818223105</v>
      </c>
      <c r="L122" s="2520">
        <f t="shared" si="16"/>
        <v>24.649583092287262</v>
      </c>
      <c r="M122" s="2521">
        <f t="shared" si="16"/>
        <v>24.707911493183879</v>
      </c>
      <c r="N122" s="2521">
        <f t="shared" si="16"/>
        <v>21.755000000000003</v>
      </c>
      <c r="O122" s="2521">
        <f t="shared" si="16"/>
        <v>24.707911493183879</v>
      </c>
      <c r="P122" s="2522">
        <f t="shared" si="16"/>
        <v>14.036484091115524</v>
      </c>
      <c r="Q122" s="2523">
        <f>SUM(G122/B122)</f>
        <v>0.97287775778781493</v>
      </c>
      <c r="R122" s="2524">
        <f>SUM(H122/C122)</f>
        <v>0.97268754436597826</v>
      </c>
      <c r="S122" s="2524">
        <f>I122/D122</f>
        <v>1.0709186101856258</v>
      </c>
      <c r="T122" s="2525">
        <f>SUM(K122/F122)</f>
        <v>1.0357482365649784</v>
      </c>
      <c r="U122" s="2526">
        <f>SUM(L122/L82)</f>
        <v>1.0536711067640905</v>
      </c>
      <c r="V122" s="2527">
        <f>SUM(M122/M82)</f>
        <v>1.0599049244073468</v>
      </c>
      <c r="W122" s="2527">
        <f>SUM(N122/N82)</f>
        <v>1.1054369918699187</v>
      </c>
      <c r="X122" s="2528">
        <f>SUM(P122/P82)</f>
        <v>1.306128667268845</v>
      </c>
    </row>
    <row r="123" spans="1:24" ht="30" customHeight="1">
      <c r="A123" s="2519" t="s">
        <v>398</v>
      </c>
      <c r="B123" s="2520">
        <f>SUM(C123+F123)</f>
        <v>43279.170333333335</v>
      </c>
      <c r="C123" s="2521">
        <f>SUM(D123:E123)+D124</f>
        <v>43148.625</v>
      </c>
      <c r="D123" s="2521">
        <f>D122*D121</f>
        <v>25716.240000000002</v>
      </c>
      <c r="E123" s="2521">
        <f>E122*E121</f>
        <v>12487.425000000001</v>
      </c>
      <c r="F123" s="2522">
        <f>F122*F121</f>
        <v>130.54533333333333</v>
      </c>
      <c r="G123" s="2520">
        <f>SUM(L123-B123)</f>
        <v>42105.342192810254</v>
      </c>
      <c r="H123" s="2521">
        <f>SUM(M123-C123)</f>
        <v>41970.130094018459</v>
      </c>
      <c r="I123" s="2521">
        <f>I122*I121</f>
        <v>27540</v>
      </c>
      <c r="J123" s="2521">
        <f>SUM(J121*J122)</f>
        <v>12146.362758704327</v>
      </c>
      <c r="K123" s="2522">
        <f>SUM(P123-F123)</f>
        <v>135.21209879178727</v>
      </c>
      <c r="L123" s="2520">
        <f>SUM(стоки!BC98)</f>
        <v>85384.51252614359</v>
      </c>
      <c r="M123" s="2521">
        <f>SUM(стоки!BE98)</f>
        <v>85118.755094018459</v>
      </c>
      <c r="N123" s="2521">
        <f>SUM(D123+I123)</f>
        <v>53256.240000000005</v>
      </c>
      <c r="O123" s="2521">
        <f>SUM(E123+J123)</f>
        <v>24633.787758704326</v>
      </c>
      <c r="P123" s="2522">
        <f>SUM(стоки!BF98)</f>
        <v>265.7574321251206</v>
      </c>
      <c r="Q123" s="2520"/>
      <c r="R123" s="2529"/>
      <c r="S123" s="2529"/>
      <c r="T123" s="2530"/>
      <c r="U123" s="2531"/>
      <c r="V123" s="2529"/>
      <c r="W123" s="2529"/>
      <c r="X123" s="2530"/>
    </row>
    <row r="124" spans="1:24" ht="30" customHeight="1" thickBot="1">
      <c r="A124" s="2532" t="s">
        <v>400</v>
      </c>
      <c r="B124" s="2533">
        <f>SUM(C124:F124)</f>
        <v>4944.9599999999991</v>
      </c>
      <c r="C124" s="2534">
        <v>0</v>
      </c>
      <c r="D124" s="2534">
        <f>SUM(E122-D122)*D121</f>
        <v>4944.9599999999991</v>
      </c>
      <c r="E124" s="2534">
        <v>0</v>
      </c>
      <c r="F124" s="2535">
        <v>0</v>
      </c>
      <c r="G124" s="2533">
        <f>SUM(H124:K124)</f>
        <v>2283.7673353141345</v>
      </c>
      <c r="H124" s="2534">
        <v>0</v>
      </c>
      <c r="I124" s="2534">
        <f>SUM(H122-I122)*I121</f>
        <v>2283.7673353141345</v>
      </c>
      <c r="J124" s="2534">
        <v>0</v>
      </c>
      <c r="K124" s="2535">
        <v>0</v>
      </c>
      <c r="L124" s="2533">
        <f>SUM(M124:P124)</f>
        <v>7228.7273353141336</v>
      </c>
      <c r="M124" s="2534">
        <v>0</v>
      </c>
      <c r="N124" s="2534">
        <f>SUM(B124+G124)</f>
        <v>7228.7273353141336</v>
      </c>
      <c r="O124" s="2534">
        <v>0</v>
      </c>
      <c r="P124" s="2535">
        <v>0</v>
      </c>
      <c r="Q124" s="2533"/>
      <c r="R124" s="2536"/>
      <c r="S124" s="2536"/>
      <c r="T124" s="2537"/>
      <c r="U124" s="2538"/>
      <c r="V124" s="2536"/>
      <c r="W124" s="2536"/>
      <c r="X124" s="2537"/>
    </row>
    <row r="125" spans="1:24" ht="13.5" thickBot="1">
      <c r="A125" s="6537"/>
      <c r="B125" s="6538"/>
      <c r="C125" s="6538"/>
      <c r="D125" s="6538"/>
      <c r="E125" s="6538"/>
      <c r="F125" s="6538"/>
      <c r="G125" s="6538"/>
      <c r="H125" s="6538"/>
      <c r="I125" s="6538"/>
      <c r="J125" s="6538"/>
      <c r="K125" s="6538"/>
      <c r="L125" s="6538"/>
      <c r="M125" s="6538"/>
      <c r="N125" s="6538"/>
      <c r="O125" s="6538"/>
      <c r="P125" s="6538"/>
      <c r="Q125" s="6538"/>
      <c r="R125" s="6538"/>
      <c r="S125" s="6538"/>
      <c r="T125" s="6538"/>
      <c r="U125" s="6538"/>
      <c r="V125" s="6538"/>
      <c r="W125" s="6538"/>
      <c r="X125" s="6538"/>
    </row>
    <row r="126" spans="1:24" ht="27" thickBot="1">
      <c r="A126" s="6578" t="s">
        <v>1676</v>
      </c>
      <c r="B126" s="6579"/>
      <c r="C126" s="6579"/>
      <c r="D126" s="6579"/>
      <c r="E126" s="6579"/>
      <c r="F126" s="6579"/>
      <c r="G126" s="6579"/>
      <c r="H126" s="6579"/>
      <c r="I126" s="6579"/>
      <c r="J126" s="6579"/>
      <c r="K126" s="6579"/>
      <c r="L126" s="6579"/>
      <c r="M126" s="6579"/>
      <c r="N126" s="6579"/>
      <c r="O126" s="6579"/>
      <c r="P126" s="6579"/>
      <c r="Q126" s="6579"/>
      <c r="R126" s="6579"/>
      <c r="S126" s="6579"/>
      <c r="T126" s="6579"/>
      <c r="U126" s="6579"/>
      <c r="V126" s="6579"/>
      <c r="W126" s="6579"/>
      <c r="X126" s="6580"/>
    </row>
    <row r="127" spans="1:24" ht="30" customHeight="1" thickBot="1">
      <c r="A127" s="5832">
        <v>2016</v>
      </c>
      <c r="B127" s="6583" t="s">
        <v>1668</v>
      </c>
      <c r="C127" s="6583"/>
      <c r="D127" s="6583"/>
      <c r="E127" s="6583"/>
      <c r="F127" s="6583"/>
      <c r="G127" s="6583"/>
      <c r="H127" s="6583"/>
      <c r="I127" s="6583"/>
      <c r="J127" s="6583"/>
      <c r="K127" s="6583"/>
      <c r="L127" s="6583"/>
      <c r="M127" s="6583"/>
      <c r="N127" s="6583"/>
      <c r="O127" s="6583"/>
      <c r="P127" s="6584"/>
      <c r="Q127" s="6585" t="s">
        <v>406</v>
      </c>
      <c r="R127" s="6586"/>
      <c r="S127" s="6586"/>
      <c r="T127" s="6587"/>
      <c r="U127" s="6585" t="s">
        <v>407</v>
      </c>
      <c r="V127" s="6586"/>
      <c r="W127" s="6586"/>
      <c r="X127" s="6587"/>
    </row>
    <row r="128" spans="1:24" ht="30" customHeight="1" thickBot="1">
      <c r="A128" s="6581"/>
      <c r="B128" s="6591" t="s">
        <v>1677</v>
      </c>
      <c r="C128" s="6592"/>
      <c r="D128" s="6592"/>
      <c r="E128" s="6592"/>
      <c r="F128" s="6593"/>
      <c r="G128" s="6594" t="s">
        <v>1678</v>
      </c>
      <c r="H128" s="6595"/>
      <c r="I128" s="6595"/>
      <c r="J128" s="6595"/>
      <c r="K128" s="5766"/>
      <c r="L128" s="6594" t="s">
        <v>911</v>
      </c>
      <c r="M128" s="6595"/>
      <c r="N128" s="6595"/>
      <c r="O128" s="6595"/>
      <c r="P128" s="6596"/>
      <c r="Q128" s="6588"/>
      <c r="R128" s="6589"/>
      <c r="S128" s="6589"/>
      <c r="T128" s="6590"/>
      <c r="U128" s="6588"/>
      <c r="V128" s="6589"/>
      <c r="W128" s="6589"/>
      <c r="X128" s="6590"/>
    </row>
    <row r="129" spans="1:24" ht="30" customHeight="1">
      <c r="A129" s="6581"/>
      <c r="B129" s="6597" t="s">
        <v>301</v>
      </c>
      <c r="C129" s="6600" t="s">
        <v>50</v>
      </c>
      <c r="D129" s="6600"/>
      <c r="E129" s="6600"/>
      <c r="F129" s="6601"/>
      <c r="G129" s="5966" t="s">
        <v>301</v>
      </c>
      <c r="H129" s="6602" t="s">
        <v>50</v>
      </c>
      <c r="I129" s="6602"/>
      <c r="J129" s="6602"/>
      <c r="K129" s="6603"/>
      <c r="L129" s="5966" t="s">
        <v>301</v>
      </c>
      <c r="M129" s="6602" t="s">
        <v>50</v>
      </c>
      <c r="N129" s="6602"/>
      <c r="O129" s="6602"/>
      <c r="P129" s="6603"/>
      <c r="Q129" s="5966" t="s">
        <v>301</v>
      </c>
      <c r="R129" s="6604" t="s">
        <v>50</v>
      </c>
      <c r="S129" s="6604"/>
      <c r="T129" s="6605"/>
      <c r="U129" s="5966" t="s">
        <v>301</v>
      </c>
      <c r="V129" s="6604" t="s">
        <v>50</v>
      </c>
      <c r="W129" s="6604"/>
      <c r="X129" s="6605"/>
    </row>
    <row r="130" spans="1:24" ht="30" customHeight="1">
      <c r="A130" s="6581"/>
      <c r="B130" s="6598"/>
      <c r="C130" s="6606" t="s">
        <v>383</v>
      </c>
      <c r="D130" s="6608" t="s">
        <v>239</v>
      </c>
      <c r="E130" s="6608"/>
      <c r="F130" s="6647" t="s">
        <v>872</v>
      </c>
      <c r="G130" s="6598"/>
      <c r="H130" s="6606" t="s">
        <v>383</v>
      </c>
      <c r="I130" s="6608" t="s">
        <v>239</v>
      </c>
      <c r="J130" s="6608"/>
      <c r="K130" s="6647" t="s">
        <v>872</v>
      </c>
      <c r="L130" s="6598"/>
      <c r="M130" s="6606" t="s">
        <v>383</v>
      </c>
      <c r="N130" s="6608" t="s">
        <v>239</v>
      </c>
      <c r="O130" s="6608"/>
      <c r="P130" s="6647" t="s">
        <v>872</v>
      </c>
      <c r="Q130" s="6598"/>
      <c r="R130" s="6606" t="s">
        <v>383</v>
      </c>
      <c r="S130" s="6606"/>
      <c r="T130" s="6649" t="s">
        <v>872</v>
      </c>
      <c r="U130" s="6598"/>
      <c r="V130" s="6606" t="s">
        <v>383</v>
      </c>
      <c r="W130" s="6606"/>
      <c r="X130" s="6649" t="s">
        <v>872</v>
      </c>
    </row>
    <row r="131" spans="1:24" ht="30" customHeight="1" thickBot="1">
      <c r="A131" s="6582"/>
      <c r="B131" s="6599"/>
      <c r="C131" s="6607"/>
      <c r="D131" s="1484" t="s">
        <v>264</v>
      </c>
      <c r="E131" s="1484" t="s">
        <v>300</v>
      </c>
      <c r="F131" s="6648"/>
      <c r="G131" s="6599"/>
      <c r="H131" s="6607"/>
      <c r="I131" s="1484" t="s">
        <v>264</v>
      </c>
      <c r="J131" s="1484" t="s">
        <v>300</v>
      </c>
      <c r="K131" s="6648"/>
      <c r="L131" s="6599"/>
      <c r="M131" s="6607"/>
      <c r="N131" s="1484" t="s">
        <v>264</v>
      </c>
      <c r="O131" s="1484" t="s">
        <v>300</v>
      </c>
      <c r="P131" s="6648"/>
      <c r="Q131" s="6599"/>
      <c r="R131" s="1489" t="s">
        <v>873</v>
      </c>
      <c r="S131" s="1489" t="s">
        <v>264</v>
      </c>
      <c r="T131" s="6648"/>
      <c r="U131" s="6599"/>
      <c r="V131" s="1489" t="s">
        <v>873</v>
      </c>
      <c r="W131" s="1489" t="s">
        <v>264</v>
      </c>
      <c r="X131" s="6648"/>
    </row>
    <row r="132" spans="1:24" ht="30" customHeight="1">
      <c r="A132" s="1488" t="s">
        <v>396</v>
      </c>
      <c r="B132" s="1485">
        <f>SUM(объемы!AD49/2)</f>
        <v>1894.5</v>
      </c>
      <c r="C132" s="1486">
        <f>SUM(D132:E132)</f>
        <v>1885.5</v>
      </c>
      <c r="D132" s="1486">
        <f>SUM(объемы!AD50/2)</f>
        <v>1190</v>
      </c>
      <c r="E132" s="1486">
        <f>SUM(объемы!AD52+объемы!AD53)/2</f>
        <v>695.5</v>
      </c>
      <c r="F132" s="1487">
        <f>SUM(объемы!AD51)/2</f>
        <v>9</v>
      </c>
      <c r="G132" s="1485">
        <f>B132</f>
        <v>1894.5</v>
      </c>
      <c r="H132" s="1486">
        <f>C132</f>
        <v>1885.5</v>
      </c>
      <c r="I132" s="1486">
        <f>D132</f>
        <v>1190</v>
      </c>
      <c r="J132" s="1486">
        <f>E132</f>
        <v>695.5</v>
      </c>
      <c r="K132" s="1487">
        <f>F132</f>
        <v>9</v>
      </c>
      <c r="L132" s="1485">
        <f>SUM(B132+G132)</f>
        <v>3789</v>
      </c>
      <c r="M132" s="1486">
        <f>SUM(C132+H132)</f>
        <v>3771</v>
      </c>
      <c r="N132" s="1486">
        <f>SUM(D132+I132)</f>
        <v>2380</v>
      </c>
      <c r="O132" s="1486">
        <f>SUM(E132+J132)</f>
        <v>1391</v>
      </c>
      <c r="P132" s="1487">
        <f>SUM(F132+K132)</f>
        <v>18</v>
      </c>
      <c r="Q132" s="1485"/>
      <c r="R132" s="1521"/>
      <c r="S132" s="1521"/>
      <c r="T132" s="1522"/>
      <c r="U132" s="1523"/>
      <c r="V132" s="1521"/>
      <c r="W132" s="1521"/>
      <c r="X132" s="1522"/>
    </row>
    <row r="133" spans="1:24" ht="30" customHeight="1">
      <c r="A133" s="1471" t="s">
        <v>397</v>
      </c>
      <c r="B133" s="1477">
        <f>SUM(B134/B132)</f>
        <v>33.637249171226962</v>
      </c>
      <c r="C133" s="1478">
        <f>SUM(C134/C132)</f>
        <v>33.721159781585101</v>
      </c>
      <c r="D133" s="1478">
        <f>SUM(I49)</f>
        <v>27.8</v>
      </c>
      <c r="E133" s="1478">
        <f>SUM(J49)</f>
        <v>33.721159781585101</v>
      </c>
      <c r="F133" s="1479">
        <f>SUM(K49)</f>
        <v>16.057976301196952</v>
      </c>
      <c r="G133" s="1477">
        <f>SUM(G134/G132)</f>
        <v>43.9461586401057</v>
      </c>
      <c r="H133" s="1478">
        <f>H134/H132</f>
        <v>44.029335051583203</v>
      </c>
      <c r="I133" s="1478">
        <f>D133*1.2</f>
        <v>33.36</v>
      </c>
      <c r="J133" s="1478">
        <f>SUM(H133)</f>
        <v>44.029335051583203</v>
      </c>
      <c r="K133" s="1479">
        <f t="shared" ref="K133:P133" si="17">SUM(K134/K132)</f>
        <v>26.520700435568408</v>
      </c>
      <c r="L133" s="1477">
        <f t="shared" si="17"/>
        <v>38.791703905666331</v>
      </c>
      <c r="M133" s="1478">
        <f t="shared" si="17"/>
        <v>38.875247416584152</v>
      </c>
      <c r="N133" s="1478">
        <f t="shared" si="17"/>
        <v>30.58</v>
      </c>
      <c r="O133" s="1478">
        <f t="shared" si="17"/>
        <v>38.875247416584152</v>
      </c>
      <c r="P133" s="1479">
        <f t="shared" si="17"/>
        <v>21.28933836838268</v>
      </c>
      <c r="Q133" s="1480">
        <f>SUM(G133/B133)</f>
        <v>1.3064730238909339</v>
      </c>
      <c r="R133" s="1524">
        <f>SUM(H133/C133)</f>
        <v>1.3056886339842715</v>
      </c>
      <c r="S133" s="1524">
        <f>I133/D133</f>
        <v>1.2</v>
      </c>
      <c r="T133" s="1525">
        <f>SUM(K133/F133)</f>
        <v>1.6515593209333339</v>
      </c>
      <c r="U133" s="1526">
        <f>SUM(L133/L49)</f>
        <v>1.1924121337550726</v>
      </c>
      <c r="V133" s="1527">
        <f>SUM(M133/M49)</f>
        <v>1.191739924511797</v>
      </c>
      <c r="W133" s="1527">
        <f>SUM(N133/N49)</f>
        <v>1.1378604651162789</v>
      </c>
      <c r="X133" s="1528">
        <f>SUM(P133/P49)</f>
        <v>1.3256961253557737</v>
      </c>
    </row>
    <row r="134" spans="1:24" ht="30" customHeight="1">
      <c r="A134" s="1471" t="s">
        <v>398</v>
      </c>
      <c r="B134" s="1477">
        <f>SUM(C134+F134)</f>
        <v>63725.768554889473</v>
      </c>
      <c r="C134" s="1478">
        <f>SUM(D134:E134)+D135</f>
        <v>63581.246768178702</v>
      </c>
      <c r="D134" s="1478">
        <f>D133*D132</f>
        <v>33082</v>
      </c>
      <c r="E134" s="1478">
        <f>E133*E132</f>
        <v>23453.066628092438</v>
      </c>
      <c r="F134" s="1479">
        <f>F133*F132</f>
        <v>144.52178671077257</v>
      </c>
      <c r="G134" s="1477">
        <f>SUM(L134-B134)</f>
        <v>83255.997543680249</v>
      </c>
      <c r="H134" s="1478">
        <f>SUM(M134-C134)</f>
        <v>83017.311239760136</v>
      </c>
      <c r="I134" s="1478">
        <f>I133*I132</f>
        <v>39698.400000000001</v>
      </c>
      <c r="J134" s="1478">
        <f>SUM(J132*J133)</f>
        <v>30622.402528376118</v>
      </c>
      <c r="K134" s="1479">
        <f>SUM(P134-F134)</f>
        <v>238.68630392011568</v>
      </c>
      <c r="L134" s="1477">
        <f>SUM(вода!BU62)</f>
        <v>146981.76609856973</v>
      </c>
      <c r="M134" s="1478">
        <f>SUM(вода!BW62)</f>
        <v>146598.55800793885</v>
      </c>
      <c r="N134" s="1478">
        <f>SUM(D134+I134)</f>
        <v>72780.399999999994</v>
      </c>
      <c r="O134" s="1478">
        <f>SUM(E134+J134)</f>
        <v>54075.469156468556</v>
      </c>
      <c r="P134" s="1479">
        <f>SUM(вода!BX62)</f>
        <v>383.20809063088825</v>
      </c>
      <c r="Q134" s="1477"/>
      <c r="R134" s="1529"/>
      <c r="S134" s="1529"/>
      <c r="T134" s="1530"/>
      <c r="U134" s="1531"/>
      <c r="V134" s="1529"/>
      <c r="W134" s="1529"/>
      <c r="X134" s="1530"/>
    </row>
    <row r="135" spans="1:24" ht="30" customHeight="1" thickBot="1">
      <c r="A135" s="1472" t="s">
        <v>400</v>
      </c>
      <c r="B135" s="1481">
        <f>SUM(C135:F135)</f>
        <v>7046.1801400862687</v>
      </c>
      <c r="C135" s="1482">
        <v>0</v>
      </c>
      <c r="D135" s="1482">
        <f>SUM(E133-D133)*D132</f>
        <v>7046.1801400862687</v>
      </c>
      <c r="E135" s="1482">
        <v>0</v>
      </c>
      <c r="F135" s="1483">
        <v>0</v>
      </c>
      <c r="G135" s="1481">
        <f>SUM(H135:K135)</f>
        <v>12696.508711384013</v>
      </c>
      <c r="H135" s="1482">
        <v>0</v>
      </c>
      <c r="I135" s="1482">
        <f>SUM(H133-I133)*I132</f>
        <v>12696.508711384013</v>
      </c>
      <c r="J135" s="1482">
        <v>0</v>
      </c>
      <c r="K135" s="1483">
        <v>0</v>
      </c>
      <c r="L135" s="1481">
        <f>SUM(M135:P135)</f>
        <v>19742.68885147028</v>
      </c>
      <c r="M135" s="1482">
        <v>0</v>
      </c>
      <c r="N135" s="1482">
        <f>SUM(B135+G135)</f>
        <v>19742.68885147028</v>
      </c>
      <c r="O135" s="1482">
        <v>0</v>
      </c>
      <c r="P135" s="1483">
        <v>0</v>
      </c>
      <c r="Q135" s="1481"/>
      <c r="R135" s="1532"/>
      <c r="S135" s="1532"/>
      <c r="T135" s="1533"/>
      <c r="U135" s="1534"/>
      <c r="V135" s="1532"/>
      <c r="W135" s="1532"/>
      <c r="X135" s="1533"/>
    </row>
    <row r="136" spans="1:24" ht="13.5" thickBot="1">
      <c r="A136" s="6534"/>
      <c r="B136" s="6535"/>
      <c r="C136" s="6535"/>
      <c r="D136" s="6535"/>
      <c r="E136" s="6535"/>
      <c r="F136" s="6535"/>
      <c r="G136" s="6535"/>
      <c r="H136" s="6535"/>
      <c r="I136" s="6535"/>
      <c r="J136" s="6535"/>
      <c r="K136" s="6535"/>
      <c r="L136" s="6535"/>
      <c r="M136" s="6535"/>
      <c r="N136" s="6535"/>
      <c r="O136" s="6535"/>
      <c r="P136" s="6535"/>
      <c r="Q136" s="6535"/>
      <c r="R136" s="6535"/>
      <c r="S136" s="6535"/>
      <c r="T136" s="6535"/>
      <c r="U136" s="6535"/>
      <c r="V136" s="6535"/>
      <c r="W136" s="6535"/>
      <c r="X136" s="6536"/>
    </row>
    <row r="137" spans="1:24" ht="27" thickBot="1">
      <c r="A137" s="6616" t="s">
        <v>1679</v>
      </c>
      <c r="B137" s="6617"/>
      <c r="C137" s="6617"/>
      <c r="D137" s="6617"/>
      <c r="E137" s="6617"/>
      <c r="F137" s="6617"/>
      <c r="G137" s="6617"/>
      <c r="H137" s="6617"/>
      <c r="I137" s="6617"/>
      <c r="J137" s="6617"/>
      <c r="K137" s="6617"/>
      <c r="L137" s="6617"/>
      <c r="M137" s="6617"/>
      <c r="N137" s="6617"/>
      <c r="O137" s="6617"/>
      <c r="P137" s="6617"/>
      <c r="Q137" s="6617"/>
      <c r="R137" s="6617"/>
      <c r="S137" s="6617"/>
      <c r="T137" s="6617"/>
      <c r="U137" s="6617"/>
      <c r="V137" s="6617"/>
      <c r="W137" s="6617"/>
      <c r="X137" s="6618"/>
    </row>
    <row r="138" spans="1:24" ht="30" customHeight="1" thickBot="1">
      <c r="A138" s="6619">
        <v>2016</v>
      </c>
      <c r="B138" s="6622" t="s">
        <v>1669</v>
      </c>
      <c r="C138" s="6622"/>
      <c r="D138" s="6622"/>
      <c r="E138" s="6622"/>
      <c r="F138" s="6622"/>
      <c r="G138" s="6622"/>
      <c r="H138" s="6622"/>
      <c r="I138" s="6622"/>
      <c r="J138" s="6622"/>
      <c r="K138" s="6622"/>
      <c r="L138" s="6622"/>
      <c r="M138" s="6622"/>
      <c r="N138" s="6622"/>
      <c r="O138" s="6622"/>
      <c r="P138" s="6623"/>
      <c r="Q138" s="6624" t="s">
        <v>406</v>
      </c>
      <c r="R138" s="6625"/>
      <c r="S138" s="6625"/>
      <c r="T138" s="6626"/>
      <c r="U138" s="6624" t="s">
        <v>407</v>
      </c>
      <c r="V138" s="6625"/>
      <c r="W138" s="6625"/>
      <c r="X138" s="6626"/>
    </row>
    <row r="139" spans="1:24" ht="30" customHeight="1" thickBot="1">
      <c r="A139" s="6620"/>
      <c r="B139" s="6630" t="s">
        <v>870</v>
      </c>
      <c r="C139" s="6631"/>
      <c r="D139" s="6631"/>
      <c r="E139" s="6631"/>
      <c r="F139" s="6632"/>
      <c r="G139" s="6633" t="s">
        <v>1678</v>
      </c>
      <c r="H139" s="6634"/>
      <c r="I139" s="6634"/>
      <c r="J139" s="6634"/>
      <c r="K139" s="6635"/>
      <c r="L139" s="6633" t="s">
        <v>832</v>
      </c>
      <c r="M139" s="6634"/>
      <c r="N139" s="6634"/>
      <c r="O139" s="6634"/>
      <c r="P139" s="6636"/>
      <c r="Q139" s="6627"/>
      <c r="R139" s="6628"/>
      <c r="S139" s="6628"/>
      <c r="T139" s="6629"/>
      <c r="U139" s="6627"/>
      <c r="V139" s="6628"/>
      <c r="W139" s="6628"/>
      <c r="X139" s="6629"/>
    </row>
    <row r="140" spans="1:24" ht="30" customHeight="1">
      <c r="A140" s="6620"/>
      <c r="B140" s="6637" t="s">
        <v>301</v>
      </c>
      <c r="C140" s="6640" t="s">
        <v>50</v>
      </c>
      <c r="D140" s="6640"/>
      <c r="E140" s="6640"/>
      <c r="F140" s="6641"/>
      <c r="G140" s="6642" t="s">
        <v>301</v>
      </c>
      <c r="H140" s="6643" t="s">
        <v>50</v>
      </c>
      <c r="I140" s="6643"/>
      <c r="J140" s="6643"/>
      <c r="K140" s="6644"/>
      <c r="L140" s="6642" t="s">
        <v>301</v>
      </c>
      <c r="M140" s="6643" t="s">
        <v>50</v>
      </c>
      <c r="N140" s="6643"/>
      <c r="O140" s="6643"/>
      <c r="P140" s="6644"/>
      <c r="Q140" s="6642" t="s">
        <v>301</v>
      </c>
      <c r="R140" s="6645" t="s">
        <v>50</v>
      </c>
      <c r="S140" s="6645"/>
      <c r="T140" s="6646"/>
      <c r="U140" s="6642" t="s">
        <v>301</v>
      </c>
      <c r="V140" s="6645" t="s">
        <v>50</v>
      </c>
      <c r="W140" s="6645"/>
      <c r="X140" s="6646"/>
    </row>
    <row r="141" spans="1:24" ht="30" customHeight="1">
      <c r="A141" s="6620"/>
      <c r="B141" s="6638"/>
      <c r="C141" s="6610" t="s">
        <v>383</v>
      </c>
      <c r="D141" s="6612" t="s">
        <v>239</v>
      </c>
      <c r="E141" s="6612"/>
      <c r="F141" s="6613" t="s">
        <v>872</v>
      </c>
      <c r="G141" s="6638"/>
      <c r="H141" s="6610" t="s">
        <v>383</v>
      </c>
      <c r="I141" s="6612" t="s">
        <v>239</v>
      </c>
      <c r="J141" s="6612"/>
      <c r="K141" s="6613" t="s">
        <v>872</v>
      </c>
      <c r="L141" s="6638"/>
      <c r="M141" s="6610" t="s">
        <v>383</v>
      </c>
      <c r="N141" s="6612" t="s">
        <v>239</v>
      </c>
      <c r="O141" s="6612"/>
      <c r="P141" s="6613" t="s">
        <v>872</v>
      </c>
      <c r="Q141" s="6638"/>
      <c r="R141" s="6610" t="s">
        <v>383</v>
      </c>
      <c r="S141" s="6610"/>
      <c r="T141" s="6615" t="s">
        <v>872</v>
      </c>
      <c r="U141" s="6638"/>
      <c r="V141" s="6610" t="s">
        <v>383</v>
      </c>
      <c r="W141" s="6610"/>
      <c r="X141" s="6615" t="s">
        <v>872</v>
      </c>
    </row>
    <row r="142" spans="1:24" ht="30" customHeight="1" thickBot="1">
      <c r="A142" s="6621"/>
      <c r="B142" s="6639"/>
      <c r="C142" s="6611"/>
      <c r="D142" s="1493" t="s">
        <v>264</v>
      </c>
      <c r="E142" s="1493" t="s">
        <v>300</v>
      </c>
      <c r="F142" s="6614"/>
      <c r="G142" s="6639"/>
      <c r="H142" s="6611"/>
      <c r="I142" s="1493" t="s">
        <v>264</v>
      </c>
      <c r="J142" s="1493" t="s">
        <v>300</v>
      </c>
      <c r="K142" s="6614"/>
      <c r="L142" s="6639"/>
      <c r="M142" s="6611"/>
      <c r="N142" s="1493" t="s">
        <v>264</v>
      </c>
      <c r="O142" s="1493" t="s">
        <v>300</v>
      </c>
      <c r="P142" s="6614"/>
      <c r="Q142" s="6639"/>
      <c r="R142" s="1493" t="s">
        <v>873</v>
      </c>
      <c r="S142" s="1493" t="s">
        <v>264</v>
      </c>
      <c r="T142" s="6614"/>
      <c r="U142" s="6639"/>
      <c r="V142" s="1493" t="s">
        <v>873</v>
      </c>
      <c r="W142" s="1493" t="s">
        <v>264</v>
      </c>
      <c r="X142" s="6614"/>
    </row>
    <row r="143" spans="1:24" ht="30" customHeight="1">
      <c r="A143" s="1494" t="s">
        <v>396</v>
      </c>
      <c r="B143" s="2513">
        <f>SUM(объемы!AE49)/2</f>
        <v>1895.6745000000001</v>
      </c>
      <c r="C143" s="2514">
        <f>SUM(D143:E143)</f>
        <v>1885.5</v>
      </c>
      <c r="D143" s="2514">
        <f>SUM(объемы!AE50)/2</f>
        <v>1190</v>
      </c>
      <c r="E143" s="2514">
        <f>SUM(объемы!AE52+объемы!AE53)/2</f>
        <v>695.5</v>
      </c>
      <c r="F143" s="2515">
        <f>SUM(объемы!AE51)/2</f>
        <v>10.1745</v>
      </c>
      <c r="G143" s="2513">
        <f>B143</f>
        <v>1895.6745000000001</v>
      </c>
      <c r="H143" s="2514">
        <f>C143</f>
        <v>1885.5</v>
      </c>
      <c r="I143" s="2514">
        <f>D143</f>
        <v>1190</v>
      </c>
      <c r="J143" s="2514">
        <f>E143</f>
        <v>695.5</v>
      </c>
      <c r="K143" s="2515">
        <f>F143</f>
        <v>10.1745</v>
      </c>
      <c r="L143" s="2513">
        <f>SUM(B143+G143)</f>
        <v>3791.3490000000002</v>
      </c>
      <c r="M143" s="2514">
        <f>SUM(C143+H143)</f>
        <v>3771</v>
      </c>
      <c r="N143" s="2514">
        <f>SUM(D143+I143)</f>
        <v>2380</v>
      </c>
      <c r="O143" s="2514">
        <f>SUM(E143+J143)</f>
        <v>1391</v>
      </c>
      <c r="P143" s="2515">
        <f>SUM(F143+K143)</f>
        <v>20.349</v>
      </c>
      <c r="Q143" s="2513"/>
      <c r="R143" s="2516"/>
      <c r="S143" s="2516"/>
      <c r="T143" s="2517"/>
      <c r="U143" s="2518"/>
      <c r="V143" s="2516"/>
      <c r="W143" s="2516"/>
      <c r="X143" s="2517"/>
    </row>
    <row r="144" spans="1:24" ht="30" customHeight="1">
      <c r="A144" s="1501" t="s">
        <v>397</v>
      </c>
      <c r="B144" s="2520">
        <f>SUM(B145/B143)</f>
        <v>33.626357609418299</v>
      </c>
      <c r="C144" s="2521">
        <f>SUM(C145/C143)</f>
        <v>33.721159781585101</v>
      </c>
      <c r="D144" s="2521">
        <f>SUM(I49)</f>
        <v>27.8</v>
      </c>
      <c r="E144" s="2521">
        <f>SUM(J49)</f>
        <v>33.721159781585101</v>
      </c>
      <c r="F144" s="2522">
        <f>SUM(K49)</f>
        <v>16.057976301196952</v>
      </c>
      <c r="G144" s="2520">
        <f>SUM(G145/G143)</f>
        <v>35.938340663961</v>
      </c>
      <c r="H144" s="2521">
        <f>H145/H143</f>
        <v>36.036943363197381</v>
      </c>
      <c r="I144" s="2521">
        <v>0</v>
      </c>
      <c r="J144" s="2521">
        <f>SUM(H144)</f>
        <v>36.036943363197381</v>
      </c>
      <c r="K144" s="2522">
        <f t="shared" ref="K144:P144" si="18">SUM(K145/K143)</f>
        <v>17.666166373177649</v>
      </c>
      <c r="L144" s="2520">
        <f t="shared" si="18"/>
        <v>34.782349136689646</v>
      </c>
      <c r="M144" s="2521">
        <f t="shared" si="18"/>
        <v>34.879051572391241</v>
      </c>
      <c r="N144" s="2521">
        <f t="shared" si="18"/>
        <v>13.9</v>
      </c>
      <c r="O144" s="2521">
        <f t="shared" si="18"/>
        <v>34.879051572391241</v>
      </c>
      <c r="P144" s="2522">
        <f t="shared" si="18"/>
        <v>16.862071337187299</v>
      </c>
      <c r="Q144" s="2523">
        <f>SUM(G144/B144)</f>
        <v>1.0687550843715272</v>
      </c>
      <c r="R144" s="2524">
        <f>SUM(H144/C144)</f>
        <v>1.0686744938967643</v>
      </c>
      <c r="S144" s="2524">
        <f>I144/D144</f>
        <v>0</v>
      </c>
      <c r="T144" s="2525">
        <f>SUM(K144/F144)</f>
        <v>1.1001489877563728</v>
      </c>
      <c r="U144" s="2526">
        <f>SUM(L144/L49)</f>
        <v>1.0691692030840578</v>
      </c>
      <c r="V144" s="2527">
        <f>SUM(M144/M49)</f>
        <v>1.0692345656993107</v>
      </c>
      <c r="W144" s="2527">
        <f>SUM(N144/N49)</f>
        <v>0.51720930232558138</v>
      </c>
      <c r="X144" s="2528">
        <f>SUM(P144/P49)</f>
        <v>1.0500083304787104</v>
      </c>
    </row>
    <row r="145" spans="1:24" ht="30" customHeight="1">
      <c r="A145" s="1501" t="s">
        <v>398</v>
      </c>
      <c r="B145" s="2520">
        <f>SUM(C145+F145)</f>
        <v>63744.62864805523</v>
      </c>
      <c r="C145" s="2521">
        <f>SUM(D145:E145)+D146</f>
        <v>63581.246768178702</v>
      </c>
      <c r="D145" s="2521">
        <f>D144*D143</f>
        <v>33082</v>
      </c>
      <c r="E145" s="2521">
        <f>E144*E143</f>
        <v>23453.066628092438</v>
      </c>
      <c r="F145" s="2522">
        <f>F144*F143</f>
        <v>163.38187987652839</v>
      </c>
      <c r="G145" s="2520">
        <f>SUM(L145-B145)</f>
        <v>68127.395968983939</v>
      </c>
      <c r="H145" s="2521">
        <f>SUM(M145-C145)</f>
        <v>67947.656711308664</v>
      </c>
      <c r="I145" s="2521">
        <f>I144*I143</f>
        <v>0</v>
      </c>
      <c r="J145" s="2521">
        <f>SUM(J143*J144)</f>
        <v>25063.694109103777</v>
      </c>
      <c r="K145" s="2522">
        <f>SUM(P145-F145)</f>
        <v>179.74440976389599</v>
      </c>
      <c r="L145" s="2520">
        <f>SUM(вода!BY62)</f>
        <v>131872.02461703916</v>
      </c>
      <c r="M145" s="2521">
        <f>SUM(вода!CA62)</f>
        <v>131528.90347948737</v>
      </c>
      <c r="N145" s="2521">
        <f>SUM(D145+I145)</f>
        <v>33082</v>
      </c>
      <c r="O145" s="2521">
        <f>SUM(E145+J145)</f>
        <v>48516.760737196215</v>
      </c>
      <c r="P145" s="2522">
        <f>SUM(вода!CB62)</f>
        <v>343.12628964042437</v>
      </c>
      <c r="Q145" s="2520"/>
      <c r="R145" s="2529"/>
      <c r="S145" s="2529"/>
      <c r="T145" s="2530"/>
      <c r="U145" s="2531"/>
      <c r="V145" s="2529"/>
      <c r="W145" s="2529"/>
      <c r="X145" s="2530"/>
    </row>
    <row r="146" spans="1:24" ht="30" customHeight="1" thickBot="1">
      <c r="A146" s="1514" t="s">
        <v>400</v>
      </c>
      <c r="B146" s="2533">
        <f>SUM(C146:F146)</f>
        <v>7046.1801400862687</v>
      </c>
      <c r="C146" s="2534">
        <v>0</v>
      </c>
      <c r="D146" s="2534">
        <f>SUM(E144-D144)*D143</f>
        <v>7046.1801400862687</v>
      </c>
      <c r="E146" s="2534">
        <v>0</v>
      </c>
      <c r="F146" s="2535">
        <v>0</v>
      </c>
      <c r="G146" s="2533">
        <f>SUM(H146:K146)</f>
        <v>42883.962602204883</v>
      </c>
      <c r="H146" s="2534">
        <v>0</v>
      </c>
      <c r="I146" s="2534">
        <f>SUM(H144-I144)*I143</f>
        <v>42883.962602204883</v>
      </c>
      <c r="J146" s="2534">
        <v>0</v>
      </c>
      <c r="K146" s="2535">
        <v>0</v>
      </c>
      <c r="L146" s="2533">
        <f>SUM(M146:P146)</f>
        <v>49930.142742291151</v>
      </c>
      <c r="M146" s="2534">
        <v>0</v>
      </c>
      <c r="N146" s="2534">
        <f>SUM(B146+G146)</f>
        <v>49930.142742291151</v>
      </c>
      <c r="O146" s="2534">
        <v>0</v>
      </c>
      <c r="P146" s="2535">
        <v>0</v>
      </c>
      <c r="Q146" s="2533"/>
      <c r="R146" s="2536"/>
      <c r="S146" s="2536"/>
      <c r="T146" s="2537"/>
      <c r="U146" s="2538"/>
      <c r="V146" s="2536"/>
      <c r="W146" s="2536"/>
      <c r="X146" s="2537"/>
    </row>
    <row r="147" spans="1:24" ht="13.5" thickBot="1">
      <c r="A147" s="6575"/>
      <c r="B147" s="6576"/>
      <c r="C147" s="6576"/>
      <c r="D147" s="6576"/>
      <c r="E147" s="6576"/>
      <c r="F147" s="6576"/>
      <c r="G147" s="6576"/>
      <c r="H147" s="6576"/>
      <c r="I147" s="6576"/>
      <c r="J147" s="6576"/>
      <c r="K147" s="6576"/>
      <c r="L147" s="6576"/>
      <c r="M147" s="6576"/>
      <c r="N147" s="6576"/>
      <c r="O147" s="6576"/>
      <c r="P147" s="6576"/>
      <c r="Q147" s="6576"/>
      <c r="R147" s="6576"/>
      <c r="S147" s="6576"/>
      <c r="T147" s="6576"/>
      <c r="U147" s="6576"/>
      <c r="V147" s="6576"/>
      <c r="W147" s="6576"/>
      <c r="X147" s="6577"/>
    </row>
    <row r="148" spans="1:24" ht="27" thickBot="1">
      <c r="A148" s="6578" t="s">
        <v>1680</v>
      </c>
      <c r="B148" s="6579"/>
      <c r="C148" s="6579"/>
      <c r="D148" s="6579"/>
      <c r="E148" s="6579"/>
      <c r="F148" s="6579"/>
      <c r="G148" s="6579"/>
      <c r="H148" s="6579"/>
      <c r="I148" s="6579"/>
      <c r="J148" s="6579"/>
      <c r="K148" s="6579"/>
      <c r="L148" s="6579"/>
      <c r="M148" s="6579"/>
      <c r="N148" s="6579"/>
      <c r="O148" s="6579"/>
      <c r="P148" s="6579"/>
      <c r="Q148" s="6579"/>
      <c r="R148" s="6579"/>
      <c r="S148" s="6579"/>
      <c r="T148" s="6579"/>
      <c r="U148" s="6579"/>
      <c r="V148" s="6579"/>
      <c r="W148" s="6579"/>
      <c r="X148" s="6580"/>
    </row>
    <row r="149" spans="1:24" ht="30" customHeight="1" thickBot="1">
      <c r="A149" s="5832">
        <v>2016</v>
      </c>
      <c r="B149" s="6583" t="s">
        <v>1668</v>
      </c>
      <c r="C149" s="6583"/>
      <c r="D149" s="6583"/>
      <c r="E149" s="6583"/>
      <c r="F149" s="6583"/>
      <c r="G149" s="6583"/>
      <c r="H149" s="6583"/>
      <c r="I149" s="6583"/>
      <c r="J149" s="6583"/>
      <c r="K149" s="6583"/>
      <c r="L149" s="6583"/>
      <c r="M149" s="6583"/>
      <c r="N149" s="6583"/>
      <c r="O149" s="6583"/>
      <c r="P149" s="6584"/>
      <c r="Q149" s="6585" t="s">
        <v>406</v>
      </c>
      <c r="R149" s="6586"/>
      <c r="S149" s="6586"/>
      <c r="T149" s="6587"/>
      <c r="U149" s="6585" t="s">
        <v>407</v>
      </c>
      <c r="V149" s="6586"/>
      <c r="W149" s="6586"/>
      <c r="X149" s="6587"/>
    </row>
    <row r="150" spans="1:24" ht="30" customHeight="1" thickBot="1">
      <c r="A150" s="6581"/>
      <c r="B150" s="6591" t="s">
        <v>1677</v>
      </c>
      <c r="C150" s="6592"/>
      <c r="D150" s="6592"/>
      <c r="E150" s="6592"/>
      <c r="F150" s="6593"/>
      <c r="G150" s="6594" t="s">
        <v>1678</v>
      </c>
      <c r="H150" s="6595"/>
      <c r="I150" s="6595"/>
      <c r="J150" s="6595"/>
      <c r="K150" s="5766"/>
      <c r="L150" s="6594" t="s">
        <v>911</v>
      </c>
      <c r="M150" s="6595"/>
      <c r="N150" s="6595"/>
      <c r="O150" s="6595"/>
      <c r="P150" s="6596"/>
      <c r="Q150" s="6588"/>
      <c r="R150" s="6589"/>
      <c r="S150" s="6589"/>
      <c r="T150" s="6590"/>
      <c r="U150" s="6588"/>
      <c r="V150" s="6589"/>
      <c r="W150" s="6589"/>
      <c r="X150" s="6590"/>
    </row>
    <row r="151" spans="1:24" ht="30" customHeight="1">
      <c r="A151" s="6581"/>
      <c r="B151" s="6597" t="s">
        <v>301</v>
      </c>
      <c r="C151" s="6600" t="s">
        <v>50</v>
      </c>
      <c r="D151" s="6600"/>
      <c r="E151" s="6600"/>
      <c r="F151" s="6601"/>
      <c r="G151" s="5966" t="s">
        <v>301</v>
      </c>
      <c r="H151" s="6602" t="s">
        <v>50</v>
      </c>
      <c r="I151" s="6602"/>
      <c r="J151" s="6602"/>
      <c r="K151" s="6603"/>
      <c r="L151" s="5966" t="s">
        <v>301</v>
      </c>
      <c r="M151" s="6602" t="s">
        <v>50</v>
      </c>
      <c r="N151" s="6602"/>
      <c r="O151" s="6602"/>
      <c r="P151" s="6603"/>
      <c r="Q151" s="5966" t="s">
        <v>301</v>
      </c>
      <c r="R151" s="6604" t="s">
        <v>50</v>
      </c>
      <c r="S151" s="6604"/>
      <c r="T151" s="6605"/>
      <c r="U151" s="5966" t="s">
        <v>301</v>
      </c>
      <c r="V151" s="6604" t="s">
        <v>50</v>
      </c>
      <c r="W151" s="6604"/>
      <c r="X151" s="6605"/>
    </row>
    <row r="152" spans="1:24" ht="30" customHeight="1">
      <c r="A152" s="6581"/>
      <c r="B152" s="6598"/>
      <c r="C152" s="6606" t="s">
        <v>330</v>
      </c>
      <c r="D152" s="6608" t="s">
        <v>239</v>
      </c>
      <c r="E152" s="6608"/>
      <c r="F152" s="6609" t="s">
        <v>880</v>
      </c>
      <c r="G152" s="6598"/>
      <c r="H152" s="6606" t="s">
        <v>330</v>
      </c>
      <c r="I152" s="6608" t="s">
        <v>239</v>
      </c>
      <c r="J152" s="6608"/>
      <c r="K152" s="6609" t="s">
        <v>880</v>
      </c>
      <c r="L152" s="6598"/>
      <c r="M152" s="6606" t="s">
        <v>330</v>
      </c>
      <c r="N152" s="6608" t="s">
        <v>239</v>
      </c>
      <c r="O152" s="6608"/>
      <c r="P152" s="6609" t="s">
        <v>880</v>
      </c>
      <c r="Q152" s="6598"/>
      <c r="R152" s="6606" t="s">
        <v>330</v>
      </c>
      <c r="S152" s="6606"/>
      <c r="T152" s="6609" t="s">
        <v>880</v>
      </c>
      <c r="U152" s="6598"/>
      <c r="V152" s="6606" t="s">
        <v>330</v>
      </c>
      <c r="W152" s="6606"/>
      <c r="X152" s="6609" t="s">
        <v>880</v>
      </c>
    </row>
    <row r="153" spans="1:24" ht="30" customHeight="1" thickBot="1">
      <c r="A153" s="6582"/>
      <c r="B153" s="6599"/>
      <c r="C153" s="6607"/>
      <c r="D153" s="1484" t="s">
        <v>264</v>
      </c>
      <c r="E153" s="1484" t="s">
        <v>300</v>
      </c>
      <c r="F153" s="5090"/>
      <c r="G153" s="6599"/>
      <c r="H153" s="6607"/>
      <c r="I153" s="1484" t="s">
        <v>264</v>
      </c>
      <c r="J153" s="1484" t="s">
        <v>300</v>
      </c>
      <c r="K153" s="5090"/>
      <c r="L153" s="6599"/>
      <c r="M153" s="6607"/>
      <c r="N153" s="1484" t="s">
        <v>264</v>
      </c>
      <c r="O153" s="1484" t="s">
        <v>300</v>
      </c>
      <c r="P153" s="5090"/>
      <c r="Q153" s="6599"/>
      <c r="R153" s="1489" t="s">
        <v>873</v>
      </c>
      <c r="S153" s="1489" t="s">
        <v>264</v>
      </c>
      <c r="T153" s="5090"/>
      <c r="U153" s="6599"/>
      <c r="V153" s="1489" t="s">
        <v>873</v>
      </c>
      <c r="W153" s="1489" t="s">
        <v>264</v>
      </c>
      <c r="X153" s="5090"/>
    </row>
    <row r="154" spans="1:24" ht="30" customHeight="1">
      <c r="A154" s="2915" t="s">
        <v>396</v>
      </c>
      <c r="B154" s="1485">
        <f>SUM(объемы!AD58)/2</f>
        <v>1611.5</v>
      </c>
      <c r="C154" s="1486">
        <f>SUM(D154:E154)</f>
        <v>1600</v>
      </c>
      <c r="D154" s="1486">
        <f>SUM(объемы!AD59/2)</f>
        <v>1150</v>
      </c>
      <c r="E154" s="1486">
        <f>SUM(объемы!AD60)/2</f>
        <v>450</v>
      </c>
      <c r="F154" s="1487">
        <f>SUM(объемы!AD61)/2</f>
        <v>11.5</v>
      </c>
      <c r="G154" s="1485">
        <f>B154</f>
        <v>1611.5</v>
      </c>
      <c r="H154" s="1486">
        <f>C154</f>
        <v>1600</v>
      </c>
      <c r="I154" s="1486">
        <f>D154</f>
        <v>1150</v>
      </c>
      <c r="J154" s="1486">
        <f>E154</f>
        <v>450</v>
      </c>
      <c r="K154" s="1487">
        <f>F154</f>
        <v>11.5</v>
      </c>
      <c r="L154" s="1485">
        <f>SUM(B154+G154)</f>
        <v>3223</v>
      </c>
      <c r="M154" s="1486">
        <f>SUM(C154+H154)</f>
        <v>3200</v>
      </c>
      <c r="N154" s="1486">
        <f>SUM(D154+I154)</f>
        <v>2300</v>
      </c>
      <c r="O154" s="1486">
        <f>SUM(E154+J154)</f>
        <v>900</v>
      </c>
      <c r="P154" s="1487">
        <f>SUM(F154+K154)</f>
        <v>23</v>
      </c>
      <c r="Q154" s="1485"/>
      <c r="R154" s="1521"/>
      <c r="S154" s="1521"/>
      <c r="T154" s="1522"/>
      <c r="U154" s="1523"/>
      <c r="V154" s="1521"/>
      <c r="W154" s="1521"/>
      <c r="X154" s="1522"/>
    </row>
    <row r="155" spans="1:24" ht="30" customHeight="1">
      <c r="A155" s="2916" t="s">
        <v>397</v>
      </c>
      <c r="B155" s="1477">
        <f>SUM(B156/B154)</f>
        <v>25.048121857289043</v>
      </c>
      <c r="C155" s="1478">
        <f>SUM(C156/C154)</f>
        <v>25.125496399328522</v>
      </c>
      <c r="D155" s="1478">
        <f>SUM(I112)</f>
        <v>22.5</v>
      </c>
      <c r="E155" s="1478">
        <f>SUM(J112)</f>
        <v>25.125496399328522</v>
      </c>
      <c r="F155" s="1479">
        <f>SUM(K112)</f>
        <v>14.28296818223105</v>
      </c>
      <c r="G155" s="1477">
        <f>SUM(G156/G154)</f>
        <v>30.824343124549614</v>
      </c>
      <c r="H155" s="1478">
        <f>H156/H154</f>
        <v>30.926504742453528</v>
      </c>
      <c r="I155" s="1478">
        <f>D155*1.2</f>
        <v>27</v>
      </c>
      <c r="J155" s="1478">
        <f>SUM(H155)</f>
        <v>30.926504742453528</v>
      </c>
      <c r="K155" s="1479">
        <f t="shared" ref="K155:P155" si="19">SUM(K156/K154)</f>
        <v>16.610552807483263</v>
      </c>
      <c r="L155" s="1477">
        <f t="shared" si="19"/>
        <v>27.936232490919327</v>
      </c>
      <c r="M155" s="1478">
        <f t="shared" si="19"/>
        <v>28.026000570891025</v>
      </c>
      <c r="N155" s="1478">
        <f t="shared" si="19"/>
        <v>24.75</v>
      </c>
      <c r="O155" s="1478">
        <f t="shared" si="19"/>
        <v>28.026000570891021</v>
      </c>
      <c r="P155" s="1479">
        <f t="shared" si="19"/>
        <v>15.446760494857156</v>
      </c>
      <c r="Q155" s="1480">
        <f>SUM(G155/B155)</f>
        <v>1.2306049651215538</v>
      </c>
      <c r="R155" s="1524">
        <f>SUM(H155/C155)</f>
        <v>1.2308813426380718</v>
      </c>
      <c r="S155" s="1524">
        <f>I155/D155</f>
        <v>1.2</v>
      </c>
      <c r="T155" s="1525">
        <f>SUM(K155/F155)</f>
        <v>1.162962249551734</v>
      </c>
      <c r="U155" s="1526">
        <f>SUM(L155/L112)</f>
        <v>1.1333229420589381</v>
      </c>
      <c r="V155" s="1527">
        <f>SUM(M155/M112)</f>
        <v>1.1342805825525994</v>
      </c>
      <c r="W155" s="1527">
        <f>SUM(N155/N112)</f>
        <v>1.1376695012640772</v>
      </c>
      <c r="X155" s="1528">
        <f>SUM(P155/P112)</f>
        <v>1.1004721976377456</v>
      </c>
    </row>
    <row r="156" spans="1:24" ht="30" customHeight="1">
      <c r="A156" s="2916" t="s">
        <v>398</v>
      </c>
      <c r="B156" s="1477">
        <f>SUM(C156+F156)</f>
        <v>40365.048373021295</v>
      </c>
      <c r="C156" s="1478">
        <f>SUM(D156:E156)+D157</f>
        <v>40200.794238925635</v>
      </c>
      <c r="D156" s="1478">
        <f>D155*D154</f>
        <v>25875</v>
      </c>
      <c r="E156" s="1478">
        <f>E155*E154</f>
        <v>11306.473379697834</v>
      </c>
      <c r="F156" s="1479">
        <f>F155*F154</f>
        <v>164.25413409565707</v>
      </c>
      <c r="G156" s="1477">
        <f>SUM(L156-B156)</f>
        <v>49673.428945211701</v>
      </c>
      <c r="H156" s="1478">
        <f>SUM(M156-C156)</f>
        <v>49482.407587925642</v>
      </c>
      <c r="I156" s="1478">
        <f>I155*I154</f>
        <v>31050</v>
      </c>
      <c r="J156" s="1478">
        <f>SUM(J154*J155)</f>
        <v>13916.927134104088</v>
      </c>
      <c r="K156" s="1479">
        <f>SUM(P156-F156)</f>
        <v>191.02135728605751</v>
      </c>
      <c r="L156" s="1477">
        <f>SUM(стоки!BQ66)</f>
        <v>90038.477318232995</v>
      </c>
      <c r="M156" s="1478">
        <f>SUM(стоки!BS66)</f>
        <v>89683.201826851277</v>
      </c>
      <c r="N156" s="1478">
        <f>SUM(D156+I156)</f>
        <v>56925</v>
      </c>
      <c r="O156" s="1478">
        <f>SUM(E156+J156)</f>
        <v>25223.40051380192</v>
      </c>
      <c r="P156" s="1479">
        <f>SUM(стоки!BT66)</f>
        <v>355.27549138171457</v>
      </c>
      <c r="Q156" s="1477"/>
      <c r="R156" s="1529"/>
      <c r="S156" s="1529"/>
      <c r="T156" s="1530"/>
      <c r="U156" s="1531"/>
      <c r="V156" s="1529"/>
      <c r="W156" s="1529"/>
      <c r="X156" s="1530"/>
    </row>
    <row r="157" spans="1:24" ht="30" customHeight="1" thickBot="1">
      <c r="A157" s="2917" t="s">
        <v>400</v>
      </c>
      <c r="B157" s="1481">
        <f>SUM(C157:F157)</f>
        <v>3019.3208592278006</v>
      </c>
      <c r="C157" s="1482">
        <v>0</v>
      </c>
      <c r="D157" s="1482">
        <f>SUM(E155-D155)*D154</f>
        <v>3019.3208592278006</v>
      </c>
      <c r="E157" s="1482">
        <v>0</v>
      </c>
      <c r="F157" s="1483">
        <v>0</v>
      </c>
      <c r="G157" s="1481">
        <f>SUM(H157:K157)</f>
        <v>4515.4804538215567</v>
      </c>
      <c r="H157" s="1482">
        <v>0</v>
      </c>
      <c r="I157" s="1482">
        <f>SUM(H155-I155)*I154</f>
        <v>4515.4804538215567</v>
      </c>
      <c r="J157" s="1482">
        <v>0</v>
      </c>
      <c r="K157" s="1483">
        <v>0</v>
      </c>
      <c r="L157" s="1481">
        <f>SUM(M157:P157)</f>
        <v>7534.8013130493573</v>
      </c>
      <c r="M157" s="1482">
        <v>0</v>
      </c>
      <c r="N157" s="1482">
        <f>SUM(B157+G157)</f>
        <v>7534.8013130493573</v>
      </c>
      <c r="O157" s="1482">
        <v>0</v>
      </c>
      <c r="P157" s="1483">
        <v>0</v>
      </c>
      <c r="Q157" s="1481"/>
      <c r="R157" s="1532"/>
      <c r="S157" s="1532"/>
      <c r="T157" s="1533"/>
      <c r="U157" s="1534"/>
      <c r="V157" s="1532"/>
      <c r="W157" s="1532"/>
      <c r="X157" s="1533"/>
    </row>
    <row r="158" spans="1:24" ht="13.5" thickBot="1">
      <c r="A158" s="6575"/>
      <c r="B158" s="6576"/>
      <c r="C158" s="6576"/>
      <c r="D158" s="6576"/>
      <c r="E158" s="6576"/>
      <c r="F158" s="6576"/>
      <c r="G158" s="6576"/>
      <c r="H158" s="6576"/>
      <c r="I158" s="6576"/>
      <c r="J158" s="6576"/>
      <c r="K158" s="6576"/>
      <c r="L158" s="6576"/>
      <c r="M158" s="6576"/>
      <c r="N158" s="6576"/>
      <c r="O158" s="6576"/>
      <c r="P158" s="6576"/>
      <c r="Q158" s="6576"/>
      <c r="R158" s="6576"/>
      <c r="S158" s="6576"/>
      <c r="T158" s="6576"/>
      <c r="U158" s="6576"/>
      <c r="V158" s="6576"/>
      <c r="W158" s="6576"/>
      <c r="X158" s="6577"/>
    </row>
    <row r="159" spans="1:24" ht="27" thickBot="1">
      <c r="A159" s="6544" t="s">
        <v>1681</v>
      </c>
      <c r="B159" s="6545"/>
      <c r="C159" s="6545"/>
      <c r="D159" s="6545"/>
      <c r="E159" s="6545"/>
      <c r="F159" s="6545"/>
      <c r="G159" s="6545"/>
      <c r="H159" s="6545"/>
      <c r="I159" s="6545"/>
      <c r="J159" s="6545"/>
      <c r="K159" s="6545"/>
      <c r="L159" s="6545"/>
      <c r="M159" s="6545"/>
      <c r="N159" s="6545"/>
      <c r="O159" s="6545"/>
      <c r="P159" s="6545"/>
      <c r="Q159" s="6545"/>
      <c r="R159" s="6545"/>
      <c r="S159" s="6545"/>
      <c r="T159" s="6545"/>
      <c r="U159" s="6545"/>
      <c r="V159" s="6545"/>
      <c r="W159" s="6545"/>
      <c r="X159" s="6546"/>
    </row>
    <row r="160" spans="1:24" ht="30" customHeight="1" thickBot="1">
      <c r="A160" s="6547">
        <v>2016</v>
      </c>
      <c r="B160" s="6550" t="s">
        <v>1669</v>
      </c>
      <c r="C160" s="6550"/>
      <c r="D160" s="6550"/>
      <c r="E160" s="6550"/>
      <c r="F160" s="6550"/>
      <c r="G160" s="6550"/>
      <c r="H160" s="6550"/>
      <c r="I160" s="6550"/>
      <c r="J160" s="6550"/>
      <c r="K160" s="6550"/>
      <c r="L160" s="6550"/>
      <c r="M160" s="6550"/>
      <c r="N160" s="6550"/>
      <c r="O160" s="6550"/>
      <c r="P160" s="6551"/>
      <c r="Q160" s="6552" t="s">
        <v>406</v>
      </c>
      <c r="R160" s="6553"/>
      <c r="S160" s="6553"/>
      <c r="T160" s="6554"/>
      <c r="U160" s="6552" t="s">
        <v>407</v>
      </c>
      <c r="V160" s="6553"/>
      <c r="W160" s="6553"/>
      <c r="X160" s="6554"/>
    </row>
    <row r="161" spans="1:24" ht="30" customHeight="1" thickBot="1">
      <c r="A161" s="6548"/>
      <c r="B161" s="6558" t="s">
        <v>1677</v>
      </c>
      <c r="C161" s="6559"/>
      <c r="D161" s="6559"/>
      <c r="E161" s="6559"/>
      <c r="F161" s="6560"/>
      <c r="G161" s="6561" t="s">
        <v>1678</v>
      </c>
      <c r="H161" s="6562"/>
      <c r="I161" s="6562"/>
      <c r="J161" s="6562"/>
      <c r="K161" s="6563"/>
      <c r="L161" s="6561" t="s">
        <v>1682</v>
      </c>
      <c r="M161" s="6562"/>
      <c r="N161" s="6562"/>
      <c r="O161" s="6562"/>
      <c r="P161" s="6564"/>
      <c r="Q161" s="6555"/>
      <c r="R161" s="6556"/>
      <c r="S161" s="6556"/>
      <c r="T161" s="6557"/>
      <c r="U161" s="6555"/>
      <c r="V161" s="6556"/>
      <c r="W161" s="6556"/>
      <c r="X161" s="6557"/>
    </row>
    <row r="162" spans="1:24" ht="30" customHeight="1">
      <c r="A162" s="6548"/>
      <c r="B162" s="6565" t="s">
        <v>301</v>
      </c>
      <c r="C162" s="6568" t="s">
        <v>50</v>
      </c>
      <c r="D162" s="6568"/>
      <c r="E162" s="6568"/>
      <c r="F162" s="6569"/>
      <c r="G162" s="6570" t="s">
        <v>301</v>
      </c>
      <c r="H162" s="6571" t="s">
        <v>50</v>
      </c>
      <c r="I162" s="6571"/>
      <c r="J162" s="6571"/>
      <c r="K162" s="6572"/>
      <c r="L162" s="6570" t="s">
        <v>301</v>
      </c>
      <c r="M162" s="6571" t="s">
        <v>50</v>
      </c>
      <c r="N162" s="6571"/>
      <c r="O162" s="6571"/>
      <c r="P162" s="6572"/>
      <c r="Q162" s="6570" t="s">
        <v>301</v>
      </c>
      <c r="R162" s="6573" t="s">
        <v>50</v>
      </c>
      <c r="S162" s="6573"/>
      <c r="T162" s="6574"/>
      <c r="U162" s="6570" t="s">
        <v>301</v>
      </c>
      <c r="V162" s="6573" t="s">
        <v>50</v>
      </c>
      <c r="W162" s="6573"/>
      <c r="X162" s="6574"/>
    </row>
    <row r="163" spans="1:24" ht="30" customHeight="1">
      <c r="A163" s="6548"/>
      <c r="B163" s="6566"/>
      <c r="C163" s="6539" t="s">
        <v>330</v>
      </c>
      <c r="D163" s="6541" t="s">
        <v>239</v>
      </c>
      <c r="E163" s="6541"/>
      <c r="F163" s="6542" t="s">
        <v>880</v>
      </c>
      <c r="G163" s="6566"/>
      <c r="H163" s="6539" t="s">
        <v>330</v>
      </c>
      <c r="I163" s="6541" t="s">
        <v>239</v>
      </c>
      <c r="J163" s="6541"/>
      <c r="K163" s="6542" t="s">
        <v>880</v>
      </c>
      <c r="L163" s="6566"/>
      <c r="M163" s="6539" t="s">
        <v>330</v>
      </c>
      <c r="N163" s="6541" t="s">
        <v>239</v>
      </c>
      <c r="O163" s="6541"/>
      <c r="P163" s="6542" t="s">
        <v>880</v>
      </c>
      <c r="Q163" s="6566"/>
      <c r="R163" s="6539" t="s">
        <v>330</v>
      </c>
      <c r="S163" s="6539"/>
      <c r="T163" s="6542" t="s">
        <v>880</v>
      </c>
      <c r="U163" s="6566"/>
      <c r="V163" s="6539" t="s">
        <v>330</v>
      </c>
      <c r="W163" s="6539"/>
      <c r="X163" s="6542" t="s">
        <v>880</v>
      </c>
    </row>
    <row r="164" spans="1:24" ht="30" customHeight="1" thickBot="1">
      <c r="A164" s="6549"/>
      <c r="B164" s="6567"/>
      <c r="C164" s="6540"/>
      <c r="D164" s="2511" t="s">
        <v>264</v>
      </c>
      <c r="E164" s="2511" t="s">
        <v>300</v>
      </c>
      <c r="F164" s="6543"/>
      <c r="G164" s="6567"/>
      <c r="H164" s="6540"/>
      <c r="I164" s="2511" t="s">
        <v>264</v>
      </c>
      <c r="J164" s="2511" t="s">
        <v>300</v>
      </c>
      <c r="K164" s="6543"/>
      <c r="L164" s="6567"/>
      <c r="M164" s="6540"/>
      <c r="N164" s="2511" t="s">
        <v>264</v>
      </c>
      <c r="O164" s="2511" t="s">
        <v>300</v>
      </c>
      <c r="P164" s="6543"/>
      <c r="Q164" s="6567"/>
      <c r="R164" s="2511" t="s">
        <v>873</v>
      </c>
      <c r="S164" s="2511" t="s">
        <v>264</v>
      </c>
      <c r="T164" s="6543"/>
      <c r="U164" s="6567"/>
      <c r="V164" s="2511" t="s">
        <v>873</v>
      </c>
      <c r="W164" s="2511" t="s">
        <v>264</v>
      </c>
      <c r="X164" s="6543"/>
    </row>
    <row r="165" spans="1:24" ht="30" customHeight="1">
      <c r="A165" s="2512" t="s">
        <v>396</v>
      </c>
      <c r="B165" s="2513">
        <f>SUM(объемы!AE58)/2</f>
        <v>1647.875</v>
      </c>
      <c r="C165" s="2514">
        <f>SUM(D165:E165)</f>
        <v>1636.375</v>
      </c>
      <c r="D165" s="2514">
        <f>SUM(объемы!AE59)/2</f>
        <v>1150</v>
      </c>
      <c r="E165" s="2514">
        <f>SUM(объемы!AE60/2)</f>
        <v>486.375</v>
      </c>
      <c r="F165" s="2515">
        <f>SUM(объемы!AE61/2)</f>
        <v>11.5</v>
      </c>
      <c r="G165" s="2513">
        <f>B165</f>
        <v>1647.875</v>
      </c>
      <c r="H165" s="2514">
        <f>C165</f>
        <v>1636.375</v>
      </c>
      <c r="I165" s="2514">
        <f>D165</f>
        <v>1150</v>
      </c>
      <c r="J165" s="2514">
        <f>E165</f>
        <v>486.375</v>
      </c>
      <c r="K165" s="2515">
        <f>F165</f>
        <v>11.5</v>
      </c>
      <c r="L165" s="2513">
        <f>SUM(B165+G165)</f>
        <v>3295.75</v>
      </c>
      <c r="M165" s="2514">
        <f>SUM(C165+H165)</f>
        <v>3272.75</v>
      </c>
      <c r="N165" s="2514">
        <f>SUM(D165+I165)</f>
        <v>2300</v>
      </c>
      <c r="O165" s="2514">
        <f>SUM(E165+J165)</f>
        <v>972.75</v>
      </c>
      <c r="P165" s="2515">
        <f>SUM(F165+K165)</f>
        <v>23</v>
      </c>
      <c r="Q165" s="2513"/>
      <c r="R165" s="2516"/>
      <c r="S165" s="2516"/>
      <c r="T165" s="2517"/>
      <c r="U165" s="2518"/>
      <c r="V165" s="2516"/>
      <c r="W165" s="2516"/>
      <c r="X165" s="2517"/>
    </row>
    <row r="166" spans="1:24" ht="30" customHeight="1">
      <c r="A166" s="2519" t="s">
        <v>397</v>
      </c>
      <c r="B166" s="2520">
        <f>SUM(B167/B165)</f>
        <v>25.049829813879619</v>
      </c>
      <c r="C166" s="2521">
        <f>SUM(C167/C165)</f>
        <v>25.125496399328526</v>
      </c>
      <c r="D166" s="2521">
        <f>SUM(I112)</f>
        <v>22.5</v>
      </c>
      <c r="E166" s="2521">
        <f>SUM(J112)</f>
        <v>25.125496399328522</v>
      </c>
      <c r="F166" s="2522">
        <f>SUM(K112)</f>
        <v>14.28296818223105</v>
      </c>
      <c r="G166" s="2520">
        <f>SUM(G167/G165)</f>
        <v>26.554304128933843</v>
      </c>
      <c r="H166" s="2521">
        <f>H167/H165</f>
        <v>26.635908817011643</v>
      </c>
      <c r="I166" s="2521">
        <v>0</v>
      </c>
      <c r="J166" s="2521">
        <f>SUM(H166)</f>
        <v>26.635908817011643</v>
      </c>
      <c r="K166" s="2522">
        <f t="shared" ref="K166:P166" si="20">SUM(K167/K165)</f>
        <v>14.942489219949897</v>
      </c>
      <c r="L166" s="2520">
        <f t="shared" si="20"/>
        <v>25.802066971406731</v>
      </c>
      <c r="M166" s="2521">
        <f t="shared" si="20"/>
        <v>25.880702608170083</v>
      </c>
      <c r="N166" s="2521">
        <f t="shared" si="20"/>
        <v>11.25</v>
      </c>
      <c r="O166" s="2521">
        <f t="shared" si="20"/>
        <v>25.880702608170083</v>
      </c>
      <c r="P166" s="2522">
        <f t="shared" si="20"/>
        <v>14.612728701090473</v>
      </c>
      <c r="Q166" s="2523">
        <f>SUM(G166/B166)</f>
        <v>1.060059262926434</v>
      </c>
      <c r="R166" s="2524">
        <f>SUM(H166/C166)</f>
        <v>1.0601147294237532</v>
      </c>
      <c r="S166" s="2524">
        <f>I166/D166</f>
        <v>0</v>
      </c>
      <c r="T166" s="2525">
        <f>SUM(K166/F166)</f>
        <v>1.0461753488003518</v>
      </c>
      <c r="U166" s="2526">
        <f>SUM(L166/L112)</f>
        <v>1.046743667412618</v>
      </c>
      <c r="V166" s="2527">
        <f>SUM(M166/M112)</f>
        <v>1.047455142841754</v>
      </c>
      <c r="W166" s="2527">
        <f>SUM(N166/N112)</f>
        <v>0.51712250057458053</v>
      </c>
      <c r="X166" s="2528">
        <f>SUM(P166/P112)</f>
        <v>1.0410533440022696</v>
      </c>
    </row>
    <row r="167" spans="1:24" ht="30" customHeight="1">
      <c r="A167" s="2519" t="s">
        <v>398</v>
      </c>
      <c r="B167" s="2520">
        <f>SUM(C167+F167)</f>
        <v>41278.988304546874</v>
      </c>
      <c r="C167" s="2521">
        <f>SUM(D167:E167)+D168</f>
        <v>41114.734170451215</v>
      </c>
      <c r="D167" s="2521">
        <f>D166*D165</f>
        <v>25875</v>
      </c>
      <c r="E167" s="2521">
        <f>E166*E165</f>
        <v>12220.41331122341</v>
      </c>
      <c r="F167" s="2522">
        <f>F166*F165</f>
        <v>164.25413409565707</v>
      </c>
      <c r="G167" s="2520">
        <f>SUM(L167-B167)</f>
        <v>43758.173916466854</v>
      </c>
      <c r="H167" s="2521">
        <f>SUM(M167-C167)</f>
        <v>43586.335290437426</v>
      </c>
      <c r="I167" s="2521">
        <f>I166*I165</f>
        <v>0</v>
      </c>
      <c r="J167" s="2521">
        <f>SUM(J165*J166)</f>
        <v>12955.040150874038</v>
      </c>
      <c r="K167" s="2522">
        <f>SUM(P167-F167)</f>
        <v>171.83862602942381</v>
      </c>
      <c r="L167" s="2520">
        <f>SUM(стоки!BU66)</f>
        <v>85037.162221013728</v>
      </c>
      <c r="M167" s="2521">
        <f>SUM(стоки!BW66)</f>
        <v>84701.069460888641</v>
      </c>
      <c r="N167" s="2521">
        <f>SUM(D167+I167)</f>
        <v>25875</v>
      </c>
      <c r="O167" s="2521">
        <f>SUM(E167+J167)</f>
        <v>25175.453462097448</v>
      </c>
      <c r="P167" s="2522">
        <f>SUM(стоки!BX66)</f>
        <v>336.09276012508087</v>
      </c>
      <c r="Q167" s="2520"/>
      <c r="R167" s="2529"/>
      <c r="S167" s="2529"/>
      <c r="T167" s="2530"/>
      <c r="U167" s="2531"/>
      <c r="V167" s="2529"/>
      <c r="W167" s="2529"/>
      <c r="X167" s="2530"/>
    </row>
    <row r="168" spans="1:24" ht="30" customHeight="1" thickBot="1">
      <c r="A168" s="2532" t="s">
        <v>400</v>
      </c>
      <c r="B168" s="2533">
        <f>SUM(C168:F168)</f>
        <v>3019.3208592278006</v>
      </c>
      <c r="C168" s="2534">
        <v>0</v>
      </c>
      <c r="D168" s="2534">
        <f>SUM(E166-D166)*D165</f>
        <v>3019.3208592278006</v>
      </c>
      <c r="E168" s="2534">
        <v>0</v>
      </c>
      <c r="F168" s="2535">
        <v>0</v>
      </c>
      <c r="G168" s="2533">
        <f>SUM(H168:K168)</f>
        <v>30631.29513956339</v>
      </c>
      <c r="H168" s="2534">
        <v>0</v>
      </c>
      <c r="I168" s="2534">
        <f>SUM(H166-I166)*I165</f>
        <v>30631.29513956339</v>
      </c>
      <c r="J168" s="2534">
        <v>0</v>
      </c>
      <c r="K168" s="2535">
        <v>0</v>
      </c>
      <c r="L168" s="2533">
        <f>SUM(M168:P168)</f>
        <v>33650.615998791189</v>
      </c>
      <c r="M168" s="2534">
        <v>0</v>
      </c>
      <c r="N168" s="2534">
        <f>SUM(B168+G168)</f>
        <v>33650.615998791189</v>
      </c>
      <c r="O168" s="2534">
        <v>0</v>
      </c>
      <c r="P168" s="2535">
        <v>0</v>
      </c>
      <c r="Q168" s="2533"/>
      <c r="R168" s="2536"/>
      <c r="S168" s="2536"/>
      <c r="T168" s="2537"/>
      <c r="U168" s="2538"/>
      <c r="V168" s="2536"/>
      <c r="W168" s="2536"/>
      <c r="X168" s="2537"/>
    </row>
  </sheetData>
  <mergeCells count="501">
    <mergeCell ref="A62:X64"/>
    <mergeCell ref="C119:C120"/>
    <mergeCell ref="D119:E119"/>
    <mergeCell ref="F119:F120"/>
    <mergeCell ref="H119:H120"/>
    <mergeCell ref="I119:J119"/>
    <mergeCell ref="K119:K120"/>
    <mergeCell ref="M119:M120"/>
    <mergeCell ref="N119:O119"/>
    <mergeCell ref="P119:P120"/>
    <mergeCell ref="N109:O109"/>
    <mergeCell ref="P109:P110"/>
    <mergeCell ref="R109:S109"/>
    <mergeCell ref="T109:T110"/>
    <mergeCell ref="V109:W109"/>
    <mergeCell ref="X109:X110"/>
    <mergeCell ref="A115:X115"/>
    <mergeCell ref="A116:A120"/>
    <mergeCell ref="B116:P116"/>
    <mergeCell ref="K109:K110"/>
    <mergeCell ref="M109:M110"/>
    <mergeCell ref="U116:X117"/>
    <mergeCell ref="B117:F117"/>
    <mergeCell ref="G117:K117"/>
    <mergeCell ref="L117:P117"/>
    <mergeCell ref="Q116:T117"/>
    <mergeCell ref="B118:B120"/>
    <mergeCell ref="C118:F118"/>
    <mergeCell ref="G118:G120"/>
    <mergeCell ref="H118:K118"/>
    <mergeCell ref="L118:L120"/>
    <mergeCell ref="M118:P118"/>
    <mergeCell ref="Q118:Q120"/>
    <mergeCell ref="R118:T118"/>
    <mergeCell ref="U118:U120"/>
    <mergeCell ref="V118:X118"/>
    <mergeCell ref="R119:S119"/>
    <mergeCell ref="T119:T120"/>
    <mergeCell ref="V119:W119"/>
    <mergeCell ref="X119:X120"/>
    <mergeCell ref="X99:X100"/>
    <mergeCell ref="A105:X105"/>
    <mergeCell ref="A106:A110"/>
    <mergeCell ref="B106:P106"/>
    <mergeCell ref="Q106:T107"/>
    <mergeCell ref="U106:X107"/>
    <mergeCell ref="B107:F107"/>
    <mergeCell ref="G107:K107"/>
    <mergeCell ref="L107:P107"/>
    <mergeCell ref="B108:B110"/>
    <mergeCell ref="C108:F108"/>
    <mergeCell ref="G108:G110"/>
    <mergeCell ref="H108:K108"/>
    <mergeCell ref="L108:L110"/>
    <mergeCell ref="M108:P108"/>
    <mergeCell ref="Q108:Q110"/>
    <mergeCell ref="R108:T108"/>
    <mergeCell ref="U108:U110"/>
    <mergeCell ref="V108:X108"/>
    <mergeCell ref="C109:C110"/>
    <mergeCell ref="D109:E109"/>
    <mergeCell ref="F109:F110"/>
    <mergeCell ref="H109:H110"/>
    <mergeCell ref="I109:J109"/>
    <mergeCell ref="H99:H100"/>
    <mergeCell ref="I99:J99"/>
    <mergeCell ref="K99:K100"/>
    <mergeCell ref="M99:M100"/>
    <mergeCell ref="N99:O99"/>
    <mergeCell ref="P99:P100"/>
    <mergeCell ref="R99:S99"/>
    <mergeCell ref="T99:T100"/>
    <mergeCell ref="V99:W99"/>
    <mergeCell ref="T89:T90"/>
    <mergeCell ref="V89:W89"/>
    <mergeCell ref="I89:J89"/>
    <mergeCell ref="A95:X95"/>
    <mergeCell ref="A96:A100"/>
    <mergeCell ref="B96:P96"/>
    <mergeCell ref="Q96:T97"/>
    <mergeCell ref="U96:X97"/>
    <mergeCell ref="B97:F97"/>
    <mergeCell ref="G97:K97"/>
    <mergeCell ref="L97:P97"/>
    <mergeCell ref="B98:B100"/>
    <mergeCell ref="C98:F98"/>
    <mergeCell ref="G98:G100"/>
    <mergeCell ref="H98:K98"/>
    <mergeCell ref="L98:L100"/>
    <mergeCell ref="M98:P98"/>
    <mergeCell ref="Q98:Q100"/>
    <mergeCell ref="R98:T98"/>
    <mergeCell ref="U98:U100"/>
    <mergeCell ref="V98:X98"/>
    <mergeCell ref="C99:C100"/>
    <mergeCell ref="D99:E99"/>
    <mergeCell ref="F99:F100"/>
    <mergeCell ref="T79:T80"/>
    <mergeCell ref="V79:W79"/>
    <mergeCell ref="N79:O79"/>
    <mergeCell ref="A85:X85"/>
    <mergeCell ref="A86:A90"/>
    <mergeCell ref="B86:P86"/>
    <mergeCell ref="Q86:T87"/>
    <mergeCell ref="U86:X87"/>
    <mergeCell ref="B87:F87"/>
    <mergeCell ref="G87:K87"/>
    <mergeCell ref="L87:P87"/>
    <mergeCell ref="B88:B90"/>
    <mergeCell ref="C88:F88"/>
    <mergeCell ref="G88:G90"/>
    <mergeCell ref="H88:K88"/>
    <mergeCell ref="L88:L90"/>
    <mergeCell ref="M88:P88"/>
    <mergeCell ref="Q88:Q90"/>
    <mergeCell ref="R88:T88"/>
    <mergeCell ref="U88:U90"/>
    <mergeCell ref="V88:X88"/>
    <mergeCell ref="C89:C90"/>
    <mergeCell ref="X89:X90"/>
    <mergeCell ref="R89:S89"/>
    <mergeCell ref="A65:X65"/>
    <mergeCell ref="A66:A70"/>
    <mergeCell ref="B66:P66"/>
    <mergeCell ref="Q66:T67"/>
    <mergeCell ref="U66:X67"/>
    <mergeCell ref="B67:F67"/>
    <mergeCell ref="G67:K67"/>
    <mergeCell ref="L67:P67"/>
    <mergeCell ref="B68:B70"/>
    <mergeCell ref="C68:F68"/>
    <mergeCell ref="G68:G70"/>
    <mergeCell ref="H68:K68"/>
    <mergeCell ref="L68:L70"/>
    <mergeCell ref="M68:P68"/>
    <mergeCell ref="Q68:Q70"/>
    <mergeCell ref="R68:T68"/>
    <mergeCell ref="U68:U70"/>
    <mergeCell ref="N69:O69"/>
    <mergeCell ref="P69:P70"/>
    <mergeCell ref="R69:S69"/>
    <mergeCell ref="T69:T70"/>
    <mergeCell ref="V69:W69"/>
    <mergeCell ref="X69:X70"/>
    <mergeCell ref="V68:X68"/>
    <mergeCell ref="V55:X55"/>
    <mergeCell ref="C56:C57"/>
    <mergeCell ref="D56:E56"/>
    <mergeCell ref="F56:F57"/>
    <mergeCell ref="H56:H57"/>
    <mergeCell ref="I56:J56"/>
    <mergeCell ref="K56:K57"/>
    <mergeCell ref="M56:M57"/>
    <mergeCell ref="N56:O56"/>
    <mergeCell ref="P56:P57"/>
    <mergeCell ref="R56:S56"/>
    <mergeCell ref="T56:T57"/>
    <mergeCell ref="V56:W56"/>
    <mergeCell ref="X56:X57"/>
    <mergeCell ref="M46:M47"/>
    <mergeCell ref="N46:O46"/>
    <mergeCell ref="P46:P47"/>
    <mergeCell ref="R46:S46"/>
    <mergeCell ref="T46:T47"/>
    <mergeCell ref="V46:W46"/>
    <mergeCell ref="X46:X47"/>
    <mergeCell ref="A52:X52"/>
    <mergeCell ref="A53:A57"/>
    <mergeCell ref="B53:P53"/>
    <mergeCell ref="Q53:T54"/>
    <mergeCell ref="U53:X54"/>
    <mergeCell ref="B54:F54"/>
    <mergeCell ref="G54:K54"/>
    <mergeCell ref="L54:P54"/>
    <mergeCell ref="B55:B57"/>
    <mergeCell ref="C55:F55"/>
    <mergeCell ref="G55:G57"/>
    <mergeCell ref="H55:K55"/>
    <mergeCell ref="L55:L57"/>
    <mergeCell ref="M55:P55"/>
    <mergeCell ref="Q55:Q57"/>
    <mergeCell ref="R55:T55"/>
    <mergeCell ref="U55:U57"/>
    <mergeCell ref="A42:X42"/>
    <mergeCell ref="A43:A47"/>
    <mergeCell ref="B43:P43"/>
    <mergeCell ref="Q43:T44"/>
    <mergeCell ref="U43:X44"/>
    <mergeCell ref="B44:F44"/>
    <mergeCell ref="G44:K44"/>
    <mergeCell ref="L44:P44"/>
    <mergeCell ref="B45:B47"/>
    <mergeCell ref="C45:F45"/>
    <mergeCell ref="G45:G47"/>
    <mergeCell ref="H45:K45"/>
    <mergeCell ref="L45:L47"/>
    <mergeCell ref="M45:P45"/>
    <mergeCell ref="Q45:Q47"/>
    <mergeCell ref="R45:T45"/>
    <mergeCell ref="U45:U47"/>
    <mergeCell ref="V45:X45"/>
    <mergeCell ref="C46:C47"/>
    <mergeCell ref="D46:E46"/>
    <mergeCell ref="F46:F47"/>
    <mergeCell ref="H46:H47"/>
    <mergeCell ref="I46:J46"/>
    <mergeCell ref="K46:K47"/>
    <mergeCell ref="C36:C37"/>
    <mergeCell ref="D36:E36"/>
    <mergeCell ref="F36:F37"/>
    <mergeCell ref="H36:H37"/>
    <mergeCell ref="I36:J36"/>
    <mergeCell ref="K36:K37"/>
    <mergeCell ref="M36:M37"/>
    <mergeCell ref="N36:O36"/>
    <mergeCell ref="P36:P37"/>
    <mergeCell ref="M26:M27"/>
    <mergeCell ref="P26:P27"/>
    <mergeCell ref="T26:T27"/>
    <mergeCell ref="R25:T25"/>
    <mergeCell ref="R35:T35"/>
    <mergeCell ref="U35:U37"/>
    <mergeCell ref="V35:X35"/>
    <mergeCell ref="R36:S36"/>
    <mergeCell ref="T36:T37"/>
    <mergeCell ref="V36:W36"/>
    <mergeCell ref="X36:X37"/>
    <mergeCell ref="K89:K90"/>
    <mergeCell ref="M89:M90"/>
    <mergeCell ref="N89:O89"/>
    <mergeCell ref="A23:A27"/>
    <mergeCell ref="B25:B27"/>
    <mergeCell ref="G25:G27"/>
    <mergeCell ref="L25:L27"/>
    <mergeCell ref="Q25:Q27"/>
    <mergeCell ref="A32:X32"/>
    <mergeCell ref="A33:A37"/>
    <mergeCell ref="B33:P33"/>
    <mergeCell ref="Q33:T34"/>
    <mergeCell ref="U33:X34"/>
    <mergeCell ref="B34:F34"/>
    <mergeCell ref="G34:K34"/>
    <mergeCell ref="L34:P34"/>
    <mergeCell ref="B35:B37"/>
    <mergeCell ref="C35:F35"/>
    <mergeCell ref="G35:G37"/>
    <mergeCell ref="H35:K35"/>
    <mergeCell ref="L35:L37"/>
    <mergeCell ref="M35:P35"/>
    <mergeCell ref="Q35:Q37"/>
    <mergeCell ref="P89:P90"/>
    <mergeCell ref="I79:J79"/>
    <mergeCell ref="K79:K80"/>
    <mergeCell ref="M79:M80"/>
    <mergeCell ref="A75:X75"/>
    <mergeCell ref="A76:A80"/>
    <mergeCell ref="B76:P76"/>
    <mergeCell ref="Q76:T77"/>
    <mergeCell ref="U76:X77"/>
    <mergeCell ref="B77:F77"/>
    <mergeCell ref="G77:K77"/>
    <mergeCell ref="L77:P77"/>
    <mergeCell ref="B78:B80"/>
    <mergeCell ref="C78:F78"/>
    <mergeCell ref="G78:G80"/>
    <mergeCell ref="H78:K78"/>
    <mergeCell ref="L78:L80"/>
    <mergeCell ref="M78:P78"/>
    <mergeCell ref="Q78:Q80"/>
    <mergeCell ref="R78:T78"/>
    <mergeCell ref="U78:U80"/>
    <mergeCell ref="V78:X78"/>
    <mergeCell ref="X79:X80"/>
    <mergeCell ref="P79:P80"/>
    <mergeCell ref="R79:S79"/>
    <mergeCell ref="A12:X12"/>
    <mergeCell ref="A13:A17"/>
    <mergeCell ref="G5:G7"/>
    <mergeCell ref="L5:L7"/>
    <mergeCell ref="A3:A7"/>
    <mergeCell ref="B5:B7"/>
    <mergeCell ref="D6:E6"/>
    <mergeCell ref="F6:F7"/>
    <mergeCell ref="C6:C7"/>
    <mergeCell ref="C5:F5"/>
    <mergeCell ref="H5:K5"/>
    <mergeCell ref="H6:H7"/>
    <mergeCell ref="Q3:T4"/>
    <mergeCell ref="R5:T5"/>
    <mergeCell ref="Q5:Q7"/>
    <mergeCell ref="U3:X4"/>
    <mergeCell ref="U5:U7"/>
    <mergeCell ref="V5:X5"/>
    <mergeCell ref="V6:W6"/>
    <mergeCell ref="X6:X7"/>
    <mergeCell ref="B3:P3"/>
    <mergeCell ref="K6:K7"/>
    <mergeCell ref="M5:P5"/>
    <mergeCell ref="M6:M7"/>
    <mergeCell ref="B4:F4"/>
    <mergeCell ref="G4:K4"/>
    <mergeCell ref="L4:P4"/>
    <mergeCell ref="I6:J6"/>
    <mergeCell ref="A2:X2"/>
    <mergeCell ref="N6:O6"/>
    <mergeCell ref="P6:P7"/>
    <mergeCell ref="R6:S6"/>
    <mergeCell ref="T6:T7"/>
    <mergeCell ref="B13:P13"/>
    <mergeCell ref="Q13:T14"/>
    <mergeCell ref="U13:X14"/>
    <mergeCell ref="B14:F14"/>
    <mergeCell ref="G14:K14"/>
    <mergeCell ref="L14:P14"/>
    <mergeCell ref="B15:B17"/>
    <mergeCell ref="C15:F15"/>
    <mergeCell ref="G15:G17"/>
    <mergeCell ref="H15:K15"/>
    <mergeCell ref="L15:L17"/>
    <mergeCell ref="M15:P15"/>
    <mergeCell ref="Q15:Q17"/>
    <mergeCell ref="R15:T15"/>
    <mergeCell ref="U15:U17"/>
    <mergeCell ref="V15:X15"/>
    <mergeCell ref="C16:C17"/>
    <mergeCell ref="D16:E16"/>
    <mergeCell ref="F16:F17"/>
    <mergeCell ref="H16:H17"/>
    <mergeCell ref="I16:J16"/>
    <mergeCell ref="K16:K17"/>
    <mergeCell ref="P16:P17"/>
    <mergeCell ref="R16:S16"/>
    <mergeCell ref="T16:T17"/>
    <mergeCell ref="V16:W16"/>
    <mergeCell ref="X16:X17"/>
    <mergeCell ref="M16:M17"/>
    <mergeCell ref="N16:O16"/>
    <mergeCell ref="X26:X27"/>
    <mergeCell ref="B24:F24"/>
    <mergeCell ref="G24:K24"/>
    <mergeCell ref="L24:P24"/>
    <mergeCell ref="C25:F25"/>
    <mergeCell ref="H25:K25"/>
    <mergeCell ref="M25:P25"/>
    <mergeCell ref="N26:O26"/>
    <mergeCell ref="R26:S26"/>
    <mergeCell ref="V26:W26"/>
    <mergeCell ref="B23:P23"/>
    <mergeCell ref="Q23:T24"/>
    <mergeCell ref="U23:X24"/>
    <mergeCell ref="A22:X22"/>
    <mergeCell ref="U25:U27"/>
    <mergeCell ref="C26:C27"/>
    <mergeCell ref="F26:F27"/>
    <mergeCell ref="H26:H27"/>
    <mergeCell ref="K26:K27"/>
    <mergeCell ref="V129:X129"/>
    <mergeCell ref="C130:C131"/>
    <mergeCell ref="D130:E130"/>
    <mergeCell ref="F130:F131"/>
    <mergeCell ref="H130:H131"/>
    <mergeCell ref="I130:J130"/>
    <mergeCell ref="K130:K131"/>
    <mergeCell ref="V25:X25"/>
    <mergeCell ref="D26:E26"/>
    <mergeCell ref="I26:J26"/>
    <mergeCell ref="D89:E89"/>
    <mergeCell ref="F89:F90"/>
    <mergeCell ref="H89:H90"/>
    <mergeCell ref="C69:C70"/>
    <mergeCell ref="D69:E69"/>
    <mergeCell ref="F69:F70"/>
    <mergeCell ref="H69:H70"/>
    <mergeCell ref="I69:J69"/>
    <mergeCell ref="K69:K70"/>
    <mergeCell ref="M69:M70"/>
    <mergeCell ref="C79:C80"/>
    <mergeCell ref="D79:E79"/>
    <mergeCell ref="F79:F80"/>
    <mergeCell ref="H79:H80"/>
    <mergeCell ref="M130:M131"/>
    <mergeCell ref="N130:O130"/>
    <mergeCell ref="P130:P131"/>
    <mergeCell ref="R130:S130"/>
    <mergeCell ref="T130:T131"/>
    <mergeCell ref="V130:W130"/>
    <mergeCell ref="X130:X131"/>
    <mergeCell ref="A126:X126"/>
    <mergeCell ref="A127:A131"/>
    <mergeCell ref="B127:P127"/>
    <mergeCell ref="Q127:T128"/>
    <mergeCell ref="U127:X128"/>
    <mergeCell ref="B128:F128"/>
    <mergeCell ref="G128:K128"/>
    <mergeCell ref="L128:P128"/>
    <mergeCell ref="B129:B131"/>
    <mergeCell ref="C129:F129"/>
    <mergeCell ref="G129:G131"/>
    <mergeCell ref="H129:K129"/>
    <mergeCell ref="L129:L131"/>
    <mergeCell ref="M129:P129"/>
    <mergeCell ref="Q129:Q131"/>
    <mergeCell ref="R129:T129"/>
    <mergeCell ref="U129:U131"/>
    <mergeCell ref="A137:X137"/>
    <mergeCell ref="A138:A142"/>
    <mergeCell ref="B138:P138"/>
    <mergeCell ref="Q138:T139"/>
    <mergeCell ref="U138:X139"/>
    <mergeCell ref="B139:F139"/>
    <mergeCell ref="G139:K139"/>
    <mergeCell ref="L139:P139"/>
    <mergeCell ref="B140:B142"/>
    <mergeCell ref="C140:F140"/>
    <mergeCell ref="G140:G142"/>
    <mergeCell ref="H140:K140"/>
    <mergeCell ref="L140:L142"/>
    <mergeCell ref="M140:P140"/>
    <mergeCell ref="Q140:Q142"/>
    <mergeCell ref="R140:T140"/>
    <mergeCell ref="U140:U142"/>
    <mergeCell ref="V140:X140"/>
    <mergeCell ref="C141:C142"/>
    <mergeCell ref="D141:E141"/>
    <mergeCell ref="F141:F142"/>
    <mergeCell ref="H141:H142"/>
    <mergeCell ref="I141:J141"/>
    <mergeCell ref="K141:K142"/>
    <mergeCell ref="K152:K153"/>
    <mergeCell ref="M141:M142"/>
    <mergeCell ref="N141:O141"/>
    <mergeCell ref="P141:P142"/>
    <mergeCell ref="R141:S141"/>
    <mergeCell ref="T141:T142"/>
    <mergeCell ref="V141:W141"/>
    <mergeCell ref="X141:X142"/>
    <mergeCell ref="A147:X147"/>
    <mergeCell ref="M152:M153"/>
    <mergeCell ref="N152:O152"/>
    <mergeCell ref="P152:P153"/>
    <mergeCell ref="R152:S152"/>
    <mergeCell ref="T152:T153"/>
    <mergeCell ref="V152:W152"/>
    <mergeCell ref="X152:X153"/>
    <mergeCell ref="A158:X158"/>
    <mergeCell ref="A148:X148"/>
    <mergeCell ref="A149:A153"/>
    <mergeCell ref="B149:P149"/>
    <mergeCell ref="Q149:T150"/>
    <mergeCell ref="U149:X150"/>
    <mergeCell ref="B150:F150"/>
    <mergeCell ref="G150:K150"/>
    <mergeCell ref="L150:P150"/>
    <mergeCell ref="B151:B153"/>
    <mergeCell ref="C151:F151"/>
    <mergeCell ref="G151:G153"/>
    <mergeCell ref="H151:K151"/>
    <mergeCell ref="L151:L153"/>
    <mergeCell ref="M151:P151"/>
    <mergeCell ref="Q151:Q153"/>
    <mergeCell ref="R151:T151"/>
    <mergeCell ref="U151:U153"/>
    <mergeCell ref="V151:X151"/>
    <mergeCell ref="C152:C153"/>
    <mergeCell ref="D152:E152"/>
    <mergeCell ref="F152:F153"/>
    <mergeCell ref="H152:H153"/>
    <mergeCell ref="I152:J152"/>
    <mergeCell ref="R162:T162"/>
    <mergeCell ref="U162:U164"/>
    <mergeCell ref="V162:X162"/>
    <mergeCell ref="C163:C164"/>
    <mergeCell ref="D163:E163"/>
    <mergeCell ref="F163:F164"/>
    <mergeCell ref="H163:H164"/>
    <mergeCell ref="I163:J163"/>
    <mergeCell ref="K163:K164"/>
    <mergeCell ref="A136:X136"/>
    <mergeCell ref="A125:X125"/>
    <mergeCell ref="M163:M164"/>
    <mergeCell ref="N163:O163"/>
    <mergeCell ref="P163:P164"/>
    <mergeCell ref="R163:S163"/>
    <mergeCell ref="T163:T164"/>
    <mergeCell ref="V163:W163"/>
    <mergeCell ref="X163:X164"/>
    <mergeCell ref="A159:X159"/>
    <mergeCell ref="A160:A164"/>
    <mergeCell ref="B160:P160"/>
    <mergeCell ref="Q160:T161"/>
    <mergeCell ref="U160:X161"/>
    <mergeCell ref="B161:F161"/>
    <mergeCell ref="G161:K161"/>
    <mergeCell ref="L161:P161"/>
    <mergeCell ref="B162:B164"/>
    <mergeCell ref="C162:F162"/>
    <mergeCell ref="G162:G164"/>
    <mergeCell ref="H162:K162"/>
    <mergeCell ref="L162:L164"/>
    <mergeCell ref="M162:P162"/>
    <mergeCell ref="Q162:Q164"/>
  </mergeCells>
  <printOptions horizontalCentered="1" verticalCentered="1"/>
  <pageMargins left="0.23622047244094491" right="0.23622047244094491" top="0.51181102362204722" bottom="0.47244094488188981" header="0.51181102362204722" footer="0.51181102362204722"/>
  <pageSetup paperSize="9" scale="55" orientation="landscape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>
  <sheetPr enableFormatConditionsCalculation="0">
    <tabColor indexed="50"/>
  </sheetPr>
  <dimension ref="F9:I19"/>
  <sheetViews>
    <sheetView topLeftCell="A7" workbookViewId="0">
      <selection activeCell="I9" sqref="I9"/>
    </sheetView>
  </sheetViews>
  <sheetFormatPr defaultRowHeight="12.75"/>
  <cols>
    <col min="6" max="6" width="12.140625" customWidth="1"/>
    <col min="7" max="7" width="15.42578125" customWidth="1"/>
    <col min="8" max="8" width="14" customWidth="1"/>
    <col min="9" max="9" width="17.7109375" customWidth="1"/>
  </cols>
  <sheetData>
    <row r="9" spans="6:9" ht="20.25">
      <c r="F9" s="245">
        <f>F10+F11+F12+F13</f>
        <v>148.32999999999998</v>
      </c>
      <c r="G9" s="244">
        <f>H9/F9/12*1000</f>
        <v>10790.411020472371</v>
      </c>
      <c r="H9" s="246">
        <f>H10+H11+H12+H13</f>
        <v>19206.5</v>
      </c>
      <c r="I9" s="247" t="e">
        <f>G9/#REF!</f>
        <v>#REF!</v>
      </c>
    </row>
    <row r="10" spans="6:9" ht="20.25">
      <c r="F10" s="251">
        <v>23.5</v>
      </c>
      <c r="G10" s="248">
        <f>H10/F10/12*1000</f>
        <v>10395.035460992907</v>
      </c>
      <c r="H10" s="250">
        <v>2931.4</v>
      </c>
      <c r="I10" s="247" t="e">
        <f>G10/#REF!</f>
        <v>#REF!</v>
      </c>
    </row>
    <row r="11" spans="6:9" ht="20.25">
      <c r="F11" s="251">
        <v>73.5</v>
      </c>
      <c r="G11" s="248">
        <f>H11/F11/12*1000</f>
        <v>9934.4671201814072</v>
      </c>
      <c r="H11" s="250">
        <v>8762.2000000000007</v>
      </c>
      <c r="I11" s="247" t="e">
        <f>G11/#REF!</f>
        <v>#REF!</v>
      </c>
    </row>
    <row r="12" spans="6:9" ht="20.25">
      <c r="F12" s="251">
        <v>29.33</v>
      </c>
      <c r="G12" s="248">
        <f>H12/F12/12*1000</f>
        <v>12505.398340720538</v>
      </c>
      <c r="H12" s="250">
        <v>4401.3999999999996</v>
      </c>
      <c r="I12" s="247" t="e">
        <f>G12/#REF!</f>
        <v>#REF!</v>
      </c>
    </row>
    <row r="13" spans="6:9" ht="20.25">
      <c r="F13" s="251">
        <v>22</v>
      </c>
      <c r="G13" s="248">
        <f>H13/F13/12*1000</f>
        <v>11785.98484848485</v>
      </c>
      <c r="H13" s="250">
        <v>3111.5</v>
      </c>
      <c r="I13" s="247" t="e">
        <f>G13/#REF!</f>
        <v>#REF!</v>
      </c>
    </row>
    <row r="14" spans="6:9" ht="20.25">
      <c r="F14" s="249"/>
      <c r="G14" s="248"/>
      <c r="H14" s="250"/>
      <c r="I14" s="247"/>
    </row>
    <row r="15" spans="6:9" ht="20.25">
      <c r="F15" s="253">
        <f>F16+F17+F18+F19</f>
        <v>95</v>
      </c>
      <c r="G15" s="252">
        <f>H15/F15/12*1000</f>
        <v>11418.333333333334</v>
      </c>
      <c r="H15" s="254">
        <f>H16+H17+H18+H19</f>
        <v>13016.900000000001</v>
      </c>
      <c r="I15" s="247" t="e">
        <f>G15/#REF!</f>
        <v>#REF!</v>
      </c>
    </row>
    <row r="16" spans="6:9" ht="20.25">
      <c r="F16" s="249">
        <v>25</v>
      </c>
      <c r="G16" s="248">
        <f>H16/F16/12*1000</f>
        <v>10917.666666666668</v>
      </c>
      <c r="H16" s="250">
        <v>3275.3</v>
      </c>
      <c r="I16" s="247" t="e">
        <f>G16/#REF!</f>
        <v>#REF!</v>
      </c>
    </row>
    <row r="17" spans="6:9" ht="20.25">
      <c r="F17" s="249">
        <v>49</v>
      </c>
      <c r="G17" s="248">
        <f>H17/F17/12*1000</f>
        <v>11832.653061224491</v>
      </c>
      <c r="H17" s="250">
        <v>6957.6</v>
      </c>
      <c r="I17" s="247" t="e">
        <f>G17/#REF!</f>
        <v>#REF!</v>
      </c>
    </row>
    <row r="18" spans="6:9" ht="20.25">
      <c r="F18" s="249">
        <v>4</v>
      </c>
      <c r="G18" s="248">
        <f>H18/F18/12*1000</f>
        <v>11164.583333333332</v>
      </c>
      <c r="H18" s="250">
        <v>535.9</v>
      </c>
      <c r="I18" s="247" t="e">
        <f>G18/AF1</f>
        <v>#DIV/0!</v>
      </c>
    </row>
    <row r="19" spans="6:9" ht="21" thickBot="1">
      <c r="F19" s="272">
        <v>17</v>
      </c>
      <c r="G19" s="269">
        <f>H19/F19/12*1000</f>
        <v>11020.098039215687</v>
      </c>
      <c r="H19" s="270">
        <v>2248.1</v>
      </c>
      <c r="I19" s="271" t="e">
        <f>G19/AF2</f>
        <v>#DIV/0!</v>
      </c>
    </row>
  </sheetData>
  <phoneticPr fontId="9" type="noConversion"/>
  <pageMargins left="0.75" right="0.75" top="1" bottom="1" header="0.5" footer="0.5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>
  <sheetPr>
    <tabColor rgb="FFFF0000"/>
  </sheetPr>
  <dimension ref="A1:G26"/>
  <sheetViews>
    <sheetView workbookViewId="0">
      <selection activeCell="E13" sqref="E13"/>
    </sheetView>
  </sheetViews>
  <sheetFormatPr defaultRowHeight="12.75"/>
  <cols>
    <col min="1" max="1" width="38.28515625" customWidth="1"/>
    <col min="2" max="2" width="20.85546875" customWidth="1"/>
    <col min="3" max="5" width="25.140625" customWidth="1"/>
    <col min="259" max="259" width="38.28515625" customWidth="1"/>
    <col min="260" max="260" width="20.85546875" customWidth="1"/>
    <col min="261" max="261" width="25.140625" customWidth="1"/>
    <col min="515" max="515" width="38.28515625" customWidth="1"/>
    <col min="516" max="516" width="20.85546875" customWidth="1"/>
    <col min="517" max="517" width="25.140625" customWidth="1"/>
    <col min="771" max="771" width="38.28515625" customWidth="1"/>
    <col min="772" max="772" width="20.85546875" customWidth="1"/>
    <col min="773" max="773" width="25.140625" customWidth="1"/>
    <col min="1027" max="1027" width="38.28515625" customWidth="1"/>
    <col min="1028" max="1028" width="20.85546875" customWidth="1"/>
    <col min="1029" max="1029" width="25.140625" customWidth="1"/>
    <col min="1283" max="1283" width="38.28515625" customWidth="1"/>
    <col min="1284" max="1284" width="20.85546875" customWidth="1"/>
    <col min="1285" max="1285" width="25.140625" customWidth="1"/>
    <col min="1539" max="1539" width="38.28515625" customWidth="1"/>
    <col min="1540" max="1540" width="20.85546875" customWidth="1"/>
    <col min="1541" max="1541" width="25.140625" customWidth="1"/>
    <col min="1795" max="1795" width="38.28515625" customWidth="1"/>
    <col min="1796" max="1796" width="20.85546875" customWidth="1"/>
    <col min="1797" max="1797" width="25.140625" customWidth="1"/>
    <col min="2051" max="2051" width="38.28515625" customWidth="1"/>
    <col min="2052" max="2052" width="20.85546875" customWidth="1"/>
    <col min="2053" max="2053" width="25.140625" customWidth="1"/>
    <col min="2307" max="2307" width="38.28515625" customWidth="1"/>
    <col min="2308" max="2308" width="20.85546875" customWidth="1"/>
    <col min="2309" max="2309" width="25.140625" customWidth="1"/>
    <col min="2563" max="2563" width="38.28515625" customWidth="1"/>
    <col min="2564" max="2564" width="20.85546875" customWidth="1"/>
    <col min="2565" max="2565" width="25.140625" customWidth="1"/>
    <col min="2819" max="2819" width="38.28515625" customWidth="1"/>
    <col min="2820" max="2820" width="20.85546875" customWidth="1"/>
    <col min="2821" max="2821" width="25.140625" customWidth="1"/>
    <col min="3075" max="3075" width="38.28515625" customWidth="1"/>
    <col min="3076" max="3076" width="20.85546875" customWidth="1"/>
    <col min="3077" max="3077" width="25.140625" customWidth="1"/>
    <col min="3331" max="3331" width="38.28515625" customWidth="1"/>
    <col min="3332" max="3332" width="20.85546875" customWidth="1"/>
    <col min="3333" max="3333" width="25.140625" customWidth="1"/>
    <col min="3587" max="3587" width="38.28515625" customWidth="1"/>
    <col min="3588" max="3588" width="20.85546875" customWidth="1"/>
    <col min="3589" max="3589" width="25.140625" customWidth="1"/>
    <col min="3843" max="3843" width="38.28515625" customWidth="1"/>
    <col min="3844" max="3844" width="20.85546875" customWidth="1"/>
    <col min="3845" max="3845" width="25.140625" customWidth="1"/>
    <col min="4099" max="4099" width="38.28515625" customWidth="1"/>
    <col min="4100" max="4100" width="20.85546875" customWidth="1"/>
    <col min="4101" max="4101" width="25.140625" customWidth="1"/>
    <col min="4355" max="4355" width="38.28515625" customWidth="1"/>
    <col min="4356" max="4356" width="20.85546875" customWidth="1"/>
    <col min="4357" max="4357" width="25.140625" customWidth="1"/>
    <col min="4611" max="4611" width="38.28515625" customWidth="1"/>
    <col min="4612" max="4612" width="20.85546875" customWidth="1"/>
    <col min="4613" max="4613" width="25.140625" customWidth="1"/>
    <col min="4867" max="4867" width="38.28515625" customWidth="1"/>
    <col min="4868" max="4868" width="20.85546875" customWidth="1"/>
    <col min="4869" max="4869" width="25.140625" customWidth="1"/>
    <col min="5123" max="5123" width="38.28515625" customWidth="1"/>
    <col min="5124" max="5124" width="20.85546875" customWidth="1"/>
    <col min="5125" max="5125" width="25.140625" customWidth="1"/>
    <col min="5379" max="5379" width="38.28515625" customWidth="1"/>
    <col min="5380" max="5380" width="20.85546875" customWidth="1"/>
    <col min="5381" max="5381" width="25.140625" customWidth="1"/>
    <col min="5635" max="5635" width="38.28515625" customWidth="1"/>
    <col min="5636" max="5636" width="20.85546875" customWidth="1"/>
    <col min="5637" max="5637" width="25.140625" customWidth="1"/>
    <col min="5891" max="5891" width="38.28515625" customWidth="1"/>
    <col min="5892" max="5892" width="20.85546875" customWidth="1"/>
    <col min="5893" max="5893" width="25.140625" customWidth="1"/>
    <col min="6147" max="6147" width="38.28515625" customWidth="1"/>
    <col min="6148" max="6148" width="20.85546875" customWidth="1"/>
    <col min="6149" max="6149" width="25.140625" customWidth="1"/>
    <col min="6403" max="6403" width="38.28515625" customWidth="1"/>
    <col min="6404" max="6404" width="20.85546875" customWidth="1"/>
    <col min="6405" max="6405" width="25.140625" customWidth="1"/>
    <col min="6659" max="6659" width="38.28515625" customWidth="1"/>
    <col min="6660" max="6660" width="20.85546875" customWidth="1"/>
    <col min="6661" max="6661" width="25.140625" customWidth="1"/>
    <col min="6915" max="6915" width="38.28515625" customWidth="1"/>
    <col min="6916" max="6916" width="20.85546875" customWidth="1"/>
    <col min="6917" max="6917" width="25.140625" customWidth="1"/>
    <col min="7171" max="7171" width="38.28515625" customWidth="1"/>
    <col min="7172" max="7172" width="20.85546875" customWidth="1"/>
    <col min="7173" max="7173" width="25.140625" customWidth="1"/>
    <col min="7427" max="7427" width="38.28515625" customWidth="1"/>
    <col min="7428" max="7428" width="20.85546875" customWidth="1"/>
    <col min="7429" max="7429" width="25.140625" customWidth="1"/>
    <col min="7683" max="7683" width="38.28515625" customWidth="1"/>
    <col min="7684" max="7684" width="20.85546875" customWidth="1"/>
    <col min="7685" max="7685" width="25.140625" customWidth="1"/>
    <col min="7939" max="7939" width="38.28515625" customWidth="1"/>
    <col min="7940" max="7940" width="20.85546875" customWidth="1"/>
    <col min="7941" max="7941" width="25.140625" customWidth="1"/>
    <col min="8195" max="8195" width="38.28515625" customWidth="1"/>
    <col min="8196" max="8196" width="20.85546875" customWidth="1"/>
    <col min="8197" max="8197" width="25.140625" customWidth="1"/>
    <col min="8451" max="8451" width="38.28515625" customWidth="1"/>
    <col min="8452" max="8452" width="20.85546875" customWidth="1"/>
    <col min="8453" max="8453" width="25.140625" customWidth="1"/>
    <col min="8707" max="8707" width="38.28515625" customWidth="1"/>
    <col min="8708" max="8708" width="20.85546875" customWidth="1"/>
    <col min="8709" max="8709" width="25.140625" customWidth="1"/>
    <col min="8963" max="8963" width="38.28515625" customWidth="1"/>
    <col min="8964" max="8964" width="20.85546875" customWidth="1"/>
    <col min="8965" max="8965" width="25.140625" customWidth="1"/>
    <col min="9219" max="9219" width="38.28515625" customWidth="1"/>
    <col min="9220" max="9220" width="20.85546875" customWidth="1"/>
    <col min="9221" max="9221" width="25.140625" customWidth="1"/>
    <col min="9475" max="9475" width="38.28515625" customWidth="1"/>
    <col min="9476" max="9476" width="20.85546875" customWidth="1"/>
    <col min="9477" max="9477" width="25.140625" customWidth="1"/>
    <col min="9731" max="9731" width="38.28515625" customWidth="1"/>
    <col min="9732" max="9732" width="20.85546875" customWidth="1"/>
    <col min="9733" max="9733" width="25.140625" customWidth="1"/>
    <col min="9987" max="9987" width="38.28515625" customWidth="1"/>
    <col min="9988" max="9988" width="20.85546875" customWidth="1"/>
    <col min="9989" max="9989" width="25.140625" customWidth="1"/>
    <col min="10243" max="10243" width="38.28515625" customWidth="1"/>
    <col min="10244" max="10244" width="20.85546875" customWidth="1"/>
    <col min="10245" max="10245" width="25.140625" customWidth="1"/>
    <col min="10499" max="10499" width="38.28515625" customWidth="1"/>
    <col min="10500" max="10500" width="20.85546875" customWidth="1"/>
    <col min="10501" max="10501" width="25.140625" customWidth="1"/>
    <col min="10755" max="10755" width="38.28515625" customWidth="1"/>
    <col min="10756" max="10756" width="20.85546875" customWidth="1"/>
    <col min="10757" max="10757" width="25.140625" customWidth="1"/>
    <col min="11011" max="11011" width="38.28515625" customWidth="1"/>
    <col min="11012" max="11012" width="20.85546875" customWidth="1"/>
    <col min="11013" max="11013" width="25.140625" customWidth="1"/>
    <col min="11267" max="11267" width="38.28515625" customWidth="1"/>
    <col min="11268" max="11268" width="20.85546875" customWidth="1"/>
    <col min="11269" max="11269" width="25.140625" customWidth="1"/>
    <col min="11523" max="11523" width="38.28515625" customWidth="1"/>
    <col min="11524" max="11524" width="20.85546875" customWidth="1"/>
    <col min="11525" max="11525" width="25.140625" customWidth="1"/>
    <col min="11779" max="11779" width="38.28515625" customWidth="1"/>
    <col min="11780" max="11780" width="20.85546875" customWidth="1"/>
    <col min="11781" max="11781" width="25.140625" customWidth="1"/>
    <col min="12035" max="12035" width="38.28515625" customWidth="1"/>
    <col min="12036" max="12036" width="20.85546875" customWidth="1"/>
    <col min="12037" max="12037" width="25.140625" customWidth="1"/>
    <col min="12291" max="12291" width="38.28515625" customWidth="1"/>
    <col min="12292" max="12292" width="20.85546875" customWidth="1"/>
    <col min="12293" max="12293" width="25.140625" customWidth="1"/>
    <col min="12547" max="12547" width="38.28515625" customWidth="1"/>
    <col min="12548" max="12548" width="20.85546875" customWidth="1"/>
    <col min="12549" max="12549" width="25.140625" customWidth="1"/>
    <col min="12803" max="12803" width="38.28515625" customWidth="1"/>
    <col min="12804" max="12804" width="20.85546875" customWidth="1"/>
    <col min="12805" max="12805" width="25.140625" customWidth="1"/>
    <col min="13059" max="13059" width="38.28515625" customWidth="1"/>
    <col min="13060" max="13060" width="20.85546875" customWidth="1"/>
    <col min="13061" max="13061" width="25.140625" customWidth="1"/>
    <col min="13315" max="13315" width="38.28515625" customWidth="1"/>
    <col min="13316" max="13316" width="20.85546875" customWidth="1"/>
    <col min="13317" max="13317" width="25.140625" customWidth="1"/>
    <col min="13571" max="13571" width="38.28515625" customWidth="1"/>
    <col min="13572" max="13572" width="20.85546875" customWidth="1"/>
    <col min="13573" max="13573" width="25.140625" customWidth="1"/>
    <col min="13827" max="13827" width="38.28515625" customWidth="1"/>
    <col min="13828" max="13828" width="20.85546875" customWidth="1"/>
    <col min="13829" max="13829" width="25.140625" customWidth="1"/>
    <col min="14083" max="14083" width="38.28515625" customWidth="1"/>
    <col min="14084" max="14084" width="20.85546875" customWidth="1"/>
    <col min="14085" max="14085" width="25.140625" customWidth="1"/>
    <col min="14339" max="14339" width="38.28515625" customWidth="1"/>
    <col min="14340" max="14340" width="20.85546875" customWidth="1"/>
    <col min="14341" max="14341" width="25.140625" customWidth="1"/>
    <col min="14595" max="14595" width="38.28515625" customWidth="1"/>
    <col min="14596" max="14596" width="20.85546875" customWidth="1"/>
    <col min="14597" max="14597" width="25.140625" customWidth="1"/>
    <col min="14851" max="14851" width="38.28515625" customWidth="1"/>
    <col min="14852" max="14852" width="20.85546875" customWidth="1"/>
    <col min="14853" max="14853" width="25.140625" customWidth="1"/>
    <col min="15107" max="15107" width="38.28515625" customWidth="1"/>
    <col min="15108" max="15108" width="20.85546875" customWidth="1"/>
    <col min="15109" max="15109" width="25.140625" customWidth="1"/>
    <col min="15363" max="15363" width="38.28515625" customWidth="1"/>
    <col min="15364" max="15364" width="20.85546875" customWidth="1"/>
    <col min="15365" max="15365" width="25.140625" customWidth="1"/>
    <col min="15619" max="15619" width="38.28515625" customWidth="1"/>
    <col min="15620" max="15620" width="20.85546875" customWidth="1"/>
    <col min="15621" max="15621" width="25.140625" customWidth="1"/>
    <col min="15875" max="15875" width="38.28515625" customWidth="1"/>
    <col min="15876" max="15876" width="20.85546875" customWidth="1"/>
    <col min="15877" max="15877" width="25.140625" customWidth="1"/>
    <col min="16131" max="16131" width="38.28515625" customWidth="1"/>
    <col min="16132" max="16132" width="20.85546875" customWidth="1"/>
    <col min="16133" max="16133" width="25.140625" customWidth="1"/>
  </cols>
  <sheetData>
    <row r="1" spans="1:7">
      <c r="F1" t="s">
        <v>893</v>
      </c>
    </row>
    <row r="3" spans="1:7">
      <c r="A3" s="6656" t="s">
        <v>525</v>
      </c>
      <c r="B3" s="6656"/>
      <c r="C3" s="6656"/>
      <c r="D3" s="6656"/>
      <c r="E3" s="6656"/>
      <c r="F3" s="6656"/>
      <c r="G3" s="6656"/>
    </row>
    <row r="4" spans="1:7" ht="51">
      <c r="A4" s="1566" t="s">
        <v>401</v>
      </c>
      <c r="B4" s="1608" t="s">
        <v>526</v>
      </c>
      <c r="C4" s="1608" t="s">
        <v>527</v>
      </c>
      <c r="D4" s="1608" t="s">
        <v>903</v>
      </c>
      <c r="E4" s="1608" t="s">
        <v>856</v>
      </c>
      <c r="F4" s="6655" t="s">
        <v>246</v>
      </c>
      <c r="G4" s="6655"/>
    </row>
    <row r="5" spans="1:7">
      <c r="A5" s="1566" t="s">
        <v>285</v>
      </c>
      <c r="B5" s="1609">
        <v>2243</v>
      </c>
      <c r="C5" s="1566"/>
      <c r="D5" s="1802"/>
      <c r="E5" s="1794"/>
      <c r="F5" s="6655"/>
      <c r="G5" s="6655"/>
    </row>
    <row r="6" spans="1:7">
      <c r="A6" s="1566" t="s">
        <v>286</v>
      </c>
      <c r="B6" s="1609">
        <v>3073.1</v>
      </c>
      <c r="C6" s="1609">
        <v>1287.3</v>
      </c>
      <c r="D6" s="1806"/>
      <c r="E6" s="1795">
        <f>B6-C6</f>
        <v>1785.8</v>
      </c>
      <c r="F6" s="6657" t="s">
        <v>250</v>
      </c>
      <c r="G6" s="6658"/>
    </row>
    <row r="7" spans="1:7">
      <c r="A7" s="1566" t="s">
        <v>287</v>
      </c>
      <c r="B7" s="1609">
        <v>212.2</v>
      </c>
      <c r="C7" s="1566"/>
      <c r="D7" s="1802"/>
      <c r="E7" s="1794"/>
      <c r="F7" s="6655"/>
      <c r="G7" s="6655"/>
    </row>
    <row r="8" spans="1:7">
      <c r="A8" s="1566" t="s">
        <v>288</v>
      </c>
      <c r="B8" s="1609">
        <v>475.4</v>
      </c>
      <c r="C8" s="1566"/>
      <c r="D8" s="1802"/>
      <c r="E8" s="1794"/>
      <c r="F8" s="6655"/>
      <c r="G8" s="6655"/>
    </row>
    <row r="9" spans="1:7">
      <c r="A9" s="1566" t="s">
        <v>289</v>
      </c>
      <c r="B9" s="1609">
        <v>2249.5</v>
      </c>
      <c r="C9" s="1566"/>
      <c r="D9" s="1802"/>
      <c r="E9" s="1794"/>
      <c r="F9" s="6655"/>
      <c r="G9" s="6655"/>
    </row>
    <row r="10" spans="1:7">
      <c r="A10" s="1566" t="s">
        <v>290</v>
      </c>
      <c r="B10" s="1609">
        <v>3333.9</v>
      </c>
      <c r="C10" s="1566"/>
      <c r="D10" s="1802"/>
      <c r="E10" s="1794"/>
      <c r="F10" s="6655"/>
      <c r="G10" s="6655"/>
    </row>
    <row r="11" spans="1:7">
      <c r="A11" s="1566" t="s">
        <v>291</v>
      </c>
      <c r="B11" s="1609">
        <v>2188.5</v>
      </c>
      <c r="C11" s="1566"/>
      <c r="D11" s="1802"/>
      <c r="E11" s="1794"/>
      <c r="F11" s="6655"/>
      <c r="G11" s="6655"/>
    </row>
    <row r="12" spans="1:7">
      <c r="A12" s="1566" t="s">
        <v>292</v>
      </c>
      <c r="B12" s="1609">
        <v>557.1</v>
      </c>
      <c r="C12" s="1566"/>
      <c r="D12" s="1802"/>
      <c r="E12" s="1796">
        <v>0</v>
      </c>
      <c r="F12" s="6655"/>
      <c r="G12" s="6655"/>
    </row>
    <row r="13" spans="1:7" ht="25.5">
      <c r="A13" s="1805" t="s">
        <v>902</v>
      </c>
      <c r="B13" s="1803"/>
      <c r="C13" s="1802"/>
      <c r="D13" s="1802"/>
      <c r="E13" s="1803"/>
      <c r="F13" s="1804"/>
      <c r="G13" s="1804"/>
    </row>
    <row r="14" spans="1:7">
      <c r="A14" s="1566" t="s">
        <v>293</v>
      </c>
      <c r="B14" s="1609">
        <f>SUM(B5:B12)</f>
        <v>14332.7</v>
      </c>
      <c r="C14" s="1609">
        <f>SUM(C5:C12)</f>
        <v>1287.3</v>
      </c>
      <c r="D14" s="1803"/>
      <c r="E14" s="1609">
        <f>SUM(E5:E12)</f>
        <v>1785.8</v>
      </c>
      <c r="F14" s="6655"/>
      <c r="G14" s="6655"/>
    </row>
    <row r="17" spans="1:7" ht="51">
      <c r="A17" s="1566" t="s">
        <v>405</v>
      </c>
      <c r="B17" s="1608" t="s">
        <v>526</v>
      </c>
      <c r="C17" s="1608" t="s">
        <v>527</v>
      </c>
      <c r="D17" s="1608" t="s">
        <v>903</v>
      </c>
      <c r="E17" s="1608" t="s">
        <v>856</v>
      </c>
      <c r="F17" s="6655" t="s">
        <v>246</v>
      </c>
      <c r="G17" s="6655"/>
    </row>
    <row r="18" spans="1:7">
      <c r="A18" s="1566" t="s">
        <v>285</v>
      </c>
      <c r="B18" s="1609">
        <v>0</v>
      </c>
      <c r="C18" s="1566"/>
      <c r="D18" s="1802"/>
      <c r="E18" s="1794"/>
      <c r="F18" s="6655"/>
      <c r="G18" s="6655"/>
    </row>
    <row r="19" spans="1:7">
      <c r="A19" s="1566" t="s">
        <v>286</v>
      </c>
      <c r="B19" s="1609">
        <v>1355.2</v>
      </c>
      <c r="C19" s="1566">
        <v>1355.2</v>
      </c>
      <c r="D19" s="1807"/>
      <c r="E19" s="1797"/>
      <c r="F19" s="6657" t="s">
        <v>250</v>
      </c>
      <c r="G19" s="6658"/>
    </row>
    <row r="20" spans="1:7">
      <c r="A20" s="1566" t="s">
        <v>287</v>
      </c>
      <c r="B20" s="1609">
        <v>93.8</v>
      </c>
      <c r="C20" s="1566"/>
      <c r="D20" s="1802"/>
      <c r="E20" s="1794"/>
      <c r="F20" s="6655"/>
      <c r="G20" s="6655"/>
    </row>
    <row r="21" spans="1:7">
      <c r="A21" s="1566" t="s">
        <v>288</v>
      </c>
      <c r="B21" s="1609">
        <v>0</v>
      </c>
      <c r="C21" s="1566"/>
      <c r="D21" s="1802"/>
      <c r="E21" s="1794"/>
      <c r="F21" s="6655"/>
      <c r="G21" s="6655"/>
    </row>
    <row r="22" spans="1:7">
      <c r="A22" s="1566" t="s">
        <v>289</v>
      </c>
      <c r="B22" s="1609">
        <v>0</v>
      </c>
      <c r="C22" s="1566"/>
      <c r="D22" s="1802"/>
      <c r="E22" s="1794"/>
      <c r="F22" s="6655"/>
      <c r="G22" s="6655"/>
    </row>
    <row r="23" spans="1:7">
      <c r="A23" s="1566" t="s">
        <v>290</v>
      </c>
      <c r="B23" s="1609">
        <v>1153.4000000000001</v>
      </c>
      <c r="C23" s="1566"/>
      <c r="D23" s="1802"/>
      <c r="E23" s="1794"/>
      <c r="F23" s="6655"/>
      <c r="G23" s="6655"/>
    </row>
    <row r="24" spans="1:7">
      <c r="A24" s="1566" t="s">
        <v>291</v>
      </c>
      <c r="B24" s="1609">
        <v>0</v>
      </c>
      <c r="C24" s="1566"/>
      <c r="D24" s="1802"/>
      <c r="E24" s="1794"/>
      <c r="F24" s="6655"/>
      <c r="G24" s="6655"/>
    </row>
    <row r="25" spans="1:7">
      <c r="A25" s="1566" t="s">
        <v>292</v>
      </c>
      <c r="B25" s="1609">
        <v>121.2</v>
      </c>
      <c r="C25" s="1566">
        <v>95.1</v>
      </c>
      <c r="D25" s="1802"/>
      <c r="E25" s="1796">
        <f>B25-C25</f>
        <v>26.100000000000009</v>
      </c>
      <c r="F25" s="6655"/>
      <c r="G25" s="6655"/>
    </row>
    <row r="26" spans="1:7">
      <c r="A26" s="1566" t="s">
        <v>293</v>
      </c>
      <c r="B26" s="1609">
        <f>SUM(B18:B25)</f>
        <v>2723.6</v>
      </c>
      <c r="C26" s="1609">
        <f>SUM(C18:C25)</f>
        <v>1450.3</v>
      </c>
      <c r="D26" s="1803"/>
      <c r="E26" s="1609">
        <f>SUM(E18:E25)</f>
        <v>26.100000000000009</v>
      </c>
      <c r="F26" s="6655"/>
      <c r="G26" s="6655"/>
    </row>
  </sheetData>
  <mergeCells count="21">
    <mergeCell ref="F24:G24"/>
    <mergeCell ref="F25:G25"/>
    <mergeCell ref="F26:G26"/>
    <mergeCell ref="F18:G18"/>
    <mergeCell ref="F19:G19"/>
    <mergeCell ref="F20:G20"/>
    <mergeCell ref="F21:G21"/>
    <mergeCell ref="F22:G22"/>
    <mergeCell ref="F23:G23"/>
    <mergeCell ref="F17:G17"/>
    <mergeCell ref="A3:G3"/>
    <mergeCell ref="F4:G4"/>
    <mergeCell ref="F5:G5"/>
    <mergeCell ref="F6:G6"/>
    <mergeCell ref="F7:G7"/>
    <mergeCell ref="F8:G8"/>
    <mergeCell ref="F9:G9"/>
    <mergeCell ref="F10:G10"/>
    <mergeCell ref="F11:G11"/>
    <mergeCell ref="F12:G12"/>
    <mergeCell ref="F14:G14"/>
  </mergeCells>
  <pageMargins left="0.75" right="0.75" top="1" bottom="1" header="0.5" footer="0.5"/>
  <pageSetup paperSize="9" orientation="landscape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>
  <sheetPr>
    <tabColor rgb="FFFF0000"/>
  </sheetPr>
  <dimension ref="A2:Q56"/>
  <sheetViews>
    <sheetView topLeftCell="A19" workbookViewId="0">
      <selection activeCell="G31" sqref="G31"/>
    </sheetView>
  </sheetViews>
  <sheetFormatPr defaultRowHeight="12.75"/>
  <cols>
    <col min="1" max="1" width="5.7109375" style="347" customWidth="1"/>
    <col min="2" max="2" width="9.140625" style="347"/>
    <col min="3" max="3" width="87.140625" style="347" customWidth="1"/>
    <col min="4" max="6" width="9.28515625" style="347" bestFit="1" customWidth="1"/>
    <col min="7" max="7" width="9.5703125" style="347" bestFit="1" customWidth="1"/>
    <col min="8" max="15" width="9.28515625" style="347" bestFit="1" customWidth="1"/>
    <col min="16" max="16384" width="9.140625" style="347"/>
  </cols>
  <sheetData>
    <row r="2" spans="1:11" ht="23.25">
      <c r="A2" s="6660" t="s">
        <v>454</v>
      </c>
      <c r="B2" s="6660"/>
      <c r="C2" s="6660"/>
      <c r="D2" s="6660"/>
      <c r="E2" s="6660"/>
      <c r="F2" s="6660"/>
      <c r="G2" s="6660"/>
      <c r="H2" s="6660"/>
      <c r="I2" s="6660"/>
      <c r="J2" s="6660"/>
      <c r="K2" s="6660"/>
    </row>
    <row r="4" spans="1:11" ht="15.75">
      <c r="A4" s="6661" t="s">
        <v>361</v>
      </c>
      <c r="B4" s="6661"/>
      <c r="C4" s="6661"/>
      <c r="D4" s="6661"/>
      <c r="E4" s="6661"/>
      <c r="F4" s="6661"/>
      <c r="G4" s="6661"/>
      <c r="H4" s="6661"/>
      <c r="I4" s="6661"/>
      <c r="J4" s="6661"/>
      <c r="K4" s="6661"/>
    </row>
    <row r="5" spans="1:11" ht="18.75">
      <c r="A5" s="5154" t="s">
        <v>455</v>
      </c>
      <c r="B5" s="5154"/>
      <c r="C5" s="5154"/>
      <c r="D5" s="5154"/>
      <c r="E5" s="5154"/>
      <c r="F5" s="5154"/>
      <c r="G5" s="5154"/>
    </row>
    <row r="6" spans="1:11" ht="18">
      <c r="A6" s="348" t="s">
        <v>504</v>
      </c>
    </row>
    <row r="7" spans="1:11" ht="15.75" thickBot="1">
      <c r="A7" s="349" t="s">
        <v>456</v>
      </c>
    </row>
    <row r="8" spans="1:11" ht="13.5" thickBot="1">
      <c r="A8" s="350" t="s">
        <v>175</v>
      </c>
      <c r="B8" s="350" t="s">
        <v>457</v>
      </c>
      <c r="C8" s="350" t="s">
        <v>373</v>
      </c>
      <c r="D8" s="351"/>
      <c r="E8" s="6445" t="s">
        <v>458</v>
      </c>
      <c r="F8" s="6446"/>
      <c r="G8" s="6445" t="s">
        <v>459</v>
      </c>
      <c r="H8" s="6447"/>
      <c r="I8" s="6446"/>
      <c r="J8" s="6448" t="s">
        <v>460</v>
      </c>
      <c r="K8" s="6449"/>
    </row>
    <row r="9" spans="1:11" ht="13.5" thickBot="1">
      <c r="A9" s="354" t="s">
        <v>461</v>
      </c>
      <c r="B9" s="354" t="s">
        <v>462</v>
      </c>
      <c r="C9" s="354" t="s">
        <v>463</v>
      </c>
      <c r="D9" s="355" t="s">
        <v>464</v>
      </c>
      <c r="E9" s="356" t="s">
        <v>465</v>
      </c>
      <c r="F9" s="353" t="s">
        <v>466</v>
      </c>
      <c r="G9" s="354" t="s">
        <v>465</v>
      </c>
      <c r="H9" s="355" t="s">
        <v>467</v>
      </c>
      <c r="I9" s="357" t="s">
        <v>466</v>
      </c>
      <c r="J9" s="6433" t="s">
        <v>468</v>
      </c>
      <c r="K9" s="6434"/>
    </row>
    <row r="10" spans="1:11" ht="13.5" thickBot="1">
      <c r="A10" s="358"/>
      <c r="B10" s="358" t="s">
        <v>469</v>
      </c>
      <c r="C10" s="358"/>
      <c r="D10" s="359"/>
      <c r="E10" s="356" t="s">
        <v>467</v>
      </c>
      <c r="F10" s="357" t="s">
        <v>470</v>
      </c>
      <c r="G10" s="352"/>
      <c r="H10" s="360"/>
      <c r="I10" s="357" t="s">
        <v>470</v>
      </c>
      <c r="J10" s="358" t="s">
        <v>471</v>
      </c>
      <c r="K10" s="359" t="s">
        <v>465</v>
      </c>
    </row>
    <row r="11" spans="1:11" ht="13.5" thickBot="1">
      <c r="A11" s="361"/>
    </row>
    <row r="12" spans="1:11" ht="25.5" customHeight="1" thickBot="1">
      <c r="A12" s="362">
        <v>1</v>
      </c>
      <c r="B12" s="363">
        <v>2</v>
      </c>
      <c r="C12" s="363">
        <v>3</v>
      </c>
      <c r="D12" s="363">
        <v>4</v>
      </c>
      <c r="E12" s="363">
        <v>5</v>
      </c>
      <c r="F12" s="363">
        <v>6</v>
      </c>
      <c r="G12" s="363">
        <v>7</v>
      </c>
      <c r="H12" s="363">
        <v>8</v>
      </c>
      <c r="I12" s="363">
        <v>9</v>
      </c>
      <c r="J12" s="363">
        <v>10</v>
      </c>
      <c r="K12" s="363">
        <v>11</v>
      </c>
    </row>
    <row r="13" spans="1:11" ht="25.5" customHeight="1">
      <c r="A13" s="6441">
        <v>12</v>
      </c>
      <c r="B13" s="6443" t="s">
        <v>472</v>
      </c>
      <c r="C13" s="364" t="s">
        <v>473</v>
      </c>
      <c r="D13" s="365">
        <v>10</v>
      </c>
      <c r="E13" s="366">
        <v>4852.8999999999996</v>
      </c>
      <c r="F13" s="366">
        <v>86.76</v>
      </c>
      <c r="G13" s="6441">
        <v>48529</v>
      </c>
      <c r="H13" s="6441">
        <v>9594</v>
      </c>
      <c r="I13" s="366">
        <v>868</v>
      </c>
      <c r="J13" s="366">
        <v>4.53</v>
      </c>
      <c r="K13" s="366">
        <v>45.3</v>
      </c>
    </row>
    <row r="14" spans="1:11" ht="25.5" customHeight="1" thickBot="1">
      <c r="A14" s="6442"/>
      <c r="B14" s="6444"/>
      <c r="C14" s="367" t="s">
        <v>474</v>
      </c>
      <c r="D14" s="368" t="s">
        <v>475</v>
      </c>
      <c r="E14" s="368">
        <v>959.43</v>
      </c>
      <c r="F14" s="368">
        <v>0</v>
      </c>
      <c r="G14" s="6442"/>
      <c r="H14" s="6442"/>
      <c r="I14" s="368">
        <v>0</v>
      </c>
      <c r="J14" s="368">
        <v>0.1</v>
      </c>
      <c r="K14" s="368">
        <v>1</v>
      </c>
    </row>
    <row r="15" spans="1:11" ht="23.25" customHeight="1">
      <c r="A15" s="6441">
        <v>13</v>
      </c>
      <c r="B15" s="6443" t="s">
        <v>476</v>
      </c>
      <c r="C15" s="369" t="s">
        <v>477</v>
      </c>
      <c r="D15" s="370">
        <v>6</v>
      </c>
      <c r="E15" s="371">
        <v>1489.56</v>
      </c>
      <c r="F15" s="371">
        <v>8.66</v>
      </c>
      <c r="G15" s="6441">
        <v>8937</v>
      </c>
      <c r="H15" s="6441">
        <v>1333</v>
      </c>
      <c r="I15" s="371">
        <v>52</v>
      </c>
      <c r="J15" s="371">
        <v>1.01</v>
      </c>
      <c r="K15" s="371">
        <v>6.06</v>
      </c>
    </row>
    <row r="16" spans="1:11" ht="36" customHeight="1" thickBot="1">
      <c r="A16" s="6442"/>
      <c r="B16" s="6444"/>
      <c r="C16" s="367" t="s">
        <v>474</v>
      </c>
      <c r="D16" s="368" t="s">
        <v>478</v>
      </c>
      <c r="E16" s="368">
        <v>222.23</v>
      </c>
      <c r="F16" s="368">
        <v>0</v>
      </c>
      <c r="G16" s="6442"/>
      <c r="H16" s="6442"/>
      <c r="I16" s="368">
        <v>0</v>
      </c>
      <c r="J16" s="368">
        <v>0.01</v>
      </c>
      <c r="K16" s="368">
        <v>0.06</v>
      </c>
    </row>
    <row r="17" spans="1:11" ht="27" customHeight="1">
      <c r="A17" s="6441">
        <v>14</v>
      </c>
      <c r="B17" s="6443" t="s">
        <v>479</v>
      </c>
      <c r="C17" s="369" t="s">
        <v>480</v>
      </c>
      <c r="D17" s="370">
        <v>6</v>
      </c>
      <c r="E17" s="371">
        <v>2391.5300000000002</v>
      </c>
      <c r="F17" s="371">
        <v>26.07</v>
      </c>
      <c r="G17" s="6441">
        <v>14349</v>
      </c>
      <c r="H17" s="6441">
        <v>2205</v>
      </c>
      <c r="I17" s="371">
        <v>156</v>
      </c>
      <c r="J17" s="371">
        <v>1.67</v>
      </c>
      <c r="K17" s="371">
        <v>10.02</v>
      </c>
    </row>
    <row r="18" spans="1:11" ht="44.25" customHeight="1" thickBot="1">
      <c r="A18" s="6442"/>
      <c r="B18" s="6444"/>
      <c r="C18" s="367" t="s">
        <v>474</v>
      </c>
      <c r="D18" s="368" t="s">
        <v>478</v>
      </c>
      <c r="E18" s="368">
        <v>367.48</v>
      </c>
      <c r="F18" s="368">
        <v>0</v>
      </c>
      <c r="G18" s="6442"/>
      <c r="H18" s="6442"/>
      <c r="I18" s="368">
        <v>0</v>
      </c>
      <c r="J18" s="368">
        <v>0.03</v>
      </c>
      <c r="K18" s="368">
        <v>0.18</v>
      </c>
    </row>
    <row r="19" spans="1:11" ht="28.5" customHeight="1">
      <c r="A19" s="6441">
        <v>15</v>
      </c>
      <c r="B19" s="6443" t="s">
        <v>481</v>
      </c>
      <c r="C19" s="369" t="s">
        <v>482</v>
      </c>
      <c r="D19" s="370">
        <v>5</v>
      </c>
      <c r="E19" s="371">
        <v>2735.83</v>
      </c>
      <c r="F19" s="371">
        <v>26.07</v>
      </c>
      <c r="G19" s="6441">
        <v>13679</v>
      </c>
      <c r="H19" s="6441">
        <v>1870</v>
      </c>
      <c r="I19" s="371">
        <v>130</v>
      </c>
      <c r="J19" s="371">
        <v>1.7</v>
      </c>
      <c r="K19" s="371">
        <v>8.5</v>
      </c>
    </row>
    <row r="20" spans="1:11" ht="42" customHeight="1" thickBot="1">
      <c r="A20" s="6442"/>
      <c r="B20" s="6444"/>
      <c r="C20" s="367" t="s">
        <v>474</v>
      </c>
      <c r="D20" s="368" t="s">
        <v>478</v>
      </c>
      <c r="E20" s="368">
        <v>373.94</v>
      </c>
      <c r="F20" s="368">
        <v>0</v>
      </c>
      <c r="G20" s="6442"/>
      <c r="H20" s="6442"/>
      <c r="I20" s="368">
        <v>0</v>
      </c>
      <c r="J20" s="368">
        <v>0.03</v>
      </c>
      <c r="K20" s="368">
        <v>0.15</v>
      </c>
    </row>
    <row r="21" spans="1:11" ht="33" customHeight="1">
      <c r="A21" s="6441">
        <v>16</v>
      </c>
      <c r="B21" s="6443" t="s">
        <v>483</v>
      </c>
      <c r="C21" s="369" t="s">
        <v>484</v>
      </c>
      <c r="D21" s="370">
        <v>4</v>
      </c>
      <c r="E21" s="371">
        <v>4792.7700000000004</v>
      </c>
      <c r="F21" s="371">
        <v>60.7</v>
      </c>
      <c r="G21" s="6441">
        <v>19171</v>
      </c>
      <c r="H21" s="6441">
        <v>2504</v>
      </c>
      <c r="I21" s="371">
        <v>243</v>
      </c>
      <c r="J21" s="371">
        <v>2.78</v>
      </c>
      <c r="K21" s="371">
        <v>11.12</v>
      </c>
    </row>
    <row r="22" spans="1:11" ht="42" customHeight="1" thickBot="1">
      <c r="A22" s="6442"/>
      <c r="B22" s="6444"/>
      <c r="C22" s="367" t="s">
        <v>474</v>
      </c>
      <c r="D22" s="368" t="s">
        <v>478</v>
      </c>
      <c r="E22" s="368">
        <v>625.96</v>
      </c>
      <c r="F22" s="368">
        <v>0</v>
      </c>
      <c r="G22" s="6442"/>
      <c r="H22" s="6442"/>
      <c r="I22" s="368">
        <v>0</v>
      </c>
      <c r="J22" s="368">
        <v>7.0000000000000007E-2</v>
      </c>
      <c r="K22" s="368">
        <v>0.28000000000000003</v>
      </c>
    </row>
    <row r="23" spans="1:11" ht="30.75" customHeight="1">
      <c r="A23" s="6441">
        <v>17</v>
      </c>
      <c r="B23" s="6443" t="s">
        <v>485</v>
      </c>
      <c r="C23" s="369" t="s">
        <v>486</v>
      </c>
      <c r="D23" s="370">
        <v>4</v>
      </c>
      <c r="E23" s="371">
        <v>7360.92</v>
      </c>
      <c r="F23" s="371">
        <v>479.19</v>
      </c>
      <c r="G23" s="6441">
        <v>29444</v>
      </c>
      <c r="H23" s="6441">
        <v>3583</v>
      </c>
      <c r="I23" s="371">
        <v>1917</v>
      </c>
      <c r="J23" s="371">
        <v>3.93</v>
      </c>
      <c r="K23" s="371">
        <v>15.72</v>
      </c>
    </row>
    <row r="24" spans="1:11" ht="35.25" customHeight="1" thickBot="1">
      <c r="A24" s="6442"/>
      <c r="B24" s="6444"/>
      <c r="C24" s="367" t="s">
        <v>474</v>
      </c>
      <c r="D24" s="368" t="s">
        <v>478</v>
      </c>
      <c r="E24" s="368">
        <v>895.87</v>
      </c>
      <c r="F24" s="368">
        <v>88.64</v>
      </c>
      <c r="G24" s="6442"/>
      <c r="H24" s="6442"/>
      <c r="I24" s="368">
        <v>355</v>
      </c>
      <c r="J24" s="368">
        <v>0.36</v>
      </c>
      <c r="K24" s="368">
        <v>1.44</v>
      </c>
    </row>
    <row r="25" spans="1:11" ht="27.75" customHeight="1">
      <c r="A25" s="6441">
        <v>18</v>
      </c>
      <c r="B25" s="6443" t="s">
        <v>487</v>
      </c>
      <c r="C25" s="369" t="s">
        <v>488</v>
      </c>
      <c r="D25" s="370">
        <v>0.1</v>
      </c>
      <c r="E25" s="371">
        <v>126956.4</v>
      </c>
      <c r="F25" s="371">
        <v>34.729999999999997</v>
      </c>
      <c r="G25" s="6441">
        <v>12696</v>
      </c>
      <c r="H25" s="6441">
        <v>11173</v>
      </c>
      <c r="I25" s="371">
        <v>3</v>
      </c>
      <c r="J25" s="371">
        <v>520.79999999999995</v>
      </c>
      <c r="K25" s="371">
        <v>52.08</v>
      </c>
    </row>
    <row r="26" spans="1:11" ht="40.5" customHeight="1" thickBot="1">
      <c r="A26" s="6442"/>
      <c r="B26" s="6444"/>
      <c r="C26" s="367" t="s">
        <v>474</v>
      </c>
      <c r="D26" s="368" t="s">
        <v>489</v>
      </c>
      <c r="E26" s="368">
        <v>111727.55</v>
      </c>
      <c r="F26" s="368">
        <v>0</v>
      </c>
      <c r="G26" s="6442"/>
      <c r="H26" s="6442"/>
      <c r="I26" s="368">
        <v>0</v>
      </c>
      <c r="J26" s="368">
        <v>0.04</v>
      </c>
      <c r="K26" s="368">
        <v>0</v>
      </c>
    </row>
    <row r="27" spans="1:11" ht="27" customHeight="1">
      <c r="A27" s="6441">
        <v>19</v>
      </c>
      <c r="B27" s="6443" t="s">
        <v>490</v>
      </c>
      <c r="C27" s="369" t="s">
        <v>491</v>
      </c>
      <c r="D27" s="370">
        <v>0.06</v>
      </c>
      <c r="E27" s="371">
        <v>184235.21</v>
      </c>
      <c r="F27" s="371">
        <v>60.7</v>
      </c>
      <c r="G27" s="6441">
        <v>11054</v>
      </c>
      <c r="H27" s="6441">
        <v>9438</v>
      </c>
      <c r="I27" s="371">
        <v>4</v>
      </c>
      <c r="J27" s="371">
        <v>733.2</v>
      </c>
      <c r="K27" s="371">
        <v>43.99</v>
      </c>
    </row>
    <row r="28" spans="1:11" ht="30.75" customHeight="1" thickBot="1">
      <c r="A28" s="6442"/>
      <c r="B28" s="6444"/>
      <c r="C28" s="367" t="s">
        <v>474</v>
      </c>
      <c r="D28" s="368" t="s">
        <v>489</v>
      </c>
      <c r="E28" s="368">
        <v>157294.32999999999</v>
      </c>
      <c r="F28" s="368">
        <v>0</v>
      </c>
      <c r="G28" s="6442"/>
      <c r="H28" s="6442"/>
      <c r="I28" s="368">
        <v>0</v>
      </c>
      <c r="J28" s="368">
        <v>7.0000000000000007E-2</v>
      </c>
      <c r="K28" s="368">
        <v>0</v>
      </c>
    </row>
    <row r="29" spans="1:11" ht="27" customHeight="1">
      <c r="A29" s="6441">
        <v>20</v>
      </c>
      <c r="B29" s="6443" t="s">
        <v>492</v>
      </c>
      <c r="C29" s="369" t="s">
        <v>493</v>
      </c>
      <c r="D29" s="370">
        <v>0.06</v>
      </c>
      <c r="E29" s="371">
        <v>249249.46</v>
      </c>
      <c r="F29" s="371">
        <v>78.11</v>
      </c>
      <c r="G29" s="6441">
        <v>14955</v>
      </c>
      <c r="H29" s="6441">
        <v>12710</v>
      </c>
      <c r="I29" s="371">
        <v>5</v>
      </c>
      <c r="J29" s="371">
        <v>987.4</v>
      </c>
      <c r="K29" s="371">
        <v>59.24</v>
      </c>
    </row>
    <row r="30" spans="1:11" ht="27.75" customHeight="1" thickBot="1">
      <c r="A30" s="6442"/>
      <c r="B30" s="6444"/>
      <c r="C30" s="367" t="s">
        <v>474</v>
      </c>
      <c r="D30" s="368" t="s">
        <v>489</v>
      </c>
      <c r="E30" s="368">
        <v>211828.21</v>
      </c>
      <c r="F30" s="368">
        <v>0</v>
      </c>
      <c r="G30" s="6442"/>
      <c r="H30" s="6442"/>
      <c r="I30" s="368">
        <v>0</v>
      </c>
      <c r="J30" s="368">
        <v>0.09</v>
      </c>
      <c r="K30" s="368">
        <v>0.01</v>
      </c>
    </row>
    <row r="31" spans="1:11">
      <c r="A31" s="6662" t="s">
        <v>494</v>
      </c>
      <c r="B31" s="6662"/>
      <c r="C31" s="6662"/>
      <c r="D31" s="6662"/>
      <c r="E31" s="6662"/>
      <c r="F31" s="6662"/>
      <c r="G31" s="347">
        <f>SUM(G13:G30)</f>
        <v>172814</v>
      </c>
    </row>
    <row r="33" spans="1:11" ht="18.75">
      <c r="A33" s="5154" t="s">
        <v>505</v>
      </c>
      <c r="B33" s="5154"/>
      <c r="C33" s="5154"/>
      <c r="D33" s="5154"/>
      <c r="E33" s="5154"/>
      <c r="F33" s="5154"/>
      <c r="G33" s="5154"/>
      <c r="H33" s="5154"/>
      <c r="I33" s="5154"/>
      <c r="J33" s="5154"/>
      <c r="K33" s="5154"/>
    </row>
    <row r="34" spans="1:11" ht="18">
      <c r="A34" s="6663" t="s">
        <v>506</v>
      </c>
      <c r="B34" s="6663"/>
    </row>
    <row r="35" spans="1:11" ht="15">
      <c r="A35" s="6659" t="s">
        <v>495</v>
      </c>
      <c r="B35" s="6659"/>
      <c r="C35" s="6659"/>
      <c r="D35" s="6659"/>
      <c r="E35" s="6659"/>
      <c r="F35" s="6659"/>
      <c r="G35" s="6659"/>
      <c r="H35" s="6659"/>
      <c r="I35" s="6659"/>
      <c r="J35" s="6659"/>
      <c r="K35" s="6659"/>
    </row>
    <row r="36" spans="1:11" ht="13.5" thickBot="1"/>
    <row r="37" spans="1:11" ht="13.5" thickBot="1">
      <c r="A37" s="350" t="s">
        <v>175</v>
      </c>
      <c r="B37" s="350" t="s">
        <v>457</v>
      </c>
      <c r="C37" s="350" t="s">
        <v>373</v>
      </c>
      <c r="D37" s="351"/>
      <c r="E37" s="6445" t="s">
        <v>458</v>
      </c>
      <c r="F37" s="6446"/>
      <c r="G37" s="6445" t="s">
        <v>459</v>
      </c>
      <c r="H37" s="6447"/>
      <c r="I37" s="6446"/>
      <c r="J37" s="6448" t="s">
        <v>460</v>
      </c>
      <c r="K37" s="6449"/>
    </row>
    <row r="38" spans="1:11" ht="13.5" thickBot="1">
      <c r="A38" s="354" t="s">
        <v>461</v>
      </c>
      <c r="B38" s="354" t="s">
        <v>462</v>
      </c>
      <c r="C38" s="354" t="s">
        <v>463</v>
      </c>
      <c r="D38" s="355" t="s">
        <v>464</v>
      </c>
      <c r="E38" s="356" t="s">
        <v>465</v>
      </c>
      <c r="F38" s="353" t="s">
        <v>466</v>
      </c>
      <c r="G38" s="354" t="s">
        <v>465</v>
      </c>
      <c r="H38" s="355" t="s">
        <v>467</v>
      </c>
      <c r="I38" s="357" t="s">
        <v>466</v>
      </c>
      <c r="J38" s="6433" t="s">
        <v>468</v>
      </c>
      <c r="K38" s="6434"/>
    </row>
    <row r="39" spans="1:11" ht="13.5" thickBot="1">
      <c r="A39" s="358"/>
      <c r="B39" s="358" t="s">
        <v>469</v>
      </c>
      <c r="C39" s="358"/>
      <c r="D39" s="359"/>
      <c r="E39" s="356" t="s">
        <v>467</v>
      </c>
      <c r="F39" s="357" t="s">
        <v>470</v>
      </c>
      <c r="G39" s="352"/>
      <c r="H39" s="360"/>
      <c r="I39" s="357" t="s">
        <v>470</v>
      </c>
      <c r="J39" s="358" t="s">
        <v>471</v>
      </c>
      <c r="K39" s="359" t="s">
        <v>465</v>
      </c>
    </row>
    <row r="40" spans="1:11" ht="13.5" thickBot="1">
      <c r="A40" s="361"/>
    </row>
    <row r="41" spans="1:11" ht="13.5" thickBot="1">
      <c r="A41" s="362">
        <v>1</v>
      </c>
      <c r="B41" s="363">
        <v>2</v>
      </c>
      <c r="C41" s="363">
        <v>3</v>
      </c>
      <c r="D41" s="363">
        <v>4</v>
      </c>
      <c r="E41" s="363">
        <v>5</v>
      </c>
      <c r="F41" s="363">
        <v>6</v>
      </c>
      <c r="G41" s="363">
        <v>7</v>
      </c>
      <c r="H41" s="363">
        <v>8</v>
      </c>
      <c r="I41" s="363">
        <v>9</v>
      </c>
      <c r="J41" s="363">
        <v>10</v>
      </c>
      <c r="K41" s="363">
        <v>11</v>
      </c>
    </row>
    <row r="42" spans="1:11">
      <c r="A42" s="6441">
        <v>9</v>
      </c>
      <c r="B42" s="6443" t="s">
        <v>496</v>
      </c>
      <c r="C42" s="364" t="s">
        <v>497</v>
      </c>
      <c r="D42" s="365">
        <v>15</v>
      </c>
      <c r="E42" s="366">
        <v>3998.08</v>
      </c>
      <c r="F42" s="366">
        <v>719.58</v>
      </c>
      <c r="G42" s="6441">
        <v>59971</v>
      </c>
      <c r="H42" s="6441">
        <v>20034</v>
      </c>
      <c r="I42" s="366">
        <v>10794</v>
      </c>
      <c r="J42" s="366">
        <v>5.86</v>
      </c>
      <c r="K42" s="366">
        <v>87.9</v>
      </c>
    </row>
    <row r="43" spans="1:11" ht="23.25" thickBot="1">
      <c r="A43" s="6442"/>
      <c r="B43" s="6444"/>
      <c r="C43" s="367" t="s">
        <v>474</v>
      </c>
      <c r="D43" s="368" t="s">
        <v>498</v>
      </c>
      <c r="E43" s="368">
        <v>1335.61</v>
      </c>
      <c r="F43" s="368">
        <v>137.56</v>
      </c>
      <c r="G43" s="6442"/>
      <c r="H43" s="6442"/>
      <c r="I43" s="368">
        <v>2063</v>
      </c>
      <c r="J43" s="368">
        <v>0.55000000000000004</v>
      </c>
      <c r="K43" s="368">
        <v>8.25</v>
      </c>
    </row>
    <row r="44" spans="1:11">
      <c r="A44" s="6441">
        <v>10</v>
      </c>
      <c r="B44" s="6443" t="s">
        <v>499</v>
      </c>
      <c r="C44" s="369" t="s">
        <v>500</v>
      </c>
      <c r="D44" s="370">
        <v>12</v>
      </c>
      <c r="E44" s="371">
        <v>8801.24</v>
      </c>
      <c r="F44" s="371">
        <v>896.5</v>
      </c>
      <c r="G44" s="6441">
        <v>105615</v>
      </c>
      <c r="H44" s="6441">
        <v>26805</v>
      </c>
      <c r="I44" s="371">
        <v>10758</v>
      </c>
      <c r="J44" s="371">
        <v>9.8000000000000007</v>
      </c>
      <c r="K44" s="371">
        <v>117.6</v>
      </c>
    </row>
    <row r="45" spans="1:11" ht="23.25" thickBot="1">
      <c r="A45" s="6442"/>
      <c r="B45" s="6444"/>
      <c r="C45" s="367" t="s">
        <v>474</v>
      </c>
      <c r="D45" s="368" t="s">
        <v>498</v>
      </c>
      <c r="E45" s="368">
        <v>2233.71</v>
      </c>
      <c r="F45" s="368">
        <v>137.56</v>
      </c>
      <c r="G45" s="6442"/>
      <c r="H45" s="6442"/>
      <c r="I45" s="368">
        <v>1651</v>
      </c>
      <c r="J45" s="368">
        <v>0.55000000000000004</v>
      </c>
      <c r="K45" s="368">
        <v>6.6</v>
      </c>
    </row>
    <row r="46" spans="1:11">
      <c r="A46" s="6441">
        <v>11</v>
      </c>
      <c r="B46" s="6443" t="s">
        <v>501</v>
      </c>
      <c r="C46" s="369" t="s">
        <v>502</v>
      </c>
      <c r="D46" s="370">
        <v>3</v>
      </c>
      <c r="E46" s="371">
        <v>14344.9</v>
      </c>
      <c r="F46" s="371">
        <v>1108.73</v>
      </c>
      <c r="G46" s="6441">
        <v>43035</v>
      </c>
      <c r="H46" s="6441">
        <v>9232</v>
      </c>
      <c r="I46" s="371">
        <v>3326</v>
      </c>
      <c r="J46" s="371">
        <v>13.5</v>
      </c>
      <c r="K46" s="371">
        <v>40.5</v>
      </c>
    </row>
    <row r="47" spans="1:11" ht="23.25" thickBot="1">
      <c r="A47" s="6442"/>
      <c r="B47" s="6444"/>
      <c r="C47" s="367" t="s">
        <v>474</v>
      </c>
      <c r="D47" s="368" t="s">
        <v>498</v>
      </c>
      <c r="E47" s="368">
        <v>3077.18</v>
      </c>
      <c r="F47" s="368">
        <v>137.56</v>
      </c>
      <c r="G47" s="6442"/>
      <c r="H47" s="6442"/>
      <c r="I47" s="368">
        <v>413</v>
      </c>
      <c r="J47" s="368">
        <v>0.55000000000000004</v>
      </c>
      <c r="K47" s="368">
        <v>1.65</v>
      </c>
    </row>
    <row r="48" spans="1:11">
      <c r="G48" s="347">
        <f>SUM(G46)</f>
        <v>43035</v>
      </c>
    </row>
    <row r="49" spans="3:17">
      <c r="C49" s="347" t="s">
        <v>503</v>
      </c>
      <c r="G49" s="347">
        <f>G31+G48</f>
        <v>215849</v>
      </c>
    </row>
    <row r="54" spans="3:17">
      <c r="D54" s="347">
        <v>1</v>
      </c>
      <c r="E54" s="347">
        <v>2</v>
      </c>
      <c r="F54" s="347">
        <v>3</v>
      </c>
      <c r="G54" s="657">
        <v>4</v>
      </c>
      <c r="H54" s="657">
        <v>5</v>
      </c>
      <c r="I54" s="657">
        <v>6</v>
      </c>
      <c r="J54" s="657">
        <v>7</v>
      </c>
      <c r="K54" s="657">
        <v>8</v>
      </c>
      <c r="L54" s="657">
        <v>9</v>
      </c>
      <c r="M54" s="657">
        <v>10</v>
      </c>
      <c r="N54" s="657">
        <v>11</v>
      </c>
      <c r="O54" s="657">
        <v>12</v>
      </c>
      <c r="P54" t="s">
        <v>54</v>
      </c>
      <c r="Q54" t="s">
        <v>601</v>
      </c>
    </row>
    <row r="55" spans="3:17">
      <c r="C55" t="s">
        <v>617</v>
      </c>
      <c r="D55" s="347">
        <f>SUM(P55*D56)</f>
        <v>0</v>
      </c>
      <c r="E55" s="347">
        <f>SUM(P55*E56)</f>
        <v>0</v>
      </c>
      <c r="F55" s="347">
        <f>SUM(P55*F56)</f>
        <v>0</v>
      </c>
      <c r="G55" s="658">
        <f>SUM(P55*G56)</f>
        <v>5.3962250000000003</v>
      </c>
      <c r="H55" s="658">
        <f>SUM(P55*H56)</f>
        <v>43.169800000000002</v>
      </c>
      <c r="I55" s="347">
        <f>SUM(P55*I56)</f>
        <v>59.358474999999999</v>
      </c>
      <c r="J55" s="347">
        <f>SUM(P55*J56)</f>
        <v>59.358474999999999</v>
      </c>
      <c r="K55" s="658">
        <f>SUM(P55*K56)</f>
        <v>43.169800000000002</v>
      </c>
      <c r="L55" s="658">
        <f>SUM(P55*L56)</f>
        <v>5.3962250000000003</v>
      </c>
      <c r="M55" s="347">
        <f>SUM(P55*M56)</f>
        <v>0</v>
      </c>
      <c r="N55" s="347">
        <f>SUM(P55*N56)</f>
        <v>0</v>
      </c>
      <c r="O55" s="347">
        <f>SUM(P55*O56)</f>
        <v>0</v>
      </c>
      <c r="P55" s="347">
        <f>SUM(G49/1000)</f>
        <v>215.84899999999999</v>
      </c>
      <c r="Q55" s="347">
        <f>SUM(D55:O55)</f>
        <v>215.84899999999999</v>
      </c>
    </row>
    <row r="56" spans="3:17">
      <c r="C56" t="s">
        <v>618</v>
      </c>
      <c r="D56" s="660">
        <v>0</v>
      </c>
      <c r="E56" s="660">
        <v>0</v>
      </c>
      <c r="F56" s="660">
        <v>0</v>
      </c>
      <c r="G56" s="660">
        <v>2.5000000000000001E-2</v>
      </c>
      <c r="H56" s="660">
        <v>0.2</v>
      </c>
      <c r="I56" s="660">
        <v>0.27500000000000002</v>
      </c>
      <c r="J56" s="660">
        <v>0.27500000000000002</v>
      </c>
      <c r="K56" s="660">
        <v>0.2</v>
      </c>
      <c r="L56" s="660">
        <v>2.5000000000000001E-2</v>
      </c>
      <c r="M56" s="660">
        <v>0</v>
      </c>
      <c r="N56" s="660">
        <v>0</v>
      </c>
      <c r="O56" s="660">
        <v>0</v>
      </c>
      <c r="P56" s="659">
        <f>SUM(D56:O56)</f>
        <v>1</v>
      </c>
    </row>
  </sheetData>
  <sheetProtection sheet="1" objects="1" scenarios="1"/>
  <mergeCells count="63">
    <mergeCell ref="A46:A47"/>
    <mergeCell ref="B46:B47"/>
    <mergeCell ref="G46:G47"/>
    <mergeCell ref="H46:H47"/>
    <mergeCell ref="A44:A45"/>
    <mergeCell ref="B44:B45"/>
    <mergeCell ref="G44:G45"/>
    <mergeCell ref="H44:H45"/>
    <mergeCell ref="J38:K38"/>
    <mergeCell ref="A42:A43"/>
    <mergeCell ref="B42:B43"/>
    <mergeCell ref="G42:G43"/>
    <mergeCell ref="H42:H43"/>
    <mergeCell ref="A2:K2"/>
    <mergeCell ref="A4:K4"/>
    <mergeCell ref="A31:F31"/>
    <mergeCell ref="A33:K33"/>
    <mergeCell ref="A34:B34"/>
    <mergeCell ref="J8:K8"/>
    <mergeCell ref="J9:K9"/>
    <mergeCell ref="A13:A14"/>
    <mergeCell ref="B13:B14"/>
    <mergeCell ref="G13:G14"/>
    <mergeCell ref="H13:H14"/>
    <mergeCell ref="A25:A26"/>
    <mergeCell ref="B25:B26"/>
    <mergeCell ref="G25:G26"/>
    <mergeCell ref="H25:H26"/>
    <mergeCell ref="A27:A28"/>
    <mergeCell ref="A35:K35"/>
    <mergeCell ref="E37:F37"/>
    <mergeCell ref="G37:I37"/>
    <mergeCell ref="J37:K37"/>
    <mergeCell ref="A29:A30"/>
    <mergeCell ref="B29:B30"/>
    <mergeCell ref="G29:G30"/>
    <mergeCell ref="H29:H30"/>
    <mergeCell ref="B27:B28"/>
    <mergeCell ref="G27:G28"/>
    <mergeCell ref="H27:H28"/>
    <mergeCell ref="A21:A22"/>
    <mergeCell ref="B21:B22"/>
    <mergeCell ref="G21:G22"/>
    <mergeCell ref="H21:H22"/>
    <mergeCell ref="A23:A24"/>
    <mergeCell ref="B23:B24"/>
    <mergeCell ref="G23:G24"/>
    <mergeCell ref="H23:H24"/>
    <mergeCell ref="A17:A18"/>
    <mergeCell ref="B17:B18"/>
    <mergeCell ref="G17:G18"/>
    <mergeCell ref="H17:H18"/>
    <mergeCell ref="A19:A20"/>
    <mergeCell ref="B19:B20"/>
    <mergeCell ref="G19:G20"/>
    <mergeCell ref="H19:H20"/>
    <mergeCell ref="A5:G5"/>
    <mergeCell ref="E8:F8"/>
    <mergeCell ref="G8:I8"/>
    <mergeCell ref="A15:A16"/>
    <mergeCell ref="B15:B16"/>
    <mergeCell ref="G15:G16"/>
    <mergeCell ref="H15:H16"/>
  </mergeCells>
  <phoneticPr fontId="9" type="noConversion"/>
  <printOptions horizontalCentered="1"/>
  <pageMargins left="0.15748031496062992" right="0.15748031496062992" top="0.59055118110236227" bottom="0.59055118110236227" header="0.51181102362204722" footer="0.51181102362204722"/>
  <pageSetup paperSize="9" scale="43"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2:Q26"/>
  <sheetViews>
    <sheetView workbookViewId="0">
      <selection activeCell="J11" sqref="J11"/>
    </sheetView>
  </sheetViews>
  <sheetFormatPr defaultRowHeight="12.75"/>
  <cols>
    <col min="3" max="3" width="77.28515625" customWidth="1"/>
  </cols>
  <sheetData>
    <row r="2" spans="1:14" ht="18.75">
      <c r="A2" s="5154" t="s">
        <v>523</v>
      </c>
      <c r="B2" s="5154"/>
      <c r="C2" s="5154"/>
      <c r="D2" s="5154"/>
      <c r="E2" s="5154"/>
    </row>
    <row r="3" spans="1:14" ht="18">
      <c r="A3" s="6663" t="s">
        <v>504</v>
      </c>
      <c r="B3" s="6663"/>
    </row>
    <row r="4" spans="1:14" ht="15">
      <c r="A4" s="6659" t="s">
        <v>507</v>
      </c>
      <c r="B4" s="6659"/>
      <c r="C4" s="6659"/>
      <c r="D4" s="6659"/>
      <c r="E4" s="6659"/>
      <c r="F4" s="6659"/>
      <c r="G4" s="6659"/>
      <c r="H4" s="6659"/>
      <c r="I4" s="6659"/>
      <c r="J4" s="6659"/>
      <c r="K4" s="6659"/>
      <c r="L4" s="6659"/>
      <c r="M4" s="6659"/>
      <c r="N4" s="6659"/>
    </row>
    <row r="5" spans="1:14" ht="13.5" thickBot="1"/>
    <row r="6" spans="1:14" ht="23.25" customHeight="1">
      <c r="A6" s="6441">
        <v>6</v>
      </c>
      <c r="B6" s="6443" t="s">
        <v>472</v>
      </c>
      <c r="C6" s="364" t="s">
        <v>473</v>
      </c>
      <c r="D6" s="365">
        <v>8</v>
      </c>
      <c r="E6" s="366">
        <v>7034.2</v>
      </c>
      <c r="F6" s="366">
        <v>95.14</v>
      </c>
      <c r="G6" s="6441">
        <v>56274</v>
      </c>
      <c r="H6" s="6441">
        <v>7675</v>
      </c>
      <c r="I6" s="366">
        <v>761</v>
      </c>
      <c r="J6" s="366">
        <v>4.53</v>
      </c>
      <c r="K6" s="366">
        <v>36.24</v>
      </c>
    </row>
    <row r="7" spans="1:14" ht="39" customHeight="1" thickBot="1">
      <c r="A7" s="6442"/>
      <c r="B7" s="6444"/>
      <c r="C7" s="367" t="s">
        <v>508</v>
      </c>
      <c r="D7" s="368" t="s">
        <v>475</v>
      </c>
      <c r="E7" s="368">
        <v>959.43</v>
      </c>
      <c r="F7" s="368">
        <v>0</v>
      </c>
      <c r="G7" s="6442"/>
      <c r="H7" s="6442"/>
      <c r="I7" s="368">
        <v>0</v>
      </c>
      <c r="J7" s="368">
        <v>0.1</v>
      </c>
      <c r="K7" s="368">
        <v>0.8</v>
      </c>
    </row>
    <row r="8" spans="1:14" ht="18.75" customHeight="1">
      <c r="A8" s="6441">
        <v>7</v>
      </c>
      <c r="B8" s="6443" t="s">
        <v>509</v>
      </c>
      <c r="C8" s="369" t="s">
        <v>510</v>
      </c>
      <c r="D8" s="370">
        <v>0.5</v>
      </c>
      <c r="E8" s="371">
        <v>85720.87</v>
      </c>
      <c r="F8" s="371">
        <v>9062.94</v>
      </c>
      <c r="G8" s="6441">
        <v>42860</v>
      </c>
      <c r="H8" s="6441">
        <v>9892</v>
      </c>
      <c r="I8" s="371">
        <v>4531</v>
      </c>
      <c r="J8" s="371">
        <v>95.88</v>
      </c>
      <c r="K8" s="371">
        <v>47.94</v>
      </c>
    </row>
    <row r="9" spans="1:14">
      <c r="A9" s="6466"/>
      <c r="B9" s="6467"/>
      <c r="C9" s="369" t="s">
        <v>511</v>
      </c>
      <c r="D9" s="371" t="s">
        <v>512</v>
      </c>
      <c r="E9" s="371">
        <v>19783.650000000001</v>
      </c>
      <c r="F9" s="371">
        <v>2411.09</v>
      </c>
      <c r="G9" s="6466"/>
      <c r="H9" s="6466"/>
      <c r="I9" s="371">
        <v>1206</v>
      </c>
      <c r="J9" s="371">
        <v>7.81</v>
      </c>
      <c r="K9" s="371">
        <v>3.91</v>
      </c>
    </row>
    <row r="10" spans="1:14" ht="36.75" customHeight="1" thickBot="1">
      <c r="A10" s="6442"/>
      <c r="B10" s="6444"/>
      <c r="C10" s="367" t="s">
        <v>513</v>
      </c>
      <c r="D10" s="372"/>
      <c r="E10" s="372"/>
      <c r="F10" s="372"/>
      <c r="G10" s="6442"/>
      <c r="H10" s="6442"/>
      <c r="I10" s="372"/>
      <c r="J10" s="372"/>
      <c r="K10" s="372"/>
    </row>
    <row r="11" spans="1:14" ht="21" customHeight="1">
      <c r="A11" s="6441">
        <v>8</v>
      </c>
      <c r="B11" s="6443" t="s">
        <v>514</v>
      </c>
      <c r="C11" s="369" t="s">
        <v>515</v>
      </c>
      <c r="D11" s="370">
        <v>3.5</v>
      </c>
      <c r="E11" s="371">
        <v>14195.77</v>
      </c>
      <c r="F11" s="371">
        <v>322.83</v>
      </c>
      <c r="G11" s="6441">
        <v>49685</v>
      </c>
      <c r="H11" s="6441">
        <v>27133</v>
      </c>
      <c r="I11" s="371">
        <v>1130</v>
      </c>
      <c r="J11" s="371">
        <v>38.93</v>
      </c>
      <c r="K11" s="371">
        <v>136.25</v>
      </c>
    </row>
    <row r="12" spans="1:14">
      <c r="A12" s="6466"/>
      <c r="B12" s="6467"/>
      <c r="C12" s="369" t="s">
        <v>516</v>
      </c>
      <c r="D12" s="371" t="s">
        <v>517</v>
      </c>
      <c r="E12" s="371">
        <v>7752.25</v>
      </c>
      <c r="F12" s="371">
        <v>133.34</v>
      </c>
      <c r="G12" s="6466"/>
      <c r="H12" s="6466"/>
      <c r="I12" s="371">
        <v>467</v>
      </c>
      <c r="J12" s="371">
        <v>0.43</v>
      </c>
      <c r="K12" s="371">
        <v>1.51</v>
      </c>
    </row>
    <row r="13" spans="1:14" ht="32.25" customHeight="1" thickBot="1">
      <c r="A13" s="6442"/>
      <c r="B13" s="6444"/>
      <c r="C13" s="367" t="s">
        <v>513</v>
      </c>
      <c r="D13" s="372"/>
      <c r="E13" s="372"/>
      <c r="F13" s="372"/>
      <c r="G13" s="6442"/>
      <c r="H13" s="6442"/>
      <c r="I13" s="372"/>
      <c r="J13" s="372"/>
      <c r="K13" s="372"/>
    </row>
    <row r="14" spans="1:14" ht="16.5" customHeight="1">
      <c r="A14" s="6441">
        <v>9</v>
      </c>
      <c r="B14" s="6443" t="s">
        <v>518</v>
      </c>
      <c r="C14" s="369" t="s">
        <v>519</v>
      </c>
      <c r="D14" s="370">
        <v>2.5</v>
      </c>
      <c r="E14" s="371">
        <v>17321.98</v>
      </c>
      <c r="F14" s="371">
        <v>57.06</v>
      </c>
      <c r="G14" s="6441">
        <v>43305</v>
      </c>
      <c r="H14" s="6441">
        <v>18348</v>
      </c>
      <c r="I14" s="371">
        <v>143</v>
      </c>
      <c r="J14" s="371">
        <v>34.65</v>
      </c>
      <c r="K14" s="371">
        <v>86.63</v>
      </c>
    </row>
    <row r="15" spans="1:14">
      <c r="A15" s="6466"/>
      <c r="B15" s="6467"/>
      <c r="C15" s="369" t="s">
        <v>516</v>
      </c>
      <c r="D15" s="371" t="s">
        <v>512</v>
      </c>
      <c r="E15" s="371">
        <v>7339</v>
      </c>
      <c r="F15" s="371">
        <v>0</v>
      </c>
      <c r="G15" s="6466"/>
      <c r="H15" s="6466"/>
      <c r="I15" s="371">
        <v>0</v>
      </c>
      <c r="J15" s="371">
        <v>0.06</v>
      </c>
      <c r="K15" s="371">
        <v>0.15</v>
      </c>
    </row>
    <row r="16" spans="1:14" ht="31.5" customHeight="1" thickBot="1">
      <c r="A16" s="6442"/>
      <c r="B16" s="6444"/>
      <c r="C16" s="367" t="s">
        <v>513</v>
      </c>
      <c r="D16" s="372"/>
      <c r="E16" s="372"/>
      <c r="F16" s="372"/>
      <c r="G16" s="6442"/>
      <c r="H16" s="6442"/>
      <c r="I16" s="372"/>
      <c r="J16" s="372"/>
      <c r="K16" s="372"/>
    </row>
    <row r="17" spans="1:17" ht="21" customHeight="1">
      <c r="A17" s="6441">
        <v>10</v>
      </c>
      <c r="B17" s="6443" t="s">
        <v>520</v>
      </c>
      <c r="C17" s="369" t="s">
        <v>521</v>
      </c>
      <c r="D17" s="370">
        <v>0.97</v>
      </c>
      <c r="E17" s="371">
        <v>174645.03</v>
      </c>
      <c r="F17" s="371">
        <v>141672.79</v>
      </c>
      <c r="G17" s="6441">
        <v>169406</v>
      </c>
      <c r="H17" s="6441">
        <v>30684</v>
      </c>
      <c r="I17" s="371">
        <v>137423</v>
      </c>
      <c r="J17" s="371">
        <v>130.53</v>
      </c>
      <c r="K17" s="371">
        <v>126.61</v>
      </c>
    </row>
    <row r="18" spans="1:17" ht="35.25" customHeight="1" thickBot="1">
      <c r="A18" s="6442"/>
      <c r="B18" s="6444"/>
      <c r="C18" s="367" t="s">
        <v>508</v>
      </c>
      <c r="D18" s="368" t="s">
        <v>522</v>
      </c>
      <c r="E18" s="368">
        <v>31632.68</v>
      </c>
      <c r="F18" s="368">
        <v>9984.64</v>
      </c>
      <c r="G18" s="6442"/>
      <c r="H18" s="6442"/>
      <c r="I18" s="368">
        <v>9685</v>
      </c>
      <c r="J18" s="368">
        <v>47.81</v>
      </c>
      <c r="K18" s="368">
        <v>46.38</v>
      </c>
    </row>
    <row r="19" spans="1:17">
      <c r="G19">
        <f>SUM(G6:G18)</f>
        <v>361530</v>
      </c>
    </row>
    <row r="23" spans="1:17">
      <c r="A23" s="347"/>
      <c r="B23" s="347"/>
      <c r="C23" s="347"/>
      <c r="D23" s="347">
        <v>1</v>
      </c>
      <c r="E23" s="347">
        <v>2</v>
      </c>
      <c r="F23" s="347">
        <v>3</v>
      </c>
      <c r="G23" s="657">
        <v>4</v>
      </c>
      <c r="H23" s="657">
        <v>5</v>
      </c>
      <c r="I23" s="657">
        <v>6</v>
      </c>
      <c r="J23" s="657">
        <v>7</v>
      </c>
      <c r="K23" s="657">
        <v>8</v>
      </c>
      <c r="L23" s="657">
        <v>9</v>
      </c>
      <c r="M23" s="657">
        <v>10</v>
      </c>
      <c r="N23" s="657">
        <v>11</v>
      </c>
      <c r="O23" s="657">
        <v>12</v>
      </c>
      <c r="P23" t="s">
        <v>54</v>
      </c>
      <c r="Q23" t="s">
        <v>601</v>
      </c>
    </row>
    <row r="24" spans="1:17">
      <c r="A24" s="347"/>
      <c r="B24" s="347"/>
      <c r="C24" t="s">
        <v>617</v>
      </c>
      <c r="D24" s="347">
        <f>SUM(P24*D25)</f>
        <v>0</v>
      </c>
      <c r="E24" s="347">
        <f>SUM(P24*E25)</f>
        <v>0</v>
      </c>
      <c r="F24" s="347">
        <f>SUM(P24*F25)</f>
        <v>0</v>
      </c>
      <c r="G24" s="658">
        <f>SUM(P24*G25)</f>
        <v>9.0382499999999997</v>
      </c>
      <c r="H24" s="658">
        <f>SUM(P24*H25)</f>
        <v>72.305999999999997</v>
      </c>
      <c r="I24" s="347">
        <f>SUM(P24*I25)</f>
        <v>99.420749999999998</v>
      </c>
      <c r="J24" s="347">
        <f>SUM(P24*J25)</f>
        <v>99.420749999999998</v>
      </c>
      <c r="K24" s="658">
        <f>SUM(P24*K25)</f>
        <v>72.305999999999997</v>
      </c>
      <c r="L24" s="658">
        <f>SUM(P24*L25)</f>
        <v>9.0382499999999997</v>
      </c>
      <c r="M24" s="347">
        <f>SUM(P24*M25)</f>
        <v>0</v>
      </c>
      <c r="N24" s="347">
        <f>SUM(P24*N25)</f>
        <v>0</v>
      </c>
      <c r="O24" s="347">
        <f>SUM(P24*O25)</f>
        <v>0</v>
      </c>
      <c r="P24" s="347">
        <f>SUM(G19/1000)</f>
        <v>361.53</v>
      </c>
      <c r="Q24" s="347">
        <f>SUM(D24:O24)</f>
        <v>361.53</v>
      </c>
    </row>
    <row r="25" spans="1:17">
      <c r="A25" s="347"/>
      <c r="B25" s="347"/>
      <c r="C25" t="s">
        <v>618</v>
      </c>
      <c r="D25" s="660">
        <v>0</v>
      </c>
      <c r="E25" s="660">
        <v>0</v>
      </c>
      <c r="F25" s="660">
        <v>0</v>
      </c>
      <c r="G25" s="660">
        <v>2.5000000000000001E-2</v>
      </c>
      <c r="H25" s="660">
        <v>0.2</v>
      </c>
      <c r="I25" s="660">
        <v>0.27500000000000002</v>
      </c>
      <c r="J25" s="660">
        <v>0.27500000000000002</v>
      </c>
      <c r="K25" s="660">
        <v>0.2</v>
      </c>
      <c r="L25" s="660">
        <v>2.5000000000000001E-2</v>
      </c>
      <c r="M25" s="660">
        <v>0</v>
      </c>
      <c r="N25" s="660">
        <v>0</v>
      </c>
      <c r="O25" s="660">
        <v>0</v>
      </c>
      <c r="P25" s="659">
        <f>SUM(D25:O25)</f>
        <v>1</v>
      </c>
      <c r="Q25" s="347"/>
    </row>
    <row r="26" spans="1:17">
      <c r="A26" s="347"/>
      <c r="B26" s="347"/>
      <c r="C26" s="347"/>
      <c r="D26" s="347"/>
      <c r="E26" s="347"/>
      <c r="F26" s="347"/>
      <c r="G26" s="347"/>
      <c r="H26" s="347"/>
      <c r="I26" s="347"/>
      <c r="J26" s="347"/>
      <c r="K26" s="347"/>
      <c r="L26" s="347"/>
      <c r="M26" s="347"/>
      <c r="N26" s="347"/>
      <c r="O26" s="347"/>
      <c r="P26" s="347"/>
      <c r="Q26" s="347"/>
    </row>
  </sheetData>
  <sheetProtection sheet="1" objects="1" scenarios="1"/>
  <mergeCells count="23">
    <mergeCell ref="A14:A16"/>
    <mergeCell ref="B14:B16"/>
    <mergeCell ref="G14:G16"/>
    <mergeCell ref="H14:H16"/>
    <mergeCell ref="A17:A18"/>
    <mergeCell ref="B17:B18"/>
    <mergeCell ref="G17:G18"/>
    <mergeCell ref="H17:H18"/>
    <mergeCell ref="A8:A10"/>
    <mergeCell ref="B8:B10"/>
    <mergeCell ref="G8:G10"/>
    <mergeCell ref="H8:H10"/>
    <mergeCell ref="A11:A13"/>
    <mergeCell ref="B11:B13"/>
    <mergeCell ref="G11:G13"/>
    <mergeCell ref="H11:H13"/>
    <mergeCell ref="A3:B3"/>
    <mergeCell ref="A2:E2"/>
    <mergeCell ref="A4:N4"/>
    <mergeCell ref="A6:A7"/>
    <mergeCell ref="B6:B7"/>
    <mergeCell ref="G6:G7"/>
    <mergeCell ref="H6:H7"/>
  </mergeCells>
  <phoneticPr fontId="9" type="noConversion"/>
  <printOptions horizontalCentered="1"/>
  <pageMargins left="0.35433070866141736" right="0.35433070866141736" top="0.59055118110236227" bottom="0.59055118110236227" header="0.51181102362204722" footer="0.51181102362204722"/>
  <pageSetup paperSize="9" scale="72" orientation="landscape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>
  <sheetPr>
    <tabColor rgb="FFFF0000"/>
  </sheetPr>
  <dimension ref="A3:P32"/>
  <sheetViews>
    <sheetView view="pageBreakPreview" zoomScale="70" zoomScaleSheetLayoutView="70" workbookViewId="0">
      <selection activeCell="K21" sqref="K21"/>
    </sheetView>
  </sheetViews>
  <sheetFormatPr defaultRowHeight="15"/>
  <cols>
    <col min="1" max="1" width="26.28515625" style="193" customWidth="1"/>
    <col min="2" max="2" width="18.28515625" style="193" customWidth="1"/>
    <col min="3" max="3" width="12.85546875" style="193" customWidth="1"/>
    <col min="4" max="4" width="14.28515625" style="193" customWidth="1"/>
    <col min="5" max="6" width="15.5703125" style="193" customWidth="1"/>
    <col min="7" max="7" width="12.7109375" style="193" customWidth="1"/>
    <col min="8" max="8" width="20.5703125" style="193" customWidth="1"/>
    <col min="9" max="10" width="15.140625" style="193" customWidth="1"/>
    <col min="11" max="11" width="15.85546875" style="193" customWidth="1"/>
    <col min="12" max="12" width="15.42578125" style="193" customWidth="1"/>
    <col min="13" max="13" width="12.5703125" style="193" customWidth="1"/>
    <col min="14" max="14" width="15.5703125" style="193" customWidth="1"/>
    <col min="15" max="15" width="11.28515625" style="193" customWidth="1"/>
    <col min="16" max="16" width="13.5703125" style="193" customWidth="1"/>
    <col min="17" max="16384" width="9.140625" style="193"/>
  </cols>
  <sheetData>
    <row r="3" spans="1:16">
      <c r="A3" s="6664" t="s">
        <v>336</v>
      </c>
      <c r="B3" s="6664"/>
      <c r="C3" s="6664"/>
      <c r="D3" s="6664"/>
      <c r="E3" s="6664"/>
      <c r="F3" s="6664"/>
      <c r="G3" s="6664"/>
      <c r="H3" s="6664"/>
      <c r="I3" s="6664"/>
      <c r="J3" s="6664"/>
      <c r="K3" s="6664"/>
    </row>
    <row r="4" spans="1:16">
      <c r="A4" s="192"/>
      <c r="B4" s="192"/>
      <c r="C4" s="192"/>
      <c r="D4" s="192"/>
      <c r="E4" s="192"/>
      <c r="F4" s="192"/>
      <c r="G4" s="192"/>
      <c r="H4" s="192"/>
      <c r="I4" s="192"/>
      <c r="J4" s="192"/>
      <c r="K4" s="192"/>
    </row>
    <row r="5" spans="1:16">
      <c r="A5" s="194" t="s">
        <v>337</v>
      </c>
      <c r="B5" s="195"/>
      <c r="C5" s="195"/>
      <c r="D5" s="195"/>
      <c r="E5" s="195"/>
      <c r="F5" s="195"/>
      <c r="G5" s="195"/>
      <c r="H5" s="195"/>
      <c r="I5" s="195"/>
      <c r="J5" s="195"/>
      <c r="K5" s="195"/>
    </row>
    <row r="6" spans="1:16" ht="15.75" thickBot="1">
      <c r="A6" s="194"/>
      <c r="B6" s="195"/>
      <c r="C6" s="195"/>
      <c r="D6" s="195"/>
      <c r="E6" s="195"/>
      <c r="F6" s="195"/>
      <c r="G6" s="195"/>
      <c r="H6" s="195"/>
      <c r="I6" s="195"/>
      <c r="J6" s="195"/>
      <c r="K6" s="195"/>
    </row>
    <row r="7" spans="1:16">
      <c r="A7" s="6668" t="s">
        <v>338</v>
      </c>
      <c r="B7" s="6670" t="s">
        <v>339</v>
      </c>
      <c r="C7" s="6672" t="s">
        <v>340</v>
      </c>
      <c r="D7" s="6672"/>
      <c r="E7" s="6672"/>
      <c r="F7" s="6672"/>
      <c r="G7" s="6665" t="s">
        <v>341</v>
      </c>
      <c r="H7" s="6666"/>
      <c r="I7" s="6666"/>
      <c r="J7" s="6666"/>
      <c r="K7" s="6667"/>
      <c r="L7" s="6665" t="s">
        <v>342</v>
      </c>
      <c r="M7" s="6666"/>
      <c r="N7" s="6666"/>
      <c r="O7" s="6666"/>
      <c r="P7" s="6667"/>
    </row>
    <row r="8" spans="1:16" ht="60.75" thickBot="1">
      <c r="A8" s="6669"/>
      <c r="B8" s="6671"/>
      <c r="C8" s="196" t="s">
        <v>343</v>
      </c>
      <c r="D8" s="197" t="s">
        <v>344</v>
      </c>
      <c r="E8" s="198" t="s">
        <v>345</v>
      </c>
      <c r="F8" s="199" t="s">
        <v>346</v>
      </c>
      <c r="G8" s="200" t="s">
        <v>343</v>
      </c>
      <c r="H8" s="198" t="s">
        <v>347</v>
      </c>
      <c r="I8" s="198" t="s">
        <v>345</v>
      </c>
      <c r="J8" s="198" t="s">
        <v>346</v>
      </c>
      <c r="K8" s="201" t="s">
        <v>348</v>
      </c>
      <c r="L8" s="200" t="s">
        <v>343</v>
      </c>
      <c r="M8" s="198" t="s">
        <v>347</v>
      </c>
      <c r="N8" s="198" t="s">
        <v>345</v>
      </c>
      <c r="O8" s="198" t="s">
        <v>346</v>
      </c>
      <c r="P8" s="201" t="s">
        <v>348</v>
      </c>
    </row>
    <row r="9" spans="1:16">
      <c r="A9" s="202" t="s">
        <v>349</v>
      </c>
      <c r="B9" s="203" t="s">
        <v>350</v>
      </c>
      <c r="C9" s="204">
        <f>4.891</f>
        <v>4.891</v>
      </c>
      <c r="D9" s="205">
        <v>21.09</v>
      </c>
      <c r="E9" s="206">
        <f>C9*D9*3</f>
        <v>309.45357000000001</v>
      </c>
      <c r="F9" s="207">
        <f t="shared" ref="F9:F15" si="0">E9/$E$16*100</f>
        <v>7.0756249859786209</v>
      </c>
      <c r="G9" s="208">
        <v>4.7510000000000003</v>
      </c>
      <c r="H9" s="205">
        <v>22.59</v>
      </c>
      <c r="I9" s="206">
        <f>G9*H9*3</f>
        <v>321.97527000000002</v>
      </c>
      <c r="J9" s="209">
        <f t="shared" ref="J9:J15" si="1">I9/$I$16*100</f>
        <v>6.4865597299422166</v>
      </c>
      <c r="K9" s="210">
        <f t="shared" ref="K9:K16" si="2">I9/E9*100</f>
        <v>104.04639054576104</v>
      </c>
      <c r="L9" s="208">
        <f>G9</f>
        <v>4.7510000000000003</v>
      </c>
      <c r="M9" s="205">
        <f>вода!Z68*1.18</f>
        <v>26.740876799999999</v>
      </c>
      <c r="N9" s="206">
        <f>L9*M9*3</f>
        <v>381.13771703040004</v>
      </c>
      <c r="O9" s="209">
        <f t="shared" ref="O9:O15" si="3">N9/$N$16*100</f>
        <v>7.289571523132123</v>
      </c>
      <c r="P9" s="211">
        <f t="shared" ref="P9:P16" si="4">N9/I9</f>
        <v>1.1837484196547146</v>
      </c>
    </row>
    <row r="10" spans="1:16">
      <c r="A10" s="212" t="s">
        <v>351</v>
      </c>
      <c r="B10" s="213" t="s">
        <v>350</v>
      </c>
      <c r="C10" s="214">
        <f>8.156</f>
        <v>8.1560000000000006</v>
      </c>
      <c r="D10" s="205">
        <v>17.07</v>
      </c>
      <c r="E10" s="215">
        <f>C10*D10*3</f>
        <v>417.66876000000002</v>
      </c>
      <c r="F10" s="207">
        <f t="shared" si="0"/>
        <v>9.5499545024434784</v>
      </c>
      <c r="G10" s="216">
        <f>8.156</f>
        <v>8.1560000000000006</v>
      </c>
      <c r="H10" s="205">
        <v>18.29</v>
      </c>
      <c r="I10" s="215">
        <f>G10*H10*3</f>
        <v>447.51972000000001</v>
      </c>
      <c r="J10" s="209">
        <f t="shared" si="1"/>
        <v>9.0157961327496245</v>
      </c>
      <c r="K10" s="210">
        <f t="shared" si="2"/>
        <v>107.14704159343877</v>
      </c>
      <c r="L10" s="216">
        <f>8.156</f>
        <v>8.1560000000000006</v>
      </c>
      <c r="M10" s="205">
        <f>вода!Z75*1.18</f>
        <v>21.655359999999998</v>
      </c>
      <c r="N10" s="215">
        <f>L10*M10*3</f>
        <v>529.86334848000001</v>
      </c>
      <c r="O10" s="209">
        <f t="shared" si="3"/>
        <v>10.134071238935306</v>
      </c>
      <c r="P10" s="211">
        <f t="shared" si="4"/>
        <v>1.1839999999999999</v>
      </c>
    </row>
    <row r="11" spans="1:16">
      <c r="A11" s="212" t="s">
        <v>352</v>
      </c>
      <c r="B11" s="213" t="s">
        <v>353</v>
      </c>
      <c r="C11" s="214">
        <v>2.5613E-2</v>
      </c>
      <c r="D11" s="217">
        <v>1744.04</v>
      </c>
      <c r="E11" s="215">
        <f>C11*D11*54</f>
        <v>2412.1852120799999</v>
      </c>
      <c r="F11" s="207">
        <f t="shared" si="0"/>
        <v>55.154374071048473</v>
      </c>
      <c r="G11" s="216">
        <v>2.5613E-2</v>
      </c>
      <c r="H11" s="217">
        <v>2003.64</v>
      </c>
      <c r="I11" s="215">
        <f>G11*H11*54</f>
        <v>2771.2384912799998</v>
      </c>
      <c r="J11" s="209">
        <f t="shared" si="1"/>
        <v>55.82976605502239</v>
      </c>
      <c r="K11" s="210">
        <f t="shared" si="2"/>
        <v>114.8849797023004</v>
      </c>
      <c r="L11" s="216">
        <v>2.5613E-2</v>
      </c>
      <c r="M11" s="217">
        <f>H11*1.015</f>
        <v>2033.6945999999998</v>
      </c>
      <c r="N11" s="215">
        <f>L11*M11*54</f>
        <v>2812.8070686492001</v>
      </c>
      <c r="O11" s="209">
        <f t="shared" si="3"/>
        <v>53.797242811459967</v>
      </c>
      <c r="P11" s="211">
        <f t="shared" si="4"/>
        <v>1.0150000000000001</v>
      </c>
    </row>
    <row r="12" spans="1:16">
      <c r="A12" s="212" t="s">
        <v>354</v>
      </c>
      <c r="B12" s="213" t="s">
        <v>355</v>
      </c>
      <c r="C12" s="214">
        <v>6.6209000000000004E-2</v>
      </c>
      <c r="D12" s="217">
        <v>1744.04</v>
      </c>
      <c r="E12" s="215">
        <f>C12*D12*3</f>
        <v>346.41343308</v>
      </c>
      <c r="F12" s="207">
        <f t="shared" si="0"/>
        <v>7.9207085656807283</v>
      </c>
      <c r="G12" s="216">
        <f>C12</f>
        <v>6.6209000000000004E-2</v>
      </c>
      <c r="H12" s="217">
        <v>2003.64</v>
      </c>
      <c r="I12" s="215">
        <f>G12*H12*3</f>
        <v>397.97700228000008</v>
      </c>
      <c r="J12" s="209">
        <f t="shared" si="1"/>
        <v>8.0177014726397147</v>
      </c>
      <c r="K12" s="210">
        <f t="shared" si="2"/>
        <v>114.88497970230043</v>
      </c>
      <c r="L12" s="216">
        <f>G12</f>
        <v>6.6209000000000004E-2</v>
      </c>
      <c r="M12" s="217">
        <f>H12*1.015</f>
        <v>2033.6945999999998</v>
      </c>
      <c r="N12" s="215">
        <f>L12*M12*3</f>
        <v>403.94665731419997</v>
      </c>
      <c r="O12" s="209">
        <f t="shared" si="3"/>
        <v>7.7258112184870358</v>
      </c>
      <c r="P12" s="211">
        <f t="shared" si="4"/>
        <v>1.0149999999999997</v>
      </c>
    </row>
    <row r="13" spans="1:16">
      <c r="A13" s="212"/>
      <c r="B13" s="213"/>
      <c r="C13" s="214">
        <f>3.265</f>
        <v>3.2650000000000001</v>
      </c>
      <c r="D13" s="217">
        <f>D9</f>
        <v>21.09</v>
      </c>
      <c r="E13" s="215">
        <f>C13*D13*3</f>
        <v>206.57655</v>
      </c>
      <c r="F13" s="207">
        <f t="shared" si="0"/>
        <v>4.7233521936659573</v>
      </c>
      <c r="G13" s="216">
        <f>3.405</f>
        <v>3.4049999999999998</v>
      </c>
      <c r="H13" s="217">
        <f>H9</f>
        <v>22.59</v>
      </c>
      <c r="I13" s="215">
        <f>G13*H13*3</f>
        <v>230.75684999999999</v>
      </c>
      <c r="J13" s="209">
        <f t="shared" si="1"/>
        <v>4.6488604252690475</v>
      </c>
      <c r="K13" s="210">
        <f t="shared" si="2"/>
        <v>111.70524921633167</v>
      </c>
      <c r="L13" s="216">
        <f>G13</f>
        <v>3.4049999999999998</v>
      </c>
      <c r="M13" s="217">
        <f>M9</f>
        <v>26.740876799999999</v>
      </c>
      <c r="N13" s="215">
        <f>L13*M13*3</f>
        <v>273.15805651199997</v>
      </c>
      <c r="O13" s="209">
        <f t="shared" si="3"/>
        <v>5.2243719293337971</v>
      </c>
      <c r="P13" s="211">
        <f t="shared" si="4"/>
        <v>1.1837484196547143</v>
      </c>
    </row>
    <row r="14" spans="1:16">
      <c r="A14" s="212" t="s">
        <v>356</v>
      </c>
      <c r="B14" s="213" t="s">
        <v>355</v>
      </c>
      <c r="C14" s="218">
        <v>13</v>
      </c>
      <c r="D14" s="217">
        <v>3.8466200000000002</v>
      </c>
      <c r="E14" s="219">
        <f>C14*D14*3</f>
        <v>150.01818000000003</v>
      </c>
      <c r="F14" s="207">
        <f t="shared" si="0"/>
        <v>3.4301507097140234</v>
      </c>
      <c r="G14" s="220">
        <v>13</v>
      </c>
      <c r="H14" s="217">
        <v>4.4887699999999997</v>
      </c>
      <c r="I14" s="219">
        <f>G14*H14*3</f>
        <v>175.06202999999999</v>
      </c>
      <c r="J14" s="209">
        <f t="shared" si="1"/>
        <v>3.5268246348234631</v>
      </c>
      <c r="K14" s="210">
        <f t="shared" si="2"/>
        <v>116.69387670214365</v>
      </c>
      <c r="L14" s="220">
        <v>13</v>
      </c>
      <c r="M14" s="217">
        <f>H14*1.042</f>
        <v>4.6772983400000001</v>
      </c>
      <c r="N14" s="219">
        <f>L14*M14*3</f>
        <v>182.41463526000001</v>
      </c>
      <c r="O14" s="209">
        <f t="shared" si="3"/>
        <v>3.4888295520953871</v>
      </c>
      <c r="P14" s="211">
        <f t="shared" si="4"/>
        <v>1.042</v>
      </c>
    </row>
    <row r="15" spans="1:16">
      <c r="A15" s="212" t="s">
        <v>1</v>
      </c>
      <c r="B15" s="213" t="s">
        <v>357</v>
      </c>
      <c r="C15" s="218">
        <v>160</v>
      </c>
      <c r="D15" s="217">
        <v>3.32</v>
      </c>
      <c r="E15" s="219">
        <f>C15*D15</f>
        <v>531.19999999999993</v>
      </c>
      <c r="F15" s="207">
        <f t="shared" si="0"/>
        <v>12.145834971468716</v>
      </c>
      <c r="G15" s="220">
        <v>160</v>
      </c>
      <c r="H15" s="217">
        <v>3.87</v>
      </c>
      <c r="I15" s="219">
        <f>G15*H15</f>
        <v>619.20000000000005</v>
      </c>
      <c r="J15" s="209">
        <f t="shared" si="1"/>
        <v>12.474491549553543</v>
      </c>
      <c r="K15" s="210">
        <f t="shared" si="2"/>
        <v>116.56626506024099</v>
      </c>
      <c r="L15" s="220">
        <v>160</v>
      </c>
      <c r="M15" s="217">
        <f>H15*1.042</f>
        <v>4.03254</v>
      </c>
      <c r="N15" s="219">
        <f>L15*M15</f>
        <v>645.20640000000003</v>
      </c>
      <c r="O15" s="209">
        <f t="shared" si="3"/>
        <v>12.340101726556373</v>
      </c>
      <c r="P15" s="211">
        <f t="shared" si="4"/>
        <v>1.042</v>
      </c>
    </row>
    <row r="16" spans="1:16" ht="15.75" thickBot="1">
      <c r="A16" s="221" t="s">
        <v>358</v>
      </c>
      <c r="B16" s="222"/>
      <c r="C16" s="223"/>
      <c r="D16" s="224"/>
      <c r="E16" s="225">
        <f>SUM(E9:E15)</f>
        <v>4373.5157051599999</v>
      </c>
      <c r="F16" s="226">
        <f>SUM(F9:F15)</f>
        <v>100</v>
      </c>
      <c r="G16" s="227"/>
      <c r="H16" s="224"/>
      <c r="I16" s="225">
        <f>SUM(I9:I15)</f>
        <v>4963.7293635599999</v>
      </c>
      <c r="J16" s="228">
        <f>SUM(J9:J15)</f>
        <v>100.00000000000001</v>
      </c>
      <c r="K16" s="229">
        <f t="shared" si="2"/>
        <v>113.4951763795806</v>
      </c>
      <c r="L16" s="227"/>
      <c r="M16" s="230"/>
      <c r="N16" s="225">
        <f>SUM(N9:N15)</f>
        <v>5228.533883245801</v>
      </c>
      <c r="O16" s="228">
        <f>SUM(O9:O15)</f>
        <v>99.999999999999986</v>
      </c>
      <c r="P16" s="231">
        <f t="shared" si="4"/>
        <v>1.0533478963679603</v>
      </c>
    </row>
    <row r="20" spans="1:16">
      <c r="A20" s="193" t="s">
        <v>359</v>
      </c>
    </row>
    <row r="22" spans="1:16" ht="15.75" thickBot="1"/>
    <row r="23" spans="1:16">
      <c r="A23" s="6668" t="s">
        <v>338</v>
      </c>
      <c r="B23" s="6670" t="s">
        <v>339</v>
      </c>
      <c r="C23" s="6672" t="s">
        <v>433</v>
      </c>
      <c r="D23" s="6672"/>
      <c r="E23" s="6672"/>
      <c r="F23" s="6672"/>
      <c r="G23" s="6665" t="s">
        <v>342</v>
      </c>
      <c r="H23" s="6666"/>
      <c r="I23" s="6666"/>
      <c r="J23" s="6666"/>
      <c r="K23" s="6667"/>
      <c r="L23" s="6665" t="s">
        <v>434</v>
      </c>
      <c r="M23" s="6666"/>
      <c r="N23" s="6666"/>
      <c r="O23" s="6666"/>
      <c r="P23" s="6667"/>
    </row>
    <row r="24" spans="1:16" ht="60.75" thickBot="1">
      <c r="A24" s="6669"/>
      <c r="B24" s="6671"/>
      <c r="C24" s="196" t="s">
        <v>343</v>
      </c>
      <c r="D24" s="197" t="s">
        <v>344</v>
      </c>
      <c r="E24" s="198" t="s">
        <v>345</v>
      </c>
      <c r="F24" s="199" t="s">
        <v>346</v>
      </c>
      <c r="G24" s="200" t="s">
        <v>343</v>
      </c>
      <c r="H24" s="198" t="s">
        <v>347</v>
      </c>
      <c r="I24" s="198" t="s">
        <v>345</v>
      </c>
      <c r="J24" s="198" t="s">
        <v>346</v>
      </c>
      <c r="K24" s="201" t="s">
        <v>348</v>
      </c>
      <c r="L24" s="200" t="s">
        <v>343</v>
      </c>
      <c r="M24" s="198" t="s">
        <v>347</v>
      </c>
      <c r="N24" s="198" t="s">
        <v>345</v>
      </c>
      <c r="O24" s="198" t="s">
        <v>346</v>
      </c>
      <c r="P24" s="201" t="s">
        <v>348</v>
      </c>
    </row>
    <row r="25" spans="1:16">
      <c r="A25" s="202" t="s">
        <v>349</v>
      </c>
      <c r="B25" s="203" t="s">
        <v>350</v>
      </c>
      <c r="C25" s="204">
        <f>G9</f>
        <v>4.7510000000000003</v>
      </c>
      <c r="D25" s="204">
        <f>H9</f>
        <v>22.59</v>
      </c>
      <c r="E25" s="206">
        <f>C25*D25*3</f>
        <v>321.97527000000002</v>
      </c>
      <c r="F25" s="207">
        <f t="shared" ref="F25:F31" si="5">E25/$E$16*100</f>
        <v>7.3619324064647644</v>
      </c>
      <c r="G25" s="208">
        <f>L9</f>
        <v>4.7510000000000003</v>
      </c>
      <c r="H25" s="339">
        <f>M9</f>
        <v>26.740876799999999</v>
      </c>
      <c r="I25" s="206">
        <f>G25*H25*3</f>
        <v>381.13771703040004</v>
      </c>
      <c r="J25" s="209">
        <f t="shared" ref="J25:J31" si="6">I25/$I$16*100</f>
        <v>7.6784548293150108</v>
      </c>
      <c r="K25" s="210">
        <f t="shared" ref="K25:K32" si="7">I25/E25*100</f>
        <v>118.37484196547146</v>
      </c>
      <c r="L25" s="208">
        <f>G25</f>
        <v>4.7510000000000003</v>
      </c>
      <c r="M25" s="205" t="e">
        <f>#REF!*1.18</f>
        <v>#REF!</v>
      </c>
      <c r="N25" s="206" t="e">
        <f>L25*M25*3</f>
        <v>#REF!</v>
      </c>
      <c r="O25" s="209" t="e">
        <f t="shared" ref="O25:O31" si="8">N25/$N$16*100</f>
        <v>#REF!</v>
      </c>
      <c r="P25" s="211" t="e">
        <f t="shared" ref="P25:P32" si="9">N25/I25</f>
        <v>#REF!</v>
      </c>
    </row>
    <row r="26" spans="1:16">
      <c r="A26" s="212" t="s">
        <v>351</v>
      </c>
      <c r="B26" s="213" t="s">
        <v>350</v>
      </c>
      <c r="C26" s="204">
        <f t="shared" ref="C26:D31" si="10">G10</f>
        <v>8.1560000000000006</v>
      </c>
      <c r="D26" s="204">
        <f t="shared" si="10"/>
        <v>18.29</v>
      </c>
      <c r="E26" s="215">
        <f>C26*D26*3</f>
        <v>447.51972000000001</v>
      </c>
      <c r="F26" s="207">
        <f t="shared" si="5"/>
        <v>10.232493722887593</v>
      </c>
      <c r="G26" s="208">
        <f t="shared" ref="G26:H31" si="11">L10</f>
        <v>8.1560000000000006</v>
      </c>
      <c r="H26" s="339">
        <f t="shared" si="11"/>
        <v>21.655359999999998</v>
      </c>
      <c r="I26" s="215">
        <f>G26*H26*3</f>
        <v>529.86334848000001</v>
      </c>
      <c r="J26" s="209">
        <f t="shared" si="6"/>
        <v>10.674702621175555</v>
      </c>
      <c r="K26" s="210">
        <f t="shared" si="7"/>
        <v>118.39999999999999</v>
      </c>
      <c r="L26" s="216">
        <f>8.156</f>
        <v>8.1560000000000006</v>
      </c>
      <c r="M26" s="205" t="e">
        <f>#REF!*1.18</f>
        <v>#REF!</v>
      </c>
      <c r="N26" s="215" t="e">
        <f>L26*M26*3</f>
        <v>#REF!</v>
      </c>
      <c r="O26" s="209" t="e">
        <f t="shared" si="8"/>
        <v>#REF!</v>
      </c>
      <c r="P26" s="211" t="e">
        <f t="shared" si="9"/>
        <v>#REF!</v>
      </c>
    </row>
    <row r="27" spans="1:16">
      <c r="A27" s="212" t="s">
        <v>352</v>
      </c>
      <c r="B27" s="213" t="s">
        <v>353</v>
      </c>
      <c r="C27" s="204">
        <f t="shared" si="10"/>
        <v>2.5613E-2</v>
      </c>
      <c r="D27" s="204">
        <f t="shared" si="10"/>
        <v>2003.64</v>
      </c>
      <c r="E27" s="215">
        <f>C27*D27*54</f>
        <v>2771.2384912799998</v>
      </c>
      <c r="F27" s="207">
        <f t="shared" si="5"/>
        <v>63.364091456454872</v>
      </c>
      <c r="G27" s="208">
        <f t="shared" si="11"/>
        <v>2.5613E-2</v>
      </c>
      <c r="H27" s="339">
        <f t="shared" si="11"/>
        <v>2033.6945999999998</v>
      </c>
      <c r="I27" s="215">
        <f>G27*H27*54</f>
        <v>2812.8070686492001</v>
      </c>
      <c r="J27" s="209">
        <f t="shared" si="6"/>
        <v>56.667212545847732</v>
      </c>
      <c r="K27" s="210">
        <f t="shared" si="7"/>
        <v>101.50000000000001</v>
      </c>
      <c r="L27" s="216">
        <v>2.5613E-2</v>
      </c>
      <c r="M27" s="217">
        <f>H27*1.07</f>
        <v>2176.053222</v>
      </c>
      <c r="N27" s="215">
        <f>L27*M27*54</f>
        <v>3009.7035634546442</v>
      </c>
      <c r="O27" s="209">
        <f t="shared" si="8"/>
        <v>57.563049808262157</v>
      </c>
      <c r="P27" s="211">
        <f t="shared" si="9"/>
        <v>1.07</v>
      </c>
    </row>
    <row r="28" spans="1:16">
      <c r="A28" s="212" t="s">
        <v>354</v>
      </c>
      <c r="B28" s="213" t="s">
        <v>355</v>
      </c>
      <c r="C28" s="204">
        <f t="shared" si="10"/>
        <v>6.6209000000000004E-2</v>
      </c>
      <c r="D28" s="204">
        <f t="shared" si="10"/>
        <v>2003.64</v>
      </c>
      <c r="E28" s="215">
        <f>C28*D28*3</f>
        <v>397.97700228000008</v>
      </c>
      <c r="F28" s="207">
        <f t="shared" si="5"/>
        <v>9.0997044279606758</v>
      </c>
      <c r="G28" s="208">
        <f t="shared" si="11"/>
        <v>6.6209000000000004E-2</v>
      </c>
      <c r="H28" s="339">
        <f t="shared" si="11"/>
        <v>2033.6945999999998</v>
      </c>
      <c r="I28" s="215">
        <f>G28*H28*3</f>
        <v>403.94665731419997</v>
      </c>
      <c r="J28" s="209">
        <f t="shared" si="6"/>
        <v>8.1379669947293092</v>
      </c>
      <c r="K28" s="210">
        <f t="shared" si="7"/>
        <v>101.49999999999997</v>
      </c>
      <c r="L28" s="216">
        <f>G28</f>
        <v>6.6209000000000004E-2</v>
      </c>
      <c r="M28" s="217">
        <f>H28*1.07</f>
        <v>2176.053222</v>
      </c>
      <c r="N28" s="215">
        <f>L28*M28*3</f>
        <v>432.22292332619406</v>
      </c>
      <c r="O28" s="209">
        <f t="shared" si="8"/>
        <v>8.2666180037811294</v>
      </c>
      <c r="P28" s="211">
        <f t="shared" si="9"/>
        <v>1.0700000000000003</v>
      </c>
    </row>
    <row r="29" spans="1:16">
      <c r="A29" s="212"/>
      <c r="B29" s="213"/>
      <c r="C29" s="204">
        <f t="shared" si="10"/>
        <v>3.4049999999999998</v>
      </c>
      <c r="D29" s="204">
        <f t="shared" si="10"/>
        <v>22.59</v>
      </c>
      <c r="E29" s="215">
        <f>C29*D29*3</f>
        <v>230.75684999999999</v>
      </c>
      <c r="F29" s="207">
        <f t="shared" si="5"/>
        <v>5.276232339299626</v>
      </c>
      <c r="G29" s="208">
        <f t="shared" si="11"/>
        <v>3.4049999999999998</v>
      </c>
      <c r="H29" s="339">
        <f t="shared" si="11"/>
        <v>26.740876799999999</v>
      </c>
      <c r="I29" s="215">
        <f>G29*H29*3</f>
        <v>273.15805651199997</v>
      </c>
      <c r="J29" s="209">
        <f t="shared" si="6"/>
        <v>5.5030811816075786</v>
      </c>
      <c r="K29" s="210">
        <f t="shared" si="7"/>
        <v>118.37484196547143</v>
      </c>
      <c r="L29" s="216">
        <f>G29</f>
        <v>3.4049999999999998</v>
      </c>
      <c r="M29" s="217" t="e">
        <f>M25</f>
        <v>#REF!</v>
      </c>
      <c r="N29" s="215" t="e">
        <f>L29*M29*3</f>
        <v>#REF!</v>
      </c>
      <c r="O29" s="209" t="e">
        <f t="shared" si="8"/>
        <v>#REF!</v>
      </c>
      <c r="P29" s="211" t="e">
        <f t="shared" si="9"/>
        <v>#REF!</v>
      </c>
    </row>
    <row r="30" spans="1:16">
      <c r="A30" s="212" t="s">
        <v>356</v>
      </c>
      <c r="B30" s="213" t="s">
        <v>355</v>
      </c>
      <c r="C30" s="204">
        <f t="shared" si="10"/>
        <v>13</v>
      </c>
      <c r="D30" s="204">
        <f t="shared" si="10"/>
        <v>4.4887699999999997</v>
      </c>
      <c r="E30" s="219">
        <f>C30*D30*3</f>
        <v>175.06202999999999</v>
      </c>
      <c r="F30" s="207">
        <f t="shared" si="5"/>
        <v>4.0027758398913891</v>
      </c>
      <c r="G30" s="208">
        <f t="shared" si="11"/>
        <v>13</v>
      </c>
      <c r="H30" s="339">
        <f t="shared" si="11"/>
        <v>4.6772983400000001</v>
      </c>
      <c r="I30" s="219">
        <f>G30*H30*3</f>
        <v>182.41463526000001</v>
      </c>
      <c r="J30" s="209">
        <f t="shared" si="6"/>
        <v>3.6749512694860496</v>
      </c>
      <c r="K30" s="210">
        <f t="shared" si="7"/>
        <v>104.2</v>
      </c>
      <c r="L30" s="220">
        <v>13</v>
      </c>
      <c r="M30" s="217">
        <f>H30*1.065</f>
        <v>4.9813227320999998</v>
      </c>
      <c r="N30" s="219">
        <f>L30*M30*3</f>
        <v>194.27158655189999</v>
      </c>
      <c r="O30" s="209">
        <f t="shared" si="8"/>
        <v>3.7156034729815866</v>
      </c>
      <c r="P30" s="211">
        <f t="shared" si="9"/>
        <v>1.0649999999999999</v>
      </c>
    </row>
    <row r="31" spans="1:16">
      <c r="A31" s="212" t="s">
        <v>1</v>
      </c>
      <c r="B31" s="213" t="s">
        <v>357</v>
      </c>
      <c r="C31" s="204">
        <f t="shared" si="10"/>
        <v>160</v>
      </c>
      <c r="D31" s="204">
        <f t="shared" si="10"/>
        <v>3.87</v>
      </c>
      <c r="E31" s="219">
        <f>C31*D31</f>
        <v>619.20000000000005</v>
      </c>
      <c r="F31" s="207">
        <f t="shared" si="5"/>
        <v>14.15794618662167</v>
      </c>
      <c r="G31" s="208">
        <f t="shared" si="11"/>
        <v>160</v>
      </c>
      <c r="H31" s="339">
        <f t="shared" si="11"/>
        <v>4.03254</v>
      </c>
      <c r="I31" s="219">
        <f>G31*H31</f>
        <v>645.20640000000003</v>
      </c>
      <c r="J31" s="209">
        <f t="shared" si="6"/>
        <v>12.998420194634791</v>
      </c>
      <c r="K31" s="210">
        <f t="shared" si="7"/>
        <v>104.2</v>
      </c>
      <c r="L31" s="220">
        <v>160</v>
      </c>
      <c r="M31" s="217">
        <f>H31*1.056</f>
        <v>4.2583622400000003</v>
      </c>
      <c r="N31" s="219">
        <f>L31*M31</f>
        <v>681.33795840000005</v>
      </c>
      <c r="O31" s="209">
        <f t="shared" si="8"/>
        <v>13.03114742324353</v>
      </c>
      <c r="P31" s="211">
        <f t="shared" si="9"/>
        <v>1.056</v>
      </c>
    </row>
    <row r="32" spans="1:16" ht="15.75" thickBot="1">
      <c r="A32" s="221" t="s">
        <v>358</v>
      </c>
      <c r="B32" s="222"/>
      <c r="C32" s="223"/>
      <c r="D32" s="224"/>
      <c r="E32" s="225">
        <f>SUM(E25:E31)</f>
        <v>4963.7293635599999</v>
      </c>
      <c r="F32" s="226">
        <f>SUM(F25:F31)</f>
        <v>113.49517637958058</v>
      </c>
      <c r="G32" s="227"/>
      <c r="H32" s="224"/>
      <c r="I32" s="225">
        <f>SUM(I25:I31)</f>
        <v>5228.533883245801</v>
      </c>
      <c r="J32" s="228">
        <f>SUM(J25:J31)</f>
        <v>105.33478963679603</v>
      </c>
      <c r="K32" s="229">
        <f t="shared" si="7"/>
        <v>105.33478963679603</v>
      </c>
      <c r="L32" s="227"/>
      <c r="M32" s="230"/>
      <c r="N32" s="225" t="e">
        <f>SUM(N25:N31)</f>
        <v>#REF!</v>
      </c>
      <c r="O32" s="228" t="e">
        <f>SUM(O25:O31)</f>
        <v>#REF!</v>
      </c>
      <c r="P32" s="231" t="e">
        <f t="shared" si="9"/>
        <v>#REF!</v>
      </c>
    </row>
  </sheetData>
  <sheetProtection sheet="1" objects="1" scenarios="1"/>
  <mergeCells count="11">
    <mergeCell ref="L23:P23"/>
    <mergeCell ref="L7:P7"/>
    <mergeCell ref="A23:A24"/>
    <mergeCell ref="B23:B24"/>
    <mergeCell ref="C23:F23"/>
    <mergeCell ref="G23:K23"/>
    <mergeCell ref="A3:K3"/>
    <mergeCell ref="G7:K7"/>
    <mergeCell ref="A7:A8"/>
    <mergeCell ref="B7:B8"/>
    <mergeCell ref="C7:F7"/>
  </mergeCells>
  <phoneticPr fontId="53" type="noConversion"/>
  <pageMargins left="0.7" right="0.7" top="0.75" bottom="0.75" header="0.3" footer="0.3"/>
  <pageSetup paperSize="9" scale="53" orientation="landscape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E25"/>
  <sheetViews>
    <sheetView workbookViewId="0">
      <selection activeCell="M6" sqref="M6"/>
    </sheetView>
  </sheetViews>
  <sheetFormatPr defaultRowHeight="15"/>
  <cols>
    <col min="1" max="1" width="15.42578125" style="3278" customWidth="1"/>
    <col min="2" max="2" width="17.140625" style="3278" customWidth="1"/>
    <col min="3" max="3" width="17.28515625" style="3278" customWidth="1"/>
    <col min="4" max="4" width="18.7109375" style="3278" customWidth="1"/>
    <col min="5" max="5" width="16.7109375" style="3278" customWidth="1"/>
    <col min="6" max="16384" width="9.140625" style="3278"/>
  </cols>
  <sheetData>
    <row r="1" spans="1:5">
      <c r="A1" s="4939" t="s">
        <v>1978</v>
      </c>
      <c r="B1" s="4940"/>
      <c r="C1" s="4940"/>
      <c r="D1" s="4940"/>
      <c r="E1" s="4940"/>
    </row>
    <row r="2" spans="1:5">
      <c r="A2" s="3279"/>
      <c r="B2" s="3279"/>
      <c r="C2" s="3279"/>
      <c r="D2" s="3279"/>
      <c r="E2" s="3279"/>
    </row>
    <row r="3" spans="1:5" ht="24.95" customHeight="1">
      <c r="A3" s="3280" t="s">
        <v>1823</v>
      </c>
      <c r="B3" s="3280" t="s">
        <v>46</v>
      </c>
      <c r="C3" s="3280" t="s">
        <v>47</v>
      </c>
      <c r="D3" s="3280" t="s">
        <v>1819</v>
      </c>
      <c r="E3" s="3280" t="s">
        <v>1818</v>
      </c>
    </row>
    <row r="4" spans="1:5" ht="24.95" customHeight="1">
      <c r="A4" s="3298" t="s">
        <v>267</v>
      </c>
      <c r="B4" s="3280">
        <v>45.54</v>
      </c>
      <c r="C4" s="3280">
        <v>28.02</v>
      </c>
      <c r="D4" s="3285">
        <v>4.57</v>
      </c>
      <c r="E4" s="3280">
        <f>SUM(B4:D4)</f>
        <v>78.13</v>
      </c>
    </row>
    <row r="5" spans="1:5" ht="24.95" customHeight="1">
      <c r="A5" s="3298" t="s">
        <v>268</v>
      </c>
      <c r="B5" s="3280">
        <v>45.54</v>
      </c>
      <c r="C5" s="3280">
        <v>28.02</v>
      </c>
      <c r="D5" s="3285">
        <v>4.57</v>
      </c>
      <c r="E5" s="3280">
        <f t="shared" ref="E5:E22" si="0">SUM(B5:D5)</f>
        <v>78.13</v>
      </c>
    </row>
    <row r="6" spans="1:5" ht="24.95" customHeight="1">
      <c r="A6" s="3298" t="s">
        <v>269</v>
      </c>
      <c r="B6" s="3280">
        <v>45.54</v>
      </c>
      <c r="C6" s="3280">
        <v>28.02</v>
      </c>
      <c r="D6" s="3285">
        <v>4.57</v>
      </c>
      <c r="E6" s="3280">
        <f t="shared" si="0"/>
        <v>78.13</v>
      </c>
    </row>
    <row r="7" spans="1:5" ht="24.95" customHeight="1">
      <c r="A7" s="3299" t="s">
        <v>1807</v>
      </c>
      <c r="B7" s="3281">
        <f>SUM(B4:B6)</f>
        <v>136.62</v>
      </c>
      <c r="C7" s="3281">
        <f>SUM(C4:C6)</f>
        <v>84.06</v>
      </c>
      <c r="D7" s="3281">
        <f>SUM(D4:D6)</f>
        <v>13.71</v>
      </c>
      <c r="E7" s="3281">
        <f t="shared" si="0"/>
        <v>234.39000000000001</v>
      </c>
    </row>
    <row r="8" spans="1:5" ht="24.95" customHeight="1">
      <c r="A8" s="3298" t="s">
        <v>270</v>
      </c>
      <c r="B8" s="3280">
        <v>45.54</v>
      </c>
      <c r="C8" s="3280">
        <v>28.02</v>
      </c>
      <c r="D8" s="3285">
        <v>4.57</v>
      </c>
      <c r="E8" s="3280">
        <f t="shared" si="0"/>
        <v>78.13</v>
      </c>
    </row>
    <row r="9" spans="1:5" ht="24.95" customHeight="1">
      <c r="A9" s="3298" t="s">
        <v>1361</v>
      </c>
      <c r="B9" s="3280">
        <v>45.54</v>
      </c>
      <c r="C9" s="3280">
        <v>28.02</v>
      </c>
      <c r="D9" s="3285">
        <v>4.57</v>
      </c>
      <c r="E9" s="3280">
        <f t="shared" si="0"/>
        <v>78.13</v>
      </c>
    </row>
    <row r="10" spans="1:5" ht="24.95" customHeight="1">
      <c r="A10" s="3298" t="s">
        <v>272</v>
      </c>
      <c r="B10" s="3280">
        <v>45.54</v>
      </c>
      <c r="C10" s="3280">
        <v>28.02</v>
      </c>
      <c r="D10" s="3285">
        <v>4.57</v>
      </c>
      <c r="E10" s="3280">
        <f t="shared" si="0"/>
        <v>78.13</v>
      </c>
    </row>
    <row r="11" spans="1:5" ht="24.95" customHeight="1">
      <c r="A11" s="3299" t="s">
        <v>1808</v>
      </c>
      <c r="B11" s="3281">
        <f>SUM(B8:B10)</f>
        <v>136.62</v>
      </c>
      <c r="C11" s="3281">
        <f>SUM(C8:C10)</f>
        <v>84.06</v>
      </c>
      <c r="D11" s="3281">
        <f>SUM(D8:D10)</f>
        <v>13.71</v>
      </c>
      <c r="E11" s="3281">
        <f t="shared" si="0"/>
        <v>234.39000000000001</v>
      </c>
    </row>
    <row r="12" spans="1:5" ht="24.95" customHeight="1">
      <c r="A12" s="3299" t="s">
        <v>390</v>
      </c>
      <c r="B12" s="3281">
        <f>B7+B11</f>
        <v>273.24</v>
      </c>
      <c r="C12" s="3281">
        <f>C7+C11</f>
        <v>168.12</v>
      </c>
      <c r="D12" s="3281">
        <f>D7+D11</f>
        <v>27.42</v>
      </c>
      <c r="E12" s="3281">
        <f t="shared" si="0"/>
        <v>468.78000000000003</v>
      </c>
    </row>
    <row r="13" spans="1:5" ht="24.95" customHeight="1">
      <c r="A13" s="3298" t="s">
        <v>1226</v>
      </c>
      <c r="B13" s="3280">
        <v>45.54</v>
      </c>
      <c r="C13" s="3280">
        <v>28.02</v>
      </c>
      <c r="D13" s="3285">
        <v>4.57</v>
      </c>
      <c r="E13" s="3280">
        <f t="shared" si="0"/>
        <v>78.13</v>
      </c>
    </row>
    <row r="14" spans="1:5" ht="24.95" customHeight="1">
      <c r="A14" s="3298" t="s">
        <v>273</v>
      </c>
      <c r="B14" s="3280">
        <v>45.54</v>
      </c>
      <c r="C14" s="3280">
        <v>28.02</v>
      </c>
      <c r="D14" s="3285">
        <v>4.57</v>
      </c>
      <c r="E14" s="3280">
        <f t="shared" si="0"/>
        <v>78.13</v>
      </c>
    </row>
    <row r="15" spans="1:5" ht="24.95" customHeight="1">
      <c r="A15" s="3298" t="s">
        <v>1244</v>
      </c>
      <c r="B15" s="3280">
        <v>45.54</v>
      </c>
      <c r="C15" s="3280">
        <v>28.02</v>
      </c>
      <c r="D15" s="3285">
        <v>4.57</v>
      </c>
      <c r="E15" s="3280">
        <f t="shared" si="0"/>
        <v>78.13</v>
      </c>
    </row>
    <row r="16" spans="1:5" ht="24.95" customHeight="1">
      <c r="A16" s="3299" t="s">
        <v>1810</v>
      </c>
      <c r="B16" s="3281">
        <f>SUM(B13:B15)</f>
        <v>136.62</v>
      </c>
      <c r="C16" s="3281">
        <f>SUM(C13:C15)</f>
        <v>84.06</v>
      </c>
      <c r="D16" s="3281">
        <f>SUM(D13:D15)</f>
        <v>13.71</v>
      </c>
      <c r="E16" s="3281">
        <f t="shared" si="0"/>
        <v>234.39000000000001</v>
      </c>
    </row>
    <row r="17" spans="1:5" ht="24.95" customHeight="1">
      <c r="A17" s="3299" t="s">
        <v>134</v>
      </c>
      <c r="B17" s="3281">
        <f>B12+B16</f>
        <v>409.86</v>
      </c>
      <c r="C17" s="3281">
        <f>C12+C16</f>
        <v>252.18</v>
      </c>
      <c r="D17" s="3281">
        <f>D12+D16</f>
        <v>41.13</v>
      </c>
      <c r="E17" s="3281">
        <f t="shared" si="0"/>
        <v>703.17</v>
      </c>
    </row>
    <row r="18" spans="1:5" ht="24.95" customHeight="1">
      <c r="A18" s="3298" t="s">
        <v>274</v>
      </c>
      <c r="B18" s="3280">
        <v>45.54</v>
      </c>
      <c r="C18" s="3280">
        <v>28.02</v>
      </c>
      <c r="D18" s="3285">
        <v>4.57</v>
      </c>
      <c r="E18" s="3280">
        <f t="shared" si="0"/>
        <v>78.13</v>
      </c>
    </row>
    <row r="19" spans="1:5" ht="24.95" customHeight="1">
      <c r="A19" s="3298" t="s">
        <v>275</v>
      </c>
      <c r="B19" s="3280">
        <v>45.54</v>
      </c>
      <c r="C19" s="3280">
        <v>28.02</v>
      </c>
      <c r="D19" s="3285">
        <v>4.57</v>
      </c>
      <c r="E19" s="3280">
        <f t="shared" si="0"/>
        <v>78.13</v>
      </c>
    </row>
    <row r="20" spans="1:5" ht="24.95" customHeight="1">
      <c r="A20" s="3298" t="s">
        <v>1335</v>
      </c>
      <c r="B20" s="3280">
        <v>45.49</v>
      </c>
      <c r="C20" s="3280">
        <v>28.04</v>
      </c>
      <c r="D20" s="3285">
        <v>4.6100000000000003</v>
      </c>
      <c r="E20" s="3280">
        <f t="shared" si="0"/>
        <v>78.14</v>
      </c>
    </row>
    <row r="21" spans="1:5" ht="24.95" customHeight="1">
      <c r="A21" s="3299" t="s">
        <v>135</v>
      </c>
      <c r="B21" s="3281">
        <f>SUM(B18:B20)</f>
        <v>136.57</v>
      </c>
      <c r="C21" s="3281">
        <f>SUM(C18:C20)</f>
        <v>84.08</v>
      </c>
      <c r="D21" s="3281">
        <f>SUM(D18:D20)</f>
        <v>13.75</v>
      </c>
      <c r="E21" s="3282">
        <f t="shared" si="0"/>
        <v>234.39999999999998</v>
      </c>
    </row>
    <row r="22" spans="1:5" ht="24.95" customHeight="1">
      <c r="A22" s="3299" t="s">
        <v>252</v>
      </c>
      <c r="B22" s="3281">
        <f>B17+B21</f>
        <v>546.43000000000006</v>
      </c>
      <c r="C22" s="3281">
        <f>C17+C21</f>
        <v>336.26</v>
      </c>
      <c r="D22" s="3282">
        <f>D17+D21</f>
        <v>54.88</v>
      </c>
      <c r="E22" s="3281">
        <f t="shared" si="0"/>
        <v>937.57</v>
      </c>
    </row>
    <row r="23" spans="1:5">
      <c r="A23" s="3279"/>
      <c r="B23" s="3279"/>
      <c r="C23" s="3279"/>
      <c r="D23" s="3279"/>
      <c r="E23" s="3279"/>
    </row>
    <row r="24" spans="1:5">
      <c r="A24" s="3279"/>
      <c r="B24" s="3279"/>
      <c r="C24" s="3279"/>
      <c r="D24" s="3279"/>
      <c r="E24" s="3279"/>
    </row>
    <row r="25" spans="1:5">
      <c r="A25" s="4941" t="s">
        <v>1820</v>
      </c>
      <c r="B25" s="4942"/>
      <c r="C25" s="4942"/>
      <c r="D25" s="4942"/>
      <c r="E25" s="4942"/>
    </row>
  </sheetData>
  <mergeCells count="2">
    <mergeCell ref="A1:E1"/>
    <mergeCell ref="A25:E25"/>
  </mergeCells>
  <printOptions horizontalCentered="1"/>
  <pageMargins left="0.70866141732283472" right="0.70866141732283472" top="0.94488188976377963" bottom="0.74803149606299213" header="0.31496062992125984" footer="0.31496062992125984"/>
  <pageSetup paperSize="9" orientation="portrait" horizontalDpi="180" verticalDpi="18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T30"/>
  <sheetViews>
    <sheetView topLeftCell="K21" workbookViewId="0">
      <selection activeCell="V8" sqref="V8"/>
    </sheetView>
  </sheetViews>
  <sheetFormatPr defaultRowHeight="15"/>
  <cols>
    <col min="1" max="1" width="45.28515625" style="3278" customWidth="1"/>
    <col min="2" max="19" width="10.140625" style="3278" customWidth="1"/>
    <col min="20" max="20" width="10.7109375" style="3278" customWidth="1"/>
    <col min="21" max="16384" width="9.140625" style="3278"/>
  </cols>
  <sheetData>
    <row r="1" spans="1:20">
      <c r="Q1" s="3279" t="s">
        <v>1705</v>
      </c>
      <c r="R1" s="3279"/>
    </row>
    <row r="2" spans="1:20">
      <c r="Q2" s="3279" t="s">
        <v>1759</v>
      </c>
      <c r="R2" s="3279"/>
    </row>
    <row r="3" spans="1:20" ht="30" customHeight="1">
      <c r="Q3" s="3279" t="s">
        <v>1821</v>
      </c>
      <c r="R3" s="3279"/>
    </row>
    <row r="5" spans="1:20" ht="20.25">
      <c r="A5" s="4943" t="s">
        <v>1977</v>
      </c>
      <c r="B5" s="4944"/>
      <c r="C5" s="4944"/>
      <c r="D5" s="4944"/>
      <c r="E5" s="4944"/>
      <c r="F5" s="4944"/>
      <c r="G5" s="4944"/>
      <c r="H5" s="4944"/>
      <c r="I5" s="4944"/>
      <c r="J5" s="4944"/>
      <c r="K5" s="4944"/>
      <c r="L5" s="4944"/>
      <c r="M5" s="4944"/>
      <c r="N5" s="4944"/>
      <c r="O5" s="4944"/>
      <c r="P5" s="4944"/>
      <c r="Q5" s="4944"/>
      <c r="R5" s="4944"/>
      <c r="S5" s="4944"/>
      <c r="T5" s="4944"/>
    </row>
    <row r="6" spans="1:20" ht="15.75" thickBot="1">
      <c r="A6" s="3279"/>
      <c r="B6" s="3279"/>
      <c r="C6" s="3279"/>
      <c r="D6" s="3279"/>
      <c r="E6" s="3279"/>
      <c r="F6" s="3279"/>
      <c r="G6" s="3279"/>
      <c r="H6" s="3279"/>
      <c r="I6" s="3279"/>
      <c r="J6" s="3279"/>
      <c r="K6" s="3279"/>
      <c r="L6" s="3279"/>
      <c r="M6" s="3279"/>
      <c r="N6" s="3279"/>
      <c r="O6" s="3279"/>
      <c r="P6" s="3279"/>
      <c r="Q6" s="3279"/>
      <c r="R6" s="3279"/>
      <c r="S6" s="3279"/>
      <c r="T6" s="3279"/>
    </row>
    <row r="7" spans="1:20" ht="35.1" customHeight="1">
      <c r="A7" s="3286" t="s">
        <v>1043</v>
      </c>
      <c r="B7" s="3287" t="s">
        <v>267</v>
      </c>
      <c r="C7" s="3287" t="s">
        <v>268</v>
      </c>
      <c r="D7" s="3287" t="s">
        <v>269</v>
      </c>
      <c r="E7" s="3288" t="s">
        <v>1807</v>
      </c>
      <c r="F7" s="3287" t="s">
        <v>270</v>
      </c>
      <c r="G7" s="3287" t="s">
        <v>271</v>
      </c>
      <c r="H7" s="3287" t="s">
        <v>272</v>
      </c>
      <c r="I7" s="3288" t="s">
        <v>1808</v>
      </c>
      <c r="J7" s="3288" t="s">
        <v>1809</v>
      </c>
      <c r="K7" s="3287" t="s">
        <v>1226</v>
      </c>
      <c r="L7" s="3287" t="s">
        <v>273</v>
      </c>
      <c r="M7" s="3287" t="s">
        <v>1244</v>
      </c>
      <c r="N7" s="3288" t="s">
        <v>1810</v>
      </c>
      <c r="O7" s="3288" t="s">
        <v>229</v>
      </c>
      <c r="P7" s="3287" t="s">
        <v>274</v>
      </c>
      <c r="Q7" s="3287" t="s">
        <v>275</v>
      </c>
      <c r="R7" s="3287" t="s">
        <v>1335</v>
      </c>
      <c r="S7" s="3288" t="s">
        <v>135</v>
      </c>
      <c r="T7" s="3289" t="s">
        <v>252</v>
      </c>
    </row>
    <row r="8" spans="1:20" ht="35.1" customHeight="1">
      <c r="A8" s="3290" t="s">
        <v>1811</v>
      </c>
      <c r="B8" s="3295">
        <f>B9+B10+B11</f>
        <v>18803.374859812135</v>
      </c>
      <c r="C8" s="3295">
        <f>C9+C10+C11</f>
        <v>18695.110433877842</v>
      </c>
      <c r="D8" s="3295">
        <f>D9+D10+D11</f>
        <v>18695.110433877842</v>
      </c>
      <c r="E8" s="3291">
        <f>SUM(B8:D8)</f>
        <v>56193.595727567823</v>
      </c>
      <c r="F8" s="3295">
        <f>F9+F10+F11</f>
        <v>18586.846007943546</v>
      </c>
      <c r="G8" s="3295">
        <f>G9+G10+G11</f>
        <v>17612.466174534915</v>
      </c>
      <c r="H8" s="3295">
        <f>H9+H10+H11</f>
        <v>17612.466174534915</v>
      </c>
      <c r="I8" s="3291">
        <f>SUM(F8:H8)</f>
        <v>53811.778357013376</v>
      </c>
      <c r="J8" s="3291">
        <f>E8+I8</f>
        <v>110005.3740845812</v>
      </c>
      <c r="K8" s="3295">
        <f>K9+K10+K11</f>
        <v>19959.869554934146</v>
      </c>
      <c r="L8" s="3295">
        <f>L9+L10+L11</f>
        <v>19959.869554934146</v>
      </c>
      <c r="M8" s="3295">
        <f>M9+M10+M11</f>
        <v>21064.182285091039</v>
      </c>
      <c r="N8" s="3291">
        <f t="shared" ref="N8:N26" si="0">SUM(K8:M8)</f>
        <v>60983.921394959332</v>
      </c>
      <c r="O8" s="3291">
        <f>J8+N8</f>
        <v>170989.29547954054</v>
      </c>
      <c r="P8" s="3295">
        <f>P9+P10+P11</f>
        <v>21186.883699552924</v>
      </c>
      <c r="Q8" s="3295">
        <f>Q9+Q10+Q11</f>
        <v>21186.883699552924</v>
      </c>
      <c r="R8" s="3295">
        <f>R9+R10+R11</f>
        <v>21309.585114014801</v>
      </c>
      <c r="S8" s="3291">
        <f t="shared" ref="S8:S26" si="1">SUM(P8:R8)</f>
        <v>63683.352513120648</v>
      </c>
      <c r="T8" s="3292">
        <f>O8+S8</f>
        <v>234672.64799266119</v>
      </c>
    </row>
    <row r="9" spans="1:20" ht="35.1" customHeight="1">
      <c r="A9" s="3293" t="s">
        <v>46</v>
      </c>
      <c r="B9" s="3294">
        <f>SUM('Произв. прогр. Вода (СВОД)'!E35)</f>
        <v>11125.100198526072</v>
      </c>
      <c r="C9" s="3294">
        <f>SUM('Произв. прогр. Вода (СВОД)'!F35)</f>
        <v>11059.852190578795</v>
      </c>
      <c r="D9" s="3294">
        <f>SUM('Произв. прогр. Вода (СВОД)'!G35)</f>
        <v>11059.852190578795</v>
      </c>
      <c r="E9" s="3296">
        <f t="shared" ref="E9:E26" si="2">SUM(B9:D9)</f>
        <v>33244.80457968366</v>
      </c>
      <c r="F9" s="3294">
        <f>SUM('Произв. прогр. Вода (СВОД)'!I35)</f>
        <v>10994.604182631514</v>
      </c>
      <c r="G9" s="3294">
        <f>SUM('Произв. прогр. Вода (СВОД)'!J35)</f>
        <v>10407.372111106011</v>
      </c>
      <c r="H9" s="3294">
        <f>SUM('Произв. прогр. Вода (СВОД)'!K35)</f>
        <v>10407.372111106011</v>
      </c>
      <c r="I9" s="3296">
        <f t="shared" ref="I9:I26" si="3">SUM(F9:H9)</f>
        <v>31809.348404843538</v>
      </c>
      <c r="J9" s="3296">
        <f t="shared" ref="J9:J26" si="4">E9+I9</f>
        <v>65054.152984527202</v>
      </c>
      <c r="K9" s="3294">
        <f>SUM('Произв. прогр. Вода (СВОД)'!N35)</f>
        <v>10681.599503424553</v>
      </c>
      <c r="L9" s="3294">
        <f>SUM('Произв. прогр. Вода (СВОД)'!O35)</f>
        <v>10681.599503424553</v>
      </c>
      <c r="M9" s="3294">
        <f>SUM('Произв. прогр. Вода (СВОД)'!P35)</f>
        <v>11282.148322368781</v>
      </c>
      <c r="N9" s="3296">
        <f t="shared" si="0"/>
        <v>32645.34732921789</v>
      </c>
      <c r="O9" s="3296">
        <f t="shared" ref="O9:O26" si="5">J9+N9</f>
        <v>97699.500313745084</v>
      </c>
      <c r="P9" s="3294">
        <f>SUM('Произв. прогр. Вода (СВОД)'!S35)</f>
        <v>11348.875968918144</v>
      </c>
      <c r="Q9" s="3294">
        <f>SUM('Произв. прогр. Вода (СВОД)'!T35)</f>
        <v>11348.875968918144</v>
      </c>
      <c r="R9" s="3294">
        <f>SUM('Произв. прогр. Вода (СВОД)'!U35)</f>
        <v>11415.603615467502</v>
      </c>
      <c r="S9" s="3296">
        <f t="shared" si="1"/>
        <v>34113.355553303787</v>
      </c>
      <c r="T9" s="3297">
        <f t="shared" ref="T9:T23" si="6">O9+S9</f>
        <v>131812.85586704887</v>
      </c>
    </row>
    <row r="10" spans="1:20" ht="35.1" customHeight="1">
      <c r="A10" s="3293" t="s">
        <v>47</v>
      </c>
      <c r="B10" s="3294">
        <f>SUM('Произв. прогр. Стоки (СВОД)'!E24)</f>
        <v>7378.2746612860628</v>
      </c>
      <c r="C10" s="3294">
        <f>SUM('Произв. прогр. Стоки (СВОД)'!F24)</f>
        <v>7335.2582432990475</v>
      </c>
      <c r="D10" s="3294">
        <f>SUM('Произв. прогр. Стоки (СВОД)'!G24)</f>
        <v>7335.2582432990475</v>
      </c>
      <c r="E10" s="3296">
        <f t="shared" si="2"/>
        <v>22048.791147884156</v>
      </c>
      <c r="F10" s="3294">
        <f>SUM('Произв. прогр. Стоки (СВОД)'!I24)</f>
        <v>7292.2418253120322</v>
      </c>
      <c r="G10" s="3294">
        <f>SUM('Произв. прогр. Стоки (СВОД)'!J24)</f>
        <v>6905.0940634289036</v>
      </c>
      <c r="H10" s="3294">
        <f>SUM('Произв. прогр. Стоки (СВОД)'!K24)</f>
        <v>6905.0940634289036</v>
      </c>
      <c r="I10" s="3296">
        <f t="shared" si="3"/>
        <v>21102.429952169841</v>
      </c>
      <c r="J10" s="3296">
        <f t="shared" si="4"/>
        <v>43151.221100053997</v>
      </c>
      <c r="K10" s="3294">
        <f>SUM('Произв. прогр. Стоки (СВОД)'!N24)</f>
        <v>8978.270051509593</v>
      </c>
      <c r="L10" s="3294">
        <f>SUM('Произв. прогр. Стоки (СВОД)'!O24)</f>
        <v>8978.270051509593</v>
      </c>
      <c r="M10" s="3294">
        <f>SUM('Произв. прогр. Стоки (СВОД)'!P24)</f>
        <v>9482.0339627222602</v>
      </c>
      <c r="N10" s="3296">
        <f t="shared" si="0"/>
        <v>27438.574065741446</v>
      </c>
      <c r="O10" s="3296">
        <f t="shared" si="5"/>
        <v>70589.79516579544</v>
      </c>
      <c r="P10" s="3294">
        <f>SUM('Произв. прогр. Стоки (СВОД)'!S24)</f>
        <v>9538.0077306347794</v>
      </c>
      <c r="Q10" s="3294">
        <f>SUM('Произв. прогр. Стоки (СВОД)'!T24)</f>
        <v>9538.0077306347794</v>
      </c>
      <c r="R10" s="3294">
        <f>SUM('Произв. прогр. Стоки (СВОД)'!U24)</f>
        <v>9593.9814985472985</v>
      </c>
      <c r="S10" s="3296">
        <f t="shared" si="1"/>
        <v>28669.996959816857</v>
      </c>
      <c r="T10" s="3297">
        <f t="shared" si="6"/>
        <v>99259.792125612294</v>
      </c>
    </row>
    <row r="11" spans="1:20" ht="35.1" customHeight="1">
      <c r="A11" s="3293" t="s">
        <v>1812</v>
      </c>
      <c r="B11" s="3294">
        <f>SUM(E11/3)</f>
        <v>300</v>
      </c>
      <c r="C11" s="3294">
        <f>SUM(B11)</f>
        <v>300</v>
      </c>
      <c r="D11" s="3294">
        <f>SUM(B11)</f>
        <v>300</v>
      </c>
      <c r="E11" s="3296">
        <f>SUM('Прил. 1 План ФХД табл 1'!C20)</f>
        <v>900</v>
      </c>
      <c r="F11" s="3294">
        <f>SUM(I11/3)</f>
        <v>300</v>
      </c>
      <c r="G11" s="3294">
        <f>SUM(F11)</f>
        <v>300</v>
      </c>
      <c r="H11" s="3294">
        <f>SUM(F11)</f>
        <v>300</v>
      </c>
      <c r="I11" s="3296">
        <f>SUM('Прил. 1 План ФХД табл 1'!D20)</f>
        <v>900</v>
      </c>
      <c r="J11" s="3296">
        <f t="shared" si="4"/>
        <v>1800</v>
      </c>
      <c r="K11" s="3294">
        <f>SUM(N11/3)</f>
        <v>300</v>
      </c>
      <c r="L11" s="3294">
        <f>SUM(K11)</f>
        <v>300</v>
      </c>
      <c r="M11" s="3294">
        <f>SUM(K11)</f>
        <v>300</v>
      </c>
      <c r="N11" s="3296">
        <f>SUM('Прил. 1 План ФХД табл 1'!F20)</f>
        <v>900</v>
      </c>
      <c r="O11" s="3296">
        <f t="shared" si="5"/>
        <v>2700</v>
      </c>
      <c r="P11" s="3294">
        <f>SUM(S11/3)</f>
        <v>300</v>
      </c>
      <c r="Q11" s="3294">
        <f>SUM(P11)</f>
        <v>300</v>
      </c>
      <c r="R11" s="3294">
        <f>SUM(P11)</f>
        <v>300</v>
      </c>
      <c r="S11" s="3296">
        <f>SUM('Прил. 1 План ФХД табл 1'!H20)</f>
        <v>900</v>
      </c>
      <c r="T11" s="3297">
        <f t="shared" si="6"/>
        <v>3600</v>
      </c>
    </row>
    <row r="12" spans="1:20" ht="35.1" customHeight="1">
      <c r="A12" s="3290" t="s">
        <v>1813</v>
      </c>
      <c r="B12" s="3295">
        <f>B13+B14</f>
        <v>19008.894062891628</v>
      </c>
      <c r="C12" s="3295">
        <f t="shared" ref="C12:D12" si="7">C13+C14</f>
        <v>18873.534899566064</v>
      </c>
      <c r="D12" s="3295">
        <f t="shared" si="7"/>
        <v>20077.968032000124</v>
      </c>
      <c r="E12" s="3291">
        <f t="shared" si="2"/>
        <v>57960.396994457813</v>
      </c>
      <c r="F12" s="3295">
        <f t="shared" ref="F12:H12" si="8">F13+F14</f>
        <v>18619.231956388387</v>
      </c>
      <c r="G12" s="3295">
        <f t="shared" si="8"/>
        <v>18165.536588162355</v>
      </c>
      <c r="H12" s="3295">
        <f t="shared" si="8"/>
        <v>19315.5110031205</v>
      </c>
      <c r="I12" s="3291">
        <f t="shared" si="3"/>
        <v>56100.279547671234</v>
      </c>
      <c r="J12" s="3291">
        <f t="shared" si="4"/>
        <v>114060.67654212905</v>
      </c>
      <c r="K12" s="3295">
        <f t="shared" ref="K12:L12" si="9">K13+K14</f>
        <v>18655.922743998257</v>
      </c>
      <c r="L12" s="3295">
        <f t="shared" si="9"/>
        <v>18652.940274755707</v>
      </c>
      <c r="M12" s="3295">
        <f>M13+M14</f>
        <v>20203.907355871339</v>
      </c>
      <c r="N12" s="3291">
        <f t="shared" si="0"/>
        <v>57512.77037462531</v>
      </c>
      <c r="O12" s="3291">
        <f t="shared" si="5"/>
        <v>171573.44691675436</v>
      </c>
      <c r="P12" s="3295">
        <f t="shared" ref="P12:R12" si="10">P13+P14</f>
        <v>19260.466840435434</v>
      </c>
      <c r="Q12" s="3295">
        <f t="shared" si="10"/>
        <v>19398.80462695246</v>
      </c>
      <c r="R12" s="3295">
        <f t="shared" si="10"/>
        <v>20839.929370283946</v>
      </c>
      <c r="S12" s="3291">
        <f t="shared" si="1"/>
        <v>59499.200837671844</v>
      </c>
      <c r="T12" s="3292">
        <f t="shared" si="6"/>
        <v>231072.6477544262</v>
      </c>
    </row>
    <row r="13" spans="1:20" ht="35.1" customHeight="1">
      <c r="A13" s="3293" t="s">
        <v>46</v>
      </c>
      <c r="B13" s="3294">
        <f>SUM('Произв. прогр. Вода (СВОД)'!E83)</f>
        <v>10954.148260065667</v>
      </c>
      <c r="C13" s="3294">
        <f>SUM('Произв. прогр. Вода (СВОД)'!F83)</f>
        <v>10831.397676308565</v>
      </c>
      <c r="D13" s="3294">
        <f>SUM('Произв. прогр. Вода (СВОД)'!G83)</f>
        <v>11661.271742860939</v>
      </c>
      <c r="E13" s="3296">
        <f t="shared" si="2"/>
        <v>33446.817679235173</v>
      </c>
      <c r="F13" s="3294">
        <f>SUM('Произв. прогр. Вода (СВОД)'!I83)</f>
        <v>10597.805729422742</v>
      </c>
      <c r="G13" s="3294">
        <f>SUM('Произв. прогр. Вода (СВОД)'!J83)</f>
        <v>10202.11957778145</v>
      </c>
      <c r="H13" s="3294">
        <f>SUM('Произв. прогр. Вода (СВОД)'!K83)</f>
        <v>10979.182885868409</v>
      </c>
      <c r="I13" s="3296">
        <f t="shared" si="3"/>
        <v>31779.1081930726</v>
      </c>
      <c r="J13" s="3296">
        <f t="shared" si="4"/>
        <v>65225.925872307773</v>
      </c>
      <c r="K13" s="3294">
        <f>SUM('Произв. прогр. Вода (СВОД)'!N83)</f>
        <v>10427.163907655628</v>
      </c>
      <c r="L13" s="3294">
        <f>SUM('Произв. прогр. Вода (СВОД)'!O83)</f>
        <v>10425.027073160913</v>
      </c>
      <c r="M13" s="3294">
        <f>SUM('Произв. прогр. Вода (СВОД)'!P83)</f>
        <v>11548.518562303096</v>
      </c>
      <c r="N13" s="3296">
        <f t="shared" si="0"/>
        <v>32400.709543119636</v>
      </c>
      <c r="O13" s="3296">
        <f t="shared" si="5"/>
        <v>97626.635415427416</v>
      </c>
      <c r="P13" s="3294">
        <f>SUM('Произв. прогр. Вода (СВОД)'!S83)</f>
        <v>10960.677155789799</v>
      </c>
      <c r="Q13" s="3294">
        <f>SUM('Произв. прогр. Вода (СВОД)'!T83)</f>
        <v>11089.419966679612</v>
      </c>
      <c r="R13" s="3294">
        <f>SUM('Произв. прогр. Вода (СВОД)'!U83)</f>
        <v>12136.123329713415</v>
      </c>
      <c r="S13" s="3296">
        <f t="shared" si="1"/>
        <v>34186.220452182824</v>
      </c>
      <c r="T13" s="3297">
        <f t="shared" si="6"/>
        <v>131812.85586761025</v>
      </c>
    </row>
    <row r="14" spans="1:20" ht="35.1" customHeight="1">
      <c r="A14" s="3293" t="s">
        <v>47</v>
      </c>
      <c r="B14" s="3294">
        <f>SUM('Произв. прогр. Стоки (СВОД)'!E71)</f>
        <v>8054.7458028259616</v>
      </c>
      <c r="C14" s="3294">
        <f>SUM('Произв. прогр. Стоки (СВОД)'!F71)</f>
        <v>8042.1372232575004</v>
      </c>
      <c r="D14" s="3294">
        <f>SUM('Произв. прогр. Стоки (СВОД)'!G71)</f>
        <v>8416.696289139185</v>
      </c>
      <c r="E14" s="3296">
        <f t="shared" si="2"/>
        <v>24513.579315222647</v>
      </c>
      <c r="F14" s="3294">
        <f>SUM('Произв. прогр. Стоки (СВОД)'!I71)</f>
        <v>8021.4262269656438</v>
      </c>
      <c r="G14" s="3294">
        <f>SUM('Произв. прогр. Стоки (СВОД)'!J71)</f>
        <v>7963.4170103809038</v>
      </c>
      <c r="H14" s="3294">
        <f>SUM('Произв. прогр. Стоки (СВОД)'!K71)</f>
        <v>8336.328117252091</v>
      </c>
      <c r="I14" s="3296">
        <f t="shared" si="3"/>
        <v>24321.171354598639</v>
      </c>
      <c r="J14" s="3296">
        <f t="shared" si="4"/>
        <v>48834.750669821282</v>
      </c>
      <c r="K14" s="3294">
        <f>SUM('Произв. прогр. Стоки (СВОД)'!N71)</f>
        <v>8228.7588363426312</v>
      </c>
      <c r="L14" s="3294">
        <f>SUM('Произв. прогр. Стоки (СВОД)'!O71)</f>
        <v>8227.9132015947944</v>
      </c>
      <c r="M14" s="3294">
        <f>SUM('Произв. прогр. Стоки (СВОД)'!P71)</f>
        <v>8655.3887935682433</v>
      </c>
      <c r="N14" s="3296">
        <f t="shared" ref="N14" si="11">SUM(K14:M14)</f>
        <v>25112.060831505667</v>
      </c>
      <c r="O14" s="3296">
        <f t="shared" si="5"/>
        <v>73946.811501326942</v>
      </c>
      <c r="P14" s="3294">
        <f>SUM('Произв. прогр. Стоки (СВОД)'!S71)</f>
        <v>8299.7896846456351</v>
      </c>
      <c r="Q14" s="3294">
        <f>SUM('Произв. прогр. Стоки (СВОД)'!T71)</f>
        <v>8309.3846602728481</v>
      </c>
      <c r="R14" s="3294">
        <f>SUM('Произв. прогр. Стоки (СВОД)'!U71)</f>
        <v>8703.806040570531</v>
      </c>
      <c r="S14" s="3296">
        <f t="shared" ref="S14" si="12">SUM(P14:R14)</f>
        <v>25312.980385489012</v>
      </c>
      <c r="T14" s="3297">
        <f t="shared" si="6"/>
        <v>99259.791886815947</v>
      </c>
    </row>
    <row r="15" spans="1:20" ht="35.1" customHeight="1">
      <c r="A15" s="3290" t="s">
        <v>1814</v>
      </c>
      <c r="B15" s="3295">
        <f>B16+B17+B18</f>
        <v>-205.51920307949422</v>
      </c>
      <c r="C15" s="3295">
        <f t="shared" ref="C15:D15" si="13">C16+C17+C18</f>
        <v>-178.42446568822288</v>
      </c>
      <c r="D15" s="3295">
        <f t="shared" si="13"/>
        <v>-1382.8575981222821</v>
      </c>
      <c r="E15" s="3291">
        <f t="shared" si="2"/>
        <v>-1766.8012668899992</v>
      </c>
      <c r="F15" s="3295">
        <f t="shared" ref="F15:H15" si="14">F16+F17+F18</f>
        <v>-32.385948444839414</v>
      </c>
      <c r="G15" s="3295">
        <f t="shared" si="14"/>
        <v>-553.07041362743894</v>
      </c>
      <c r="H15" s="3295">
        <f t="shared" si="14"/>
        <v>-1703.0448285855855</v>
      </c>
      <c r="I15" s="3291">
        <f t="shared" si="3"/>
        <v>-2288.5011906578638</v>
      </c>
      <c r="J15" s="3291">
        <f t="shared" si="4"/>
        <v>-4055.302457547863</v>
      </c>
      <c r="K15" s="3295">
        <f t="shared" ref="K15:M15" si="15">K16+K17+K18</f>
        <v>1303.9468109358877</v>
      </c>
      <c r="L15" s="3295">
        <f t="shared" si="15"/>
        <v>1306.9292801784395</v>
      </c>
      <c r="M15" s="3295">
        <f t="shared" si="15"/>
        <v>860.27492921970224</v>
      </c>
      <c r="N15" s="3291">
        <f t="shared" si="0"/>
        <v>3471.1510203340295</v>
      </c>
      <c r="O15" s="3291">
        <f t="shared" si="5"/>
        <v>-584.15143721383356</v>
      </c>
      <c r="P15" s="3295">
        <f t="shared" ref="P15:R15" si="16">P16+P17+P18</f>
        <v>1926.4168591174894</v>
      </c>
      <c r="Q15" s="3295">
        <f t="shared" si="16"/>
        <v>1788.0790726004634</v>
      </c>
      <c r="R15" s="3295">
        <f t="shared" si="16"/>
        <v>469.65574373085474</v>
      </c>
      <c r="S15" s="3291">
        <f t="shared" si="1"/>
        <v>4184.1516754488075</v>
      </c>
      <c r="T15" s="3292">
        <f t="shared" si="6"/>
        <v>3600.0002382349739</v>
      </c>
    </row>
    <row r="16" spans="1:20" ht="35.1" customHeight="1">
      <c r="A16" s="3293" t="s">
        <v>46</v>
      </c>
      <c r="B16" s="3294">
        <f t="shared" ref="B16:D17" si="17">B9-B13</f>
        <v>170.95193846040456</v>
      </c>
      <c r="C16" s="3294">
        <f t="shared" si="17"/>
        <v>228.45451427022999</v>
      </c>
      <c r="D16" s="3294">
        <f t="shared" si="17"/>
        <v>-601.41955228214465</v>
      </c>
      <c r="E16" s="3296">
        <f t="shared" si="2"/>
        <v>-202.01309955151009</v>
      </c>
      <c r="F16" s="3294">
        <f t="shared" ref="F16:H17" si="18">F9-F13</f>
        <v>396.79845320877212</v>
      </c>
      <c r="G16" s="3294">
        <f t="shared" si="18"/>
        <v>205.25253332456123</v>
      </c>
      <c r="H16" s="3294">
        <f t="shared" si="18"/>
        <v>-571.81077476239807</v>
      </c>
      <c r="I16" s="3296">
        <f t="shared" si="3"/>
        <v>30.240211770935275</v>
      </c>
      <c r="J16" s="3296">
        <f t="shared" si="4"/>
        <v>-171.77288778057482</v>
      </c>
      <c r="K16" s="3294">
        <f t="shared" ref="K16:M17" si="19">K9-K13</f>
        <v>254.43559576892585</v>
      </c>
      <c r="L16" s="3294">
        <f t="shared" si="19"/>
        <v>256.57243026364085</v>
      </c>
      <c r="M16" s="3294">
        <f t="shared" si="19"/>
        <v>-266.37023993431467</v>
      </c>
      <c r="N16" s="3296">
        <f t="shared" si="0"/>
        <v>244.63778609825204</v>
      </c>
      <c r="O16" s="3296">
        <f t="shared" si="5"/>
        <v>72.864898317677216</v>
      </c>
      <c r="P16" s="3294">
        <f t="shared" ref="P16:R17" si="20">P9-P13</f>
        <v>388.19881312834514</v>
      </c>
      <c r="Q16" s="3294">
        <f t="shared" si="20"/>
        <v>259.45600223853216</v>
      </c>
      <c r="R16" s="3294">
        <f t="shared" si="20"/>
        <v>-720.51971424591284</v>
      </c>
      <c r="S16" s="3296">
        <f t="shared" si="1"/>
        <v>-72.864898879035536</v>
      </c>
      <c r="T16" s="3297">
        <f t="shared" si="6"/>
        <v>-5.6135831982828677E-7</v>
      </c>
    </row>
    <row r="17" spans="1:20" ht="35.1" customHeight="1">
      <c r="A17" s="3293" t="s">
        <v>47</v>
      </c>
      <c r="B17" s="3294">
        <f t="shared" si="17"/>
        <v>-676.47114153989878</v>
      </c>
      <c r="C17" s="3294">
        <f t="shared" si="17"/>
        <v>-706.87897995845287</v>
      </c>
      <c r="D17" s="3294">
        <f t="shared" si="17"/>
        <v>-1081.4380458401374</v>
      </c>
      <c r="E17" s="3296">
        <f t="shared" si="2"/>
        <v>-2464.7881673384891</v>
      </c>
      <c r="F17" s="3294">
        <f t="shared" si="18"/>
        <v>-729.18440165361153</v>
      </c>
      <c r="G17" s="3294">
        <f t="shared" si="18"/>
        <v>-1058.3229469520002</v>
      </c>
      <c r="H17" s="3294">
        <f t="shared" si="18"/>
        <v>-1431.2340538231874</v>
      </c>
      <c r="I17" s="3296">
        <f t="shared" si="3"/>
        <v>-3218.7414024287991</v>
      </c>
      <c r="J17" s="3296">
        <f t="shared" si="4"/>
        <v>-5683.5295697672882</v>
      </c>
      <c r="K17" s="3294">
        <f t="shared" si="19"/>
        <v>749.51121516696185</v>
      </c>
      <c r="L17" s="3294">
        <f t="shared" si="19"/>
        <v>750.35684991479866</v>
      </c>
      <c r="M17" s="3294">
        <f t="shared" si="19"/>
        <v>826.64516915401691</v>
      </c>
      <c r="N17" s="3296">
        <f t="shared" si="0"/>
        <v>2326.5132342357774</v>
      </c>
      <c r="O17" s="3296">
        <f t="shared" si="5"/>
        <v>-3357.0163355315108</v>
      </c>
      <c r="P17" s="3294">
        <f t="shared" si="20"/>
        <v>1238.2180459891442</v>
      </c>
      <c r="Q17" s="3294">
        <f t="shared" si="20"/>
        <v>1228.6230703619312</v>
      </c>
      <c r="R17" s="3294">
        <f t="shared" si="20"/>
        <v>890.17545797676758</v>
      </c>
      <c r="S17" s="3296">
        <f t="shared" si="1"/>
        <v>3357.016574327843</v>
      </c>
      <c r="T17" s="3297">
        <f t="shared" si="6"/>
        <v>2.3879633226897568E-4</v>
      </c>
    </row>
    <row r="18" spans="1:20" ht="35.1" customHeight="1">
      <c r="A18" s="3293" t="s">
        <v>1812</v>
      </c>
      <c r="B18" s="3294">
        <f>B11</f>
        <v>300</v>
      </c>
      <c r="C18" s="3294">
        <f t="shared" ref="C18:D18" si="21">C11</f>
        <v>300</v>
      </c>
      <c r="D18" s="3294">
        <f t="shared" si="21"/>
        <v>300</v>
      </c>
      <c r="E18" s="3296">
        <f t="shared" si="2"/>
        <v>900</v>
      </c>
      <c r="F18" s="3294">
        <f t="shared" ref="F18:H18" si="22">F11</f>
        <v>300</v>
      </c>
      <c r="G18" s="3294">
        <f t="shared" si="22"/>
        <v>300</v>
      </c>
      <c r="H18" s="3294">
        <f t="shared" si="22"/>
        <v>300</v>
      </c>
      <c r="I18" s="3296">
        <f t="shared" si="3"/>
        <v>900</v>
      </c>
      <c r="J18" s="3296">
        <f t="shared" si="4"/>
        <v>1800</v>
      </c>
      <c r="K18" s="3294">
        <f t="shared" ref="K18:M18" si="23">K11</f>
        <v>300</v>
      </c>
      <c r="L18" s="3294">
        <f t="shared" si="23"/>
        <v>300</v>
      </c>
      <c r="M18" s="3294">
        <f t="shared" si="23"/>
        <v>300</v>
      </c>
      <c r="N18" s="3296">
        <f t="shared" si="0"/>
        <v>900</v>
      </c>
      <c r="O18" s="3296">
        <f t="shared" si="5"/>
        <v>2700</v>
      </c>
      <c r="P18" s="3294">
        <f t="shared" ref="P18:R18" si="24">P11</f>
        <v>300</v>
      </c>
      <c r="Q18" s="3294">
        <f t="shared" si="24"/>
        <v>300</v>
      </c>
      <c r="R18" s="3294">
        <f t="shared" si="24"/>
        <v>300</v>
      </c>
      <c r="S18" s="3296">
        <f t="shared" si="1"/>
        <v>900</v>
      </c>
      <c r="T18" s="3297">
        <f t="shared" si="6"/>
        <v>3600</v>
      </c>
    </row>
    <row r="19" spans="1:20" ht="35.1" customHeight="1">
      <c r="A19" s="3290" t="s">
        <v>1790</v>
      </c>
      <c r="B19" s="3295">
        <v>0</v>
      </c>
      <c r="C19" s="3295">
        <v>0</v>
      </c>
      <c r="D19" s="3295">
        <v>0</v>
      </c>
      <c r="E19" s="3291">
        <f t="shared" si="2"/>
        <v>0</v>
      </c>
      <c r="F19" s="3295">
        <v>0</v>
      </c>
      <c r="G19" s="3295">
        <v>0</v>
      </c>
      <c r="H19" s="3295">
        <v>0</v>
      </c>
      <c r="I19" s="3291">
        <f t="shared" si="3"/>
        <v>0</v>
      </c>
      <c r="J19" s="3291">
        <f t="shared" si="4"/>
        <v>0</v>
      </c>
      <c r="K19" s="3295">
        <v>0</v>
      </c>
      <c r="L19" s="3295">
        <v>0</v>
      </c>
      <c r="M19" s="3295">
        <v>0</v>
      </c>
      <c r="N19" s="3291">
        <f t="shared" si="0"/>
        <v>0</v>
      </c>
      <c r="O19" s="3291">
        <f t="shared" si="5"/>
        <v>0</v>
      </c>
      <c r="P19" s="3295">
        <v>0</v>
      </c>
      <c r="Q19" s="3295">
        <v>0</v>
      </c>
      <c r="R19" s="3295">
        <v>0</v>
      </c>
      <c r="S19" s="3291">
        <f t="shared" si="1"/>
        <v>0</v>
      </c>
      <c r="T19" s="3292">
        <f t="shared" si="6"/>
        <v>0</v>
      </c>
    </row>
    <row r="20" spans="1:20" ht="35.1" customHeight="1">
      <c r="A20" s="3290" t="s">
        <v>1791</v>
      </c>
      <c r="B20" s="3295">
        <f>SUM(B21:B23)</f>
        <v>300</v>
      </c>
      <c r="C20" s="3295">
        <f>SUM(C21:C23)</f>
        <v>300</v>
      </c>
      <c r="D20" s="3295">
        <f>SUM(D21:D23)</f>
        <v>300</v>
      </c>
      <c r="E20" s="3291">
        <f t="shared" si="2"/>
        <v>900</v>
      </c>
      <c r="F20" s="3295">
        <f>SUM(F21:F23)</f>
        <v>300</v>
      </c>
      <c r="G20" s="3295">
        <f>SUM(G21:G23)</f>
        <v>300</v>
      </c>
      <c r="H20" s="3295">
        <f>SUM(H21:H23)</f>
        <v>300</v>
      </c>
      <c r="I20" s="3291">
        <f t="shared" si="3"/>
        <v>900</v>
      </c>
      <c r="J20" s="3291">
        <f t="shared" si="4"/>
        <v>1800</v>
      </c>
      <c r="K20" s="3295">
        <f>SUM(K21:K23)</f>
        <v>300</v>
      </c>
      <c r="L20" s="3295">
        <f>SUM(L21:L23)</f>
        <v>300</v>
      </c>
      <c r="M20" s="3295">
        <f>SUM(M21:M23)</f>
        <v>300</v>
      </c>
      <c r="N20" s="3291">
        <f t="shared" si="0"/>
        <v>900</v>
      </c>
      <c r="O20" s="3291">
        <f t="shared" si="5"/>
        <v>2700</v>
      </c>
      <c r="P20" s="3295">
        <f>SUM(P21:P23)</f>
        <v>300</v>
      </c>
      <c r="Q20" s="3295">
        <f>SUM(Q21:Q23)</f>
        <v>300</v>
      </c>
      <c r="R20" s="3295">
        <f>SUM(R21:R23)</f>
        <v>300</v>
      </c>
      <c r="S20" s="3291">
        <f t="shared" si="1"/>
        <v>900</v>
      </c>
      <c r="T20" s="3292">
        <f t="shared" si="6"/>
        <v>3600</v>
      </c>
    </row>
    <row r="21" spans="1:20" ht="35.1" customHeight="1">
      <c r="A21" s="3293" t="s">
        <v>1815</v>
      </c>
      <c r="B21" s="3294">
        <f t="shared" ref="B21:B23" si="25">SUM(E21/3)</f>
        <v>187.5</v>
      </c>
      <c r="C21" s="3294">
        <f t="shared" ref="C21:C23" si="26">SUM(B21)</f>
        <v>187.5</v>
      </c>
      <c r="D21" s="3294">
        <f t="shared" ref="D21:D23" si="27">SUM(B21)</f>
        <v>187.5</v>
      </c>
      <c r="E21" s="3296">
        <f>SUM('Прил. 1 План ФХД табл 1'!C36)</f>
        <v>562.5</v>
      </c>
      <c r="F21" s="3294">
        <f t="shared" ref="F21:F23" si="28">SUM(I21/3)</f>
        <v>187.5</v>
      </c>
      <c r="G21" s="3294">
        <f t="shared" ref="G21:G23" si="29">SUM(F21)</f>
        <v>187.5</v>
      </c>
      <c r="H21" s="3294">
        <f t="shared" ref="H21:H23" si="30">SUM(F21)</f>
        <v>187.5</v>
      </c>
      <c r="I21" s="3296">
        <f>SUM('Прил. 1 План ФХД табл 1'!D36)</f>
        <v>562.5</v>
      </c>
      <c r="J21" s="3296">
        <f t="shared" si="4"/>
        <v>1125</v>
      </c>
      <c r="K21" s="3294">
        <f t="shared" ref="K21:K23" si="31">SUM(N21/3)</f>
        <v>187.5</v>
      </c>
      <c r="L21" s="3294">
        <f t="shared" ref="L21:L23" si="32">SUM(K21)</f>
        <v>187.5</v>
      </c>
      <c r="M21" s="3294">
        <f t="shared" ref="M21:M23" si="33">SUM(K21)</f>
        <v>187.5</v>
      </c>
      <c r="N21" s="3296">
        <f>SUM('Прил. 1 План ФХД табл 1'!F36)</f>
        <v>562.5</v>
      </c>
      <c r="O21" s="3296">
        <f t="shared" si="5"/>
        <v>1687.5</v>
      </c>
      <c r="P21" s="3294">
        <f t="shared" ref="P21:P23" si="34">SUM(S21/3)</f>
        <v>187.5</v>
      </c>
      <c r="Q21" s="3294">
        <f t="shared" ref="Q21:Q23" si="35">SUM(P21)</f>
        <v>187.5</v>
      </c>
      <c r="R21" s="3294">
        <f t="shared" ref="R21:R23" si="36">SUM(P21)</f>
        <v>187.5</v>
      </c>
      <c r="S21" s="3296">
        <f>SUM('Прил. 1 План ФХД табл 1'!H36)</f>
        <v>562.5</v>
      </c>
      <c r="T21" s="3297">
        <f t="shared" si="6"/>
        <v>2250</v>
      </c>
    </row>
    <row r="22" spans="1:20" ht="35.1" customHeight="1">
      <c r="A22" s="3293" t="s">
        <v>1793</v>
      </c>
      <c r="B22" s="3294">
        <f t="shared" si="25"/>
        <v>95.833333333333329</v>
      </c>
      <c r="C22" s="3294">
        <f t="shared" si="26"/>
        <v>95.833333333333329</v>
      </c>
      <c r="D22" s="3294">
        <f t="shared" si="27"/>
        <v>95.833333333333329</v>
      </c>
      <c r="E22" s="3296">
        <f>SUM('Прил. 1 План ФХД табл 1'!C37)</f>
        <v>287.5</v>
      </c>
      <c r="F22" s="3294">
        <f t="shared" si="28"/>
        <v>95.833333333333329</v>
      </c>
      <c r="G22" s="3294">
        <f t="shared" si="29"/>
        <v>95.833333333333329</v>
      </c>
      <c r="H22" s="3294">
        <f t="shared" si="30"/>
        <v>95.833333333333329</v>
      </c>
      <c r="I22" s="3296">
        <f>SUM('Прил. 1 План ФХД табл 1'!D37)</f>
        <v>287.5</v>
      </c>
      <c r="J22" s="3296">
        <f t="shared" si="4"/>
        <v>575</v>
      </c>
      <c r="K22" s="3294">
        <f t="shared" si="31"/>
        <v>95.833333333333329</v>
      </c>
      <c r="L22" s="3294">
        <f t="shared" si="32"/>
        <v>95.833333333333329</v>
      </c>
      <c r="M22" s="3294">
        <f t="shared" si="33"/>
        <v>95.833333333333329</v>
      </c>
      <c r="N22" s="3296">
        <f>SUM('Прил. 1 План ФХД табл 1'!F37)</f>
        <v>287.5</v>
      </c>
      <c r="O22" s="3296">
        <f t="shared" si="5"/>
        <v>862.5</v>
      </c>
      <c r="P22" s="3294">
        <f t="shared" si="34"/>
        <v>95.833333333333329</v>
      </c>
      <c r="Q22" s="3294">
        <f t="shared" si="35"/>
        <v>95.833333333333329</v>
      </c>
      <c r="R22" s="3294">
        <f t="shared" si="36"/>
        <v>95.833333333333329</v>
      </c>
      <c r="S22" s="3296">
        <f>SUM('Прил. 1 План ФХД табл 1'!H37)</f>
        <v>287.5</v>
      </c>
      <c r="T22" s="3297">
        <f t="shared" si="6"/>
        <v>1150</v>
      </c>
    </row>
    <row r="23" spans="1:20" ht="35.1" customHeight="1">
      <c r="A23" s="3293" t="s">
        <v>1816</v>
      </c>
      <c r="B23" s="3294">
        <f t="shared" si="25"/>
        <v>16.666666666666668</v>
      </c>
      <c r="C23" s="3294">
        <f t="shared" si="26"/>
        <v>16.666666666666668</v>
      </c>
      <c r="D23" s="3294">
        <f t="shared" si="27"/>
        <v>16.666666666666668</v>
      </c>
      <c r="E23" s="3296">
        <f>SUM('Прил. 1 План ФХД табл 1'!C38)</f>
        <v>50</v>
      </c>
      <c r="F23" s="3294">
        <f t="shared" si="28"/>
        <v>16.666666666666668</v>
      </c>
      <c r="G23" s="3294">
        <f t="shared" si="29"/>
        <v>16.666666666666668</v>
      </c>
      <c r="H23" s="3294">
        <f t="shared" si="30"/>
        <v>16.666666666666668</v>
      </c>
      <c r="I23" s="3296">
        <f>SUM('Прил. 1 План ФХД табл 1'!D38)</f>
        <v>50</v>
      </c>
      <c r="J23" s="3296">
        <f t="shared" si="4"/>
        <v>100</v>
      </c>
      <c r="K23" s="3294">
        <f t="shared" si="31"/>
        <v>16.666666666666668</v>
      </c>
      <c r="L23" s="3294">
        <f t="shared" si="32"/>
        <v>16.666666666666668</v>
      </c>
      <c r="M23" s="3294">
        <f t="shared" si="33"/>
        <v>16.666666666666668</v>
      </c>
      <c r="N23" s="3296">
        <f>SUM('Прил. 1 План ФХД табл 1'!F38)</f>
        <v>50</v>
      </c>
      <c r="O23" s="3296">
        <f t="shared" si="5"/>
        <v>150</v>
      </c>
      <c r="P23" s="3294">
        <f t="shared" si="34"/>
        <v>16.666666666666668</v>
      </c>
      <c r="Q23" s="3294">
        <f t="shared" si="35"/>
        <v>16.666666666666668</v>
      </c>
      <c r="R23" s="3294">
        <f t="shared" si="36"/>
        <v>16.666666666666668</v>
      </c>
      <c r="S23" s="3296">
        <f>SUM('Прил. 1 План ФХД табл 1'!H38)</f>
        <v>50</v>
      </c>
      <c r="T23" s="3297">
        <f t="shared" si="6"/>
        <v>200</v>
      </c>
    </row>
    <row r="24" spans="1:20" ht="35.1" customHeight="1">
      <c r="A24" s="3290" t="s">
        <v>1817</v>
      </c>
      <c r="B24" s="3295">
        <f>SUM(B15+B19-B20)</f>
        <v>-505.51920307949422</v>
      </c>
      <c r="C24" s="3295">
        <f t="shared" ref="C24:D24" si="37">SUM(C15+C19-C20)</f>
        <v>-478.42446568822288</v>
      </c>
      <c r="D24" s="3295">
        <f t="shared" si="37"/>
        <v>-1682.8575981222821</v>
      </c>
      <c r="E24" s="3291">
        <f t="shared" si="2"/>
        <v>-2666.8012668899992</v>
      </c>
      <c r="F24" s="3295">
        <f>SUM(F15+F19-F20)</f>
        <v>-332.38594844483941</v>
      </c>
      <c r="G24" s="3295">
        <f t="shared" ref="G24:H24" si="38">SUM(G15+G19-G20)</f>
        <v>-853.07041362743894</v>
      </c>
      <c r="H24" s="3295">
        <f t="shared" si="38"/>
        <v>-2003.0448285855855</v>
      </c>
      <c r="I24" s="3291">
        <f t="shared" ref="I24" si="39">SUM(F24:H24)</f>
        <v>-3188.5011906578638</v>
      </c>
      <c r="J24" s="3291">
        <f t="shared" si="4"/>
        <v>-5855.302457547863</v>
      </c>
      <c r="K24" s="3295">
        <f>SUM(K15+K19-K20)</f>
        <v>1003.9468109358877</v>
      </c>
      <c r="L24" s="3295">
        <f t="shared" ref="L24:M24" si="40">SUM(L15+L19-L20)</f>
        <v>1006.9292801784395</v>
      </c>
      <c r="M24" s="3295">
        <f t="shared" si="40"/>
        <v>560.27492921970224</v>
      </c>
      <c r="N24" s="3291">
        <f t="shared" si="0"/>
        <v>2571.1510203340295</v>
      </c>
      <c r="O24" s="3291">
        <f t="shared" si="5"/>
        <v>-3284.1514372138336</v>
      </c>
      <c r="P24" s="3295">
        <f>SUM(P15+P19-P20)</f>
        <v>1626.4168591174894</v>
      </c>
      <c r="Q24" s="3295">
        <f t="shared" ref="Q24:R24" si="41">SUM(Q15+Q19-Q20)</f>
        <v>1488.0790726004634</v>
      </c>
      <c r="R24" s="3295">
        <f t="shared" si="41"/>
        <v>169.65574373085474</v>
      </c>
      <c r="S24" s="3291">
        <f t="shared" si="1"/>
        <v>3284.1516754488075</v>
      </c>
      <c r="T24" s="3292">
        <f t="shared" ref="T24:T26" si="42">O24+S24</f>
        <v>2.3823497394914739E-4</v>
      </c>
    </row>
    <row r="25" spans="1:20" ht="35.1" customHeight="1">
      <c r="A25" s="4652" t="s">
        <v>1795</v>
      </c>
      <c r="B25" s="4653">
        <f>SUM(B24-(B24*20%))</f>
        <v>-404.41536246359539</v>
      </c>
      <c r="C25" s="4653">
        <f t="shared" ref="C25:D25" si="43">SUM(C24-(C24*20%))</f>
        <v>-382.73957255057832</v>
      </c>
      <c r="D25" s="4653">
        <f t="shared" si="43"/>
        <v>-1346.2860784978257</v>
      </c>
      <c r="E25" s="4654">
        <f t="shared" si="2"/>
        <v>-2133.4410135119992</v>
      </c>
      <c r="F25" s="4653">
        <f>SUM(F24-(F24*20%))</f>
        <v>-265.90875875587153</v>
      </c>
      <c r="G25" s="4653">
        <f t="shared" ref="G25" si="44">SUM(G24-(G24*20%))</f>
        <v>-682.45633090195111</v>
      </c>
      <c r="H25" s="4653">
        <f t="shared" ref="H25" si="45">SUM(H24-(H24*20%))</f>
        <v>-1602.4358628684683</v>
      </c>
      <c r="I25" s="4654">
        <f t="shared" si="3"/>
        <v>-2550.800952526291</v>
      </c>
      <c r="J25" s="4654">
        <f t="shared" si="4"/>
        <v>-4684.2419660382902</v>
      </c>
      <c r="K25" s="4653">
        <f>SUM(K24-(K24*20%))</f>
        <v>803.15744874871018</v>
      </c>
      <c r="L25" s="4653">
        <f t="shared" ref="L25" si="46">SUM(L24-(L24*20%))</f>
        <v>805.54342414275163</v>
      </c>
      <c r="M25" s="4653">
        <f t="shared" ref="M25" si="47">SUM(M24-(M24*20%))</f>
        <v>448.21994337576177</v>
      </c>
      <c r="N25" s="4654">
        <f t="shared" si="0"/>
        <v>2056.9208162672235</v>
      </c>
      <c r="O25" s="4654">
        <f t="shared" si="5"/>
        <v>-2627.3211497710668</v>
      </c>
      <c r="P25" s="4653">
        <f>SUM(P24-(P24*20%))</f>
        <v>1301.1334872939915</v>
      </c>
      <c r="Q25" s="4653">
        <f t="shared" ref="Q25" si="48">SUM(Q24-(Q24*20%))</f>
        <v>1190.4632580803707</v>
      </c>
      <c r="R25" s="4653">
        <f t="shared" ref="R25" si="49">SUM(R24-(R24*20%))</f>
        <v>135.72459498468379</v>
      </c>
      <c r="S25" s="4654">
        <f t="shared" si="1"/>
        <v>2627.3213403590462</v>
      </c>
      <c r="T25" s="4655">
        <f t="shared" si="42"/>
        <v>1.9058797943216632E-4</v>
      </c>
    </row>
    <row r="26" spans="1:20" ht="35.1" customHeight="1" thickBot="1">
      <c r="A26" s="4656" t="s">
        <v>1797</v>
      </c>
      <c r="B26" s="4657">
        <f>SUM(B25)</f>
        <v>-404.41536246359539</v>
      </c>
      <c r="C26" s="4657">
        <f t="shared" ref="C26:D26" si="50">SUM(C25)</f>
        <v>-382.73957255057832</v>
      </c>
      <c r="D26" s="4657">
        <f t="shared" si="50"/>
        <v>-1346.2860784978257</v>
      </c>
      <c r="E26" s="4658">
        <f t="shared" si="2"/>
        <v>-2133.4410135119992</v>
      </c>
      <c r="F26" s="4657">
        <f>SUM(F25)</f>
        <v>-265.90875875587153</v>
      </c>
      <c r="G26" s="4657">
        <f t="shared" ref="G26" si="51">SUM(G25)</f>
        <v>-682.45633090195111</v>
      </c>
      <c r="H26" s="4657">
        <f t="shared" ref="H26" si="52">SUM(H25)</f>
        <v>-1602.4358628684683</v>
      </c>
      <c r="I26" s="4658">
        <f t="shared" si="3"/>
        <v>-2550.800952526291</v>
      </c>
      <c r="J26" s="4658">
        <f t="shared" si="4"/>
        <v>-4684.2419660382902</v>
      </c>
      <c r="K26" s="4657">
        <f>SUM(K25)</f>
        <v>803.15744874871018</v>
      </c>
      <c r="L26" s="4657">
        <f t="shared" ref="L26" si="53">SUM(L25)</f>
        <v>805.54342414275163</v>
      </c>
      <c r="M26" s="4657">
        <f t="shared" ref="M26" si="54">SUM(M25)</f>
        <v>448.21994337576177</v>
      </c>
      <c r="N26" s="4658">
        <f t="shared" si="0"/>
        <v>2056.9208162672235</v>
      </c>
      <c r="O26" s="4658">
        <f t="shared" si="5"/>
        <v>-2627.3211497710668</v>
      </c>
      <c r="P26" s="4657">
        <f>SUM(P25)</f>
        <v>1301.1334872939915</v>
      </c>
      <c r="Q26" s="4657">
        <f t="shared" ref="Q26" si="55">SUM(Q25)</f>
        <v>1190.4632580803707</v>
      </c>
      <c r="R26" s="4657">
        <f t="shared" ref="R26" si="56">SUM(R25)</f>
        <v>135.72459498468379</v>
      </c>
      <c r="S26" s="4658">
        <f t="shared" si="1"/>
        <v>2627.3213403590462</v>
      </c>
      <c r="T26" s="4659">
        <f t="shared" si="42"/>
        <v>1.9058797943216632E-4</v>
      </c>
    </row>
    <row r="27" spans="1:20">
      <c r="A27" s="3279"/>
      <c r="B27" s="3283"/>
      <c r="C27" s="3283"/>
      <c r="D27" s="3283"/>
      <c r="E27" s="3283"/>
      <c r="F27" s="3283"/>
      <c r="G27" s="3283"/>
      <c r="H27" s="3283"/>
      <c r="I27" s="3283"/>
      <c r="J27" s="3283"/>
      <c r="K27" s="3283"/>
      <c r="L27" s="3283"/>
      <c r="M27" s="3283"/>
      <c r="N27" s="3283"/>
      <c r="O27" s="3283"/>
      <c r="P27" s="3283"/>
      <c r="Q27" s="3283"/>
      <c r="R27" s="3283"/>
      <c r="S27" s="3283"/>
      <c r="T27" s="3283"/>
    </row>
    <row r="28" spans="1:20">
      <c r="A28" s="3279"/>
      <c r="B28" s="3283"/>
      <c r="C28" s="3283"/>
      <c r="D28" s="3283"/>
      <c r="E28" s="3283"/>
      <c r="F28" s="3283"/>
      <c r="G28" s="3283"/>
      <c r="H28" s="3283"/>
      <c r="I28" s="3283"/>
      <c r="J28" s="3283"/>
      <c r="K28" s="3283"/>
      <c r="L28" s="3283"/>
      <c r="M28" s="3283"/>
      <c r="N28" s="3283"/>
      <c r="O28" s="3283"/>
      <c r="P28" s="3283"/>
      <c r="Q28" s="3283"/>
      <c r="R28" s="3283"/>
      <c r="S28" s="3283"/>
      <c r="T28" s="3283"/>
    </row>
    <row r="29" spans="1:20">
      <c r="A29" s="4945" t="s">
        <v>1822</v>
      </c>
      <c r="B29" s="4946"/>
      <c r="C29" s="4946"/>
      <c r="D29" s="4946"/>
      <c r="E29" s="4946"/>
      <c r="F29" s="4946"/>
      <c r="G29" s="4946"/>
      <c r="H29" s="4946"/>
      <c r="I29" s="4946"/>
      <c r="J29" s="4946"/>
      <c r="K29" s="4946"/>
      <c r="L29" s="4946"/>
      <c r="M29" s="4946"/>
      <c r="N29" s="4946"/>
      <c r="O29" s="4946"/>
      <c r="P29" s="4946"/>
      <c r="Q29" s="4946"/>
      <c r="R29" s="4946"/>
      <c r="S29" s="4946"/>
      <c r="T29" s="4946"/>
    </row>
    <row r="30" spans="1:20">
      <c r="B30" s="3284"/>
      <c r="C30" s="3284"/>
      <c r="D30" s="3284"/>
      <c r="E30" s="3284"/>
      <c r="F30" s="3284"/>
      <c r="G30" s="3284"/>
      <c r="H30" s="3284"/>
      <c r="I30" s="3284"/>
      <c r="J30" s="3284"/>
      <c r="K30" s="3284"/>
      <c r="L30" s="3284"/>
      <c r="M30" s="3284"/>
      <c r="N30" s="3284"/>
      <c r="O30" s="3284"/>
      <c r="P30" s="3284"/>
      <c r="Q30" s="3284"/>
      <c r="R30" s="3284"/>
      <c r="S30" s="3284"/>
      <c r="T30" s="3284"/>
    </row>
  </sheetData>
  <mergeCells count="2">
    <mergeCell ref="A5:T5"/>
    <mergeCell ref="A29:T29"/>
  </mergeCells>
  <printOptions horizontalCentered="1" verticalCentered="1"/>
  <pageMargins left="0.39370078740157483" right="0.39370078740157483" top="0.35433070866141736" bottom="0.35433070866141736" header="0.31496062992125984" footer="0.31496062992125984"/>
  <pageSetup paperSize="9" scale="58" orientation="landscape" horizontalDpi="180" verticalDpi="18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L58"/>
  <sheetViews>
    <sheetView topLeftCell="A26" zoomScale="73" zoomScaleNormal="73" workbookViewId="0">
      <selection activeCell="C40" sqref="C40"/>
    </sheetView>
  </sheetViews>
  <sheetFormatPr defaultRowHeight="12.75"/>
  <cols>
    <col min="1" max="1" width="50.42578125" customWidth="1"/>
    <col min="2" max="2" width="10.7109375" customWidth="1"/>
    <col min="3" max="8" width="11.7109375" customWidth="1"/>
    <col min="9" max="9" width="13.85546875" customWidth="1"/>
  </cols>
  <sheetData>
    <row r="1" spans="1:10" ht="78" customHeight="1">
      <c r="A1" s="3237"/>
      <c r="B1" s="5"/>
      <c r="C1" s="3237"/>
      <c r="D1" s="3237"/>
      <c r="E1" s="3237"/>
      <c r="F1" s="4951" t="s">
        <v>1767</v>
      </c>
      <c r="G1" s="4952"/>
      <c r="H1" s="4952"/>
      <c r="I1" s="4952"/>
    </row>
    <row r="2" spans="1:10" ht="15.75" customHeight="1">
      <c r="A2" s="3237"/>
      <c r="B2" s="5"/>
      <c r="C2" s="3237"/>
      <c r="D2" s="3237"/>
      <c r="E2" s="3237"/>
      <c r="F2" s="3260"/>
      <c r="G2" s="3261"/>
      <c r="H2" s="3261"/>
      <c r="I2" s="3261"/>
    </row>
    <row r="3" spans="1:10" ht="15.75" customHeight="1">
      <c r="A3" s="3237"/>
      <c r="B3" s="5"/>
      <c r="C3" s="3237"/>
      <c r="D3" s="3237"/>
      <c r="E3" s="3237"/>
      <c r="F3" s="4953" t="s">
        <v>1705</v>
      </c>
      <c r="G3" s="4953"/>
      <c r="H3" s="4953"/>
      <c r="I3" s="4953"/>
    </row>
    <row r="4" spans="1:10" ht="15.75" customHeight="1">
      <c r="A4" s="3237"/>
      <c r="B4" s="5"/>
      <c r="C4" s="3237"/>
      <c r="D4" s="3237"/>
      <c r="E4" s="3237"/>
      <c r="F4" s="4953" t="s">
        <v>1768</v>
      </c>
      <c r="G4" s="4953"/>
      <c r="H4" s="4953"/>
      <c r="I4" s="4953"/>
    </row>
    <row r="5" spans="1:10" ht="21" customHeight="1">
      <c r="A5" s="3237"/>
      <c r="B5" s="3237"/>
      <c r="C5" s="3237"/>
      <c r="D5" s="3237"/>
      <c r="E5" s="3237"/>
      <c r="F5" s="4953" t="s">
        <v>1769</v>
      </c>
      <c r="G5" s="4953"/>
      <c r="H5" s="4952"/>
      <c r="I5" s="4953"/>
    </row>
    <row r="6" spans="1:10" ht="21" customHeight="1">
      <c r="A6" s="3237"/>
      <c r="B6" s="3237"/>
      <c r="C6" s="3237"/>
      <c r="D6" s="3237"/>
      <c r="E6" s="3237"/>
      <c r="F6" s="4954" t="s">
        <v>1972</v>
      </c>
      <c r="G6" s="4954"/>
      <c r="H6" s="4954"/>
      <c r="I6" s="4954"/>
    </row>
    <row r="7" spans="1:10" ht="15.75">
      <c r="A7" s="3237"/>
      <c r="B7" s="3237"/>
      <c r="C7" s="3237"/>
      <c r="D7" s="3237"/>
      <c r="E7" s="3237"/>
      <c r="F7" s="3237"/>
      <c r="G7" s="3237"/>
      <c r="H7" s="3237"/>
      <c r="I7" s="3237"/>
    </row>
    <row r="8" spans="1:10" ht="45" customHeight="1">
      <c r="A8" s="4955" t="s">
        <v>1976</v>
      </c>
      <c r="B8" s="4956"/>
      <c r="C8" s="4956"/>
      <c r="D8" s="4956"/>
      <c r="E8" s="4956"/>
      <c r="F8" s="4956"/>
      <c r="G8" s="4956"/>
      <c r="H8" s="4956"/>
      <c r="I8" s="4956"/>
    </row>
    <row r="9" spans="1:10" ht="16.5" thickBot="1">
      <c r="A9" s="3237"/>
      <c r="B9" s="3237"/>
      <c r="C9" s="3237"/>
      <c r="D9" s="3237"/>
      <c r="E9" s="3237"/>
      <c r="F9" s="3237"/>
      <c r="G9" s="3237"/>
      <c r="H9" s="3237"/>
      <c r="I9" s="3185" t="s">
        <v>1777</v>
      </c>
    </row>
    <row r="10" spans="1:10" ht="45.75" customHeight="1">
      <c r="A10" s="3238" t="s">
        <v>373</v>
      </c>
      <c r="B10" s="3239" t="s">
        <v>1006</v>
      </c>
      <c r="C10" s="3239" t="s">
        <v>1778</v>
      </c>
      <c r="D10" s="3239" t="s">
        <v>1779</v>
      </c>
      <c r="E10" s="3239" t="s">
        <v>390</v>
      </c>
      <c r="F10" s="3239" t="s">
        <v>1780</v>
      </c>
      <c r="G10" s="3239" t="s">
        <v>1781</v>
      </c>
      <c r="H10" s="3239" t="s">
        <v>1782</v>
      </c>
      <c r="I10" s="3240" t="s">
        <v>252</v>
      </c>
    </row>
    <row r="11" spans="1:10" ht="19.5" customHeight="1">
      <c r="A11" s="3241" t="s">
        <v>1783</v>
      </c>
      <c r="B11" s="3267" t="s">
        <v>1784</v>
      </c>
      <c r="C11" s="3268">
        <v>286</v>
      </c>
      <c r="D11" s="3268">
        <v>286</v>
      </c>
      <c r="E11" s="3268">
        <v>286</v>
      </c>
      <c r="F11" s="3268">
        <v>286</v>
      </c>
      <c r="G11" s="3268">
        <v>286</v>
      </c>
      <c r="H11" s="3268">
        <v>286</v>
      </c>
      <c r="I11" s="3242">
        <v>286</v>
      </c>
    </row>
    <row r="12" spans="1:10" ht="19.5" customHeight="1">
      <c r="A12" s="4947" t="s">
        <v>1785</v>
      </c>
      <c r="B12" s="4948"/>
      <c r="C12" s="4948"/>
      <c r="D12" s="4948"/>
      <c r="E12" s="4948"/>
      <c r="F12" s="4948"/>
      <c r="G12" s="4948"/>
      <c r="H12" s="4948"/>
      <c r="I12" s="4949"/>
    </row>
    <row r="13" spans="1:10" ht="20.100000000000001" customHeight="1">
      <c r="A13" s="3243" t="s">
        <v>361</v>
      </c>
      <c r="B13" s="4639" t="s">
        <v>1786</v>
      </c>
      <c r="C13" s="4633">
        <f>SUM('Прил. 1 План ФХД вода табл. 2'!L19)</f>
        <v>925.27281000000016</v>
      </c>
      <c r="D13" s="4633">
        <f>SUM('Прил. 1 План ФХД вода табл. 2'!M19)</f>
        <v>885.4371900000001</v>
      </c>
      <c r="E13" s="4633">
        <f>SUM('Прил. 1 План ФХД вода табл. 2'!N19)</f>
        <v>1810.7100000000003</v>
      </c>
      <c r="F13" s="4633">
        <f>SUM('Прил. 1 План ФХД вода табл. 2'!O19)</f>
        <v>885.4371900000001</v>
      </c>
      <c r="G13" s="4633">
        <f>SUM('Прил. 1 План ФХД вода табл. 2'!P19)</f>
        <v>2696.1471900000006</v>
      </c>
      <c r="H13" s="4633">
        <f>SUM('Прил. 1 План ФХД вода табл. 2'!Q19)</f>
        <v>925.27281000000016</v>
      </c>
      <c r="I13" s="4634">
        <f>SUM('Прил. 1 План ФХД вода табл. 2'!R19)</f>
        <v>3621.420000000001</v>
      </c>
    </row>
    <row r="14" spans="1:10" ht="20.100000000000001" customHeight="1">
      <c r="A14" s="3264" t="s">
        <v>351</v>
      </c>
      <c r="B14" s="3275" t="s">
        <v>1786</v>
      </c>
      <c r="C14" s="4633">
        <f>SUM('Прил. 1 План ФХД стоки табл 2'!M15)</f>
        <v>829.99749999999995</v>
      </c>
      <c r="D14" s="4633">
        <f>SUM('Прил. 1 План ФХД стоки табл 2'!N15)</f>
        <v>794.46749999999986</v>
      </c>
      <c r="E14" s="4633">
        <f>SUM('Прил. 1 План ФХД стоки табл 2'!O15)</f>
        <v>1624.4649999999997</v>
      </c>
      <c r="F14" s="4633">
        <f>SUM('Прил. 1 План ФХД стоки табл 2'!P15)</f>
        <v>794.46749999999986</v>
      </c>
      <c r="G14" s="4633">
        <f>SUM('Прил. 1 План ФХД стоки табл 2'!Q15)</f>
        <v>2418.9324999999994</v>
      </c>
      <c r="H14" s="4633">
        <f>SUM('Прил. 1 План ФХД стоки табл 2'!R15)</f>
        <v>829.99749999999995</v>
      </c>
      <c r="I14" s="4634">
        <f>SUM('Прил. 1 План ФХД стоки табл 2'!S15)</f>
        <v>3248.9299999999994</v>
      </c>
    </row>
    <row r="15" spans="1:10" ht="20.100000000000001" customHeight="1">
      <c r="A15" s="3274" t="s">
        <v>1805</v>
      </c>
      <c r="B15" s="3275" t="s">
        <v>190</v>
      </c>
      <c r="C15" s="3271">
        <f t="shared" ref="C15:I15" si="0">SUM(C16:C20)-C17-C19</f>
        <v>56193.595727567816</v>
      </c>
      <c r="D15" s="3271">
        <f t="shared" si="0"/>
        <v>53811.778357013376</v>
      </c>
      <c r="E15" s="3271">
        <f t="shared" si="0"/>
        <v>110005.3740845812</v>
      </c>
      <c r="F15" s="3271">
        <f t="shared" si="0"/>
        <v>60983.92139495934</v>
      </c>
      <c r="G15" s="3271">
        <f t="shared" si="0"/>
        <v>170989.29547954051</v>
      </c>
      <c r="H15" s="3271">
        <f t="shared" si="0"/>
        <v>63683.352513120641</v>
      </c>
      <c r="I15" s="4640">
        <f t="shared" si="0"/>
        <v>234672.64799266122</v>
      </c>
    </row>
    <row r="16" spans="1:10" ht="20.100000000000001" customHeight="1">
      <c r="A16" s="3264" t="s">
        <v>1787</v>
      </c>
      <c r="B16" s="3244" t="s">
        <v>1054</v>
      </c>
      <c r="C16" s="3266">
        <f>SUM('Произв. прогр. Вода (СВОД)'!H35)</f>
        <v>33244.80457968366</v>
      </c>
      <c r="D16" s="3266">
        <f>SUM('Произв. прогр. Вода (СВОД)'!L35)</f>
        <v>31809.348404843538</v>
      </c>
      <c r="E16" s="3266">
        <f>SUM('Произв. прогр. Вода (СВОД)'!M35)</f>
        <v>65054.152984527202</v>
      </c>
      <c r="F16" s="3266">
        <f>SUM('Произв. прогр. Вода (СВОД)'!Q35)</f>
        <v>32645.34732921789</v>
      </c>
      <c r="G16" s="3266">
        <f>SUM('Произв. прогр. Вода (СВОД)'!R35)</f>
        <v>97699.500313745084</v>
      </c>
      <c r="H16" s="3266">
        <f>SUM('Произв. прогр. Вода (СВОД)'!V35)</f>
        <v>34113.355553303787</v>
      </c>
      <c r="I16" s="4651">
        <f>SUM('Произв. прогр. Вода (СВОД)'!B35)</f>
        <v>131812.85586704887</v>
      </c>
      <c r="J16" s="618"/>
    </row>
    <row r="17" spans="1:12" ht="20.100000000000001" customHeight="1">
      <c r="A17" s="3265" t="s">
        <v>1721</v>
      </c>
      <c r="B17" s="3244" t="s">
        <v>1054</v>
      </c>
      <c r="C17" s="4641">
        <f>SUM('Произв. прогр. Вода (СВОД)'!H29)</f>
        <v>4263.3026164471357</v>
      </c>
      <c r="D17" s="4641">
        <f>SUM('Произв. прогр. Вода (СВОД)'!L29)</f>
        <v>4079.755341375047</v>
      </c>
      <c r="E17" s="4641">
        <f>SUM(C17:D17)</f>
        <v>8343.0579578221823</v>
      </c>
      <c r="F17" s="4641">
        <f>SUM('Произв. прогр. Вода (СВОД)'!Q29)</f>
        <v>3780.4316100596366</v>
      </c>
      <c r="G17" s="4641">
        <f>SUM(E17:F17)</f>
        <v>12123.489567881819</v>
      </c>
      <c r="H17" s="4641">
        <f>SUM('Произв. прогр. Вода (СВОД)'!V29)</f>
        <v>3950.5123777923818</v>
      </c>
      <c r="I17" s="4646">
        <f>G17+H17</f>
        <v>16074.001945674201</v>
      </c>
      <c r="J17" s="618"/>
    </row>
    <row r="18" spans="1:12" ht="20.100000000000001" customHeight="1">
      <c r="A18" s="3264" t="s">
        <v>1788</v>
      </c>
      <c r="B18" s="3244" t="s">
        <v>1054</v>
      </c>
      <c r="C18" s="3266">
        <f>SUM('Произв. прогр. Стоки (СВОД)'!H24)</f>
        <v>22048.791147884156</v>
      </c>
      <c r="D18" s="3266">
        <f>SUM('Произв. прогр. Стоки (СВОД)'!L24)</f>
        <v>21102.429952169841</v>
      </c>
      <c r="E18" s="3266">
        <f>SUM('Произв. прогр. Стоки (СВОД)'!M24)</f>
        <v>43151.221100053997</v>
      </c>
      <c r="F18" s="3266">
        <f>SUM('Произв. прогр. Стоки (СВОД)'!Q24)</f>
        <v>27438.574065741446</v>
      </c>
      <c r="G18" s="3266">
        <f>SUM('Произв. прогр. Стоки (СВОД)'!R24)</f>
        <v>70589.79516579544</v>
      </c>
      <c r="H18" s="3266">
        <f>SUM('Произв. прогр. Стоки (СВОД)'!V24)</f>
        <v>28669.996959816857</v>
      </c>
      <c r="I18" s="4651">
        <f>SUM('Произв. прогр. Стоки (СВОД)'!B24)</f>
        <v>99259.792125612294</v>
      </c>
      <c r="J18" s="618"/>
    </row>
    <row r="19" spans="1:12" ht="20.100000000000001" customHeight="1">
      <c r="A19" s="3265" t="s">
        <v>1721</v>
      </c>
      <c r="B19" s="3244" t="s">
        <v>1054</v>
      </c>
      <c r="C19" s="4641">
        <f>SUM('Произв. прогр. Стоки (СВОД)'!H21)</f>
        <v>1844.0612056689497</v>
      </c>
      <c r="D19" s="4641">
        <f>SUM('Произв. прогр. Стоки (СВОД)'!L21)</f>
        <v>1764.6691381059027</v>
      </c>
      <c r="E19" s="4641">
        <f>SUM(C19:D19)</f>
        <v>3608.7303437748524</v>
      </c>
      <c r="F19" s="4641">
        <f>SUM('Произв. прогр. Стоки (СВОД)'!Q21)</f>
        <v>5456.7974535682115</v>
      </c>
      <c r="G19" s="4641">
        <f>SUM(E19:F19)</f>
        <v>9065.5277973430639</v>
      </c>
      <c r="H19" s="4641">
        <f>SUM('Произв. прогр. Стоки (СВОД)'!V21)</f>
        <v>5702.2975435037961</v>
      </c>
      <c r="I19" s="4646">
        <f>G19+H19</f>
        <v>14767.825340846859</v>
      </c>
      <c r="J19" s="618"/>
    </row>
    <row r="20" spans="1:12" ht="20.100000000000001" customHeight="1">
      <c r="A20" s="3264" t="s">
        <v>1789</v>
      </c>
      <c r="B20" s="3244" t="s">
        <v>1054</v>
      </c>
      <c r="C20" s="3266">
        <v>900</v>
      </c>
      <c r="D20" s="3266">
        <v>900</v>
      </c>
      <c r="E20" s="3266">
        <f>C20+D20</f>
        <v>1800</v>
      </c>
      <c r="F20" s="3266">
        <v>900</v>
      </c>
      <c r="G20" s="3266">
        <f>E20+F20</f>
        <v>2700</v>
      </c>
      <c r="H20" s="3266">
        <v>900</v>
      </c>
      <c r="I20" s="4651">
        <f>G20+H20</f>
        <v>3600</v>
      </c>
    </row>
    <row r="21" spans="1:12" ht="20.100000000000001" customHeight="1">
      <c r="A21" s="3274" t="s">
        <v>1806</v>
      </c>
      <c r="B21" s="3275" t="s">
        <v>190</v>
      </c>
      <c r="C21" s="4643">
        <f>SUM(C25+C29)</f>
        <v>57960.396994457828</v>
      </c>
      <c r="D21" s="4643">
        <f t="shared" ref="D21:I21" si="1">SUM(D25+D29)</f>
        <v>56100.279547671242</v>
      </c>
      <c r="E21" s="4643">
        <f t="shared" si="1"/>
        <v>114060.67654212908</v>
      </c>
      <c r="F21" s="4643">
        <f t="shared" si="1"/>
        <v>57512.77037462531</v>
      </c>
      <c r="G21" s="4643">
        <f t="shared" si="1"/>
        <v>171573.44691675439</v>
      </c>
      <c r="H21" s="4643">
        <f t="shared" si="1"/>
        <v>59499.20083767183</v>
      </c>
      <c r="I21" s="4640">
        <f t="shared" si="1"/>
        <v>231072.64775442623</v>
      </c>
    </row>
    <row r="22" spans="1:12" ht="20.100000000000001" customHeight="1">
      <c r="A22" s="3264" t="s">
        <v>361</v>
      </c>
      <c r="B22" s="3244" t="s">
        <v>1054</v>
      </c>
      <c r="C22" s="3266">
        <f>SUM('Прил. 1 План ФХД вода табл. 2'!L55)</f>
        <v>32529.201343468536</v>
      </c>
      <c r="D22" s="3266">
        <f>SUM('Прил. 1 План ФХД вода табл. 2'!M55)</f>
        <v>30861.491857305962</v>
      </c>
      <c r="E22" s="3266">
        <f t="shared" ref="E22:E29" si="2">C22+D22</f>
        <v>63390.693200774498</v>
      </c>
      <c r="F22" s="3266">
        <f>SUM('Прил. 1 План ФХД вода табл. 2'!O55)</f>
        <v>31483.093207352998</v>
      </c>
      <c r="G22" s="3266">
        <f t="shared" ref="G22:G29" si="3">E22+F22</f>
        <v>94873.786408127489</v>
      </c>
      <c r="H22" s="3266">
        <f>SUM('Прил. 1 План ФХД вода табл. 2'!Q55)</f>
        <v>33268.60411641618</v>
      </c>
      <c r="I22" s="4651">
        <f t="shared" ref="I22:I29" si="4">G22+H22</f>
        <v>128142.39052454368</v>
      </c>
    </row>
    <row r="23" spans="1:12" ht="20.100000000000001" customHeight="1">
      <c r="A23" s="4630" t="s">
        <v>1975</v>
      </c>
      <c r="B23" s="3244" t="s">
        <v>1054</v>
      </c>
      <c r="C23" s="4644">
        <f>SUM('Прил. 1 План ФХД вода табл. 2'!L58)</f>
        <v>2573.8413357666359</v>
      </c>
      <c r="D23" s="4644">
        <f>SUM('Прил. 1 План ФХД вода табл. 2'!M58)</f>
        <v>2573.8413357666359</v>
      </c>
      <c r="E23" s="4641">
        <f t="shared" si="2"/>
        <v>5147.6826715332718</v>
      </c>
      <c r="F23" s="4644">
        <f>SUM('Прил. 1 План ФХД вода табл. 2'!O58)</f>
        <v>2573.8413357666359</v>
      </c>
      <c r="G23" s="3266">
        <f t="shared" si="3"/>
        <v>7721.5240072999077</v>
      </c>
      <c r="H23" s="4644">
        <f>SUM('Прил. 1 План ФХД вода табл. 2'!Q58)</f>
        <v>2573.8413357666359</v>
      </c>
      <c r="I23" s="4646">
        <f t="shared" si="4"/>
        <v>10295.365343066544</v>
      </c>
    </row>
    <row r="24" spans="1:12" ht="20.100000000000001" customHeight="1">
      <c r="A24" s="4630" t="s">
        <v>1803</v>
      </c>
      <c r="B24" s="3244" t="s">
        <v>1054</v>
      </c>
      <c r="C24" s="4644">
        <f>SUM('Прил. 1 План ФХД вода табл. 2'!L63)</f>
        <v>-1656.2249999999999</v>
      </c>
      <c r="D24" s="4644">
        <f>SUM('Прил. 1 План ФХД вода табл. 2'!M63)</f>
        <v>-1656.2249999999999</v>
      </c>
      <c r="E24" s="4641">
        <f t="shared" ref="E24" si="5">C24+D24</f>
        <v>-3312.45</v>
      </c>
      <c r="F24" s="4644">
        <f>SUM('Прил. 1 План ФХД вода табл. 2'!O63)</f>
        <v>-1656.2249999999999</v>
      </c>
      <c r="G24" s="4641">
        <f t="shared" si="3"/>
        <v>-4968.6749999999993</v>
      </c>
      <c r="H24" s="4644">
        <f>SUM('Прил. 1 План ФХД вода табл. 2'!Q63)</f>
        <v>-1656.2249999999999</v>
      </c>
      <c r="I24" s="4642">
        <f t="shared" ref="I24" si="6">G24+H24</f>
        <v>-6624.9</v>
      </c>
    </row>
    <row r="25" spans="1:12" ht="20.100000000000001" customHeight="1">
      <c r="A25" s="4631" t="s">
        <v>1968</v>
      </c>
      <c r="B25" s="3244" t="s">
        <v>1054</v>
      </c>
      <c r="C25" s="4645">
        <f>SUM(C22:C24)</f>
        <v>33446.817679235173</v>
      </c>
      <c r="D25" s="4645">
        <f>SUM(D22:D24)</f>
        <v>31779.1081930726</v>
      </c>
      <c r="E25" s="3266">
        <f t="shared" si="2"/>
        <v>65225.925872307773</v>
      </c>
      <c r="F25" s="4645">
        <f>SUM(F22:F24)</f>
        <v>32400.709543119636</v>
      </c>
      <c r="G25" s="3266">
        <f t="shared" si="3"/>
        <v>97626.635415427416</v>
      </c>
      <c r="H25" s="4645">
        <f>SUM(H22:H24)</f>
        <v>34186.220452182817</v>
      </c>
      <c r="I25" s="3245">
        <f t="shared" si="4"/>
        <v>131812.85586761023</v>
      </c>
    </row>
    <row r="26" spans="1:12" ht="20.100000000000001" customHeight="1">
      <c r="A26" s="3264" t="s">
        <v>351</v>
      </c>
      <c r="B26" s="3269" t="s">
        <v>1054</v>
      </c>
      <c r="C26" s="3266">
        <f>SUM('Прил. 1 План ФХД стоки табл 2'!M45)</f>
        <v>22021.42681522265</v>
      </c>
      <c r="D26" s="3266">
        <f>SUM('Прил. 1 План ФХД стоки табл 2'!N45)</f>
        <v>21829.018854598642</v>
      </c>
      <c r="E26" s="3266">
        <f t="shared" si="2"/>
        <v>43850.445669821289</v>
      </c>
      <c r="F26" s="3266">
        <f>SUM('Прил. 1 План ФХД стоки табл 2'!P45)</f>
        <v>22619.908331505671</v>
      </c>
      <c r="G26" s="3266">
        <f t="shared" si="3"/>
        <v>66470.354001326952</v>
      </c>
      <c r="H26" s="3266">
        <f>SUM('Прил. 1 План ФХД стоки табл 2'!R45)</f>
        <v>22820.827885489016</v>
      </c>
      <c r="I26" s="3245">
        <f t="shared" si="4"/>
        <v>89291.181886815961</v>
      </c>
    </row>
    <row r="27" spans="1:12" ht="20.100000000000001" customHeight="1">
      <c r="A27" s="4630" t="s">
        <v>1975</v>
      </c>
      <c r="B27" s="3244" t="s">
        <v>1054</v>
      </c>
      <c r="C27" s="4644">
        <f>SUM('Прил. 1 План ФХД стоки табл 2'!M48)</f>
        <v>3467.6800000000003</v>
      </c>
      <c r="D27" s="4644">
        <f>SUM('Прил. 1 План ФХД стоки табл 2'!N48)</f>
        <v>3467.6800000000003</v>
      </c>
      <c r="E27" s="4641">
        <f t="shared" si="2"/>
        <v>6935.3600000000006</v>
      </c>
      <c r="F27" s="4644">
        <f>SUM('Прил. 1 План ФХД стоки табл 2'!P48)</f>
        <v>3467.6800000000003</v>
      </c>
      <c r="G27" s="4641">
        <f t="shared" si="3"/>
        <v>10403.040000000001</v>
      </c>
      <c r="H27" s="4644">
        <f>SUM('Прил. 1 План ФХД стоки табл 2'!R48)</f>
        <v>3467.6800000000003</v>
      </c>
      <c r="I27" s="4642">
        <f t="shared" si="4"/>
        <v>13870.720000000001</v>
      </c>
    </row>
    <row r="28" spans="1:12" ht="20.100000000000001" customHeight="1">
      <c r="A28" s="4630" t="s">
        <v>1803</v>
      </c>
      <c r="B28" s="3244" t="s">
        <v>1054</v>
      </c>
      <c r="C28" s="4644">
        <f>SUM('Прил. 1 План ФХД стоки табл 2'!M54)</f>
        <v>-975.52750000000003</v>
      </c>
      <c r="D28" s="4644">
        <f>SUM('Прил. 1 План ФХД стоки табл 2'!N54)</f>
        <v>-975.52750000000003</v>
      </c>
      <c r="E28" s="4641">
        <f t="shared" si="2"/>
        <v>-1951.0550000000001</v>
      </c>
      <c r="F28" s="4644">
        <f>SUM('Прил. 1 План ФХД стоки табл 2'!P54)</f>
        <v>-975.52750000000003</v>
      </c>
      <c r="G28" s="4641">
        <f t="shared" ref="G28" si="7">E28+F28</f>
        <v>-2926.5825</v>
      </c>
      <c r="H28" s="4644">
        <f>SUM('Прил. 1 План ФХД стоки табл 2'!R54)</f>
        <v>-975.52750000000003</v>
      </c>
      <c r="I28" s="4642">
        <f t="shared" si="4"/>
        <v>-3902.11</v>
      </c>
    </row>
    <row r="29" spans="1:12" ht="20.100000000000001" customHeight="1">
      <c r="A29" s="4631" t="s">
        <v>1968</v>
      </c>
      <c r="B29" s="3244" t="s">
        <v>1054</v>
      </c>
      <c r="C29" s="4645">
        <f>SUM(C26:C28)</f>
        <v>24513.579315222651</v>
      </c>
      <c r="D29" s="4645">
        <f>SUM(D26:D28)</f>
        <v>24321.171354598642</v>
      </c>
      <c r="E29" s="3266">
        <f t="shared" si="2"/>
        <v>48834.750669821296</v>
      </c>
      <c r="F29" s="4645">
        <f>SUM(F26:F28)</f>
        <v>25112.060831505671</v>
      </c>
      <c r="G29" s="3266">
        <f t="shared" si="3"/>
        <v>73946.811501326971</v>
      </c>
      <c r="H29" s="4645">
        <f>SUM(H26:H28)</f>
        <v>25312.980385489016</v>
      </c>
      <c r="I29" s="4651">
        <f t="shared" si="4"/>
        <v>99259.79188681599</v>
      </c>
    </row>
    <row r="30" spans="1:12" ht="20.100000000000001" customHeight="1">
      <c r="A30" s="3276" t="s">
        <v>1802</v>
      </c>
      <c r="B30" s="3275" t="s">
        <v>190</v>
      </c>
      <c r="C30" s="3271">
        <f>SUM(C31:C33)</f>
        <v>-1766.8012668900083</v>
      </c>
      <c r="D30" s="3271">
        <f t="shared" ref="D30:I30" si="8">SUM(D31:D33)</f>
        <v>-2288.501190657862</v>
      </c>
      <c r="E30" s="3271">
        <f t="shared" si="8"/>
        <v>-4055.3024575478703</v>
      </c>
      <c r="F30" s="3271">
        <f t="shared" si="8"/>
        <v>3471.1510203340295</v>
      </c>
      <c r="G30" s="3271">
        <f t="shared" si="8"/>
        <v>-584.15143721386266</v>
      </c>
      <c r="H30" s="3271">
        <f t="shared" si="8"/>
        <v>4184.1516754488111</v>
      </c>
      <c r="I30" s="4640">
        <f t="shared" si="8"/>
        <v>3600.0002382349485</v>
      </c>
    </row>
    <row r="31" spans="1:12" ht="20.100000000000001" customHeight="1">
      <c r="A31" s="3264" t="s">
        <v>361</v>
      </c>
      <c r="B31" s="3269" t="s">
        <v>1054</v>
      </c>
      <c r="C31" s="3266">
        <f>SUM(C16-C25)</f>
        <v>-202.01309955151373</v>
      </c>
      <c r="D31" s="3266">
        <f>SUM(D16-D25)</f>
        <v>30.240211770938913</v>
      </c>
      <c r="E31" s="3266">
        <f t="shared" ref="E31:I31" si="9">SUM(E16-E25)</f>
        <v>-171.77288778057118</v>
      </c>
      <c r="F31" s="3266">
        <f t="shared" si="9"/>
        <v>244.63778609825386</v>
      </c>
      <c r="G31" s="3266">
        <f t="shared" si="9"/>
        <v>72.864898317668121</v>
      </c>
      <c r="H31" s="3266">
        <f t="shared" si="9"/>
        <v>-72.864898879030079</v>
      </c>
      <c r="I31" s="4651">
        <f t="shared" si="9"/>
        <v>-5.6135468184947968E-7</v>
      </c>
      <c r="L31" s="129"/>
    </row>
    <row r="32" spans="1:12" ht="20.100000000000001" customHeight="1">
      <c r="A32" s="3264" t="s">
        <v>351</v>
      </c>
      <c r="B32" s="3269" t="s">
        <v>1054</v>
      </c>
      <c r="C32" s="3266">
        <f>SUM(C18-C29)</f>
        <v>-2464.7881673384945</v>
      </c>
      <c r="D32" s="3266">
        <f t="shared" ref="D32:I32" si="10">SUM(D18-D29)</f>
        <v>-3218.7414024288009</v>
      </c>
      <c r="E32" s="3266">
        <f t="shared" si="10"/>
        <v>-5683.5295697672991</v>
      </c>
      <c r="F32" s="3266">
        <f t="shared" si="10"/>
        <v>2326.5132342357756</v>
      </c>
      <c r="G32" s="3266">
        <f t="shared" si="10"/>
        <v>-3357.0163355315308</v>
      </c>
      <c r="H32" s="3266">
        <f t="shared" si="10"/>
        <v>3357.0165743278412</v>
      </c>
      <c r="I32" s="4651">
        <f t="shared" si="10"/>
        <v>2.3879630316514522E-4</v>
      </c>
      <c r="L32" s="129"/>
    </row>
    <row r="33" spans="1:11" ht="20.100000000000001" customHeight="1">
      <c r="A33" s="3264" t="s">
        <v>1789</v>
      </c>
      <c r="B33" s="3269" t="s">
        <v>1054</v>
      </c>
      <c r="C33" s="3266">
        <f>C20</f>
        <v>900</v>
      </c>
      <c r="D33" s="3266">
        <f t="shared" ref="D33:I33" si="11">D20</f>
        <v>900</v>
      </c>
      <c r="E33" s="3266">
        <f t="shared" si="11"/>
        <v>1800</v>
      </c>
      <c r="F33" s="3266">
        <f t="shared" si="11"/>
        <v>900</v>
      </c>
      <c r="G33" s="3266">
        <f t="shared" si="11"/>
        <v>2700</v>
      </c>
      <c r="H33" s="3266">
        <f t="shared" si="11"/>
        <v>900</v>
      </c>
      <c r="I33" s="4651">
        <f t="shared" si="11"/>
        <v>3600</v>
      </c>
    </row>
    <row r="34" spans="1:11" ht="20.100000000000001" customHeight="1">
      <c r="A34" s="3276" t="s">
        <v>1790</v>
      </c>
      <c r="B34" s="3275" t="s">
        <v>190</v>
      </c>
      <c r="C34" s="3270">
        <v>0</v>
      </c>
      <c r="D34" s="3270">
        <v>0</v>
      </c>
      <c r="E34" s="3270">
        <v>0</v>
      </c>
      <c r="F34" s="3270">
        <v>0</v>
      </c>
      <c r="G34" s="3270">
        <v>0</v>
      </c>
      <c r="H34" s="3270">
        <v>0</v>
      </c>
      <c r="I34" s="3247">
        <v>0</v>
      </c>
    </row>
    <row r="35" spans="1:11" ht="20.100000000000001" customHeight="1">
      <c r="A35" s="3276" t="s">
        <v>1791</v>
      </c>
      <c r="B35" s="3275" t="s">
        <v>190</v>
      </c>
      <c r="C35" s="3271">
        <f t="shared" ref="C35:I35" si="12">SUM(C36:C38)</f>
        <v>900</v>
      </c>
      <c r="D35" s="3271">
        <f t="shared" si="12"/>
        <v>900</v>
      </c>
      <c r="E35" s="3271">
        <f t="shared" si="12"/>
        <v>1800</v>
      </c>
      <c r="F35" s="3271">
        <f t="shared" si="12"/>
        <v>900</v>
      </c>
      <c r="G35" s="3271">
        <f t="shared" si="12"/>
        <v>2700</v>
      </c>
      <c r="H35" s="3271">
        <f t="shared" si="12"/>
        <v>900</v>
      </c>
      <c r="I35" s="3246">
        <f t="shared" si="12"/>
        <v>3600</v>
      </c>
    </row>
    <row r="36" spans="1:11" ht="20.100000000000001" customHeight="1">
      <c r="A36" s="3264" t="s">
        <v>1792</v>
      </c>
      <c r="B36" s="3269" t="s">
        <v>1054</v>
      </c>
      <c r="C36" s="3266">
        <v>562.5</v>
      </c>
      <c r="D36" s="3266">
        <v>562.5</v>
      </c>
      <c r="E36" s="3266">
        <f>C36+D36</f>
        <v>1125</v>
      </c>
      <c r="F36" s="3266">
        <v>562.5</v>
      </c>
      <c r="G36" s="3266">
        <f>E36+F36</f>
        <v>1687.5</v>
      </c>
      <c r="H36" s="3266">
        <v>562.5</v>
      </c>
      <c r="I36" s="3245">
        <f t="shared" ref="I36:I38" si="13">G36+H36</f>
        <v>2250</v>
      </c>
    </row>
    <row r="37" spans="1:11" ht="20.100000000000001" customHeight="1">
      <c r="A37" s="3264" t="s">
        <v>1793</v>
      </c>
      <c r="B37" s="3269" t="s">
        <v>1054</v>
      </c>
      <c r="C37" s="3266">
        <v>287.5</v>
      </c>
      <c r="D37" s="3266">
        <v>287.5</v>
      </c>
      <c r="E37" s="3266">
        <f>C37+D37</f>
        <v>575</v>
      </c>
      <c r="F37" s="3266">
        <v>287.5</v>
      </c>
      <c r="G37" s="3266">
        <f>E37+F37</f>
        <v>862.5</v>
      </c>
      <c r="H37" s="3266">
        <v>287.5</v>
      </c>
      <c r="I37" s="3245">
        <f t="shared" si="13"/>
        <v>1150</v>
      </c>
    </row>
    <row r="38" spans="1:11" ht="20.100000000000001" customHeight="1">
      <c r="A38" s="3264" t="s">
        <v>1804</v>
      </c>
      <c r="B38" s="3269" t="s">
        <v>1054</v>
      </c>
      <c r="C38" s="3266">
        <v>50</v>
      </c>
      <c r="D38" s="3266">
        <v>50</v>
      </c>
      <c r="E38" s="3266">
        <f>C38+D38</f>
        <v>100</v>
      </c>
      <c r="F38" s="3266">
        <v>50</v>
      </c>
      <c r="G38" s="3266">
        <f>E38+F38</f>
        <v>150</v>
      </c>
      <c r="H38" s="3266">
        <v>50</v>
      </c>
      <c r="I38" s="3245">
        <f t="shared" si="13"/>
        <v>200</v>
      </c>
    </row>
    <row r="39" spans="1:11" ht="20.100000000000001" customHeight="1">
      <c r="A39" s="3276" t="s">
        <v>1794</v>
      </c>
      <c r="B39" s="3275" t="s">
        <v>190</v>
      </c>
      <c r="C39" s="3271">
        <f t="shared" ref="C39:I39" si="14">SUM(C30+C34-C35)</f>
        <v>-2666.8012668900083</v>
      </c>
      <c r="D39" s="3271">
        <f t="shared" si="14"/>
        <v>-3188.501190657862</v>
      </c>
      <c r="E39" s="3271">
        <f t="shared" si="14"/>
        <v>-5855.3024575478703</v>
      </c>
      <c r="F39" s="3271">
        <f t="shared" si="14"/>
        <v>2571.1510203340295</v>
      </c>
      <c r="G39" s="3271">
        <f t="shared" si="14"/>
        <v>-3284.1514372138627</v>
      </c>
      <c r="H39" s="3271">
        <f t="shared" si="14"/>
        <v>3284.1516754488111</v>
      </c>
      <c r="I39" s="3246">
        <f t="shared" si="14"/>
        <v>2.3823494848329574E-4</v>
      </c>
      <c r="K39" s="127"/>
    </row>
    <row r="40" spans="1:11" ht="20.100000000000001" customHeight="1">
      <c r="A40" s="3276" t="s">
        <v>1795</v>
      </c>
      <c r="B40" s="3275" t="s">
        <v>190</v>
      </c>
      <c r="C40" s="3271">
        <f>SUM(C39-(C39*20%))</f>
        <v>-2133.4410135120065</v>
      </c>
      <c r="D40" s="3271">
        <f t="shared" ref="D40:I40" si="15">SUM(D39-(D39*20%))</f>
        <v>-2550.8009525262896</v>
      </c>
      <c r="E40" s="3271">
        <f t="shared" si="15"/>
        <v>-4684.2419660382966</v>
      </c>
      <c r="F40" s="3271">
        <f t="shared" si="15"/>
        <v>2056.9208162672235</v>
      </c>
      <c r="G40" s="3271">
        <f t="shared" si="15"/>
        <v>-2627.3211497710899</v>
      </c>
      <c r="H40" s="3271">
        <f t="shared" si="15"/>
        <v>2627.3213403590489</v>
      </c>
      <c r="I40" s="3246">
        <f t="shared" si="15"/>
        <v>1.905879587866366E-4</v>
      </c>
      <c r="K40" s="127"/>
    </row>
    <row r="41" spans="1:11" ht="20.100000000000001" customHeight="1">
      <c r="A41" s="3264" t="s">
        <v>1796</v>
      </c>
      <c r="B41" s="3269" t="s">
        <v>44</v>
      </c>
      <c r="C41" s="3266">
        <f t="shared" ref="C41:I41" si="16">C40/C21*100</f>
        <v>-3.6808599045931416</v>
      </c>
      <c r="D41" s="3266">
        <f t="shared" si="16"/>
        <v>-4.5468596112052264</v>
      </c>
      <c r="E41" s="3266">
        <f t="shared" si="16"/>
        <v>-4.1067983358034352</v>
      </c>
      <c r="F41" s="3266">
        <f t="shared" si="16"/>
        <v>3.5764592852490007</v>
      </c>
      <c r="G41" s="3266">
        <f t="shared" si="16"/>
        <v>-1.53130988330953</v>
      </c>
      <c r="H41" s="3266">
        <f t="shared" si="16"/>
        <v>4.4157254271818127</v>
      </c>
      <c r="I41" s="3245">
        <f t="shared" si="16"/>
        <v>8.2479670631196924E-8</v>
      </c>
      <c r="K41" s="127"/>
    </row>
    <row r="42" spans="1:11" ht="20.100000000000001" customHeight="1" thickBot="1">
      <c r="A42" s="4635" t="s">
        <v>1797</v>
      </c>
      <c r="B42" s="4636" t="s">
        <v>190</v>
      </c>
      <c r="C42" s="4637">
        <f>SUM(C40)</f>
        <v>-2133.4410135120065</v>
      </c>
      <c r="D42" s="4637">
        <f t="shared" ref="D42:I42" si="17">SUM(D40)</f>
        <v>-2550.8009525262896</v>
      </c>
      <c r="E42" s="4637">
        <f t="shared" si="17"/>
        <v>-4684.2419660382966</v>
      </c>
      <c r="F42" s="4637">
        <f t="shared" si="17"/>
        <v>2056.9208162672235</v>
      </c>
      <c r="G42" s="4637">
        <f t="shared" si="17"/>
        <v>-2627.3211497710899</v>
      </c>
      <c r="H42" s="4637">
        <f t="shared" si="17"/>
        <v>2627.3213403590489</v>
      </c>
      <c r="I42" s="4638">
        <f t="shared" si="17"/>
        <v>1.905879587866366E-4</v>
      </c>
      <c r="K42" s="127"/>
    </row>
    <row r="43" spans="1:11" ht="48" hidden="1" customHeight="1">
      <c r="A43" s="4632" t="s">
        <v>1798</v>
      </c>
      <c r="B43" s="3244" t="s">
        <v>190</v>
      </c>
      <c r="C43" s="4633">
        <v>0</v>
      </c>
      <c r="D43" s="4633">
        <v>0</v>
      </c>
      <c r="E43" s="4633">
        <v>0</v>
      </c>
      <c r="F43" s="4633">
        <v>0</v>
      </c>
      <c r="G43" s="4633">
        <v>0</v>
      </c>
      <c r="H43" s="4633">
        <v>0</v>
      </c>
      <c r="I43" s="4634">
        <v>0</v>
      </c>
    </row>
    <row r="44" spans="1:11" ht="49.5" hidden="1" customHeight="1">
      <c r="A44" s="3273" t="s">
        <v>1799</v>
      </c>
      <c r="B44" s="3269" t="s">
        <v>190</v>
      </c>
      <c r="C44" s="3266">
        <v>0</v>
      </c>
      <c r="D44" s="3266">
        <v>0</v>
      </c>
      <c r="E44" s="3266">
        <v>0</v>
      </c>
      <c r="F44" s="3266">
        <v>0</v>
      </c>
      <c r="G44" s="3266">
        <v>0</v>
      </c>
      <c r="H44" s="3266">
        <v>0</v>
      </c>
      <c r="I44" s="3245">
        <v>0</v>
      </c>
    </row>
    <row r="45" spans="1:11" ht="49.5" hidden="1" customHeight="1" thickBot="1">
      <c r="A45" s="3248" t="s">
        <v>1800</v>
      </c>
      <c r="B45" s="3249" t="s">
        <v>190</v>
      </c>
      <c r="C45" s="3250">
        <f>SUM(C42-(C43+C44))</f>
        <v>-2133.4410135120065</v>
      </c>
      <c r="D45" s="3250">
        <f t="shared" ref="D45:I45" si="18">SUM(D42-(D43+D44))</f>
        <v>-2550.8009525262896</v>
      </c>
      <c r="E45" s="3250">
        <f t="shared" si="18"/>
        <v>-4684.2419660382966</v>
      </c>
      <c r="F45" s="3250">
        <f t="shared" si="18"/>
        <v>2056.9208162672235</v>
      </c>
      <c r="G45" s="3250">
        <f t="shared" si="18"/>
        <v>-2627.3211497710899</v>
      </c>
      <c r="H45" s="3250">
        <f t="shared" si="18"/>
        <v>2627.3213403590489</v>
      </c>
      <c r="I45" s="3251">
        <f t="shared" si="18"/>
        <v>1.905879587866366E-4</v>
      </c>
    </row>
    <row r="46" spans="1:11" ht="15.75">
      <c r="A46" s="3277"/>
      <c r="B46" s="3277"/>
      <c r="C46" s="3277"/>
      <c r="D46" s="3277"/>
      <c r="E46" s="3277"/>
      <c r="F46" s="3277"/>
      <c r="G46" s="3277"/>
      <c r="H46" s="3277"/>
      <c r="I46" s="3277"/>
    </row>
    <row r="47" spans="1:11" ht="15.75">
      <c r="A47" s="3237"/>
      <c r="B47" s="3237"/>
      <c r="C47" s="3237"/>
      <c r="D47" s="3237"/>
      <c r="E47" s="3237"/>
      <c r="F47" s="3237"/>
      <c r="G47" s="3237"/>
      <c r="H47" s="3237"/>
      <c r="I47" s="3237"/>
    </row>
    <row r="48" spans="1:11" ht="18.75">
      <c r="A48" s="3263" t="s">
        <v>1759</v>
      </c>
      <c r="B48" s="3262"/>
      <c r="C48" s="3262"/>
      <c r="D48" s="3262"/>
      <c r="E48" s="3263" t="s">
        <v>1801</v>
      </c>
      <c r="F48" s="3184"/>
      <c r="G48" s="3259"/>
      <c r="H48" s="3259"/>
      <c r="I48" s="3259"/>
    </row>
    <row r="49" spans="1:9" ht="18.75">
      <c r="A49" s="3262"/>
      <c r="B49" s="3262"/>
      <c r="C49" s="3262"/>
      <c r="D49" s="3262"/>
      <c r="E49" s="3262"/>
      <c r="F49" s="3184"/>
      <c r="G49" s="3259"/>
      <c r="H49" s="3259"/>
      <c r="I49" s="3259"/>
    </row>
    <row r="50" spans="1:9" ht="18.75">
      <c r="A50" s="3262" t="s">
        <v>1743</v>
      </c>
      <c r="B50" s="3262"/>
      <c r="C50" s="3262"/>
      <c r="D50" s="3262"/>
      <c r="E50" s="3262" t="s">
        <v>1776</v>
      </c>
      <c r="F50" s="3184"/>
      <c r="G50" s="3259"/>
      <c r="H50" s="3259"/>
      <c r="I50" s="3259"/>
    </row>
    <row r="51" spans="1:9" ht="15">
      <c r="A51" s="3252"/>
      <c r="B51" s="3252"/>
      <c r="C51" s="3252"/>
      <c r="D51" s="3252"/>
      <c r="E51" s="3252"/>
      <c r="F51" s="3252"/>
      <c r="G51" s="3252"/>
      <c r="H51" s="3252"/>
      <c r="I51" s="3252"/>
    </row>
    <row r="52" spans="1:9" ht="15">
      <c r="A52" s="3252"/>
      <c r="B52" s="3252"/>
      <c r="C52" s="3252"/>
      <c r="D52" s="3252"/>
      <c r="E52" s="3252"/>
      <c r="F52" s="3252"/>
      <c r="G52" s="3252"/>
      <c r="H52" s="3252"/>
      <c r="I52" s="3252"/>
    </row>
    <row r="53" spans="1:9" ht="15">
      <c r="A53" s="3252"/>
      <c r="B53" s="3252"/>
      <c r="C53" s="3252"/>
      <c r="D53" s="3252"/>
      <c r="E53" s="3252"/>
      <c r="F53" s="3252"/>
      <c r="G53" s="3252"/>
      <c r="H53" s="3252"/>
      <c r="I53" s="3252"/>
    </row>
    <row r="54" spans="1:9" ht="15">
      <c r="A54" s="3252"/>
      <c r="B54" s="3252"/>
      <c r="C54" s="3252"/>
      <c r="D54" s="3252"/>
      <c r="E54" s="3252"/>
      <c r="F54" s="3252"/>
      <c r="G54" s="3252"/>
      <c r="H54" s="3252"/>
      <c r="I54" s="3252"/>
    </row>
    <row r="55" spans="1:9" ht="15">
      <c r="A55" s="3252"/>
      <c r="B55" s="3252"/>
      <c r="C55" s="3252"/>
      <c r="D55" s="3252"/>
      <c r="E55" s="3252"/>
      <c r="F55" s="3252"/>
      <c r="G55" s="3252"/>
      <c r="H55" s="3252"/>
      <c r="I55" s="3252"/>
    </row>
    <row r="56" spans="1:9" ht="66.75" customHeight="1">
      <c r="A56" s="4950"/>
      <c r="B56" s="4950"/>
      <c r="C56" s="4950"/>
      <c r="D56" s="4950"/>
      <c r="E56" s="4950"/>
      <c r="F56" s="4950"/>
      <c r="G56" s="4950"/>
      <c r="H56" s="4950"/>
      <c r="I56" s="4950"/>
    </row>
    <row r="57" spans="1:9" ht="31.5" customHeight="1">
      <c r="A57" s="4950"/>
      <c r="B57" s="4894"/>
      <c r="C57" s="4894"/>
      <c r="D57" s="4894"/>
      <c r="E57" s="4894"/>
      <c r="F57" s="4894"/>
      <c r="G57" s="4894"/>
      <c r="H57" s="4894"/>
      <c r="I57" s="4894"/>
    </row>
    <row r="58" spans="1:9" ht="15">
      <c r="A58" s="3252"/>
      <c r="B58" s="3252"/>
      <c r="C58" s="3252"/>
      <c r="D58" s="3252"/>
      <c r="E58" s="3252"/>
      <c r="F58" s="3252"/>
      <c r="G58" s="3252"/>
      <c r="H58" s="3252"/>
      <c r="I58" s="3252"/>
    </row>
  </sheetData>
  <mergeCells count="9">
    <mergeCell ref="A12:I12"/>
    <mergeCell ref="A56:I56"/>
    <mergeCell ref="A57:I57"/>
    <mergeCell ref="F1:I1"/>
    <mergeCell ref="F3:I3"/>
    <mergeCell ref="F4:I4"/>
    <mergeCell ref="F5:I5"/>
    <mergeCell ref="F6:I6"/>
    <mergeCell ref="A8:I8"/>
  </mergeCells>
  <printOptions horizontalCentered="1" verticalCentered="1"/>
  <pageMargins left="0.51181102362204722" right="0.15748031496062992" top="0.35433070866141736" bottom="0.35433070866141736" header="0" footer="0"/>
  <pageSetup paperSize="9" scale="67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69</vt:i4>
      </vt:variant>
      <vt:variant>
        <vt:lpstr>Именованные диапазоны</vt:lpstr>
      </vt:variant>
      <vt:variant>
        <vt:i4>60</vt:i4>
      </vt:variant>
    </vt:vector>
  </HeadingPairs>
  <TitlesOfParts>
    <vt:vector size="129" baseType="lpstr">
      <vt:lpstr>Расчет товарной выручки</vt:lpstr>
      <vt:lpstr>ФАКТ. СЕБЕСТ. СТОКИ 1 пол. 2018</vt:lpstr>
      <vt:lpstr>ПОЛНАЯ СЕБЕСТОИМОСТЬ СТОКИ 2018</vt:lpstr>
      <vt:lpstr>ФАКТ. СЕБЕСТ ВОДА 1 пол.2018</vt:lpstr>
      <vt:lpstr>ПОЛНАЯ СЕБЕСТОИМОСТЬ ВОДА 2018</vt:lpstr>
      <vt:lpstr>План по элетр. 2018</vt:lpstr>
      <vt:lpstr>Текущий ремонт</vt:lpstr>
      <vt:lpstr>Чистая прибыль</vt:lpstr>
      <vt:lpstr>Прил. 1 План ФХД табл 1</vt:lpstr>
      <vt:lpstr>Прил. 1 План ФХД стоки табл 2</vt:lpstr>
      <vt:lpstr>Прил. 1 План ФХД вода табл. 2</vt:lpstr>
      <vt:lpstr>Произв. прогр. Стоки (СВОД)</vt:lpstr>
      <vt:lpstr>Произв. прогр. Стоки</vt:lpstr>
      <vt:lpstr>Произв. прогр. Вода</vt:lpstr>
      <vt:lpstr>Произв. прогр. Вода (СВОД)</vt:lpstr>
      <vt:lpstr>Тариф тех.вода 2016-2018 ПЛАН</vt:lpstr>
      <vt:lpstr>Тариф вода 2016-2018 ПЛАН</vt:lpstr>
      <vt:lpstr>ВОДА (СВОД) 2016-2018</vt:lpstr>
      <vt:lpstr>Тариф очистка 2016-2018 ПЛАН</vt:lpstr>
      <vt:lpstr>Тариф стоки 2016-2018 ПЛАН</vt:lpstr>
      <vt:lpstr>СТОКИ (СВОД) 2016-2018</vt:lpstr>
      <vt:lpstr>А</vt:lpstr>
      <vt:lpstr>ТН</vt:lpstr>
      <vt:lpstr>объемы</vt:lpstr>
      <vt:lpstr>объемы черн</vt:lpstr>
      <vt:lpstr>вода</vt:lpstr>
      <vt:lpstr>стоки</vt:lpstr>
      <vt:lpstr>электр 2017-2018</vt:lpstr>
      <vt:lpstr>электр</vt:lpstr>
      <vt:lpstr>электр (с разбивкой)</vt:lpstr>
      <vt:lpstr>ХР</vt:lpstr>
      <vt:lpstr>Аморт</vt:lpstr>
      <vt:lpstr>ЗП</vt:lpstr>
      <vt:lpstr>ЗП с факт 3 кв. 2015</vt:lpstr>
      <vt:lpstr>ЗП среднемес</vt:lpstr>
      <vt:lpstr>цех вода</vt:lpstr>
      <vt:lpstr>цех вода (с разбивкой)</vt:lpstr>
      <vt:lpstr>цех стоки (с разбивкой)</vt:lpstr>
      <vt:lpstr>цех стоки</vt:lpstr>
      <vt:lpstr>ОХР </vt:lpstr>
      <vt:lpstr>налоги 2018</vt:lpstr>
      <vt:lpstr>Расчет налог. обяз. 2018</vt:lpstr>
      <vt:lpstr>рез к 2017</vt:lpstr>
      <vt:lpstr>вод.налог 2018</vt:lpstr>
      <vt:lpstr>имушество 2018</vt:lpstr>
      <vt:lpstr>Резерв ДЗ</vt:lpstr>
      <vt:lpstr>рез к 2018</vt:lpstr>
      <vt:lpstr>Выпадающ15-16</vt:lpstr>
      <vt:lpstr> текРемвода 2016</vt:lpstr>
      <vt:lpstr>  текРемстоки 2016</vt:lpstr>
      <vt:lpstr>Кап Рем</vt:lpstr>
      <vt:lpstr>кап влож</vt:lpstr>
      <vt:lpstr>Ремонт вода 2016</vt:lpstr>
      <vt:lpstr>Ремонт стоки 2016</vt:lpstr>
      <vt:lpstr>транс</vt:lpstr>
      <vt:lpstr>вод.налог</vt:lpstr>
      <vt:lpstr>налог на имущ</vt:lpstr>
      <vt:lpstr>выпадающие расходы на 2018</vt:lpstr>
      <vt:lpstr>Тариф вода 2016-2018</vt:lpstr>
      <vt:lpstr>Тариф тех вода 2016-2018</vt:lpstr>
      <vt:lpstr>Тариф стоки 2016-2018</vt:lpstr>
      <vt:lpstr>Тариф очистка 2016-2018</vt:lpstr>
      <vt:lpstr>расчет тарифов </vt:lpstr>
      <vt:lpstr>Лист2</vt:lpstr>
      <vt:lpstr>Выпадающ</vt:lpstr>
      <vt:lpstr>Ремонт вода 2015</vt:lpstr>
      <vt:lpstr>Ремонт стоки 2015</vt:lpstr>
      <vt:lpstr>платежка с ИП</vt:lpstr>
      <vt:lpstr>Лист1</vt:lpstr>
      <vt:lpstr>'Произв. прогр. Вода'!Заголовки_для_печати</vt:lpstr>
      <vt:lpstr>'Произв. прогр. Стоки'!Заголовки_для_печати</vt:lpstr>
      <vt:lpstr>'  текРемстоки 2016'!Область_печати</vt:lpstr>
      <vt:lpstr>' текРемвода 2016'!Область_печати</vt:lpstr>
      <vt:lpstr>Аморт!Область_печати</vt:lpstr>
      <vt:lpstr>вод.налог!Область_печати</vt:lpstr>
      <vt:lpstr>'вод.налог 2018'!Область_печати</vt:lpstr>
      <vt:lpstr>вода!Область_печати</vt:lpstr>
      <vt:lpstr>'ВОДА (СВОД) 2016-2018'!Область_печати</vt:lpstr>
      <vt:lpstr>'Выпадающ15-16'!Область_печати</vt:lpstr>
      <vt:lpstr>'выпадающие расходы на 2018'!Область_печати</vt:lpstr>
      <vt:lpstr>ЗП!Область_печати</vt:lpstr>
      <vt:lpstr>'ЗП с факт 3 кв. 2015'!Область_печати</vt:lpstr>
      <vt:lpstr>'ЗП среднемес'!Область_печати</vt:lpstr>
      <vt:lpstr>'имушество 2018'!Область_печати</vt:lpstr>
      <vt:lpstr>'налог на имущ'!Область_печати</vt:lpstr>
      <vt:lpstr>'налоги 2018'!Область_печати</vt:lpstr>
      <vt:lpstr>объемы!Область_печати</vt:lpstr>
      <vt:lpstr>'объемы черн'!Область_печати</vt:lpstr>
      <vt:lpstr>'ОХР '!Область_печати</vt:lpstr>
      <vt:lpstr>'План по элетр. 2018'!Область_печати</vt:lpstr>
      <vt:lpstr>'платежка с ИП'!Область_печати</vt:lpstr>
      <vt:lpstr>'ПОЛНАЯ СЕБЕСТОИМОСТЬ ВОДА 2018'!Область_печати</vt:lpstr>
      <vt:lpstr>'ПОЛНАЯ СЕБЕСТОИМОСТЬ СТОКИ 2018'!Область_печати</vt:lpstr>
      <vt:lpstr>'Прил. 1 План ФХД вода табл. 2'!Область_печати</vt:lpstr>
      <vt:lpstr>'Прил. 1 План ФХД стоки табл 2'!Область_печати</vt:lpstr>
      <vt:lpstr>'Прил. 1 План ФХД табл 1'!Область_печати</vt:lpstr>
      <vt:lpstr>'Произв. прогр. Вода'!Область_печати</vt:lpstr>
      <vt:lpstr>'Произв. прогр. Вода (СВОД)'!Область_печати</vt:lpstr>
      <vt:lpstr>'Произв. прогр. Стоки'!Область_печати</vt:lpstr>
      <vt:lpstr>'Произв. прогр. Стоки (СВОД)'!Область_печати</vt:lpstr>
      <vt:lpstr>'расчет тарифов '!Область_печати</vt:lpstr>
      <vt:lpstr>'рез к 2017'!Область_печати</vt:lpstr>
      <vt:lpstr>'рез к 2018'!Область_печати</vt:lpstr>
      <vt:lpstr>'Резерв ДЗ'!Область_печати</vt:lpstr>
      <vt:lpstr>'Ремонт вода 2016'!Область_печати</vt:lpstr>
      <vt:lpstr>'Ремонт стоки 2015'!Область_печати</vt:lpstr>
      <vt:lpstr>'Ремонт стоки 2016'!Область_печати</vt:lpstr>
      <vt:lpstr>стоки!Область_печати</vt:lpstr>
      <vt:lpstr>'СТОКИ (СВОД) 2016-2018'!Область_печати</vt:lpstr>
      <vt:lpstr>'Тариф вода 2016-2018'!Область_печати</vt:lpstr>
      <vt:lpstr>'Тариф вода 2016-2018 ПЛАН'!Область_печати</vt:lpstr>
      <vt:lpstr>'Тариф очистка 2016-2018'!Область_печати</vt:lpstr>
      <vt:lpstr>'Тариф очистка 2016-2018 ПЛАН'!Область_печати</vt:lpstr>
      <vt:lpstr>'Тариф стоки 2016-2018'!Область_печати</vt:lpstr>
      <vt:lpstr>'Тариф стоки 2016-2018 ПЛАН'!Область_печати</vt:lpstr>
      <vt:lpstr>'Тариф тех вода 2016-2018'!Область_печати</vt:lpstr>
      <vt:lpstr>'Тариф тех.вода 2016-2018 ПЛАН'!Область_печати</vt:lpstr>
      <vt:lpstr>'Текущий ремонт'!Область_печати</vt:lpstr>
      <vt:lpstr>транс!Область_печати</vt:lpstr>
      <vt:lpstr>'ФАКТ. СЕБЕСТ ВОДА 1 пол.2018'!Область_печати</vt:lpstr>
      <vt:lpstr>'ФАКТ. СЕБЕСТ. СТОКИ 1 пол. 2018'!Область_печати</vt:lpstr>
      <vt:lpstr>ХР!Область_печати</vt:lpstr>
      <vt:lpstr>'цех вода'!Область_печати</vt:lpstr>
      <vt:lpstr>'цех стоки'!Область_печати</vt:lpstr>
      <vt:lpstr>'цех стоки (с разбивкой)'!Область_печати</vt:lpstr>
      <vt:lpstr>'Чистая прибыль'!Область_печати</vt:lpstr>
      <vt:lpstr>электр!Область_печати</vt:lpstr>
      <vt:lpstr>'электр (с разбивкой)'!Область_печати</vt:lpstr>
      <vt:lpstr>'электр 2017-2018'!Область_печати</vt:lpstr>
    </vt:vector>
  </TitlesOfParts>
  <Company>ДТЦ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syvorova</dc:creator>
  <cp:lastModifiedBy>Worker_12Ver2</cp:lastModifiedBy>
  <cp:lastPrinted>2018-06-05T07:49:51Z</cp:lastPrinted>
  <dcterms:created xsi:type="dcterms:W3CDTF">2005-08-29T07:58:36Z</dcterms:created>
  <dcterms:modified xsi:type="dcterms:W3CDTF">2018-08-02T10:41:24Z</dcterms:modified>
</cp:coreProperties>
</file>